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Hacienda1\Portal Finanzas Públicas\2015 Inf Contable, Presupuestaria, Deuda Pública\"/>
    </mc:Choice>
  </mc:AlternateContent>
  <bookViews>
    <workbookView xWindow="0" yWindow="0" windowWidth="20490" windowHeight="7755"/>
  </bookViews>
  <sheets>
    <sheet name="ESF" sheetId="5" r:id="rId1"/>
    <sheet name="EA" sheetId="6" r:id="rId2"/>
    <sheet name="EVHP" sheetId="7" r:id="rId3"/>
    <sheet name="ECSF" sheetId="8" r:id="rId4"/>
    <sheet name="EFE" sheetId="9" r:id="rId5"/>
    <sheet name="EAA" sheetId="10" r:id="rId6"/>
    <sheet name="EADyOP" sheetId="11" r:id="rId7"/>
    <sheet name="IPC" sheetId="12" r:id="rId8"/>
    <sheet name="Fuente-NoBorrar" sheetId="2" state="hidden" r:id="rId9"/>
    <sheet name="BExRepositorySheet" sheetId="4" state="veryHidden" r:id="rId10"/>
  </sheets>
  <externalReferences>
    <externalReference r:id="rId11"/>
    <externalReference r:id="rId12"/>
  </externalReferences>
  <calcPr calcId="152511"/>
</workbook>
</file>

<file path=xl/calcChain.xml><?xml version="1.0" encoding="utf-8"?>
<calcChain xmlns="http://schemas.openxmlformats.org/spreadsheetml/2006/main">
  <c r="A7" i="11" l="1"/>
  <c r="A6" i="11"/>
  <c r="J1" i="11"/>
  <c r="H1" i="11" s="1"/>
  <c r="G1" i="11"/>
  <c r="I1" i="11" s="1"/>
  <c r="K1" i="11" l="1"/>
  <c r="A5" i="11"/>
  <c r="E30" i="10" l="1"/>
  <c r="F30" i="10" s="1"/>
  <c r="E29" i="10"/>
  <c r="F29" i="10" s="1"/>
  <c r="E28" i="10"/>
  <c r="F28" i="10" s="1"/>
  <c r="E27" i="10"/>
  <c r="F27" i="10" s="1"/>
  <c r="E26" i="10"/>
  <c r="F26" i="10" s="1"/>
  <c r="E25" i="10"/>
  <c r="F25" i="10" s="1"/>
  <c r="E24" i="10"/>
  <c r="F24" i="10" s="1"/>
  <c r="E23" i="10"/>
  <c r="F23" i="10" s="1"/>
  <c r="E22" i="10"/>
  <c r="F22" i="10" s="1"/>
  <c r="E21" i="10"/>
  <c r="F21" i="10" s="1"/>
  <c r="D21" i="10"/>
  <c r="C21" i="10"/>
  <c r="B21" i="10"/>
  <c r="F19" i="10"/>
  <c r="E19" i="10"/>
  <c r="E18" i="10"/>
  <c r="F18" i="10" s="1"/>
  <c r="F17" i="10"/>
  <c r="E17" i="10"/>
  <c r="E16" i="10"/>
  <c r="F16" i="10" s="1"/>
  <c r="F15" i="10"/>
  <c r="E15" i="10"/>
  <c r="D15" i="10"/>
  <c r="E14" i="10"/>
  <c r="F14" i="10" s="1"/>
  <c r="D14" i="10"/>
  <c r="D13" i="10"/>
  <c r="E13" i="10" s="1"/>
  <c r="F13" i="10" s="1"/>
  <c r="C12" i="10"/>
  <c r="C10" i="10" s="1"/>
  <c r="B12" i="10"/>
  <c r="E12" i="10" l="1"/>
  <c r="F12" i="10" s="1"/>
  <c r="D12" i="10"/>
  <c r="D10" i="10" s="1"/>
  <c r="B10" i="10"/>
  <c r="E10" i="10" s="1"/>
  <c r="F10" i="10" s="1"/>
  <c r="D65" i="9" l="1"/>
  <c r="D64" i="9" s="1"/>
  <c r="C65" i="9"/>
  <c r="C64" i="9" s="1"/>
  <c r="D59" i="9"/>
  <c r="D58" i="9" s="1"/>
  <c r="D69" i="9" s="1"/>
  <c r="C59" i="9"/>
  <c r="C58" i="9" s="1"/>
  <c r="C55" i="9"/>
  <c r="C54" i="9"/>
  <c r="D51" i="9"/>
  <c r="C51" i="9"/>
  <c r="D46" i="9"/>
  <c r="D55" i="9" s="1"/>
  <c r="C46" i="9"/>
  <c r="D25" i="9"/>
  <c r="C25" i="9"/>
  <c r="D11" i="9"/>
  <c r="D43" i="9" s="1"/>
  <c r="C11" i="9"/>
  <c r="C43" i="9" s="1"/>
  <c r="D71" i="9" l="1"/>
  <c r="D73" i="9" s="1"/>
  <c r="C72" i="9" s="1"/>
  <c r="C69" i="9"/>
  <c r="C71" i="9"/>
  <c r="C73" i="9" l="1"/>
  <c r="F39" i="7" l="1"/>
  <c r="F38" i="7"/>
  <c r="F37" i="7"/>
  <c r="F36" i="7"/>
  <c r="E35" i="7"/>
  <c r="D35" i="7"/>
  <c r="C35" i="7"/>
  <c r="B35" i="7"/>
  <c r="F35" i="7" s="1"/>
  <c r="F32" i="7"/>
  <c r="F31" i="7"/>
  <c r="F30" i="7"/>
  <c r="E29" i="7"/>
  <c r="D29" i="7"/>
  <c r="C29" i="7"/>
  <c r="B29" i="7"/>
  <c r="F29" i="7" s="1"/>
  <c r="F22" i="7"/>
  <c r="F21" i="7"/>
  <c r="F20" i="7"/>
  <c r="F19" i="7" s="1"/>
  <c r="E19" i="7"/>
  <c r="D19" i="7"/>
  <c r="C19" i="7"/>
  <c r="B19" i="7"/>
  <c r="F17" i="7"/>
  <c r="F16" i="7"/>
  <c r="F15" i="7"/>
  <c r="E14" i="7"/>
  <c r="E26" i="7" s="1"/>
  <c r="E42" i="7" s="1"/>
  <c r="D14" i="7"/>
  <c r="D26" i="7" s="1"/>
  <c r="D42" i="7" s="1"/>
  <c r="C14" i="7"/>
  <c r="C26" i="7" s="1"/>
  <c r="C42" i="7" s="1"/>
  <c r="B14" i="7"/>
  <c r="B26" i="7" s="1"/>
  <c r="B42" i="7" s="1"/>
  <c r="F11" i="7"/>
  <c r="F26" i="7" l="1"/>
  <c r="F42" i="7" s="1"/>
  <c r="F14" i="7"/>
  <c r="F64" i="6" l="1"/>
  <c r="E64" i="6"/>
  <c r="F57" i="6"/>
  <c r="E57" i="6"/>
  <c r="F51" i="6"/>
  <c r="E51" i="6"/>
  <c r="F47" i="6"/>
  <c r="E47" i="6"/>
  <c r="F37" i="6"/>
  <c r="E37" i="6"/>
  <c r="F33" i="6"/>
  <c r="F67" i="6" s="1"/>
  <c r="E33" i="6"/>
  <c r="E67" i="6" s="1"/>
  <c r="F23" i="6"/>
  <c r="E23" i="6"/>
  <c r="F20" i="6"/>
  <c r="F30" i="6" s="1"/>
  <c r="F69" i="6" s="1"/>
  <c r="E20" i="6"/>
  <c r="F11" i="6"/>
  <c r="E11" i="6"/>
  <c r="E30" i="6" s="1"/>
  <c r="E69" i="6" l="1"/>
  <c r="I49" i="5" l="1"/>
  <c r="H49" i="5"/>
  <c r="I42" i="5"/>
  <c r="H42" i="5"/>
  <c r="I37" i="5"/>
  <c r="H37" i="5"/>
  <c r="I32" i="5"/>
  <c r="H32" i="5"/>
  <c r="I21" i="5"/>
  <c r="H21" i="5"/>
  <c r="D33" i="5"/>
  <c r="C33" i="5"/>
  <c r="D20" i="5"/>
  <c r="C20" i="5"/>
  <c r="C35" i="5" l="1"/>
  <c r="H53" i="5"/>
  <c r="H34" i="5"/>
  <c r="I53" i="5"/>
  <c r="I34" i="5"/>
  <c r="D35" i="5"/>
  <c r="H55" i="5" l="1"/>
  <c r="I55" i="5"/>
  <c r="G2813" i="2"/>
  <c r="T2818" i="2"/>
  <c r="L2812" i="2"/>
  <c r="S2815" i="2"/>
  <c r="H2811" i="2"/>
  <c r="S2811" i="2"/>
  <c r="H2788" i="2"/>
  <c r="G2800" i="2"/>
  <c r="W2797" i="2"/>
  <c r="K2786" i="2"/>
  <c r="G2797" i="2"/>
  <c r="P2785" i="2"/>
  <c r="C2796" i="2"/>
  <c r="P2784" i="2"/>
  <c r="K2805" i="2"/>
  <c r="D2808" i="2"/>
  <c r="O2808" i="2"/>
  <c r="I2807" i="2"/>
  <c r="T2807" i="2"/>
  <c r="E2806" i="2"/>
  <c r="W2806" i="2"/>
  <c r="R2800" i="2"/>
  <c r="T2768" i="2"/>
  <c r="H2816" i="2"/>
  <c r="I2814" i="2"/>
  <c r="O2778" i="2"/>
  <c r="L2778" i="2"/>
  <c r="K2768" i="2"/>
  <c r="U2805" i="2"/>
  <c r="O2764" i="2"/>
  <c r="M2777" i="2"/>
  <c r="N2803" i="2"/>
  <c r="M2800" i="2"/>
  <c r="W2769" i="2"/>
  <c r="R2799" i="2"/>
  <c r="G2769" i="2"/>
  <c r="K2801" i="2"/>
  <c r="V2796" i="2"/>
  <c r="G2782" i="2"/>
  <c r="W2779" i="2"/>
  <c r="D2812" i="2"/>
  <c r="S2808" i="2"/>
  <c r="I2811" i="2"/>
  <c r="O2809" i="2"/>
  <c r="E2810" i="2"/>
  <c r="J2801" i="2"/>
  <c r="E2791" i="2"/>
  <c r="H2818" i="2"/>
  <c r="D2778" i="2"/>
  <c r="G2815" i="2"/>
  <c r="E2819" i="2"/>
  <c r="S2817" i="2"/>
  <c r="P2786" i="2"/>
  <c r="O2794" i="2"/>
  <c r="V2780" i="2"/>
  <c r="D2780" i="2"/>
  <c r="R2802" i="2"/>
  <c r="C2799" i="2"/>
  <c r="U2798" i="2"/>
  <c r="M2768" i="2"/>
  <c r="V2807" i="2"/>
  <c r="H2758" i="2"/>
  <c r="G2765" i="2"/>
  <c r="R2813" i="2"/>
  <c r="O2814" i="2"/>
  <c r="W2812" i="2"/>
  <c r="T2813" i="2"/>
  <c r="E2812" i="2"/>
  <c r="T2794" i="2"/>
  <c r="C2778" i="2"/>
  <c r="W2778" i="2"/>
  <c r="M2798" i="2"/>
  <c r="J2799" i="2"/>
  <c r="R2797" i="2"/>
  <c r="O2798" i="2"/>
  <c r="U2796" i="2"/>
  <c r="O2779" i="2"/>
  <c r="D2800" i="2"/>
  <c r="L2764" i="2"/>
  <c r="Q2806" i="2"/>
  <c r="I2795" i="2"/>
  <c r="V2805" i="2"/>
  <c r="N2794" i="2"/>
  <c r="D2805" i="2"/>
  <c r="N2774" i="2"/>
  <c r="P2810" i="2"/>
  <c r="V2786" i="2"/>
  <c r="W2816" i="2"/>
  <c r="F2778" i="2"/>
  <c r="M2817" i="2"/>
  <c r="M2783" i="2"/>
  <c r="R2806" i="2"/>
  <c r="Q2779" i="2"/>
  <c r="V2759" i="2"/>
  <c r="V2757" i="2"/>
  <c r="K2802" i="2"/>
  <c r="P2782" i="2"/>
  <c r="I2793" i="2"/>
  <c r="L2803" i="2"/>
  <c r="E2783" i="2"/>
  <c r="V2814" i="2"/>
  <c r="U2811" i="2"/>
  <c r="P2772" i="2"/>
  <c r="S2804" i="2"/>
  <c r="S2765" i="2"/>
  <c r="S2809" i="2"/>
  <c r="L2780" i="2"/>
  <c r="M2818" i="2"/>
  <c r="O2792" i="2"/>
  <c r="S2816" i="2"/>
  <c r="F2815" i="2"/>
  <c r="D2786" i="2"/>
  <c r="U2814" i="2"/>
  <c r="N2762" i="2"/>
  <c r="T2817" i="2"/>
  <c r="F2800" i="2"/>
  <c r="H2771" i="2"/>
  <c r="O2804" i="2"/>
  <c r="J2812" i="2"/>
  <c r="H2780" i="2"/>
  <c r="F2776" i="2"/>
  <c r="O2763" i="2"/>
  <c r="I2769" i="2"/>
  <c r="D2795" i="2"/>
  <c r="V2760" i="2"/>
  <c r="F2767" i="2"/>
  <c r="J2779" i="2"/>
  <c r="Q2812" i="2"/>
  <c r="E2794" i="2"/>
  <c r="V2811" i="2"/>
  <c r="D2791" i="2"/>
  <c r="O2813" i="2"/>
  <c r="M2814" i="2"/>
  <c r="K2794" i="2"/>
  <c r="R2811" i="2"/>
  <c r="L2797" i="2"/>
  <c r="V2766" i="2"/>
  <c r="Q2796" i="2"/>
  <c r="F2766" i="2"/>
  <c r="J2798" i="2"/>
  <c r="W2783" i="2"/>
  <c r="F2779" i="2"/>
  <c r="N2807" i="2"/>
  <c r="H2790" i="2"/>
  <c r="S2806" i="2"/>
  <c r="M2789" i="2"/>
  <c r="S2787" i="2"/>
  <c r="N2815" i="2"/>
  <c r="O2787" i="2"/>
  <c r="H2799" i="2"/>
  <c r="O2783" i="2"/>
  <c r="S2778" i="2"/>
  <c r="W2791" i="2"/>
  <c r="U2797" i="2"/>
  <c r="V2749" i="2"/>
  <c r="L2808" i="2"/>
  <c r="E2746" i="2"/>
  <c r="L2792" i="2"/>
  <c r="W2801" i="2"/>
  <c r="M2802" i="2"/>
  <c r="G2801" i="2"/>
  <c r="R2801" i="2"/>
  <c r="C2800" i="2"/>
  <c r="U2800" i="2"/>
  <c r="T2800" i="2"/>
  <c r="P2804" i="2"/>
  <c r="Q2810" i="2"/>
  <c r="N2811" i="2"/>
  <c r="V2809" i="2"/>
  <c r="S2810" i="2"/>
  <c r="D2809" i="2"/>
  <c r="S2791" i="2"/>
  <c r="W2789" i="2"/>
  <c r="V2790" i="2"/>
  <c r="U2818" i="2"/>
  <c r="J2783" i="2"/>
  <c r="E2818" i="2"/>
  <c r="O2782" i="2"/>
  <c r="H2817" i="2"/>
  <c r="O2781" i="2"/>
  <c r="F2817" i="2"/>
  <c r="M2801" i="2"/>
  <c r="W2814" i="2"/>
  <c r="D2802" i="2"/>
  <c r="P2819" i="2"/>
  <c r="Q2795" i="2"/>
  <c r="K2804" i="2"/>
  <c r="U2791" i="2"/>
  <c r="H2779" i="2"/>
  <c r="J2764" i="2"/>
  <c r="K2795" i="2"/>
  <c r="S2797" i="2"/>
  <c r="P2794" i="2"/>
  <c r="Q2818" i="2"/>
  <c r="Q2811" i="2"/>
  <c r="R2812" i="2"/>
  <c r="M2788" i="2"/>
  <c r="R2798" i="2"/>
  <c r="F2780" i="2"/>
  <c r="S2795" i="2"/>
  <c r="K2779" i="2"/>
  <c r="H2794" i="2"/>
  <c r="L2796" i="2"/>
  <c r="U2784" i="2"/>
  <c r="U2801" i="2"/>
  <c r="T2812" i="2"/>
  <c r="C2809" i="2"/>
  <c r="O2796" i="2"/>
  <c r="H2808" i="2"/>
  <c r="N2806" i="2"/>
  <c r="D2807" i="2"/>
  <c r="L2813" i="2"/>
  <c r="D2788" i="2"/>
  <c r="G2817" i="2"/>
  <c r="H2815" i="2"/>
  <c r="Q2802" i="2"/>
  <c r="P2764" i="2"/>
  <c r="O2773" i="2"/>
  <c r="E2803" i="2"/>
  <c r="W2765" i="2"/>
  <c r="J2777" i="2"/>
  <c r="M2804" i="2"/>
  <c r="S2800" i="2"/>
  <c r="I2815" i="2"/>
  <c r="T2809" i="2"/>
  <c r="Q2793" i="2"/>
  <c r="C2818" i="2"/>
  <c r="H2814" i="2"/>
  <c r="F2797" i="2"/>
  <c r="U2759" i="2"/>
  <c r="D2803" i="2"/>
  <c r="K2811" i="2"/>
  <c r="F2806" i="2"/>
  <c r="M2767" i="2"/>
  <c r="T2811" i="2"/>
  <c r="S2761" i="2"/>
  <c r="P2817" i="2"/>
  <c r="S2803" i="2"/>
  <c r="J2802" i="2"/>
  <c r="U2795" i="2"/>
  <c r="L2762" i="2"/>
  <c r="D2792" i="2"/>
  <c r="V2777" i="2"/>
  <c r="S2752" i="2"/>
  <c r="W2802" i="2"/>
  <c r="O2802" i="2"/>
  <c r="Q2807" i="2"/>
  <c r="O2765" i="2"/>
  <c r="G2776" i="2"/>
  <c r="T2760" i="2"/>
  <c r="W2760" i="2"/>
  <c r="E2790" i="2"/>
  <c r="H2770" i="2"/>
  <c r="I2808" i="2"/>
  <c r="F2814" i="2"/>
  <c r="Q2814" i="2"/>
  <c r="K2813" i="2"/>
  <c r="V2813" i="2"/>
  <c r="G2812" i="2"/>
  <c r="D2813" i="2"/>
  <c r="J2815" i="2"/>
  <c r="V2774" i="2"/>
  <c r="V2798" i="2"/>
  <c r="L2799" i="2"/>
  <c r="F2798" i="2"/>
  <c r="Q2798" i="2"/>
  <c r="W2796" i="2"/>
  <c r="T2797" i="2"/>
  <c r="I2800" i="2"/>
  <c r="E2804" i="2"/>
  <c r="E2807" i="2"/>
  <c r="N2795" i="2"/>
  <c r="J2806" i="2"/>
  <c r="S2794" i="2"/>
  <c r="F2805" i="2"/>
  <c r="S2793" i="2"/>
  <c r="F2782" i="2"/>
  <c r="E2800" i="2"/>
  <c r="M2815" i="2"/>
  <c r="I2791" i="2"/>
  <c r="E2796" i="2"/>
  <c r="R2783" i="2"/>
  <c r="C2787" i="2"/>
  <c r="V2779" i="2"/>
  <c r="U2778" i="2"/>
  <c r="N2776" i="2"/>
  <c r="L2801" i="2"/>
  <c r="F2784" i="2"/>
  <c r="Q2800" i="2"/>
  <c r="K2783" i="2"/>
  <c r="Q2781" i="2"/>
  <c r="O2807" i="2"/>
  <c r="C2815" i="2"/>
  <c r="F2799" i="2"/>
  <c r="J2792" i="2"/>
  <c r="N2809" i="2"/>
  <c r="O2791" i="2"/>
  <c r="M2806" i="2"/>
  <c r="P2808" i="2"/>
  <c r="N2800" i="2"/>
  <c r="L2785" i="2"/>
  <c r="M2810" i="2"/>
  <c r="L2814" i="2"/>
  <c r="U2763" i="2"/>
  <c r="U2819" i="2"/>
  <c r="R2818" i="2"/>
  <c r="H2819" i="2"/>
  <c r="W2813" i="2"/>
  <c r="I2813" i="2"/>
  <c r="S2799" i="2"/>
  <c r="I2779" i="2"/>
  <c r="Q2809" i="2"/>
  <c r="E2784" i="2"/>
  <c r="D2785" i="2"/>
  <c r="C2793" i="2"/>
  <c r="W2793" i="2"/>
  <c r="E2767" i="2"/>
  <c r="C2805" i="2"/>
  <c r="S2812" i="2"/>
  <c r="U2817" i="2"/>
  <c r="C2812" i="2"/>
  <c r="T2814" i="2"/>
  <c r="F2811" i="2"/>
  <c r="C2788" i="2"/>
  <c r="D2817" i="2"/>
  <c r="F2787" i="2"/>
  <c r="N2797" i="2"/>
  <c r="F2786" i="2"/>
  <c r="S2796" i="2"/>
  <c r="K2785" i="2"/>
  <c r="V2795" i="2"/>
  <c r="K2765" i="2"/>
  <c r="I2781" i="2"/>
  <c r="P2807" i="2"/>
  <c r="M2808" i="2"/>
  <c r="U2806" i="2"/>
  <c r="R2807" i="2"/>
  <c r="C2806" i="2"/>
  <c r="R2788" i="2"/>
  <c r="V2800" i="2"/>
  <c r="F2816" i="2"/>
  <c r="R2817" i="2"/>
  <c r="E2816" i="2"/>
  <c r="D2810" i="2"/>
  <c r="T2777" i="2"/>
  <c r="N2768" i="2"/>
  <c r="V2804" i="2"/>
  <c r="R2764" i="2"/>
  <c r="U2758" i="2"/>
  <c r="G2787" i="2"/>
  <c r="P2801" i="2"/>
  <c r="N2770" i="2"/>
  <c r="N2792" i="2"/>
  <c r="L2811" i="2"/>
  <c r="J2782" i="2"/>
  <c r="V2817" i="2"/>
  <c r="L2776" i="2"/>
  <c r="R2745" i="2"/>
  <c r="V2803" i="2"/>
  <c r="N2814" i="2"/>
  <c r="W2807" i="2"/>
  <c r="M2765" i="2"/>
  <c r="E2795" i="2"/>
  <c r="Q2761" i="2"/>
  <c r="C2816" i="2"/>
  <c r="G2790" i="2"/>
  <c r="K2778" i="2"/>
  <c r="H2778" i="2"/>
  <c r="S2805" i="2"/>
  <c r="E2805" i="2"/>
  <c r="I2787" i="2"/>
  <c r="I2770" i="2"/>
  <c r="W2811" i="2"/>
  <c r="S2784" i="2"/>
  <c r="H2757" i="2"/>
  <c r="N2764" i="2"/>
  <c r="L2753" i="2"/>
  <c r="R2760" i="2"/>
  <c r="P2749" i="2"/>
  <c r="W2770" i="2"/>
  <c r="T2745" i="2"/>
  <c r="P2813" i="2"/>
  <c r="U2793" i="2"/>
  <c r="K2798" i="2"/>
  <c r="P2778" i="2"/>
  <c r="O2806" i="2"/>
  <c r="M2807" i="2"/>
  <c r="D2782" i="2"/>
  <c r="M2812" i="2"/>
  <c r="C2801" i="2"/>
  <c r="D2799" i="2"/>
  <c r="R2809" i="2"/>
  <c r="E2808" i="2"/>
  <c r="K2796" i="2"/>
  <c r="W2815" i="2"/>
  <c r="P2816" i="2"/>
  <c r="G2786" i="2"/>
  <c r="E2815" i="2"/>
  <c r="F2813" i="2"/>
  <c r="U2799" i="2"/>
  <c r="V2797" i="2"/>
  <c r="J2797" i="2"/>
  <c r="C2794" i="2"/>
  <c r="H2803" i="2"/>
  <c r="T2782" i="2"/>
  <c r="V2799" i="2"/>
  <c r="Q2819" i="2"/>
  <c r="V2784" i="2"/>
  <c r="I2817" i="2"/>
  <c r="O2797" i="2"/>
  <c r="P2747" i="2"/>
  <c r="S2714" i="2"/>
  <c r="F2707" i="2"/>
  <c r="H2797" i="2"/>
  <c r="V2787" i="2"/>
  <c r="P2806" i="2"/>
  <c r="O2799" i="2"/>
  <c r="M2819" i="2"/>
  <c r="L2815" i="2"/>
  <c r="T2793" i="2"/>
  <c r="S2776" i="2"/>
  <c r="L2786" i="2"/>
  <c r="J2811" i="2"/>
  <c r="H2809" i="2"/>
  <c r="K2773" i="2"/>
  <c r="V2812" i="2"/>
  <c r="O2769" i="2"/>
  <c r="D2806" i="2"/>
  <c r="R2814" i="2"/>
  <c r="Q2784" i="2"/>
  <c r="P2790" i="2"/>
  <c r="M2774" i="2"/>
  <c r="C2783" i="2"/>
  <c r="Q2770" i="2"/>
  <c r="O2811" i="2"/>
  <c r="L2805" i="2"/>
  <c r="W2788" i="2"/>
  <c r="J2773" i="2"/>
  <c r="N2757" i="2"/>
  <c r="F2757" i="2"/>
  <c r="Q2750" i="2"/>
  <c r="J2753" i="2"/>
  <c r="I2742" i="2"/>
  <c r="N2749" i="2"/>
  <c r="K2810" i="2"/>
  <c r="T2799" i="2"/>
  <c r="K2787" i="2"/>
  <c r="U2808" i="2"/>
  <c r="J2791" i="2"/>
  <c r="C2819" i="2"/>
  <c r="C2761" i="2"/>
  <c r="S2789" i="2"/>
  <c r="G2810" i="2"/>
  <c r="E2802" i="2"/>
  <c r="C2811" i="2"/>
  <c r="V2808" i="2"/>
  <c r="J2765" i="2"/>
  <c r="J2795" i="2"/>
  <c r="N2761" i="2"/>
  <c r="I2780" i="2"/>
  <c r="E2813" i="2"/>
  <c r="S2779" i="2"/>
  <c r="I2799" i="2"/>
  <c r="T2743" i="2"/>
  <c r="C2808" i="2"/>
  <c r="P2777" i="2"/>
  <c r="K2777" i="2"/>
  <c r="R2770" i="2"/>
  <c r="F2795" i="2"/>
  <c r="G2766" i="2"/>
  <c r="K2764" i="2"/>
  <c r="L2754" i="2"/>
  <c r="O2760" i="2"/>
  <c r="P2750" i="2"/>
  <c r="Q2790" i="2"/>
  <c r="T2746" i="2"/>
  <c r="V2802" i="2"/>
  <c r="Q2789" i="2"/>
  <c r="S2802" i="2"/>
  <c r="M2816" i="2"/>
  <c r="W2784" i="2"/>
  <c r="N2778" i="2"/>
  <c r="T2755" i="2"/>
  <c r="W2771" i="2"/>
  <c r="S2786" i="2"/>
  <c r="J2768" i="2"/>
  <c r="E2788" i="2"/>
  <c r="K2760" i="2"/>
  <c r="C2769" i="2"/>
  <c r="V2789" i="2"/>
  <c r="R2781" i="2"/>
  <c r="I2777" i="2"/>
  <c r="I2801" i="2"/>
  <c r="S2783" i="2"/>
  <c r="T2763" i="2"/>
  <c r="Q2769" i="2"/>
  <c r="L2791" i="2"/>
  <c r="U2765" i="2"/>
  <c r="E2773" i="2"/>
  <c r="D2762" i="2"/>
  <c r="E2817" i="2"/>
  <c r="T2775" i="2"/>
  <c r="S2730" i="2"/>
  <c r="E2732" i="2"/>
  <c r="G2757" i="2"/>
  <c r="J2731" i="2"/>
  <c r="F2754" i="2"/>
  <c r="O2730" i="2"/>
  <c r="Q2797" i="2"/>
  <c r="P2815" i="2"/>
  <c r="E2781" i="2"/>
  <c r="R2792" i="2"/>
  <c r="D2776" i="2"/>
  <c r="K2814" i="2"/>
  <c r="K2812" i="2"/>
  <c r="I2816" i="2"/>
  <c r="L2789" i="2"/>
  <c r="Q2787" i="2"/>
  <c r="Q2805" i="2"/>
  <c r="O2777" i="2"/>
  <c r="D2819" i="2"/>
  <c r="C2779" i="2"/>
  <c r="N2790" i="2"/>
  <c r="V2776" i="2"/>
  <c r="C2797" i="2"/>
  <c r="N2813" i="2"/>
  <c r="G2795" i="2"/>
  <c r="Q2803" i="2"/>
  <c r="N2788" i="2"/>
  <c r="K2782" i="2"/>
  <c r="M2784" i="2"/>
  <c r="H2798" i="2"/>
  <c r="O2810" i="2"/>
  <c r="T2806" i="2"/>
  <c r="L2781" i="2"/>
  <c r="H2810" i="2"/>
  <c r="P2795" i="2"/>
  <c r="T2751" i="2"/>
  <c r="Q2763" i="2"/>
  <c r="I2786" i="2"/>
  <c r="L2782" i="2"/>
  <c r="D2814" i="2"/>
  <c r="K2809" i="2"/>
  <c r="G2785" i="2"/>
  <c r="D2796" i="2"/>
  <c r="N2789" i="2"/>
  <c r="P2805" i="2"/>
  <c r="F2765" i="2"/>
  <c r="R2784" i="2"/>
  <c r="R2787" i="2"/>
  <c r="I2805" i="2"/>
  <c r="N2777" i="2"/>
  <c r="E2789" i="2"/>
  <c r="R2773" i="2"/>
  <c r="W2809" i="2"/>
  <c r="N2780" i="2"/>
  <c r="T2801" i="2"/>
  <c r="Q2783" i="2"/>
  <c r="C2756" i="2"/>
  <c r="U2779" i="2"/>
  <c r="G2752" i="2"/>
  <c r="Q2792" i="2"/>
  <c r="Q2785" i="2"/>
  <c r="C2789" i="2"/>
  <c r="G2767" i="2"/>
  <c r="O2776" i="2"/>
  <c r="R2757" i="2"/>
  <c r="S2772" i="2"/>
  <c r="I2746" i="2"/>
  <c r="W2768" i="2"/>
  <c r="I2772" i="2"/>
  <c r="C2791" i="2"/>
  <c r="L2788" i="2"/>
  <c r="Q2767" i="2"/>
  <c r="V2778" i="2"/>
  <c r="R2819" i="2"/>
  <c r="F2812" i="2"/>
  <c r="U2809" i="2"/>
  <c r="Q2768" i="2"/>
  <c r="M2792" i="2"/>
  <c r="R2790" i="2"/>
  <c r="U2785" i="2"/>
  <c r="M2811" i="2"/>
  <c r="U2746" i="2"/>
  <c r="H2796" i="2"/>
  <c r="D2743" i="2"/>
  <c r="D2815" i="2"/>
  <c r="W2804" i="2"/>
  <c r="U2777" i="2"/>
  <c r="K2819" i="2"/>
  <c r="T2804" i="2"/>
  <c r="F2804" i="2"/>
  <c r="E2766" i="2"/>
  <c r="L2770" i="2"/>
  <c r="T2808" i="2"/>
  <c r="M2786" i="2"/>
  <c r="F2739" i="2"/>
  <c r="C2798" i="2"/>
  <c r="J2735" i="2"/>
  <c r="K2807" i="2"/>
  <c r="N2731" i="2"/>
  <c r="N2783" i="2"/>
  <c r="H2786" i="2"/>
  <c r="W2800" i="2"/>
  <c r="T2781" i="2"/>
  <c r="H2785" i="2"/>
  <c r="T2788" i="2"/>
  <c r="U2783" i="2"/>
  <c r="I2809" i="2"/>
  <c r="C2776" i="2"/>
  <c r="S2760" i="2"/>
  <c r="E2809" i="2"/>
  <c r="K2767" i="2"/>
  <c r="H2813" i="2"/>
  <c r="V2741" i="2"/>
  <c r="K2790" i="2"/>
  <c r="C2770" i="2"/>
  <c r="M2809" i="2"/>
  <c r="M2791" i="2"/>
  <c r="D2781" i="2"/>
  <c r="Q2742" i="2"/>
  <c r="S2777" i="2"/>
  <c r="Q2791" i="2"/>
  <c r="F2770" i="2"/>
  <c r="G2761" i="2"/>
  <c r="E2763" i="2"/>
  <c r="E2770" i="2"/>
  <c r="D2767" i="2"/>
  <c r="Q2754" i="2"/>
  <c r="L2732" i="2"/>
  <c r="M2731" i="2"/>
  <c r="Q2731" i="2"/>
  <c r="R2730" i="2"/>
  <c r="V2730" i="2"/>
  <c r="W2729" i="2"/>
  <c r="U2812" i="2"/>
  <c r="N2799" i="2"/>
  <c r="P2797" i="2"/>
  <c r="T2802" i="2"/>
  <c r="T2805" i="2"/>
  <c r="I2788" i="2"/>
  <c r="T2778" i="2"/>
  <c r="I2797" i="2"/>
  <c r="H2800" i="2"/>
  <c r="O2817" i="2"/>
  <c r="W2808" i="2"/>
  <c r="U2804" i="2"/>
  <c r="V2819" i="2"/>
  <c r="R2780" i="2"/>
  <c r="C2790" i="2"/>
  <c r="I2765" i="2"/>
  <c r="J2814" i="2"/>
  <c r="F2794" i="2"/>
  <c r="E2799" i="2"/>
  <c r="G2819" i="2"/>
  <c r="O2818" i="2"/>
  <c r="I2798" i="2"/>
  <c r="L2790" i="2"/>
  <c r="K2776" i="2"/>
  <c r="T2790" i="2"/>
  <c r="G2806" i="2"/>
  <c r="J2784" i="2"/>
  <c r="U2816" i="2"/>
  <c r="I2806" i="2"/>
  <c r="P2799" i="2"/>
  <c r="W2710" i="2"/>
  <c r="M2785" i="2"/>
  <c r="Q2813" i="2"/>
  <c r="G2798" i="2"/>
  <c r="O2803" i="2"/>
  <c r="W2817" i="2"/>
  <c r="I2818" i="2"/>
  <c r="Q2816" i="2"/>
  <c r="T2787" i="2"/>
  <c r="D2804" i="2"/>
  <c r="J2803" i="2"/>
  <c r="C2814" i="2"/>
  <c r="R2786" i="2"/>
  <c r="D2759" i="2"/>
  <c r="V2782" i="2"/>
  <c r="H2755" i="2"/>
  <c r="C2803" i="2"/>
  <c r="N2791" i="2"/>
  <c r="G2796" i="2"/>
  <c r="T2789" i="2"/>
  <c r="H2805" i="2"/>
  <c r="C2786" i="2"/>
  <c r="I2790" i="2"/>
  <c r="J2796" i="2"/>
  <c r="E2814" i="2"/>
  <c r="P2765" i="2"/>
  <c r="D2745" i="2"/>
  <c r="E2758" i="2"/>
  <c r="H2777" i="2"/>
  <c r="I2754" i="2"/>
  <c r="C2749" i="2"/>
  <c r="M2750" i="2"/>
  <c r="V2739" i="2"/>
  <c r="O2800" i="2"/>
  <c r="W2798" i="2"/>
  <c r="P2809" i="2"/>
  <c r="N2810" i="2"/>
  <c r="I2796" i="2"/>
  <c r="D2816" i="2"/>
  <c r="U2803" i="2"/>
  <c r="W2785" i="2"/>
  <c r="I2803" i="2"/>
  <c r="E2779" i="2"/>
  <c r="D2790" i="2"/>
  <c r="Q2780" i="2"/>
  <c r="C2817" i="2"/>
  <c r="J2816" i="2"/>
  <c r="G2772" i="2"/>
  <c r="N2779" i="2"/>
  <c r="D2794" i="2"/>
  <c r="G2791" i="2"/>
  <c r="V2792" i="2"/>
  <c r="H2793" i="2"/>
  <c r="G2794" i="2"/>
  <c r="Q2782" i="2"/>
  <c r="R2779" i="2"/>
  <c r="F2808" i="2"/>
  <c r="L2774" i="2"/>
  <c r="C2765" i="2"/>
  <c r="L2763" i="2"/>
  <c r="N2812" i="2"/>
  <c r="P2759" i="2"/>
  <c r="I2763" i="2"/>
  <c r="U2786" i="2"/>
  <c r="N2802" i="2"/>
  <c r="P2811" i="2"/>
  <c r="S2814" i="2"/>
  <c r="L2807" i="2"/>
  <c r="J2772" i="2"/>
  <c r="T2784" i="2"/>
  <c r="D2783" i="2"/>
  <c r="S2775" i="2"/>
  <c r="F2768" i="2"/>
  <c r="W2782" i="2"/>
  <c r="K2755" i="2"/>
  <c r="J2761" i="2"/>
  <c r="K2751" i="2"/>
  <c r="R2793" i="2"/>
  <c r="O2747" i="2"/>
  <c r="R2778" i="2"/>
  <c r="O2812" i="2"/>
  <c r="C2782" i="2"/>
  <c r="P2773" i="2"/>
  <c r="P2770" i="2"/>
  <c r="N2759" i="2"/>
  <c r="T2766" i="2"/>
  <c r="R2755" i="2"/>
  <c r="C2763" i="2"/>
  <c r="V2751" i="2"/>
  <c r="C2784" i="2"/>
  <c r="C2772" i="2"/>
  <c r="G2732" i="2"/>
  <c r="F2753" i="2"/>
  <c r="L2731" i="2"/>
  <c r="O2795" i="2"/>
  <c r="I2775" i="2"/>
  <c r="Q2788" i="2"/>
  <c r="G2818" i="2"/>
  <c r="P2812" i="2"/>
  <c r="O2805" i="2"/>
  <c r="S2818" i="2"/>
  <c r="K2780" i="2"/>
  <c r="M2799" i="2"/>
  <c r="F2819" i="2"/>
  <c r="M2781" i="2"/>
  <c r="D2789" i="2"/>
  <c r="D2797" i="2"/>
  <c r="G2779" i="2"/>
  <c r="O2702" i="2"/>
  <c r="C2807" i="2"/>
  <c r="L2768" i="2"/>
  <c r="R2805" i="2"/>
  <c r="I2812" i="2"/>
  <c r="T2786" i="2"/>
  <c r="R2796" i="2"/>
  <c r="K2771" i="2"/>
  <c r="M2757" i="2"/>
  <c r="J2787" i="2"/>
  <c r="E2792" i="2"/>
  <c r="L2783" i="2"/>
  <c r="E2736" i="2"/>
  <c r="M2728" i="2"/>
  <c r="U2720" i="2"/>
  <c r="H2713" i="2"/>
  <c r="E2782" i="2"/>
  <c r="E2750" i="2"/>
  <c r="O2748" i="2"/>
  <c r="V2729" i="2"/>
  <c r="D2747" i="2"/>
  <c r="G2714" i="2"/>
  <c r="S2664" i="2"/>
  <c r="V2732" i="2"/>
  <c r="E2729" i="2"/>
  <c r="K2770" i="2"/>
  <c r="U2697" i="2"/>
  <c r="N2798" i="2"/>
  <c r="R2795" i="2"/>
  <c r="P2788" i="2"/>
  <c r="H2750" i="2"/>
  <c r="T2791" i="2"/>
  <c r="M2749" i="2"/>
  <c r="M2775" i="2"/>
  <c r="R2748" i="2"/>
  <c r="K2769" i="2"/>
  <c r="W2747" i="2"/>
  <c r="Q2703" i="2"/>
  <c r="C2661" i="2"/>
  <c r="S2692" i="2"/>
  <c r="G2743" i="2"/>
  <c r="L2752" i="2"/>
  <c r="E2764" i="2"/>
  <c r="J2756" i="2"/>
  <c r="N2738" i="2"/>
  <c r="O2737" i="2"/>
  <c r="S2737" i="2"/>
  <c r="T2736" i="2"/>
  <c r="C2737" i="2"/>
  <c r="D2736" i="2"/>
  <c r="H2736" i="2"/>
  <c r="F2803" i="2"/>
  <c r="D2768" i="2"/>
  <c r="J2800" i="2"/>
  <c r="G2816" i="2"/>
  <c r="E2780" i="2"/>
  <c r="K2818" i="2"/>
  <c r="W2803" i="2"/>
  <c r="N2804" i="2"/>
  <c r="U2813" i="2"/>
  <c r="V2723" i="2"/>
  <c r="U2794" i="2"/>
  <c r="E2720" i="2"/>
  <c r="J2774" i="2"/>
  <c r="I2716" i="2"/>
  <c r="R2766" i="2"/>
  <c r="D2793" i="2"/>
  <c r="J2762" i="2"/>
  <c r="Q2708" i="2"/>
  <c r="K2792" i="2"/>
  <c r="U2704" i="2"/>
  <c r="E2778" i="2"/>
  <c r="D2701" i="2"/>
  <c r="E2774" i="2"/>
  <c r="K2781" i="2"/>
  <c r="I2744" i="2"/>
  <c r="H2795" i="2"/>
  <c r="T2769" i="2"/>
  <c r="G2734" i="2"/>
  <c r="S2766" i="2"/>
  <c r="L2733" i="2"/>
  <c r="R2763" i="2"/>
  <c r="Q2732" i="2"/>
  <c r="Q2760" i="2"/>
  <c r="V2731" i="2"/>
  <c r="W2711" i="2"/>
  <c r="Q2772" i="2"/>
  <c r="M2755" i="2"/>
  <c r="S2720" i="2"/>
  <c r="W2698" i="2"/>
  <c r="L2798" i="2"/>
  <c r="K2816" i="2"/>
  <c r="S2743" i="2"/>
  <c r="F2747" i="2"/>
  <c r="W2718" i="2"/>
  <c r="K2746" i="2"/>
  <c r="G2718" i="2"/>
  <c r="P2745" i="2"/>
  <c r="L2717" i="2"/>
  <c r="U2744" i="2"/>
  <c r="Q2716" i="2"/>
  <c r="N2687" i="2"/>
  <c r="U2718" i="2"/>
  <c r="V2717" i="2"/>
  <c r="N2705" i="2"/>
  <c r="R2683" i="2"/>
  <c r="O2784" i="2"/>
  <c r="F2772" i="2"/>
  <c r="E2726" i="2"/>
  <c r="J2775" i="2"/>
  <c r="J2725" i="2"/>
  <c r="H2769" i="2"/>
  <c r="O2724" i="2"/>
  <c r="F2763" i="2"/>
  <c r="F2802" i="2"/>
  <c r="F2788" i="2"/>
  <c r="L2804" i="2"/>
  <c r="F2783" i="2"/>
  <c r="O2790" i="2"/>
  <c r="F2801" i="2"/>
  <c r="D2746" i="2"/>
  <c r="N2767" i="2"/>
  <c r="L2771" i="2"/>
  <c r="I2771" i="2"/>
  <c r="D2770" i="2"/>
  <c r="N2760" i="2"/>
  <c r="G2763" i="2"/>
  <c r="G2770" i="2"/>
  <c r="O2762" i="2"/>
  <c r="H2792" i="2"/>
  <c r="G2788" i="2"/>
  <c r="F2761" i="2"/>
  <c r="J2745" i="2"/>
  <c r="D2751" i="2"/>
  <c r="N2771" i="2"/>
  <c r="H2747" i="2"/>
  <c r="S2813" i="2"/>
  <c r="L2743" i="2"/>
  <c r="D2787" i="2"/>
  <c r="U2774" i="2"/>
  <c r="K2706" i="2"/>
  <c r="R2707" i="2"/>
  <c r="K2721" i="2"/>
  <c r="W2706" i="2"/>
  <c r="P2720" i="2"/>
  <c r="G2706" i="2"/>
  <c r="U2719" i="2"/>
  <c r="L2705" i="2"/>
  <c r="E2719" i="2"/>
  <c r="J2690" i="2"/>
  <c r="D2685" i="2"/>
  <c r="E2684" i="2"/>
  <c r="L2748" i="2"/>
  <c r="N2686" i="2"/>
  <c r="T2783" i="2"/>
  <c r="G2744" i="2"/>
  <c r="O2741" i="2"/>
  <c r="P2740" i="2"/>
  <c r="T2740" i="2"/>
  <c r="U2739" i="2"/>
  <c r="D2740" i="2"/>
  <c r="E2739" i="2"/>
  <c r="I2739" i="2"/>
  <c r="J2738" i="2"/>
  <c r="U2703" i="2"/>
  <c r="E2675" i="2"/>
  <c r="T2669" i="2"/>
  <c r="U2668" i="2"/>
  <c r="D2700" i="2"/>
  <c r="J2807" i="2"/>
  <c r="G2726" i="2"/>
  <c r="S2744" i="2"/>
  <c r="I2756" i="2"/>
  <c r="E2728" i="2"/>
  <c r="N2755" i="2"/>
  <c r="J2727" i="2"/>
  <c r="S2754" i="2"/>
  <c r="O2726" i="2"/>
  <c r="J2817" i="2"/>
  <c r="H2766" i="2"/>
  <c r="H2767" i="2"/>
  <c r="I2750" i="2"/>
  <c r="I2761" i="2"/>
  <c r="K2759" i="2"/>
  <c r="K2756" i="2"/>
  <c r="S2745" i="2"/>
  <c r="K2741" i="2"/>
  <c r="V2671" i="2"/>
  <c r="Q2753" i="2"/>
  <c r="Q2727" i="2"/>
  <c r="F2726" i="2"/>
  <c r="Q2721" i="2"/>
  <c r="M2764" i="2"/>
  <c r="F2715" i="2"/>
  <c r="T2742" i="2"/>
  <c r="C2738" i="2"/>
  <c r="J2736" i="2"/>
  <c r="U2715" i="2"/>
  <c r="D2712" i="2"/>
  <c r="S2732" i="2"/>
  <c r="E2721" i="2"/>
  <c r="V2763" i="2"/>
  <c r="R2734" i="2"/>
  <c r="G2733" i="2"/>
  <c r="R2663" i="2"/>
  <c r="R2744" i="2"/>
  <c r="L2777" i="2"/>
  <c r="D2721" i="2"/>
  <c r="D2689" i="2"/>
  <c r="K2720" i="2"/>
  <c r="L2719" i="2"/>
  <c r="D2707" i="2"/>
  <c r="H2685" i="2"/>
  <c r="T2693" i="2"/>
  <c r="V2815" i="2"/>
  <c r="I2776" i="2"/>
  <c r="J2763" i="2"/>
  <c r="D2779" i="2"/>
  <c r="F2752" i="2"/>
  <c r="N2744" i="2"/>
  <c r="K2748" i="2"/>
  <c r="O2768" i="2"/>
  <c r="M2762" i="2"/>
  <c r="Q2671" i="2"/>
  <c r="T2759" i="2"/>
  <c r="C2744" i="2"/>
  <c r="H2791" i="2"/>
  <c r="V2716" i="2"/>
  <c r="I2700" i="2"/>
  <c r="N2714" i="2"/>
  <c r="C2754" i="2"/>
  <c r="T2725" i="2"/>
  <c r="Q2696" i="2"/>
  <c r="D2735" i="2"/>
  <c r="F2733" i="2"/>
  <c r="Q2714" i="2"/>
  <c r="U2692" i="2"/>
  <c r="Q2771" i="2"/>
  <c r="M2734" i="2"/>
  <c r="W2732" i="2"/>
  <c r="N2754" i="2"/>
  <c r="Q2799" i="2"/>
  <c r="F2792" i="2"/>
  <c r="U2781" i="2"/>
  <c r="R2815" i="2"/>
  <c r="S2790" i="2"/>
  <c r="L2816" i="2"/>
  <c r="H2804" i="2"/>
  <c r="D2784" i="2"/>
  <c r="F2810" i="2"/>
  <c r="W2799" i="2"/>
  <c r="K2808" i="2"/>
  <c r="M2813" i="2"/>
  <c r="J2770" i="2"/>
  <c r="E2776" i="2"/>
  <c r="P2775" i="2"/>
  <c r="C2768" i="2"/>
  <c r="V2781" i="2"/>
  <c r="V2801" i="2"/>
  <c r="K2800" i="2"/>
  <c r="T2815" i="2"/>
  <c r="I2762" i="2"/>
  <c r="T2803" i="2"/>
  <c r="W2744" i="2"/>
  <c r="W2766" i="2"/>
  <c r="P2792" i="2"/>
  <c r="F2769" i="2"/>
  <c r="O2819" i="2"/>
  <c r="M2795" i="2"/>
  <c r="U2775" i="2"/>
  <c r="F2762" i="2"/>
  <c r="G2751" i="2"/>
  <c r="P2756" i="2"/>
  <c r="O2753" i="2"/>
  <c r="V2748" i="2"/>
  <c r="N2750" i="2"/>
  <c r="D2703" i="2"/>
  <c r="H2740" i="2"/>
  <c r="L2736" i="2"/>
  <c r="W2753" i="2"/>
  <c r="D2756" i="2"/>
  <c r="N2787" i="2"/>
  <c r="K2738" i="2"/>
  <c r="N2775" i="2"/>
  <c r="J2759" i="2"/>
  <c r="F2731" i="2"/>
  <c r="O2758" i="2"/>
  <c r="K2730" i="2"/>
  <c r="T2757" i="2"/>
  <c r="P2729" i="2"/>
  <c r="D2757" i="2"/>
  <c r="U2728" i="2"/>
  <c r="T2699" i="2"/>
  <c r="F2741" i="2"/>
  <c r="H2739" i="2"/>
  <c r="R2717" i="2"/>
  <c r="V2695" i="2"/>
  <c r="H2781" i="2"/>
  <c r="S2788" i="2"/>
  <c r="I2738" i="2"/>
  <c r="S2771" i="2"/>
  <c r="N2737" i="2"/>
  <c r="R2768" i="2"/>
  <c r="S2736" i="2"/>
  <c r="Q2765" i="2"/>
  <c r="M2796" i="2"/>
  <c r="N2818" i="2"/>
  <c r="H2772" i="2"/>
  <c r="T2780" i="2"/>
  <c r="L2784" i="2"/>
  <c r="T2770" i="2"/>
  <c r="U2754" i="2"/>
  <c r="H2782" i="2"/>
  <c r="I2767" i="2"/>
  <c r="R2810" i="2"/>
  <c r="V2769" i="2"/>
  <c r="R2772" i="2"/>
  <c r="D2763" i="2"/>
  <c r="V2768" i="2"/>
  <c r="I2782" i="2"/>
  <c r="P2803" i="2"/>
  <c r="P2814" i="2"/>
  <c r="K2761" i="2"/>
  <c r="W2763" i="2"/>
  <c r="H2773" i="2"/>
  <c r="R2771" i="2"/>
  <c r="L2759" i="2"/>
  <c r="M2754" i="2"/>
  <c r="P2755" i="2"/>
  <c r="S2767" i="2"/>
  <c r="J2757" i="2"/>
  <c r="O2718" i="2"/>
  <c r="V2719" i="2"/>
  <c r="O2733" i="2"/>
  <c r="F2719" i="2"/>
  <c r="T2732" i="2"/>
  <c r="K2718" i="2"/>
  <c r="D2732" i="2"/>
  <c r="P2717" i="2"/>
  <c r="I2731" i="2"/>
  <c r="C2711" i="2"/>
  <c r="H2697" i="2"/>
  <c r="I2696" i="2"/>
  <c r="J2663" i="2"/>
  <c r="R2698" i="2"/>
  <c r="P2787" i="2"/>
  <c r="Q2762" i="2"/>
  <c r="J2703" i="2"/>
  <c r="Q2704" i="2"/>
  <c r="J2718" i="2"/>
  <c r="V2703" i="2"/>
  <c r="O2717" i="2"/>
  <c r="F2703" i="2"/>
  <c r="T2716" i="2"/>
  <c r="K2702" i="2"/>
  <c r="D2716" i="2"/>
  <c r="I2687" i="2"/>
  <c r="C2682" i="2"/>
  <c r="D2681" i="2"/>
  <c r="H2712" i="2"/>
  <c r="C2785" i="2"/>
  <c r="I2745" i="2"/>
  <c r="V2791" i="2"/>
  <c r="E2745" i="2"/>
  <c r="I2740" i="2"/>
  <c r="J2744" i="2"/>
  <c r="N2739" i="2"/>
  <c r="O2743" i="2"/>
  <c r="S2738" i="2"/>
  <c r="W2781" i="2"/>
  <c r="P2800" i="2"/>
  <c r="M2787" i="2"/>
  <c r="U2773" i="2"/>
  <c r="S2798" i="2"/>
  <c r="L2795" i="2"/>
  <c r="R2776" i="2"/>
  <c r="E2769" i="2"/>
  <c r="D2818" i="2"/>
  <c r="V2770" i="2"/>
  <c r="O2761" i="2"/>
  <c r="C2764" i="2"/>
  <c r="F2793" i="2"/>
  <c r="I2773" i="2"/>
  <c r="M2778" i="2"/>
  <c r="M2771" i="2"/>
  <c r="W2819" i="2"/>
  <c r="J2749" i="2"/>
  <c r="M2770" i="2"/>
  <c r="R2741" i="2"/>
  <c r="Q2766" i="2"/>
  <c r="L2758" i="2"/>
  <c r="U2762" i="2"/>
  <c r="V2752" i="2"/>
  <c r="P2705" i="2"/>
  <c r="J2790" i="2"/>
  <c r="D2708" i="2"/>
  <c r="E2707" i="2"/>
  <c r="I2707" i="2"/>
  <c r="J2706" i="2"/>
  <c r="N2706" i="2"/>
  <c r="H2807" i="2"/>
  <c r="S2705" i="2"/>
  <c r="L2794" i="2"/>
  <c r="J2766" i="2"/>
  <c r="F2689" i="2"/>
  <c r="T2684" i="2"/>
  <c r="U2683" i="2"/>
  <c r="M2758" i="2"/>
  <c r="J2685" i="2"/>
  <c r="O2774" i="2"/>
  <c r="I2785" i="2"/>
  <c r="J2741" i="2"/>
  <c r="Q2817" i="2"/>
  <c r="O2740" i="2"/>
  <c r="F2789" i="2"/>
  <c r="T2739" i="2"/>
  <c r="W2777" i="2"/>
  <c r="D2739" i="2"/>
  <c r="T2774" i="2"/>
  <c r="M2744" i="2"/>
  <c r="V2673" i="2"/>
  <c r="O2669" i="2"/>
  <c r="P2668" i="2"/>
  <c r="N2735" i="2"/>
  <c r="V2816" i="2"/>
  <c r="J2786" i="2"/>
  <c r="M2712" i="2"/>
  <c r="T2713" i="2"/>
  <c r="M2727" i="2"/>
  <c r="D2713" i="2"/>
  <c r="R2726" i="2"/>
  <c r="I2712" i="2"/>
  <c r="W2725" i="2"/>
  <c r="G2802" i="2"/>
  <c r="W2726" i="2"/>
  <c r="L2751" i="2"/>
  <c r="K2762" i="2"/>
  <c r="L2793" i="2"/>
  <c r="E2787" i="2"/>
  <c r="P2752" i="2"/>
  <c r="N2746" i="2"/>
  <c r="V2706" i="2"/>
  <c r="E2703" i="2"/>
  <c r="K2729" i="2"/>
  <c r="U2727" i="2"/>
  <c r="G2740" i="2"/>
  <c r="K2736" i="2"/>
  <c r="E2744" i="2"/>
  <c r="O2742" i="2"/>
  <c r="R2723" i="2"/>
  <c r="K2737" i="2"/>
  <c r="K2735" i="2"/>
  <c r="H2714" i="2"/>
  <c r="L2710" i="2"/>
  <c r="R2687" i="2"/>
  <c r="F2720" i="2"/>
  <c r="F2773" i="2"/>
  <c r="S2733" i="2"/>
  <c r="H2732" i="2"/>
  <c r="J2758" i="2"/>
  <c r="E2718" i="2"/>
  <c r="F2717" i="2"/>
  <c r="S2704" i="2"/>
  <c r="T2688" i="2"/>
  <c r="N2683" i="2"/>
  <c r="O2682" i="2"/>
  <c r="G2719" i="2"/>
  <c r="C2685" i="2"/>
  <c r="K2661" i="2"/>
  <c r="P2793" i="2"/>
  <c r="K2789" i="2"/>
  <c r="N2773" i="2"/>
  <c r="V2765" i="2"/>
  <c r="K2799" i="2"/>
  <c r="G2775" i="2"/>
  <c r="Q2751" i="2"/>
  <c r="O2745" i="2"/>
  <c r="Q2756" i="2"/>
  <c r="Q2786" i="2"/>
  <c r="F2729" i="2"/>
  <c r="P2727" i="2"/>
  <c r="J2780" i="2"/>
  <c r="H2764" i="2"/>
  <c r="P2802" i="2"/>
  <c r="K2788" i="2"/>
  <c r="K2797" i="2"/>
  <c r="H2802" i="2"/>
  <c r="L2810" i="2"/>
  <c r="L2818" i="2"/>
  <c r="G2808" i="2"/>
  <c r="G2799" i="2"/>
  <c r="U2792" i="2"/>
  <c r="V2806" i="2"/>
  <c r="W2787" i="2"/>
  <c r="T2792" i="2"/>
  <c r="K2793" i="2"/>
  <c r="K2806" i="2"/>
  <c r="I2802" i="2"/>
  <c r="I2758" i="2"/>
  <c r="G2804" i="2"/>
  <c r="G2814" i="2"/>
  <c r="I2792" i="2"/>
  <c r="N2817" i="2"/>
  <c r="D2801" i="2"/>
  <c r="P2781" i="2"/>
  <c r="Q2815" i="2"/>
  <c r="W2790" i="2"/>
  <c r="I2732" i="2"/>
  <c r="M2797" i="2"/>
  <c r="D2717" i="2"/>
  <c r="C2804" i="2"/>
  <c r="R2759" i="2"/>
  <c r="Q2730" i="2"/>
  <c r="E2751" i="2"/>
  <c r="T2729" i="2"/>
  <c r="D2748" i="2"/>
  <c r="G2666" i="2"/>
  <c r="P2738" i="2"/>
  <c r="T2734" i="2"/>
  <c r="E2696" i="2"/>
  <c r="H2752" i="2"/>
  <c r="K2791" i="2"/>
  <c r="F2796" i="2"/>
  <c r="N2715" i="2"/>
  <c r="U2716" i="2"/>
  <c r="N2730" i="2"/>
  <c r="E2716" i="2"/>
  <c r="S2729" i="2"/>
  <c r="J2715" i="2"/>
  <c r="C2729" i="2"/>
  <c r="O2714" i="2"/>
  <c r="H2728" i="2"/>
  <c r="N2699" i="2"/>
  <c r="G2694" i="2"/>
  <c r="H2693" i="2"/>
  <c r="S2699" i="2"/>
  <c r="G2805" i="2"/>
  <c r="U2760" i="2"/>
  <c r="O2752" i="2"/>
  <c r="O2759" i="2"/>
  <c r="G2746" i="2"/>
  <c r="D2758" i="2"/>
  <c r="L2745" i="2"/>
  <c r="N2756" i="2"/>
  <c r="Q2744" i="2"/>
  <c r="U2815" i="2"/>
  <c r="J2794" i="2"/>
  <c r="R2808" i="2"/>
  <c r="S2781" i="2"/>
  <c r="V2783" i="2"/>
  <c r="V2785" i="2"/>
  <c r="G2793" i="2"/>
  <c r="R2774" i="2"/>
  <c r="C2813" i="2"/>
  <c r="S2748" i="2"/>
  <c r="C2781" i="2"/>
  <c r="F2807" i="2"/>
  <c r="H2776" i="2"/>
  <c r="M2779" i="2"/>
  <c r="P2768" i="2"/>
  <c r="C2802" i="2"/>
  <c r="H2789" i="2"/>
  <c r="M2782" i="2"/>
  <c r="E2797" i="2"/>
  <c r="J2776" i="2"/>
  <c r="W2780" i="2"/>
  <c r="E2761" i="2"/>
  <c r="D2775" i="2"/>
  <c r="P2751" i="2"/>
  <c r="E2748" i="2"/>
  <c r="D2765" i="2"/>
  <c r="H2720" i="2"/>
  <c r="I2719" i="2"/>
  <c r="M2719" i="2"/>
  <c r="N2718" i="2"/>
  <c r="R2718" i="2"/>
  <c r="S2717" i="2"/>
  <c r="W2717" i="2"/>
  <c r="C2717" i="2"/>
  <c r="D2731" i="2"/>
  <c r="H2706" i="2"/>
  <c r="C2697" i="2"/>
  <c r="D2696" i="2"/>
  <c r="H2727" i="2"/>
  <c r="N2697" i="2"/>
  <c r="G2777" i="2"/>
  <c r="U2787" i="2"/>
  <c r="C2705" i="2"/>
  <c r="J2804" i="2"/>
  <c r="H2704" i="2"/>
  <c r="T2785" i="2"/>
  <c r="M2703" i="2"/>
  <c r="K2803" i="2"/>
  <c r="R2702" i="2"/>
  <c r="O2785" i="2"/>
  <c r="V2764" i="2"/>
  <c r="E2686" i="2"/>
  <c r="S2681" i="2"/>
  <c r="T2680" i="2"/>
  <c r="P2754" i="2"/>
  <c r="R2782" i="2"/>
  <c r="W2775" i="2"/>
  <c r="Q2724" i="2"/>
  <c r="C2726" i="2"/>
  <c r="Q2739" i="2"/>
  <c r="H2725" i="2"/>
  <c r="V2738" i="2"/>
  <c r="M2724" i="2"/>
  <c r="F2738" i="2"/>
  <c r="U2810" i="2"/>
  <c r="W2795" i="2"/>
  <c r="W2786" i="2"/>
  <c r="G2809" i="2"/>
  <c r="W2755" i="2"/>
  <c r="P2776" i="2"/>
  <c r="P2798" i="2"/>
  <c r="C2758" i="2"/>
  <c r="P2767" i="2"/>
  <c r="G2754" i="2"/>
  <c r="M2761" i="2"/>
  <c r="K2750" i="2"/>
  <c r="C2774" i="2"/>
  <c r="O2746" i="2"/>
  <c r="Q2759" i="2"/>
  <c r="G2811" i="2"/>
  <c r="L2765" i="2"/>
  <c r="E2755" i="2"/>
  <c r="C2752" i="2"/>
  <c r="L2741" i="2"/>
  <c r="I2810" i="2"/>
  <c r="P2737" i="2"/>
  <c r="U2789" i="2"/>
  <c r="T2733" i="2"/>
  <c r="G2780" i="2"/>
  <c r="D2771" i="2"/>
  <c r="H2763" i="2"/>
  <c r="Q2778" i="2"/>
  <c r="G2760" i="2"/>
  <c r="F2775" i="2"/>
  <c r="G2792" i="2"/>
  <c r="E2772" i="2"/>
  <c r="C2780" i="2"/>
  <c r="D2769" i="2"/>
  <c r="V2733" i="2"/>
  <c r="F2785" i="2"/>
  <c r="I2757" i="2"/>
  <c r="I2736" i="2"/>
  <c r="I2726" i="2"/>
  <c r="Q2808" i="2"/>
  <c r="C2748" i="2"/>
  <c r="Q2758" i="2"/>
  <c r="Q2801" i="2"/>
  <c r="H2749" i="2"/>
  <c r="U2776" i="2"/>
  <c r="M2748" i="2"/>
  <c r="S2770" i="2"/>
  <c r="R2747" i="2"/>
  <c r="Q2764" i="2"/>
  <c r="W2746" i="2"/>
  <c r="G2712" i="2"/>
  <c r="Q2728" i="2"/>
  <c r="U2724" i="2"/>
  <c r="M2723" i="2"/>
  <c r="K2708" i="2"/>
  <c r="C2730" i="2"/>
  <c r="K2722" i="2"/>
  <c r="F2714" i="2"/>
  <c r="G2713" i="2"/>
  <c r="K2713" i="2"/>
  <c r="L2712" i="2"/>
  <c r="P2712" i="2"/>
  <c r="Q2711" i="2"/>
  <c r="U2711" i="2"/>
  <c r="S2819" i="2"/>
  <c r="J2719" i="2"/>
  <c r="E2754" i="2"/>
  <c r="U2802" i="2"/>
  <c r="D2773" i="2"/>
  <c r="O2755" i="2"/>
  <c r="T2748" i="2"/>
  <c r="R2742" i="2"/>
  <c r="F2678" i="2"/>
  <c r="J2674" i="2"/>
  <c r="L2728" i="2"/>
  <c r="V2726" i="2"/>
  <c r="K2745" i="2"/>
  <c r="N2786" i="2"/>
  <c r="V2715" i="2"/>
  <c r="K2714" i="2"/>
  <c r="E2723" i="2"/>
  <c r="F2737" i="2"/>
  <c r="P2730" i="2"/>
  <c r="I2713" i="2"/>
  <c r="M2709" i="2"/>
  <c r="J2733" i="2"/>
  <c r="K2715" i="2"/>
  <c r="M2735" i="2"/>
  <c r="W2733" i="2"/>
  <c r="I2759" i="2"/>
  <c r="D2744" i="2"/>
  <c r="H2681" i="2"/>
  <c r="I2680" i="2"/>
  <c r="S2764" i="2"/>
  <c r="P2687" i="2"/>
  <c r="I2683" i="2"/>
  <c r="J2682" i="2"/>
  <c r="E2742" i="2"/>
  <c r="U2688" i="2"/>
  <c r="O2660" i="2"/>
  <c r="G2755" i="2"/>
  <c r="T2772" i="2"/>
  <c r="T2747" i="2"/>
  <c r="M2793" i="2"/>
  <c r="J2748" i="2"/>
  <c r="Q2776" i="2"/>
  <c r="P2771" i="2"/>
  <c r="N2765" i="2"/>
  <c r="W2676" i="2"/>
  <c r="F2673" i="2"/>
  <c r="N2745" i="2"/>
  <c r="M2742" i="2"/>
  <c r="N2704" i="2"/>
  <c r="V2767" i="2"/>
  <c r="I2715" i="2"/>
  <c r="S2713" i="2"/>
  <c r="V2710" i="2"/>
  <c r="W2724" i="2"/>
  <c r="H2695" i="2"/>
  <c r="V2690" i="2"/>
  <c r="W2689" i="2"/>
  <c r="F2721" i="2"/>
  <c r="L2691" i="2"/>
  <c r="H2735" i="2"/>
  <c r="R2733" i="2"/>
  <c r="K2726" i="2"/>
  <c r="F2711" i="2"/>
  <c r="E2793" i="2"/>
  <c r="I2789" i="2"/>
  <c r="T2796" i="2"/>
  <c r="N2766" i="2"/>
  <c r="W2818" i="2"/>
  <c r="L2802" i="2"/>
  <c r="S2773" i="2"/>
  <c r="H2768" i="2"/>
  <c r="F2730" i="2"/>
  <c r="Q2737" i="2"/>
  <c r="V2742" i="2"/>
  <c r="L2716" i="2"/>
  <c r="V2714" i="2"/>
  <c r="W2693" i="2"/>
  <c r="F2790" i="2"/>
  <c r="L2737" i="2"/>
  <c r="J2810" i="2"/>
  <c r="P2774" i="2"/>
  <c r="T2816" i="2"/>
  <c r="U2769" i="2"/>
  <c r="J2785" i="2"/>
  <c r="T2761" i="2"/>
  <c r="U2764" i="2"/>
  <c r="N2816" i="2"/>
  <c r="O2815" i="2"/>
  <c r="T2695" i="2"/>
  <c r="M2766" i="2"/>
  <c r="N2772" i="2"/>
  <c r="L2766" i="2"/>
  <c r="W2743" i="2"/>
  <c r="K2784" i="2"/>
  <c r="P2724" i="2"/>
  <c r="U2771" i="2"/>
  <c r="C2795" i="2"/>
  <c r="G2773" i="2"/>
  <c r="J2789" i="2"/>
  <c r="E2762" i="2"/>
  <c r="R2765" i="2"/>
  <c r="T2701" i="2"/>
  <c r="L2749" i="2"/>
  <c r="V2747" i="2"/>
  <c r="W2720" i="2"/>
  <c r="R2756" i="2"/>
  <c r="M2740" i="2"/>
  <c r="W2738" i="2"/>
  <c r="R2705" i="2"/>
  <c r="F2781" i="2"/>
  <c r="L2746" i="2"/>
  <c r="N2819" i="2"/>
  <c r="G2778" i="2"/>
  <c r="U2672" i="2"/>
  <c r="M2725" i="2"/>
  <c r="G2759" i="2"/>
  <c r="N2785" i="2"/>
  <c r="C2733" i="2"/>
  <c r="D2680" i="2"/>
  <c r="G2730" i="2"/>
  <c r="O2789" i="2"/>
  <c r="N2781" i="2"/>
  <c r="P2672" i="2"/>
  <c r="C2702" i="2"/>
  <c r="P2701" i="2"/>
  <c r="N2711" i="2"/>
  <c r="L2696" i="2"/>
  <c r="G2690" i="2"/>
  <c r="P2692" i="2"/>
  <c r="L2769" i="2"/>
  <c r="I2741" i="2"/>
  <c r="D2669" i="2"/>
  <c r="E2668" i="2"/>
  <c r="O2750" i="2"/>
  <c r="L2675" i="2"/>
  <c r="E2671" i="2"/>
  <c r="K2817" i="2"/>
  <c r="L2809" i="2"/>
  <c r="D2752" i="2"/>
  <c r="U2807" i="2"/>
  <c r="H2729" i="2"/>
  <c r="W2805" i="2"/>
  <c r="I2752" i="2"/>
  <c r="S2750" i="2"/>
  <c r="U2740" i="2"/>
  <c r="H2801" i="2"/>
  <c r="M2747" i="2"/>
  <c r="W2741" i="2"/>
  <c r="D2728" i="2"/>
  <c r="V2793" i="2"/>
  <c r="G2701" i="2"/>
  <c r="Q2699" i="2"/>
  <c r="R2762" i="2"/>
  <c r="P2761" i="2"/>
  <c r="D2683" i="2"/>
  <c r="R2678" i="2"/>
  <c r="S2677" i="2"/>
  <c r="T2810" i="2"/>
  <c r="H2679" i="2"/>
  <c r="H2754" i="2"/>
  <c r="R2752" i="2"/>
  <c r="E2706" i="2"/>
  <c r="I2702" i="2"/>
  <c r="L2722" i="2"/>
  <c r="P2718" i="2"/>
  <c r="E2708" i="2"/>
  <c r="V2728" i="2"/>
  <c r="T2726" i="2"/>
  <c r="C2723" i="2"/>
  <c r="C2741" i="2"/>
  <c r="C2771" i="2"/>
  <c r="I2819" i="2"/>
  <c r="S2785" i="2"/>
  <c r="G2768" i="2"/>
  <c r="S2768" i="2"/>
  <c r="H2762" i="2"/>
  <c r="J2778" i="2"/>
  <c r="S2756" i="2"/>
  <c r="H2748" i="2"/>
  <c r="J2742" i="2"/>
  <c r="S2708" i="2"/>
  <c r="P2763" i="2"/>
  <c r="I2728" i="2"/>
  <c r="S2726" i="2"/>
  <c r="P2722" i="2"/>
  <c r="G2771" i="2"/>
  <c r="P2757" i="2"/>
  <c r="C2755" i="2"/>
  <c r="V2743" i="2"/>
  <c r="F2709" i="2"/>
  <c r="M2716" i="2"/>
  <c r="Q2712" i="2"/>
  <c r="I2711" i="2"/>
  <c r="J2705" i="2"/>
  <c r="J2818" i="2"/>
  <c r="Q2700" i="2"/>
  <c r="L2773" i="2"/>
  <c r="O2700" i="2"/>
  <c r="Q2685" i="2"/>
  <c r="C2692" i="2"/>
  <c r="K2774" i="2"/>
  <c r="U2705" i="2"/>
  <c r="V2750" i="2"/>
  <c r="S2694" i="2"/>
  <c r="G2697" i="2"/>
  <c r="J2636" i="2"/>
  <c r="R2550" i="2"/>
  <c r="N2709" i="2"/>
  <c r="H2812" i="2"/>
  <c r="H2737" i="2"/>
  <c r="R2735" i="2"/>
  <c r="T2704" i="2"/>
  <c r="G2676" i="2"/>
  <c r="M2705" i="2"/>
  <c r="T2767" i="2"/>
  <c r="U2743" i="2"/>
  <c r="W2721" i="2"/>
  <c r="F2718" i="2"/>
  <c r="T2735" i="2"/>
  <c r="G2727" i="2"/>
  <c r="S2702" i="2"/>
  <c r="I2633" i="2"/>
  <c r="Q2547" i="2"/>
  <c r="L2709" i="2"/>
  <c r="Q2723" i="2"/>
  <c r="F2722" i="2"/>
  <c r="I2675" i="2"/>
  <c r="J2687" i="2"/>
  <c r="K2686" i="2"/>
  <c r="L2723" i="2"/>
  <c r="R2693" i="2"/>
  <c r="K2689" i="2"/>
  <c r="L2688" i="2"/>
  <c r="R2794" i="2"/>
  <c r="J2701" i="2"/>
  <c r="T2674" i="2"/>
  <c r="G2638" i="2"/>
  <c r="I2709" i="2"/>
  <c r="V2650" i="2"/>
  <c r="O2710" i="2"/>
  <c r="O2732" i="2"/>
  <c r="S2728" i="2"/>
  <c r="N2638" i="2"/>
  <c r="T2698" i="2"/>
  <c r="G2691" i="2"/>
  <c r="O2683" i="2"/>
  <c r="I2706" i="2"/>
  <c r="L2657" i="2"/>
  <c r="N2655" i="2"/>
  <c r="P2653" i="2"/>
  <c r="P2691" i="2"/>
  <c r="O2606" i="2"/>
  <c r="I2690" i="2"/>
  <c r="P2605" i="2"/>
  <c r="C2707" i="2"/>
  <c r="N2611" i="2"/>
  <c r="U2751" i="2"/>
  <c r="T2707" i="2"/>
  <c r="G2669" i="2"/>
  <c r="E2665" i="2"/>
  <c r="O2635" i="2"/>
  <c r="W2549" i="2"/>
  <c r="P2634" i="2"/>
  <c r="N2726" i="2"/>
  <c r="S2631" i="2"/>
  <c r="F2546" i="2"/>
  <c r="T2630" i="2"/>
  <c r="O2729" i="2"/>
  <c r="Q2687" i="2"/>
  <c r="N2587" i="2"/>
  <c r="W2664" i="2"/>
  <c r="M2672" i="2"/>
  <c r="S2763" i="2"/>
  <c r="G2722" i="2"/>
  <c r="Q2720" i="2"/>
  <c r="J2699" i="2"/>
  <c r="N2733" i="2"/>
  <c r="P2731" i="2"/>
  <c r="V2713" i="2"/>
  <c r="W2697" i="2"/>
  <c r="Q2692" i="2"/>
  <c r="R2691" i="2"/>
  <c r="O2693" i="2"/>
  <c r="F2694" i="2"/>
  <c r="P2710" i="2"/>
  <c r="M2584" i="2"/>
  <c r="E2697" i="2"/>
  <c r="F2710" i="2"/>
  <c r="P2708" i="2"/>
  <c r="G2692" i="2"/>
  <c r="I2671" i="2"/>
  <c r="V2674" i="2"/>
  <c r="W2673" i="2"/>
  <c r="T2719" i="2"/>
  <c r="U2752" i="2"/>
  <c r="D2749" i="2"/>
  <c r="T2705" i="2"/>
  <c r="C2716" i="2"/>
  <c r="N2663" i="2"/>
  <c r="P2654" i="2"/>
  <c r="C2569" i="2"/>
  <c r="O2696" i="2"/>
  <c r="M2638" i="2"/>
  <c r="P2677" i="2"/>
  <c r="L2670" i="2"/>
  <c r="L2704" i="2"/>
  <c r="P2684" i="2"/>
  <c r="P2577" i="2"/>
  <c r="E2663" i="2"/>
  <c r="Q2576" i="2"/>
  <c r="I2659" i="2"/>
  <c r="T2573" i="2"/>
  <c r="J2658" i="2"/>
  <c r="N2719" i="2"/>
  <c r="E2631" i="2"/>
  <c r="P2545" i="2"/>
  <c r="F2630" i="2"/>
  <c r="W2610" i="2"/>
  <c r="D2636" i="2"/>
  <c r="U2757" i="2"/>
  <c r="N2801" i="2"/>
  <c r="R2803" i="2"/>
  <c r="I2774" i="2"/>
  <c r="R2791" i="2"/>
  <c r="M2773" i="2"/>
  <c r="H2760" i="2"/>
  <c r="F2764" i="2"/>
  <c r="G2729" i="2"/>
  <c r="U2733" i="2"/>
  <c r="O2734" i="2"/>
  <c r="M2715" i="2"/>
  <c r="W2713" i="2"/>
  <c r="C2693" i="2"/>
  <c r="W2745" i="2"/>
  <c r="W2702" i="2"/>
  <c r="P2796" i="2"/>
  <c r="Q2804" i="2"/>
  <c r="C2743" i="2"/>
  <c r="S2758" i="2"/>
  <c r="F2751" i="2"/>
  <c r="N2743" i="2"/>
  <c r="N2753" i="2"/>
  <c r="N2752" i="2"/>
  <c r="C2751" i="2"/>
  <c r="S2755" i="2"/>
  <c r="N2808" i="2"/>
  <c r="W2762" i="2"/>
  <c r="F2759" i="2"/>
  <c r="E2724" i="2"/>
  <c r="J2726" i="2"/>
  <c r="T2724" i="2"/>
  <c r="G2764" i="2"/>
  <c r="Q2775" i="2"/>
  <c r="R2711" i="2"/>
  <c r="E2704" i="2"/>
  <c r="H2784" i="2"/>
  <c r="J2808" i="2"/>
  <c r="U2749" i="2"/>
  <c r="H2721" i="2"/>
  <c r="R2719" i="2"/>
  <c r="O2708" i="2"/>
  <c r="S2742" i="2"/>
  <c r="C2706" i="2"/>
  <c r="M2704" i="2"/>
  <c r="U2721" i="2"/>
  <c r="M2763" i="2"/>
  <c r="P2791" i="2"/>
  <c r="W2752" i="2"/>
  <c r="H2783" i="2"/>
  <c r="H2743" i="2"/>
  <c r="H2775" i="2"/>
  <c r="W2737" i="2"/>
  <c r="R2722" i="2"/>
  <c r="C2669" i="2"/>
  <c r="U2730" i="2"/>
  <c r="H2723" i="2"/>
  <c r="J2793" i="2"/>
  <c r="S2774" i="2"/>
  <c r="L2767" i="2"/>
  <c r="R2720" i="2"/>
  <c r="U2700" i="2"/>
  <c r="V2744" i="2"/>
  <c r="N2782" i="2"/>
  <c r="K2754" i="2"/>
  <c r="U2761" i="2"/>
  <c r="H2759" i="2"/>
  <c r="O2727" i="2"/>
  <c r="T2668" i="2"/>
  <c r="U2667" i="2"/>
  <c r="R2713" i="2"/>
  <c r="S2734" i="2"/>
  <c r="F2809" i="2"/>
  <c r="I2804" i="2"/>
  <c r="F2749" i="2"/>
  <c r="H2751" i="2"/>
  <c r="C2760" i="2"/>
  <c r="L2806" i="2"/>
  <c r="D2761" i="2"/>
  <c r="V2745" i="2"/>
  <c r="U2742" i="2"/>
  <c r="D2737" i="2"/>
  <c r="F2760" i="2"/>
  <c r="K2747" i="2"/>
  <c r="U2745" i="2"/>
  <c r="H2724" i="2"/>
  <c r="U2766" i="2"/>
  <c r="W2773" i="2"/>
  <c r="I2760" i="2"/>
  <c r="E2756" i="2"/>
  <c r="R2721" i="2"/>
  <c r="W2758" i="2"/>
  <c r="F2755" i="2"/>
  <c r="V2711" i="2"/>
  <c r="N2717" i="2"/>
  <c r="M2803" i="2"/>
  <c r="F2743" i="2"/>
  <c r="S2807" i="2"/>
  <c r="I2704" i="2"/>
  <c r="I2682" i="2"/>
  <c r="Q2717" i="2"/>
  <c r="U2713" i="2"/>
  <c r="N2701" i="2"/>
  <c r="F2734" i="2"/>
  <c r="J2730" i="2"/>
  <c r="F2742" i="2"/>
  <c r="K2739" i="2"/>
  <c r="H2745" i="2"/>
  <c r="C2773" i="2"/>
  <c r="R2753" i="2"/>
  <c r="D2798" i="2"/>
  <c r="E2771" i="2"/>
  <c r="E2775" i="2"/>
  <c r="W2772" i="2"/>
  <c r="U2748" i="2"/>
  <c r="D2709" i="2"/>
  <c r="N2707" i="2"/>
  <c r="D2734" i="2"/>
  <c r="R2727" i="2"/>
  <c r="H2742" i="2"/>
  <c r="L2740" i="2"/>
  <c r="D2693" i="2"/>
  <c r="K2763" i="2"/>
  <c r="M2772" i="2"/>
  <c r="V2735" i="2"/>
  <c r="L2701" i="2"/>
  <c r="I2672" i="2"/>
  <c r="P2703" i="2"/>
  <c r="Q2702" i="2"/>
  <c r="Q2709" i="2"/>
  <c r="M2668" i="2"/>
  <c r="D2764" i="2"/>
  <c r="K2734" i="2"/>
  <c r="U2732" i="2"/>
  <c r="U2768" i="2"/>
  <c r="P2739" i="2"/>
  <c r="R2737" i="2"/>
  <c r="W2716" i="2"/>
  <c r="V2704" i="2"/>
  <c r="R2695" i="2"/>
  <c r="I2749" i="2"/>
  <c r="O2728" i="2"/>
  <c r="R2599" i="2"/>
  <c r="F2681" i="2"/>
  <c r="V2746" i="2"/>
  <c r="M2756" i="2"/>
  <c r="J2781" i="2"/>
  <c r="U2772" i="2"/>
  <c r="V2702" i="2"/>
  <c r="T2712" i="2"/>
  <c r="C2709" i="2"/>
  <c r="H2731" i="2"/>
  <c r="M2741" i="2"/>
  <c r="J2720" i="2"/>
  <c r="N2716" i="2"/>
  <c r="N2691" i="2"/>
  <c r="H2726" i="2"/>
  <c r="I2678" i="2"/>
  <c r="Q2596" i="2"/>
  <c r="F2677" i="2"/>
  <c r="S2710" i="2"/>
  <c r="H2709" i="2"/>
  <c r="K2693" i="2"/>
  <c r="Q2695" i="2"/>
  <c r="E2687" i="2"/>
  <c r="F2686" i="2"/>
  <c r="J2746" i="2"/>
  <c r="V2773" i="2"/>
  <c r="M2805" i="2"/>
  <c r="I2748" i="2"/>
  <c r="L2735" i="2"/>
  <c r="K2700" i="2"/>
  <c r="K2675" i="2"/>
  <c r="G2581" i="2"/>
  <c r="S2697" i="2"/>
  <c r="Q2650" i="2"/>
  <c r="E2759" i="2"/>
  <c r="J2712" i="2"/>
  <c r="R2706" i="2"/>
  <c r="M2722" i="2"/>
  <c r="T2589" i="2"/>
  <c r="C2668" i="2"/>
  <c r="U2588" i="2"/>
  <c r="R2750" i="2"/>
  <c r="C2586" i="2"/>
  <c r="T2722" i="2"/>
  <c r="P2671" i="2"/>
  <c r="I2643" i="2"/>
  <c r="T2557" i="2"/>
  <c r="J2642" i="2"/>
  <c r="O2647" i="2"/>
  <c r="H2648" i="2"/>
  <c r="S2562" i="2"/>
  <c r="W2674" i="2"/>
  <c r="U2691" i="2"/>
  <c r="D2688" i="2"/>
  <c r="W2735" i="2"/>
  <c r="W2598" i="2"/>
  <c r="G2680" i="2"/>
  <c r="C2598" i="2"/>
  <c r="K2676" i="2"/>
  <c r="F2595" i="2"/>
  <c r="D2675" i="2"/>
  <c r="Q2733" i="2"/>
  <c r="O2701" i="2"/>
  <c r="P2648" i="2"/>
  <c r="O2662" i="2"/>
  <c r="V2678" i="2"/>
  <c r="C2657" i="2"/>
  <c r="P2721" i="2"/>
  <c r="U2735" i="2"/>
  <c r="J2734" i="2"/>
  <c r="N2675" i="2"/>
  <c r="K2690" i="2"/>
  <c r="L2689" i="2"/>
  <c r="M2726" i="2"/>
  <c r="S2696" i="2"/>
  <c r="L2692" i="2"/>
  <c r="M2691" i="2"/>
  <c r="Q2722" i="2"/>
  <c r="N2713" i="2"/>
  <c r="C2687" i="2"/>
  <c r="K2650" i="2"/>
  <c r="T2717" i="2"/>
  <c r="J2710" i="2"/>
  <c r="T2708" i="2"/>
  <c r="U2687" i="2"/>
  <c r="R2743" i="2"/>
  <c r="V2758" i="2"/>
  <c r="K2753" i="2"/>
  <c r="W2682" i="2"/>
  <c r="I2714" i="2"/>
  <c r="J2713" i="2"/>
  <c r="W2700" i="2"/>
  <c r="F2679" i="2"/>
  <c r="S2711" i="2"/>
  <c r="C2618" i="2"/>
  <c r="N2674" i="2"/>
  <c r="R2767" i="2"/>
  <c r="G2774" i="2"/>
  <c r="H2696" i="2"/>
  <c r="J2697" i="2"/>
  <c r="D2627" i="2"/>
  <c r="U2647" i="2"/>
  <c r="F2626" i="2"/>
  <c r="V2661" i="2"/>
  <c r="S2682" i="2"/>
  <c r="D2659" i="2"/>
  <c r="J2622" i="2"/>
  <c r="E2658" i="2"/>
  <c r="R2715" i="2"/>
  <c r="U2630" i="2"/>
  <c r="F2594" i="2"/>
  <c r="V2629" i="2"/>
  <c r="M2717" i="2"/>
  <c r="T2819" i="2"/>
  <c r="F2791" i="2"/>
  <c r="L2817" i="2"/>
  <c r="T2771" i="2"/>
  <c r="E2785" i="2"/>
  <c r="I2794" i="2"/>
  <c r="O2786" i="2"/>
  <c r="L2750" i="2"/>
  <c r="E2747" i="2"/>
  <c r="L2739" i="2"/>
  <c r="G2717" i="2"/>
  <c r="Q2715" i="2"/>
  <c r="C2728" i="2"/>
  <c r="G2724" i="2"/>
  <c r="G2738" i="2"/>
  <c r="Q2736" i="2"/>
  <c r="N2796" i="2"/>
  <c r="E2757" i="2"/>
  <c r="Q2773" i="2"/>
  <c r="D2766" i="2"/>
  <c r="D2777" i="2"/>
  <c r="O2756" i="2"/>
  <c r="R2816" i="2"/>
  <c r="U2788" i="2"/>
  <c r="O2713" i="2"/>
  <c r="F2702" i="2"/>
  <c r="O2775" i="2"/>
  <c r="M2769" i="2"/>
  <c r="T2727" i="2"/>
  <c r="O2720" i="2"/>
  <c r="K2725" i="2"/>
  <c r="U2723" i="2"/>
  <c r="Q2777" i="2"/>
  <c r="V2772" i="2"/>
  <c r="P2760" i="2"/>
  <c r="F2777" i="2"/>
  <c r="N2769" i="2"/>
  <c r="V2761" i="2"/>
  <c r="G2750" i="2"/>
  <c r="Q2748" i="2"/>
  <c r="O2690" i="2"/>
  <c r="S2686" i="2"/>
  <c r="H2741" i="2"/>
  <c r="R2739" i="2"/>
  <c r="J2675" i="2"/>
  <c r="N2671" i="2"/>
  <c r="G2747" i="2"/>
  <c r="Q2745" i="2"/>
  <c r="O2744" i="2"/>
  <c r="O2749" i="2"/>
  <c r="P2728" i="2"/>
  <c r="J2743" i="2"/>
  <c r="R2688" i="2"/>
  <c r="M2673" i="2"/>
  <c r="M2683" i="2"/>
  <c r="U2753" i="2"/>
  <c r="V2687" i="2"/>
  <c r="R2769" i="2"/>
  <c r="P2748" i="2"/>
  <c r="K2728" i="2"/>
  <c r="V2734" i="2"/>
  <c r="E2700" i="2"/>
  <c r="G2725" i="2"/>
  <c r="F2691" i="2"/>
  <c r="M2687" i="2"/>
  <c r="D2760" i="2"/>
  <c r="G2756" i="2"/>
  <c r="P2725" i="2"/>
  <c r="T2721" i="2"/>
  <c r="L2720" i="2"/>
  <c r="U2676" i="2"/>
  <c r="G2708" i="2"/>
  <c r="J2805" i="2"/>
  <c r="J2809" i="2"/>
  <c r="C2742" i="2"/>
  <c r="Q2740" i="2"/>
  <c r="D2733" i="2"/>
  <c r="L2725" i="2"/>
  <c r="U2782" i="2"/>
  <c r="N2751" i="2"/>
  <c r="C2750" i="2"/>
  <c r="Q2735" i="2"/>
  <c r="P2758" i="2"/>
  <c r="L2744" i="2"/>
  <c r="D2741" i="2"/>
  <c r="U2738" i="2"/>
  <c r="W2701" i="2"/>
  <c r="L2700" i="2"/>
  <c r="T2741" i="2"/>
  <c r="P2713" i="2"/>
  <c r="M2684" i="2"/>
  <c r="T2715" i="2"/>
  <c r="U2714" i="2"/>
  <c r="M2702" i="2"/>
  <c r="Q2680" i="2"/>
  <c r="T2764" i="2"/>
  <c r="M2753" i="2"/>
  <c r="W2751" i="2"/>
  <c r="M2700" i="2"/>
  <c r="C2725" i="2"/>
  <c r="G2721" i="2"/>
  <c r="J2737" i="2"/>
  <c r="Q2664" i="2"/>
  <c r="N2732" i="2"/>
  <c r="R2728" i="2"/>
  <c r="O2694" i="2"/>
  <c r="L2738" i="2"/>
  <c r="M2682" i="2"/>
  <c r="C2759" i="2"/>
  <c r="H2787" i="2"/>
  <c r="O2772" i="2"/>
  <c r="W2764" i="2"/>
  <c r="W2792" i="2"/>
  <c r="H2774" i="2"/>
  <c r="I2751" i="2"/>
  <c r="G2745" i="2"/>
  <c r="K2678" i="2"/>
  <c r="O2674" i="2"/>
  <c r="D2729" i="2"/>
  <c r="N2727" i="2"/>
  <c r="I2778" i="2"/>
  <c r="J2732" i="2"/>
  <c r="K2758" i="2"/>
  <c r="U2756" i="2"/>
  <c r="I2735" i="2"/>
  <c r="T2700" i="2"/>
  <c r="D2672" i="2"/>
  <c r="S2666" i="2"/>
  <c r="T2665" i="2"/>
  <c r="H2756" i="2"/>
  <c r="H2668" i="2"/>
  <c r="U2736" i="2"/>
  <c r="V2699" i="2"/>
  <c r="H2761" i="2"/>
  <c r="F2699" i="2"/>
  <c r="L2693" i="2"/>
  <c r="M2692" i="2"/>
  <c r="N2729" i="2"/>
  <c r="F2700" i="2"/>
  <c r="M2695" i="2"/>
  <c r="W2723" i="2"/>
  <c r="E2666" i="2"/>
  <c r="W2550" i="2"/>
  <c r="M2635" i="2"/>
  <c r="P2698" i="2"/>
  <c r="Q2794" i="2"/>
  <c r="M2736" i="2"/>
  <c r="W2734" i="2"/>
  <c r="Q2726" i="2"/>
  <c r="G2711" i="2"/>
  <c r="K2707" i="2"/>
  <c r="Q2738" i="2"/>
  <c r="R2736" i="2"/>
  <c r="K2719" i="2"/>
  <c r="O2715" i="2"/>
  <c r="U2734" i="2"/>
  <c r="T2749" i="2"/>
  <c r="K2633" i="2"/>
  <c r="V2547" i="2"/>
  <c r="I2784" i="2"/>
  <c r="L2724" i="2"/>
  <c r="V2722" i="2"/>
  <c r="E2688" i="2"/>
  <c r="W2761" i="2"/>
  <c r="K2752" i="2"/>
  <c r="U2755" i="2"/>
  <c r="F2695" i="2"/>
  <c r="C2732" i="2"/>
  <c r="E2730" i="2"/>
  <c r="F2713" i="2"/>
  <c r="J2691" i="2"/>
  <c r="V2724" i="2"/>
  <c r="F2639" i="2"/>
  <c r="S2674" i="2"/>
  <c r="T2696" i="2"/>
  <c r="W2754" i="2"/>
  <c r="M2696" i="2"/>
  <c r="N2698" i="2"/>
  <c r="W2759" i="2"/>
  <c r="F2665" i="2"/>
  <c r="C2695" i="2"/>
  <c r="C2719" i="2"/>
  <c r="P2719" i="2"/>
  <c r="E2693" i="2"/>
  <c r="M2656" i="2"/>
  <c r="I2689" i="2"/>
  <c r="I2667" i="2"/>
  <c r="D2643" i="2"/>
  <c r="J2606" i="2"/>
  <c r="E2642" i="2"/>
  <c r="T2553" i="2"/>
  <c r="C2648" i="2"/>
  <c r="T2762" i="2"/>
  <c r="J2721" i="2"/>
  <c r="O2686" i="2"/>
  <c r="Q2669" i="2"/>
  <c r="N2689" i="2"/>
  <c r="G2550" i="2"/>
  <c r="R2634" i="2"/>
  <c r="R2731" i="2"/>
  <c r="U2631" i="2"/>
  <c r="K2546" i="2"/>
  <c r="V2630" i="2"/>
  <c r="W2730" i="2"/>
  <c r="V2709" i="2"/>
  <c r="W2699" i="2"/>
  <c r="I2587" i="2"/>
  <c r="P2673" i="2"/>
  <c r="S2656" i="2"/>
  <c r="W2722" i="2"/>
  <c r="L2721" i="2"/>
  <c r="G2723" i="2"/>
  <c r="W2707" i="2"/>
  <c r="F2690" i="2"/>
  <c r="G2689" i="2"/>
  <c r="P2700" i="2"/>
  <c r="M2659" i="2"/>
  <c r="W2794" i="2"/>
  <c r="G2762" i="2"/>
  <c r="N2741" i="2"/>
  <c r="O2712" i="2"/>
  <c r="O2687" i="2"/>
  <c r="H2584" i="2"/>
  <c r="G2710" i="2"/>
  <c r="K2709" i="2"/>
  <c r="U2707" i="2"/>
  <c r="V2686" i="2"/>
  <c r="C2712" i="2"/>
  <c r="D2711" i="2"/>
  <c r="M2711" i="2"/>
  <c r="R2682" i="2"/>
  <c r="L2677" i="2"/>
  <c r="M2676" i="2"/>
  <c r="Q2707" i="2"/>
  <c r="S2669" i="2"/>
  <c r="R2654" i="2"/>
  <c r="H2569" i="2"/>
  <c r="S2653" i="2"/>
  <c r="N2685" i="2"/>
  <c r="K2757" i="2"/>
  <c r="I2695" i="2"/>
  <c r="P2743" i="2"/>
  <c r="J2590" i="2"/>
  <c r="C2663" i="2"/>
  <c r="K2577" i="2"/>
  <c r="D2662" i="2"/>
  <c r="T2681" i="2"/>
  <c r="G2659" i="2"/>
  <c r="O2573" i="2"/>
  <c r="H2658" i="2"/>
  <c r="J2714" i="2"/>
  <c r="C2631" i="2"/>
  <c r="K2545" i="2"/>
  <c r="D2630" i="2"/>
  <c r="F2590" i="2"/>
  <c r="N2805" i="2"/>
  <c r="T2798" i="2"/>
  <c r="W2665" i="2"/>
  <c r="I2698" i="2"/>
  <c r="F2818" i="2"/>
  <c r="J2747" i="2"/>
  <c r="K2664" i="2"/>
  <c r="S2747" i="2"/>
  <c r="S2801" i="2"/>
  <c r="F2774" i="2"/>
  <c r="U2722" i="2"/>
  <c r="Q2706" i="2"/>
  <c r="O2816" i="2"/>
  <c r="N2708" i="2"/>
  <c r="E2811" i="2"/>
  <c r="C2775" i="2"/>
  <c r="M2738" i="2"/>
  <c r="W2704" i="2"/>
  <c r="W2810" i="2"/>
  <c r="P2789" i="2"/>
  <c r="H2715" i="2"/>
  <c r="C2700" i="2"/>
  <c r="M2776" i="2"/>
  <c r="C2678" i="2"/>
  <c r="K2742" i="2"/>
  <c r="O2719" i="2"/>
  <c r="S2727" i="2"/>
  <c r="E2801" i="2"/>
  <c r="U2790" i="2"/>
  <c r="R2709" i="2"/>
  <c r="L2726" i="2"/>
  <c r="P2762" i="2"/>
  <c r="O2665" i="2"/>
  <c r="P2733" i="2"/>
  <c r="H2692" i="2"/>
  <c r="O2780" i="2"/>
  <c r="W2683" i="2"/>
  <c r="V2708" i="2"/>
  <c r="T2694" i="2"/>
  <c r="C2746" i="2"/>
  <c r="C2710" i="2"/>
  <c r="N2725" i="2"/>
  <c r="Q2688" i="2"/>
  <c r="L2581" i="2"/>
  <c r="N2695" i="2"/>
  <c r="O2589" i="2"/>
  <c r="S2585" i="2"/>
  <c r="O2557" i="2"/>
  <c r="W2757" i="2"/>
  <c r="N2641" i="2"/>
  <c r="P2631" i="2"/>
  <c r="W2692" i="2"/>
  <c r="D2772" i="2"/>
  <c r="I2663" i="2"/>
  <c r="E2738" i="2"/>
  <c r="G2700" i="2"/>
  <c r="O2709" i="2"/>
  <c r="G2674" i="2"/>
  <c r="H2676" i="2"/>
  <c r="S2617" i="2"/>
  <c r="Q2719" i="2"/>
  <c r="E2733" i="2"/>
  <c r="T2692" i="2"/>
  <c r="E2674" i="2"/>
  <c r="W2635" i="2"/>
  <c r="R2758" i="2"/>
  <c r="J2683" i="2"/>
  <c r="K2685" i="2"/>
  <c r="V2626" i="2"/>
  <c r="R2696" i="2"/>
  <c r="N2586" i="2"/>
  <c r="V2692" i="2"/>
  <c r="M2706" i="2"/>
  <c r="M2681" i="2"/>
  <c r="R2582" i="2"/>
  <c r="Q2677" i="2"/>
  <c r="N2694" i="2"/>
  <c r="M2730" i="2"/>
  <c r="E2624" i="2"/>
  <c r="V2698" i="2"/>
  <c r="L2672" i="2"/>
  <c r="L2761" i="2"/>
  <c r="N2722" i="2"/>
  <c r="C2721" i="2"/>
  <c r="E2701" i="2"/>
  <c r="V2755" i="2"/>
  <c r="E2752" i="2"/>
  <c r="U2708" i="2"/>
  <c r="C2686" i="2"/>
  <c r="J2717" i="2"/>
  <c r="K2716" i="2"/>
  <c r="C2704" i="2"/>
  <c r="G2682" i="2"/>
  <c r="O2678" i="2"/>
  <c r="D2621" i="2"/>
  <c r="R2686" i="2"/>
  <c r="L2775" i="2"/>
  <c r="J2769" i="2"/>
  <c r="C2740" i="2"/>
  <c r="K2732" i="2"/>
  <c r="T2765" i="2"/>
  <c r="F2746" i="2"/>
  <c r="M2732" i="2"/>
  <c r="J2669" i="2"/>
  <c r="C2665" i="2"/>
  <c r="W2774" i="2"/>
  <c r="H2717" i="2"/>
  <c r="H2664" i="2"/>
  <c r="I2642" i="2"/>
  <c r="O2605" i="2"/>
  <c r="H2700" i="2"/>
  <c r="H2734" i="2"/>
  <c r="S2712" i="2"/>
  <c r="D2718" i="2"/>
  <c r="T2702" i="2"/>
  <c r="K2724" i="2"/>
  <c r="G2614" i="2"/>
  <c r="J2728" i="2"/>
  <c r="H2613" i="2"/>
  <c r="H2699" i="2"/>
  <c r="K2610" i="2"/>
  <c r="F2697" i="2"/>
  <c r="L2609" i="2"/>
  <c r="H2690" i="2"/>
  <c r="G2582" i="2"/>
  <c r="V2684" i="2"/>
  <c r="H2581" i="2"/>
  <c r="R2665" i="2"/>
  <c r="F2587" i="2"/>
  <c r="G2681" i="2"/>
  <c r="W2736" i="2"/>
  <c r="J2729" i="2"/>
  <c r="N2665" i="2"/>
  <c r="J2623" i="2"/>
  <c r="U2695" i="2"/>
  <c r="K2622" i="2"/>
  <c r="K2666" i="2"/>
  <c r="N2619" i="2"/>
  <c r="P2680" i="2"/>
  <c r="O2618" i="2"/>
  <c r="W2727" i="2"/>
  <c r="D2710" i="2"/>
  <c r="F2563" i="2"/>
  <c r="Q2647" i="2"/>
  <c r="J2677" i="2"/>
  <c r="R2804" i="2"/>
  <c r="F2756" i="2"/>
  <c r="D2754" i="2"/>
  <c r="K2766" i="2"/>
  <c r="U2702" i="2"/>
  <c r="V2701" i="2"/>
  <c r="J2702" i="2"/>
  <c r="O2673" i="2"/>
  <c r="I2668" i="2"/>
  <c r="J2667" i="2"/>
  <c r="P2769" i="2"/>
  <c r="S2680" i="2"/>
  <c r="O2645" i="2"/>
  <c r="E2560" i="2"/>
  <c r="T2776" i="2"/>
  <c r="D2725" i="2"/>
  <c r="N2723" i="2"/>
  <c r="W2728" i="2"/>
  <c r="E2670" i="2"/>
  <c r="E2698" i="2"/>
  <c r="R2749" i="2"/>
  <c r="H2730" i="2"/>
  <c r="S2709" i="2"/>
  <c r="W2705" i="2"/>
  <c r="R2729" i="2"/>
  <c r="C2715" i="2"/>
  <c r="D2704" i="2"/>
  <c r="H2630" i="2"/>
  <c r="P2544" i="2"/>
  <c r="D2697" i="2"/>
  <c r="K2775" i="2"/>
  <c r="C2757" i="2"/>
  <c r="S2698" i="2"/>
  <c r="I2670" i="2"/>
  <c r="W2703" i="2"/>
  <c r="H2553" i="2"/>
  <c r="S2637" i="2"/>
  <c r="T2750" i="2"/>
  <c r="V2634" i="2"/>
  <c r="L2549" i="2"/>
  <c r="W2633" i="2"/>
  <c r="N2667" i="2"/>
  <c r="H2655" i="2"/>
  <c r="N2618" i="2"/>
  <c r="I2654" i="2"/>
  <c r="C2566" i="2"/>
  <c r="G2660" i="2"/>
  <c r="M2780" i="2"/>
  <c r="T2758" i="2"/>
  <c r="V2725" i="2"/>
  <c r="N2700" i="2"/>
  <c r="T2718" i="2"/>
  <c r="K2562" i="2"/>
  <c r="V2646" i="2"/>
  <c r="Q2674" i="2"/>
  <c r="D2644" i="2"/>
  <c r="O2558" i="2"/>
  <c r="E2643" i="2"/>
  <c r="I2717" i="2"/>
  <c r="L2652" i="2"/>
  <c r="W2566" i="2"/>
  <c r="M2651" i="2"/>
  <c r="H2635" i="2"/>
  <c r="K2657" i="2"/>
  <c r="P2753" i="2"/>
  <c r="M2678" i="2"/>
  <c r="F2704" i="2"/>
  <c r="U2684" i="2"/>
  <c r="R2583" i="2"/>
  <c r="I2693" i="2"/>
  <c r="S2582" i="2"/>
  <c r="D2678" i="2"/>
  <c r="V2579" i="2"/>
  <c r="R2672" i="2"/>
  <c r="J2788" i="2"/>
  <c r="G2637" i="2"/>
  <c r="R2551" i="2"/>
  <c r="H2636" i="2"/>
  <c r="R2659" i="2"/>
  <c r="F2642" i="2"/>
  <c r="Q2556" i="2"/>
  <c r="F2685" i="2"/>
  <c r="H2746" i="2"/>
  <c r="Q2684" i="2"/>
  <c r="U2664" i="2"/>
  <c r="N2562" i="2"/>
  <c r="G2572" i="2"/>
  <c r="O2601" i="2"/>
  <c r="K2647" i="2"/>
  <c r="S2561" i="2"/>
  <c r="L2571" i="2"/>
  <c r="C2735" i="2"/>
  <c r="P2585" i="2"/>
  <c r="H2661" i="2"/>
  <c r="H2521" i="2"/>
  <c r="W2687" i="2"/>
  <c r="T2581" i="2"/>
  <c r="W2470" i="2"/>
  <c r="G2553" i="2"/>
  <c r="M2488" i="2"/>
  <c r="G2601" i="2"/>
  <c r="J2649" i="2"/>
  <c r="V2539" i="2"/>
  <c r="R2487" i="2"/>
  <c r="F2598" i="2"/>
  <c r="I2646" i="2"/>
  <c r="F2539" i="2"/>
  <c r="R2534" i="2"/>
  <c r="I2606" i="2"/>
  <c r="J2594" i="2"/>
  <c r="O2486" i="2"/>
  <c r="G2783" i="2"/>
  <c r="C2810" i="2"/>
  <c r="S2739" i="2"/>
  <c r="V2818" i="2"/>
  <c r="C2777" i="2"/>
  <c r="F2758" i="2"/>
  <c r="H2660" i="2"/>
  <c r="E2749" i="2"/>
  <c r="N2784" i="2"/>
  <c r="U2780" i="2"/>
  <c r="J2813" i="2"/>
  <c r="P2818" i="2"/>
  <c r="M2743" i="2"/>
  <c r="N2734" i="2"/>
  <c r="V2794" i="2"/>
  <c r="L2779" i="2"/>
  <c r="C2792" i="2"/>
  <c r="K2705" i="2"/>
  <c r="F2723" i="2"/>
  <c r="I2783" i="2"/>
  <c r="L2711" i="2"/>
  <c r="I2733" i="2"/>
  <c r="C2713" i="2"/>
  <c r="G2709" i="2"/>
  <c r="F2771" i="2"/>
  <c r="S2741" i="2"/>
  <c r="V2737" i="2"/>
  <c r="P2780" i="2"/>
  <c r="O2771" i="2"/>
  <c r="V2788" i="2"/>
  <c r="S2780" i="2"/>
  <c r="O2738" i="2"/>
  <c r="J2723" i="2"/>
  <c r="H2669" i="2"/>
  <c r="M2707" i="2"/>
  <c r="G2636" i="2"/>
  <c r="N2793" i="2"/>
  <c r="H2710" i="2"/>
  <c r="P2714" i="2"/>
  <c r="F2633" i="2"/>
  <c r="M2708" i="2"/>
  <c r="U2710" i="2"/>
  <c r="K2681" i="2"/>
  <c r="E2681" i="2"/>
  <c r="O2697" i="2"/>
  <c r="I2721" i="2"/>
  <c r="U2689" i="2"/>
  <c r="H2642" i="2"/>
  <c r="G2720" i="2"/>
  <c r="R2598" i="2"/>
  <c r="V2594" i="2"/>
  <c r="P2663" i="2"/>
  <c r="P2736" i="2"/>
  <c r="U2770" i="2"/>
  <c r="G2736" i="2"/>
  <c r="J2651" i="2"/>
  <c r="V2721" i="2"/>
  <c r="O2751" i="2"/>
  <c r="S2759" i="2"/>
  <c r="K2667" i="2"/>
  <c r="G2705" i="2"/>
  <c r="L2625" i="2"/>
  <c r="P2621" i="2"/>
  <c r="L2593" i="2"/>
  <c r="J2599" i="2"/>
  <c r="W2709" i="2"/>
  <c r="J2819" i="2"/>
  <c r="E2777" i="2"/>
  <c r="L2632" i="2"/>
  <c r="M2660" i="2"/>
  <c r="O2658" i="2"/>
  <c r="Q2656" i="2"/>
  <c r="E2737" i="2"/>
  <c r="H2645" i="2"/>
  <c r="U2680" i="2"/>
  <c r="L2641" i="2"/>
  <c r="H2719" i="2"/>
  <c r="K2712" i="2"/>
  <c r="J2575" i="2"/>
  <c r="D2660" i="2"/>
  <c r="Q2694" i="2"/>
  <c r="Q2752" i="2"/>
  <c r="O2721" i="2"/>
  <c r="D2720" i="2"/>
  <c r="E2699" i="2"/>
  <c r="D2715" i="2"/>
  <c r="E2714" i="2"/>
  <c r="R2701" i="2"/>
  <c r="S2685" i="2"/>
  <c r="M2680" i="2"/>
  <c r="N2679" i="2"/>
  <c r="R2710" i="2"/>
  <c r="W2681" i="2"/>
  <c r="S2657" i="2"/>
  <c r="I2572" i="2"/>
  <c r="T2656" i="2"/>
  <c r="F2744" i="2"/>
  <c r="P2742" i="2"/>
  <c r="D2774" i="2"/>
  <c r="M2694" i="2"/>
  <c r="L2742" i="2"/>
  <c r="H2738" i="2"/>
  <c r="P2707" i="2"/>
  <c r="K2710" i="2"/>
  <c r="O2706" i="2"/>
  <c r="O2705" i="2"/>
  <c r="T2703" i="2"/>
  <c r="M2751" i="2"/>
  <c r="L2642" i="2"/>
  <c r="T2556" i="2"/>
  <c r="O2766" i="2"/>
  <c r="G2784" i="2"/>
  <c r="E2741" i="2"/>
  <c r="S2701" i="2"/>
  <c r="G2728" i="2"/>
  <c r="J2709" i="2"/>
  <c r="L2565" i="2"/>
  <c r="W2649" i="2"/>
  <c r="U2686" i="2"/>
  <c r="E2647" i="2"/>
  <c r="P2561" i="2"/>
  <c r="F2646" i="2"/>
  <c r="K2704" i="2"/>
  <c r="U2677" i="2"/>
  <c r="H2641" i="2"/>
  <c r="D2674" i="2"/>
  <c r="M2580" i="2"/>
  <c r="Q2697" i="2"/>
  <c r="D2661" i="2"/>
  <c r="O2689" i="2"/>
  <c r="L2755" i="2"/>
  <c r="I2701" i="2"/>
  <c r="F2732" i="2"/>
  <c r="O2574" i="2"/>
  <c r="E2659" i="2"/>
  <c r="U2675" i="2"/>
  <c r="H2656" i="2"/>
  <c r="S2570" i="2"/>
  <c r="I2655" i="2"/>
  <c r="V2718" i="2"/>
  <c r="P2741" i="2"/>
  <c r="K2648" i="2"/>
  <c r="Q2611" i="2"/>
  <c r="S2749" i="2"/>
  <c r="P2632" i="2"/>
  <c r="D2723" i="2"/>
  <c r="N2721" i="2"/>
  <c r="S2725" i="2"/>
  <c r="N2710" i="2"/>
  <c r="C2666" i="2"/>
  <c r="D2665" i="2"/>
  <c r="T2752" i="2"/>
  <c r="K2672" i="2"/>
  <c r="D2668" i="2"/>
  <c r="E2667" i="2"/>
  <c r="L2729" i="2"/>
  <c r="L2676" i="2"/>
  <c r="J2645" i="2"/>
  <c r="P2608" i="2"/>
  <c r="C2714" i="2"/>
  <c r="M2752" i="2"/>
  <c r="W2750" i="2"/>
  <c r="D2727" i="2"/>
  <c r="I2703" i="2"/>
  <c r="K2701" i="2"/>
  <c r="F2725" i="2"/>
  <c r="I2729" i="2"/>
  <c r="F2708" i="2"/>
  <c r="J2704" i="2"/>
  <c r="P2681" i="2"/>
  <c r="D2714" i="2"/>
  <c r="I2674" i="2"/>
  <c r="P2593" i="2"/>
  <c r="W2672" i="2"/>
  <c r="K2698" i="2"/>
  <c r="C2762" i="2"/>
  <c r="K2749" i="2"/>
  <c r="T2697" i="2"/>
  <c r="O2590" i="2"/>
  <c r="P2647" i="2"/>
  <c r="S2601" i="2"/>
  <c r="N2637" i="2"/>
  <c r="C2747" i="2"/>
  <c r="Q2634" i="2"/>
  <c r="W2597" i="2"/>
  <c r="R2633" i="2"/>
  <c r="O2666" i="2"/>
  <c r="K2655" i="2"/>
  <c r="S2569" i="2"/>
  <c r="L2654" i="2"/>
  <c r="N2614" i="2"/>
  <c r="J2660" i="2"/>
  <c r="J2767" i="2"/>
  <c r="E2753" i="2"/>
  <c r="C2724" i="2"/>
  <c r="G2627" i="2"/>
  <c r="S2671" i="2"/>
  <c r="V2610" i="2"/>
  <c r="Q2646" i="2"/>
  <c r="J2670" i="2"/>
  <c r="T2643" i="2"/>
  <c r="E2607" i="2"/>
  <c r="U2642" i="2"/>
  <c r="J2716" i="2"/>
  <c r="G2652" i="2"/>
  <c r="M2615" i="2"/>
  <c r="H2651" i="2"/>
  <c r="W2562" i="2"/>
  <c r="R2775" i="2"/>
  <c r="E2672" i="2"/>
  <c r="F2674" i="2"/>
  <c r="L2651" i="2"/>
  <c r="L2660" i="2"/>
  <c r="J2647" i="2"/>
  <c r="F2680" i="2"/>
  <c r="M2729" i="2"/>
  <c r="R2668" i="2"/>
  <c r="E2632" i="2"/>
  <c r="V2664" i="2"/>
  <c r="P2779" i="2"/>
  <c r="W2636" i="2"/>
  <c r="H2600" i="2"/>
  <c r="C2636" i="2"/>
  <c r="R2547" i="2"/>
  <c r="V2641" i="2"/>
  <c r="W2748" i="2"/>
  <c r="Q2641" i="2"/>
  <c r="U2637" i="2"/>
  <c r="T2621" i="2"/>
  <c r="P2744" i="2"/>
  <c r="S2629" i="2"/>
  <c r="M2561" i="2"/>
  <c r="V2700" i="2"/>
  <c r="S2610" i="2"/>
  <c r="I2737" i="2"/>
  <c r="L2577" i="2"/>
  <c r="O2691" i="2"/>
  <c r="W2654" i="2"/>
  <c r="P2556" i="2"/>
  <c r="U2572" i="2"/>
  <c r="J2676" i="2"/>
  <c r="D2612" i="2"/>
  <c r="S2521" i="2"/>
  <c r="J2593" i="2"/>
  <c r="I2539" i="2"/>
  <c r="U2610" i="2"/>
  <c r="P2612" i="2"/>
  <c r="F2491" i="2"/>
  <c r="N2538" i="2"/>
  <c r="E2610" i="2"/>
  <c r="O2609" i="2"/>
  <c r="N2559" i="2"/>
  <c r="W2485" i="2"/>
  <c r="N2557" i="2"/>
  <c r="F2609" i="2"/>
  <c r="I2591" i="2"/>
  <c r="V2810" i="2"/>
  <c r="O2801" i="2"/>
  <c r="H2716" i="2"/>
  <c r="R2703" i="2"/>
  <c r="O2770" i="2"/>
  <c r="I2753" i="2"/>
  <c r="C2766" i="2"/>
  <c r="O2725" i="2"/>
  <c r="V2707" i="2"/>
  <c r="C2722" i="2"/>
  <c r="S2706" i="2"/>
  <c r="L2760" i="2"/>
  <c r="E2727" i="2"/>
  <c r="C2681" i="2"/>
  <c r="N2742" i="2"/>
  <c r="N2758" i="2"/>
  <c r="T2667" i="2"/>
  <c r="P2676" i="2"/>
  <c r="D2755" i="2"/>
  <c r="L2747" i="2"/>
  <c r="F2748" i="2"/>
  <c r="R2785" i="2"/>
  <c r="H2684" i="2"/>
  <c r="L2680" i="2"/>
  <c r="N2702" i="2"/>
  <c r="L2664" i="2"/>
  <c r="R2761" i="2"/>
  <c r="G2781" i="2"/>
  <c r="T2709" i="2"/>
  <c r="C2745" i="2"/>
  <c r="J2760" i="2"/>
  <c r="U2670" i="2"/>
  <c r="D2667" i="2"/>
  <c r="L2665" i="2"/>
  <c r="N2662" i="2"/>
  <c r="M2599" i="2"/>
  <c r="V2775" i="2"/>
  <c r="L2706" i="2"/>
  <c r="S2782" i="2"/>
  <c r="L2596" i="2"/>
  <c r="F2687" i="2"/>
  <c r="V2694" i="2"/>
  <c r="E2691" i="2"/>
  <c r="H2672" i="2"/>
  <c r="Q2729" i="2"/>
  <c r="Q2718" i="2"/>
  <c r="J2666" i="2"/>
  <c r="J2602" i="2"/>
  <c r="P2685" i="2"/>
  <c r="M2634" i="2"/>
  <c r="Q2630" i="2"/>
  <c r="P2661" i="2"/>
  <c r="E2735" i="2"/>
  <c r="J2751" i="2"/>
  <c r="G2716" i="2"/>
  <c r="W2686" i="2"/>
  <c r="W2776" i="2"/>
  <c r="N2681" i="2"/>
  <c r="M2664" i="2"/>
  <c r="R2638" i="2"/>
  <c r="V2689" i="2"/>
  <c r="S2690" i="2"/>
  <c r="H2675" i="2"/>
  <c r="V2681" i="2"/>
  <c r="O2550" i="2"/>
  <c r="F2706" i="2"/>
  <c r="Q2690" i="2"/>
  <c r="E2705" i="2"/>
  <c r="U2737" i="2"/>
  <c r="S2586" i="2"/>
  <c r="D2738" i="2"/>
  <c r="T2585" i="2"/>
  <c r="D2694" i="2"/>
  <c r="W2582" i="2"/>
  <c r="M2689" i="2"/>
  <c r="S2691" i="2"/>
  <c r="R2725" i="2"/>
  <c r="G2699" i="2"/>
  <c r="U2623" i="2"/>
  <c r="R2677" i="2"/>
  <c r="T2644" i="2"/>
  <c r="I2723" i="2"/>
  <c r="S2721" i="2"/>
  <c r="E2734" i="2"/>
  <c r="I2730" i="2"/>
  <c r="G2678" i="2"/>
  <c r="H2677" i="2"/>
  <c r="G2748" i="2"/>
  <c r="O2684" i="2"/>
  <c r="H2680" i="2"/>
  <c r="I2679" i="2"/>
  <c r="N2748" i="2"/>
  <c r="Q2676" i="2"/>
  <c r="N2657" i="2"/>
  <c r="T2620" i="2"/>
  <c r="S2769" i="2"/>
  <c r="K2772" i="2"/>
  <c r="I2766" i="2"/>
  <c r="T2779" i="2"/>
  <c r="H2701" i="2"/>
  <c r="L2756" i="2"/>
  <c r="C2701" i="2"/>
  <c r="S2670" i="2"/>
  <c r="E2702" i="2"/>
  <c r="F2701" i="2"/>
  <c r="O2703" i="2"/>
  <c r="W2666" i="2"/>
  <c r="M2690" i="2"/>
  <c r="T2605" i="2"/>
  <c r="J2689" i="2"/>
  <c r="E2722" i="2"/>
  <c r="U2712" i="2"/>
  <c r="D2695" i="2"/>
  <c r="U2699" i="2"/>
  <c r="S2753" i="2"/>
  <c r="F2696" i="2"/>
  <c r="W2613" i="2"/>
  <c r="R2649" i="2"/>
  <c r="N2682" i="2"/>
  <c r="U2646" i="2"/>
  <c r="F2610" i="2"/>
  <c r="V2645" i="2"/>
  <c r="L2703" i="2"/>
  <c r="L2678" i="2"/>
  <c r="W2581" i="2"/>
  <c r="P2674" i="2"/>
  <c r="R2626" i="2"/>
  <c r="H2698" i="2"/>
  <c r="I2764" i="2"/>
  <c r="D2684" i="2"/>
  <c r="F2745" i="2"/>
  <c r="W2663" i="2"/>
  <c r="S2641" i="2"/>
  <c r="E2623" i="2"/>
  <c r="U2658" i="2"/>
  <c r="O2670" i="2"/>
  <c r="C2656" i="2"/>
  <c r="I2619" i="2"/>
  <c r="D2655" i="2"/>
  <c r="H2707" i="2"/>
  <c r="D2673" i="2"/>
  <c r="N2648" i="2"/>
  <c r="V2562" i="2"/>
  <c r="E2740" i="2"/>
  <c r="K2632" i="2"/>
  <c r="Q2757" i="2"/>
  <c r="T2754" i="2"/>
  <c r="N2676" i="2"/>
  <c r="G2703" i="2"/>
  <c r="S2665" i="2"/>
  <c r="T2664" i="2"/>
  <c r="Q2710" i="2"/>
  <c r="O2722" i="2"/>
  <c r="S2718" i="2"/>
  <c r="K2717" i="2"/>
  <c r="U2706" i="2"/>
  <c r="M2675" i="2"/>
  <c r="M2645" i="2"/>
  <c r="U2559" i="2"/>
  <c r="V2756" i="2"/>
  <c r="I2724" i="2"/>
  <c r="S2722" i="2"/>
  <c r="P2711" i="2"/>
  <c r="O2699" i="2"/>
  <c r="O2698" i="2"/>
  <c r="P2735" i="2"/>
  <c r="N2724" i="2"/>
  <c r="G2707" i="2"/>
  <c r="K2703" i="2"/>
  <c r="T2731" i="2"/>
  <c r="J2707" i="2"/>
  <c r="J2630" i="2"/>
  <c r="U2544" i="2"/>
  <c r="K2629" i="2"/>
  <c r="U2665" i="2"/>
  <c r="J2754" i="2"/>
  <c r="C2720" i="2"/>
  <c r="L2669" i="2"/>
  <c r="W2668" i="2"/>
  <c r="P2638" i="2"/>
  <c r="C2553" i="2"/>
  <c r="Q2637" i="2"/>
  <c r="F2727" i="2"/>
  <c r="T2634" i="2"/>
  <c r="G2549" i="2"/>
  <c r="U2633" i="2"/>
  <c r="F2736" i="2"/>
  <c r="S2618" i="2"/>
  <c r="O2677" i="2"/>
  <c r="T2617" i="2"/>
  <c r="Q2705" i="2"/>
  <c r="R2623" i="2"/>
  <c r="Q2755" i="2"/>
  <c r="H2733" i="2"/>
  <c r="E2710" i="2"/>
  <c r="I2755" i="2"/>
  <c r="S2647" i="2"/>
  <c r="F2562" i="2"/>
  <c r="T2646" i="2"/>
  <c r="K2669" i="2"/>
  <c r="W2643" i="2"/>
  <c r="J2558" i="2"/>
  <c r="C2643" i="2"/>
  <c r="N2712" i="2"/>
  <c r="J2652" i="2"/>
  <c r="R2566" i="2"/>
  <c r="K2651" i="2"/>
  <c r="M2611" i="2"/>
  <c r="S2757" i="2"/>
  <c r="F2671" i="2"/>
  <c r="G2673" i="2"/>
  <c r="R2614" i="2"/>
  <c r="N2684" i="2"/>
  <c r="M2583" i="2"/>
  <c r="R2680" i="2"/>
  <c r="Q2725" i="2"/>
  <c r="I2669" i="2"/>
  <c r="Q2579" i="2"/>
  <c r="M2665" i="2"/>
  <c r="L2757" i="2"/>
  <c r="E2637" i="2"/>
  <c r="M2551" i="2"/>
  <c r="F2636" i="2"/>
  <c r="H2596" i="2"/>
  <c r="D2642" i="2"/>
  <c r="U2747" i="2"/>
  <c r="D2556" i="2"/>
  <c r="H2552" i="2"/>
  <c r="S2689" i="2"/>
  <c r="G2590" i="2"/>
  <c r="I2544" i="2"/>
  <c r="N2644" i="2"/>
  <c r="M2647" i="2"/>
  <c r="C2562" i="2"/>
  <c r="D2698" i="2"/>
  <c r="G2625" i="2"/>
  <c r="F2692" i="2"/>
  <c r="K2585" i="2"/>
  <c r="D2595" i="2"/>
  <c r="K2621" i="2"/>
  <c r="V2676" i="2"/>
  <c r="R2621" i="2"/>
  <c r="H2673" i="2"/>
  <c r="D2649" i="2"/>
  <c r="N2490" i="2"/>
  <c r="E2562" i="2"/>
  <c r="R2613" i="2"/>
  <c r="M2620" i="2"/>
  <c r="S2489" i="2"/>
  <c r="J2561" i="2"/>
  <c r="W2612" i="2"/>
  <c r="L2558" i="2"/>
  <c r="H2682" i="2"/>
  <c r="M2532" i="2"/>
  <c r="K2560" i="2"/>
  <c r="G2789" i="2"/>
  <c r="O2793" i="2"/>
  <c r="D2811" i="2"/>
  <c r="T2723" i="2"/>
  <c r="V2705" i="2"/>
  <c r="P2746" i="2"/>
  <c r="K2723" i="2"/>
  <c r="I2708" i="2"/>
  <c r="F2735" i="2"/>
  <c r="F2724" i="2"/>
  <c r="L2727" i="2"/>
  <c r="N2736" i="2"/>
  <c r="K2578" i="2"/>
  <c r="D2702" i="2"/>
  <c r="F2675" i="2"/>
  <c r="K2626" i="2"/>
  <c r="P2783" i="2"/>
  <c r="U2681" i="2"/>
  <c r="V2680" i="2"/>
  <c r="L2697" i="2"/>
  <c r="O2644" i="2"/>
  <c r="K2677" i="2"/>
  <c r="L2787" i="2"/>
  <c r="R2675" i="2"/>
  <c r="K2743" i="2"/>
  <c r="W2749" i="2"/>
  <c r="I2664" i="2"/>
  <c r="D2557" i="2"/>
  <c r="J2752" i="2"/>
  <c r="G2565" i="2"/>
  <c r="K2561" i="2"/>
  <c r="T2677" i="2"/>
  <c r="V2754" i="2"/>
  <c r="W2659" i="2"/>
  <c r="F2656" i="2"/>
  <c r="P2688" i="2"/>
  <c r="O2767" i="2"/>
  <c r="L2713" i="2"/>
  <c r="F2705" i="2"/>
  <c r="G2696" i="2"/>
  <c r="R2751" i="2"/>
  <c r="J2698" i="2"/>
  <c r="E2786" i="2"/>
  <c r="K2593" i="2"/>
  <c r="E2717" i="2"/>
  <c r="G2684" i="2"/>
  <c r="D2679" i="2"/>
  <c r="N2654" i="2"/>
  <c r="V2675" i="2"/>
  <c r="F2611" i="2"/>
  <c r="J2607" i="2"/>
  <c r="R2615" i="2"/>
  <c r="M2745" i="2"/>
  <c r="I2648" i="2"/>
  <c r="D2633" i="2"/>
  <c r="M2600" i="2"/>
  <c r="L2605" i="2"/>
  <c r="U2620" i="2"/>
  <c r="H2647" i="2"/>
  <c r="V2655" i="2"/>
  <c r="Q2640" i="2"/>
  <c r="V2637" i="2"/>
  <c r="U2634" i="2"/>
  <c r="V2582" i="2"/>
  <c r="W2555" i="2"/>
  <c r="K2493" i="2"/>
  <c r="O2679" i="2"/>
  <c r="V2591" i="2"/>
  <c r="T2683" i="2"/>
  <c r="S2659" i="2"/>
  <c r="D2596" i="2"/>
  <c r="R2605" i="2"/>
  <c r="S2658" i="2"/>
  <c r="C2632" i="2"/>
  <c r="I2595" i="2"/>
  <c r="W2604" i="2"/>
  <c r="L2687" i="2"/>
  <c r="N2603" i="2"/>
  <c r="I2686" i="2"/>
  <c r="O2602" i="2"/>
  <c r="L2695" i="2"/>
  <c r="C2680" i="2"/>
  <c r="S2716" i="2"/>
  <c r="W2712" i="2"/>
  <c r="Q2746" i="2"/>
  <c r="I2620" i="2"/>
  <c r="Q2683" i="2"/>
  <c r="J2619" i="2"/>
  <c r="N2690" i="2"/>
  <c r="M2616" i="2"/>
  <c r="L2668" i="2"/>
  <c r="N2615" i="2"/>
  <c r="H2667" i="2"/>
  <c r="I2588" i="2"/>
  <c r="V2665" i="2"/>
  <c r="J2587" i="2"/>
  <c r="R2673" i="2"/>
  <c r="H2593" i="2"/>
  <c r="V2663" i="2"/>
  <c r="E2604" i="2"/>
  <c r="I2600" i="2"/>
  <c r="P2659" i="2"/>
  <c r="E2599" i="2"/>
  <c r="S2608" i="2"/>
  <c r="W2691" i="2"/>
  <c r="D2635" i="2"/>
  <c r="J2598" i="2"/>
  <c r="C2608" i="2"/>
  <c r="E2695" i="2"/>
  <c r="G2622" i="2"/>
  <c r="J2665" i="2"/>
  <c r="F2604" i="2"/>
  <c r="U2679" i="2"/>
  <c r="K2618" i="2"/>
  <c r="N2507" i="2"/>
  <c r="E2580" i="2"/>
  <c r="F2531" i="2"/>
  <c r="D2638" i="2"/>
  <c r="U2524" i="2"/>
  <c r="S2552" i="2"/>
  <c r="P2529" i="2"/>
  <c r="C2635" i="2"/>
  <c r="E2524" i="2"/>
  <c r="C2552" i="2"/>
  <c r="R2471" i="2"/>
  <c r="R2554" i="2"/>
  <c r="G2631" i="2"/>
  <c r="F2523" i="2"/>
  <c r="O2533" i="2"/>
  <c r="Q2471" i="2"/>
  <c r="M2639" i="2"/>
  <c r="T2744" i="2"/>
  <c r="M2679" i="2"/>
  <c r="U2556" i="2"/>
  <c r="U2583" i="2"/>
  <c r="N2593" i="2"/>
  <c r="V2622" i="2"/>
  <c r="C2683" i="2"/>
  <c r="E2583" i="2"/>
  <c r="S2592" i="2"/>
  <c r="H2671" i="2"/>
  <c r="J2591" i="2"/>
  <c r="V2669" i="2"/>
  <c r="K2590" i="2"/>
  <c r="V2677" i="2"/>
  <c r="Q2675" i="2"/>
  <c r="V2679" i="2"/>
  <c r="E2676" i="2"/>
  <c r="T2685" i="2"/>
  <c r="E2608" i="2"/>
  <c r="O2692" i="2"/>
  <c r="F2607" i="2"/>
  <c r="O2688" i="2"/>
  <c r="I2604" i="2"/>
  <c r="H2687" i="2"/>
  <c r="J2603" i="2"/>
  <c r="J2662" i="2"/>
  <c r="E2576" i="2"/>
  <c r="Q2749" i="2"/>
  <c r="S2751" i="2"/>
  <c r="M2720" i="2"/>
  <c r="D2750" i="2"/>
  <c r="J2671" i="2"/>
  <c r="U2767" i="2"/>
  <c r="O2731" i="2"/>
  <c r="G2741" i="2"/>
  <c r="G2693" i="2"/>
  <c r="J2750" i="2"/>
  <c r="P2689" i="2"/>
  <c r="Q2693" i="2"/>
  <c r="V2727" i="2"/>
  <c r="G2698" i="2"/>
  <c r="G2677" i="2"/>
  <c r="O2622" i="2"/>
  <c r="I2684" i="2"/>
  <c r="N2659" i="2"/>
  <c r="I2644" i="2"/>
  <c r="R2660" i="2"/>
  <c r="J2722" i="2"/>
  <c r="W2677" i="2"/>
  <c r="H2765" i="2"/>
  <c r="Q2657" i="2"/>
  <c r="M2790" i="2"/>
  <c r="S2792" i="2"/>
  <c r="F2750" i="2"/>
  <c r="O2641" i="2"/>
  <c r="P2723" i="2"/>
  <c r="U2649" i="2"/>
  <c r="D2646" i="2"/>
  <c r="K2638" i="2"/>
  <c r="E2683" i="2"/>
  <c r="J2574" i="2"/>
  <c r="N2570" i="2"/>
  <c r="V2611" i="2"/>
  <c r="I2722" i="2"/>
  <c r="P2709" i="2"/>
  <c r="G2704" i="2"/>
  <c r="U2608" i="2"/>
  <c r="P2693" i="2"/>
  <c r="U2731" i="2"/>
  <c r="P2716" i="2"/>
  <c r="C2698" i="2"/>
  <c r="U2701" i="2"/>
  <c r="D2601" i="2"/>
  <c r="T2672" i="2"/>
  <c r="L2647" i="2"/>
  <c r="E2692" i="2"/>
  <c r="Q2698" i="2"/>
  <c r="H2691" i="2"/>
  <c r="K2665" i="2"/>
  <c r="J2771" i="2"/>
  <c r="V2683" i="2"/>
  <c r="Q2668" i="2"/>
  <c r="E2682" i="2"/>
  <c r="P2697" i="2"/>
  <c r="I2611" i="2"/>
  <c r="N2610" i="2"/>
  <c r="C2654" i="2"/>
  <c r="M2520" i="2"/>
  <c r="D2537" i="2"/>
  <c r="I2536" i="2"/>
  <c r="D2631" i="2"/>
  <c r="C2497" i="2"/>
  <c r="M2534" i="2"/>
  <c r="M2739" i="2"/>
  <c r="G2668" i="2"/>
  <c r="J2646" i="2"/>
  <c r="I2651" i="2"/>
  <c r="I2547" i="2"/>
  <c r="W2556" i="2"/>
  <c r="J2586" i="2"/>
  <c r="F2632" i="2"/>
  <c r="N2546" i="2"/>
  <c r="F2629" i="2"/>
  <c r="H2640" i="2"/>
  <c r="S2554" i="2"/>
  <c r="I2639" i="2"/>
  <c r="K2635" i="2"/>
  <c r="G2645" i="2"/>
  <c r="G2665" i="2"/>
  <c r="E2768" i="2"/>
  <c r="J2700" i="2"/>
  <c r="J2739" i="2"/>
  <c r="N2571" i="2"/>
  <c r="D2656" i="2"/>
  <c r="O2757" i="2"/>
  <c r="G2653" i="2"/>
  <c r="R2567" i="2"/>
  <c r="H2652" i="2"/>
  <c r="O2736" i="2"/>
  <c r="U2709" i="2"/>
  <c r="P2670" i="2"/>
  <c r="L2698" i="2"/>
  <c r="Q2592" i="2"/>
  <c r="W2629" i="2"/>
  <c r="M2544" i="2"/>
  <c r="R2740" i="2"/>
  <c r="K2684" i="2"/>
  <c r="N2658" i="2"/>
  <c r="F2668" i="2"/>
  <c r="J2550" i="2"/>
  <c r="C2560" i="2"/>
  <c r="K2589" i="2"/>
  <c r="G2635" i="2"/>
  <c r="O2549" i="2"/>
  <c r="J2641" i="2"/>
  <c r="V2658" i="2"/>
  <c r="L2573" i="2"/>
  <c r="W2586" i="2"/>
  <c r="M2733" i="2"/>
  <c r="E2655" i="2"/>
  <c r="P2569" i="2"/>
  <c r="H2606" i="2"/>
  <c r="C2638" i="2"/>
  <c r="I2476" i="2"/>
  <c r="U2563" i="2"/>
  <c r="M2649" i="2"/>
  <c r="R2527" i="2"/>
  <c r="N2475" i="2"/>
  <c r="J2562" i="2"/>
  <c r="L2646" i="2"/>
  <c r="E2615" i="2"/>
  <c r="N2522" i="2"/>
  <c r="E2594" i="2"/>
  <c r="L2560" i="2"/>
  <c r="S2556" i="2"/>
  <c r="T2484" i="2"/>
  <c r="E2765" i="2"/>
  <c r="J2673" i="2"/>
  <c r="D2722" i="2"/>
  <c r="E2646" i="2"/>
  <c r="M2685" i="2"/>
  <c r="I2676" i="2"/>
  <c r="S2544" i="2"/>
  <c r="G2686" i="2"/>
  <c r="S2646" i="2"/>
  <c r="E2664" i="2"/>
  <c r="I2629" i="2"/>
  <c r="D2628" i="2"/>
  <c r="O2542" i="2"/>
  <c r="Q2747" i="2"/>
  <c r="S2598" i="2"/>
  <c r="M2794" i="2"/>
  <c r="T2737" i="2"/>
  <c r="H2711" i="2"/>
  <c r="J2678" i="2"/>
  <c r="I2692" i="2"/>
  <c r="J2559" i="2"/>
  <c r="U2643" i="2"/>
  <c r="R2716" i="2"/>
  <c r="C2641" i="2"/>
  <c r="N2555" i="2"/>
  <c r="D2640" i="2"/>
  <c r="V2691" i="2"/>
  <c r="J2661" i="2"/>
  <c r="P2624" i="2"/>
  <c r="K2660" i="2"/>
  <c r="E2572" i="2"/>
  <c r="I2673" i="2"/>
  <c r="P2766" i="2"/>
  <c r="P2696" i="2"/>
  <c r="W2637" i="2"/>
  <c r="I2658" i="2"/>
  <c r="J2740" i="2"/>
  <c r="E2660" i="2"/>
  <c r="R2714" i="2"/>
  <c r="E2760" i="2"/>
  <c r="H2705" i="2"/>
  <c r="U2726" i="2"/>
  <c r="E2798" i="2"/>
  <c r="W2678" i="2"/>
  <c r="L2636" i="2"/>
  <c r="C2736" i="2"/>
  <c r="I2694" i="2"/>
  <c r="T2728" i="2"/>
  <c r="L2686" i="2"/>
  <c r="G2643" i="2"/>
  <c r="K2670" i="2"/>
  <c r="K2694" i="2"/>
  <c r="M2654" i="2"/>
  <c r="K2594" i="2"/>
  <c r="J2686" i="2"/>
  <c r="J2692" i="2"/>
  <c r="E2677" i="2"/>
  <c r="E2575" i="2"/>
  <c r="T2720" i="2"/>
  <c r="C2677" i="2"/>
  <c r="C2718" i="2"/>
  <c r="D2572" i="2"/>
  <c r="G2742" i="2"/>
  <c r="N2670" i="2"/>
  <c r="O2668" i="2"/>
  <c r="F2669" i="2"/>
  <c r="L2714" i="2"/>
  <c r="O2681" i="2"/>
  <c r="C2731" i="2"/>
  <c r="W2577" i="2"/>
  <c r="Q2743" i="2"/>
  <c r="C2659" i="2"/>
  <c r="G2655" i="2"/>
  <c r="Q2701" i="2"/>
  <c r="L2819" i="2"/>
  <c r="H2708" i="2"/>
  <c r="S2715" i="2"/>
  <c r="E2694" i="2"/>
  <c r="T2689" i="2"/>
  <c r="P2682" i="2"/>
  <c r="N2703" i="2"/>
  <c r="U2662" i="2"/>
  <c r="O2685" i="2"/>
  <c r="K2680" i="2"/>
  <c r="M2655" i="2"/>
  <c r="T2660" i="2"/>
  <c r="I2688" i="2"/>
  <c r="G2610" i="2"/>
  <c r="K2606" i="2"/>
  <c r="S2614" i="2"/>
  <c r="N2747" i="2"/>
  <c r="M2644" i="2"/>
  <c r="H2629" i="2"/>
  <c r="N2599" i="2"/>
  <c r="R2640" i="2"/>
  <c r="W2620" i="2"/>
  <c r="G2620" i="2"/>
  <c r="I2546" i="2"/>
  <c r="T2633" i="2"/>
  <c r="W2564" i="2"/>
  <c r="G2564" i="2"/>
  <c r="J2535" i="2"/>
  <c r="P2726" i="2"/>
  <c r="T2795" i="2"/>
  <c r="U2592" i="2"/>
  <c r="D2589" i="2"/>
  <c r="U2560" i="2"/>
  <c r="E2645" i="2"/>
  <c r="E2673" i="2"/>
  <c r="V2531" i="2"/>
  <c r="S2676" i="2"/>
  <c r="N2595" i="2"/>
  <c r="G2663" i="2"/>
  <c r="O2711" i="2"/>
  <c r="C2640" i="2"/>
  <c r="I2603" i="2"/>
  <c r="D2639" i="2"/>
  <c r="S2550" i="2"/>
  <c r="K2815" i="2"/>
  <c r="U2671" i="2"/>
  <c r="R2746" i="2"/>
  <c r="O2651" i="2"/>
  <c r="Q2635" i="2"/>
  <c r="D2620" i="2"/>
  <c r="T2655" i="2"/>
  <c r="N2728" i="2"/>
  <c r="W2652" i="2"/>
  <c r="H2616" i="2"/>
  <c r="C2652" i="2"/>
  <c r="Q2734" i="2"/>
  <c r="F2712" i="2"/>
  <c r="D2588" i="2"/>
  <c r="C2699" i="2"/>
  <c r="P2649" i="2"/>
  <c r="R2629" i="2"/>
  <c r="W2742" i="2"/>
  <c r="D2605" i="2"/>
  <c r="H2601" i="2"/>
  <c r="D2573" i="2"/>
  <c r="G2651" i="2"/>
  <c r="N2629" i="2"/>
  <c r="W2534" i="2"/>
  <c r="W2680" i="2"/>
  <c r="O2598" i="2"/>
  <c r="O2739" i="2"/>
  <c r="M2564" i="2"/>
  <c r="Q2658" i="2"/>
  <c r="W2621" i="2"/>
  <c r="U2644" i="2"/>
  <c r="Q2560" i="2"/>
  <c r="U2654" i="2"/>
  <c r="I2563" i="2"/>
  <c r="O2509" i="2"/>
  <c r="V2651" i="2"/>
  <c r="E2527" i="2"/>
  <c r="Q2598" i="2"/>
  <c r="O2569" i="2"/>
  <c r="R2639" i="2"/>
  <c r="J2526" i="2"/>
  <c r="V2597" i="2"/>
  <c r="D2568" i="2"/>
  <c r="S2624" i="2"/>
  <c r="L2685" i="2"/>
  <c r="J2545" i="2"/>
  <c r="W2596" i="2"/>
  <c r="K2608" i="2"/>
  <c r="P2587" i="2"/>
  <c r="O2735" i="2"/>
  <c r="E2544" i="2"/>
  <c r="T2682" i="2"/>
  <c r="K2609" i="2"/>
  <c r="T2649" i="2"/>
  <c r="U2636" i="2"/>
  <c r="R2519" i="2"/>
  <c r="J2696" i="2"/>
  <c r="J2583" i="2"/>
  <c r="O2626" i="2"/>
  <c r="E2715" i="2"/>
  <c r="T2627" i="2"/>
  <c r="E2591" i="2"/>
  <c r="T2756" i="2"/>
  <c r="T2661" i="2"/>
  <c r="N2763" i="2"/>
  <c r="C2734" i="2"/>
  <c r="I2710" i="2"/>
  <c r="W2614" i="2"/>
  <c r="T2659" i="2"/>
  <c r="U2607" i="2"/>
  <c r="P2643" i="2"/>
  <c r="S2723" i="2"/>
  <c r="S2640" i="2"/>
  <c r="D2604" i="2"/>
  <c r="T2639" i="2"/>
  <c r="W2690" i="2"/>
  <c r="M2661" i="2"/>
  <c r="U2575" i="2"/>
  <c r="N2660" i="2"/>
  <c r="P2620" i="2"/>
  <c r="U2673" i="2"/>
  <c r="G2737" i="2"/>
  <c r="I2556" i="2"/>
  <c r="M2552" i="2"/>
  <c r="O2621" i="2"/>
  <c r="N2720" i="2"/>
  <c r="Q2629" i="2"/>
  <c r="G2702" i="2"/>
  <c r="D2724" i="2"/>
  <c r="L2800" i="2"/>
  <c r="G2803" i="2"/>
  <c r="K2744" i="2"/>
  <c r="M2746" i="2"/>
  <c r="G2807" i="2"/>
  <c r="N2666" i="2"/>
  <c r="M2710" i="2"/>
  <c r="V2762" i="2"/>
  <c r="E2712" i="2"/>
  <c r="F2648" i="2"/>
  <c r="Q2672" i="2"/>
  <c r="E2711" i="2"/>
  <c r="L2681" i="2"/>
  <c r="T2635" i="2"/>
  <c r="S2663" i="2"/>
  <c r="L2707" i="2"/>
  <c r="I2743" i="2"/>
  <c r="K2673" i="2"/>
  <c r="L2718" i="2"/>
  <c r="S2724" i="2"/>
  <c r="D2719" i="2"/>
  <c r="H2806" i="2"/>
  <c r="R2789" i="2"/>
  <c r="H2665" i="2"/>
  <c r="N2642" i="2"/>
  <c r="J2711" i="2"/>
  <c r="T2650" i="2"/>
  <c r="C2647" i="2"/>
  <c r="G2642" i="2"/>
  <c r="C2662" i="2"/>
  <c r="F2578" i="2"/>
  <c r="P2669" i="2"/>
  <c r="F2670" i="2"/>
  <c r="R2738" i="2"/>
  <c r="U2698" i="2"/>
  <c r="T2673" i="2"/>
  <c r="C2670" i="2"/>
  <c r="H2753" i="2"/>
  <c r="I2699" i="2"/>
  <c r="L2702" i="2"/>
  <c r="E2630" i="2"/>
  <c r="T2711" i="2"/>
  <c r="C2602" i="2"/>
  <c r="G2598" i="2"/>
  <c r="C2570" i="2"/>
  <c r="W2574" i="2"/>
  <c r="Q2741" i="2"/>
  <c r="F2693" i="2"/>
  <c r="L2684" i="2"/>
  <c r="C2689" i="2"/>
  <c r="G2731" i="2"/>
  <c r="R2712" i="2"/>
  <c r="L2683" i="2"/>
  <c r="E2690" i="2"/>
  <c r="V2636" i="2"/>
  <c r="D2553" i="2"/>
  <c r="L2576" i="2"/>
  <c r="E2680" i="2"/>
  <c r="C2595" i="2"/>
  <c r="V2588" i="2"/>
  <c r="V2483" i="2"/>
  <c r="Q2508" i="2"/>
  <c r="J2491" i="2"/>
  <c r="M2667" i="2"/>
  <c r="C2672" i="2"/>
  <c r="U2666" i="2"/>
  <c r="K2645" i="2"/>
  <c r="R2559" i="2"/>
  <c r="P2580" i="2"/>
  <c r="H2597" i="2"/>
  <c r="H2632" i="2"/>
  <c r="S2546" i="2"/>
  <c r="O2577" i="2"/>
  <c r="L2772" i="2"/>
  <c r="F2640" i="2"/>
  <c r="N2554" i="2"/>
  <c r="G2639" i="2"/>
  <c r="I2599" i="2"/>
  <c r="R2777" i="2"/>
  <c r="V2670" i="2"/>
  <c r="U2741" i="2"/>
  <c r="W2565" i="2"/>
  <c r="V2656" i="2"/>
  <c r="I2571" i="2"/>
  <c r="W2655" i="2"/>
  <c r="R2724" i="2"/>
  <c r="E2653" i="2"/>
  <c r="M2567" i="2"/>
  <c r="F2652" i="2"/>
  <c r="L2715" i="2"/>
  <c r="L2674" i="2"/>
  <c r="T2666" i="2"/>
  <c r="S2662" i="2"/>
  <c r="D2584" i="2"/>
  <c r="U2629" i="2"/>
  <c r="R2667" i="2"/>
  <c r="G2688" i="2"/>
  <c r="H2683" i="2"/>
  <c r="O2657" i="2"/>
  <c r="T2565" i="2"/>
  <c r="T2592" i="2"/>
  <c r="V2607" i="2"/>
  <c r="I2635" i="2"/>
  <c r="T2549" i="2"/>
  <c r="S2589" i="2"/>
  <c r="C2613" i="2"/>
  <c r="T2658" i="2"/>
  <c r="G2573" i="2"/>
  <c r="U2582" i="2"/>
  <c r="G2609" i="2"/>
  <c r="C2655" i="2"/>
  <c r="W2572" i="2"/>
  <c r="T2678" i="2"/>
  <c r="E2555" i="2"/>
  <c r="J2478" i="2"/>
  <c r="V2549" i="2"/>
  <c r="N2601" i="2"/>
  <c r="C2549" i="2"/>
  <c r="O2477" i="2"/>
  <c r="F2549" i="2"/>
  <c r="S2600" i="2"/>
  <c r="C2522" i="2"/>
  <c r="C2646" i="2"/>
  <c r="I2520" i="2"/>
  <c r="G2548" i="2"/>
  <c r="I2484" i="2"/>
  <c r="T2706" i="2"/>
  <c r="K2574" i="2"/>
  <c r="I2734" i="2"/>
  <c r="E2587" i="2"/>
  <c r="N2740" i="2"/>
  <c r="W2719" i="2"/>
  <c r="J2695" i="2"/>
  <c r="V2623" i="2"/>
  <c r="P2637" i="2"/>
  <c r="T2640" i="2"/>
  <c r="J2657" i="2"/>
  <c r="Q2559" i="2"/>
  <c r="W2578" i="2"/>
  <c r="P2694" i="2"/>
  <c r="C2658" i="2"/>
  <c r="F2558" i="2"/>
  <c r="T2600" i="2"/>
  <c r="P2646" i="2"/>
  <c r="C2561" i="2"/>
  <c r="Q2570" i="2"/>
  <c r="C2597" i="2"/>
  <c r="T2642" i="2"/>
  <c r="N2545" i="2"/>
  <c r="M2669" i="2"/>
  <c r="I2594" i="2"/>
  <c r="S2684" i="2"/>
  <c r="P2618" i="2"/>
  <c r="J2589" i="2"/>
  <c r="H2591" i="2"/>
  <c r="O2680" i="2"/>
  <c r="O2615" i="2"/>
  <c r="O2588" i="2"/>
  <c r="I2508" i="2"/>
  <c r="F2583" i="2"/>
  <c r="P2675" i="2"/>
  <c r="S2611" i="2"/>
  <c r="O2470" i="2"/>
  <c r="H2542" i="2"/>
  <c r="W2739" i="2"/>
  <c r="K2628" i="2"/>
  <c r="E2709" i="2"/>
  <c r="I2645" i="2"/>
  <c r="L2620" i="2"/>
  <c r="S2638" i="2"/>
  <c r="G2562" i="2"/>
  <c r="K2656" i="2"/>
  <c r="Q2619" i="2"/>
  <c r="R2635" i="2"/>
  <c r="H2674" i="2"/>
  <c r="F2579" i="2"/>
  <c r="V2668" i="2"/>
  <c r="G2578" i="2"/>
  <c r="M2701" i="2"/>
  <c r="R2674" i="2"/>
  <c r="Q2679" i="2"/>
  <c r="M2721" i="2"/>
  <c r="T2773" i="2"/>
  <c r="V2595" i="2"/>
  <c r="C2676" i="2"/>
  <c r="W2594" i="2"/>
  <c r="G2672" i="2"/>
  <c r="E2592" i="2"/>
  <c r="D2671" i="2"/>
  <c r="C2696" i="2"/>
  <c r="K2649" i="2"/>
  <c r="V2563" i="2"/>
  <c r="L2648" i="2"/>
  <c r="W2695" i="2"/>
  <c r="J2654" i="2"/>
  <c r="U2568" i="2"/>
  <c r="S2602" i="2"/>
  <c r="N2693" i="2"/>
  <c r="S2678" i="2"/>
  <c r="O2617" i="2"/>
  <c r="R2574" i="2"/>
  <c r="K2584" i="2"/>
  <c r="S2613" i="2"/>
  <c r="O2659" i="2"/>
  <c r="W2573" i="2"/>
  <c r="P2583" i="2"/>
  <c r="T2679" i="2"/>
  <c r="T2597" i="2"/>
  <c r="M2697" i="2"/>
  <c r="L2533" i="2"/>
  <c r="U2674" i="2"/>
  <c r="C2594" i="2"/>
  <c r="F2483" i="2"/>
  <c r="U2579" i="2"/>
  <c r="Q2500" i="2"/>
  <c r="Q2552" i="2"/>
  <c r="O2649" i="2"/>
  <c r="I2581" i="2"/>
  <c r="V2499" i="2"/>
  <c r="P2549" i="2"/>
  <c r="N2646" i="2"/>
  <c r="H2578" i="2"/>
  <c r="N2560" i="2"/>
  <c r="M2618" i="2"/>
  <c r="T2545" i="2"/>
  <c r="S2498" i="2"/>
  <c r="G2509" i="2"/>
  <c r="O2559" i="2"/>
  <c r="P2644" i="2"/>
  <c r="M2718" i="2"/>
  <c r="R2697" i="2"/>
  <c r="P2664" i="2"/>
  <c r="M2559" i="2"/>
  <c r="F2569" i="2"/>
  <c r="N2598" i="2"/>
  <c r="J2644" i="2"/>
  <c r="R2558" i="2"/>
  <c r="K2568" i="2"/>
  <c r="T2675" i="2"/>
  <c r="S2594" i="2"/>
  <c r="F2660" i="2"/>
  <c r="K2530" i="2"/>
  <c r="Q2670" i="2"/>
  <c r="W2590" i="2"/>
  <c r="E2480" i="2"/>
  <c r="M2571" i="2"/>
  <c r="P2497" i="2"/>
  <c r="U2685" i="2"/>
  <c r="K2637" i="2"/>
  <c r="E2569" i="2"/>
  <c r="U2496" i="2"/>
  <c r="H2657" i="2"/>
  <c r="J2634" i="2"/>
  <c r="D2566" i="2"/>
  <c r="J2548" i="2"/>
  <c r="L2615" i="2"/>
  <c r="C2642" i="2"/>
  <c r="R2495" i="2"/>
  <c r="M2714" i="2"/>
  <c r="Q2580" i="2"/>
  <c r="U2576" i="2"/>
  <c r="Q2548" i="2"/>
  <c r="C2639" i="2"/>
  <c r="D2654" i="2"/>
  <c r="U2528" i="2"/>
  <c r="S2672" i="2"/>
  <c r="M2592" i="2"/>
  <c r="C2651" i="2"/>
  <c r="K2558" i="2"/>
  <c r="O2652" i="2"/>
  <c r="U2615" i="2"/>
  <c r="N2625" i="2"/>
  <c r="O2554" i="2"/>
  <c r="S2648" i="2"/>
  <c r="F2663" i="2"/>
  <c r="M2503" i="2"/>
  <c r="C2609" i="2"/>
  <c r="C2521" i="2"/>
  <c r="O2592" i="2"/>
  <c r="K2557" i="2"/>
  <c r="W2605" i="2"/>
  <c r="H2520" i="2"/>
  <c r="T2591" i="2"/>
  <c r="U2555" i="2"/>
  <c r="K2600" i="2"/>
  <c r="J2693" i="2"/>
  <c r="R2624" i="2"/>
  <c r="U2590" i="2"/>
  <c r="C2584" i="2"/>
  <c r="H2563" i="2"/>
  <c r="O2629" i="2"/>
  <c r="R2689" i="2"/>
  <c r="R2685" i="2"/>
  <c r="V2598" i="2"/>
  <c r="C2537" i="2"/>
  <c r="I2576" i="2"/>
  <c r="H2573" i="2"/>
  <c r="K2624" i="2"/>
  <c r="K2547" i="2"/>
  <c r="E2468" i="2"/>
  <c r="Q2448" i="2"/>
  <c r="G2662" i="2"/>
  <c r="R2447" i="2"/>
  <c r="C2414" i="2"/>
  <c r="G2377" i="2"/>
  <c r="G2493" i="2"/>
  <c r="Q2530" i="2"/>
  <c r="E2613" i="2"/>
  <c r="U2444" i="2"/>
  <c r="M2605" i="2"/>
  <c r="V2443" i="2"/>
  <c r="K2406" i="2"/>
  <c r="D2575" i="2"/>
  <c r="K2489" i="2"/>
  <c r="U2526" i="2"/>
  <c r="P2582" i="2"/>
  <c r="D2441" i="2"/>
  <c r="C2575" i="2"/>
  <c r="E2440" i="2"/>
  <c r="S2398" i="2"/>
  <c r="R2560" i="2"/>
  <c r="E2428" i="2"/>
  <c r="U2653" i="2"/>
  <c r="W2641" i="2"/>
  <c r="V2638" i="2"/>
  <c r="R2562" i="2"/>
  <c r="T2524" i="2"/>
  <c r="T2624" i="2"/>
  <c r="S2621" i="2"/>
  <c r="G2612" i="2"/>
  <c r="N2537" i="2"/>
  <c r="G2619" i="2"/>
  <c r="P2445" i="2"/>
  <c r="O2611" i="2"/>
  <c r="Q2444" i="2"/>
  <c r="V2407" i="2"/>
  <c r="E2578" i="2"/>
  <c r="F2490" i="2"/>
  <c r="P2527" i="2"/>
  <c r="R2588" i="2"/>
  <c r="T2441" i="2"/>
  <c r="E2581" i="2"/>
  <c r="U2440" i="2"/>
  <c r="I2400" i="2"/>
  <c r="U2562" i="2"/>
  <c r="J2486" i="2"/>
  <c r="T2523" i="2"/>
  <c r="H2558" i="2"/>
  <c r="C2438" i="2"/>
  <c r="P2550" i="2"/>
  <c r="D2437" i="2"/>
  <c r="Q2392" i="2"/>
  <c r="M2671" i="2"/>
  <c r="C2605" i="2"/>
  <c r="W2601" i="2"/>
  <c r="V2585" i="2"/>
  <c r="O2672" i="2"/>
  <c r="O2604" i="2"/>
  <c r="T2603" i="2"/>
  <c r="H2551" i="2"/>
  <c r="G2516" i="2"/>
  <c r="E2531" i="2"/>
  <c r="K2430" i="2"/>
  <c r="G2529" i="2"/>
  <c r="L2429" i="2"/>
  <c r="P2573" i="2"/>
  <c r="K2679" i="2"/>
  <c r="S2642" i="2"/>
  <c r="N2550" i="2"/>
  <c r="T2569" i="2"/>
  <c r="J2664" i="2"/>
  <c r="U2599" i="2"/>
  <c r="R2518" i="2"/>
  <c r="I2590" i="2"/>
  <c r="H2536" i="2"/>
  <c r="T2607" i="2"/>
  <c r="L2600" i="2"/>
  <c r="E2488" i="2"/>
  <c r="M2535" i="2"/>
  <c r="D2607" i="2"/>
  <c r="K2597" i="2"/>
  <c r="O2723" i="2"/>
  <c r="F2645" i="2"/>
  <c r="L2682" i="2"/>
  <c r="W2627" i="2"/>
  <c r="R2754" i="2"/>
  <c r="R2644" i="2"/>
  <c r="V2640" i="2"/>
  <c r="U2624" i="2"/>
  <c r="K2695" i="2"/>
  <c r="D2581" i="2"/>
  <c r="S2661" i="2"/>
  <c r="D2569" i="2"/>
  <c r="O2596" i="2"/>
  <c r="W2625" i="2"/>
  <c r="G2695" i="2"/>
  <c r="F2586" i="2"/>
  <c r="T2595" i="2"/>
  <c r="M2698" i="2"/>
  <c r="C2610" i="2"/>
  <c r="V2696" i="2"/>
  <c r="K2555" i="2"/>
  <c r="D2691" i="2"/>
  <c r="G2606" i="2"/>
  <c r="J2495" i="2"/>
  <c r="U2632" i="2"/>
  <c r="U2512" i="2"/>
  <c r="L2601" i="2"/>
  <c r="H2722" i="2"/>
  <c r="O2638" i="2"/>
  <c r="E2512" i="2"/>
  <c r="K2598" i="2"/>
  <c r="V2697" i="2"/>
  <c r="C2627" i="2"/>
  <c r="I2609" i="2"/>
  <c r="D2641" i="2"/>
  <c r="O2594" i="2"/>
  <c r="W2510" i="2"/>
  <c r="K2521" i="2"/>
  <c r="J2608" i="2"/>
  <c r="C2554" i="2"/>
  <c r="S2740" i="2"/>
  <c r="N2678" i="2"/>
  <c r="K2605" i="2"/>
  <c r="Q2571" i="2"/>
  <c r="J2581" i="2"/>
  <c r="R2610" i="2"/>
  <c r="N2656" i="2"/>
  <c r="V2570" i="2"/>
  <c r="O2580" i="2"/>
  <c r="Q2665" i="2"/>
  <c r="D2629" i="2"/>
  <c r="M2663" i="2"/>
  <c r="F2575" i="2"/>
  <c r="C2767" i="2"/>
  <c r="W2708" i="2"/>
  <c r="K2674" i="2"/>
  <c r="Q2651" i="2"/>
  <c r="J2681" i="2"/>
  <c r="F2547" i="2"/>
  <c r="Q2631" i="2"/>
  <c r="E2731" i="2"/>
  <c r="T2628" i="2"/>
  <c r="J2543" i="2"/>
  <c r="U2627" i="2"/>
  <c r="Q2691" i="2"/>
  <c r="F2649" i="2"/>
  <c r="L2612" i="2"/>
  <c r="G2648" i="2"/>
  <c r="V2559" i="2"/>
  <c r="E2654" i="2"/>
  <c r="V2753" i="2"/>
  <c r="R2653" i="2"/>
  <c r="R2637" i="2"/>
  <c r="L2658" i="2"/>
  <c r="D2651" i="2"/>
  <c r="N2673" i="2"/>
  <c r="H2610" i="2"/>
  <c r="F2698" i="2"/>
  <c r="W2622" i="2"/>
  <c r="N2669" i="2"/>
  <c r="U2604" i="2"/>
  <c r="N2634" i="2"/>
  <c r="D2549" i="2"/>
  <c r="R2586" i="2"/>
  <c r="G2594" i="2"/>
  <c r="R2630" i="2"/>
  <c r="H2545" i="2"/>
  <c r="W2533" i="2"/>
  <c r="N2605" i="2"/>
  <c r="T2578" i="2"/>
  <c r="D2623" i="2"/>
  <c r="E2564" i="2"/>
  <c r="J2503" i="2"/>
  <c r="S2575" i="2"/>
  <c r="I2622" i="2"/>
  <c r="D2561" i="2"/>
  <c r="C2645" i="2"/>
  <c r="F2498" i="2"/>
  <c r="R2569" i="2"/>
  <c r="J2621" i="2"/>
  <c r="C2628" i="2"/>
  <c r="C2606" i="2"/>
  <c r="D2753" i="2"/>
  <c r="M2629" i="2"/>
  <c r="P2686" i="2"/>
  <c r="P2609" i="2"/>
  <c r="D2686" i="2"/>
  <c r="N2672" i="2"/>
  <c r="I2549" i="2"/>
  <c r="V2693" i="2"/>
  <c r="R2607" i="2"/>
  <c r="D2663" i="2"/>
  <c r="R2595" i="2"/>
  <c r="M2631" i="2"/>
  <c r="C2546" i="2"/>
  <c r="V2574" i="2"/>
  <c r="E2588" i="2"/>
  <c r="Q2627" i="2"/>
  <c r="G2542" i="2"/>
  <c r="V2530" i="2"/>
  <c r="M2602" i="2"/>
  <c r="P2566" i="2"/>
  <c r="C2620" i="2"/>
  <c r="V2551" i="2"/>
  <c r="I2500" i="2"/>
  <c r="O2563" i="2"/>
  <c r="H2619" i="2"/>
  <c r="U2548" i="2"/>
  <c r="S2644" i="2"/>
  <c r="E2495" i="2"/>
  <c r="Q2566" i="2"/>
  <c r="I2618" i="2"/>
  <c r="F2628" i="2"/>
  <c r="I2666" i="2"/>
  <c r="I2677" i="2"/>
  <c r="F2662" i="2"/>
  <c r="G2633" i="2"/>
  <c r="P2553" i="2"/>
  <c r="U2571" i="2"/>
  <c r="F2591" i="2"/>
  <c r="G2629" i="2"/>
  <c r="R2543" i="2"/>
  <c r="J2570" i="2"/>
  <c r="V2606" i="2"/>
  <c r="R2652" i="2"/>
  <c r="E2567" i="2"/>
  <c r="S2576" i="2"/>
  <c r="E2603" i="2"/>
  <c r="V2648" i="2"/>
  <c r="R2557" i="2"/>
  <c r="G2641" i="2"/>
  <c r="Q2618" i="2"/>
  <c r="G2739" i="2"/>
  <c r="T2543" i="2"/>
  <c r="L2595" i="2"/>
  <c r="P2615" i="2"/>
  <c r="K2697" i="2"/>
  <c r="D2543" i="2"/>
  <c r="Q2594" i="2"/>
  <c r="K2514" i="2"/>
  <c r="N2607" i="2"/>
  <c r="F2682" i="2"/>
  <c r="W2662" i="2"/>
  <c r="Q2476" i="2"/>
  <c r="H2590" i="2"/>
  <c r="V2649" i="2"/>
  <c r="L2622" i="2"/>
  <c r="D2617" i="2"/>
  <c r="T2601" i="2"/>
  <c r="O2608" i="2"/>
  <c r="K2506" i="2"/>
  <c r="U2694" i="2"/>
  <c r="H2628" i="2"/>
  <c r="R2485" i="2"/>
  <c r="H2472" i="2"/>
  <c r="V2399" i="2"/>
  <c r="I2471" i="2"/>
  <c r="W2398" i="2"/>
  <c r="Q2328" i="2"/>
  <c r="T2552" i="2"/>
  <c r="F2621" i="2"/>
  <c r="V2481" i="2"/>
  <c r="L2468" i="2"/>
  <c r="E2396" i="2"/>
  <c r="M2467" i="2"/>
  <c r="F2395" i="2"/>
  <c r="U2324" i="2"/>
  <c r="Q2626" i="2"/>
  <c r="V2605" i="2"/>
  <c r="E2478" i="2"/>
  <c r="C2634" i="2"/>
  <c r="I2392" i="2"/>
  <c r="E2625" i="2"/>
  <c r="J2391" i="2"/>
  <c r="D2321" i="2"/>
  <c r="L2476" i="2"/>
  <c r="P2524" i="2"/>
  <c r="D2650" i="2"/>
  <c r="Q2573" i="2"/>
  <c r="N2583" i="2"/>
  <c r="V2575" i="2"/>
  <c r="K2596" i="2"/>
  <c r="G2494" i="2"/>
  <c r="I2608" i="2"/>
  <c r="S2542" i="2"/>
  <c r="Q2482" i="2"/>
  <c r="G2469" i="2"/>
  <c r="U2396" i="2"/>
  <c r="H2468" i="2"/>
  <c r="V2395" i="2"/>
  <c r="P2325" i="2"/>
  <c r="H2637" i="2"/>
  <c r="W2608" i="2"/>
  <c r="U2478" i="2"/>
  <c r="G2646" i="2"/>
  <c r="D2393" i="2"/>
  <c r="W2630" i="2"/>
  <c r="E2392" i="2"/>
  <c r="T2321" i="2"/>
  <c r="M2614" i="2"/>
  <c r="R2593" i="2"/>
  <c r="D2475" i="2"/>
  <c r="R2616" i="2"/>
  <c r="H2389" i="2"/>
  <c r="V2612" i="2"/>
  <c r="I2388" i="2"/>
  <c r="C2318" i="2"/>
  <c r="F2716" i="2"/>
  <c r="E2620" i="2"/>
  <c r="D2616" i="2"/>
  <c r="H2612" i="2"/>
  <c r="Q2583" i="2"/>
  <c r="K2573" i="2"/>
  <c r="E2528" i="2"/>
  <c r="K2490" i="2"/>
  <c r="G2611" i="2"/>
  <c r="H2586" i="2"/>
  <c r="P2381" i="2"/>
  <c r="L2582" i="2"/>
  <c r="Q2380" i="2"/>
  <c r="F2622" i="2"/>
  <c r="W2679" i="2"/>
  <c r="J2582" i="2"/>
  <c r="C2592" i="2"/>
  <c r="J2618" i="2"/>
  <c r="R2664" i="2"/>
  <c r="N2609" i="2"/>
  <c r="C2673" i="2"/>
  <c r="V2583" i="2"/>
  <c r="M2487" i="2"/>
  <c r="D2559" i="2"/>
  <c r="Q2610" i="2"/>
  <c r="R2571" i="2"/>
  <c r="R2486" i="2"/>
  <c r="I2558" i="2"/>
  <c r="V2609" i="2"/>
  <c r="G2749" i="2"/>
  <c r="U2648" i="2"/>
  <c r="T2645" i="2"/>
  <c r="J2542" i="2"/>
  <c r="P2732" i="2"/>
  <c r="E2559" i="2"/>
  <c r="I2555" i="2"/>
  <c r="R2708" i="2"/>
  <c r="D2677" i="2"/>
  <c r="C2753" i="2"/>
  <c r="C2637" i="2"/>
  <c r="I2705" i="2"/>
  <c r="T2547" i="2"/>
  <c r="G2577" i="2"/>
  <c r="W2658" i="2"/>
  <c r="D2657" i="2"/>
  <c r="M2641" i="2"/>
  <c r="R2646" i="2"/>
  <c r="H2561" i="2"/>
  <c r="I2660" i="2"/>
  <c r="S2695" i="2"/>
  <c r="V2642" i="2"/>
  <c r="L2557" i="2"/>
  <c r="M2557" i="2"/>
  <c r="R2617" i="2"/>
  <c r="Q2628" i="2"/>
  <c r="U2669" i="2"/>
  <c r="U2612" i="2"/>
  <c r="N2515" i="2"/>
  <c r="N2624" i="2"/>
  <c r="J2659" i="2"/>
  <c r="T2609" i="2"/>
  <c r="J2566" i="2"/>
  <c r="J2510" i="2"/>
  <c r="V2581" i="2"/>
  <c r="M2652" i="2"/>
  <c r="R2531" i="2"/>
  <c r="U2690" i="2"/>
  <c r="O2754" i="2"/>
  <c r="J2629" i="2"/>
  <c r="J2724" i="2"/>
  <c r="H2646" i="2"/>
  <c r="W2644" i="2"/>
  <c r="K2683" i="2"/>
  <c r="D2598" i="2"/>
  <c r="W2685" i="2"/>
  <c r="V2619" i="2"/>
  <c r="P2666" i="2"/>
  <c r="M2713" i="2"/>
  <c r="H2666" i="2"/>
  <c r="V2578" i="2"/>
  <c r="Q2663" i="2"/>
  <c r="Q2623" i="2"/>
  <c r="O2788" i="2"/>
  <c r="C2708" i="2"/>
  <c r="L2673" i="2"/>
  <c r="G2566" i="2"/>
  <c r="L2635" i="2"/>
  <c r="Q2595" i="2"/>
  <c r="L2631" i="2"/>
  <c r="I2727" i="2"/>
  <c r="O2628" i="2"/>
  <c r="U2591" i="2"/>
  <c r="P2627" i="2"/>
  <c r="R2690" i="2"/>
  <c r="I2649" i="2"/>
  <c r="Q2563" i="2"/>
  <c r="J2648" i="2"/>
  <c r="L2608" i="2"/>
  <c r="H2654" i="2"/>
  <c r="K2733" i="2"/>
  <c r="T2604" i="2"/>
  <c r="C2601" i="2"/>
  <c r="T2572" i="2"/>
  <c r="O2614" i="2"/>
  <c r="D2593" i="2"/>
  <c r="K2644" i="2"/>
  <c r="U2659" i="2"/>
  <c r="G2574" i="2"/>
  <c r="C2590" i="2"/>
  <c r="S2679" i="2"/>
  <c r="I2634" i="2"/>
  <c r="O2597" i="2"/>
  <c r="H2607" i="2"/>
  <c r="Q2652" i="2"/>
  <c r="M2630" i="2"/>
  <c r="J2547" i="2"/>
  <c r="G2485" i="2"/>
  <c r="M2688" i="2"/>
  <c r="R2502" i="2"/>
  <c r="I2574" i="2"/>
  <c r="V2625" i="2"/>
  <c r="H2688" i="2"/>
  <c r="W2501" i="2"/>
  <c r="N2573" i="2"/>
  <c r="F2625" i="2"/>
  <c r="D2547" i="2"/>
  <c r="Q2681" i="2"/>
  <c r="O2551" i="2"/>
  <c r="O2572" i="2"/>
  <c r="O2534" i="2"/>
  <c r="R2515" i="2"/>
  <c r="G2753" i="2"/>
  <c r="U2543" i="2"/>
  <c r="C2679" i="2"/>
  <c r="P2695" i="2"/>
  <c r="E2584" i="2"/>
  <c r="V2635" i="2"/>
  <c r="J2632" i="2"/>
  <c r="L2644" i="2"/>
  <c r="W2558" i="2"/>
  <c r="J2626" i="2"/>
  <c r="R2655" i="2"/>
  <c r="H2631" i="2"/>
  <c r="N2594" i="2"/>
  <c r="G2604" i="2"/>
  <c r="M2640" i="2"/>
  <c r="L2627" i="2"/>
  <c r="U2595" i="2"/>
  <c r="F2482" i="2"/>
  <c r="K2699" i="2"/>
  <c r="Q2499" i="2"/>
  <c r="H2571" i="2"/>
  <c r="U2622" i="2"/>
  <c r="G2657" i="2"/>
  <c r="V2498" i="2"/>
  <c r="M2570" i="2"/>
  <c r="E2622" i="2"/>
  <c r="Q2644" i="2"/>
  <c r="G2656" i="2"/>
  <c r="P2541" i="2"/>
  <c r="N2569" i="2"/>
  <c r="W2526" i="2"/>
  <c r="R2699" i="2"/>
  <c r="R2579" i="2"/>
  <c r="I2768" i="2"/>
  <c r="F2623" i="2"/>
  <c r="C2593" i="2"/>
  <c r="Q2602" i="2"/>
  <c r="O2646" i="2"/>
  <c r="W2628" i="2"/>
  <c r="H2592" i="2"/>
  <c r="V2601" i="2"/>
  <c r="R2670" i="2"/>
  <c r="E2616" i="2"/>
  <c r="D2648" i="2"/>
  <c r="S2579" i="2"/>
  <c r="E2713" i="2"/>
  <c r="I2612" i="2"/>
  <c r="L2501" i="2"/>
  <c r="R2555" i="2"/>
  <c r="W2518" i="2"/>
  <c r="T2625" i="2"/>
  <c r="S2518" i="2"/>
  <c r="Q2546" i="2"/>
  <c r="G2518" i="2"/>
  <c r="S2622" i="2"/>
  <c r="C2518" i="2"/>
  <c r="V2545" i="2"/>
  <c r="D2653" i="2"/>
  <c r="N2542" i="2"/>
  <c r="W2618" i="2"/>
  <c r="D2517" i="2"/>
  <c r="M2527" i="2"/>
  <c r="H2649" i="2"/>
  <c r="P2690" i="2"/>
  <c r="E2743" i="2"/>
  <c r="O2637" i="2"/>
  <c r="S2633" i="2"/>
  <c r="C2591" i="2"/>
  <c r="W2587" i="2"/>
  <c r="G2501" i="2"/>
  <c r="F2506" i="2"/>
  <c r="I2460" i="2"/>
  <c r="U2522" i="2"/>
  <c r="F2351" i="2"/>
  <c r="V2521" i="2"/>
  <c r="G2350" i="2"/>
  <c r="K2495" i="2"/>
  <c r="D2501" i="2"/>
  <c r="R2483" i="2"/>
  <c r="M2456" i="2"/>
  <c r="D2519" i="2"/>
  <c r="J2347" i="2"/>
  <c r="E2518" i="2"/>
  <c r="K2346" i="2"/>
  <c r="F2480" i="2"/>
  <c r="L2493" i="2"/>
  <c r="E2476" i="2"/>
  <c r="Q2452" i="2"/>
  <c r="H2515" i="2"/>
  <c r="N2343" i="2"/>
  <c r="I2514" i="2"/>
  <c r="O2342" i="2"/>
  <c r="E2467" i="2"/>
  <c r="V2513" i="2"/>
  <c r="F2427" i="2"/>
  <c r="K2654" i="2"/>
  <c r="M2737" i="2"/>
  <c r="W2715" i="2"/>
  <c r="N2688" i="2"/>
  <c r="P2542" i="2"/>
  <c r="O2541" i="2"/>
  <c r="C2489" i="2"/>
  <c r="D2500" i="2"/>
  <c r="H2457" i="2"/>
  <c r="T2519" i="2"/>
  <c r="E2348" i="2"/>
  <c r="U2518" i="2"/>
  <c r="F2347" i="2"/>
  <c r="G2483" i="2"/>
  <c r="W2494" i="2"/>
  <c r="P2477" i="2"/>
  <c r="L2453" i="2"/>
  <c r="C2516" i="2"/>
  <c r="I2344" i="2"/>
  <c r="D2515" i="2"/>
  <c r="J2343" i="2"/>
  <c r="O2468" i="2"/>
  <c r="J2487" i="2"/>
  <c r="C2470" i="2"/>
  <c r="P2449" i="2"/>
  <c r="G2512" i="2"/>
  <c r="T2714" i="2"/>
  <c r="H2511" i="2"/>
  <c r="W2657" i="2"/>
  <c r="D2464" i="2"/>
  <c r="O2707" i="2"/>
  <c r="J2638" i="2"/>
  <c r="U2661" i="2"/>
  <c r="D2658" i="2"/>
  <c r="K2481" i="2"/>
  <c r="P2480" i="2"/>
  <c r="W2631" i="2"/>
  <c r="R2642" i="2"/>
  <c r="P2651" i="2"/>
  <c r="O2504" i="2"/>
  <c r="K2636" i="2"/>
  <c r="P2503" i="2"/>
  <c r="P2603" i="2"/>
  <c r="F2683" i="2"/>
  <c r="R2643" i="2"/>
  <c r="P2702" i="2"/>
  <c r="H2543" i="2"/>
  <c r="V2667" i="2"/>
  <c r="M2628" i="2"/>
  <c r="Q2516" i="2"/>
  <c r="Q2616" i="2"/>
  <c r="P2570" i="2"/>
  <c r="K2727" i="2"/>
  <c r="C2534" i="2"/>
  <c r="V2561" i="2"/>
  <c r="N2564" i="2"/>
  <c r="L2694" i="2"/>
  <c r="H2533" i="2"/>
  <c r="F2561" i="2"/>
  <c r="P2628" i="2"/>
  <c r="O2553" i="2"/>
  <c r="D2552" i="2"/>
  <c r="R2732" i="2"/>
  <c r="F2740" i="2"/>
  <c r="S2643" i="2"/>
  <c r="W2639" i="2"/>
  <c r="G2661" i="2"/>
  <c r="F2684" i="2"/>
  <c r="M2686" i="2"/>
  <c r="R2679" i="2"/>
  <c r="V2586" i="2"/>
  <c r="S2522" i="2"/>
  <c r="O2664" i="2"/>
  <c r="K2586" i="2"/>
  <c r="J2708" i="2"/>
  <c r="I2552" i="2"/>
  <c r="M2646" i="2"/>
  <c r="S2609" i="2"/>
  <c r="L2619" i="2"/>
  <c r="M2548" i="2"/>
  <c r="Q2642" i="2"/>
  <c r="T2632" i="2"/>
  <c r="K2497" i="2"/>
  <c r="P2584" i="2"/>
  <c r="V2514" i="2"/>
  <c r="M2586" i="2"/>
  <c r="G2545" i="2"/>
  <c r="O2581" i="2"/>
  <c r="F2514" i="2"/>
  <c r="R2585" i="2"/>
  <c r="Q2543" i="2"/>
  <c r="C2576" i="2"/>
  <c r="O2695" i="2"/>
  <c r="J2600" i="2"/>
  <c r="S2584" i="2"/>
  <c r="P2559" i="2"/>
  <c r="G2623" i="2"/>
  <c r="S2731" i="2"/>
  <c r="P2592" i="2"/>
  <c r="T2588" i="2"/>
  <c r="P2560" i="2"/>
  <c r="M2608" i="2"/>
  <c r="U2580" i="2"/>
  <c r="G2632" i="2"/>
  <c r="P2656" i="2"/>
  <c r="F2571" i="2"/>
  <c r="T2577" i="2"/>
  <c r="P2706" i="2"/>
  <c r="C2630" i="2"/>
  <c r="P2665" i="2"/>
  <c r="W2626" i="2"/>
  <c r="H2689" i="2"/>
  <c r="Q2774" i="2"/>
  <c r="L2708" i="2"/>
  <c r="P2704" i="2"/>
  <c r="R2650" i="2"/>
  <c r="N2632" i="2"/>
  <c r="V2546" i="2"/>
  <c r="O2631" i="2"/>
  <c r="K2740" i="2"/>
  <c r="R2628" i="2"/>
  <c r="E2543" i="2"/>
  <c r="S2627" i="2"/>
  <c r="K2731" i="2"/>
  <c r="Q2612" i="2"/>
  <c r="S2707" i="2"/>
  <c r="R2611" i="2"/>
  <c r="T2676" i="2"/>
  <c r="P2617" i="2"/>
  <c r="V2740" i="2"/>
  <c r="O2640" i="2"/>
  <c r="S2636" i="2"/>
  <c r="M2657" i="2"/>
  <c r="M2623" i="2"/>
  <c r="W2650" i="2"/>
  <c r="H2565" i="2"/>
  <c r="L2659" i="2"/>
  <c r="R2622" i="2"/>
  <c r="V2647" i="2"/>
  <c r="P2588" i="2"/>
  <c r="L2634" i="2"/>
  <c r="T2548" i="2"/>
  <c r="M2558" i="2"/>
  <c r="T2584" i="2"/>
  <c r="P2630" i="2"/>
  <c r="J2552" i="2"/>
  <c r="D2670" i="2"/>
  <c r="G2556" i="2"/>
  <c r="F2638" i="2"/>
  <c r="U2569" i="2"/>
  <c r="F2577" i="2"/>
  <c r="Q2554" i="2"/>
  <c r="E2635" i="2"/>
  <c r="T2566" i="2"/>
  <c r="K2576" i="2"/>
  <c r="E2496" i="2"/>
  <c r="D2645" i="2"/>
  <c r="I2631" i="2"/>
  <c r="C2563" i="2"/>
  <c r="R2604" i="2"/>
  <c r="S2517" i="2"/>
  <c r="W2740" i="2"/>
  <c r="N2628" i="2"/>
  <c r="K2671" i="2"/>
  <c r="Q2608" i="2"/>
  <c r="H2608" i="2"/>
  <c r="V2617" i="2"/>
  <c r="C2550" i="2"/>
  <c r="G2644" i="2"/>
  <c r="M2607" i="2"/>
  <c r="F2617" i="2"/>
  <c r="O2585" i="2"/>
  <c r="K2631" i="2"/>
  <c r="S2545" i="2"/>
  <c r="L2555" i="2"/>
  <c r="S2581" i="2"/>
  <c r="O2627" i="2"/>
  <c r="S2538" i="2"/>
  <c r="I2653" i="2"/>
  <c r="E2550" i="2"/>
  <c r="E2725" i="2"/>
  <c r="Q2557" i="2"/>
  <c r="E2574" i="2"/>
  <c r="O2548" i="2"/>
  <c r="U2693" i="2"/>
  <c r="P2554" i="2"/>
  <c r="J2573" i="2"/>
  <c r="D2493" i="2"/>
  <c r="M2619" i="2"/>
  <c r="P2678" i="2"/>
  <c r="T2550" i="2"/>
  <c r="N2592" i="2"/>
  <c r="V2736" i="2"/>
  <c r="O2663" i="2"/>
  <c r="F2634" i="2"/>
  <c r="E2639" i="2"/>
  <c r="H2544" i="2"/>
  <c r="V2553" i="2"/>
  <c r="I2583" i="2"/>
  <c r="E2629" i="2"/>
  <c r="M2543" i="2"/>
  <c r="O2671" i="2"/>
  <c r="T2652" i="2"/>
  <c r="J2567" i="2"/>
  <c r="O2562" i="2"/>
  <c r="P2650" i="2"/>
  <c r="C2649" i="2"/>
  <c r="N2563" i="2"/>
  <c r="U2581" i="2"/>
  <c r="T2623" i="2"/>
  <c r="G2470" i="2"/>
  <c r="Q2551" i="2"/>
  <c r="M2677" i="2"/>
  <c r="P2521" i="2"/>
  <c r="L2469" i="2"/>
  <c r="F2550" i="2"/>
  <c r="F2655" i="2"/>
  <c r="R2590" i="2"/>
  <c r="L2516" i="2"/>
  <c r="C2588" i="2"/>
  <c r="H2548" i="2"/>
  <c r="I2597" i="2"/>
  <c r="R2478" i="2"/>
  <c r="J2755" i="2"/>
  <c r="F2657" i="2"/>
  <c r="C2626" i="2"/>
  <c r="E2552" i="2"/>
  <c r="I2548" i="2"/>
  <c r="E2626" i="2"/>
  <c r="J2625" i="2"/>
  <c r="S2572" i="2"/>
  <c r="P2509" i="2"/>
  <c r="V2589" i="2"/>
  <c r="E2474" i="2"/>
  <c r="E2586" i="2"/>
  <c r="F2473" i="2"/>
  <c r="O2575" i="2"/>
  <c r="W2425" i="2"/>
  <c r="W2541" i="2"/>
  <c r="S2485" i="2"/>
  <c r="Q2574" i="2"/>
  <c r="I2470" i="2"/>
  <c r="U2570" i="2"/>
  <c r="J2469" i="2"/>
  <c r="L2535" i="2"/>
  <c r="F2422" i="2"/>
  <c r="F2538" i="2"/>
  <c r="F2478" i="2"/>
  <c r="L2559" i="2"/>
  <c r="W2595" i="2"/>
  <c r="P2555" i="2"/>
  <c r="R2580" i="2"/>
  <c r="G2520" i="2"/>
  <c r="J2418" i="2"/>
  <c r="N2526" i="2"/>
  <c r="T2753" i="2"/>
  <c r="S2632" i="2"/>
  <c r="T2613" i="2"/>
  <c r="R2676" i="2"/>
  <c r="H2624" i="2"/>
  <c r="V2613" i="2"/>
  <c r="F2613" i="2"/>
  <c r="O2560" i="2"/>
  <c r="L2497" i="2"/>
  <c r="R2577" i="2"/>
  <c r="D2471" i="2"/>
  <c r="V2573" i="2"/>
  <c r="E2470" i="2"/>
  <c r="M2538" i="2"/>
  <c r="V2422" i="2"/>
  <c r="V2538" i="2"/>
  <c r="Q2479" i="2"/>
  <c r="M2562" i="2"/>
  <c r="F2608" i="2"/>
  <c r="Q2558" i="2"/>
  <c r="V2592" i="2"/>
  <c r="H2523" i="2"/>
  <c r="E2419" i="2"/>
  <c r="E2535" i="2"/>
  <c r="G2473" i="2"/>
  <c r="H2547" i="2"/>
  <c r="G2547" i="2"/>
  <c r="L2543" i="2"/>
  <c r="S2539" i="2"/>
  <c r="C2508" i="2"/>
  <c r="O2704" i="2"/>
  <c r="V2571" i="2"/>
  <c r="U2552" i="2"/>
  <c r="H2576" i="2"/>
  <c r="F2585" i="2"/>
  <c r="W2552" i="2"/>
  <c r="G2552" i="2"/>
  <c r="J2523" i="2"/>
  <c r="D2536" i="2"/>
  <c r="M2540" i="2"/>
  <c r="E2513" i="2"/>
  <c r="Q2536" i="2"/>
  <c r="I2509" i="2"/>
  <c r="N2477" i="2"/>
  <c r="N2692" i="2"/>
  <c r="O2582" i="2"/>
  <c r="N2623" i="2"/>
  <c r="Q2662" i="2"/>
  <c r="W2671" i="2"/>
  <c r="S2578" i="2"/>
  <c r="V2467" i="2"/>
  <c r="E2547" i="2"/>
  <c r="L2485" i="2"/>
  <c r="C2589" i="2"/>
  <c r="F2637" i="2"/>
  <c r="U2536" i="2"/>
  <c r="Q2484" i="2"/>
  <c r="W2585" i="2"/>
  <c r="E2634" i="2"/>
  <c r="E2536" i="2"/>
  <c r="Q2531" i="2"/>
  <c r="H2603" i="2"/>
  <c r="F2582" i="2"/>
  <c r="N2483" i="2"/>
  <c r="P2734" i="2"/>
  <c r="F2635" i="2"/>
  <c r="K2625" i="2"/>
  <c r="G2597" i="2"/>
  <c r="S2626" i="2"/>
  <c r="L2617" i="2"/>
  <c r="G2683" i="2"/>
  <c r="J2680" i="2"/>
  <c r="I2580" i="2"/>
  <c r="K2614" i="2"/>
  <c r="G2546" i="2"/>
  <c r="K2640" i="2"/>
  <c r="Q2603" i="2"/>
  <c r="J2613" i="2"/>
  <c r="K2542" i="2"/>
  <c r="O2636" i="2"/>
  <c r="R2632" i="2"/>
  <c r="I2491" i="2"/>
  <c r="H2560" i="2"/>
  <c r="T2508" i="2"/>
  <c r="K2580" i="2"/>
  <c r="K2646" i="2"/>
  <c r="G2557" i="2"/>
  <c r="D2508" i="2"/>
  <c r="P2579" i="2"/>
  <c r="J2643" i="2"/>
  <c r="H2559" i="2"/>
  <c r="H2644" i="2"/>
  <c r="W2575" i="2"/>
  <c r="Q2578" i="2"/>
  <c r="R2608" i="2"/>
  <c r="G2538" i="2"/>
  <c r="C2617" i="2"/>
  <c r="H2605" i="2"/>
  <c r="G2602" i="2"/>
  <c r="I2610" i="2"/>
  <c r="H2488" i="2"/>
  <c r="G2634" i="2"/>
  <c r="F2631" i="2"/>
  <c r="P2575" i="2"/>
  <c r="I2522" i="2"/>
  <c r="D2546" i="2"/>
  <c r="M2436" i="2"/>
  <c r="K2541" i="2"/>
  <c r="N2435" i="2"/>
  <c r="P2389" i="2"/>
  <c r="T2653" i="2"/>
  <c r="C2481" i="2"/>
  <c r="M2518" i="2"/>
  <c r="Q2535" i="2"/>
  <c r="Q2432" i="2"/>
  <c r="S2533" i="2"/>
  <c r="R2431" i="2"/>
  <c r="C2382" i="2"/>
  <c r="V2572" i="2"/>
  <c r="G2477" i="2"/>
  <c r="Q2514" i="2"/>
  <c r="D2528" i="2"/>
  <c r="U2428" i="2"/>
  <c r="F2526" i="2"/>
  <c r="V2427" i="2"/>
  <c r="K2374" i="2"/>
  <c r="U2574" i="2"/>
  <c r="J2379" i="2"/>
  <c r="H2568" i="2"/>
  <c r="M2556" i="2"/>
  <c r="L2553" i="2"/>
  <c r="E2598" i="2"/>
  <c r="D2476" i="2"/>
  <c r="S2616" i="2"/>
  <c r="C2616" i="2"/>
  <c r="L2563" i="2"/>
  <c r="H2519" i="2"/>
  <c r="G2537" i="2"/>
  <c r="L2433" i="2"/>
  <c r="I2535" i="2"/>
  <c r="M2432" i="2"/>
  <c r="N2383" i="2"/>
  <c r="E2585" i="2"/>
  <c r="W2477" i="2"/>
  <c r="L2515" i="2"/>
  <c r="O2529" i="2"/>
  <c r="P2429" i="2"/>
  <c r="Q2527" i="2"/>
  <c r="Q2428" i="2"/>
  <c r="V2375" i="2"/>
  <c r="T2537" i="2"/>
  <c r="J2679" i="2"/>
  <c r="P2511" i="2"/>
  <c r="W2521" i="2"/>
  <c r="T2425" i="2"/>
  <c r="D2520" i="2"/>
  <c r="U2424" i="2"/>
  <c r="I2368" i="2"/>
  <c r="I2616" i="2"/>
  <c r="T2611" i="2"/>
  <c r="D2611" i="2"/>
  <c r="J2616" i="2"/>
  <c r="I2592" i="2"/>
  <c r="T2555" i="2"/>
  <c r="D2555" i="2"/>
  <c r="G2526" i="2"/>
  <c r="C2504" i="2"/>
  <c r="R2506" i="2"/>
  <c r="G2418" i="2"/>
  <c r="T2504" i="2"/>
  <c r="H2417" i="2"/>
  <c r="L2561" i="2"/>
  <c r="P2655" i="2"/>
  <c r="V2618" i="2"/>
  <c r="Q2632" i="2"/>
  <c r="P2557" i="2"/>
  <c r="T2651" i="2"/>
  <c r="E2551" i="2"/>
  <c r="N2506" i="2"/>
  <c r="G2621" i="2"/>
  <c r="D2524" i="2"/>
  <c r="P2595" i="2"/>
  <c r="M2563" i="2"/>
  <c r="F2618" i="2"/>
  <c r="I2523" i="2"/>
  <c r="U2594" i="2"/>
  <c r="W2561" i="2"/>
  <c r="O2612" i="2"/>
  <c r="G2685" i="2"/>
  <c r="F2672" i="2"/>
  <c r="V2593" i="2"/>
  <c r="G2596" i="2"/>
  <c r="G2735" i="2"/>
  <c r="N2668" i="2"/>
  <c r="I2661" i="2"/>
  <c r="E2633" i="2"/>
  <c r="K2617" i="2"/>
  <c r="E2627" i="2"/>
  <c r="F2559" i="2"/>
  <c r="J2653" i="2"/>
  <c r="P2616" i="2"/>
  <c r="I2626" i="2"/>
  <c r="N2582" i="2"/>
  <c r="J2628" i="2"/>
  <c r="R2542" i="2"/>
  <c r="K2552" i="2"/>
  <c r="R2578" i="2"/>
  <c r="J2668" i="2"/>
  <c r="Q2532" i="2"/>
  <c r="E2641" i="2"/>
  <c r="C2544" i="2"/>
  <c r="I2662" i="2"/>
  <c r="M2545" i="2"/>
  <c r="D2571" i="2"/>
  <c r="J2684" i="2"/>
  <c r="H2659" i="2"/>
  <c r="Q2542" i="2"/>
  <c r="I2570" i="2"/>
  <c r="C2490" i="2"/>
  <c r="I2607" i="2"/>
  <c r="L2655" i="2"/>
  <c r="L2541" i="2"/>
  <c r="J2580" i="2"/>
  <c r="O2505" i="2"/>
  <c r="W2648" i="2"/>
  <c r="I2568" i="2"/>
  <c r="Q2591" i="2"/>
  <c r="U2587" i="2"/>
  <c r="I2562" i="2"/>
  <c r="S2560" i="2"/>
  <c r="F2499" i="2"/>
  <c r="V2616" i="2"/>
  <c r="G2535" i="2"/>
  <c r="U2561" i="2"/>
  <c r="N2375" i="2"/>
  <c r="D2558" i="2"/>
  <c r="O2374" i="2"/>
  <c r="I2304" i="2"/>
  <c r="K2544" i="2"/>
  <c r="H2562" i="2"/>
  <c r="W2519" i="2"/>
  <c r="P2546" i="2"/>
  <c r="R2371" i="2"/>
  <c r="U2542" i="2"/>
  <c r="S2370" i="2"/>
  <c r="M2300" i="2"/>
  <c r="J2584" i="2"/>
  <c r="E2532" i="2"/>
  <c r="R2504" i="2"/>
  <c r="P2539" i="2"/>
  <c r="V2367" i="2"/>
  <c r="Q2538" i="2"/>
  <c r="W2366" i="2"/>
  <c r="P2622" i="2"/>
  <c r="W2571" i="2"/>
  <c r="J2501" i="2"/>
  <c r="E2649" i="2"/>
  <c r="E2556" i="2"/>
  <c r="M2579" i="2"/>
  <c r="Q2575" i="2"/>
  <c r="K2619" i="2"/>
  <c r="I2613" i="2"/>
  <c r="W2486" i="2"/>
  <c r="F2568" i="2"/>
  <c r="C2523" i="2"/>
  <c r="Q2549" i="2"/>
  <c r="M2372" i="2"/>
  <c r="U2545" i="2"/>
  <c r="N2371" i="2"/>
  <c r="H2301" i="2"/>
  <c r="N2596" i="2"/>
  <c r="F2535" i="2"/>
  <c r="S2507" i="2"/>
  <c r="K2540" i="2"/>
  <c r="Q2368" i="2"/>
  <c r="L2539" i="2"/>
  <c r="R2367" i="2"/>
  <c r="P2657" i="2"/>
  <c r="Q2540" i="2"/>
  <c r="V2519" i="2"/>
  <c r="N2492" i="2"/>
  <c r="O2536" i="2"/>
  <c r="U2364" i="2"/>
  <c r="P2535" i="2"/>
  <c r="V2363" i="2"/>
  <c r="U2573" i="2"/>
  <c r="U2725" i="2"/>
  <c r="L2592" i="2"/>
  <c r="V2662" i="2"/>
  <c r="F2658" i="2"/>
  <c r="J2479" i="2"/>
  <c r="O2478" i="2"/>
  <c r="O2525" i="2"/>
  <c r="J2518" i="2"/>
  <c r="K2466" i="2"/>
  <c r="W2528" i="2"/>
  <c r="H2357" i="2"/>
  <c r="C2528" i="2"/>
  <c r="I2356" i="2"/>
  <c r="S2597" i="2"/>
  <c r="O2643" i="2"/>
  <c r="W2557" i="2"/>
  <c r="P2567" i="2"/>
  <c r="W2593" i="2"/>
  <c r="S2639" i="2"/>
  <c r="M2625" i="2"/>
  <c r="F2653" i="2"/>
  <c r="E2582" i="2"/>
  <c r="K2668" i="2"/>
  <c r="L2606" i="2"/>
  <c r="I2586" i="2"/>
  <c r="D2579" i="2"/>
  <c r="V2771" i="2"/>
  <c r="K2603" i="2"/>
  <c r="N2585" i="2"/>
  <c r="H2505" i="2"/>
  <c r="W2570" i="2"/>
  <c r="C2691" i="2"/>
  <c r="O2599" i="2"/>
  <c r="N2467" i="2"/>
  <c r="R2666" i="2"/>
  <c r="U2696" i="2"/>
  <c r="L2679" i="2"/>
  <c r="V2685" i="2"/>
  <c r="L2556" i="2"/>
  <c r="E2566" i="2"/>
  <c r="M2595" i="2"/>
  <c r="I2641" i="2"/>
  <c r="Q2555" i="2"/>
  <c r="C2671" i="2"/>
  <c r="S2675" i="2"/>
  <c r="N2579" i="2"/>
  <c r="J2611" i="2"/>
  <c r="M2650" i="2"/>
  <c r="W2661" i="2"/>
  <c r="R2575" i="2"/>
  <c r="U2640" i="2"/>
  <c r="H2694" i="2"/>
  <c r="K2482" i="2"/>
  <c r="T2576" i="2"/>
  <c r="G2715" i="2"/>
  <c r="T2533" i="2"/>
  <c r="P2481" i="2"/>
  <c r="N2574" i="2"/>
  <c r="K2691" i="2"/>
  <c r="D2533" i="2"/>
  <c r="P2528" i="2"/>
  <c r="G2600" i="2"/>
  <c r="P2572" i="2"/>
  <c r="F2581" i="2"/>
  <c r="V2490" i="2"/>
  <c r="K2528" i="2"/>
  <c r="L2637" i="2"/>
  <c r="P2662" i="2"/>
  <c r="U2600" i="2"/>
  <c r="D2597" i="2"/>
  <c r="U2564" i="2"/>
  <c r="T2561" i="2"/>
  <c r="N2621" i="2"/>
  <c r="L2575" i="2"/>
  <c r="J2546" i="2"/>
  <c r="I2486" i="2"/>
  <c r="K2662" i="2"/>
  <c r="J2485" i="2"/>
  <c r="S2525" i="2"/>
  <c r="F2438" i="2"/>
  <c r="M2589" i="2"/>
  <c r="F2510" i="2"/>
  <c r="L2623" i="2"/>
  <c r="M2482" i="2"/>
  <c r="P2619" i="2"/>
  <c r="N2481" i="2"/>
  <c r="I2495" i="2"/>
  <c r="J2434" i="2"/>
  <c r="H2574" i="2"/>
  <c r="N2502" i="2"/>
  <c r="G2608" i="2"/>
  <c r="Q2478" i="2"/>
  <c r="K2604" i="2"/>
  <c r="R2477" i="2"/>
  <c r="O2469" i="2"/>
  <c r="N2430" i="2"/>
  <c r="J2531" i="2"/>
  <c r="L2626" i="2"/>
  <c r="C2581" i="2"/>
  <c r="L2650" i="2"/>
  <c r="Q2588" i="2"/>
  <c r="U2584" i="2"/>
  <c r="K2613" i="2"/>
  <c r="J2610" i="2"/>
  <c r="J2609" i="2"/>
  <c r="D2551" i="2"/>
  <c r="M2626" i="2"/>
  <c r="H2483" i="2"/>
  <c r="Q2622" i="2"/>
  <c r="I2482" i="2"/>
  <c r="K2501" i="2"/>
  <c r="E2435" i="2"/>
  <c r="I2577" i="2"/>
  <c r="D2504" i="2"/>
  <c r="H2611" i="2"/>
  <c r="L2479" i="2"/>
  <c r="L2607" i="2"/>
  <c r="M2478" i="2"/>
  <c r="P2472" i="2"/>
  <c r="I2431" i="2"/>
  <c r="D2562" i="2"/>
  <c r="L2496" i="2"/>
  <c r="C2596" i="2"/>
  <c r="P2475" i="2"/>
  <c r="G2592" i="2"/>
  <c r="Q2474" i="2"/>
  <c r="W2599" i="2"/>
  <c r="S2746" i="2"/>
  <c r="I2657" i="2"/>
  <c r="P2601" i="2"/>
  <c r="C2625" i="2"/>
  <c r="M2575" i="2"/>
  <c r="R2601" i="2"/>
  <c r="W2600" i="2"/>
  <c r="K2548" i="2"/>
  <c r="H2485" i="2"/>
  <c r="N2565" i="2"/>
  <c r="J2620" i="2"/>
  <c r="R2561" i="2"/>
  <c r="E2605" i="2"/>
  <c r="I2526" i="2"/>
  <c r="L2456" i="2"/>
  <c r="U2472" i="2"/>
  <c r="S2559" i="2"/>
  <c r="O2639" i="2"/>
  <c r="S2500" i="2"/>
  <c r="I2665" i="2"/>
  <c r="T2499" i="2"/>
  <c r="N2696" i="2"/>
  <c r="P2452" i="2"/>
  <c r="D2469" i="2"/>
  <c r="E2539" i="2"/>
  <c r="S2590" i="2"/>
  <c r="W2496" i="2"/>
  <c r="N2575" i="2"/>
  <c r="C2496" i="2"/>
  <c r="N2511" i="2"/>
  <c r="T2448" i="2"/>
  <c r="E2464" i="2"/>
  <c r="C2354" i="2"/>
  <c r="N2551" i="2"/>
  <c r="T2571" i="2"/>
  <c r="C2619" i="2"/>
  <c r="O2584" i="2"/>
  <c r="S2603" i="2"/>
  <c r="J2569" i="2"/>
  <c r="N2588" i="2"/>
  <c r="E2526" i="2"/>
  <c r="D2352" i="2"/>
  <c r="T2608" i="2"/>
  <c r="D2460" i="2"/>
  <c r="U2422" i="2"/>
  <c r="U2285" i="2"/>
  <c r="P2562" i="2"/>
  <c r="Q2460" i="2"/>
  <c r="D2439" i="2"/>
  <c r="G2438" i="2"/>
  <c r="G2389" i="2"/>
  <c r="C2352" i="2"/>
  <c r="C2215" i="2"/>
  <c r="E2436" i="2"/>
  <c r="G2532" i="2"/>
  <c r="L2445" i="2"/>
  <c r="H2435" i="2"/>
  <c r="O2430" i="2"/>
  <c r="K2385" i="2"/>
  <c r="G2348" i="2"/>
  <c r="G2211" i="2"/>
  <c r="M2428" i="2"/>
  <c r="W2516" i="2"/>
  <c r="G2430" i="2"/>
  <c r="L2431" i="2"/>
  <c r="W2422" i="2"/>
  <c r="V2688" i="2"/>
  <c r="L2629" i="2"/>
  <c r="V2500" i="2"/>
  <c r="P2404" i="2"/>
  <c r="Q2485" i="2"/>
  <c r="T2400" i="2"/>
  <c r="L2470" i="2"/>
  <c r="I2415" i="2"/>
  <c r="H2397" i="2"/>
  <c r="W2384" i="2"/>
  <c r="J2335" i="2"/>
  <c r="E2335" i="2"/>
  <c r="V2297" i="2"/>
  <c r="G2510" i="2"/>
  <c r="V2351" i="2"/>
  <c r="I2351" i="2"/>
  <c r="Q2567" i="2"/>
  <c r="I2459" i="2"/>
  <c r="E2422" i="2"/>
  <c r="E2285" i="2"/>
  <c r="I2656" i="2"/>
  <c r="M2480" i="2"/>
  <c r="T2648" i="2"/>
  <c r="M2347" i="2"/>
  <c r="K2588" i="2"/>
  <c r="M2455" i="2"/>
  <c r="I2418" i="2"/>
  <c r="I2281" i="2"/>
  <c r="F2573" i="2"/>
  <c r="W2646" i="2"/>
  <c r="U2611" i="2"/>
  <c r="Q2343" i="2"/>
  <c r="U2598" i="2"/>
  <c r="S2735" i="2"/>
  <c r="F2415" i="2"/>
  <c r="C2667" i="2"/>
  <c r="J2411" i="2"/>
  <c r="V2615" i="2"/>
  <c r="N2407" i="2"/>
  <c r="T2384" i="2"/>
  <c r="E2308" i="2"/>
  <c r="R2369" i="2"/>
  <c r="E2320" i="2"/>
  <c r="K2507" i="2"/>
  <c r="V2432" i="2"/>
  <c r="J2534" i="2"/>
  <c r="N2635" i="2"/>
  <c r="D2336" i="2"/>
  <c r="L2473" i="2"/>
  <c r="D2444" i="2"/>
  <c r="U2406" i="2"/>
  <c r="U2269" i="2"/>
  <c r="E2656" i="2"/>
  <c r="E2519" i="2"/>
  <c r="K2510" i="2"/>
  <c r="N2600" i="2"/>
  <c r="C2543" i="2"/>
  <c r="H2440" i="2"/>
  <c r="D2403" i="2"/>
  <c r="D2266" i="2"/>
  <c r="V2534" i="2"/>
  <c r="U2503" i="2"/>
  <c r="V2479" i="2"/>
  <c r="Q2541" i="2"/>
  <c r="D2512" i="2"/>
  <c r="Q2569" i="2"/>
  <c r="W2446" i="2"/>
  <c r="D2502" i="2"/>
  <c r="J2252" i="2"/>
  <c r="F2371" i="2"/>
  <c r="D2369" i="2"/>
  <c r="N2363" i="2"/>
  <c r="L2361" i="2"/>
  <c r="W2624" i="2"/>
  <c r="M2375" i="2"/>
  <c r="I2338" i="2"/>
  <c r="M2395" i="2"/>
  <c r="M2511" i="2"/>
  <c r="R2568" i="2"/>
  <c r="D2497" i="2"/>
  <c r="F2463" i="2"/>
  <c r="F2495" i="2"/>
  <c r="G2462" i="2"/>
  <c r="W2442" i="2"/>
  <c r="Q2391" i="2"/>
  <c r="Q2507" i="2"/>
  <c r="M2553" i="2"/>
  <c r="L2489" i="2"/>
  <c r="J2459" i="2"/>
  <c r="N2487" i="2"/>
  <c r="K2458" i="2"/>
  <c r="D2608" i="2"/>
  <c r="V2482" i="2"/>
  <c r="M2554" i="2"/>
  <c r="E2606" i="2"/>
  <c r="V2558" i="2"/>
  <c r="C2739" i="2"/>
  <c r="W2667" i="2"/>
  <c r="F2661" i="2"/>
  <c r="W2632" i="2"/>
  <c r="Q2636" i="2"/>
  <c r="M2547" i="2"/>
  <c r="J2571" i="2"/>
  <c r="H2670" i="2"/>
  <c r="P2633" i="2"/>
  <c r="W2545" i="2"/>
  <c r="R2594" i="2"/>
  <c r="N2640" i="2"/>
  <c r="V2554" i="2"/>
  <c r="O2564" i="2"/>
  <c r="V2590" i="2"/>
  <c r="R2636" i="2"/>
  <c r="E2601" i="2"/>
  <c r="W2640" i="2"/>
  <c r="V2569" i="2"/>
  <c r="T2663" i="2"/>
  <c r="H2594" i="2"/>
  <c r="H2583" i="2"/>
  <c r="U2566" i="2"/>
  <c r="Q2659" i="2"/>
  <c r="G2591" i="2"/>
  <c r="M2582" i="2"/>
  <c r="G2502" i="2"/>
  <c r="S2558" i="2"/>
  <c r="Q2655" i="2"/>
  <c r="K2587" i="2"/>
  <c r="S2634" i="2"/>
  <c r="W2529" i="2"/>
  <c r="G2613" i="2"/>
  <c r="O2656" i="2"/>
  <c r="F2543" i="2"/>
  <c r="O2667" i="2"/>
  <c r="D2548" i="2"/>
  <c r="C2545" i="2"/>
  <c r="F2553" i="2"/>
  <c r="W2559" i="2"/>
  <c r="N2473" i="2"/>
  <c r="P2610" i="2"/>
  <c r="R2387" i="2"/>
  <c r="T2606" i="2"/>
  <c r="S2386" i="2"/>
  <c r="M2316" i="2"/>
  <c r="F2593" i="2"/>
  <c r="K2572" i="2"/>
  <c r="R2469" i="2"/>
  <c r="K2595" i="2"/>
  <c r="V2383" i="2"/>
  <c r="O2591" i="2"/>
  <c r="W2382" i="2"/>
  <c r="Q2312" i="2"/>
  <c r="V2577" i="2"/>
  <c r="F2557" i="2"/>
  <c r="T2586" i="2"/>
  <c r="F2580" i="2"/>
  <c r="E2380" i="2"/>
  <c r="J2576" i="2"/>
  <c r="F2379" i="2"/>
  <c r="U2308" i="2"/>
  <c r="E2554" i="2"/>
  <c r="I2573" i="2"/>
  <c r="L2564" i="2"/>
  <c r="R2656" i="2"/>
  <c r="J2631" i="2"/>
  <c r="L2624" i="2"/>
  <c r="I2685" i="2"/>
  <c r="E2657" i="2"/>
  <c r="T2582" i="2"/>
  <c r="S2514" i="2"/>
  <c r="M2470" i="2"/>
  <c r="L2598" i="2"/>
  <c r="Q2384" i="2"/>
  <c r="P2594" i="2"/>
  <c r="R2383" i="2"/>
  <c r="L2313" i="2"/>
  <c r="W2580" i="2"/>
  <c r="G2560" i="2"/>
  <c r="C2599" i="2"/>
  <c r="G2583" i="2"/>
  <c r="U2380" i="2"/>
  <c r="K2579" i="2"/>
  <c r="V2379" i="2"/>
  <c r="P2309" i="2"/>
  <c r="R2565" i="2"/>
  <c r="W2544" i="2"/>
  <c r="I2541" i="2"/>
  <c r="W2567" i="2"/>
  <c r="D2377" i="2"/>
  <c r="F2564" i="2"/>
  <c r="E2376" i="2"/>
  <c r="T2305" i="2"/>
  <c r="M2612" i="2"/>
  <c r="V2543" i="2"/>
  <c r="D2730" i="2"/>
  <c r="D2692" i="2"/>
  <c r="H2537" i="2"/>
  <c r="R2535" i="2"/>
  <c r="S2474" i="2"/>
  <c r="S2543" i="2"/>
  <c r="T2510" i="2"/>
  <c r="F2541" i="2"/>
  <c r="L2369" i="2"/>
  <c r="G2540" i="2"/>
  <c r="M2368" i="2"/>
  <c r="W2609" i="2"/>
  <c r="S2655" i="2"/>
  <c r="F2570" i="2"/>
  <c r="T2579" i="2"/>
  <c r="F2606" i="2"/>
  <c r="W2651" i="2"/>
  <c r="T2563" i="2"/>
  <c r="K2653" i="2"/>
  <c r="T2641" i="2"/>
  <c r="I2475" i="2"/>
  <c r="U2546" i="2"/>
  <c r="M2598" i="2"/>
  <c r="P2629" i="2"/>
  <c r="N2474" i="2"/>
  <c r="E2546" i="2"/>
  <c r="R2597" i="2"/>
  <c r="L2517" i="2"/>
  <c r="R2619" i="2"/>
  <c r="K2682" i="2"/>
  <c r="F2545" i="2"/>
  <c r="R2479" i="2"/>
  <c r="N2602" i="2"/>
  <c r="C2694" i="2"/>
  <c r="W2714" i="2"/>
  <c r="G2593" i="2"/>
  <c r="P2568" i="2"/>
  <c r="I2578" i="2"/>
  <c r="Q2607" i="2"/>
  <c r="M2653" i="2"/>
  <c r="U2567" i="2"/>
  <c r="N2577" i="2"/>
  <c r="T2671" i="2"/>
  <c r="R2591" i="2"/>
  <c r="W2647" i="2"/>
  <c r="J2527" i="2"/>
  <c r="Q2666" i="2"/>
  <c r="V2587" i="2"/>
  <c r="D2477" i="2"/>
  <c r="K2565" i="2"/>
  <c r="O2494" i="2"/>
  <c r="O2625" i="2"/>
  <c r="V2712" i="2"/>
  <c r="V2556" i="2"/>
  <c r="T2493" i="2"/>
  <c r="N2622" i="2"/>
  <c r="T2690" i="2"/>
  <c r="U2553" i="2"/>
  <c r="T2540" i="2"/>
  <c r="K2612" i="2"/>
  <c r="R2618" i="2"/>
  <c r="Q2492" i="2"/>
  <c r="E2503" i="2"/>
  <c r="O2540" i="2"/>
  <c r="T2686" i="2"/>
  <c r="M2662" i="2"/>
  <c r="M2637" i="2"/>
  <c r="Q2633" i="2"/>
  <c r="J2650" i="2"/>
  <c r="I2647" i="2"/>
  <c r="O2546" i="2"/>
  <c r="H2557" i="2"/>
  <c r="F2615" i="2"/>
  <c r="M2498" i="2"/>
  <c r="V2599" i="2"/>
  <c r="N2497" i="2"/>
  <c r="T2529" i="2"/>
  <c r="J2450" i="2"/>
  <c r="M2693" i="2"/>
  <c r="N2534" i="2"/>
  <c r="G2554" i="2"/>
  <c r="Q2494" i="2"/>
  <c r="K2663" i="2"/>
  <c r="R2493" i="2"/>
  <c r="H2493" i="2"/>
  <c r="N2446" i="2"/>
  <c r="C2623" i="2"/>
  <c r="V2526" i="2"/>
  <c r="N2590" i="2"/>
  <c r="U2490" i="2"/>
  <c r="I2575" i="2"/>
  <c r="V2489" i="2"/>
  <c r="H2622" i="2"/>
  <c r="R2442" i="2"/>
  <c r="G2664" i="2"/>
  <c r="D2567" i="2"/>
  <c r="O2650" i="2"/>
  <c r="I2650" i="2"/>
  <c r="N2680" i="2"/>
  <c r="U2652" i="2"/>
  <c r="E2650" i="2"/>
  <c r="D2647" i="2"/>
  <c r="E2595" i="2"/>
  <c r="F2566" i="2"/>
  <c r="K2566" i="2"/>
  <c r="L2495" i="2"/>
  <c r="F2551" i="2"/>
  <c r="M2494" i="2"/>
  <c r="J2499" i="2"/>
  <c r="I2447" i="2"/>
  <c r="D2626" i="2"/>
  <c r="L2528" i="2"/>
  <c r="R2602" i="2"/>
  <c r="P2491" i="2"/>
  <c r="M2587" i="2"/>
  <c r="Q2490" i="2"/>
  <c r="U2468" i="2"/>
  <c r="M2443" i="2"/>
  <c r="T2610" i="2"/>
  <c r="T2520" i="2"/>
  <c r="N2558" i="2"/>
  <c r="T2487" i="2"/>
  <c r="V2550" i="2"/>
  <c r="U2486" i="2"/>
  <c r="W2537" i="2"/>
  <c r="Q2439" i="2"/>
  <c r="R2669" i="2"/>
  <c r="H2638" i="2"/>
  <c r="M2576" i="2"/>
  <c r="Q2572" i="2"/>
  <c r="W2569" i="2"/>
  <c r="L2568" i="2"/>
  <c r="F2597" i="2"/>
  <c r="L2574" i="2"/>
  <c r="I2614" i="2"/>
  <c r="G2480" i="2"/>
  <c r="M2610" i="2"/>
  <c r="H2479" i="2"/>
  <c r="C2477" i="2"/>
  <c r="K2692" i="2"/>
  <c r="W2606" i="2"/>
  <c r="C2660" i="2"/>
  <c r="G2543" i="2"/>
  <c r="D2687" i="2"/>
  <c r="F2603" i="2"/>
  <c r="I2492" i="2"/>
  <c r="L2616" i="2"/>
  <c r="T2509" i="2"/>
  <c r="H2589" i="2"/>
  <c r="P2683" i="2"/>
  <c r="U2617" i="2"/>
  <c r="D2509" i="2"/>
  <c r="G2586" i="2"/>
  <c r="P2679" i="2"/>
  <c r="T2614" i="2"/>
  <c r="E2597" i="2"/>
  <c r="U2628" i="2"/>
  <c r="K2582" i="2"/>
  <c r="V2507" i="2"/>
  <c r="I2718" i="2"/>
  <c r="E2636" i="2"/>
  <c r="P2625" i="2"/>
  <c r="L2597" i="2"/>
  <c r="L2663" i="2"/>
  <c r="V2653" i="2"/>
  <c r="D2541" i="2"/>
  <c r="W2688" i="2"/>
  <c r="Q2604" i="2"/>
  <c r="U2650" i="2"/>
  <c r="O2570" i="2"/>
  <c r="G2667" i="2"/>
  <c r="O2630" i="2"/>
  <c r="L2544" i="2"/>
  <c r="S2566" i="2"/>
  <c r="W2660" i="2"/>
  <c r="Q2587" i="2"/>
  <c r="Q2515" i="2"/>
  <c r="H2587" i="2"/>
  <c r="G2533" i="2"/>
  <c r="S2604" i="2"/>
  <c r="H2588" i="2"/>
  <c r="D2485" i="2"/>
  <c r="L2532" i="2"/>
  <c r="C2604" i="2"/>
  <c r="G2585" i="2"/>
  <c r="I2567" i="2"/>
  <c r="U2479" i="2"/>
  <c r="L2551" i="2"/>
  <c r="D2603" i="2"/>
  <c r="L2649" i="2"/>
  <c r="C2612" i="2"/>
  <c r="K2639" i="2"/>
  <c r="S2577" i="2"/>
  <c r="C2577" i="2"/>
  <c r="P2635" i="2"/>
  <c r="G2486" i="2"/>
  <c r="R2662" i="2"/>
  <c r="R2658" i="2"/>
  <c r="C2558" i="2"/>
  <c r="P2468" i="2"/>
  <c r="M2492" i="2"/>
  <c r="U2460" i="2"/>
  <c r="O2490" i="2"/>
  <c r="V2459" i="2"/>
  <c r="K2438" i="2"/>
  <c r="K2389" i="2"/>
  <c r="K2505" i="2"/>
  <c r="J2544" i="2"/>
  <c r="U2484" i="2"/>
  <c r="D2457" i="2"/>
  <c r="W2482" i="2"/>
  <c r="E2456" i="2"/>
  <c r="S2430" i="2"/>
  <c r="O2385" i="2"/>
  <c r="O2501" i="2"/>
  <c r="D2539" i="2"/>
  <c r="H2477" i="2"/>
  <c r="H2453" i="2"/>
  <c r="J2475" i="2"/>
  <c r="I2452" i="2"/>
  <c r="F2423" i="2"/>
  <c r="S2381" i="2"/>
  <c r="W2503" i="2"/>
  <c r="S2553" i="2"/>
  <c r="O2565" i="2"/>
  <c r="T2564" i="2"/>
  <c r="S2635" i="2"/>
  <c r="C2474" i="2"/>
  <c r="N2661" i="2"/>
  <c r="M2658" i="2"/>
  <c r="N2606" i="2"/>
  <c r="N2620" i="2"/>
  <c r="K2486" i="2"/>
  <c r="T2457" i="2"/>
  <c r="M2484" i="2"/>
  <c r="U2456" i="2"/>
  <c r="I2432" i="2"/>
  <c r="J2386" i="2"/>
  <c r="J2502" i="2"/>
  <c r="T2539" i="2"/>
  <c r="S2478" i="2"/>
  <c r="C2454" i="2"/>
  <c r="U2476" i="2"/>
  <c r="D2453" i="2"/>
  <c r="Q2424" i="2"/>
  <c r="N2382" i="2"/>
  <c r="N2498" i="2"/>
  <c r="C2536" i="2"/>
  <c r="F2471" i="2"/>
  <c r="G2450" i="2"/>
  <c r="H2469" i="2"/>
  <c r="H2449" i="2"/>
  <c r="D2417" i="2"/>
  <c r="H2617" i="2"/>
  <c r="R2641" i="2"/>
  <c r="Q2638" i="2"/>
  <c r="U2660" i="2"/>
  <c r="P2512" i="2"/>
  <c r="D2576" i="2"/>
  <c r="F2574" i="2"/>
  <c r="C2600" i="2"/>
  <c r="L2531" i="2"/>
  <c r="T2594" i="2"/>
  <c r="O2442" i="2"/>
  <c r="G2587" i="2"/>
  <c r="P2441" i="2"/>
  <c r="T2401" i="2"/>
  <c r="Q2407" i="2"/>
  <c r="Q2523" i="2"/>
  <c r="M2617" i="2"/>
  <c r="H2525" i="2"/>
  <c r="U2497" i="2"/>
  <c r="L2521" i="2"/>
  <c r="D2494" i="2"/>
  <c r="C2539" i="2"/>
  <c r="U2403" i="2"/>
  <c r="U2519" i="2"/>
  <c r="H2602" i="2"/>
  <c r="T2513" i="2"/>
  <c r="P2482" i="2"/>
  <c r="V2511" i="2"/>
  <c r="T2478" i="2"/>
  <c r="D2478" i="2"/>
  <c r="D2400" i="2"/>
  <c r="Q2526" i="2"/>
  <c r="Q2564" i="2"/>
  <c r="T2596" i="2"/>
  <c r="O2476" i="2"/>
  <c r="T2389" i="2"/>
  <c r="S2472" i="2"/>
  <c r="C2386" i="2"/>
  <c r="Q2660" i="2"/>
  <c r="G2382" i="2"/>
  <c r="I2440" i="2"/>
  <c r="F2461" i="2"/>
  <c r="C2492" i="2"/>
  <c r="I2411" i="2"/>
  <c r="E2374" i="2"/>
  <c r="E2237" i="2"/>
  <c r="C2494" i="2"/>
  <c r="V2439" i="2"/>
  <c r="I2390" i="2"/>
  <c r="Q2340" i="2"/>
  <c r="L2340" i="2"/>
  <c r="H2303" i="2"/>
  <c r="D2438" i="2"/>
  <c r="R2339" i="2"/>
  <c r="I2625" i="2"/>
  <c r="L2409" i="2"/>
  <c r="M2386" i="2"/>
  <c r="U2336" i="2"/>
  <c r="P2336" i="2"/>
  <c r="L2299" i="2"/>
  <c r="T2422" i="2"/>
  <c r="V2335" i="2"/>
  <c r="P2532" i="2"/>
  <c r="W2378" i="2"/>
  <c r="Q2382" i="2"/>
  <c r="D2333" i="2"/>
  <c r="D2564" i="2"/>
  <c r="T2691" i="2"/>
  <c r="M2524" i="2"/>
  <c r="P2520" i="2"/>
  <c r="L2513" i="2"/>
  <c r="T2516" i="2"/>
  <c r="T2505" i="2"/>
  <c r="T2654" i="2"/>
  <c r="K2373" i="2"/>
  <c r="G2336" i="2"/>
  <c r="D2522" i="2"/>
  <c r="G2444" i="2"/>
  <c r="R2316" i="2"/>
  <c r="U2492" i="2"/>
  <c r="Q2522" i="2"/>
  <c r="K2460" i="2"/>
  <c r="W2488" i="2"/>
  <c r="N2410" i="2"/>
  <c r="J2373" i="2"/>
  <c r="J2236" i="2"/>
  <c r="F2485" i="2"/>
  <c r="R2620" i="2"/>
  <c r="L2507" i="2"/>
  <c r="O2456" i="2"/>
  <c r="R2473" i="2"/>
  <c r="R2406" i="2"/>
  <c r="N2369" i="2"/>
  <c r="N2232" i="2"/>
  <c r="V2469" i="2"/>
  <c r="M2531" i="2"/>
  <c r="G2492" i="2"/>
  <c r="S2452" i="2"/>
  <c r="O2567" i="2"/>
  <c r="C2514" i="2"/>
  <c r="R2498" i="2"/>
  <c r="T2593" i="2"/>
  <c r="E2491" i="2"/>
  <c r="W2638" i="2"/>
  <c r="M2483" i="2"/>
  <c r="P2476" i="2"/>
  <c r="F2358" i="2"/>
  <c r="W2320" i="2"/>
  <c r="F2466" i="2"/>
  <c r="W2428" i="2"/>
  <c r="W2291" i="2"/>
  <c r="L2472" i="2"/>
  <c r="R2536" i="2"/>
  <c r="F2445" i="2"/>
  <c r="J2451" i="2"/>
  <c r="I2395" i="2"/>
  <c r="E2358" i="2"/>
  <c r="E2221" i="2"/>
  <c r="I2448" i="2"/>
  <c r="G2599" i="2"/>
  <c r="S2475" i="2"/>
  <c r="J2441" i="2"/>
  <c r="S2442" i="2"/>
  <c r="M2391" i="2"/>
  <c r="I2354" i="2"/>
  <c r="I2217" i="2"/>
  <c r="Q2440" i="2"/>
  <c r="J2541" i="2"/>
  <c r="O2454" i="2"/>
  <c r="N2437" i="2"/>
  <c r="F2435" i="2"/>
  <c r="S2571" i="2"/>
  <c r="V2529" i="2"/>
  <c r="R2584" i="2"/>
  <c r="R2627" i="2"/>
  <c r="Q2355" i="2"/>
  <c r="M2636" i="2"/>
  <c r="U2351" i="2"/>
  <c r="O2568" i="2"/>
  <c r="I2380" i="2"/>
  <c r="T2534" i="2"/>
  <c r="D2353" i="2"/>
  <c r="L2666" i="2"/>
  <c r="L2630" i="2"/>
  <c r="G2500" i="2"/>
  <c r="E2499" i="2"/>
  <c r="K2414" i="2"/>
  <c r="G2497" i="2"/>
  <c r="L2413" i="2"/>
  <c r="L2345" i="2"/>
  <c r="N2652" i="2"/>
  <c r="P2581" i="2"/>
  <c r="K2496" i="2"/>
  <c r="M2491" i="2"/>
  <c r="O2410" i="2"/>
  <c r="O2489" i="2"/>
  <c r="P2409" i="2"/>
  <c r="I2540" i="2"/>
  <c r="J2656" i="2"/>
  <c r="L2529" i="2"/>
  <c r="J2557" i="2"/>
  <c r="O2502" i="2"/>
  <c r="H2639" i="2"/>
  <c r="W2694" i="2"/>
  <c r="G2758" i="2"/>
  <c r="Q2544" i="2"/>
  <c r="T2580" i="2"/>
  <c r="M2590" i="2"/>
  <c r="U2619" i="2"/>
  <c r="T2670" i="2"/>
  <c r="D2580" i="2"/>
  <c r="R2589" i="2"/>
  <c r="C2688" i="2"/>
  <c r="V2603" i="2"/>
  <c r="T2647" i="2"/>
  <c r="N2539" i="2"/>
  <c r="U2682" i="2"/>
  <c r="E2600" i="2"/>
  <c r="H2489" i="2"/>
  <c r="H2604" i="2"/>
  <c r="S2506" i="2"/>
  <c r="D2577" i="2"/>
  <c r="L2667" i="2"/>
  <c r="Q2605" i="2"/>
  <c r="C2506" i="2"/>
  <c r="C2574" i="2"/>
  <c r="W2731" i="2"/>
  <c r="P2602" i="2"/>
  <c r="V2584" i="2"/>
  <c r="O2624" i="2"/>
  <c r="G2570" i="2"/>
  <c r="U2504" i="2"/>
  <c r="I2515" i="2"/>
  <c r="W2583" i="2"/>
  <c r="C2585" i="2"/>
  <c r="D2664" i="2"/>
  <c r="J2637" i="2"/>
  <c r="N2633" i="2"/>
  <c r="S2505" i="2"/>
  <c r="C2505" i="2"/>
  <c r="D2632" i="2"/>
  <c r="S2481" i="2"/>
  <c r="V2666" i="2"/>
  <c r="Q2510" i="2"/>
  <c r="Q2682" i="2"/>
  <c r="R2509" i="2"/>
  <c r="U2657" i="2"/>
  <c r="N2462" i="2"/>
  <c r="W2478" i="2"/>
  <c r="N2608" i="2"/>
  <c r="Q2639" i="2"/>
  <c r="U2506" i="2"/>
  <c r="R2700" i="2"/>
  <c r="V2505" i="2"/>
  <c r="K2549" i="2"/>
  <c r="R2458" i="2"/>
  <c r="F2475" i="2"/>
  <c r="D2578" i="2"/>
  <c r="H2627" i="2"/>
  <c r="D2503" i="2"/>
  <c r="V2660" i="2"/>
  <c r="E2502" i="2"/>
  <c r="H2579" i="2"/>
  <c r="V2454" i="2"/>
  <c r="P2574" i="2"/>
  <c r="K2378" i="2"/>
  <c r="C2690" i="2"/>
  <c r="N2650" i="2"/>
  <c r="H2718" i="2"/>
  <c r="E2689" i="2"/>
  <c r="O2493" i="2"/>
  <c r="T2492" i="2"/>
  <c r="T2631" i="2"/>
  <c r="Q2475" i="2"/>
  <c r="U2651" i="2"/>
  <c r="P2507" i="2"/>
  <c r="P2636" i="2"/>
  <c r="Q2506" i="2"/>
  <c r="S2573" i="2"/>
  <c r="M2459" i="2"/>
  <c r="V2475" i="2"/>
  <c r="F2584" i="2"/>
  <c r="L2639" i="2"/>
  <c r="T2503" i="2"/>
  <c r="C2703" i="2"/>
  <c r="U2502" i="2"/>
  <c r="L2591" i="2"/>
  <c r="Q2455" i="2"/>
  <c r="E2472" i="2"/>
  <c r="Q2553" i="2"/>
  <c r="K2627" i="2"/>
  <c r="C2500" i="2"/>
  <c r="I2624" i="2"/>
  <c r="D2499" i="2"/>
  <c r="Q2589" i="2"/>
  <c r="U2451" i="2"/>
  <c r="I2584" i="2"/>
  <c r="E2638" i="2"/>
  <c r="H2625" i="2"/>
  <c r="L2621" i="2"/>
  <c r="H2650" i="2"/>
  <c r="G2647" i="2"/>
  <c r="T2560" i="2"/>
  <c r="G2624" i="2"/>
  <c r="V2614" i="2"/>
  <c r="K2492" i="2"/>
  <c r="Q2599" i="2"/>
  <c r="L2491" i="2"/>
  <c r="W2474" i="2"/>
  <c r="V2682" i="2"/>
  <c r="F2619" i="2"/>
  <c r="P2660" i="2"/>
  <c r="W2591" i="2"/>
  <c r="Q2667" i="2"/>
  <c r="J2615" i="2"/>
  <c r="M2504" i="2"/>
  <c r="V2567" i="2"/>
  <c r="D2525" i="2"/>
  <c r="Q2689" i="2"/>
  <c r="T2521" i="2"/>
  <c r="R2549" i="2"/>
  <c r="N2523" i="2"/>
  <c r="G2658" i="2"/>
  <c r="D2521" i="2"/>
  <c r="W2548" i="2"/>
  <c r="Q2468" i="2"/>
  <c r="P2548" i="2"/>
  <c r="W2642" i="2"/>
  <c r="E2520" i="2"/>
  <c r="U2750" i="2"/>
  <c r="J2672" i="2"/>
  <c r="H2662" i="2"/>
  <c r="D2634" i="2"/>
  <c r="U2638" i="2"/>
  <c r="F2654" i="2"/>
  <c r="U2585" i="2"/>
  <c r="S2673" i="2"/>
  <c r="U2616" i="2"/>
  <c r="E2651" i="2"/>
  <c r="P2589" i="2"/>
  <c r="L2628" i="2"/>
  <c r="W2542" i="2"/>
  <c r="T2568" i="2"/>
  <c r="C2582" i="2"/>
  <c r="S2703" i="2"/>
  <c r="N2664" i="2"/>
  <c r="U2527" i="2"/>
  <c r="L2599" i="2"/>
  <c r="L2554" i="2"/>
  <c r="W2616" i="2"/>
  <c r="Q2673" i="2"/>
  <c r="H2497" i="2"/>
  <c r="K2551" i="2"/>
  <c r="G2616" i="2"/>
  <c r="G2654" i="2"/>
  <c r="V2644" i="2"/>
  <c r="D2492" i="2"/>
  <c r="P2563" i="2"/>
  <c r="H2615" i="2"/>
  <c r="N2591" i="2"/>
  <c r="S2605" i="2"/>
  <c r="H2744" i="2"/>
  <c r="N2626" i="2"/>
  <c r="S2625" i="2"/>
  <c r="U2551" i="2"/>
  <c r="R2576" i="2"/>
  <c r="D2582" i="2"/>
  <c r="C2579" i="2"/>
  <c r="M2643" i="2"/>
  <c r="Q2511" i="2"/>
  <c r="U2516" i="2"/>
  <c r="R2488" i="2"/>
  <c r="W2514" i="2"/>
  <c r="V2484" i="2"/>
  <c r="L2502" i="2"/>
  <c r="O2401" i="2"/>
  <c r="O2517" i="2"/>
  <c r="E2593" i="2"/>
  <c r="H2509" i="2"/>
  <c r="M2473" i="2"/>
  <c r="J2507" i="2"/>
  <c r="Q2469" i="2"/>
  <c r="H2461" i="2"/>
  <c r="S2397" i="2"/>
  <c r="S2513" i="2"/>
  <c r="U2577" i="2"/>
  <c r="P2501" i="2"/>
  <c r="L2465" i="2"/>
  <c r="R2499" i="2"/>
  <c r="M2464" i="2"/>
  <c r="N2447" i="2"/>
  <c r="W2393" i="2"/>
  <c r="I2502" i="2"/>
  <c r="M2699" i="2"/>
  <c r="J2614" i="2"/>
  <c r="O2613" i="2"/>
  <c r="V2672" i="2"/>
  <c r="O2526" i="2"/>
  <c r="E2540" i="2"/>
  <c r="J2539" i="2"/>
  <c r="H2643" i="2"/>
  <c r="M2499" i="2"/>
  <c r="S2510" i="2"/>
  <c r="N2476" i="2"/>
  <c r="U2508" i="2"/>
  <c r="R2472" i="2"/>
  <c r="I2464" i="2"/>
  <c r="N2398" i="2"/>
  <c r="N2514" i="2"/>
  <c r="V2580" i="2"/>
  <c r="F2503" i="2"/>
  <c r="G2466" i="2"/>
  <c r="H2501" i="2"/>
  <c r="H2465" i="2"/>
  <c r="D2449" i="2"/>
  <c r="R2394" i="2"/>
  <c r="R2510" i="2"/>
  <c r="Q2565" i="2"/>
  <c r="N2495" i="2"/>
  <c r="K2462" i="2"/>
  <c r="P2493" i="2"/>
  <c r="L2461" i="2"/>
  <c r="L2441" i="2"/>
  <c r="I2747" i="2"/>
  <c r="K2553" i="2"/>
  <c r="P2552" i="2"/>
  <c r="F2599" i="2"/>
  <c r="L2618" i="2"/>
  <c r="Q2661" i="2"/>
  <c r="P2658" i="2"/>
  <c r="N2566" i="2"/>
  <c r="F2596" i="2"/>
  <c r="I2480" i="2"/>
  <c r="S2454" i="2"/>
  <c r="K2478" i="2"/>
  <c r="T2453" i="2"/>
  <c r="G2426" i="2"/>
  <c r="Q2643" i="2"/>
  <c r="G2558" i="2"/>
  <c r="I2623" i="2"/>
  <c r="G2626" i="2"/>
  <c r="U2639" i="2"/>
  <c r="K2554" i="2"/>
  <c r="I2545" i="2"/>
  <c r="Q2614" i="2"/>
  <c r="K2615" i="2"/>
  <c r="F2647" i="2"/>
  <c r="Q2600" i="2"/>
  <c r="M2512" i="2"/>
  <c r="J2612" i="2"/>
  <c r="E2644" i="2"/>
  <c r="P2597" i="2"/>
  <c r="F2554" i="2"/>
  <c r="I2507" i="2"/>
  <c r="U2578" i="2"/>
  <c r="I2640" i="2"/>
  <c r="N2519" i="2"/>
  <c r="I2720" i="2"/>
  <c r="R2671" i="2"/>
  <c r="V2720" i="2"/>
  <c r="E2678" i="2"/>
  <c r="C2578" i="2"/>
  <c r="G2617" i="2"/>
  <c r="N2647" i="2"/>
  <c r="K2641" i="2"/>
  <c r="V2555" i="2"/>
  <c r="F2614" i="2"/>
  <c r="E2619" i="2"/>
  <c r="S2667" i="2"/>
  <c r="I2579" i="2"/>
  <c r="W2588" i="2"/>
  <c r="I2615" i="2"/>
  <c r="E2661" i="2"/>
  <c r="J2597" i="2"/>
  <c r="S2688" i="2"/>
  <c r="E2648" i="2"/>
  <c r="L2484" i="2"/>
  <c r="C2556" i="2"/>
  <c r="P2607" i="2"/>
  <c r="H2620" i="2"/>
  <c r="Q2483" i="2"/>
  <c r="H2555" i="2"/>
  <c r="U2606" i="2"/>
  <c r="G2534" i="2"/>
  <c r="F2644" i="2"/>
  <c r="K2526" i="2"/>
  <c r="I2554" i="2"/>
  <c r="M2496" i="2"/>
  <c r="F2479" i="2"/>
  <c r="R2694" i="2"/>
  <c r="L2587" i="2"/>
  <c r="Q2586" i="2"/>
  <c r="M2536" i="2"/>
  <c r="D2592" i="2"/>
  <c r="M2593" i="2"/>
  <c r="L2590" i="2"/>
  <c r="T2501" i="2"/>
  <c r="V2497" i="2"/>
  <c r="N2494" i="2"/>
  <c r="E2412" i="2"/>
  <c r="P2492" i="2"/>
  <c r="F2411" i="2"/>
  <c r="U2340" i="2"/>
  <c r="S2630" i="2"/>
  <c r="D2545" i="2"/>
  <c r="E2494" i="2"/>
  <c r="V2486" i="2"/>
  <c r="I2408" i="2"/>
  <c r="C2485" i="2"/>
  <c r="J2407" i="2"/>
  <c r="D2337" i="2"/>
  <c r="F2567" i="2"/>
  <c r="K2581" i="2"/>
  <c r="I2490" i="2"/>
  <c r="I2479" i="2"/>
  <c r="M2404" i="2"/>
  <c r="K2477" i="2"/>
  <c r="N2403" i="2"/>
  <c r="H2333" i="2"/>
  <c r="G2525" i="2"/>
  <c r="N2527" i="2"/>
  <c r="S2693" i="2"/>
  <c r="H2575" i="2"/>
  <c r="M2574" i="2"/>
  <c r="I2524" i="2"/>
  <c r="I2559" i="2"/>
  <c r="R2544" i="2"/>
  <c r="I2542" i="2"/>
  <c r="P2489" i="2"/>
  <c r="U2494" i="2"/>
  <c r="L2488" i="2"/>
  <c r="D2409" i="2"/>
  <c r="N2486" i="2"/>
  <c r="E2408" i="2"/>
  <c r="T2337" i="2"/>
  <c r="J2579" i="2"/>
  <c r="O2593" i="2"/>
  <c r="D2491" i="2"/>
  <c r="T2480" i="2"/>
  <c r="H2405" i="2"/>
  <c r="V2478" i="2"/>
  <c r="I2404" i="2"/>
  <c r="C2334" i="2"/>
  <c r="Q2615" i="2"/>
  <c r="W2553" i="2"/>
  <c r="H2487" i="2"/>
  <c r="S2473" i="2"/>
  <c r="L2401" i="2"/>
  <c r="T2472" i="2"/>
  <c r="M2400" i="2"/>
  <c r="G2330" i="2"/>
  <c r="L2613" i="2"/>
  <c r="C2538" i="2"/>
  <c r="N2567" i="2"/>
  <c r="R2563" i="2"/>
  <c r="G2584" i="2"/>
  <c r="C2482" i="2"/>
  <c r="V2542" i="2"/>
  <c r="O2620" i="2"/>
  <c r="P2479" i="2"/>
  <c r="K2658" i="2"/>
  <c r="T2393" i="2"/>
  <c r="F2643" i="2"/>
  <c r="U2392" i="2"/>
  <c r="L2377" i="2"/>
  <c r="U2540" i="2"/>
  <c r="V2474" i="2"/>
  <c r="K2512" i="2"/>
  <c r="M2523" i="2"/>
  <c r="O2426" i="2"/>
  <c r="O2521" i="2"/>
  <c r="P2425" i="2"/>
  <c r="T2369" i="2"/>
  <c r="P2525" i="2"/>
  <c r="G2687" i="2"/>
  <c r="O2508" i="2"/>
  <c r="U2515" i="2"/>
  <c r="S2422" i="2"/>
  <c r="W2513" i="2"/>
  <c r="T2421" i="2"/>
  <c r="G2362" i="2"/>
  <c r="I2516" i="2"/>
  <c r="W2354" i="2"/>
  <c r="T2525" i="2"/>
  <c r="S2593" i="2"/>
  <c r="T2622" i="2"/>
  <c r="N2319" i="2"/>
  <c r="O2607" i="2"/>
  <c r="R2315" i="2"/>
  <c r="J2592" i="2"/>
  <c r="V2311" i="2"/>
  <c r="J2439" i="2"/>
  <c r="K2412" i="2"/>
  <c r="U2384" i="2"/>
  <c r="N2362" i="2"/>
  <c r="J2325" i="2"/>
  <c r="J2188" i="2"/>
  <c r="P2461" i="2"/>
  <c r="F2390" i="2"/>
  <c r="N2341" i="2"/>
  <c r="L2546" i="2"/>
  <c r="N2449" i="2"/>
  <c r="K2327" i="2"/>
  <c r="H2293" i="2"/>
  <c r="O2539" i="2"/>
  <c r="K2446" i="2"/>
  <c r="V2374" i="2"/>
  <c r="R2337" i="2"/>
  <c r="F2528" i="2"/>
  <c r="R2445" i="2"/>
  <c r="S2319" i="2"/>
  <c r="L2289" i="2"/>
  <c r="M2609" i="2"/>
  <c r="F2431" i="2"/>
  <c r="E2371" i="2"/>
  <c r="V2333" i="2"/>
  <c r="M2759" i="2"/>
  <c r="P2551" i="2"/>
  <c r="U2523" i="2"/>
  <c r="E2497" i="2"/>
  <c r="I2605" i="2"/>
  <c r="U2481" i="2"/>
  <c r="D2590" i="2"/>
  <c r="W2467" i="2"/>
  <c r="F2502" i="2"/>
  <c r="L2526" i="2"/>
  <c r="O2481" i="2"/>
  <c r="P2432" i="2"/>
  <c r="L2395" i="2"/>
  <c r="L2258" i="2"/>
  <c r="D2461" i="2"/>
  <c r="W2350" i="2"/>
  <c r="P2411" i="2"/>
  <c r="J2383" i="2"/>
  <c r="S2361" i="2"/>
  <c r="O2324" i="2"/>
  <c r="O2187" i="2"/>
  <c r="H2381" i="2"/>
  <c r="G2671" i="2"/>
  <c r="C2621" i="2"/>
  <c r="T2407" i="2"/>
  <c r="R2375" i="2"/>
  <c r="W2357" i="2"/>
  <c r="S2320" i="2"/>
  <c r="S2183" i="2"/>
  <c r="P2373" i="2"/>
  <c r="F2627" i="2"/>
  <c r="D2481" i="2"/>
  <c r="D2699" i="2"/>
  <c r="N2543" i="2"/>
  <c r="W2500" i="2"/>
  <c r="G2414" i="2"/>
  <c r="F2497" i="2"/>
  <c r="K2410" i="2"/>
  <c r="J2493" i="2"/>
  <c r="O2406" i="2"/>
  <c r="S2583" i="2"/>
  <c r="K2467" i="2"/>
  <c r="K2516" i="2"/>
  <c r="K2417" i="2"/>
  <c r="G2380" i="2"/>
  <c r="G2243" i="2"/>
  <c r="G2544" i="2"/>
  <c r="W2504" i="2"/>
  <c r="K2396" i="2"/>
  <c r="U2352" i="2"/>
  <c r="N2346" i="2"/>
  <c r="J2309" i="2"/>
  <c r="L2462" i="2"/>
  <c r="S2350" i="2"/>
  <c r="I2512" i="2"/>
  <c r="O2467" i="2"/>
  <c r="O2392" i="2"/>
  <c r="H2345" i="2"/>
  <c r="R2342" i="2"/>
  <c r="N2305" i="2"/>
  <c r="G2447" i="2"/>
  <c r="F2343" i="2"/>
  <c r="T2481" i="2"/>
  <c r="R2427" i="2"/>
  <c r="S2388" i="2"/>
  <c r="F2339" i="2"/>
  <c r="S2450" i="2"/>
  <c r="F2443" i="2"/>
  <c r="N2426" i="2"/>
  <c r="C2542" i="2"/>
  <c r="M2318" i="2"/>
  <c r="M2507" i="2"/>
  <c r="Q2314" i="2"/>
  <c r="J2529" i="2"/>
  <c r="N2488" i="2"/>
  <c r="T2435" i="2"/>
  <c r="G2298" i="2"/>
  <c r="S2547" i="2"/>
  <c r="W2522" i="2"/>
  <c r="O2495" i="2"/>
  <c r="J2537" i="2"/>
  <c r="P2365" i="2"/>
  <c r="K2536" i="2"/>
  <c r="Q2364" i="2"/>
  <c r="D2586" i="2"/>
  <c r="C2530" i="2"/>
  <c r="Q2512" i="2"/>
  <c r="J2480" i="2"/>
  <c r="N2533" i="2"/>
  <c r="T2361" i="2"/>
  <c r="O2532" i="2"/>
  <c r="U2360" i="2"/>
  <c r="U2480" i="2"/>
  <c r="C2573" i="2"/>
  <c r="G2679" i="2"/>
  <c r="I2532" i="2"/>
  <c r="W2756" i="2"/>
  <c r="W2653" i="2"/>
  <c r="E2662" i="2"/>
  <c r="V2633" i="2"/>
  <c r="H2663" i="2"/>
  <c r="D2676" i="2"/>
  <c r="U2656" i="2"/>
  <c r="C2674" i="2"/>
  <c r="O2634" i="2"/>
  <c r="S2762" i="2"/>
  <c r="J2635" i="2"/>
  <c r="P2640" i="2"/>
  <c r="F2555" i="2"/>
  <c r="E2611" i="2"/>
  <c r="C2614" i="2"/>
  <c r="T2636" i="2"/>
  <c r="J2551" i="2"/>
  <c r="D2540" i="2"/>
  <c r="P2611" i="2"/>
  <c r="G2603" i="2"/>
  <c r="W2634" i="2"/>
  <c r="M2588" i="2"/>
  <c r="L2509" i="2"/>
  <c r="F2600" i="2"/>
  <c r="V2631" i="2"/>
  <c r="L2585" i="2"/>
  <c r="T2738" i="2"/>
  <c r="H2504" i="2"/>
  <c r="T2575" i="2"/>
  <c r="E2628" i="2"/>
  <c r="L2671" i="2"/>
  <c r="M2642" i="2"/>
  <c r="U2729" i="2"/>
  <c r="Q2620" i="2"/>
  <c r="H2577" i="2"/>
  <c r="P2600" i="2"/>
  <c r="E2596" i="2"/>
  <c r="J2577" i="2"/>
  <c r="O2576" i="2"/>
  <c r="S2563" i="2"/>
  <c r="P2614" i="2"/>
  <c r="R2647" i="2"/>
  <c r="M2537" i="2"/>
  <c r="E2617" i="2"/>
  <c r="Q2533" i="2"/>
  <c r="V2501" i="2"/>
  <c r="S2413" i="2"/>
  <c r="S2529" i="2"/>
  <c r="U2467" i="2"/>
  <c r="K2571" i="2"/>
  <c r="H2522" i="2"/>
  <c r="F2556" i="2"/>
  <c r="L2518" i="2"/>
  <c r="Q2486" i="2"/>
  <c r="W2409" i="2"/>
  <c r="W2525" i="2"/>
  <c r="P2626" i="2"/>
  <c r="K2534" i="2"/>
  <c r="C2507" i="2"/>
  <c r="O2530" i="2"/>
  <c r="G2503" i="2"/>
  <c r="L2471" i="2"/>
  <c r="F2406" i="2"/>
  <c r="E2577" i="2"/>
  <c r="D2726" i="2"/>
  <c r="I2596" i="2"/>
  <c r="D2565" i="2"/>
  <c r="L2588" i="2"/>
  <c r="S2654" i="2"/>
  <c r="F2565" i="2"/>
  <c r="K2564" i="2"/>
  <c r="N2535" i="2"/>
  <c r="U2565" i="2"/>
  <c r="O2583" i="2"/>
  <c r="I2525" i="2"/>
  <c r="J2568" i="2"/>
  <c r="M2521" i="2"/>
  <c r="R2489" i="2"/>
  <c r="R2410" i="2"/>
  <c r="R2526" i="2"/>
  <c r="D2637" i="2"/>
  <c r="L2537" i="2"/>
  <c r="D2510" i="2"/>
  <c r="P2533" i="2"/>
  <c r="H2506" i="2"/>
  <c r="M2474" i="2"/>
  <c r="V2406" i="2"/>
  <c r="V2522" i="2"/>
  <c r="L2614" i="2"/>
  <c r="G2522" i="2"/>
  <c r="T2494" i="2"/>
  <c r="K2518" i="2"/>
  <c r="C2491" i="2"/>
  <c r="T2526" i="2"/>
  <c r="S2700" i="2"/>
  <c r="F2602" i="2"/>
  <c r="K2601" i="2"/>
  <c r="R2681" i="2"/>
  <c r="O2510" i="2"/>
  <c r="V2527" i="2"/>
  <c r="F2527" i="2"/>
  <c r="K2643" i="2"/>
  <c r="I2487" i="2"/>
  <c r="Q2504" i="2"/>
  <c r="W2466" i="2"/>
  <c r="S2502" i="2"/>
  <c r="C2466" i="2"/>
  <c r="E2452" i="2"/>
  <c r="U2655" i="2"/>
  <c r="K2570" i="2"/>
  <c r="S2574" i="2"/>
  <c r="T2662" i="2"/>
  <c r="D2652" i="2"/>
  <c r="O2566" i="2"/>
  <c r="D2594" i="2"/>
  <c r="U2626" i="2"/>
  <c r="H2473" i="2"/>
  <c r="S2557" i="2"/>
  <c r="I2637" i="2"/>
  <c r="Q2524" i="2"/>
  <c r="M2472" i="2"/>
  <c r="H2556" i="2"/>
  <c r="H2634" i="2"/>
  <c r="V2602" i="2"/>
  <c r="M2519" i="2"/>
  <c r="D2591" i="2"/>
  <c r="J2554" i="2"/>
  <c r="O2544" i="2"/>
  <c r="T2730" i="2"/>
  <c r="L2580" i="2"/>
  <c r="P2576" i="2"/>
  <c r="L2548" i="2"/>
  <c r="K2602" i="2"/>
  <c r="Q2568" i="2"/>
  <c r="S2683" i="2"/>
  <c r="O2653" i="2"/>
  <c r="E2568" i="2"/>
  <c r="P2565" i="2"/>
  <c r="N2643" i="2"/>
  <c r="G2628" i="2"/>
  <c r="M2591" i="2"/>
  <c r="F2601" i="2"/>
  <c r="I2628" i="2"/>
  <c r="D2706" i="2"/>
  <c r="G2561" i="2"/>
  <c r="E2479" i="2"/>
  <c r="R2684" i="2"/>
  <c r="P2496" i="2"/>
  <c r="G2568" i="2"/>
  <c r="T2619" i="2"/>
  <c r="W2656" i="2"/>
  <c r="U2495" i="2"/>
  <c r="L2567" i="2"/>
  <c r="D2619" i="2"/>
  <c r="G2607" i="2"/>
  <c r="C2644" i="2"/>
  <c r="O2538" i="2"/>
  <c r="M2566" i="2"/>
  <c r="U2520" i="2"/>
  <c r="N2503" i="2"/>
  <c r="S2652" i="2"/>
  <c r="H2702" i="2"/>
  <c r="W2675" i="2"/>
  <c r="N2561" i="2"/>
  <c r="S2628" i="2"/>
  <c r="G2580" i="2"/>
  <c r="L2579" i="2"/>
  <c r="G2575" i="2"/>
  <c r="E2510" i="2"/>
  <c r="V2518" i="2"/>
  <c r="I2424" i="2"/>
  <c r="C2517" i="2"/>
  <c r="J2423" i="2"/>
  <c r="H2365" i="2"/>
  <c r="G2670" i="2"/>
  <c r="N2630" i="2"/>
  <c r="I2506" i="2"/>
  <c r="I2511" i="2"/>
  <c r="M2420" i="2"/>
  <c r="K2509" i="2"/>
  <c r="N2419" i="2"/>
  <c r="P2357" i="2"/>
  <c r="P2652" i="2"/>
  <c r="F2676" i="2"/>
  <c r="M2502" i="2"/>
  <c r="Q2503" i="2"/>
  <c r="Q2416" i="2"/>
  <c r="S2501" i="2"/>
  <c r="R2415" i="2"/>
  <c r="C2350" i="2"/>
  <c r="K2474" i="2"/>
  <c r="R2648" i="2"/>
  <c r="V2652" i="2"/>
  <c r="C2624" i="2"/>
  <c r="H2623" i="2"/>
  <c r="J2549" i="2"/>
  <c r="V2628" i="2"/>
  <c r="C2568" i="2"/>
  <c r="H2567" i="2"/>
  <c r="K2538" i="2"/>
  <c r="D2507" i="2"/>
  <c r="T2512" i="2"/>
  <c r="H2421" i="2"/>
  <c r="V2510" i="2"/>
  <c r="I2420" i="2"/>
  <c r="F2359" i="2"/>
  <c r="C2675" i="2"/>
  <c r="I2630" i="2"/>
  <c r="H2503" i="2"/>
  <c r="G2505" i="2"/>
  <c r="L2417" i="2"/>
  <c r="I2503" i="2"/>
  <c r="M2416" i="2"/>
  <c r="N2351" i="2"/>
  <c r="K2652" i="2"/>
  <c r="V2639" i="2"/>
  <c r="L2499" i="2"/>
  <c r="O2497" i="2"/>
  <c r="P2413" i="2"/>
  <c r="Q2495" i="2"/>
  <c r="Q2412" i="2"/>
  <c r="V2343" i="2"/>
  <c r="F2666" i="2"/>
  <c r="D2563" i="2"/>
  <c r="N2653" i="2"/>
  <c r="I2638" i="2"/>
  <c r="G2650" i="2"/>
  <c r="S2530" i="2"/>
  <c r="N2627" i="2"/>
  <c r="W2568" i="2"/>
  <c r="T2491" i="2"/>
  <c r="J2482" i="2"/>
  <c r="C2406" i="2"/>
  <c r="L2480" i="2"/>
  <c r="D2405" i="2"/>
  <c r="H2549" i="2"/>
  <c r="L2643" i="2"/>
  <c r="R2606" i="2"/>
  <c r="K2616" i="2"/>
  <c r="L2545" i="2"/>
  <c r="P2639" i="2"/>
  <c r="O2632" i="2"/>
  <c r="J2494" i="2"/>
  <c r="L2572" i="2"/>
  <c r="U2511" i="2"/>
  <c r="L2583" i="2"/>
  <c r="F2664" i="2"/>
  <c r="K2569" i="2"/>
  <c r="E2511" i="2"/>
  <c r="Q2582" i="2"/>
  <c r="T2657" i="2"/>
  <c r="J2565" i="2"/>
  <c r="L2656" i="2"/>
  <c r="F2588" i="2"/>
  <c r="R2581" i="2"/>
  <c r="L2547" i="2"/>
  <c r="D2705" i="2"/>
  <c r="I2632" i="2"/>
  <c r="Q2624" i="2"/>
  <c r="M2596" i="2"/>
  <c r="G2605" i="2"/>
  <c r="U2614" i="2"/>
  <c r="W2546" i="2"/>
  <c r="F2641" i="2"/>
  <c r="L2604" i="2"/>
  <c r="E2614" i="2"/>
  <c r="W2670" i="2"/>
  <c r="N2631" i="2"/>
  <c r="R2704" i="2"/>
  <c r="M2632" i="2"/>
  <c r="U2717" i="2"/>
  <c r="M2624" i="2"/>
  <c r="P2513" i="2"/>
  <c r="M2604" i="2"/>
  <c r="H2546" i="2"/>
  <c r="L2662" i="2"/>
  <c r="W2530" i="2"/>
  <c r="U2558" i="2"/>
  <c r="T2541" i="2"/>
  <c r="K2659" i="2"/>
  <c r="G2530" i="2"/>
  <c r="E2558" i="2"/>
  <c r="T2477" i="2"/>
  <c r="V2566" i="2"/>
  <c r="O2655" i="2"/>
  <c r="H2529" i="2"/>
  <c r="Q2539" i="2"/>
  <c r="G2481" i="2"/>
  <c r="P2715" i="2"/>
  <c r="T2616" i="2"/>
  <c r="C2684" i="2"/>
  <c r="U2678" i="2"/>
  <c r="R2503" i="2"/>
  <c r="W2502" i="2"/>
  <c r="R2572" i="2"/>
  <c r="N2530" i="2"/>
  <c r="L2486" i="2"/>
  <c r="D2535" i="2"/>
  <c r="J2363" i="2"/>
  <c r="E2534" i="2"/>
  <c r="K2362" i="2"/>
  <c r="M2549" i="2"/>
  <c r="L2525" i="2"/>
  <c r="E2508" i="2"/>
  <c r="G2471" i="2"/>
  <c r="H2531" i="2"/>
  <c r="N2359" i="2"/>
  <c r="I2530" i="2"/>
  <c r="O2358" i="2"/>
  <c r="V2528" i="2"/>
  <c r="T2517" i="2"/>
  <c r="M2500" i="2"/>
  <c r="U2464" i="2"/>
  <c r="L2527" i="2"/>
  <c r="R2355" i="2"/>
  <c r="M2526" i="2"/>
  <c r="S2354" i="2"/>
  <c r="Q2513" i="2"/>
  <c r="O2623" i="2"/>
  <c r="F2500" i="2"/>
  <c r="H2703" i="2"/>
  <c r="P2604" i="2"/>
  <c r="P2667" i="2"/>
  <c r="S2719" i="2"/>
  <c r="N2491" i="2"/>
  <c r="S2490" i="2"/>
  <c r="S2537" i="2"/>
  <c r="L2524" i="2"/>
  <c r="H2474" i="2"/>
  <c r="C2532" i="2"/>
  <c r="I2360" i="2"/>
  <c r="D2531" i="2"/>
  <c r="J2359" i="2"/>
  <c r="W2531" i="2"/>
  <c r="J2519" i="2"/>
  <c r="C2502" i="2"/>
  <c r="P2465" i="2"/>
  <c r="G2528" i="2"/>
  <c r="M2356" i="2"/>
  <c r="H2527" i="2"/>
  <c r="N2355" i="2"/>
  <c r="R2516" i="2"/>
  <c r="R2511" i="2"/>
  <c r="K2494" i="2"/>
  <c r="T2461" i="2"/>
  <c r="K2524" i="2"/>
  <c r="Q2352" i="2"/>
  <c r="L2523" i="2"/>
  <c r="R2351" i="2"/>
  <c r="M2501" i="2"/>
  <c r="H2585" i="2"/>
  <c r="W2684" i="2"/>
  <c r="R2661" i="2"/>
  <c r="V2657" i="2"/>
  <c r="F2530" i="2"/>
  <c r="K2529" i="2"/>
  <c r="T2476" i="2"/>
  <c r="W2493" i="2"/>
  <c r="G2454" i="2"/>
  <c r="S2516" i="2"/>
  <c r="D2345" i="2"/>
  <c r="T2515" i="2"/>
  <c r="E2344" i="2"/>
  <c r="K2310" i="2"/>
  <c r="S2568" i="2"/>
  <c r="C2548" i="2"/>
  <c r="H2550" i="2"/>
  <c r="C2571" i="2"/>
  <c r="T2377" i="2"/>
  <c r="G2567" i="2"/>
  <c r="U2376" i="2"/>
  <c r="O2306" i="2"/>
  <c r="N2553" i="2"/>
  <c r="T2598" i="2"/>
  <c r="E2529" i="2"/>
  <c r="S2555" i="2"/>
  <c r="C2374" i="2"/>
  <c r="W2551" i="2"/>
  <c r="D2373" i="2"/>
  <c r="S2302" i="2"/>
  <c r="W2498" i="2"/>
  <c r="R2525" i="2"/>
  <c r="J2555" i="2"/>
  <c r="G2588" i="2"/>
  <c r="S2390" i="2"/>
  <c r="J2605" i="2"/>
  <c r="W2386" i="2"/>
  <c r="E2590" i="2"/>
  <c r="F2383" i="2"/>
  <c r="C2572" i="2"/>
  <c r="P2510" i="2"/>
  <c r="P2363" i="2"/>
  <c r="C2314" i="2"/>
  <c r="C2483" i="2"/>
  <c r="N2408" i="2"/>
  <c r="W2509" i="2"/>
  <c r="E2492" i="2"/>
  <c r="W2563" i="2"/>
  <c r="H2524" i="2"/>
  <c r="W2437" i="2"/>
  <c r="S2400" i="2"/>
  <c r="S2263" i="2"/>
  <c r="P2516" i="2"/>
  <c r="R2494" i="2"/>
  <c r="Q2617" i="2"/>
  <c r="N2532" i="2"/>
  <c r="S2493" i="2"/>
  <c r="F2434" i="2"/>
  <c r="W2396" i="2"/>
  <c r="W2259" i="2"/>
  <c r="F2486" i="2"/>
  <c r="M2479" i="2"/>
  <c r="R2530" i="2"/>
  <c r="I2517" i="2"/>
  <c r="T2468" i="2"/>
  <c r="N2547" i="2"/>
  <c r="P2641" i="2"/>
  <c r="I2528" i="2"/>
  <c r="Q2577" i="2"/>
  <c r="J2515" i="2"/>
  <c r="H2490" i="2"/>
  <c r="R2507" i="2"/>
  <c r="G2458" i="2"/>
  <c r="H2500" i="2"/>
  <c r="R2433" i="2"/>
  <c r="N2427" i="2"/>
  <c r="U2383" i="2"/>
  <c r="Q2346" i="2"/>
  <c r="Q2209" i="2"/>
  <c r="P2523" i="2"/>
  <c r="L2498" i="2"/>
  <c r="U2362" i="2"/>
  <c r="H2313" i="2"/>
  <c r="W2479" i="2"/>
  <c r="M2405" i="2"/>
  <c r="M2331" i="2"/>
  <c r="I2312" i="2"/>
  <c r="K2508" i="2"/>
  <c r="H2460" i="2"/>
  <c r="D2359" i="2"/>
  <c r="L2309" i="2"/>
  <c r="D2467" i="2"/>
  <c r="H2390" i="2"/>
  <c r="U2323" i="2"/>
  <c r="M2308" i="2"/>
  <c r="F2493" i="2"/>
  <c r="C2445" i="2"/>
  <c r="P2599" i="2"/>
  <c r="P2543" i="2"/>
  <c r="P2500" i="2"/>
  <c r="W2346" i="2"/>
  <c r="C2493" i="2"/>
  <c r="E2340" i="2"/>
  <c r="K2485" i="2"/>
  <c r="I2336" i="2"/>
  <c r="N2568" i="2"/>
  <c r="M2418" i="2"/>
  <c r="D2397" i="2"/>
  <c r="P2368" i="2"/>
  <c r="L2331" i="2"/>
  <c r="L2194" i="2"/>
  <c r="N2540" i="2"/>
  <c r="N2414" i="2"/>
  <c r="P2347" i="2"/>
  <c r="C2298" i="2"/>
  <c r="P2455" i="2"/>
  <c r="N2344" i="2"/>
  <c r="C2301" i="2"/>
  <c r="H2633" i="2"/>
  <c r="O2479" i="2"/>
  <c r="I2399" i="2"/>
  <c r="T2343" i="2"/>
  <c r="C2583" i="2"/>
  <c r="T2451" i="2"/>
  <c r="W2331" i="2"/>
  <c r="N2295" i="2"/>
  <c r="S2567" i="2"/>
  <c r="N2455" i="2"/>
  <c r="D2384" i="2"/>
  <c r="C2340" i="2"/>
  <c r="M2760" i="2"/>
  <c r="R2533" i="2"/>
  <c r="U2538" i="2"/>
  <c r="J2389" i="2"/>
  <c r="N2405" i="2"/>
  <c r="M2181" i="2"/>
  <c r="R2401" i="2"/>
  <c r="O2531" i="2"/>
  <c r="E2410" i="2"/>
  <c r="H2424" i="2"/>
  <c r="D2387" i="2"/>
  <c r="H2444" i="2"/>
  <c r="U2613" i="2"/>
  <c r="J2522" i="2"/>
  <c r="P2564" i="2"/>
  <c r="O2488" i="2"/>
  <c r="C2557" i="2"/>
  <c r="P2487" i="2"/>
  <c r="E2549" i="2"/>
  <c r="L2440" i="2"/>
  <c r="P2598" i="2"/>
  <c r="R2514" i="2"/>
  <c r="Q2648" i="2"/>
  <c r="S2484" i="2"/>
  <c r="L2633" i="2"/>
  <c r="T2483" i="2"/>
  <c r="O2513" i="2"/>
  <c r="J2435" i="2"/>
  <c r="U2387" i="2"/>
  <c r="V2477" i="2"/>
  <c r="L2653" i="2"/>
  <c r="W2517" i="2"/>
  <c r="F2451" i="2"/>
  <c r="D2341" i="2"/>
  <c r="Q2686" i="2"/>
  <c r="H2621" i="2"/>
  <c r="M2627" i="2"/>
  <c r="K2630" i="2"/>
  <c r="S2342" i="2"/>
  <c r="W2448" i="2"/>
  <c r="O2466" i="2"/>
  <c r="E2399" i="2"/>
  <c r="V2361" i="2"/>
  <c r="V2224" i="2"/>
  <c r="D2496" i="2"/>
  <c r="K2342" i="2"/>
  <c r="E2378" i="2"/>
  <c r="M2328" i="2"/>
  <c r="V2540" i="2"/>
  <c r="L2466" i="2"/>
  <c r="I2389" i="2"/>
  <c r="N2327" i="2"/>
  <c r="W2469" i="2"/>
  <c r="K2326" i="2"/>
  <c r="I2374" i="2"/>
  <c r="Q2324" i="2"/>
  <c r="Q2525" i="2"/>
  <c r="G2451" i="2"/>
  <c r="D2374" i="2"/>
  <c r="R2323" i="2"/>
  <c r="I2589" i="2"/>
  <c r="F2311" i="2"/>
  <c r="M2370" i="2"/>
  <c r="U2320" i="2"/>
  <c r="R2573" i="2"/>
  <c r="W2623" i="2"/>
  <c r="E2523" i="2"/>
  <c r="M2674" i="2"/>
  <c r="M2515" i="2"/>
  <c r="O2675" i="2"/>
  <c r="U2507" i="2"/>
  <c r="K2525" i="2"/>
  <c r="G2361" i="2"/>
  <c r="C2324" i="2"/>
  <c r="I2473" i="2"/>
  <c r="C2432" i="2"/>
  <c r="C2295" i="2"/>
  <c r="V2494" i="2"/>
  <c r="V2473" i="2"/>
  <c r="G2448" i="2"/>
  <c r="N2463" i="2"/>
  <c r="J2398" i="2"/>
  <c r="F2361" i="2"/>
  <c r="F2224" i="2"/>
  <c r="R2459" i="2"/>
  <c r="K2469" i="2"/>
  <c r="N2524" i="2"/>
  <c r="K2444" i="2"/>
  <c r="U2448" i="2"/>
  <c r="N2394" i="2"/>
  <c r="J2357" i="2"/>
  <c r="J2220" i="2"/>
  <c r="S2446" i="2"/>
  <c r="C2587" i="2"/>
  <c r="S2466" i="2"/>
  <c r="O2440" i="2"/>
  <c r="W2696" i="2"/>
  <c r="P2536" i="2"/>
  <c r="F2537" i="2"/>
  <c r="G2514" i="2"/>
  <c r="J2533" i="2"/>
  <c r="O2506" i="2"/>
  <c r="N2529" i="2"/>
  <c r="J2477" i="2"/>
  <c r="W2345" i="2"/>
  <c r="C2564" i="2"/>
  <c r="W2453" i="2"/>
  <c r="S2416" i="2"/>
  <c r="S2279" i="2"/>
  <c r="D2523" i="2"/>
  <c r="I2436" i="2"/>
  <c r="W2432" i="2"/>
  <c r="C2426" i="2"/>
  <c r="E2383" i="2"/>
  <c r="V2345" i="2"/>
  <c r="V2208" i="2"/>
  <c r="V2423" i="2"/>
  <c r="T2507" i="2"/>
  <c r="D2421" i="2"/>
  <c r="F2429" i="2"/>
  <c r="K2418" i="2"/>
  <c r="I2379" i="2"/>
  <c r="E2342" i="2"/>
  <c r="E2205" i="2"/>
  <c r="I2416" i="2"/>
  <c r="O2492" i="2"/>
  <c r="T2405" i="2"/>
  <c r="J2425" i="2"/>
  <c r="S2410" i="2"/>
  <c r="G2474" i="2"/>
  <c r="C2607" i="2"/>
  <c r="J2415" i="2"/>
  <c r="H2499" i="2"/>
  <c r="S2464" i="2"/>
  <c r="C2484" i="2"/>
  <c r="W2460" i="2"/>
  <c r="M2648" i="2"/>
  <c r="E2336" i="2"/>
  <c r="D2486" i="2"/>
  <c r="S2334" i="2"/>
  <c r="T2629" i="2"/>
  <c r="D2560" i="2"/>
  <c r="C2488" i="2"/>
  <c r="R2474" i="2"/>
  <c r="G2402" i="2"/>
  <c r="O2473" i="2"/>
  <c r="H2401" i="2"/>
  <c r="W2330" i="2"/>
  <c r="E2571" i="2"/>
  <c r="N2639" i="2"/>
  <c r="G2484" i="2"/>
  <c r="R2470" i="2"/>
  <c r="K2398" i="2"/>
  <c r="S2469" i="2"/>
  <c r="L2397" i="2"/>
  <c r="F2327" i="2"/>
  <c r="T2500" i="2"/>
  <c r="T2473" i="2"/>
  <c r="L2589" i="2"/>
  <c r="S2588" i="2"/>
  <c r="O2571" i="2"/>
  <c r="T2416" i="2"/>
  <c r="L2534" i="2"/>
  <c r="C2413" i="2"/>
  <c r="G2519" i="2"/>
  <c r="K2421" i="2"/>
  <c r="P2421" i="2"/>
  <c r="C2388" i="2"/>
  <c r="K2338" i="2"/>
  <c r="F2338" i="2"/>
  <c r="W2300" i="2"/>
  <c r="P2537" i="2"/>
  <c r="E2364" i="2"/>
  <c r="J2354" i="2"/>
  <c r="Q2645" i="2"/>
  <c r="J2462" i="2"/>
  <c r="F2425" i="2"/>
  <c r="F2288" i="2"/>
  <c r="U2596" i="2"/>
  <c r="E2504" i="2"/>
  <c r="U2348" i="2"/>
  <c r="N2350" i="2"/>
  <c r="I2543" i="2"/>
  <c r="N2458" i="2"/>
  <c r="J2421" i="2"/>
  <c r="J2284" i="2"/>
  <c r="V2621" i="2"/>
  <c r="L2477" i="2"/>
  <c r="O2648" i="2"/>
  <c r="R2346" i="2"/>
  <c r="G2576" i="2"/>
  <c r="G2649" i="2"/>
  <c r="M2606" i="2"/>
  <c r="L2562" i="2"/>
  <c r="P2377" i="2"/>
  <c r="F2532" i="2"/>
  <c r="T2373" i="2"/>
  <c r="V2516" i="2"/>
  <c r="C2370" i="2"/>
  <c r="V2415" i="2"/>
  <c r="E2458" i="2"/>
  <c r="T2479" i="2"/>
  <c r="H2408" i="2"/>
  <c r="D2371" i="2"/>
  <c r="D2234" i="2"/>
  <c r="P2469" i="2"/>
  <c r="N2415" i="2"/>
  <c r="H2387" i="2"/>
  <c r="P2337" i="2"/>
  <c r="K2337" i="2"/>
  <c r="G2300" i="2"/>
  <c r="U2425" i="2"/>
  <c r="Q2336" i="2"/>
  <c r="R2538" i="2"/>
  <c r="D2385" i="2"/>
  <c r="L2383" i="2"/>
  <c r="T2333" i="2"/>
  <c r="U2621" i="2"/>
  <c r="G2563" i="2"/>
  <c r="P2410" i="2"/>
  <c r="U2332" i="2"/>
  <c r="H2508" i="2"/>
  <c r="O2354" i="2"/>
  <c r="O2586" i="2"/>
  <c r="P2613" i="2"/>
  <c r="R2570" i="2"/>
  <c r="M2573" i="2"/>
  <c r="D2682" i="2"/>
  <c r="Q2519" i="2"/>
  <c r="K2620" i="2"/>
  <c r="G2489" i="2"/>
  <c r="O2552" i="2"/>
  <c r="U2442" i="2"/>
  <c r="T2445" i="2"/>
  <c r="C2393" i="2"/>
  <c r="T2355" i="2"/>
  <c r="T2218" i="2"/>
  <c r="Q2613" i="2"/>
  <c r="H2317" i="2"/>
  <c r="C2372" i="2"/>
  <c r="K2322" i="2"/>
  <c r="N2516" i="2"/>
  <c r="D2442" i="2"/>
  <c r="V2364" i="2"/>
  <c r="L2321" i="2"/>
  <c r="R2552" i="2"/>
  <c r="C2302" i="2"/>
  <c r="G2368" i="2"/>
  <c r="O2318" i="2"/>
  <c r="I2501" i="2"/>
  <c r="T2426" i="2"/>
  <c r="Q2349" i="2"/>
  <c r="P2317" i="2"/>
  <c r="R2529" i="2"/>
  <c r="T2522" i="2"/>
  <c r="K2364" i="2"/>
  <c r="S2314" i="2"/>
  <c r="H2380" i="2"/>
  <c r="E2403" i="2"/>
  <c r="R2548" i="2"/>
  <c r="G2345" i="2"/>
  <c r="C2279" i="2"/>
  <c r="K2341" i="2"/>
  <c r="G2275" i="2"/>
  <c r="O2337" i="2"/>
  <c r="P2448" i="2"/>
  <c r="L2411" i="2"/>
  <c r="C2471" i="2"/>
  <c r="U2488" i="2"/>
  <c r="N2471" i="2"/>
  <c r="K2450" i="2"/>
  <c r="W2512" i="2"/>
  <c r="H2341" i="2"/>
  <c r="C2512" i="2"/>
  <c r="I2691" i="2"/>
  <c r="T2464" i="2"/>
  <c r="H2481" i="2"/>
  <c r="T2626" i="2"/>
  <c r="M2670" i="2"/>
  <c r="F2509" i="2"/>
  <c r="O2661" i="2"/>
  <c r="G2508" i="2"/>
  <c r="M2572" i="2"/>
  <c r="C2461" i="2"/>
  <c r="N2489" i="2"/>
  <c r="S2402" i="2"/>
  <c r="M2622" i="2"/>
  <c r="T2587" i="2"/>
  <c r="T2562" i="2"/>
  <c r="D2484" i="2"/>
  <c r="U2539" i="2"/>
  <c r="H2480" i="2"/>
  <c r="H2532" i="2"/>
  <c r="O2474" i="2"/>
  <c r="H2364" i="2"/>
  <c r="D2327" i="2"/>
  <c r="M2485" i="2"/>
  <c r="D2435" i="2"/>
  <c r="L2298" i="2"/>
  <c r="I2519" i="2"/>
  <c r="E2486" i="2"/>
  <c r="H2451" i="2"/>
  <c r="K2499" i="2"/>
  <c r="K2401" i="2"/>
  <c r="G2364" i="2"/>
  <c r="G2227" i="2"/>
  <c r="F2484" i="2"/>
  <c r="T2488" i="2"/>
  <c r="U2470" i="2"/>
  <c r="L2447" i="2"/>
  <c r="M2460" i="2"/>
  <c r="O2397" i="2"/>
  <c r="K2360" i="2"/>
  <c r="K2223" i="2"/>
  <c r="Q2456" i="2"/>
  <c r="L2661" i="2"/>
  <c r="J2512" i="2"/>
  <c r="P2443" i="2"/>
  <c r="J2447" i="2"/>
  <c r="F2728" i="2"/>
  <c r="L2699" i="2"/>
  <c r="N2501" i="2"/>
  <c r="K2453" i="2"/>
  <c r="R2497" i="2"/>
  <c r="O2449" i="2"/>
  <c r="V2493" i="2"/>
  <c r="S2445" i="2"/>
  <c r="U2597" i="2"/>
  <c r="F2397" i="2"/>
  <c r="K2354" i="2"/>
  <c r="I2347" i="2"/>
  <c r="E2310" i="2"/>
  <c r="M2603" i="2"/>
  <c r="Q2400" i="2"/>
  <c r="M2363" i="2"/>
  <c r="I2326" i="2"/>
  <c r="L2482" i="2"/>
  <c r="I2434" i="2"/>
  <c r="I2297" i="2"/>
  <c r="C2278" i="2"/>
  <c r="H2599" i="2"/>
  <c r="L2385" i="2"/>
  <c r="Q2359" i="2"/>
  <c r="M2322" i="2"/>
  <c r="G2468" i="2"/>
  <c r="M2430" i="2"/>
  <c r="M2293" i="2"/>
  <c r="G2274" i="2"/>
  <c r="V2620" i="2"/>
  <c r="G2370" i="2"/>
  <c r="U2355" i="2"/>
  <c r="G2589" i="2"/>
  <c r="J2694" i="2"/>
  <c r="V2463" i="2"/>
  <c r="L2392" i="2"/>
  <c r="E2460" i="2"/>
  <c r="P2388" i="2"/>
  <c r="I2456" i="2"/>
  <c r="G2409" i="2"/>
  <c r="U2372" i="2"/>
  <c r="V2381" i="2"/>
  <c r="I2332" i="2"/>
  <c r="M2597" i="2"/>
  <c r="G2523" i="2"/>
  <c r="T2485" i="2"/>
  <c r="T2710" i="2"/>
  <c r="H2348" i="2"/>
  <c r="O2600" i="2"/>
  <c r="H2456" i="2"/>
  <c r="D2419" i="2"/>
  <c r="D2282" i="2"/>
  <c r="J2585" i="2"/>
  <c r="I2468" i="2"/>
  <c r="J2563" i="2"/>
  <c r="L2344" i="2"/>
  <c r="H2626" i="2"/>
  <c r="L2452" i="2"/>
  <c r="H2415" i="2"/>
  <c r="H2278" i="2"/>
  <c r="I2565" i="2"/>
  <c r="K2583" i="2"/>
  <c r="N2613" i="2"/>
  <c r="P2340" i="2"/>
  <c r="C2510" i="2"/>
  <c r="K2550" i="2"/>
  <c r="T2637" i="2"/>
  <c r="I2367" i="2"/>
  <c r="N2304" i="2"/>
  <c r="M2565" i="2"/>
  <c r="V2532" i="2"/>
  <c r="G2487" i="2"/>
  <c r="W2471" i="2"/>
  <c r="W2336" i="2"/>
  <c r="Q2387" i="2"/>
  <c r="M2350" i="2"/>
  <c r="O2512" i="2"/>
  <c r="L2352" i="2"/>
  <c r="H2315" i="2"/>
  <c r="R2540" i="2"/>
  <c r="E2366" i="2"/>
  <c r="L2229" i="2"/>
  <c r="T2212" i="2"/>
  <c r="R2350" i="2"/>
  <c r="S2294" i="2"/>
  <c r="H2388" i="2"/>
  <c r="D2351" i="2"/>
  <c r="D2214" i="2"/>
  <c r="M2351" i="2"/>
  <c r="H2265" i="2"/>
  <c r="P2248" i="2"/>
  <c r="F2299" i="2"/>
  <c r="H2198" i="2"/>
  <c r="D2424" i="2"/>
  <c r="U2386" i="2"/>
  <c r="U2249" i="2"/>
  <c r="V2299" i="2"/>
  <c r="D2390" i="2"/>
  <c r="L2284" i="2"/>
  <c r="W2603" i="2"/>
  <c r="C2183" i="2"/>
  <c r="H2420" i="2"/>
  <c r="D2383" i="2"/>
  <c r="D2246" i="2"/>
  <c r="L2514" i="2"/>
  <c r="O2359" i="2"/>
  <c r="P2442" i="2"/>
  <c r="L2341" i="2"/>
  <c r="U2485" i="2"/>
  <c r="R2294" i="2"/>
  <c r="G2555" i="2"/>
  <c r="W2187" i="2"/>
  <c r="D2140" i="2"/>
  <c r="P2198" i="2"/>
  <c r="K2141" i="2"/>
  <c r="I2209" i="2"/>
  <c r="R2142" i="2"/>
  <c r="T2226" i="2"/>
  <c r="L2584" i="2"/>
  <c r="H2234" i="2"/>
  <c r="S2367" i="2"/>
  <c r="L2308" i="2"/>
  <c r="W2283" i="2"/>
  <c r="S2169" i="2"/>
  <c r="E2169" i="2"/>
  <c r="E2171" i="2"/>
  <c r="L2170" i="2"/>
  <c r="L2172" i="2"/>
  <c r="T2299" i="2"/>
  <c r="U2550" i="2"/>
  <c r="M2471" i="2"/>
  <c r="R2463" i="2"/>
  <c r="K2328" i="2"/>
  <c r="O2344" i="2"/>
  <c r="I2296" i="2"/>
  <c r="S2340" i="2"/>
  <c r="M2292" i="2"/>
  <c r="P2379" i="2"/>
  <c r="C2409" i="2"/>
  <c r="T2371" i="2"/>
  <c r="N2431" i="2"/>
  <c r="G2337" i="2"/>
  <c r="C2300" i="2"/>
  <c r="E2425" i="2"/>
  <c r="O2312" i="2"/>
  <c r="G2214" i="2"/>
  <c r="O2197" i="2"/>
  <c r="P2447" i="2"/>
  <c r="R2609" i="2"/>
  <c r="C2373" i="2"/>
  <c r="T2335" i="2"/>
  <c r="T2198" i="2"/>
  <c r="K2448" i="2"/>
  <c r="C2250" i="2"/>
  <c r="K2233" i="2"/>
  <c r="C2433" i="2"/>
  <c r="R2416" i="2"/>
  <c r="T2408" i="2"/>
  <c r="P2371" i="2"/>
  <c r="P2234" i="2"/>
  <c r="S2433" i="2"/>
  <c r="K2301" i="2"/>
  <c r="G2269" i="2"/>
  <c r="G2422" i="2"/>
  <c r="G2383" i="2"/>
  <c r="C2405" i="2"/>
  <c r="T2367" i="2"/>
  <c r="T2230" i="2"/>
  <c r="N2418" i="2"/>
  <c r="R2263" i="2"/>
  <c r="Q2327" i="2"/>
  <c r="F2496" i="2"/>
  <c r="L2350" i="2"/>
  <c r="M2279" i="2"/>
  <c r="F2419" i="2"/>
  <c r="D2257" i="2"/>
  <c r="T2124" i="2"/>
  <c r="K2262" i="2"/>
  <c r="F2126" i="2"/>
  <c r="R2267" i="2"/>
  <c r="M2127" i="2"/>
  <c r="J2196" i="2"/>
  <c r="D2465" i="2"/>
  <c r="S2203" i="2"/>
  <c r="R2320" i="2"/>
  <c r="E2242" i="2"/>
  <c r="M2253" i="2"/>
  <c r="N2154" i="2"/>
  <c r="U2153" i="2"/>
  <c r="U2155" i="2"/>
  <c r="G2155" i="2"/>
  <c r="G2157" i="2"/>
  <c r="O2507" i="2"/>
  <c r="E2477" i="2"/>
  <c r="K2353" i="2"/>
  <c r="O2369" i="2"/>
  <c r="E2309" i="2"/>
  <c r="S2365" i="2"/>
  <c r="M2301" i="2"/>
  <c r="W2361" i="2"/>
  <c r="R2454" i="2"/>
  <c r="N2417" i="2"/>
  <c r="U2284" i="2"/>
  <c r="V2382" i="2"/>
  <c r="R2443" i="2"/>
  <c r="H2340" i="2"/>
  <c r="D2303" i="2"/>
  <c r="I2437" i="2"/>
  <c r="Q2318" i="2"/>
  <c r="H2217" i="2"/>
  <c r="P2200" i="2"/>
  <c r="T2459" i="2"/>
  <c r="J2633" i="2"/>
  <c r="D2376" i="2"/>
  <c r="U2338" i="2"/>
  <c r="U2201" i="2"/>
  <c r="O2460" i="2"/>
  <c r="D2253" i="2"/>
  <c r="L2236" i="2"/>
  <c r="G2445" i="2"/>
  <c r="J2339" i="2"/>
  <c r="G2571" i="2"/>
  <c r="J2601" i="2"/>
  <c r="S2668" i="2"/>
  <c r="G2517" i="2"/>
  <c r="R2513" i="2"/>
  <c r="O2465" i="2"/>
  <c r="V2509" i="2"/>
  <c r="S2461" i="2"/>
  <c r="E2506" i="2"/>
  <c r="W2457" i="2"/>
  <c r="T2341" i="2"/>
  <c r="G2400" i="2"/>
  <c r="M2360" i="2"/>
  <c r="J2350" i="2"/>
  <c r="F2313" i="2"/>
  <c r="G2640" i="2"/>
  <c r="U2412" i="2"/>
  <c r="N2366" i="2"/>
  <c r="J2329" i="2"/>
  <c r="P2494" i="2"/>
  <c r="J2437" i="2"/>
  <c r="C2303" i="2"/>
  <c r="D2281" i="2"/>
  <c r="C2565" i="2"/>
  <c r="P2397" i="2"/>
  <c r="R2362" i="2"/>
  <c r="N2325" i="2"/>
  <c r="K2479" i="2"/>
  <c r="N2433" i="2"/>
  <c r="N2296" i="2"/>
  <c r="H2277" i="2"/>
  <c r="D2587" i="2"/>
  <c r="K2382" i="2"/>
  <c r="V2358" i="2"/>
  <c r="R2321" i="2"/>
  <c r="C2653" i="2"/>
  <c r="C2629" i="2"/>
  <c r="F2513" i="2"/>
  <c r="K2426" i="2"/>
  <c r="J2509" i="2"/>
  <c r="O2422" i="2"/>
  <c r="N2505" i="2"/>
  <c r="S2418" i="2"/>
  <c r="E2490" i="2"/>
  <c r="Q2477" i="2"/>
  <c r="O2528" i="2"/>
  <c r="L2420" i="2"/>
  <c r="H2383" i="2"/>
  <c r="H2246" i="2"/>
  <c r="W2592" i="2"/>
  <c r="S2587" i="2"/>
  <c r="L2399" i="2"/>
  <c r="W2358" i="2"/>
  <c r="O2349" i="2"/>
  <c r="K2312" i="2"/>
  <c r="C2495" i="2"/>
  <c r="U2356" i="2"/>
  <c r="S2595" i="2"/>
  <c r="S2492" i="2"/>
  <c r="P2395" i="2"/>
  <c r="J2351" i="2"/>
  <c r="S2345" i="2"/>
  <c r="O2308" i="2"/>
  <c r="K2459" i="2"/>
  <c r="H2349" i="2"/>
  <c r="G2506" i="2"/>
  <c r="F2455" i="2"/>
  <c r="O2716" i="2"/>
  <c r="V2515" i="2"/>
  <c r="P2498" i="2"/>
  <c r="L2365" i="2"/>
  <c r="K2483" i="2"/>
  <c r="P2361" i="2"/>
  <c r="R2468" i="2"/>
  <c r="T2357" i="2"/>
  <c r="N2391" i="2"/>
  <c r="D2455" i="2"/>
  <c r="H2614" i="2"/>
  <c r="G2405" i="2"/>
  <c r="C2368" i="2"/>
  <c r="C2231" i="2"/>
  <c r="F2552" i="2"/>
  <c r="F2391" i="2"/>
  <c r="G2384" i="2"/>
  <c r="O2334" i="2"/>
  <c r="O2654" i="2"/>
  <c r="W2611" i="2"/>
  <c r="Q2413" i="2"/>
  <c r="P2333" i="2"/>
  <c r="J2514" i="2"/>
  <c r="Q2360" i="2"/>
  <c r="K2380" i="2"/>
  <c r="S2330" i="2"/>
  <c r="E2573" i="2"/>
  <c r="T2498" i="2"/>
  <c r="L2398" i="2"/>
  <c r="T2329" i="2"/>
  <c r="U2483" i="2"/>
  <c r="N2335" i="2"/>
  <c r="O2376" i="2"/>
  <c r="W2326" i="2"/>
  <c r="E2420" i="2"/>
  <c r="U2404" i="2"/>
  <c r="S2377" i="2"/>
  <c r="E2451" i="2"/>
  <c r="E2381" i="2"/>
  <c r="U2435" i="2"/>
  <c r="U2365" i="2"/>
  <c r="P2420" i="2"/>
  <c r="T2460" i="2"/>
  <c r="P2423" i="2"/>
  <c r="S2519" i="2"/>
  <c r="H2513" i="2"/>
  <c r="V2495" i="2"/>
  <c r="O2462" i="2"/>
  <c r="F2525" i="2"/>
  <c r="L2353" i="2"/>
  <c r="G2524" i="2"/>
  <c r="M2352" i="2"/>
  <c r="N2504" i="2"/>
  <c r="P2505" i="2"/>
  <c r="I2488" i="2"/>
  <c r="S2458" i="2"/>
  <c r="J2521" i="2"/>
  <c r="P2349" i="2"/>
  <c r="K2520" i="2"/>
  <c r="Q2348" i="2"/>
  <c r="I2489" i="2"/>
  <c r="I2538" i="2"/>
  <c r="N2451" i="2"/>
  <c r="T2612" i="2"/>
  <c r="N2612" i="2"/>
  <c r="N2549" i="2"/>
  <c r="T2532" i="2"/>
  <c r="V2604" i="2"/>
  <c r="C2529" i="2"/>
  <c r="W2543" i="2"/>
  <c r="P2488" i="2"/>
  <c r="C2381" i="2"/>
  <c r="H2339" i="2"/>
  <c r="H2534" i="2"/>
  <c r="H2447" i="2"/>
  <c r="T2322" i="2"/>
  <c r="H2517" i="2"/>
  <c r="U2534" i="2"/>
  <c r="L2463" i="2"/>
  <c r="F2501" i="2"/>
  <c r="O2413" i="2"/>
  <c r="K2376" i="2"/>
  <c r="K2239" i="2"/>
  <c r="J2497" i="2"/>
  <c r="S2486" i="2"/>
  <c r="P2519" i="2"/>
  <c r="P2459" i="2"/>
  <c r="V2485" i="2"/>
  <c r="S2409" i="2"/>
  <c r="O2372" i="2"/>
  <c r="O2235" i="2"/>
  <c r="E2482" i="2"/>
  <c r="J2596" i="2"/>
  <c r="K2504" i="2"/>
  <c r="T2455" i="2"/>
  <c r="Q2470" i="2"/>
  <c r="D2585" i="2"/>
  <c r="L2603" i="2"/>
  <c r="D2574" i="2"/>
  <c r="J2307" i="2"/>
  <c r="T2558" i="2"/>
  <c r="N2303" i="2"/>
  <c r="O2543" i="2"/>
  <c r="R2299" i="2"/>
  <c r="W2414" i="2"/>
  <c r="J2409" i="2"/>
  <c r="S2378" i="2"/>
  <c r="M2359" i="2"/>
  <c r="I2322" i="2"/>
  <c r="I2185" i="2"/>
  <c r="L2449" i="2"/>
  <c r="W2377" i="2"/>
  <c r="M2338" i="2"/>
  <c r="G2531" i="2"/>
  <c r="M2446" i="2"/>
  <c r="I2321" i="2"/>
  <c r="G2290" i="2"/>
  <c r="P2547" i="2"/>
  <c r="G2434" i="2"/>
  <c r="U2371" i="2"/>
  <c r="Q2334" i="2"/>
  <c r="W2515" i="2"/>
  <c r="Q2442" i="2"/>
  <c r="Q2313" i="2"/>
  <c r="K2286" i="2"/>
  <c r="T2687" i="2"/>
  <c r="W2418" i="2"/>
  <c r="D2368" i="2"/>
  <c r="L2730" i="2"/>
  <c r="O2610" i="2"/>
  <c r="J2489" i="2"/>
  <c r="G2441" i="2"/>
  <c r="N2485" i="2"/>
  <c r="K2437" i="2"/>
  <c r="R2481" i="2"/>
  <c r="O2433" i="2"/>
  <c r="F2517" i="2"/>
  <c r="E2394" i="2"/>
  <c r="I2348" i="2"/>
  <c r="H2344" i="2"/>
  <c r="D2307" i="2"/>
  <c r="L2611" i="2"/>
  <c r="M2388" i="2"/>
  <c r="L2360" i="2"/>
  <c r="H2323" i="2"/>
  <c r="H2470" i="2"/>
  <c r="H2431" i="2"/>
  <c r="H2294" i="2"/>
  <c r="W2274" i="2"/>
  <c r="M2550" i="2"/>
  <c r="H2373" i="2"/>
  <c r="P2356" i="2"/>
  <c r="K2696" i="2"/>
  <c r="P2464" i="2"/>
  <c r="L2427" i="2"/>
  <c r="L2290" i="2"/>
  <c r="O2633" i="2"/>
  <c r="K2522" i="2"/>
  <c r="C2358" i="2"/>
  <c r="T2352" i="2"/>
  <c r="I2560" i="2"/>
  <c r="E2685" i="2"/>
  <c r="V2447" i="2"/>
  <c r="M2348" i="2"/>
  <c r="L2474" i="2"/>
  <c r="T2551" i="2"/>
  <c r="D2614" i="2"/>
  <c r="E2516" i="2"/>
  <c r="M2508" i="2"/>
  <c r="J2361" i="2"/>
  <c r="U2399" i="2"/>
  <c r="Q2362" i="2"/>
  <c r="U2419" i="2"/>
  <c r="U2535" i="2"/>
  <c r="W2473" i="2"/>
  <c r="I2550" i="2"/>
  <c r="K2559" i="2"/>
  <c r="M2546" i="2"/>
  <c r="F2544" i="2"/>
  <c r="D2511" i="2"/>
  <c r="D2416" i="2"/>
  <c r="D2532" i="2"/>
  <c r="F2470" i="2"/>
  <c r="W2607" i="2"/>
  <c r="K2531" i="2"/>
  <c r="R2592" i="2"/>
  <c r="O2527" i="2"/>
  <c r="T2495" i="2"/>
  <c r="H2412" i="2"/>
  <c r="S2477" i="2"/>
  <c r="M2568" i="2"/>
  <c r="L2500" i="2"/>
  <c r="J2525" i="2"/>
  <c r="O2438" i="2"/>
  <c r="N2521" i="2"/>
  <c r="S2434" i="2"/>
  <c r="R2517" i="2"/>
  <c r="W2430" i="2"/>
  <c r="M2514" i="2"/>
  <c r="U2489" i="2"/>
  <c r="S2540" i="2"/>
  <c r="M2423" i="2"/>
  <c r="I2386" i="2"/>
  <c r="I2249" i="2"/>
  <c r="L2552" i="2"/>
  <c r="U2531" i="2"/>
  <c r="M2402" i="2"/>
  <c r="D2365" i="2"/>
  <c r="P2352" i="2"/>
  <c r="L2315" i="2"/>
  <c r="W2547" i="2"/>
  <c r="W2362" i="2"/>
  <c r="S2580" i="2"/>
  <c r="N2541" i="2"/>
  <c r="Q2398" i="2"/>
  <c r="L2357" i="2"/>
  <c r="T2348" i="2"/>
  <c r="P2311" i="2"/>
  <c r="T2482" i="2"/>
  <c r="J2355" i="2"/>
  <c r="C2547" i="2"/>
  <c r="O2480" i="2"/>
  <c r="U2394" i="2"/>
  <c r="T2349" i="2"/>
  <c r="Q2649" i="2"/>
  <c r="J2595" i="2"/>
  <c r="N2636" i="2"/>
  <c r="T2469" i="2"/>
  <c r="R2587" i="2"/>
  <c r="F2659" i="2"/>
  <c r="D2624" i="2"/>
  <c r="W2619" i="2"/>
  <c r="O2417" i="2"/>
  <c r="K2348" i="2"/>
  <c r="S2298" i="2"/>
  <c r="K2456" i="2"/>
  <c r="O2347" i="2"/>
  <c r="U2547" i="2"/>
  <c r="D2472" i="2"/>
  <c r="T2486" i="2"/>
  <c r="R2537" i="2"/>
  <c r="R2422" i="2"/>
  <c r="N2385" i="2"/>
  <c r="N2248" i="2"/>
  <c r="V2533" i="2"/>
  <c r="M2578" i="2"/>
  <c r="Q2597" i="2"/>
  <c r="O2471" i="2"/>
  <c r="M2522" i="2"/>
  <c r="V2418" i="2"/>
  <c r="R2381" i="2"/>
  <c r="R2244" i="2"/>
  <c r="Q2518" i="2"/>
  <c r="H2541" i="2"/>
  <c r="W2540" i="2"/>
  <c r="W2464" i="2"/>
  <c r="U2635" i="2"/>
  <c r="S2606" i="2"/>
  <c r="Q2496" i="2"/>
  <c r="L2508" i="2"/>
  <c r="D2489" i="2"/>
  <c r="P2504" i="2"/>
  <c r="L2481" i="2"/>
  <c r="U2602" i="2"/>
  <c r="J2370" i="2"/>
  <c r="F2333" i="2"/>
  <c r="U2509" i="2"/>
  <c r="F2441" i="2"/>
  <c r="P2310" i="2"/>
  <c r="M2468" i="2"/>
  <c r="M2510" i="2"/>
  <c r="J2457" i="2"/>
  <c r="S2476" i="2"/>
  <c r="M2407" i="2"/>
  <c r="I2370" i="2"/>
  <c r="I2233" i="2"/>
  <c r="W2472" i="2"/>
  <c r="O2537" i="2"/>
  <c r="H2495" i="2"/>
  <c r="N2453" i="2"/>
  <c r="W2535" i="2"/>
  <c r="Q2403" i="2"/>
  <c r="M2366" i="2"/>
  <c r="M2229" i="2"/>
  <c r="R2520" i="2"/>
  <c r="E2507" i="2"/>
  <c r="C2480" i="2"/>
  <c r="R2449" i="2"/>
  <c r="C2475" i="2"/>
  <c r="F2542" i="2"/>
  <c r="L2492" i="2"/>
  <c r="E2330" i="2"/>
  <c r="O2547" i="2"/>
  <c r="L2404" i="2"/>
  <c r="G2513" i="2"/>
  <c r="P2400" i="2"/>
  <c r="R2482" i="2"/>
  <c r="D2429" i="2"/>
  <c r="V2338" i="2"/>
  <c r="P2486" i="2"/>
  <c r="F2319" i="2"/>
  <c r="N2461" i="2"/>
  <c r="F2368" i="2"/>
  <c r="T2312" i="2"/>
  <c r="M2309" i="2"/>
  <c r="Q2180" i="2"/>
  <c r="J2432" i="2"/>
  <c r="O2316" i="2"/>
  <c r="F2439" i="2"/>
  <c r="M2339" i="2"/>
  <c r="I2302" i="2"/>
  <c r="H2434" i="2"/>
  <c r="F2317" i="2"/>
  <c r="M2216" i="2"/>
  <c r="U2199" i="2"/>
  <c r="S2456" i="2"/>
  <c r="M2633" i="2"/>
  <c r="I2375" i="2"/>
  <c r="E2338" i="2"/>
  <c r="E2201" i="2"/>
  <c r="N2457" i="2"/>
  <c r="I2252" i="2"/>
  <c r="Q2235" i="2"/>
  <c r="F2442" i="2"/>
  <c r="W2560" i="2"/>
  <c r="M2371" i="2"/>
  <c r="I2334" i="2"/>
  <c r="I2197" i="2"/>
  <c r="I2442" i="2"/>
  <c r="L2318" i="2"/>
  <c r="W2258" i="2"/>
  <c r="T2340" i="2"/>
  <c r="O2262" i="2"/>
  <c r="W2245" i="2"/>
  <c r="P2440" i="2"/>
  <c r="Q2325" i="2"/>
  <c r="N2217" i="2"/>
  <c r="C2331" i="2"/>
  <c r="U2222" i="2"/>
  <c r="D2338" i="2"/>
  <c r="M2248" i="2"/>
  <c r="L2312" i="2"/>
  <c r="Q2459" i="2"/>
  <c r="I2327" i="2"/>
  <c r="Q2275" i="2"/>
  <c r="Q2388" i="2"/>
  <c r="T2241" i="2"/>
  <c r="C2121" i="2"/>
  <c r="F2247" i="2"/>
  <c r="J2122" i="2"/>
  <c r="M2252" i="2"/>
  <c r="Q2123" i="2"/>
  <c r="R2188" i="2"/>
  <c r="O2518" i="2"/>
  <c r="V2327" i="2"/>
  <c r="L2415" i="2"/>
  <c r="K2191" i="2"/>
  <c r="G2595" i="2"/>
  <c r="W2579" i="2"/>
  <c r="J2540" i="2"/>
  <c r="N2536" i="2"/>
  <c r="V2596" i="2"/>
  <c r="H2360" i="2"/>
  <c r="D2323" i="2"/>
  <c r="L2530" i="2"/>
  <c r="I2446" i="2"/>
  <c r="V2320" i="2"/>
  <c r="C2290" i="2"/>
  <c r="E2273" i="2"/>
  <c r="M2445" i="2"/>
  <c r="K2371" i="2"/>
  <c r="P2446" i="2"/>
  <c r="G2378" i="2"/>
  <c r="V2524" i="2"/>
  <c r="L2450" i="2"/>
  <c r="I2373" i="2"/>
  <c r="V2448" i="2"/>
  <c r="H2201" i="2"/>
  <c r="P2184" i="2"/>
  <c r="T2395" i="2"/>
  <c r="F2474" i="2"/>
  <c r="D2360" i="2"/>
  <c r="U2322" i="2"/>
  <c r="U2185" i="2"/>
  <c r="O2396" i="2"/>
  <c r="D2237" i="2"/>
  <c r="L2220" i="2"/>
  <c r="G2381" i="2"/>
  <c r="C2540" i="2"/>
  <c r="H2356" i="2"/>
  <c r="D2319" i="2"/>
  <c r="D2182" i="2"/>
  <c r="J2381" i="2"/>
  <c r="E2247" i="2"/>
  <c r="R2243" i="2"/>
  <c r="R2437" i="2"/>
  <c r="J2247" i="2"/>
  <c r="R2230" i="2"/>
  <c r="Q2379" i="2"/>
  <c r="G2281" i="2"/>
  <c r="F2173" i="2"/>
  <c r="U2283" i="2"/>
  <c r="M2174" i="2"/>
  <c r="N2286" i="2"/>
  <c r="N2187" i="2"/>
  <c r="O2274" i="2"/>
  <c r="R2398" i="2"/>
  <c r="C2282" i="2"/>
  <c r="L2260" i="2"/>
  <c r="R2303" i="2"/>
  <c r="U2180" i="2"/>
  <c r="L2275" i="2"/>
  <c r="G2186" i="2"/>
  <c r="S2280" i="2"/>
  <c r="N2191" i="2"/>
  <c r="H2580" i="2"/>
  <c r="E2522" i="2"/>
  <c r="G2366" i="2"/>
  <c r="G2316" i="2"/>
  <c r="K2332" i="2"/>
  <c r="E2284" i="2"/>
  <c r="O2328" i="2"/>
  <c r="I2280" i="2"/>
  <c r="N2373" i="2"/>
  <c r="W2405" i="2"/>
  <c r="S2368" i="2"/>
  <c r="J2419" i="2"/>
  <c r="K2642" i="2"/>
  <c r="F2592" i="2"/>
  <c r="J2449" i="2"/>
  <c r="C2327" i="2"/>
  <c r="D2293" i="2"/>
  <c r="G2279" i="2"/>
  <c r="Q2457" i="2"/>
  <c r="O2383" i="2"/>
  <c r="N2480" i="2"/>
  <c r="K2390" i="2"/>
  <c r="E2537" i="2"/>
  <c r="P2462" i="2"/>
  <c r="M2385" i="2"/>
  <c r="Q2489" i="2"/>
  <c r="I2204" i="2"/>
  <c r="Q2187" i="2"/>
  <c r="D2538" i="2"/>
  <c r="C2501" i="2"/>
  <c r="W2476" i="2"/>
  <c r="N2649" i="2"/>
  <c r="O2676" i="2"/>
  <c r="C2342" i="2"/>
  <c r="S2482" i="2"/>
  <c r="M2666" i="2"/>
  <c r="G2478" i="2"/>
  <c r="S2660" i="2"/>
  <c r="V2491" i="2"/>
  <c r="S2429" i="2"/>
  <c r="L2351" i="2"/>
  <c r="T2301" i="2"/>
  <c r="L2459" i="2"/>
  <c r="S2359" i="2"/>
  <c r="G2618" i="2"/>
  <c r="F2494" i="2"/>
  <c r="C2499" i="2"/>
  <c r="N2572" i="2"/>
  <c r="S2425" i="2"/>
  <c r="O2388" i="2"/>
  <c r="O2251" i="2"/>
  <c r="I2557" i="2"/>
  <c r="J2627" i="2"/>
  <c r="C2469" i="2"/>
  <c r="S2483" i="2"/>
  <c r="Q2534" i="2"/>
  <c r="W2421" i="2"/>
  <c r="S2384" i="2"/>
  <c r="S2247" i="2"/>
  <c r="U2530" i="2"/>
  <c r="I2566" i="2"/>
  <c r="M2585" i="2"/>
  <c r="V2468" i="2"/>
  <c r="L2519" i="2"/>
  <c r="S2565" i="2"/>
  <c r="K2592" i="2"/>
  <c r="C2525" i="2"/>
  <c r="J2371" i="2"/>
  <c r="K2517" i="2"/>
  <c r="R2363" i="2"/>
  <c r="S2509" i="2"/>
  <c r="E2356" i="2"/>
  <c r="F2489" i="2"/>
  <c r="N2421" i="2"/>
  <c r="F2403" i="2"/>
  <c r="Q2371" i="2"/>
  <c r="M2334" i="2"/>
  <c r="M2197" i="2"/>
  <c r="U2474" i="2"/>
  <c r="R2426" i="2"/>
  <c r="Q2350" i="2"/>
  <c r="D2301" i="2"/>
  <c r="Q2458" i="2"/>
  <c r="R2356" i="2"/>
  <c r="E2307" i="2"/>
  <c r="E2300" i="2"/>
  <c r="J2528" i="2"/>
  <c r="M2411" i="2"/>
  <c r="U2346" i="2"/>
  <c r="L2645" i="2"/>
  <c r="U2454" i="2"/>
  <c r="M2341" i="2"/>
  <c r="M2299" i="2"/>
  <c r="N2616" i="2"/>
  <c r="J2468" i="2"/>
  <c r="H2396" i="2"/>
  <c r="K2634" i="2"/>
  <c r="F2515" i="2"/>
  <c r="E2538" i="2"/>
  <c r="H2598" i="2"/>
  <c r="I2534" i="2"/>
  <c r="E2541" i="2"/>
  <c r="M2530" i="2"/>
  <c r="U2525" i="2"/>
  <c r="O2390" i="2"/>
  <c r="I2406" i="2"/>
  <c r="Q2372" i="2"/>
  <c r="L2356" i="2"/>
  <c r="H2319" i="2"/>
  <c r="T2559" i="2"/>
  <c r="H2437" i="2"/>
  <c r="P2372" i="2"/>
  <c r="L2335" i="2"/>
  <c r="C2519" i="2"/>
  <c r="L2443" i="2"/>
  <c r="G2315" i="2"/>
  <c r="F2287" i="2"/>
  <c r="O2522" i="2"/>
  <c r="C2422" i="2"/>
  <c r="T2368" i="2"/>
  <c r="P2331" i="2"/>
  <c r="S2503" i="2"/>
  <c r="P2439" i="2"/>
  <c r="O2307" i="2"/>
  <c r="J2283" i="2"/>
  <c r="R2603" i="2"/>
  <c r="S2406" i="2"/>
  <c r="C2365" i="2"/>
  <c r="T2327" i="2"/>
  <c r="I2697" i="2"/>
  <c r="I2681" i="2"/>
  <c r="V2537" i="2"/>
  <c r="O2340" i="2"/>
  <c r="S2356" i="2"/>
  <c r="I2319" i="2"/>
  <c r="W2352" i="2"/>
  <c r="Q2311" i="2"/>
  <c r="R2385" i="2"/>
  <c r="D2412" i="2"/>
  <c r="U2374" i="2"/>
  <c r="D2432" i="2"/>
  <c r="E2565" i="2"/>
  <c r="W2497" i="2"/>
  <c r="D2599" i="2"/>
  <c r="K2476" i="2"/>
  <c r="H2595" i="2"/>
  <c r="L2475" i="2"/>
  <c r="F2612" i="2"/>
  <c r="H2428" i="2"/>
  <c r="U2549" i="2"/>
  <c r="J2490" i="2"/>
  <c r="T2583" i="2"/>
  <c r="O2472" i="2"/>
  <c r="C2580" i="2"/>
  <c r="P2471" i="2"/>
  <c r="G2551" i="2"/>
  <c r="L2424" i="2"/>
  <c r="R2475" i="2"/>
  <c r="K2688" i="2"/>
  <c r="N2677" i="2"/>
  <c r="D2473" i="2"/>
  <c r="J2556" i="2"/>
  <c r="V2470" i="2"/>
  <c r="P2530" i="2"/>
  <c r="K2711" i="2"/>
  <c r="K2515" i="2"/>
  <c r="N2576" i="2"/>
  <c r="P2538" i="2"/>
  <c r="W2505" i="2"/>
  <c r="Q2435" i="2"/>
  <c r="M2398" i="2"/>
  <c r="M2261" i="2"/>
  <c r="M2489" i="2"/>
  <c r="F2363" i="2"/>
  <c r="Q2414" i="2"/>
  <c r="L2389" i="2"/>
  <c r="T2364" i="2"/>
  <c r="P2327" i="2"/>
  <c r="P2190" i="2"/>
  <c r="J2387" i="2"/>
  <c r="C2458" i="2"/>
  <c r="V2347" i="2"/>
  <c r="U2410" i="2"/>
  <c r="T2381" i="2"/>
  <c r="C2361" i="2"/>
  <c r="T2323" i="2"/>
  <c r="T2186" i="2"/>
  <c r="R2379" i="2"/>
  <c r="C2664" i="2"/>
  <c r="T2615" i="2"/>
  <c r="D2407" i="2"/>
  <c r="G2374" i="2"/>
  <c r="U2603" i="2"/>
  <c r="J2511" i="2"/>
  <c r="O2378" i="2"/>
  <c r="O2556" i="2"/>
  <c r="S2374" i="2"/>
  <c r="S2650" i="2"/>
  <c r="W2370" i="2"/>
  <c r="L2640" i="2"/>
  <c r="J2466" i="2"/>
  <c r="O2360" i="2"/>
  <c r="W2310" i="2"/>
  <c r="T2470" i="2"/>
  <c r="J2396" i="2"/>
  <c r="S2497" i="2"/>
  <c r="R2467" i="2"/>
  <c r="O2535" i="2"/>
  <c r="U2499" i="2"/>
  <c r="V2434" i="2"/>
  <c r="R2397" i="2"/>
  <c r="R2260" i="2"/>
  <c r="H2492" i="2"/>
  <c r="N2482" i="2"/>
  <c r="T2536" i="2"/>
  <c r="J2520" i="2"/>
  <c r="U2471" i="2"/>
  <c r="E2431" i="2"/>
  <c r="V2393" i="2"/>
  <c r="V2256" i="2"/>
  <c r="D2468" i="2"/>
  <c r="Q2654" i="2"/>
  <c r="J2506" i="2"/>
  <c r="E2505" i="2"/>
  <c r="D2613" i="2"/>
  <c r="H2653" i="2"/>
  <c r="E2563" i="2"/>
  <c r="Q2601" i="2"/>
  <c r="P2645" i="2"/>
  <c r="L2586" i="2"/>
  <c r="O2616" i="2"/>
  <c r="K2537" i="2"/>
  <c r="K2405" i="2"/>
  <c r="J2345" i="2"/>
  <c r="K2607" i="2"/>
  <c r="J2453" i="2"/>
  <c r="K2335" i="2"/>
  <c r="Q2590" i="2"/>
  <c r="U2609" i="2"/>
  <c r="P2474" i="2"/>
  <c r="N2525" i="2"/>
  <c r="Q2419" i="2"/>
  <c r="M2382" i="2"/>
  <c r="M2245" i="2"/>
  <c r="R2521" i="2"/>
  <c r="P2586" i="2"/>
  <c r="V2548" i="2"/>
  <c r="R2465" i="2"/>
  <c r="I2510" i="2"/>
  <c r="U2415" i="2"/>
  <c r="Q2378" i="2"/>
  <c r="Q2241" i="2"/>
  <c r="M2506" i="2"/>
  <c r="D2505" i="2"/>
  <c r="S2528" i="2"/>
  <c r="V2461" i="2"/>
  <c r="D2495" i="2"/>
  <c r="C2622" i="2"/>
  <c r="L2376" i="2"/>
  <c r="U2378" i="2"/>
  <c r="J2471" i="2"/>
  <c r="G2453" i="2"/>
  <c r="O2595" i="2"/>
  <c r="K2449" i="2"/>
  <c r="L2540" i="2"/>
  <c r="U2482" i="2"/>
  <c r="E2351" i="2"/>
  <c r="V2313" i="2"/>
  <c r="V2565" i="2"/>
  <c r="E2487" i="2"/>
  <c r="O2524" i="2"/>
  <c r="J2564" i="2"/>
  <c r="S2438" i="2"/>
  <c r="R2556" i="2"/>
  <c r="T2437" i="2"/>
  <c r="G2394" i="2"/>
  <c r="Q2550" i="2"/>
  <c r="I2483" i="2"/>
  <c r="S2520" i="2"/>
  <c r="H2540" i="2"/>
  <c r="W2434" i="2"/>
  <c r="J2538" i="2"/>
  <c r="C2434" i="2"/>
  <c r="O2386" i="2"/>
  <c r="W2554" i="2"/>
  <c r="R2403" i="2"/>
  <c r="U2641" i="2"/>
  <c r="I2551" i="2"/>
  <c r="L2570" i="2"/>
  <c r="R2395" i="2"/>
  <c r="S2541" i="2"/>
  <c r="E2388" i="2"/>
  <c r="F2534" i="2"/>
  <c r="M2380" i="2"/>
  <c r="N2513" i="2"/>
  <c r="O2424" i="2"/>
  <c r="H2409" i="2"/>
  <c r="R2374" i="2"/>
  <c r="N2337" i="2"/>
  <c r="N2200" i="2"/>
  <c r="D2487" i="2"/>
  <c r="V2438" i="2"/>
  <c r="R2353" i="2"/>
  <c r="E2304" i="2"/>
  <c r="R2461" i="2"/>
  <c r="V2368" i="2"/>
  <c r="G2313" i="2"/>
  <c r="F2303" i="2"/>
  <c r="T2471" i="2"/>
  <c r="Q2423" i="2"/>
  <c r="V2349" i="2"/>
  <c r="I2300" i="2"/>
  <c r="V2457" i="2"/>
  <c r="Q2353" i="2"/>
  <c r="O2305" i="2"/>
  <c r="J2299" i="2"/>
  <c r="F2516" i="2"/>
  <c r="L2408" i="2"/>
  <c r="E2346" i="2"/>
  <c r="O2619" i="2"/>
  <c r="U2645" i="2"/>
  <c r="P2642" i="2"/>
  <c r="O2500" i="2"/>
  <c r="P2540" i="2"/>
  <c r="S2496" i="2"/>
  <c r="C2533" i="2"/>
  <c r="W2492" i="2"/>
  <c r="J2578" i="2"/>
  <c r="T2336" i="2"/>
  <c r="N2479" i="2"/>
  <c r="T2444" i="2"/>
  <c r="P2407" i="2"/>
  <c r="P2270" i="2"/>
  <c r="M2486" i="2"/>
  <c r="R2399" i="2"/>
  <c r="T2423" i="2"/>
  <c r="R2407" i="2"/>
  <c r="W2373" i="2"/>
  <c r="S2336" i="2"/>
  <c r="S2199" i="2"/>
  <c r="P2405" i="2"/>
  <c r="H2471" i="2"/>
  <c r="M2384" i="2"/>
  <c r="C2420" i="2"/>
  <c r="E2400" i="2"/>
  <c r="F2370" i="2"/>
  <c r="W2332" i="2"/>
  <c r="W2195" i="2"/>
  <c r="C2398" i="2"/>
  <c r="U2513" i="2"/>
  <c r="H2369" i="2"/>
  <c r="W2767" i="2"/>
  <c r="K2498" i="2"/>
  <c r="E2475" i="2"/>
  <c r="W2462" i="2"/>
  <c r="N2556" i="2"/>
  <c r="F2459" i="2"/>
  <c r="E2542" i="2"/>
  <c r="J2455" i="2"/>
  <c r="U2625" i="2"/>
  <c r="H2514" i="2"/>
  <c r="I2652" i="2"/>
  <c r="O2429" i="2"/>
  <c r="K2392" i="2"/>
  <c r="K2255" i="2"/>
  <c r="F2667" i="2"/>
  <c r="R2657" i="2"/>
  <c r="O2408" i="2"/>
  <c r="H2377" i="2"/>
  <c r="R2358" i="2"/>
  <c r="N2321" i="2"/>
  <c r="N2184" i="2"/>
  <c r="F2375" i="2"/>
  <c r="O2578" i="2"/>
  <c r="L2505" i="2"/>
  <c r="S2404" i="2"/>
  <c r="P2369" i="2"/>
  <c r="V2354" i="2"/>
  <c r="R2317" i="2"/>
  <c r="R2180" i="2"/>
  <c r="N2367" i="2"/>
  <c r="J2617" i="2"/>
  <c r="E2483" i="2"/>
  <c r="W2400" i="2"/>
  <c r="C2362" i="2"/>
  <c r="I2472" i="2"/>
  <c r="K2599" i="2"/>
  <c r="Q2497" i="2"/>
  <c r="I2498" i="2"/>
  <c r="H2367" i="2"/>
  <c r="D2483" i="2"/>
  <c r="L2363" i="2"/>
  <c r="I2617" i="2"/>
  <c r="I2537" i="2"/>
  <c r="C2448" i="2"/>
  <c r="D2306" i="2"/>
  <c r="W2449" i="2"/>
  <c r="S2412" i="2"/>
  <c r="S2275" i="2"/>
  <c r="U2529" i="2"/>
  <c r="D2206" i="2"/>
  <c r="C2323" i="2"/>
  <c r="Q2246" i="2"/>
  <c r="E2277" i="2"/>
  <c r="O2555" i="2"/>
  <c r="O2448" i="2"/>
  <c r="M2325" i="2"/>
  <c r="I2292" i="2"/>
  <c r="Q2277" i="2"/>
  <c r="P2454" i="2"/>
  <c r="N2380" i="2"/>
  <c r="V2464" i="2"/>
  <c r="U2388" i="2"/>
  <c r="D2534" i="2"/>
  <c r="O2459" i="2"/>
  <c r="L2382" i="2"/>
  <c r="H2467" i="2"/>
  <c r="N2203" i="2"/>
  <c r="V2186" i="2"/>
  <c r="W2404" i="2"/>
  <c r="E2372" i="2"/>
  <c r="T2518" i="2"/>
  <c r="J2444" i="2"/>
  <c r="G2367" i="2"/>
  <c r="R2436" i="2"/>
  <c r="N2237" i="2"/>
  <c r="G2210" i="2"/>
  <c r="T2311" i="2"/>
  <c r="T2213" i="2"/>
  <c r="G2197" i="2"/>
  <c r="L2403" i="2"/>
  <c r="F2214" i="2"/>
  <c r="P2139" i="2"/>
  <c r="T2216" i="2"/>
  <c r="W2140" i="2"/>
  <c r="M2219" i="2"/>
  <c r="U2231" i="2"/>
  <c r="V2239" i="2"/>
  <c r="M2422" i="2"/>
  <c r="N2243" i="2"/>
  <c r="V2226" i="2"/>
  <c r="L2364" i="2"/>
  <c r="O2273" i="2"/>
  <c r="J2169" i="2"/>
  <c r="H2276" i="2"/>
  <c r="Q2170" i="2"/>
  <c r="V2278" i="2"/>
  <c r="F2488" i="2"/>
  <c r="P2269" i="2"/>
  <c r="H2476" i="2"/>
  <c r="Q2467" i="2"/>
  <c r="W2390" i="2"/>
  <c r="S2491" i="2"/>
  <c r="O2452" i="2"/>
  <c r="O2458" i="2"/>
  <c r="S2448" i="2"/>
  <c r="J2443" i="2"/>
  <c r="C2330" i="2"/>
  <c r="U2473" i="2"/>
  <c r="V2240" i="2"/>
  <c r="R2434" i="2"/>
  <c r="N2397" i="2"/>
  <c r="N2260" i="2"/>
  <c r="M2344" i="2"/>
  <c r="D2498" i="2"/>
  <c r="E2295" i="2"/>
  <c r="R2185" i="2"/>
  <c r="P2246" i="2"/>
  <c r="P2478" i="2"/>
  <c r="J2433" i="2"/>
  <c r="J2296" i="2"/>
  <c r="D2277" i="2"/>
  <c r="G2247" i="2"/>
  <c r="Q2393" i="2"/>
  <c r="E2327" i="2"/>
  <c r="C2343" i="2"/>
  <c r="K2334" i="2"/>
  <c r="E2473" i="2"/>
  <c r="P2398" i="2"/>
  <c r="D2328" i="2"/>
  <c r="I2345" i="2"/>
  <c r="I2188" i="2"/>
  <c r="T2462" i="2"/>
  <c r="C2344" i="2"/>
  <c r="C2326" i="2"/>
  <c r="J2465" i="2"/>
  <c r="K2383" i="2"/>
  <c r="L2320" i="2"/>
  <c r="R2324" i="2"/>
  <c r="R2564" i="2"/>
  <c r="W2194" i="2"/>
  <c r="O2427" i="2"/>
  <c r="O2198" i="2"/>
  <c r="W2181" i="2"/>
  <c r="M2342" i="2"/>
  <c r="Q2183" i="2"/>
  <c r="K2124" i="2"/>
  <c r="J2186" i="2"/>
  <c r="R2125" i="2"/>
  <c r="C2189" i="2"/>
  <c r="S2459" i="2"/>
  <c r="Q2224" i="2"/>
  <c r="N2361" i="2"/>
  <c r="I2228" i="2"/>
  <c r="Q2211" i="2"/>
  <c r="J2461" i="2"/>
  <c r="E2243" i="2"/>
  <c r="E2154" i="2"/>
  <c r="S2245" i="2"/>
  <c r="L2155" i="2"/>
  <c r="L2248" i="2"/>
  <c r="E2669" i="2"/>
  <c r="J2492" i="2"/>
  <c r="H2403" i="2"/>
  <c r="S2534" i="2"/>
  <c r="T2506" i="2"/>
  <c r="J2640" i="2"/>
  <c r="O2491" i="2"/>
  <c r="F2688" i="2"/>
  <c r="P2531" i="2"/>
  <c r="G2357" i="2"/>
  <c r="C2320" i="2"/>
  <c r="H2518" i="2"/>
  <c r="E2253" i="2"/>
  <c r="S2437" i="2"/>
  <c r="O2400" i="2"/>
  <c r="O2263" i="2"/>
  <c r="U2368" i="2"/>
  <c r="Q2181" i="2"/>
  <c r="P2298" i="2"/>
  <c r="V2197" i="2"/>
  <c r="R2252" i="2"/>
  <c r="T2490" i="2"/>
  <c r="K2436" i="2"/>
  <c r="E2301" i="2"/>
  <c r="E2280" i="2"/>
  <c r="I2253" i="2"/>
  <c r="U2405" i="2"/>
  <c r="G2333" i="2"/>
  <c r="P2436" i="2"/>
  <c r="F2605" i="2"/>
  <c r="D2666" i="2"/>
  <c r="R2645" i="2"/>
  <c r="U2487" i="2"/>
  <c r="S2512" i="2"/>
  <c r="C2650" i="2"/>
  <c r="W2508" i="2"/>
  <c r="L2602" i="2"/>
  <c r="F2505" i="2"/>
  <c r="V2451" i="2"/>
  <c r="U2339" i="2"/>
  <c r="V2503" i="2"/>
  <c r="U2447" i="2"/>
  <c r="Q2410" i="2"/>
  <c r="Q2273" i="2"/>
  <c r="Q2498" i="2"/>
  <c r="V2411" i="2"/>
  <c r="U2426" i="2"/>
  <c r="T2413" i="2"/>
  <c r="C2377" i="2"/>
  <c r="T2339" i="2"/>
  <c r="T2202" i="2"/>
  <c r="R2411" i="2"/>
  <c r="L2483" i="2"/>
  <c r="Q2396" i="2"/>
  <c r="D2423" i="2"/>
  <c r="G2406" i="2"/>
  <c r="G2373" i="2"/>
  <c r="C2336" i="2"/>
  <c r="C2199" i="2"/>
  <c r="E2404" i="2"/>
  <c r="K2623" i="2"/>
  <c r="L2381" i="2"/>
  <c r="H2419" i="2"/>
  <c r="O2398" i="2"/>
  <c r="H2564" i="2"/>
  <c r="P2591" i="2"/>
  <c r="J2427" i="2"/>
  <c r="Q2528" i="2"/>
  <c r="N2423" i="2"/>
  <c r="W2669" i="2"/>
  <c r="R2419" i="2"/>
  <c r="V2390" i="2"/>
  <c r="I2320" i="2"/>
  <c r="S2372" i="2"/>
  <c r="F2323" i="2"/>
  <c r="O2519" i="2"/>
  <c r="E2445" i="2"/>
  <c r="C2559" i="2"/>
  <c r="F2589" i="2"/>
  <c r="E2339" i="2"/>
  <c r="T2497" i="2"/>
  <c r="E2447" i="2"/>
  <c r="V2409" i="2"/>
  <c r="V2272" i="2"/>
  <c r="G2490" i="2"/>
  <c r="I2531" i="2"/>
  <c r="N2580" i="2"/>
  <c r="I2335" i="2"/>
  <c r="J2467" i="2"/>
  <c r="I2443" i="2"/>
  <c r="E2406" i="2"/>
  <c r="E2269" i="2"/>
  <c r="D2610" i="2"/>
  <c r="D2516" i="2"/>
  <c r="I2504" i="2"/>
  <c r="J2588" i="2"/>
  <c r="I2725" i="2"/>
  <c r="M2621" i="2"/>
  <c r="K2366" i="2"/>
  <c r="N2531" i="2"/>
  <c r="O2362" i="2"/>
  <c r="V2523" i="2"/>
  <c r="S2358" i="2"/>
  <c r="P2623" i="2"/>
  <c r="F2454" i="2"/>
  <c r="N2357" i="2"/>
  <c r="V2307" i="2"/>
  <c r="N2465" i="2"/>
  <c r="F2384" i="2"/>
  <c r="O2485" i="2"/>
  <c r="N2544" i="2"/>
  <c r="K2523" i="2"/>
  <c r="M2475" i="2"/>
  <c r="U2431" i="2"/>
  <c r="Q2394" i="2"/>
  <c r="Q2257" i="2"/>
  <c r="E2471" i="2"/>
  <c r="V2654" i="2"/>
  <c r="L2512" i="2"/>
  <c r="F2508" i="2"/>
  <c r="E2609" i="2"/>
  <c r="D2428" i="2"/>
  <c r="U2390" i="2"/>
  <c r="U2253" i="2"/>
  <c r="U2593" i="2"/>
  <c r="W2617" i="2"/>
  <c r="W2481" i="2"/>
  <c r="V2492" i="2"/>
  <c r="F2548" i="2"/>
  <c r="D2625" i="2"/>
  <c r="M2412" i="2"/>
  <c r="P2427" i="2"/>
  <c r="O2203" i="2"/>
  <c r="F2307" i="2"/>
  <c r="G2306" i="2"/>
  <c r="J2303" i="2"/>
  <c r="K2302" i="2"/>
  <c r="Q2487" i="2"/>
  <c r="I2363" i="2"/>
  <c r="E2326" i="2"/>
  <c r="I2383" i="2"/>
  <c r="I2499" i="2"/>
  <c r="S2536" i="2"/>
  <c r="Q2472" i="2"/>
  <c r="W2450" i="2"/>
  <c r="S2470" i="2"/>
  <c r="C2450" i="2"/>
  <c r="O2418" i="2"/>
  <c r="M2379" i="2"/>
  <c r="M2495" i="2"/>
  <c r="W2532" i="2"/>
  <c r="V2643" i="2"/>
  <c r="F2447" i="2"/>
  <c r="S2623" i="2"/>
  <c r="G2446" i="2"/>
  <c r="W2410" i="2"/>
  <c r="Q2375" i="2"/>
  <c r="M2452" i="2"/>
  <c r="V2632" i="2"/>
  <c r="N2589" i="2"/>
  <c r="J2553" i="2"/>
  <c r="E2514" i="2"/>
  <c r="F2620" i="2"/>
  <c r="U2498" i="2"/>
  <c r="G2559" i="2"/>
  <c r="P2483" i="2"/>
  <c r="V2568" i="2"/>
  <c r="S2436" i="2"/>
  <c r="P2433" i="2"/>
  <c r="V2386" i="2"/>
  <c r="R2349" i="2"/>
  <c r="R2212" i="2"/>
  <c r="T2535" i="2"/>
  <c r="Q2561" i="2"/>
  <c r="V2365" i="2"/>
  <c r="I2316" i="2"/>
  <c r="F2492" i="2"/>
  <c r="Q2417" i="2"/>
  <c r="N2340" i="2"/>
  <c r="J2315" i="2"/>
  <c r="O2520" i="2"/>
  <c r="H2486" i="2"/>
  <c r="E2362" i="2"/>
  <c r="M2312" i="2"/>
  <c r="V2476" i="2"/>
  <c r="L2402" i="2"/>
  <c r="W2329" i="2"/>
  <c r="N2311" i="2"/>
  <c r="J2505" i="2"/>
  <c r="G2457" i="2"/>
  <c r="I2358" i="2"/>
  <c r="Q2308" i="2"/>
  <c r="D2600" i="2"/>
  <c r="P2473" i="2"/>
  <c r="H2570" i="2"/>
  <c r="C2611" i="2"/>
  <c r="C2555" i="2"/>
  <c r="D2550" i="2"/>
  <c r="R2541" i="2"/>
  <c r="R2501" i="2"/>
  <c r="C2349" i="2"/>
  <c r="S2612" i="2"/>
  <c r="C2457" i="2"/>
  <c r="T2419" i="2"/>
  <c r="T2282" i="2"/>
  <c r="H2535" i="2"/>
  <c r="M2448" i="2"/>
  <c r="C2436" i="2"/>
  <c r="E2432" i="2"/>
  <c r="F2386" i="2"/>
  <c r="W2348" i="2"/>
  <c r="W2211" i="2"/>
  <c r="C2430" i="2"/>
  <c r="C2520" i="2"/>
  <c r="H2433" i="2"/>
  <c r="G2432" i="2"/>
  <c r="M2424" i="2"/>
  <c r="J2382" i="2"/>
  <c r="F2345" i="2"/>
  <c r="F2208" i="2"/>
  <c r="K2422" i="2"/>
  <c r="S2504" i="2"/>
  <c r="C2418" i="2"/>
  <c r="K2428" i="2"/>
  <c r="H2609" i="2"/>
  <c r="T2599" i="2"/>
  <c r="K2488" i="2"/>
  <c r="H2516" i="2"/>
  <c r="O2484" i="2"/>
  <c r="P2508" i="2"/>
  <c r="S2480" i="2"/>
  <c r="K2556" i="2"/>
  <c r="V2624" i="2"/>
  <c r="S2591" i="2"/>
  <c r="S2441" i="2"/>
  <c r="O2404" i="2"/>
  <c r="O2267" i="2"/>
  <c r="I2474" i="2"/>
  <c r="N2387" i="2"/>
  <c r="S2420" i="2"/>
  <c r="P2401" i="2"/>
  <c r="V2370" i="2"/>
  <c r="R2333" i="2"/>
  <c r="R2196" i="2"/>
  <c r="N2399" i="2"/>
  <c r="D2526" i="2"/>
  <c r="I2372" i="2"/>
  <c r="W2416" i="2"/>
  <c r="C2394" i="2"/>
  <c r="E2367" i="2"/>
  <c r="V2329" i="2"/>
  <c r="V2192" i="2"/>
  <c r="V2391" i="2"/>
  <c r="G2467" i="2"/>
  <c r="D2357" i="2"/>
  <c r="F2413" i="2"/>
  <c r="K2386" i="2"/>
  <c r="R2451" i="2"/>
  <c r="E2444" i="2"/>
  <c r="H2329" i="2"/>
  <c r="E2612" i="2"/>
  <c r="C2416" i="2"/>
  <c r="R2625" i="2"/>
  <c r="G2412" i="2"/>
  <c r="S2564" i="2"/>
  <c r="R2311" i="2"/>
  <c r="G2460" i="2"/>
  <c r="O2322" i="2"/>
  <c r="N2617" i="2"/>
  <c r="S2596" i="2"/>
  <c r="T2475" i="2"/>
  <c r="S2619" i="2"/>
  <c r="C2390" i="2"/>
  <c r="W2615" i="2"/>
  <c r="D2389" i="2"/>
  <c r="S2318" i="2"/>
  <c r="I2602" i="2"/>
  <c r="N2581" i="2"/>
  <c r="C2472" i="2"/>
  <c r="N2604" i="2"/>
  <c r="G2386" i="2"/>
  <c r="R2600" i="2"/>
  <c r="H2385" i="2"/>
  <c r="W2314" i="2"/>
  <c r="H2572" i="2"/>
  <c r="U2475" i="2"/>
  <c r="T2638" i="2"/>
  <c r="S2549" i="2"/>
  <c r="N2439" i="2"/>
  <c r="R2553" i="2"/>
  <c r="R2435" i="2"/>
  <c r="Q2621" i="2"/>
  <c r="V2431" i="2"/>
  <c r="C2397" i="2"/>
  <c r="M2332" i="2"/>
  <c r="T2375" i="2"/>
  <c r="G2326" i="2"/>
  <c r="S2531" i="2"/>
  <c r="I2457" i="2"/>
  <c r="S2607" i="2"/>
  <c r="T2544" i="2"/>
  <c r="F2342" i="2"/>
  <c r="S2526" i="2"/>
  <c r="F2450" i="2"/>
  <c r="W2412" i="2"/>
  <c r="W2275" i="2"/>
  <c r="O2514" i="2"/>
  <c r="T2546" i="2"/>
  <c r="W2576" i="2"/>
  <c r="J2338" i="2"/>
  <c r="R2491" i="2"/>
  <c r="J2446" i="2"/>
  <c r="F2409" i="2"/>
  <c r="F2272" i="2"/>
  <c r="E2484" i="2"/>
  <c r="H2528" i="2"/>
  <c r="R2539" i="2"/>
  <c r="G2675" i="2"/>
  <c r="F2616" i="2"/>
  <c r="H2686" i="2"/>
  <c r="L2734" i="2"/>
  <c r="S2651" i="2"/>
  <c r="U2554" i="2"/>
  <c r="W2602" i="2"/>
  <c r="P2517" i="2"/>
  <c r="D2742" i="2"/>
  <c r="F2487" i="2"/>
  <c r="G2569" i="2"/>
  <c r="V2445" i="2"/>
  <c r="K2454" i="2"/>
  <c r="D2396" i="2"/>
  <c r="U2358" i="2"/>
  <c r="U2221" i="2"/>
  <c r="C2473" i="2"/>
  <c r="L2329" i="2"/>
  <c r="D2375" i="2"/>
  <c r="L2325" i="2"/>
  <c r="R2528" i="2"/>
  <c r="H2454" i="2"/>
  <c r="E2377" i="2"/>
  <c r="M2324" i="2"/>
  <c r="M2601" i="2"/>
  <c r="G2314" i="2"/>
  <c r="H2371" i="2"/>
  <c r="P2321" i="2"/>
  <c r="M2513" i="2"/>
  <c r="C2439" i="2"/>
  <c r="U2361" i="2"/>
  <c r="Q2320" i="2"/>
  <c r="V2541" i="2"/>
  <c r="W2298" i="2"/>
  <c r="W2589" i="2"/>
  <c r="C2727" i="2"/>
  <c r="O2498" i="2"/>
  <c r="M2444" i="2"/>
  <c r="W2490" i="2"/>
  <c r="U2436" i="2"/>
  <c r="J2483" i="2"/>
  <c r="H2429" i="2"/>
  <c r="D2622" i="2"/>
  <c r="Q2430" i="2"/>
  <c r="L2421" i="2"/>
  <c r="T2380" i="2"/>
  <c r="P2343" i="2"/>
  <c r="P2206" i="2"/>
  <c r="L2511" i="2"/>
  <c r="I2463" i="2"/>
  <c r="T2359" i="2"/>
  <c r="G2310" i="2"/>
  <c r="N2468" i="2"/>
  <c r="I2393" i="2"/>
  <c r="K2325" i="2"/>
  <c r="H2309" i="2"/>
  <c r="G2496" i="2"/>
  <c r="D2448" i="2"/>
  <c r="C2356" i="2"/>
  <c r="K2306" i="2"/>
  <c r="C2464" i="2"/>
  <c r="D2378" i="2"/>
  <c r="S2317" i="2"/>
  <c r="L2305" i="2"/>
  <c r="W2480" i="2"/>
  <c r="T2432" i="2"/>
  <c r="G2352" i="2"/>
  <c r="O2302" i="2"/>
  <c r="H2496" i="2"/>
  <c r="D2529" i="2"/>
  <c r="E2438" i="2"/>
  <c r="I2454" i="2"/>
  <c r="H2230" i="2"/>
  <c r="M2450" i="2"/>
  <c r="L2226" i="2"/>
  <c r="Q2446" i="2"/>
  <c r="L2436" i="2"/>
  <c r="H2399" i="2"/>
  <c r="S2355" i="2"/>
  <c r="G2401" i="2"/>
  <c r="C2364" i="2"/>
  <c r="C2227" i="2"/>
  <c r="I2403" i="2"/>
  <c r="I2284" i="2"/>
  <c r="O2261" i="2"/>
  <c r="H2361" i="2"/>
  <c r="D2250" i="2"/>
  <c r="C2437" i="2"/>
  <c r="T2399" i="2"/>
  <c r="T2262" i="2"/>
  <c r="S2362" i="2"/>
  <c r="F2180" i="2"/>
  <c r="K2297" i="2"/>
  <c r="U2194" i="2"/>
  <c r="G2251" i="2"/>
  <c r="S2487" i="2"/>
  <c r="P2435" i="2"/>
  <c r="O2299" i="2"/>
  <c r="J2279" i="2"/>
  <c r="S2251" i="2"/>
  <c r="T2402" i="2"/>
  <c r="Q2331" i="2"/>
  <c r="I2361" i="2"/>
  <c r="N2472" i="2"/>
  <c r="T2431" i="2"/>
  <c r="T2294" i="2"/>
  <c r="N2275" i="2"/>
  <c r="F2244" i="2"/>
  <c r="J2292" i="2"/>
  <c r="M2429" i="2"/>
  <c r="J2272" i="2"/>
  <c r="W2443" i="2"/>
  <c r="U2369" i="2"/>
  <c r="H2358" i="2"/>
  <c r="C2252" i="2"/>
  <c r="O2216" i="2"/>
  <c r="Q2262" i="2"/>
  <c r="V2221" i="2"/>
  <c r="J2273" i="2"/>
  <c r="V2426" i="2"/>
  <c r="F2191" i="2"/>
  <c r="E2397" i="2"/>
  <c r="S2194" i="2"/>
  <c r="L2578" i="2"/>
  <c r="H2327" i="2"/>
  <c r="U2517" i="2"/>
  <c r="O2120" i="2"/>
  <c r="C2615" i="2"/>
  <c r="V2121" i="2"/>
  <c r="K2181" i="2"/>
  <c r="T2398" i="2"/>
  <c r="U2220" i="2"/>
  <c r="R2331" i="2"/>
  <c r="E2324" i="2"/>
  <c r="O2365" i="2"/>
  <c r="J2402" i="2"/>
  <c r="M2333" i="2"/>
  <c r="E2387" i="2"/>
  <c r="U2325" i="2"/>
  <c r="F2374" i="2"/>
  <c r="S2457" i="2"/>
  <c r="O2420" i="2"/>
  <c r="W2290" i="2"/>
  <c r="W2385" i="2"/>
  <c r="S2348" i="2"/>
  <c r="S2211" i="2"/>
  <c r="J2342" i="2"/>
  <c r="W2262" i="2"/>
  <c r="J2246" i="2"/>
  <c r="S2535" i="2"/>
  <c r="E2189" i="2"/>
  <c r="S2421" i="2"/>
  <c r="O2384" i="2"/>
  <c r="O2247" i="2"/>
  <c r="T2538" i="2"/>
  <c r="S2371" i="2"/>
  <c r="F2282" i="2"/>
  <c r="P2484" i="2"/>
  <c r="K2399" i="2"/>
  <c r="O2457" i="2"/>
  <c r="K2420" i="2"/>
  <c r="K2283" i="2"/>
  <c r="R2490" i="2"/>
  <c r="I2221" i="2"/>
  <c r="U2341" i="2"/>
  <c r="F2277" i="2"/>
  <c r="L2338" i="2"/>
  <c r="S2453" i="2"/>
  <c r="O2416" i="2"/>
  <c r="O2279" i="2"/>
  <c r="W2520" i="2"/>
  <c r="Q2213" i="2"/>
  <c r="L2234" i="2"/>
  <c r="N2368" i="2"/>
  <c r="U2241" i="2"/>
  <c r="C2383" i="2"/>
  <c r="S2321" i="2"/>
  <c r="O2291" i="2"/>
  <c r="O2173" i="2"/>
  <c r="V2172" i="2"/>
  <c r="V2174" i="2"/>
  <c r="H2174" i="2"/>
  <c r="L2176" i="2"/>
  <c r="W2340" i="2"/>
  <c r="E2557" i="2"/>
  <c r="V2304" i="2"/>
  <c r="N2179" i="2"/>
  <c r="S2427" i="2"/>
  <c r="R2492" i="2"/>
  <c r="L2358" i="2"/>
  <c r="M2274" i="2"/>
  <c r="E2369" i="2"/>
  <c r="T2279" i="2"/>
  <c r="S2379" i="2"/>
  <c r="V2525" i="2"/>
  <c r="I2518" i="2"/>
  <c r="O2366" i="2"/>
  <c r="D2425" i="2"/>
  <c r="K2440" i="2"/>
  <c r="T2409" i="2"/>
  <c r="O2436" i="2"/>
  <c r="O2394" i="2"/>
  <c r="V2323" i="2"/>
  <c r="I2466" i="2"/>
  <c r="R2228" i="2"/>
  <c r="Q2431" i="2"/>
  <c r="D2297" i="2"/>
  <c r="C2389" i="2"/>
  <c r="T2351" i="2"/>
  <c r="T2214" i="2"/>
  <c r="N2354" i="2"/>
  <c r="C2266" i="2"/>
  <c r="K2249" i="2"/>
  <c r="G2302" i="2"/>
  <c r="I2201" i="2"/>
  <c r="T2424" i="2"/>
  <c r="P2387" i="2"/>
  <c r="P2250" i="2"/>
  <c r="W2302" i="2"/>
  <c r="F2396" i="2"/>
  <c r="G2285" i="2"/>
  <c r="O2482" i="2"/>
  <c r="C2408" i="2"/>
  <c r="R2522" i="2"/>
  <c r="E2363" i="2"/>
  <c r="V2325" i="2"/>
  <c r="V2188" i="2"/>
  <c r="S2408" i="2"/>
  <c r="E2240" i="2"/>
  <c r="M2223" i="2"/>
  <c r="K2393" i="2"/>
  <c r="E2640" i="2"/>
  <c r="I2359" i="2"/>
  <c r="E2322" i="2"/>
  <c r="E2185" i="2"/>
  <c r="N2393" i="2"/>
  <c r="I2259" i="2"/>
  <c r="S2246" i="2"/>
  <c r="V2449" i="2"/>
  <c r="K2250" i="2"/>
  <c r="S2233" i="2"/>
  <c r="U2391" i="2"/>
  <c r="I2287" i="2"/>
  <c r="G2176" i="2"/>
  <c r="W2289" i="2"/>
  <c r="Q2177" i="2"/>
  <c r="P2292" i="2"/>
  <c r="R2199" i="2"/>
  <c r="Q2280" i="2"/>
  <c r="V2410" i="2"/>
  <c r="E2288" i="2"/>
  <c r="M2263" i="2"/>
  <c r="V2315" i="2"/>
  <c r="D2193" i="2"/>
  <c r="P2287" i="2"/>
  <c r="K2198" i="2"/>
  <c r="W2292" i="2"/>
  <c r="R2203" i="2"/>
  <c r="V2298" i="2"/>
  <c r="L2430" i="2"/>
  <c r="N2578" i="2"/>
  <c r="R2546" i="2"/>
  <c r="Q2366" i="2"/>
  <c r="F2522" i="2"/>
  <c r="C2441" i="2"/>
  <c r="V2506" i="2"/>
  <c r="G2437" i="2"/>
  <c r="Q2491" i="2"/>
  <c r="S2523" i="2"/>
  <c r="D2348" i="2"/>
  <c r="U2310" i="2"/>
  <c r="Q2481" i="2"/>
  <c r="E2434" i="2"/>
  <c r="E2297" i="2"/>
  <c r="T2277" i="2"/>
  <c r="R2248" i="2"/>
  <c r="R2396" i="2"/>
  <c r="P2328" i="2"/>
  <c r="E2349" i="2"/>
  <c r="F2335" i="2"/>
  <c r="F2476" i="2"/>
  <c r="Q2401" i="2"/>
  <c r="O2329" i="2"/>
  <c r="K2351" i="2"/>
  <c r="D2189" i="2"/>
  <c r="U2465" i="2"/>
  <c r="D2347" i="2"/>
  <c r="C2476" i="2"/>
  <c r="U2347" i="2"/>
  <c r="Q2310" i="2"/>
  <c r="K2468" i="2"/>
  <c r="T2347" i="2"/>
  <c r="U2224" i="2"/>
  <c r="H2208" i="2"/>
  <c r="O2603" i="2"/>
  <c r="T2465" i="2"/>
  <c r="D2344" i="2"/>
  <c r="U2306" i="2"/>
  <c r="N2452" i="2"/>
  <c r="O2332" i="2"/>
  <c r="J2198" i="2"/>
  <c r="N2231" i="2"/>
  <c r="W2388" i="2"/>
  <c r="F2235" i="2"/>
  <c r="N2218" i="2"/>
  <c r="G2579" i="2"/>
  <c r="T2256" i="2"/>
  <c r="W2160" i="2"/>
  <c r="M2259" i="2"/>
  <c r="I2162" i="2"/>
  <c r="F2262" i="2"/>
  <c r="T2338" i="2"/>
  <c r="H2261" i="2"/>
  <c r="W2349" i="2"/>
  <c r="U2264" i="2"/>
  <c r="H2248" i="2"/>
  <c r="S2449" i="2"/>
  <c r="C2335" i="2"/>
  <c r="Q2226" i="2"/>
  <c r="Q2345" i="2"/>
  <c r="C2232" i="2"/>
  <c r="J2356" i="2"/>
  <c r="S2649" i="2"/>
  <c r="K2350" i="2"/>
  <c r="W2441" i="2"/>
  <c r="W2371" i="2"/>
  <c r="I2621" i="2"/>
  <c r="D2606" i="2"/>
  <c r="J2560" i="2"/>
  <c r="E2545" i="2"/>
  <c r="F2349" i="2"/>
  <c r="S2393" i="2"/>
  <c r="O2356" i="2"/>
  <c r="O2370" i="2"/>
  <c r="S2515" i="2"/>
  <c r="U2493" i="2"/>
  <c r="F2437" i="2"/>
  <c r="P2302" i="2"/>
  <c r="U2280" i="2"/>
  <c r="T2254" i="2"/>
  <c r="V2408" i="2"/>
  <c r="T2334" i="2"/>
  <c r="M2373" i="2"/>
  <c r="P2341" i="2"/>
  <c r="J2488" i="2"/>
  <c r="U2413" i="2"/>
  <c r="R2336" i="2"/>
  <c r="S2375" i="2"/>
  <c r="E2192" i="2"/>
  <c r="R2508" i="2"/>
  <c r="H2359" i="2"/>
  <c r="K2500" i="2"/>
  <c r="V2350" i="2"/>
  <c r="R2313" i="2"/>
  <c r="J2516" i="2"/>
  <c r="C2360" i="2"/>
  <c r="V2227" i="2"/>
  <c r="I2211" i="2"/>
  <c r="P2344" i="2"/>
  <c r="D2602" i="2"/>
  <c r="E2347" i="2"/>
  <c r="V2309" i="2"/>
  <c r="R2464" i="2"/>
  <c r="S2344" i="2"/>
  <c r="N2210" i="2"/>
  <c r="O2234" i="2"/>
  <c r="F2401" i="2"/>
  <c r="G2238" i="2"/>
  <c r="O2221" i="2"/>
  <c r="E2343" i="2"/>
  <c r="V2262" i="2"/>
  <c r="C2164" i="2"/>
  <c r="O2265" i="2"/>
  <c r="J2165" i="2"/>
  <c r="H2268" i="2"/>
  <c r="O2387" i="2"/>
  <c r="I2264" i="2"/>
  <c r="F2362" i="2"/>
  <c r="V2267" i="2"/>
  <c r="I2251" i="2"/>
  <c r="W2461" i="2"/>
  <c r="V2360" i="2"/>
  <c r="U2238" i="2"/>
  <c r="H2382" i="2"/>
  <c r="G2244" i="2"/>
  <c r="O2403" i="2"/>
  <c r="T2269" i="2"/>
  <c r="S2333" i="2"/>
  <c r="N2548" i="2"/>
  <c r="E2618" i="2"/>
  <c r="N2645" i="2"/>
  <c r="K2611" i="2"/>
  <c r="H2392" i="2"/>
  <c r="L2550" i="2"/>
  <c r="L2388" i="2"/>
  <c r="F2529" i="2"/>
  <c r="U2416" i="2"/>
  <c r="U2335" i="2"/>
  <c r="S2423" i="2"/>
  <c r="E2459" i="2"/>
  <c r="V2421" i="2"/>
  <c r="V2284" i="2"/>
  <c r="M2539" i="2"/>
  <c r="J2224" i="2"/>
  <c r="W2347" i="2"/>
  <c r="H2283" i="2"/>
  <c r="K2295" i="2"/>
  <c r="S2310" i="2"/>
  <c r="R2457" i="2"/>
  <c r="V2352" i="2"/>
  <c r="G2305" i="2"/>
  <c r="W2295" i="2"/>
  <c r="D2618" i="2"/>
  <c r="E2417" i="2"/>
  <c r="W2308" i="2"/>
  <c r="L2425" i="2"/>
  <c r="Q2335" i="2"/>
  <c r="M2298" i="2"/>
  <c r="C2419" i="2"/>
  <c r="N2309" i="2"/>
  <c r="Q2212" i="2"/>
  <c r="D2196" i="2"/>
  <c r="N2441" i="2"/>
  <c r="Q2408" i="2"/>
  <c r="L2594" i="2"/>
  <c r="F2520" i="2"/>
  <c r="S2403" i="2"/>
  <c r="V2301" i="2"/>
  <c r="L2374" i="2"/>
  <c r="J2219" i="2"/>
  <c r="G2340" i="2"/>
  <c r="W2222" i="2"/>
  <c r="J2206" i="2"/>
  <c r="C2440" i="2"/>
  <c r="L2232" i="2"/>
  <c r="S2148" i="2"/>
  <c r="E2235" i="2"/>
  <c r="E2150" i="2"/>
  <c r="S2237" i="2"/>
  <c r="L2268" i="2"/>
  <c r="D2249" i="2"/>
  <c r="D2459" i="2"/>
  <c r="Q2252" i="2"/>
  <c r="D2236" i="2"/>
  <c r="C2401" i="2"/>
  <c r="U2291" i="2"/>
  <c r="V2178" i="2"/>
  <c r="N2294" i="2"/>
  <c r="H2183" i="2"/>
  <c r="G2297" i="2"/>
  <c r="W2645" i="2"/>
  <c r="F2521" i="2"/>
  <c r="V2342" i="2"/>
  <c r="R2276" i="2"/>
  <c r="V2419" i="2"/>
  <c r="T2417" i="2"/>
  <c r="I2412" i="2"/>
  <c r="G2410" i="2"/>
  <c r="S2324" i="2"/>
  <c r="O2381" i="2"/>
  <c r="K2344" i="2"/>
  <c r="J2331" i="2"/>
  <c r="I2453" i="2"/>
  <c r="K2413" i="2"/>
  <c r="G2376" i="2"/>
  <c r="G2239" i="2"/>
  <c r="D2452" i="2"/>
  <c r="Q2319" i="2"/>
  <c r="S2273" i="2"/>
  <c r="E2469" i="2"/>
  <c r="W2299" i="2"/>
  <c r="G2449" i="2"/>
  <c r="C2412" i="2"/>
  <c r="C2275" i="2"/>
  <c r="E2481" i="2"/>
  <c r="N2204" i="2"/>
  <c r="M2321" i="2"/>
  <c r="P2243" i="2"/>
  <c r="O2275" i="2"/>
  <c r="K2543" i="2"/>
  <c r="T2447" i="2"/>
  <c r="W2323" i="2"/>
  <c r="N2291" i="2"/>
  <c r="F2276" i="2"/>
  <c r="O2451" i="2"/>
  <c r="M2377" i="2"/>
  <c r="T2458" i="2"/>
  <c r="I2521" i="2"/>
  <c r="C2444" i="2"/>
  <c r="J2316" i="2"/>
  <c r="R2287" i="2"/>
  <c r="N2268" i="2"/>
  <c r="C2312" i="2"/>
  <c r="M2509" i="2"/>
  <c r="R2296" i="2"/>
  <c r="H2177" i="2"/>
  <c r="P2418" i="2"/>
  <c r="S2455" i="2"/>
  <c r="F2340" i="2"/>
  <c r="J2265" i="2"/>
  <c r="T2350" i="2"/>
  <c r="Q2270" i="2"/>
  <c r="M2361" i="2"/>
  <c r="T2590" i="2"/>
  <c r="J2203" i="2"/>
  <c r="E2298" i="2"/>
  <c r="W2206" i="2"/>
  <c r="J2190" i="2"/>
  <c r="C2376" i="2"/>
  <c r="L2200" i="2"/>
  <c r="S2132" i="2"/>
  <c r="E2203" i="2"/>
  <c r="E2134" i="2"/>
  <c r="S2205" i="2"/>
  <c r="L2204" i="2"/>
  <c r="D2233" i="2"/>
  <c r="C2402" i="2"/>
  <c r="K2394" i="2"/>
  <c r="J2414" i="2"/>
  <c r="P2514" i="2"/>
  <c r="I2306" i="2"/>
  <c r="T2433" i="2"/>
  <c r="M2302" i="2"/>
  <c r="J2403" i="2"/>
  <c r="J2476" i="2"/>
  <c r="S2432" i="2"/>
  <c r="C2333" i="2"/>
  <c r="F2398" i="2"/>
  <c r="W2360" i="2"/>
  <c r="W2223" i="2"/>
  <c r="E2391" i="2"/>
  <c r="G2278" i="2"/>
  <c r="N2258" i="2"/>
  <c r="S2338" i="2"/>
  <c r="U2237" i="2"/>
  <c r="W2433" i="2"/>
  <c r="S2396" i="2"/>
  <c r="S2259" i="2"/>
  <c r="N2339" i="2"/>
  <c r="Q2473" i="2"/>
  <c r="J2294" i="2"/>
  <c r="Q2182" i="2"/>
  <c r="E2245" i="2"/>
  <c r="O2475" i="2"/>
  <c r="O2432" i="2"/>
  <c r="O2295" i="2"/>
  <c r="I2276" i="2"/>
  <c r="Q2245" i="2"/>
  <c r="P2390" i="2"/>
  <c r="O2325" i="2"/>
  <c r="V2336" i="2"/>
  <c r="W2465" i="2"/>
  <c r="S2428" i="2"/>
  <c r="S2291" i="2"/>
  <c r="M2272" i="2"/>
  <c r="D2238" i="2"/>
  <c r="F2280" i="2"/>
  <c r="I2417" i="2"/>
  <c r="H2266" i="2"/>
  <c r="S2431" i="2"/>
  <c r="Q2357" i="2"/>
  <c r="H2334" i="2"/>
  <c r="P2227" i="2"/>
  <c r="K2204" i="2"/>
  <c r="I2238" i="2"/>
  <c r="R2209" i="2"/>
  <c r="W2248" i="2"/>
  <c r="F2378" i="2"/>
  <c r="E2188" i="2"/>
  <c r="R2372" i="2"/>
  <c r="R2191" i="2"/>
  <c r="P2502" i="2"/>
  <c r="J2317" i="2"/>
  <c r="W2455" i="2"/>
  <c r="N2117" i="2"/>
  <c r="P2466" i="2"/>
  <c r="U2118" i="2"/>
  <c r="Q2505" i="2"/>
  <c r="J2463" i="2"/>
  <c r="R2455" i="2"/>
  <c r="O2511" i="2"/>
  <c r="L2520" i="2"/>
  <c r="I2585" i="2"/>
  <c r="W2489" i="2"/>
  <c r="U2537" i="2"/>
  <c r="L2690" i="2"/>
  <c r="V2355" i="2"/>
  <c r="L2510" i="2"/>
  <c r="M2277" i="2"/>
  <c r="U2443" i="2"/>
  <c r="U2418" i="2"/>
  <c r="U2281" i="2"/>
  <c r="C2603" i="2"/>
  <c r="H2218" i="2"/>
  <c r="S2335" i="2"/>
  <c r="D2271" i="2"/>
  <c r="I2289" i="2"/>
  <c r="Q2304" i="2"/>
  <c r="Q2454" i="2"/>
  <c r="R2340" i="2"/>
  <c r="E2299" i="2"/>
  <c r="U2289" i="2"/>
  <c r="N2512" i="2"/>
  <c r="V2404" i="2"/>
  <c r="U2302" i="2"/>
  <c r="H2413" i="2"/>
  <c r="P2606" i="2"/>
  <c r="J2532" i="2"/>
  <c r="T2406" i="2"/>
  <c r="L2303" i="2"/>
  <c r="P2209" i="2"/>
  <c r="C2193" i="2"/>
  <c r="J2429" i="2"/>
  <c r="M2396" i="2"/>
  <c r="Q2545" i="2"/>
  <c r="K2471" i="2"/>
  <c r="O2391" i="2"/>
  <c r="L2538" i="2"/>
  <c r="F2330" i="2"/>
  <c r="I2216" i="2"/>
  <c r="C2328" i="2"/>
  <c r="V2219" i="2"/>
  <c r="I2203" i="2"/>
  <c r="T2427" i="2"/>
  <c r="J2226" i="2"/>
  <c r="R2145" i="2"/>
  <c r="C2229" i="2"/>
  <c r="D2147" i="2"/>
  <c r="Q2231" i="2"/>
  <c r="H2256" i="2"/>
  <c r="C2246" i="2"/>
  <c r="U2446" i="2"/>
  <c r="P2249" i="2"/>
  <c r="C2233" i="2"/>
  <c r="T2388" i="2"/>
  <c r="S2285" i="2"/>
  <c r="L2175" i="2"/>
  <c r="L2288" i="2"/>
  <c r="S2176" i="2"/>
  <c r="E2291" i="2"/>
  <c r="Q2196" i="2"/>
  <c r="F2279" i="2"/>
  <c r="G2498" i="2"/>
  <c r="F2365" i="2"/>
  <c r="V2377" i="2"/>
  <c r="M2449" i="2"/>
  <c r="N2484" i="2"/>
  <c r="V2204" i="2"/>
  <c r="K2457" i="2"/>
  <c r="R2240" i="2"/>
  <c r="P2699" i="2"/>
  <c r="V2236" i="2"/>
  <c r="M2304" i="2"/>
  <c r="O2290" i="2"/>
  <c r="F2326" i="2"/>
  <c r="W2215" i="2"/>
  <c r="P2160" i="2"/>
  <c r="I2163" i="2"/>
  <c r="S2447" i="2"/>
  <c r="M2281" i="2"/>
  <c r="H2462" i="2"/>
  <c r="F2388" i="2"/>
  <c r="T2394" i="2"/>
  <c r="O2288" i="2"/>
  <c r="U2234" i="2"/>
  <c r="T2300" i="2"/>
  <c r="G2240" i="2"/>
  <c r="U2462" i="2"/>
  <c r="N2183" i="2"/>
  <c r="F2336" i="2"/>
  <c r="F2187" i="2"/>
  <c r="H2458" i="2"/>
  <c r="G2308" i="2"/>
  <c r="K2419" i="2"/>
  <c r="H2312" i="2"/>
  <c r="C2315" i="2"/>
  <c r="K2236" i="2"/>
  <c r="E2290" i="2"/>
  <c r="P2235" i="2"/>
  <c r="L2094" i="2"/>
  <c r="T2093" i="2"/>
  <c r="G2093" i="2"/>
  <c r="C2092" i="2"/>
  <c r="M2093" i="2"/>
  <c r="U2092" i="2"/>
  <c r="H2092" i="2"/>
  <c r="D2091" i="2"/>
  <c r="D2094" i="2"/>
  <c r="L2093" i="2"/>
  <c r="Q2200" i="2"/>
  <c r="E2282" i="2"/>
  <c r="F2372" i="2"/>
  <c r="J2281" i="2"/>
  <c r="U2105" i="2"/>
  <c r="H2105" i="2"/>
  <c r="P2104" i="2"/>
  <c r="L2103" i="2"/>
  <c r="V2104" i="2"/>
  <c r="I2104" i="2"/>
  <c r="Q2103" i="2"/>
  <c r="M2102" i="2"/>
  <c r="M2105" i="2"/>
  <c r="U2104" i="2"/>
  <c r="H2104" i="2"/>
  <c r="D2103" i="2"/>
  <c r="K2503" i="2"/>
  <c r="C2446" i="2"/>
  <c r="D2609" i="2"/>
  <c r="R2365" i="2"/>
  <c r="R2400" i="2"/>
  <c r="H2423" i="2"/>
  <c r="R2192" i="2"/>
  <c r="P2408" i="2"/>
  <c r="N2228" i="2"/>
  <c r="L2373" i="2"/>
  <c r="R2224" i="2"/>
  <c r="N2450" i="2"/>
  <c r="Q2232" i="2"/>
  <c r="Q2406" i="2"/>
  <c r="Q2269" i="2"/>
  <c r="P2417" i="2"/>
  <c r="U2193" i="2"/>
  <c r="T2310" i="2"/>
  <c r="I2222" i="2"/>
  <c r="V2264" i="2"/>
  <c r="G2515" i="2"/>
  <c r="M2442" i="2"/>
  <c r="I2313" i="2"/>
  <c r="G2286" i="2"/>
  <c r="M2265" i="2"/>
  <c r="H2430" i="2"/>
  <c r="F2356" i="2"/>
  <c r="F2416" i="2"/>
  <c r="M2364" i="2"/>
  <c r="K2367" i="2"/>
  <c r="M2340" i="2"/>
  <c r="I2485" i="2"/>
  <c r="T2410" i="2"/>
  <c r="F2334" i="2"/>
  <c r="Q2369" i="2"/>
  <c r="J2191" i="2"/>
  <c r="N2496" i="2"/>
  <c r="G2356" i="2"/>
  <c r="E2332" i="2"/>
  <c r="D2470" i="2"/>
  <c r="O2395" i="2"/>
  <c r="N2326" i="2"/>
  <c r="G2339" i="2"/>
  <c r="W2342" i="2"/>
  <c r="C2198" i="2"/>
  <c r="W2451" i="2"/>
  <c r="P2201" i="2"/>
  <c r="C2185" i="2"/>
  <c r="Q2354" i="2"/>
  <c r="S2189" i="2"/>
  <c r="L2127" i="2"/>
  <c r="L2192" i="2"/>
  <c r="S2128" i="2"/>
  <c r="E2195" i="2"/>
  <c r="E2183" i="2"/>
  <c r="R2227" i="2"/>
  <c r="R2373" i="2"/>
  <c r="J2231" i="2"/>
  <c r="R2214" i="2"/>
  <c r="P2490" i="2"/>
  <c r="G2249" i="2"/>
  <c r="F2157" i="2"/>
  <c r="U2251" i="2"/>
  <c r="M2158" i="2"/>
  <c r="N2254" i="2"/>
  <c r="H2306" i="2"/>
  <c r="L2257" i="2"/>
  <c r="W2402" i="2"/>
  <c r="J2395" i="2"/>
  <c r="D2317" i="2"/>
  <c r="M2516" i="2"/>
  <c r="T2403" i="2"/>
  <c r="C2486" i="2"/>
  <c r="C2400" i="2"/>
  <c r="I2593" i="2"/>
  <c r="P2305" i="2"/>
  <c r="F2457" i="2"/>
  <c r="F2192" i="2"/>
  <c r="N2422" i="2"/>
  <c r="J2385" i="2"/>
  <c r="J2248" i="2"/>
  <c r="V2576" i="2"/>
  <c r="U2377" i="2"/>
  <c r="V2282" i="2"/>
  <c r="C2509" i="2"/>
  <c r="O2411" i="2"/>
  <c r="J2458" i="2"/>
  <c r="F2421" i="2"/>
  <c r="F2284" i="2"/>
  <c r="E2515" i="2"/>
  <c r="T2222" i="2"/>
  <c r="V2344" i="2"/>
  <c r="G2280" i="2"/>
  <c r="U2293" i="2"/>
  <c r="C2310" i="2"/>
  <c r="W2456" i="2"/>
  <c r="U2349" i="2"/>
  <c r="Q2303" i="2"/>
  <c r="L2294" i="2"/>
  <c r="I2569" i="2"/>
  <c r="D2414" i="2"/>
  <c r="L2307" i="2"/>
  <c r="P2301" i="2"/>
  <c r="F2453" i="2"/>
  <c r="P2334" i="2"/>
  <c r="U2296" i="2"/>
  <c r="T2286" i="2"/>
  <c r="Q2450" i="2"/>
  <c r="S2182" i="2"/>
  <c r="J2332" i="2"/>
  <c r="K2186" i="2"/>
  <c r="G2455" i="2"/>
  <c r="Q2306" i="2"/>
  <c r="I2413" i="2"/>
  <c r="F2306" i="2"/>
  <c r="W2423" i="2"/>
  <c r="N2113" i="2"/>
  <c r="P2434" i="2"/>
  <c r="E2274" i="2"/>
  <c r="M2212" i="2"/>
  <c r="K2316" i="2"/>
  <c r="E2216" i="2"/>
  <c r="M2199" i="2"/>
  <c r="O2412" i="2"/>
  <c r="R2218" i="2"/>
  <c r="V2141" i="2"/>
  <c r="K2221" i="2"/>
  <c r="H2143" i="2"/>
  <c r="D2224" i="2"/>
  <c r="K2513" i="2"/>
  <c r="N2499" i="2"/>
  <c r="M2354" i="2"/>
  <c r="E2679" i="2"/>
  <c r="T2428" i="2"/>
  <c r="L2569" i="2"/>
  <c r="C2425" i="2"/>
  <c r="D2615" i="2"/>
  <c r="L2457" i="2"/>
  <c r="C2345" i="2"/>
  <c r="T2307" i="2"/>
  <c r="M2469" i="2"/>
  <c r="J2204" i="2"/>
  <c r="O2425" i="2"/>
  <c r="K2388" i="2"/>
  <c r="K2251" i="2"/>
  <c r="C2306" i="2"/>
  <c r="H2402" i="2"/>
  <c r="W2285" i="2"/>
  <c r="W2506" i="2"/>
  <c r="J2460" i="2"/>
  <c r="K2461" i="2"/>
  <c r="G2424" i="2"/>
  <c r="G2287" i="2"/>
  <c r="D2513" i="2"/>
  <c r="V2228" i="2"/>
  <c r="E2357" i="2"/>
  <c r="K2292" i="2"/>
  <c r="H2302" i="2"/>
  <c r="E2316" i="2"/>
  <c r="C2460" i="2"/>
  <c r="D2362" i="2"/>
  <c r="S2309" i="2"/>
  <c r="K2303" i="2"/>
  <c r="F2179" i="2"/>
  <c r="H2426" i="2"/>
  <c r="N2313" i="2"/>
  <c r="R2307" i="2"/>
  <c r="G2456" i="2"/>
  <c r="T2346" i="2"/>
  <c r="F2302" i="2"/>
  <c r="V2292" i="2"/>
  <c r="O2341" i="2"/>
  <c r="T2185" i="2"/>
  <c r="L2354" i="2"/>
  <c r="L2189" i="2"/>
  <c r="P2467" i="2"/>
  <c r="S2312" i="2"/>
  <c r="Q2437" i="2"/>
  <c r="H2115" i="2"/>
  <c r="J2448" i="2"/>
  <c r="O2116" i="2"/>
  <c r="C2459" i="2"/>
  <c r="D2324" i="2"/>
  <c r="N2215" i="2"/>
  <c r="W2324" i="2"/>
  <c r="F2219" i="2"/>
  <c r="N2202" i="2"/>
  <c r="S2424" i="2"/>
  <c r="T2224" i="2"/>
  <c r="W2144" i="2"/>
  <c r="M2227" i="2"/>
  <c r="I2146" i="2"/>
  <c r="F2230" i="2"/>
  <c r="G2253" i="2"/>
  <c r="H2245" i="2"/>
  <c r="J2474" i="2"/>
  <c r="H2678" i="2"/>
  <c r="E2463" i="2"/>
  <c r="W2487" i="2"/>
  <c r="D2355" i="2"/>
  <c r="P2457" i="2"/>
  <c r="H2351" i="2"/>
  <c r="K2442" i="2"/>
  <c r="E2525" i="2"/>
  <c r="W2444" i="2"/>
  <c r="V2428" i="2"/>
  <c r="J2410" i="2"/>
  <c r="F2373" i="2"/>
  <c r="F2236" i="2"/>
  <c r="U2439" i="2"/>
  <c r="M2307" i="2"/>
  <c r="R2270" i="2"/>
  <c r="K2434" i="2"/>
  <c r="P2286" i="2"/>
  <c r="F2446" i="2"/>
  <c r="W2408" i="2"/>
  <c r="W2271" i="2"/>
  <c r="V2435" i="2"/>
  <c r="L2198" i="2"/>
  <c r="K2315" i="2"/>
  <c r="L2231" i="2"/>
  <c r="M2269" i="2"/>
  <c r="J2524" i="2"/>
  <c r="S2444" i="2"/>
  <c r="U2317" i="2"/>
  <c r="M2288" i="2"/>
  <c r="D2270" i="2"/>
  <c r="K2439" i="2"/>
  <c r="I2365" i="2"/>
  <c r="L2434" i="2"/>
  <c r="E2509" i="2"/>
  <c r="W2440" i="2"/>
  <c r="H2310" i="2"/>
  <c r="Q2284" i="2"/>
  <c r="L2262" i="2"/>
  <c r="R2452" i="2"/>
  <c r="D2466" i="2"/>
  <c r="P2290" i="2"/>
  <c r="P2518" i="2"/>
  <c r="L2406" i="2"/>
  <c r="K2431" i="2"/>
  <c r="G2325" i="2"/>
  <c r="F2253" i="2"/>
  <c r="N2330" i="2"/>
  <c r="M2258" i="2"/>
  <c r="E2337" i="2"/>
  <c r="E2416" i="2"/>
  <c r="I2200" i="2"/>
  <c r="M2477" i="2"/>
  <c r="V2203" i="2"/>
  <c r="I2187" i="2"/>
  <c r="T2363" i="2"/>
  <c r="J2194" i="2"/>
  <c r="R2129" i="2"/>
  <c r="C2197" i="2"/>
  <c r="D2131" i="2"/>
  <c r="Q2199" i="2"/>
  <c r="H2512" i="2"/>
  <c r="G2482" i="2"/>
  <c r="W2538" i="2"/>
  <c r="U2510" i="2"/>
  <c r="D2380" i="2"/>
  <c r="P2495" i="2"/>
  <c r="H2376" i="2"/>
  <c r="K2480" i="2"/>
  <c r="Q2404" i="2"/>
  <c r="Q2609" i="2"/>
  <c r="C2375" i="2"/>
  <c r="D2456" i="2"/>
  <c r="I2561" i="2"/>
  <c r="P2364" i="2"/>
  <c r="L2327" i="2"/>
  <c r="L2190" i="2"/>
  <c r="U2414" i="2"/>
  <c r="P2241" i="2"/>
  <c r="C2225" i="2"/>
  <c r="M2399" i="2"/>
  <c r="P2346" i="2"/>
  <c r="L2400" i="2"/>
  <c r="H2363" i="2"/>
  <c r="H2226" i="2"/>
  <c r="H2400" i="2"/>
  <c r="S2282" i="2"/>
  <c r="T2260" i="2"/>
  <c r="F2355" i="2"/>
  <c r="C2247" i="2"/>
  <c r="H2436" i="2"/>
  <c r="D2399" i="2"/>
  <c r="D2262" i="2"/>
  <c r="Q2356" i="2"/>
  <c r="F2560" i="2"/>
  <c r="P2296" i="2"/>
  <c r="T2191" i="2"/>
  <c r="S2231" i="2"/>
  <c r="L2432" i="2"/>
  <c r="H2395" i="2"/>
  <c r="H2258" i="2"/>
  <c r="L2333" i="2"/>
  <c r="E2457" i="2"/>
  <c r="S2191" i="2"/>
  <c r="W2438" i="2"/>
  <c r="G2199" i="2"/>
  <c r="F2316" i="2"/>
  <c r="W2232" i="2"/>
  <c r="V2248" i="2"/>
  <c r="H2152" i="2"/>
  <c r="O2151" i="2"/>
  <c r="O2153" i="2"/>
  <c r="V2152" i="2"/>
  <c r="V2154" i="2"/>
  <c r="L2266" i="2"/>
  <c r="D2402" i="2"/>
  <c r="P2258" i="2"/>
  <c r="N2416" i="2"/>
  <c r="L2342" i="2"/>
  <c r="C2319" i="2"/>
  <c r="G2200" i="2"/>
  <c r="F2189" i="2"/>
  <c r="T2207" i="2"/>
  <c r="M2194" i="2"/>
  <c r="M2218" i="2"/>
  <c r="R2496" i="2"/>
  <c r="F2650" i="2"/>
  <c r="W2484" i="2"/>
  <c r="Q2464" i="2"/>
  <c r="F2377" i="2"/>
  <c r="J2393" i="2"/>
  <c r="H2450" i="2"/>
  <c r="N2389" i="2"/>
  <c r="C2435" i="2"/>
  <c r="C2404" i="2"/>
  <c r="G2421" i="2"/>
  <c r="C2384" i="2"/>
  <c r="G2488" i="2"/>
  <c r="K2349" i="2"/>
  <c r="G2312" i="2"/>
  <c r="W2491" i="2"/>
  <c r="V2353" i="2"/>
  <c r="K2226" i="2"/>
  <c r="S2209" i="2"/>
  <c r="N2338" i="2"/>
  <c r="Q2288" i="2"/>
  <c r="G2385" i="2"/>
  <c r="C2348" i="2"/>
  <c r="C2211" i="2"/>
  <c r="I2339" i="2"/>
  <c r="G2262" i="2"/>
  <c r="O2245" i="2"/>
  <c r="O2523" i="2"/>
  <c r="D2186" i="2"/>
  <c r="C2421" i="2"/>
  <c r="T2383" i="2"/>
  <c r="T2246" i="2"/>
  <c r="P2526" i="2"/>
  <c r="Q2365" i="2"/>
  <c r="K2281" i="2"/>
  <c r="I2467" i="2"/>
  <c r="K2519" i="2"/>
  <c r="G2417" i="2"/>
  <c r="C2380" i="2"/>
  <c r="C2243" i="2"/>
  <c r="L2467" i="2"/>
  <c r="G2335" i="2"/>
  <c r="H2418" i="2"/>
  <c r="U2328" i="2"/>
  <c r="W2447" i="2"/>
  <c r="Q2291" i="2"/>
  <c r="G2615" i="2"/>
  <c r="K2427" i="2"/>
  <c r="C2137" i="2"/>
  <c r="R2476" i="2"/>
  <c r="J2138" i="2"/>
  <c r="V2184" i="2"/>
  <c r="Q2139" i="2"/>
  <c r="R2220" i="2"/>
  <c r="U2500" i="2"/>
  <c r="F2228" i="2"/>
  <c r="O2355" i="2"/>
  <c r="U2290" i="2"/>
  <c r="U2277" i="2"/>
  <c r="R2166" i="2"/>
  <c r="D2166" i="2"/>
  <c r="D2168" i="2"/>
  <c r="K2167" i="2"/>
  <c r="K2169" i="2"/>
  <c r="H2353" i="2"/>
  <c r="P2345" i="2"/>
  <c r="F2402" i="2"/>
  <c r="S2366" i="2"/>
  <c r="C2511" i="2"/>
  <c r="O2338" i="2"/>
  <c r="K2463" i="2"/>
  <c r="J2323" i="2"/>
  <c r="V2466" i="2"/>
  <c r="R2429" i="2"/>
  <c r="T2320" i="2"/>
  <c r="E2395" i="2"/>
  <c r="E2370" i="2"/>
  <c r="E2233" i="2"/>
  <c r="Q2427" i="2"/>
  <c r="M2296" i="2"/>
  <c r="Q2267" i="2"/>
  <c r="C2410" i="2"/>
  <c r="L2274" i="2"/>
  <c r="E2443" i="2"/>
  <c r="V2405" i="2"/>
  <c r="V2268" i="2"/>
  <c r="N2411" i="2"/>
  <c r="J2192" i="2"/>
  <c r="I2309" i="2"/>
  <c r="H2219" i="2"/>
  <c r="K2263" i="2"/>
  <c r="F2512" i="2"/>
  <c r="R2441" i="2"/>
  <c r="S2311" i="2"/>
  <c r="L2285" i="2"/>
  <c r="W2263" i="2"/>
  <c r="G2427" i="2"/>
  <c r="E2353" i="2"/>
  <c r="D2410" i="2"/>
  <c r="V2496" i="2"/>
  <c r="V2437" i="2"/>
  <c r="F2304" i="2"/>
  <c r="P2281" i="2"/>
  <c r="J2256" i="2"/>
  <c r="G2355" i="2"/>
  <c r="U2453" i="2"/>
  <c r="N2284" i="2"/>
  <c r="U2469" i="2"/>
  <c r="H2394" i="2"/>
  <c r="C2407" i="2"/>
  <c r="U2303" i="2"/>
  <c r="W2240" i="2"/>
  <c r="J2318" i="2"/>
  <c r="I2246" i="2"/>
  <c r="Q2323" i="2"/>
  <c r="P2329" i="2"/>
  <c r="H2197" i="2"/>
  <c r="U2445" i="2"/>
  <c r="U2200" i="2"/>
  <c r="H2184" i="2"/>
  <c r="P2351" i="2"/>
  <c r="H2188" i="2"/>
  <c r="Q2126" i="2"/>
  <c r="V2190" i="2"/>
  <c r="C2128" i="2"/>
  <c r="O2193" i="2"/>
  <c r="D2180" i="2"/>
  <c r="W2226" i="2"/>
  <c r="S2352" i="2"/>
  <c r="M2337" i="2"/>
  <c r="S2462" i="2"/>
  <c r="N2329" i="2"/>
  <c r="M2276" i="2"/>
  <c r="O2487" i="2"/>
  <c r="M2465" i="2"/>
  <c r="F2458" i="2"/>
  <c r="W2431" i="2"/>
  <c r="V2442" i="2"/>
  <c r="G2399" i="2"/>
  <c r="V2130" i="2"/>
  <c r="O2133" i="2"/>
  <c r="V2332" i="2"/>
  <c r="W2159" i="2"/>
  <c r="C2241" i="2"/>
  <c r="C2378" i="2"/>
  <c r="W2183" i="2"/>
  <c r="V2300" i="2"/>
  <c r="M2555" i="2"/>
  <c r="N2224" i="2"/>
  <c r="P2144" i="2"/>
  <c r="G2235" i="2"/>
  <c r="W2145" i="2"/>
  <c r="I2145" i="2"/>
  <c r="O2211" i="2"/>
  <c r="V2627" i="2"/>
  <c r="C2219" i="2"/>
  <c r="I2337" i="2"/>
  <c r="O2272" i="2"/>
  <c r="R2268" i="2"/>
  <c r="F2162" i="2"/>
  <c r="M2161" i="2"/>
  <c r="Q2230" i="2"/>
  <c r="D2226" i="2"/>
  <c r="T2144" i="2"/>
  <c r="K2143" i="2"/>
  <c r="Q2045" i="2"/>
  <c r="D2045" i="2"/>
  <c r="L2044" i="2"/>
  <c r="L2142" i="2"/>
  <c r="R2044" i="2"/>
  <c r="E2044" i="2"/>
  <c r="M2043" i="2"/>
  <c r="C2143" i="2"/>
  <c r="I2045" i="2"/>
  <c r="Q2044" i="2"/>
  <c r="D2398" i="2"/>
  <c r="S2155" i="2"/>
  <c r="H2156" i="2"/>
  <c r="O2155" i="2"/>
  <c r="E2057" i="2"/>
  <c r="M2056" i="2"/>
  <c r="U2055" i="2"/>
  <c r="Q2054" i="2"/>
  <c r="F2056" i="2"/>
  <c r="N2055" i="2"/>
  <c r="V2054" i="2"/>
  <c r="R2053" i="2"/>
  <c r="R2056" i="2"/>
  <c r="E2056" i="2"/>
  <c r="M2055" i="2"/>
  <c r="I2054" i="2"/>
  <c r="G2343" i="2"/>
  <c r="C2304" i="2"/>
  <c r="E2548" i="2"/>
  <c r="F2407" i="2"/>
  <c r="K2300" i="2"/>
  <c r="C2478" i="2"/>
  <c r="C2424" i="2"/>
  <c r="W2367" i="2"/>
  <c r="K2409" i="2"/>
  <c r="N2334" i="2"/>
  <c r="F2394" i="2"/>
  <c r="F2318" i="2"/>
  <c r="R2118" i="2"/>
  <c r="V2357" i="2"/>
  <c r="V2220" i="2"/>
  <c r="V2378" i="2"/>
  <c r="E2272" i="2"/>
  <c r="M2255" i="2"/>
  <c r="O2326" i="2"/>
  <c r="Q2225" i="2"/>
  <c r="V2430" i="2"/>
  <c r="R2393" i="2"/>
  <c r="R2256" i="2"/>
  <c r="J2327" i="2"/>
  <c r="V2444" i="2"/>
  <c r="I2291" i="2"/>
  <c r="P2176" i="2"/>
  <c r="C2239" i="2"/>
  <c r="R2466" i="2"/>
  <c r="F2448" i="2"/>
  <c r="P2460" i="2"/>
  <c r="L2423" i="2"/>
  <c r="L2286" i="2"/>
  <c r="Q2488" i="2"/>
  <c r="K2227" i="2"/>
  <c r="D2354" i="2"/>
  <c r="J2289" i="2"/>
  <c r="G2387" i="2"/>
  <c r="T2456" i="2"/>
  <c r="P2419" i="2"/>
  <c r="P2282" i="2"/>
  <c r="J2470" i="2"/>
  <c r="S2219" i="2"/>
  <c r="O2243" i="2"/>
  <c r="R2380" i="2"/>
  <c r="W2247" i="2"/>
  <c r="G2395" i="2"/>
  <c r="U2327" i="2"/>
  <c r="Q2297" i="2"/>
  <c r="C2177" i="2"/>
  <c r="W2175" i="2"/>
  <c r="K2179" i="2"/>
  <c r="J2177" i="2"/>
  <c r="M2186" i="2"/>
  <c r="R2389" i="2"/>
  <c r="W2178" i="2"/>
  <c r="E2317" i="2"/>
  <c r="O2182" i="2"/>
  <c r="W2439" i="2"/>
  <c r="D2299" i="2"/>
  <c r="T2382" i="2"/>
  <c r="Q2286" i="2"/>
  <c r="M2393" i="2"/>
  <c r="C2292" i="2"/>
  <c r="F2404" i="2"/>
  <c r="F2213" i="2"/>
  <c r="Q2208" i="2"/>
  <c r="E2579" i="2"/>
  <c r="R2378" i="2"/>
  <c r="G2495" i="2"/>
  <c r="R2612" i="2"/>
  <c r="T2266" i="2"/>
  <c r="S2551" i="2"/>
  <c r="C2263" i="2"/>
  <c r="M2529" i="2"/>
  <c r="O2445" i="2"/>
  <c r="K2408" i="2"/>
  <c r="O2561" i="2"/>
  <c r="S2373" i="2"/>
  <c r="O2336" i="2"/>
  <c r="O2199" i="2"/>
  <c r="L2451" i="2"/>
  <c r="S2250" i="2"/>
  <c r="F2234" i="2"/>
  <c r="D2436" i="2"/>
  <c r="S2419" i="2"/>
  <c r="O2409" i="2"/>
  <c r="K2372" i="2"/>
  <c r="K2235" i="2"/>
  <c r="T2436" i="2"/>
  <c r="L2304" i="2"/>
  <c r="W2269" i="2"/>
  <c r="I2428" i="2"/>
  <c r="O2283" i="2"/>
  <c r="K2445" i="2"/>
  <c r="G2408" i="2"/>
  <c r="G2271" i="2"/>
  <c r="T2429" i="2"/>
  <c r="V2196" i="2"/>
  <c r="U2313" i="2"/>
  <c r="K2228" i="2"/>
  <c r="J2268" i="2"/>
  <c r="O2441" i="2"/>
  <c r="K2404" i="2"/>
  <c r="K2267" i="2"/>
  <c r="J2399" i="2"/>
  <c r="I2189" i="2"/>
  <c r="D2210" i="2"/>
  <c r="P2578" i="2"/>
  <c r="M2217" i="2"/>
  <c r="L2334" i="2"/>
  <c r="N2269" i="2"/>
  <c r="G2267" i="2"/>
  <c r="K2161" i="2"/>
  <c r="R2160" i="2"/>
  <c r="R2162" i="2"/>
  <c r="D2162" i="2"/>
  <c r="D2164" i="2"/>
  <c r="J2308" i="2"/>
  <c r="P2438" i="2"/>
  <c r="V2276" i="2"/>
  <c r="E2453" i="2"/>
  <c r="C2379" i="2"/>
  <c r="N2376" i="2"/>
  <c r="I2270" i="2"/>
  <c r="R2225" i="2"/>
  <c r="W2280" i="2"/>
  <c r="D2231" i="2"/>
  <c r="P2291" i="2"/>
  <c r="G2354" i="2"/>
  <c r="O2346" i="2"/>
  <c r="U2304" i="2"/>
  <c r="N2518" i="2"/>
  <c r="P2391" i="2"/>
  <c r="D2488" i="2"/>
  <c r="T2387" i="2"/>
  <c r="J2655" i="2"/>
  <c r="N2299" i="2"/>
  <c r="E2454" i="2"/>
  <c r="H2182" i="2"/>
  <c r="M2419" i="2"/>
  <c r="Q2272" i="2"/>
  <c r="T2376" i="2"/>
  <c r="P2339" i="2"/>
  <c r="P2202" i="2"/>
  <c r="P2463" i="2"/>
  <c r="T2253" i="2"/>
  <c r="G2237" i="2"/>
  <c r="H2448" i="2"/>
  <c r="F2444" i="2"/>
  <c r="P2412" i="2"/>
  <c r="L2375" i="2"/>
  <c r="L2238" i="2"/>
  <c r="C2449" i="2"/>
  <c r="P2316" i="2"/>
  <c r="C2273" i="2"/>
  <c r="V2455" i="2"/>
  <c r="S2295" i="2"/>
  <c r="L2448" i="2"/>
  <c r="H2411" i="2"/>
  <c r="H2274" i="2"/>
  <c r="W2458" i="2"/>
  <c r="C2203" i="2"/>
  <c r="W2319" i="2"/>
  <c r="O2240" i="2"/>
  <c r="N2280" i="2"/>
  <c r="P2444" i="2"/>
  <c r="L2407" i="2"/>
  <c r="L2270" i="2"/>
  <c r="R2423" i="2"/>
  <c r="K2195" i="2"/>
  <c r="F2216" i="2"/>
  <c r="I2527" i="2"/>
  <c r="O2223" i="2"/>
  <c r="L2346" i="2"/>
  <c r="R2281" i="2"/>
  <c r="I2273" i="2"/>
  <c r="L2164" i="2"/>
  <c r="S2163" i="2"/>
  <c r="S2165" i="2"/>
  <c r="E2165" i="2"/>
  <c r="E2167" i="2"/>
  <c r="R2332" i="2"/>
  <c r="T2450" i="2"/>
  <c r="C2283" i="2"/>
  <c r="I2465" i="2"/>
  <c r="G2391" i="2"/>
  <c r="V2400" i="2"/>
  <c r="Q2294" i="2"/>
  <c r="V2237" i="2"/>
  <c r="C2313" i="2"/>
  <c r="H2243" i="2"/>
  <c r="P2320" i="2"/>
  <c r="L2317" i="2"/>
  <c r="M2196" i="2"/>
  <c r="R2651" i="2"/>
  <c r="T2574" i="2"/>
  <c r="V2425" i="2"/>
  <c r="E2442" i="2"/>
  <c r="D2218" i="2"/>
  <c r="I2438" i="2"/>
  <c r="H2214" i="2"/>
  <c r="M2434" i="2"/>
  <c r="K2433" i="2"/>
  <c r="G2396" i="2"/>
  <c r="J2498" i="2"/>
  <c r="O2361" i="2"/>
  <c r="K2324" i="2"/>
  <c r="K2187" i="2"/>
  <c r="Q2402" i="2"/>
  <c r="O2238" i="2"/>
  <c r="W2221" i="2"/>
  <c r="I2387" i="2"/>
  <c r="L2328" i="2"/>
  <c r="K2397" i="2"/>
  <c r="G2360" i="2"/>
  <c r="G2223" i="2"/>
  <c r="D2388" i="2"/>
  <c r="Q2276" i="2"/>
  <c r="S2257" i="2"/>
  <c r="R2335" i="2"/>
  <c r="T2234" i="2"/>
  <c r="G2433" i="2"/>
  <c r="C2396" i="2"/>
  <c r="C2259" i="2"/>
  <c r="M2336" i="2"/>
  <c r="G2463" i="2"/>
  <c r="O2293" i="2"/>
  <c r="S2179" i="2"/>
  <c r="O2219" i="2"/>
  <c r="K2429" i="2"/>
  <c r="G2392" i="2"/>
  <c r="G2255" i="2"/>
  <c r="H2321" i="2"/>
  <c r="R2432" i="2"/>
  <c r="Q2185" i="2"/>
  <c r="O2414" i="2"/>
  <c r="E2193" i="2"/>
  <c r="D2310" i="2"/>
  <c r="S2220" i="2"/>
  <c r="T2242" i="2"/>
  <c r="G2149" i="2"/>
  <c r="N2148" i="2"/>
  <c r="N2150" i="2"/>
  <c r="U2149" i="2"/>
  <c r="U2151" i="2"/>
  <c r="H2254" i="2"/>
  <c r="U2389" i="2"/>
  <c r="N2252" i="2"/>
  <c r="J2404" i="2"/>
  <c r="L2332" i="2"/>
  <c r="T2306" i="2"/>
  <c r="G2184" i="2"/>
  <c r="P2178" i="2"/>
  <c r="D2191" i="2"/>
  <c r="I2182" i="2"/>
  <c r="Q2198" i="2"/>
  <c r="W2524" i="2"/>
  <c r="J2517" i="2"/>
  <c r="V2450" i="2"/>
  <c r="E2424" i="2"/>
  <c r="U2342" i="2"/>
  <c r="U2408" i="2"/>
  <c r="D2339" i="2"/>
  <c r="P2393" i="2"/>
  <c r="V2512" i="2"/>
  <c r="V2441" i="2"/>
  <c r="N2404" i="2"/>
  <c r="I2407" i="2"/>
  <c r="G2346" i="2"/>
  <c r="K2491" i="2"/>
  <c r="V2416" i="2"/>
  <c r="S2339" i="2"/>
  <c r="U2381" i="2"/>
  <c r="U2192" i="2"/>
  <c r="V2520" i="2"/>
  <c r="I2362" i="2"/>
  <c r="L2503" i="2"/>
  <c r="Q2351" i="2"/>
  <c r="M2314" i="2"/>
  <c r="N2528" i="2"/>
  <c r="D2363" i="2"/>
  <c r="Q2228" i="2"/>
  <c r="D2212" i="2"/>
  <c r="Q2347" i="2"/>
  <c r="C2294" i="2"/>
  <c r="M2387" i="2"/>
  <c r="I2350" i="2"/>
  <c r="I2213" i="2"/>
  <c r="L2348" i="2"/>
  <c r="M2264" i="2"/>
  <c r="U2247" i="2"/>
  <c r="M2613" i="2"/>
  <c r="P2285" i="2"/>
  <c r="Q2383" i="2"/>
  <c r="M2346" i="2"/>
  <c r="M2209" i="2"/>
  <c r="S2615" i="2"/>
  <c r="K2178" i="2"/>
  <c r="F2271" i="2"/>
  <c r="O2389" i="2"/>
  <c r="L2277" i="2"/>
  <c r="F2258" i="2"/>
  <c r="E2589" i="2"/>
  <c r="C2479" i="2"/>
  <c r="I2266" i="2"/>
  <c r="J2639" i="2"/>
  <c r="P2271" i="2"/>
  <c r="K2182" i="2"/>
  <c r="W2276" i="2"/>
  <c r="S2387" i="2"/>
  <c r="P2313" i="2"/>
  <c r="M2417" i="2"/>
  <c r="U2287" i="2"/>
  <c r="P2499" i="2"/>
  <c r="D2320" i="2"/>
  <c r="G2133" i="2"/>
  <c r="F2348" i="2"/>
  <c r="N2134" i="2"/>
  <c r="T2390" i="2"/>
  <c r="U2135" i="2"/>
  <c r="E2213" i="2"/>
  <c r="S2620" i="2"/>
  <c r="G2398" i="2"/>
  <c r="G2464" i="2"/>
  <c r="F2240" i="2"/>
  <c r="S2346" i="2"/>
  <c r="Q2344" i="2"/>
  <c r="V2339" i="2"/>
  <c r="W2338" i="2"/>
  <c r="M2577" i="2"/>
  <c r="L2372" i="2"/>
  <c r="H2335" i="2"/>
  <c r="D2313" i="2"/>
  <c r="M2458" i="2"/>
  <c r="W2355" i="2"/>
  <c r="R2306" i="2"/>
  <c r="M2297" i="2"/>
  <c r="P2177" i="2"/>
  <c r="F2420" i="2"/>
  <c r="M2310" i="2"/>
  <c r="W2426" i="2"/>
  <c r="L2336" i="2"/>
  <c r="H2299" i="2"/>
  <c r="D2422" i="2"/>
  <c r="D2311" i="2"/>
  <c r="L2213" i="2"/>
  <c r="T2196" i="2"/>
  <c r="O2444" i="2"/>
  <c r="N2597" i="2"/>
  <c r="H2372" i="2"/>
  <c r="D2335" i="2"/>
  <c r="D2198" i="2"/>
  <c r="J2445" i="2"/>
  <c r="H2249" i="2"/>
  <c r="P2232" i="2"/>
  <c r="W2429" i="2"/>
  <c r="K2502" i="2"/>
  <c r="L2368" i="2"/>
  <c r="H2331" i="2"/>
  <c r="H2194" i="2"/>
  <c r="E2430" i="2"/>
  <c r="U2295" i="2"/>
  <c r="V2255" i="2"/>
  <c r="T2542" i="2"/>
  <c r="N2259" i="2"/>
  <c r="V2242" i="2"/>
  <c r="L2428" i="2"/>
  <c r="M2313" i="2"/>
  <c r="J2205" i="2"/>
  <c r="T2318" i="2"/>
  <c r="Q2210" i="2"/>
  <c r="F2324" i="2"/>
  <c r="I2236" i="2"/>
  <c r="H2300" i="2"/>
  <c r="M2447" i="2"/>
  <c r="E2315" i="2"/>
  <c r="P2272" i="2"/>
  <c r="I2364" i="2"/>
  <c r="P2229" i="2"/>
  <c r="W2117" i="2"/>
  <c r="W2234" i="2"/>
  <c r="I2119" i="2"/>
  <c r="I2240" i="2"/>
  <c r="D2690" i="2"/>
  <c r="N2459" i="2"/>
  <c r="F2367" i="2"/>
  <c r="W2364" i="2"/>
  <c r="F2381" i="2"/>
  <c r="M2401" i="2"/>
  <c r="J2377" i="2"/>
  <c r="H2386" i="2"/>
  <c r="V2397" i="2"/>
  <c r="F2418" i="2"/>
  <c r="W2380" i="2"/>
  <c r="I2553" i="2"/>
  <c r="J2346" i="2"/>
  <c r="J2321" i="2"/>
  <c r="J2184" i="2"/>
  <c r="M2390" i="2"/>
  <c r="N2235" i="2"/>
  <c r="V2218" i="2"/>
  <c r="E2375" i="2"/>
  <c r="H2316" i="2"/>
  <c r="J2394" i="2"/>
  <c r="F2357" i="2"/>
  <c r="F2220" i="2"/>
  <c r="U2375" i="2"/>
  <c r="J2271" i="2"/>
  <c r="R2254" i="2"/>
  <c r="N2323" i="2"/>
  <c r="P2222" i="2"/>
  <c r="F2430" i="2"/>
  <c r="W2392" i="2"/>
  <c r="W2255" i="2"/>
  <c r="I2324" i="2"/>
  <c r="T2438" i="2"/>
  <c r="N2290" i="2"/>
  <c r="U2175" i="2"/>
  <c r="K2207" i="2"/>
  <c r="J2426" i="2"/>
  <c r="F2389" i="2"/>
  <c r="F2252" i="2"/>
  <c r="D2309" i="2"/>
  <c r="J2408" i="2"/>
  <c r="E2621" i="2"/>
  <c r="G2390" i="2"/>
  <c r="C2187" i="2"/>
  <c r="W2303" i="2"/>
  <c r="O2208" i="2"/>
  <c r="R2236" i="2"/>
  <c r="F2146" i="2"/>
  <c r="M2145" i="2"/>
  <c r="M2147" i="2"/>
  <c r="T2146" i="2"/>
  <c r="T2148" i="2"/>
  <c r="D2242" i="2"/>
  <c r="Q2377" i="2"/>
  <c r="L2246" i="2"/>
  <c r="F2392" i="2"/>
  <c r="J2326" i="2"/>
  <c r="F2296" i="2"/>
  <c r="D2176" i="2"/>
  <c r="G2175" i="2"/>
  <c r="W2177" i="2"/>
  <c r="N2176" i="2"/>
  <c r="V2181" i="2"/>
  <c r="N2377" i="2"/>
  <c r="C2633" i="2"/>
  <c r="W2368" i="2"/>
  <c r="T2391" i="2"/>
  <c r="I2343" i="2"/>
  <c r="I2220" i="2"/>
  <c r="E2379" i="2"/>
  <c r="E2256" i="2"/>
  <c r="V2414" i="2"/>
  <c r="S2325" i="2"/>
  <c r="E2411" i="2"/>
  <c r="N2310" i="2"/>
  <c r="O2285" i="2"/>
  <c r="T2304" i="2"/>
  <c r="N2208" i="2"/>
  <c r="M2266" i="2"/>
  <c r="W2161" i="2"/>
  <c r="K2231" i="2"/>
  <c r="E2359" i="2"/>
  <c r="F2267" i="2"/>
  <c r="N2250" i="2"/>
  <c r="V2458" i="2"/>
  <c r="I2353" i="2"/>
  <c r="T2235" i="2"/>
  <c r="D2370" i="2"/>
  <c r="F2241" i="2"/>
  <c r="C2218" i="2"/>
  <c r="T2289" i="2"/>
  <c r="G2429" i="2"/>
  <c r="H2297" i="2"/>
  <c r="D2268" i="2"/>
  <c r="G2334" i="2"/>
  <c r="J2211" i="2"/>
  <c r="F2314" i="2"/>
  <c r="T2248" i="2"/>
  <c r="J2237" i="2"/>
  <c r="T2354" i="2"/>
  <c r="O2236" i="2"/>
  <c r="U2230" i="2"/>
  <c r="V1996" i="2"/>
  <c r="I1996" i="2"/>
  <c r="Q1995" i="2"/>
  <c r="D2227" i="2"/>
  <c r="W1995" i="2"/>
  <c r="J1995" i="2"/>
  <c r="R1994" i="2"/>
  <c r="J2229" i="2"/>
  <c r="N1996" i="2"/>
  <c r="E2180" i="2"/>
  <c r="H2295" i="2"/>
  <c r="R2187" i="2"/>
  <c r="I2282" i="2"/>
  <c r="O2276" i="2"/>
  <c r="J2008" i="2"/>
  <c r="R2007" i="2"/>
  <c r="E2007" i="2"/>
  <c r="S2272" i="2"/>
  <c r="K2007" i="2"/>
  <c r="S2006" i="2"/>
  <c r="F2006" i="2"/>
  <c r="D2275" i="2"/>
  <c r="W2007" i="2"/>
  <c r="J2007" i="2"/>
  <c r="R2006" i="2"/>
  <c r="U2321" i="2"/>
  <c r="R2692" i="2"/>
  <c r="G2320" i="2"/>
  <c r="L2367" i="2"/>
  <c r="H2582" i="2"/>
  <c r="E2208" i="2"/>
  <c r="V2366" i="2"/>
  <c r="V2243" i="2"/>
  <c r="R2402" i="2"/>
  <c r="J2287" i="2"/>
  <c r="V2398" i="2"/>
  <c r="J2239" i="2"/>
  <c r="K2273" i="2"/>
  <c r="C2238" i="2"/>
  <c r="F2309" i="2"/>
  <c r="Q2461" i="2"/>
  <c r="R2341" i="2"/>
  <c r="J2223" i="2"/>
  <c r="R2206" i="2"/>
  <c r="I2533" i="2"/>
  <c r="O2282" i="2"/>
  <c r="F2382" i="2"/>
  <c r="W2344" i="2"/>
  <c r="W2207" i="2"/>
  <c r="J2536" i="2"/>
  <c r="F2259" i="2"/>
  <c r="N2242" i="2"/>
  <c r="T2474" i="2"/>
  <c r="R2596" i="2"/>
  <c r="E2441" i="2"/>
  <c r="U2411" i="2"/>
  <c r="Q2374" i="2"/>
  <c r="Q2237" i="2"/>
  <c r="W2445" i="2"/>
  <c r="O2313" i="2"/>
  <c r="H2272" i="2"/>
  <c r="O2446" i="2"/>
  <c r="O2407" i="2"/>
  <c r="D2408" i="2"/>
  <c r="U2370" i="2"/>
  <c r="U2233" i="2"/>
  <c r="R2430" i="2"/>
  <c r="R2279" i="2"/>
  <c r="E2345" i="2"/>
  <c r="N2552" i="2"/>
  <c r="T2374" i="2"/>
  <c r="N2282" i="2"/>
  <c r="N2443" i="2"/>
  <c r="H2269" i="2"/>
  <c r="U2127" i="2"/>
  <c r="U2276" i="2"/>
  <c r="G2129" i="2"/>
  <c r="N2287" i="2"/>
  <c r="N2130" i="2"/>
  <c r="L2202" i="2"/>
  <c r="M2490" i="2"/>
  <c r="U2209" i="2"/>
  <c r="T2326" i="2"/>
  <c r="I2254" i="2"/>
  <c r="O2259" i="2"/>
  <c r="O2157" i="2"/>
  <c r="V2156" i="2"/>
  <c r="V2158" i="2"/>
  <c r="H2158" i="2"/>
  <c r="H2160" i="2"/>
  <c r="H2286" i="2"/>
  <c r="Q2653" i="2"/>
  <c r="F2399" i="2"/>
  <c r="L2610" i="2"/>
  <c r="R2420" i="2"/>
  <c r="K2567" i="2"/>
  <c r="C2541" i="2"/>
  <c r="F2518" i="2"/>
  <c r="N2510" i="2"/>
  <c r="H2355" i="2"/>
  <c r="T2396" i="2"/>
  <c r="P2359" i="2"/>
  <c r="S2382" i="2"/>
  <c r="W2527" i="2"/>
  <c r="M2453" i="2"/>
  <c r="J2376" i="2"/>
  <c r="C2455" i="2"/>
  <c r="C2202" i="2"/>
  <c r="K2185" i="2"/>
  <c r="U2398" i="2"/>
  <c r="D2480" i="2"/>
  <c r="T2360" i="2"/>
  <c r="P2323" i="2"/>
  <c r="P2186" i="2"/>
  <c r="P2399" i="2"/>
  <c r="T2237" i="2"/>
  <c r="G2221" i="2"/>
  <c r="H2384" i="2"/>
  <c r="V2326" i="2"/>
  <c r="P2396" i="2"/>
  <c r="L2359" i="2"/>
  <c r="L2222" i="2"/>
  <c r="C2385" i="2"/>
  <c r="F2275" i="2"/>
  <c r="C2257" i="2"/>
  <c r="Q2332" i="2"/>
  <c r="F2310" i="2"/>
  <c r="T2392" i="2"/>
  <c r="P2355" i="2"/>
  <c r="P2218" i="2"/>
  <c r="S2369" i="2"/>
  <c r="W2214" i="2"/>
  <c r="I2288" i="2"/>
  <c r="F2426" i="2"/>
  <c r="R2295" i="2"/>
  <c r="I2267" i="2"/>
  <c r="F2331" i="2"/>
  <c r="I2208" i="2"/>
  <c r="D2308" i="2"/>
  <c r="P2213" i="2"/>
  <c r="W2113" i="2"/>
  <c r="W2218" i="2"/>
  <c r="I2115" i="2"/>
  <c r="V2460" i="2"/>
  <c r="R2359" i="2"/>
  <c r="V2608" i="2"/>
  <c r="C2297" i="2"/>
  <c r="Q2520" i="2"/>
  <c r="H2206" i="2"/>
  <c r="J2142" i="2"/>
  <c r="V2216" i="2"/>
  <c r="Q2143" i="2"/>
  <c r="O2227" i="2"/>
  <c r="C2145" i="2"/>
  <c r="F2507" i="2"/>
  <c r="F2572" i="2"/>
  <c r="M2462" i="2"/>
  <c r="G2511" i="2"/>
  <c r="P2254" i="2"/>
  <c r="W2495" i="2"/>
  <c r="T2250" i="2"/>
  <c r="R2480" i="2"/>
  <c r="N2442" i="2"/>
  <c r="J2405" i="2"/>
  <c r="S2548" i="2"/>
  <c r="R2370" i="2"/>
  <c r="W2394" i="2"/>
  <c r="F2540" i="2"/>
  <c r="Q2465" i="2"/>
  <c r="N2388" i="2"/>
  <c r="D2514" i="2"/>
  <c r="D2205" i="2"/>
  <c r="L2188" i="2"/>
  <c r="D2411" i="2"/>
  <c r="T2528" i="2"/>
  <c r="U2363" i="2"/>
  <c r="Q2326" i="2"/>
  <c r="Q2189" i="2"/>
  <c r="T2411" i="2"/>
  <c r="U2240" i="2"/>
  <c r="H2224" i="2"/>
  <c r="L2396" i="2"/>
  <c r="O2343" i="2"/>
  <c r="Q2399" i="2"/>
  <c r="M2362" i="2"/>
  <c r="M2225" i="2"/>
  <c r="G2397" i="2"/>
  <c r="H2281" i="2"/>
  <c r="D2260" i="2"/>
  <c r="D2349" i="2"/>
  <c r="J2322" i="2"/>
  <c r="U2395" i="2"/>
  <c r="Q2358" i="2"/>
  <c r="Q2221" i="2"/>
  <c r="W2381" i="2"/>
  <c r="F2227" i="2"/>
  <c r="K2294" i="2"/>
  <c r="J2438" i="2"/>
  <c r="W2305" i="2"/>
  <c r="J2270" i="2"/>
  <c r="C2346" i="2"/>
  <c r="M2220" i="2"/>
  <c r="Q2115" i="2"/>
  <c r="T2225" i="2"/>
  <c r="C2117" i="2"/>
  <c r="F2231" i="2"/>
  <c r="J2118" i="2"/>
  <c r="Q2537" i="2"/>
  <c r="E2384" i="2"/>
  <c r="M2185" i="2"/>
  <c r="L2302" i="2"/>
  <c r="E2652" i="2"/>
  <c r="P2230" i="2"/>
  <c r="K2145" i="2"/>
  <c r="R2144" i="2"/>
  <c r="R2146" i="2"/>
  <c r="D2146" i="2"/>
  <c r="D2148" i="2"/>
  <c r="M2237" i="2"/>
  <c r="L2638" i="2"/>
  <c r="N2470" i="2"/>
  <c r="E2355" i="2"/>
  <c r="V2288" i="2"/>
  <c r="I2444" i="2"/>
  <c r="G2442" i="2"/>
  <c r="Q2436" i="2"/>
  <c r="O2434" i="2"/>
  <c r="U2330" i="2"/>
  <c r="P2384" i="2"/>
  <c r="L2347" i="2"/>
  <c r="L2337" i="2"/>
  <c r="G2479" i="2"/>
  <c r="R2404" i="2"/>
  <c r="E2331" i="2"/>
  <c r="M2357" i="2"/>
  <c r="T2189" i="2"/>
  <c r="F2472" i="2"/>
  <c r="E2350" i="2"/>
  <c r="D2479" i="2"/>
  <c r="P2348" i="2"/>
  <c r="L2311" i="2"/>
  <c r="S2479" i="2"/>
  <c r="U2350" i="2"/>
  <c r="P2225" i="2"/>
  <c r="C2209" i="2"/>
  <c r="M2335" i="2"/>
  <c r="V2287" i="2"/>
  <c r="L2384" i="2"/>
  <c r="H2347" i="2"/>
  <c r="H2210" i="2"/>
  <c r="H2336" i="2"/>
  <c r="L2261" i="2"/>
  <c r="T2244" i="2"/>
  <c r="K2511" i="2"/>
  <c r="N2279" i="2"/>
  <c r="P2380" i="2"/>
  <c r="L2343" i="2"/>
  <c r="L2206" i="2"/>
  <c r="W2511" i="2"/>
  <c r="N2448" i="2"/>
  <c r="E2268" i="2"/>
  <c r="K2377" i="2"/>
  <c r="R2271" i="2"/>
  <c r="E2255" i="2"/>
  <c r="I2505" i="2"/>
  <c r="U2421" i="2"/>
  <c r="E2254" i="2"/>
  <c r="G2443" i="2"/>
  <c r="L2259" i="2"/>
  <c r="N2464" i="2"/>
  <c r="J2298" i="2"/>
  <c r="K2363" i="2"/>
  <c r="L2301" i="2"/>
  <c r="E2393" i="2"/>
  <c r="T2284" i="2"/>
  <c r="I2493" i="2"/>
  <c r="M2284" i="2"/>
  <c r="F2130" i="2"/>
  <c r="F2295" i="2"/>
  <c r="M2131" i="2"/>
  <c r="W2313" i="2"/>
  <c r="T2132" i="2"/>
  <c r="T2489" i="2"/>
  <c r="Q2501" i="2"/>
  <c r="R2413" i="2"/>
  <c r="V2429" i="2"/>
  <c r="U2205" i="2"/>
  <c r="E2426" i="2"/>
  <c r="D2202" i="2"/>
  <c r="I2422" i="2"/>
  <c r="J2430" i="2"/>
  <c r="F2393" i="2"/>
  <c r="H2618" i="2"/>
  <c r="N2358" i="2"/>
  <c r="F2462" i="2"/>
  <c r="W2424" i="2"/>
  <c r="W2287" i="2"/>
  <c r="U2601" i="2"/>
  <c r="L2230" i="2"/>
  <c r="F2360" i="2"/>
  <c r="L2295" i="2"/>
  <c r="I2305" i="2"/>
  <c r="U2316" i="2"/>
  <c r="S2460" i="2"/>
  <c r="E2365" i="2"/>
  <c r="I2311" i="2"/>
  <c r="L2306" i="2"/>
  <c r="V2179" i="2"/>
  <c r="I2429" i="2"/>
  <c r="D2315" i="2"/>
  <c r="P2437" i="2"/>
  <c r="R2338" i="2"/>
  <c r="N2301" i="2"/>
  <c r="G2431" i="2"/>
  <c r="P2315" i="2"/>
  <c r="R2215" i="2"/>
  <c r="E2199" i="2"/>
  <c r="R2453" i="2"/>
  <c r="U2420" i="2"/>
  <c r="V2334" i="2"/>
  <c r="R2297" i="2"/>
  <c r="W2415" i="2"/>
  <c r="C2308" i="2"/>
  <c r="G2423" i="2"/>
  <c r="K2222" i="2"/>
  <c r="K2352" i="2"/>
  <c r="C2226" i="2"/>
  <c r="K2209" i="2"/>
  <c r="G2452" i="2"/>
  <c r="N2238" i="2"/>
  <c r="T2151" i="2"/>
  <c r="G2241" i="2"/>
  <c r="F2153" i="2"/>
  <c r="U2243" i="2"/>
  <c r="P2280" i="2"/>
  <c r="E2252" i="2"/>
  <c r="M2481" i="2"/>
  <c r="R2255" i="2"/>
  <c r="E2239" i="2"/>
  <c r="G2413" i="2"/>
  <c r="H2298" i="2"/>
  <c r="E2190" i="2"/>
  <c r="O2303" i="2"/>
  <c r="L2195" i="2"/>
  <c r="V2308" i="2"/>
  <c r="D2221" i="2"/>
  <c r="J2291" i="2"/>
  <c r="S2488" i="2"/>
  <c r="F2481" i="2"/>
  <c r="G2504" i="2"/>
  <c r="F2519" i="2"/>
  <c r="M2343" i="2"/>
  <c r="V2487" i="2"/>
  <c r="Q2339" i="2"/>
  <c r="V2600" i="2"/>
  <c r="E2368" i="2"/>
  <c r="P2522" i="2"/>
  <c r="Q2289" i="2"/>
  <c r="V2446" i="2"/>
  <c r="R2409" i="2"/>
  <c r="R2272" i="2"/>
  <c r="C2442" i="2"/>
  <c r="W2199" i="2"/>
  <c r="V2316" i="2"/>
  <c r="M2234" i="2"/>
  <c r="C2271" i="2"/>
  <c r="K2527" i="2"/>
  <c r="N2445" i="2"/>
  <c r="K2319" i="2"/>
  <c r="H2289" i="2"/>
  <c r="O2271" i="2"/>
  <c r="L2442" i="2"/>
  <c r="J2368" i="2"/>
  <c r="N2440" i="2"/>
  <c r="Q2376" i="2"/>
  <c r="U2521" i="2"/>
  <c r="K2447" i="2"/>
  <c r="H2370" i="2"/>
  <c r="T2442" i="2"/>
  <c r="M2200" i="2"/>
  <c r="U2183" i="2"/>
  <c r="S2392" i="2"/>
  <c r="V2359" i="2"/>
  <c r="P2506" i="2"/>
  <c r="F2432" i="2"/>
  <c r="C2355" i="2"/>
  <c r="J2412" i="2"/>
  <c r="S2188" i="2"/>
  <c r="F2207" i="2"/>
  <c r="R2305" i="2"/>
  <c r="S2210" i="2"/>
  <c r="F2194" i="2"/>
  <c r="H2391" i="2"/>
  <c r="D2208" i="2"/>
  <c r="O2136" i="2"/>
  <c r="R2210" i="2"/>
  <c r="V2137" i="2"/>
  <c r="K2213" i="2"/>
  <c r="Q2219" i="2"/>
  <c r="U2236" i="2"/>
  <c r="I2410" i="2"/>
  <c r="M2240" i="2"/>
  <c r="U2223" i="2"/>
  <c r="H2352" i="2"/>
  <c r="M2267" i="2"/>
  <c r="I2166" i="2"/>
  <c r="F2270" i="2"/>
  <c r="P2167" i="2"/>
  <c r="T2272" i="2"/>
  <c r="F2467" i="2"/>
  <c r="L2349" i="2"/>
  <c r="C2452" i="2"/>
  <c r="W2227" i="2"/>
  <c r="N2331" i="2"/>
  <c r="O2330" i="2"/>
  <c r="R2327" i="2"/>
  <c r="S2326" i="2"/>
  <c r="P2485" i="2"/>
  <c r="K2369" i="2"/>
  <c r="G2332" i="2"/>
  <c r="W2306" i="2"/>
  <c r="F2468" i="2"/>
  <c r="N2392" i="2"/>
  <c r="C2325" i="2"/>
  <c r="U2333" i="2"/>
  <c r="S2186" i="2"/>
  <c r="R2456" i="2"/>
  <c r="V2337" i="2"/>
  <c r="N2508" i="2"/>
  <c r="O2345" i="2"/>
  <c r="K2308" i="2"/>
  <c r="P2458" i="2"/>
  <c r="Q2338" i="2"/>
  <c r="O2222" i="2"/>
  <c r="W2205" i="2"/>
  <c r="E2521" i="2"/>
  <c r="T2281" i="2"/>
  <c r="K2381" i="2"/>
  <c r="G2344" i="2"/>
  <c r="G2207" i="2"/>
  <c r="F2524" i="2"/>
  <c r="K2258" i="2"/>
  <c r="S2241" i="2"/>
  <c r="N2466" i="2"/>
  <c r="L2273" i="2"/>
  <c r="O2377" i="2"/>
  <c r="K2340" i="2"/>
  <c r="K2203" i="2"/>
  <c r="Q2466" i="2"/>
  <c r="S2399" i="2"/>
  <c r="D2265" i="2"/>
  <c r="G2365" i="2"/>
  <c r="Q2268" i="2"/>
  <c r="D2252" i="2"/>
  <c r="C2465" i="2"/>
  <c r="E2373" i="2"/>
  <c r="V2241" i="2"/>
  <c r="L2394" i="2"/>
  <c r="H2247" i="2"/>
  <c r="S2415" i="2"/>
  <c r="P2273" i="2"/>
  <c r="C2339" i="2"/>
  <c r="R2532" i="2"/>
  <c r="R2368" i="2"/>
  <c r="S2281" i="2"/>
  <c r="L2437" i="2"/>
  <c r="G2266" i="2"/>
  <c r="E2127" i="2"/>
  <c r="N2271" i="2"/>
  <c r="L2128" i="2"/>
  <c r="L2281" i="2"/>
  <c r="S2129" i="2"/>
  <c r="V2200" i="2"/>
  <c r="U2586" i="2"/>
  <c r="R2352" i="2"/>
  <c r="E2415" i="2"/>
  <c r="E2306" i="2"/>
  <c r="Q2203" i="2"/>
  <c r="V2341" i="2"/>
  <c r="M2239" i="2"/>
  <c r="R2377" i="2"/>
  <c r="I2275" i="2"/>
  <c r="V2373" i="2"/>
  <c r="M2369" i="2"/>
  <c r="D2542" i="2"/>
  <c r="H2132" i="2"/>
  <c r="H2539" i="2"/>
  <c r="Q2265" i="2"/>
  <c r="I2161" i="2"/>
  <c r="G2242" i="2"/>
  <c r="V2321" i="2"/>
  <c r="K2218" i="2"/>
  <c r="S2201" i="2"/>
  <c r="R2421" i="2"/>
  <c r="I2223" i="2"/>
  <c r="G2144" i="2"/>
  <c r="W2225" i="2"/>
  <c r="N2145" i="2"/>
  <c r="K2201" i="2"/>
  <c r="I2232" i="2"/>
  <c r="C2392" i="2"/>
  <c r="V2235" i="2"/>
  <c r="I2219" i="2"/>
  <c r="G2630" i="2"/>
  <c r="J2258" i="2"/>
  <c r="R2161" i="2"/>
  <c r="W2156" i="2"/>
  <c r="O2144" i="2"/>
  <c r="Q2223" i="2"/>
  <c r="K2144" i="2"/>
  <c r="W2142" i="2"/>
  <c r="F1948" i="2"/>
  <c r="N1947" i="2"/>
  <c r="V1946" i="2"/>
  <c r="C2142" i="2"/>
  <c r="G1947" i="2"/>
  <c r="O1946" i="2"/>
  <c r="W1945" i="2"/>
  <c r="O2142" i="2"/>
  <c r="S1947" i="2"/>
  <c r="Q2274" i="2"/>
  <c r="C2156" i="2"/>
  <c r="N2246" i="2"/>
  <c r="T2155" i="2"/>
  <c r="K2154" i="2"/>
  <c r="O1959" i="2"/>
  <c r="W1958" i="2"/>
  <c r="J1958" i="2"/>
  <c r="L2153" i="2"/>
  <c r="P1958" i="2"/>
  <c r="C1958" i="2"/>
  <c r="K1957" i="2"/>
  <c r="C2154" i="2"/>
  <c r="G1959" i="2"/>
  <c r="O1958" i="2"/>
  <c r="W1957" i="2"/>
  <c r="R2213" i="2"/>
  <c r="J2473" i="2"/>
  <c r="Q2678" i="2"/>
  <c r="V2402" i="2"/>
  <c r="W2507" i="2"/>
  <c r="M2191" i="2"/>
  <c r="R2329" i="2"/>
  <c r="I2227" i="2"/>
  <c r="N2365" i="2"/>
  <c r="E2263" i="2"/>
  <c r="R2361" i="2"/>
  <c r="I2303" i="2"/>
  <c r="K2370" i="2"/>
  <c r="L2455" i="2"/>
  <c r="S2343" i="2"/>
  <c r="P2300" i="2"/>
  <c r="K2291" i="2"/>
  <c r="R2524" i="2"/>
  <c r="W2407" i="2"/>
  <c r="K2304" i="2"/>
  <c r="S2414" i="2"/>
  <c r="T2618" i="2"/>
  <c r="C2551" i="2"/>
  <c r="U2409" i="2"/>
  <c r="W2304" i="2"/>
  <c r="K2210" i="2"/>
  <c r="S2193" i="2"/>
  <c r="K2432" i="2"/>
  <c r="R2523" i="2"/>
  <c r="G2369" i="2"/>
  <c r="C2332" i="2"/>
  <c r="C2195" i="2"/>
  <c r="F2433" i="2"/>
  <c r="G2246" i="2"/>
  <c r="O2229" i="2"/>
  <c r="S2417" i="2"/>
  <c r="Q2585" i="2"/>
  <c r="K2365" i="2"/>
  <c r="G2328" i="2"/>
  <c r="G2191" i="2"/>
  <c r="V2417" i="2"/>
  <c r="Q2283" i="2"/>
  <c r="U2252" i="2"/>
  <c r="Q2493" i="2"/>
  <c r="M2256" i="2"/>
  <c r="U2239" i="2"/>
  <c r="H2416" i="2"/>
  <c r="I2301" i="2"/>
  <c r="F2193" i="2"/>
  <c r="P2306" i="2"/>
  <c r="M2198" i="2"/>
  <c r="W2311" i="2"/>
  <c r="E2224" i="2"/>
  <c r="U2292" i="2"/>
  <c r="I2435" i="2"/>
  <c r="V2302" i="2"/>
  <c r="O2269" i="2"/>
  <c r="I2340" i="2"/>
  <c r="L2217" i="2"/>
  <c r="V2114" i="2"/>
  <c r="S2222" i="2"/>
  <c r="H2116" i="2"/>
  <c r="E2228" i="2"/>
  <c r="O2117" i="2"/>
  <c r="I2513" i="2"/>
  <c r="K2563" i="2"/>
  <c r="K2318" i="2"/>
  <c r="J2366" i="2"/>
  <c r="E2333" i="2"/>
  <c r="S2395" i="2"/>
  <c r="S2495" i="2"/>
  <c r="R2190" i="2"/>
  <c r="W2328" i="2"/>
  <c r="N2226" i="2"/>
  <c r="F2325" i="2"/>
  <c r="T2249" i="2"/>
  <c r="D2404" i="2"/>
  <c r="I2186" i="2"/>
  <c r="E2423" i="2"/>
  <c r="H2205" i="2"/>
  <c r="V2215" i="2"/>
  <c r="T2217" i="2"/>
  <c r="K2575" i="2"/>
  <c r="G2206" i="2"/>
  <c r="O2189" i="2"/>
  <c r="W2372" i="2"/>
  <c r="V2198" i="2"/>
  <c r="C2132" i="2"/>
  <c r="O2201" i="2"/>
  <c r="J2133" i="2"/>
  <c r="P2386" i="2"/>
  <c r="E2220" i="2"/>
  <c r="H2343" i="2"/>
  <c r="R2223" i="2"/>
  <c r="E2207" i="2"/>
  <c r="D2443" i="2"/>
  <c r="W2233" i="2"/>
  <c r="N2149" i="2"/>
  <c r="V2285" i="2"/>
  <c r="K2132" i="2"/>
  <c r="I2199" i="2"/>
  <c r="G2132" i="2"/>
  <c r="S2130" i="2"/>
  <c r="W1935" i="2"/>
  <c r="J1935" i="2"/>
  <c r="R1934" i="2"/>
  <c r="T2129" i="2"/>
  <c r="C1935" i="2"/>
  <c r="K1934" i="2"/>
  <c r="S1933" i="2"/>
  <c r="K2130" i="2"/>
  <c r="O1935" i="2"/>
  <c r="V2153" i="2"/>
  <c r="T2143" i="2"/>
  <c r="F2222" i="2"/>
  <c r="P2143" i="2"/>
  <c r="G2142" i="2"/>
  <c r="K1947" i="2"/>
  <c r="S1946" i="2"/>
  <c r="F1946" i="2"/>
  <c r="H2141" i="2"/>
  <c r="L1946" i="2"/>
  <c r="T1945" i="2"/>
  <c r="G1945" i="2"/>
  <c r="T2141" i="2"/>
  <c r="C1947" i="2"/>
  <c r="K1946" i="2"/>
  <c r="S1945" i="2"/>
  <c r="Q2138" i="2"/>
  <c r="G2425" i="2"/>
  <c r="M2528" i="2"/>
  <c r="F2354" i="2"/>
  <c r="R2308" i="2"/>
  <c r="C2347" i="2"/>
  <c r="D2426" i="2"/>
  <c r="T2602" i="2"/>
  <c r="S2316" i="2"/>
  <c r="J2214" i="2"/>
  <c r="W2312" i="2"/>
  <c r="P2237" i="2"/>
  <c r="I2355" i="2"/>
  <c r="H2443" i="2"/>
  <c r="T2314" i="2"/>
  <c r="W2286" i="2"/>
  <c r="C2267" i="2"/>
  <c r="I2433" i="2"/>
  <c r="G2359" i="2"/>
  <c r="H2422" i="2"/>
  <c r="C2366" i="2"/>
  <c r="R2512" i="2"/>
  <c r="H2438" i="2"/>
  <c r="E2361" i="2"/>
  <c r="N2424" i="2"/>
  <c r="G2198" i="2"/>
  <c r="O2181" i="2"/>
  <c r="P2383" i="2"/>
  <c r="M2569" i="2"/>
  <c r="C2357" i="2"/>
  <c r="T2319" i="2"/>
  <c r="T2182" i="2"/>
  <c r="K2384" i="2"/>
  <c r="C2234" i="2"/>
  <c r="K2217" i="2"/>
  <c r="C2369" i="2"/>
  <c r="P2515" i="2"/>
  <c r="G2353" i="2"/>
  <c r="C2316" i="2"/>
  <c r="N2584" i="2"/>
  <c r="F2369" i="2"/>
  <c r="V2234" i="2"/>
  <c r="Q2240" i="2"/>
  <c r="N2425" i="2"/>
  <c r="I2244" i="2"/>
  <c r="Q2227" i="2"/>
  <c r="M2367" i="2"/>
  <c r="E2275" i="2"/>
  <c r="E2170" i="2"/>
  <c r="S2277" i="2"/>
  <c r="L2171" i="2"/>
  <c r="L2280" i="2"/>
  <c r="V2536" i="2"/>
  <c r="K2270" i="2"/>
  <c r="N2386" i="2"/>
  <c r="V2275" i="2"/>
  <c r="K2257" i="2"/>
  <c r="U2541" i="2"/>
  <c r="L2458" i="2"/>
  <c r="H2263" i="2"/>
  <c r="O2515" i="2"/>
  <c r="O2268" i="2"/>
  <c r="J2179" i="2"/>
  <c r="V2273" i="2"/>
  <c r="Q2381" i="2"/>
  <c r="P2571" i="2"/>
  <c r="S2532" i="2"/>
  <c r="H2498" i="2"/>
  <c r="P2266" i="2"/>
  <c r="E2210" i="2"/>
  <c r="G2307" i="2"/>
  <c r="W2343" i="2"/>
  <c r="C2423" i="2"/>
  <c r="D2554" i="2"/>
  <c r="S2407" i="2"/>
  <c r="D2201" i="2"/>
  <c r="U2366" i="2"/>
  <c r="T2131" i="2"/>
  <c r="V2385" i="2"/>
  <c r="I2255" i="2"/>
  <c r="P2260" i="2"/>
  <c r="L2193" i="2"/>
  <c r="C2391" i="2"/>
  <c r="C2194" i="2"/>
  <c r="G2539" i="2"/>
  <c r="G2324" i="2"/>
  <c r="M2493" i="2"/>
  <c r="T2119" i="2"/>
  <c r="F2536" i="2"/>
  <c r="F2121" i="2"/>
  <c r="W2200" i="2"/>
  <c r="V2207" i="2"/>
  <c r="H2307" i="2"/>
  <c r="N2211" i="2"/>
  <c r="V2194" i="2"/>
  <c r="I2394" i="2"/>
  <c r="O2209" i="2"/>
  <c r="J2137" i="2"/>
  <c r="R2156" i="2"/>
  <c r="G2120" i="2"/>
  <c r="O2499" i="2"/>
  <c r="C2120" i="2"/>
  <c r="O2118" i="2"/>
  <c r="S1923" i="2"/>
  <c r="F1923" i="2"/>
  <c r="N1922" i="2"/>
  <c r="P2117" i="2"/>
  <c r="T1922" i="2"/>
  <c r="G1922" i="2"/>
  <c r="O1921" i="2"/>
  <c r="G2118" i="2"/>
  <c r="K1923" i="2"/>
  <c r="R2273" i="2"/>
  <c r="P2131" i="2"/>
  <c r="S2197" i="2"/>
  <c r="L2131" i="2"/>
  <c r="C2130" i="2"/>
  <c r="G1935" i="2"/>
  <c r="O1934" i="2"/>
  <c r="W1933" i="2"/>
  <c r="D2129" i="2"/>
  <c r="H1934" i="2"/>
  <c r="P1933" i="2"/>
  <c r="C1933" i="2"/>
  <c r="P2129" i="2"/>
  <c r="T1934" i="2"/>
  <c r="G1934" i="2"/>
  <c r="O1933" i="2"/>
  <c r="S2212" i="2"/>
  <c r="N2469" i="2"/>
  <c r="D2361" i="2"/>
  <c r="H2463" i="2"/>
  <c r="L2254" i="2"/>
  <c r="F2651" i="2"/>
  <c r="H2290" i="2"/>
  <c r="M2311" i="2"/>
  <c r="H2374" i="2"/>
  <c r="L2438" i="2"/>
  <c r="C2359" i="2"/>
  <c r="U2188" i="2"/>
  <c r="U2318" i="2"/>
  <c r="I2382" i="2"/>
  <c r="I2245" i="2"/>
  <c r="H2502" i="2"/>
  <c r="M2353" i="2"/>
  <c r="U2279" i="2"/>
  <c r="M2542" i="2"/>
  <c r="T2362" i="2"/>
  <c r="I2455" i="2"/>
  <c r="E2418" i="2"/>
  <c r="E2281" i="2"/>
  <c r="H2554" i="2"/>
  <c r="R2216" i="2"/>
  <c r="Q2333" i="2"/>
  <c r="C2268" i="2"/>
  <c r="S2287" i="2"/>
  <c r="V2303" i="2"/>
  <c r="V2453" i="2"/>
  <c r="Q2337" i="2"/>
  <c r="P2297" i="2"/>
  <c r="J2288" i="2"/>
  <c r="J2500" i="2"/>
  <c r="U2401" i="2"/>
  <c r="J2301" i="2"/>
  <c r="J2604" i="2"/>
  <c r="E2450" i="2"/>
  <c r="N2328" i="2"/>
  <c r="T2293" i="2"/>
  <c r="R2280" i="2"/>
  <c r="V2401" i="2"/>
  <c r="R2179" i="2"/>
  <c r="F2320" i="2"/>
  <c r="J2183" i="2"/>
  <c r="C2443" i="2"/>
  <c r="O2300" i="2"/>
  <c r="V2388" i="2"/>
  <c r="R2289" i="2"/>
  <c r="O2399" i="2"/>
  <c r="D2295" i="2"/>
  <c r="H2410" i="2"/>
  <c r="J2225" i="2"/>
  <c r="L2209" i="2"/>
  <c r="I2310" i="2"/>
  <c r="D2213" i="2"/>
  <c r="L2196" i="2"/>
  <c r="K2400" i="2"/>
  <c r="P2212" i="2"/>
  <c r="U2138" i="2"/>
  <c r="I2215" i="2"/>
  <c r="G2140" i="2"/>
  <c r="W2217" i="2"/>
  <c r="T2228" i="2"/>
  <c r="F2239" i="2"/>
  <c r="W2389" i="2"/>
  <c r="P2414" i="2"/>
  <c r="P2308" i="2"/>
  <c r="R2366" i="2"/>
  <c r="M2213" i="2"/>
  <c r="F2315" i="2"/>
  <c r="Q2298" i="2"/>
  <c r="O2642" i="2"/>
  <c r="W2435" i="2"/>
  <c r="R2631" i="2"/>
  <c r="D2254" i="2"/>
  <c r="C2188" i="2"/>
  <c r="M2202" i="2"/>
  <c r="P2185" i="2"/>
  <c r="D2300" i="2"/>
  <c r="F2424" i="2"/>
  <c r="I2478" i="2"/>
  <c r="J2208" i="2"/>
  <c r="I2325" i="2"/>
  <c r="H2251" i="2"/>
  <c r="D2258" i="2"/>
  <c r="T2156" i="2"/>
  <c r="F2156" i="2"/>
  <c r="F2158" i="2"/>
  <c r="M2157" i="2"/>
  <c r="W2235" i="2"/>
  <c r="O2371" i="2"/>
  <c r="K2243" i="2"/>
  <c r="D2386" i="2"/>
  <c r="I2323" i="2"/>
  <c r="E2293" i="2"/>
  <c r="J2174" i="2"/>
  <c r="Q2173" i="2"/>
  <c r="J2416" i="2"/>
  <c r="N2156" i="2"/>
  <c r="C2157" i="2"/>
  <c r="J2156" i="2"/>
  <c r="U2057" i="2"/>
  <c r="H2057" i="2"/>
  <c r="P2056" i="2"/>
  <c r="L2055" i="2"/>
  <c r="V2056" i="2"/>
  <c r="I2056" i="2"/>
  <c r="Q2055" i="2"/>
  <c r="M2054" i="2"/>
  <c r="M2057" i="2"/>
  <c r="U2056" i="2"/>
  <c r="H2204" i="2"/>
  <c r="W2167" i="2"/>
  <c r="L2168" i="2"/>
  <c r="S2167" i="2"/>
  <c r="I2069" i="2"/>
  <c r="Q2068" i="2"/>
  <c r="D2068" i="2"/>
  <c r="U2066" i="2"/>
  <c r="J2068" i="2"/>
  <c r="R2067" i="2"/>
  <c r="E2067" i="2"/>
  <c r="V2065" i="2"/>
  <c r="V2068" i="2"/>
  <c r="I2068" i="2"/>
  <c r="Q2067" i="2"/>
  <c r="M2066" i="2"/>
  <c r="N2190" i="2"/>
  <c r="G2341" i="2"/>
  <c r="K2287" i="2"/>
  <c r="S2278" i="2"/>
  <c r="S2499" i="2"/>
  <c r="P2470" i="2"/>
  <c r="G2461" i="2"/>
  <c r="H2318" i="2"/>
  <c r="K2484" i="2"/>
  <c r="R2292" i="2"/>
  <c r="E2448" i="2"/>
  <c r="Q2229" i="2"/>
  <c r="M2167" i="2"/>
  <c r="J2436" i="2"/>
  <c r="J2254" i="2"/>
  <c r="C2431" i="2"/>
  <c r="V2261" i="2"/>
  <c r="K2298" i="2"/>
  <c r="C2387" i="2"/>
  <c r="D2284" i="2"/>
  <c r="C2462" i="2"/>
  <c r="K2278" i="2"/>
  <c r="K2129" i="2"/>
  <c r="D2289" i="2"/>
  <c r="R2130" i="2"/>
  <c r="S2301" i="2"/>
  <c r="E2181" i="2"/>
  <c r="I2396" i="2"/>
  <c r="N2188" i="2"/>
  <c r="M2305" i="2"/>
  <c r="P2211" i="2"/>
  <c r="H2238" i="2"/>
  <c r="V2146" i="2"/>
  <c r="H2146" i="2"/>
  <c r="Q2155" i="2"/>
  <c r="V2279" i="2"/>
  <c r="O2129" i="2"/>
  <c r="F2128" i="2"/>
  <c r="L2030" i="2"/>
  <c r="T2029" i="2"/>
  <c r="G2029" i="2"/>
  <c r="G2127" i="2"/>
  <c r="M2029" i="2"/>
  <c r="U2028" i="2"/>
  <c r="H2028" i="2"/>
  <c r="S2127" i="2"/>
  <c r="D2030" i="2"/>
  <c r="L2029" i="2"/>
  <c r="C2179" i="2"/>
  <c r="O2195" i="2"/>
  <c r="C2141" i="2"/>
  <c r="O2139" i="2"/>
  <c r="U2041" i="2"/>
  <c r="H2041" i="2"/>
  <c r="P2040" i="2"/>
  <c r="P2138" i="2"/>
  <c r="V2040" i="2"/>
  <c r="I2040" i="2"/>
  <c r="Q2039" i="2"/>
  <c r="G2139" i="2"/>
  <c r="M2041" i="2"/>
  <c r="U2040" i="2"/>
  <c r="D2583" i="2"/>
  <c r="N2509" i="2"/>
  <c r="R2390" i="2"/>
  <c r="E2429" i="2"/>
  <c r="I2179" i="2"/>
  <c r="N2317" i="2"/>
  <c r="E2215" i="2"/>
  <c r="J2353" i="2"/>
  <c r="V2250" i="2"/>
  <c r="N2349" i="2"/>
  <c r="E2276" i="2"/>
  <c r="S2306" i="2"/>
  <c r="T2283" i="2"/>
  <c r="T2325" i="2"/>
  <c r="C2403" i="2"/>
  <c r="J2572" i="2"/>
  <c r="C2230" i="2"/>
  <c r="S2308" i="2"/>
  <c r="I2212" i="2"/>
  <c r="Q2195" i="2"/>
  <c r="J2397" i="2"/>
  <c r="E2211" i="2"/>
  <c r="E2138" i="2"/>
  <c r="S2213" i="2"/>
  <c r="L2139" i="2"/>
  <c r="E2533" i="2"/>
  <c r="G2226" i="2"/>
  <c r="P2367" i="2"/>
  <c r="T2229" i="2"/>
  <c r="G2213" i="2"/>
  <c r="S2467" i="2"/>
  <c r="F2246" i="2"/>
  <c r="P2155" i="2"/>
  <c r="O2132" i="2"/>
  <c r="M2138" i="2"/>
  <c r="M2211" i="2"/>
  <c r="I2138" i="2"/>
  <c r="U2136" i="2"/>
  <c r="D1942" i="2"/>
  <c r="L1941" i="2"/>
  <c r="T1940" i="2"/>
  <c r="V2135" i="2"/>
  <c r="E1941" i="2"/>
  <c r="M1940" i="2"/>
  <c r="U1939" i="2"/>
  <c r="M2136" i="2"/>
  <c r="Q1941" i="2"/>
  <c r="Q2178" i="2"/>
  <c r="V2149" i="2"/>
  <c r="J2234" i="2"/>
  <c r="R2149" i="2"/>
  <c r="I2148" i="2"/>
  <c r="M1953" i="2"/>
  <c r="U1952" i="2"/>
  <c r="H1952" i="2"/>
  <c r="J2147" i="2"/>
  <c r="N1952" i="2"/>
  <c r="V1951" i="2"/>
  <c r="I1951" i="2"/>
  <c r="V2147" i="2"/>
  <c r="E1953" i="2"/>
  <c r="M1952" i="2"/>
  <c r="U1951" i="2"/>
  <c r="D2163" i="2"/>
  <c r="L2393" i="2"/>
  <c r="J2305" i="2"/>
  <c r="J2337" i="2"/>
  <c r="W2483" i="2"/>
  <c r="Q2302" i="2"/>
  <c r="C2205" i="2"/>
  <c r="K2435" i="2"/>
  <c r="F2210" i="2"/>
  <c r="K2120" i="2"/>
  <c r="T2133" i="2"/>
  <c r="U2132" i="2"/>
  <c r="L2133" i="2"/>
  <c r="H2228" i="2"/>
  <c r="T1949" i="2"/>
  <c r="U1948" i="2"/>
  <c r="L1949" i="2"/>
  <c r="P2150" i="2"/>
  <c r="F2164" i="2"/>
  <c r="P2164" i="2"/>
  <c r="W2163" i="2"/>
  <c r="M2065" i="2"/>
  <c r="U2064" i="2"/>
  <c r="H2064" i="2"/>
  <c r="D2063" i="2"/>
  <c r="N2064" i="2"/>
  <c r="V2063" i="2"/>
  <c r="I2063" i="2"/>
  <c r="E2062" i="2"/>
  <c r="E2065" i="2"/>
  <c r="M2064" i="2"/>
  <c r="U2063" i="2"/>
  <c r="Q2509" i="2"/>
  <c r="G2435" i="2"/>
  <c r="D2358" i="2"/>
  <c r="L2418" i="2"/>
  <c r="L2197" i="2"/>
  <c r="T2180" i="2"/>
  <c r="O2380" i="2"/>
  <c r="R2347" i="2"/>
  <c r="L2494" i="2"/>
  <c r="W2419" i="2"/>
  <c r="T2342" i="2"/>
  <c r="W2387" i="2"/>
  <c r="K2533" i="2"/>
  <c r="E2204" i="2"/>
  <c r="P2299" i="2"/>
  <c r="R2207" i="2"/>
  <c r="E2191" i="2"/>
  <c r="D2379" i="2"/>
  <c r="W2201" i="2"/>
  <c r="N2133" i="2"/>
  <c r="P2204" i="2"/>
  <c r="U2134" i="2"/>
  <c r="I2207" i="2"/>
  <c r="M2207" i="2"/>
  <c r="T2233" i="2"/>
  <c r="E2398" i="2"/>
  <c r="L2237" i="2"/>
  <c r="T2220" i="2"/>
  <c r="D2340" i="2"/>
  <c r="K2261" i="2"/>
  <c r="H2163" i="2"/>
  <c r="D2264" i="2"/>
  <c r="O2164" i="2"/>
  <c r="R2266" i="2"/>
  <c r="K2375" i="2"/>
  <c r="N2263" i="2"/>
  <c r="T2439" i="2"/>
  <c r="N2315" i="2"/>
  <c r="F2329" i="2"/>
  <c r="E2296" i="2"/>
  <c r="I2298" i="2"/>
  <c r="Q2397" i="2"/>
  <c r="G2420" i="2"/>
  <c r="W2191" i="2"/>
  <c r="O2405" i="2"/>
  <c r="F2188" i="2"/>
  <c r="E2462" i="2"/>
  <c r="K2293" i="2"/>
  <c r="S2299" i="2"/>
  <c r="G2294" i="2"/>
  <c r="W2301" i="2"/>
  <c r="P2120" i="2"/>
  <c r="C2399" i="2"/>
  <c r="E2257" i="2"/>
  <c r="M2413" i="2"/>
  <c r="K2339" i="2"/>
  <c r="W2315" i="2"/>
  <c r="K2196" i="2"/>
  <c r="E2186" i="2"/>
  <c r="H2203" i="2"/>
  <c r="L2191" i="2"/>
  <c r="V2504" i="2"/>
  <c r="V2472" i="2"/>
  <c r="F2292" i="2"/>
  <c r="T2530" i="2"/>
  <c r="M2409" i="2"/>
  <c r="M2437" i="2"/>
  <c r="H2328" i="2"/>
  <c r="G2256" i="2"/>
  <c r="O2257" i="2"/>
  <c r="P2187" i="2"/>
  <c r="F2197" i="2"/>
  <c r="U2186" i="2"/>
  <c r="H2082" i="2"/>
  <c r="P2081" i="2"/>
  <c r="C2081" i="2"/>
  <c r="T2079" i="2"/>
  <c r="I2081" i="2"/>
  <c r="Q2080" i="2"/>
  <c r="D2080" i="2"/>
  <c r="U2078" i="2"/>
  <c r="U2081" i="2"/>
  <c r="H2081" i="2"/>
  <c r="U2305" i="2"/>
  <c r="J2233" i="2"/>
  <c r="C2284" i="2"/>
  <c r="O2232" i="2"/>
  <c r="Q2093" i="2"/>
  <c r="D2093" i="2"/>
  <c r="L2092" i="2"/>
  <c r="H2091" i="2"/>
  <c r="R2092" i="2"/>
  <c r="E2092" i="2"/>
  <c r="M2091" i="2"/>
  <c r="I2090" i="2"/>
  <c r="I2093" i="2"/>
  <c r="Q2092" i="2"/>
  <c r="D2092" i="2"/>
  <c r="U2090" i="2"/>
  <c r="D2288" i="2"/>
  <c r="D2391" i="2"/>
  <c r="O2461" i="2"/>
  <c r="W2316" i="2"/>
  <c r="V2283" i="2"/>
  <c r="U2397" i="2"/>
  <c r="V2348" i="2"/>
  <c r="L2371" i="2"/>
  <c r="N2651" i="2"/>
  <c r="T2356" i="2"/>
  <c r="F2504" i="2"/>
  <c r="J2413" i="2"/>
  <c r="C2269" i="2"/>
  <c r="M2394" i="2"/>
  <c r="M2257" i="2"/>
  <c r="K2330" i="2"/>
  <c r="C2451" i="2"/>
  <c r="D2292" i="2"/>
  <c r="M2177" i="2"/>
  <c r="N2240" i="2"/>
  <c r="T2467" i="2"/>
  <c r="I2430" i="2"/>
  <c r="I2293" i="2"/>
  <c r="C2274" i="2"/>
  <c r="E2241" i="2"/>
  <c r="M2381" i="2"/>
  <c r="C2321" i="2"/>
  <c r="P2326" i="2"/>
  <c r="I2328" i="2"/>
  <c r="E2466" i="2"/>
  <c r="L2386" i="2"/>
  <c r="W2321" i="2"/>
  <c r="S2327" i="2"/>
  <c r="H2185" i="2"/>
  <c r="P2450" i="2"/>
  <c r="T2331" i="2"/>
  <c r="V2319" i="2"/>
  <c r="I2462" i="2"/>
  <c r="G2371" i="2"/>
  <c r="J2314" i="2"/>
  <c r="N2312" i="2"/>
  <c r="E2439" i="2"/>
  <c r="V2191" i="2"/>
  <c r="G2403" i="2"/>
  <c r="N2195" i="2"/>
  <c r="I2627" i="2"/>
  <c r="I2330" i="2"/>
  <c r="L2542" i="2"/>
  <c r="J2121" i="2"/>
  <c r="H2180" i="2"/>
  <c r="Q2122" i="2"/>
  <c r="V2182" i="2"/>
  <c r="C2411" i="2"/>
  <c r="P2221" i="2"/>
  <c r="J2349" i="2"/>
  <c r="H2225" i="2"/>
  <c r="P2208" i="2"/>
  <c r="F2449" i="2"/>
  <c r="C2237" i="2"/>
  <c r="D2151" i="2"/>
  <c r="Q2239" i="2"/>
  <c r="K2152" i="2"/>
  <c r="J2242" i="2"/>
  <c r="O2277" i="2"/>
  <c r="J2251" i="2"/>
  <c r="R2439" i="2"/>
  <c r="E2489" i="2"/>
  <c r="I2265" i="2"/>
  <c r="H2393" i="2"/>
  <c r="T2258" i="2"/>
  <c r="F2283" i="2"/>
  <c r="S2391" i="2"/>
  <c r="U2345" i="2"/>
  <c r="K2368" i="2"/>
  <c r="P2332" i="2"/>
  <c r="U2501" i="2"/>
  <c r="U2195" i="2"/>
  <c r="G2201" i="2"/>
  <c r="K2234" i="2"/>
  <c r="G2160" i="2"/>
  <c r="P2257" i="2"/>
  <c r="Q2606" i="2"/>
  <c r="R2232" i="2"/>
  <c r="R2364" i="2"/>
  <c r="J2302" i="2"/>
  <c r="L2282" i="2"/>
  <c r="C2169" i="2"/>
  <c r="J2168" i="2"/>
  <c r="J2170" i="2"/>
  <c r="Q2169" i="2"/>
  <c r="R2284" i="2"/>
  <c r="J2420" i="2"/>
  <c r="S2267" i="2"/>
  <c r="T2434" i="2"/>
  <c r="R2360" i="2"/>
  <c r="W2339" i="2"/>
  <c r="R2233" i="2"/>
  <c r="L2207" i="2"/>
  <c r="T2208" i="2"/>
  <c r="R2168" i="2"/>
  <c r="G2169" i="2"/>
  <c r="N2168" i="2"/>
  <c r="D2070" i="2"/>
  <c r="L2069" i="2"/>
  <c r="T2068" i="2"/>
  <c r="P2067" i="2"/>
  <c r="E2069" i="2"/>
  <c r="M2068" i="2"/>
  <c r="U2067" i="2"/>
  <c r="Q2066" i="2"/>
  <c r="Q2069" i="2"/>
  <c r="D2069" i="2"/>
  <c r="C2253" i="2"/>
  <c r="O2184" i="2"/>
  <c r="J2193" i="2"/>
  <c r="T2183" i="2"/>
  <c r="M2081" i="2"/>
  <c r="U2080" i="2"/>
  <c r="H2080" i="2"/>
  <c r="D2079" i="2"/>
  <c r="N2080" i="2"/>
  <c r="V2079" i="2"/>
  <c r="I2079" i="2"/>
  <c r="E2078" i="2"/>
  <c r="E2081" i="2"/>
  <c r="M2080" i="2"/>
  <c r="U2079" i="2"/>
  <c r="Q2078" i="2"/>
  <c r="I2239" i="2"/>
  <c r="G2342" i="2"/>
  <c r="K2424" i="2"/>
  <c r="N2216" i="2"/>
  <c r="G2318" i="2"/>
  <c r="R2301" i="2"/>
  <c r="Q2584" i="2"/>
  <c r="L2314" i="2"/>
  <c r="U2315" i="2"/>
  <c r="P2319" i="2"/>
  <c r="H2308" i="2"/>
  <c r="T2378" i="2"/>
  <c r="D2462" i="2"/>
  <c r="N2333" i="2"/>
  <c r="N2196" i="2"/>
  <c r="H2439" i="2"/>
  <c r="R2247" i="2"/>
  <c r="E2231" i="2"/>
  <c r="U2423" i="2"/>
  <c r="K2395" i="2"/>
  <c r="N2406" i="2"/>
  <c r="J2369" i="2"/>
  <c r="J2232" i="2"/>
  <c r="P2424" i="2"/>
  <c r="W2294" i="2"/>
  <c r="V2266" i="2"/>
  <c r="V2403" i="2"/>
  <c r="K2271" i="2"/>
  <c r="J2442" i="2"/>
  <c r="F2405" i="2"/>
  <c r="F2268" i="2"/>
  <c r="L2405" i="2"/>
  <c r="T2190" i="2"/>
  <c r="S2307" i="2"/>
  <c r="G2216" i="2"/>
  <c r="F2256" i="2"/>
  <c r="N2438" i="2"/>
  <c r="J2401" i="2"/>
  <c r="J2264" i="2"/>
  <c r="W2374" i="2"/>
  <c r="G2183" i="2"/>
  <c r="W2203" i="2"/>
  <c r="Q2502" i="2"/>
  <c r="K2211" i="2"/>
  <c r="J2328" i="2"/>
  <c r="J2257" i="2"/>
  <c r="E2261" i="2"/>
  <c r="J2158" i="2"/>
  <c r="Q2157" i="2"/>
  <c r="Q2159" i="2"/>
  <c r="C2159" i="2"/>
  <c r="C2161" i="2"/>
  <c r="T2290" i="2"/>
  <c r="L2426" i="2"/>
  <c r="T2270" i="2"/>
  <c r="V2440" i="2"/>
  <c r="T2366" i="2"/>
  <c r="F2352" i="2"/>
  <c r="V2245" i="2"/>
  <c r="N2213" i="2"/>
  <c r="O2256" i="2"/>
  <c r="U2218" i="2"/>
  <c r="H2267" i="2"/>
  <c r="R2414" i="2"/>
  <c r="K2190" i="2"/>
  <c r="D2305" i="2"/>
  <c r="D2474" i="2"/>
  <c r="D2392" i="2"/>
  <c r="D2269" i="2"/>
  <c r="U2427" i="2"/>
  <c r="N2420" i="2"/>
  <c r="Q2463" i="2"/>
  <c r="M2233" i="2"/>
  <c r="U2459" i="2"/>
  <c r="U2225" i="2"/>
  <c r="K2407" i="2"/>
  <c r="C2180" i="2"/>
  <c r="M2438" i="2"/>
  <c r="F2452" i="2"/>
  <c r="U2417" i="2"/>
  <c r="W2403" i="2"/>
  <c r="U2407" i="2"/>
  <c r="O2286" i="2"/>
  <c r="R2262" i="2"/>
  <c r="U2312" i="2"/>
  <c r="C2190" i="2"/>
  <c r="O2284" i="2"/>
  <c r="J2195" i="2"/>
  <c r="V2289" i="2"/>
  <c r="S2266" i="2"/>
  <c r="R2330" i="2"/>
  <c r="J2508" i="2"/>
  <c r="N2356" i="2"/>
  <c r="H2280" i="2"/>
  <c r="H2425" i="2"/>
  <c r="E2260" i="2"/>
  <c r="O2125" i="2"/>
  <c r="I2192" i="2"/>
  <c r="E2311" i="2"/>
  <c r="S2190" i="2"/>
  <c r="J2285" i="2"/>
  <c r="P2279" i="2"/>
  <c r="E2009" i="2"/>
  <c r="M2008" i="2"/>
  <c r="U2007" i="2"/>
  <c r="T2275" i="2"/>
  <c r="F2008" i="2"/>
  <c r="N2007" i="2"/>
  <c r="V2006" i="2"/>
  <c r="E2278" i="2"/>
  <c r="R2008" i="2"/>
  <c r="E2008" i="2"/>
  <c r="E2135" i="2"/>
  <c r="M2236" i="2"/>
  <c r="Q2119" i="2"/>
  <c r="H2118" i="2"/>
  <c r="N2020" i="2"/>
  <c r="V2019" i="2"/>
  <c r="I2019" i="2"/>
  <c r="I2117" i="2"/>
  <c r="O2019" i="2"/>
  <c r="W2018" i="2"/>
  <c r="J2018" i="2"/>
  <c r="U2117" i="2"/>
  <c r="F2020" i="2"/>
  <c r="N2019" i="2"/>
  <c r="V2018" i="2"/>
  <c r="U2311" i="2"/>
  <c r="H2128" i="2"/>
  <c r="K2357" i="2"/>
  <c r="S2349" i="2"/>
  <c r="U2379" i="2"/>
  <c r="U2256" i="2"/>
  <c r="Q2415" i="2"/>
  <c r="T2328" i="2"/>
  <c r="M2451" i="2"/>
  <c r="E2209" i="2"/>
  <c r="Q2447" i="2"/>
  <c r="M2201" i="2"/>
  <c r="P2358" i="2"/>
  <c r="T2166" i="2"/>
  <c r="J2267" i="2"/>
  <c r="E2493" i="2"/>
  <c r="K2256" i="2"/>
  <c r="T2454" i="2"/>
  <c r="C2456" i="2"/>
  <c r="V2251" i="2"/>
  <c r="I2235" i="2"/>
  <c r="W2397" i="2"/>
  <c r="J2290" i="2"/>
  <c r="V2177" i="2"/>
  <c r="C2293" i="2"/>
  <c r="G2180" i="2"/>
  <c r="W2411" i="2"/>
  <c r="T2265" i="2"/>
  <c r="H2368" i="2"/>
  <c r="L2269" i="2"/>
  <c r="T2252" i="2"/>
  <c r="W2468" i="2"/>
  <c r="I2385" i="2"/>
  <c r="W2244" i="2"/>
  <c r="F2293" i="2"/>
  <c r="L2178" i="2"/>
  <c r="R2290" i="2"/>
  <c r="F2178" i="2"/>
  <c r="M2176" i="2"/>
  <c r="Q1981" i="2"/>
  <c r="D1981" i="2"/>
  <c r="L1980" i="2"/>
  <c r="N2175" i="2"/>
  <c r="R1980" i="2"/>
  <c r="E1980" i="2"/>
  <c r="M1979" i="2"/>
  <c r="E2176" i="2"/>
  <c r="I1981" i="2"/>
  <c r="J2218" i="2"/>
  <c r="E2222" i="2"/>
  <c r="M2329" i="2"/>
  <c r="J2221" i="2"/>
  <c r="P2215" i="2"/>
  <c r="E1993" i="2"/>
  <c r="M1992" i="2"/>
  <c r="U1991" i="2"/>
  <c r="T2211" i="2"/>
  <c r="F1992" i="2"/>
  <c r="N1991" i="2"/>
  <c r="V1990" i="2"/>
  <c r="E2214" i="2"/>
  <c r="R1992" i="2"/>
  <c r="E1992" i="2"/>
  <c r="G2393" i="2"/>
  <c r="E2498" i="2"/>
  <c r="N2353" i="2"/>
  <c r="W2351" i="2"/>
  <c r="M2374" i="2"/>
  <c r="N2180" i="2"/>
  <c r="U2359" i="2"/>
  <c r="J2216" i="2"/>
  <c r="I2308" i="2"/>
  <c r="N2212" i="2"/>
  <c r="S2401" i="2"/>
  <c r="V2183" i="2"/>
  <c r="O2194" i="2"/>
  <c r="U2441" i="2"/>
  <c r="H2136" i="2"/>
  <c r="V2138" i="2"/>
  <c r="K2423" i="2"/>
  <c r="I2269" i="2"/>
  <c r="U2437" i="2"/>
  <c r="S2363" i="2"/>
  <c r="D2346" i="2"/>
  <c r="T2239" i="2"/>
  <c r="M2210" i="2"/>
  <c r="M2250" i="2"/>
  <c r="T2215" i="2"/>
  <c r="J2365" i="2"/>
  <c r="L2177" i="2"/>
  <c r="C2311" i="2"/>
  <c r="D2181" i="2"/>
  <c r="U2433" i="2"/>
  <c r="M2541" i="2"/>
  <c r="P2370" i="2"/>
  <c r="O2280" i="2"/>
  <c r="W2281" i="2"/>
  <c r="C2212" i="2"/>
  <c r="J2241" i="2"/>
  <c r="H2211" i="2"/>
  <c r="J2088" i="2"/>
  <c r="R2087" i="2"/>
  <c r="E2087" i="2"/>
  <c r="V2085" i="2"/>
  <c r="K2087" i="2"/>
  <c r="S2086" i="2"/>
  <c r="F2086" i="2"/>
  <c r="W2084" i="2"/>
  <c r="W2087" i="2"/>
  <c r="J2087" i="2"/>
  <c r="K2391" i="2"/>
  <c r="R2257" i="2"/>
  <c r="C2329" i="2"/>
  <c r="W2256" i="2"/>
  <c r="S2099" i="2"/>
  <c r="F2099" i="2"/>
  <c r="N2098" i="2"/>
  <c r="J2097" i="2"/>
  <c r="T2098" i="2"/>
  <c r="G2098" i="2"/>
  <c r="O2097" i="2"/>
  <c r="K2096" i="2"/>
  <c r="K2099" i="2"/>
  <c r="S2098" i="2"/>
  <c r="F2098" i="2"/>
  <c r="W2096" i="2"/>
  <c r="G2327" i="2"/>
  <c r="N2378" i="2"/>
  <c r="V2202" i="2"/>
  <c r="C2262" i="2"/>
  <c r="C2254" i="2"/>
  <c r="H2209" i="2"/>
  <c r="D2135" i="2"/>
  <c r="F2223" i="2"/>
  <c r="H2455" i="2"/>
  <c r="L2135" i="2"/>
  <c r="C1939" i="2"/>
  <c r="D1938" i="2"/>
  <c r="P1938" i="2"/>
  <c r="Q2146" i="2"/>
  <c r="G1949" i="2"/>
  <c r="H1948" i="2"/>
  <c r="W2021" i="2"/>
  <c r="J2134" i="2"/>
  <c r="H2221" i="2"/>
  <c r="U2115" i="2"/>
  <c r="L2114" i="2"/>
  <c r="R2016" i="2"/>
  <c r="E2016" i="2"/>
  <c r="M2015" i="2"/>
  <c r="V2314" i="2"/>
  <c r="S2015" i="2"/>
  <c r="F2015" i="2"/>
  <c r="N2014" i="2"/>
  <c r="D2114" i="2"/>
  <c r="J2016" i="2"/>
  <c r="R2015" i="2"/>
  <c r="E2015" i="2"/>
  <c r="N2429" i="2"/>
  <c r="N2292" i="2"/>
  <c r="H2273" i="2"/>
  <c r="O2239" i="2"/>
  <c r="L2378" i="2"/>
  <c r="M2319" i="2"/>
  <c r="K2535" i="2"/>
  <c r="V2462" i="2"/>
  <c r="R2425" i="2"/>
  <c r="R2288" i="2"/>
  <c r="I2582" i="2"/>
  <c r="W2231" i="2"/>
  <c r="W2267" i="2"/>
  <c r="E2405" i="2"/>
  <c r="F2260" i="2"/>
  <c r="O2419" i="2"/>
  <c r="M2345" i="2"/>
  <c r="D2322" i="2"/>
  <c r="S2204" i="2"/>
  <c r="G2192" i="2"/>
  <c r="V2213" i="2"/>
  <c r="N2197" i="2"/>
  <c r="O2224" i="2"/>
  <c r="T2554" i="2"/>
  <c r="D2185" i="2"/>
  <c r="J2348" i="2"/>
  <c r="Q2188" i="2"/>
  <c r="J2464" i="2"/>
  <c r="H2311" i="2"/>
  <c r="O2431" i="2"/>
  <c r="M2114" i="2"/>
  <c r="H2442" i="2"/>
  <c r="T2115" i="2"/>
  <c r="V2452" i="2"/>
  <c r="W2317" i="2"/>
  <c r="S2214" i="2"/>
  <c r="S2215" i="2"/>
  <c r="O2314" i="2"/>
  <c r="U2300" i="2"/>
  <c r="I2285" i="2"/>
  <c r="O2402" i="2"/>
  <c r="U2298" i="2"/>
  <c r="V2471" i="2"/>
  <c r="W2420" i="2"/>
  <c r="L2504" i="2"/>
  <c r="R2405" i="2"/>
  <c r="L2253" i="2"/>
  <c r="W2180" i="2"/>
  <c r="V2211" i="2"/>
  <c r="N2266" i="2"/>
  <c r="O2210" i="2"/>
  <c r="D2350" i="2"/>
  <c r="O2310" i="2"/>
  <c r="K2411" i="2"/>
  <c r="E2287" i="2"/>
  <c r="L2487" i="2"/>
  <c r="U2307" i="2"/>
  <c r="L2132" i="2"/>
  <c r="G2329" i="2"/>
  <c r="S2133" i="2"/>
  <c r="L2366" i="2"/>
  <c r="G2187" i="2"/>
  <c r="Q2420" i="2"/>
  <c r="P2194" i="2"/>
  <c r="O2311" i="2"/>
  <c r="T2223" i="2"/>
  <c r="J2244" i="2"/>
  <c r="W2149" i="2"/>
  <c r="I2149" i="2"/>
  <c r="S2161" i="2"/>
  <c r="V2310" i="2"/>
  <c r="P2132" i="2"/>
  <c r="G2131" i="2"/>
  <c r="M2033" i="2"/>
  <c r="U2032" i="2"/>
  <c r="H2032" i="2"/>
  <c r="H2130" i="2"/>
  <c r="N2032" i="2"/>
  <c r="V2031" i="2"/>
  <c r="I2031" i="2"/>
  <c r="T2130" i="2"/>
  <c r="E2033" i="2"/>
  <c r="M2032" i="2"/>
  <c r="K2212" i="2"/>
  <c r="W2219" i="2"/>
  <c r="D2144" i="2"/>
  <c r="P2142" i="2"/>
  <c r="V2044" i="2"/>
  <c r="I2044" i="2"/>
  <c r="Q2043" i="2"/>
  <c r="Q2141" i="2"/>
  <c r="W2043" i="2"/>
  <c r="J2043" i="2"/>
  <c r="R2042" i="2"/>
  <c r="H2142" i="2"/>
  <c r="N2044" i="2"/>
  <c r="V2043" i="2"/>
  <c r="I2043" i="2"/>
  <c r="M2137" i="2"/>
  <c r="R2177" i="2"/>
  <c r="Q2562" i="2"/>
  <c r="C2498" i="2"/>
  <c r="D2506" i="2"/>
  <c r="V2260" i="2"/>
  <c r="T2353" i="2"/>
  <c r="F2400" i="2"/>
  <c r="S2524" i="2"/>
  <c r="G2372" i="2"/>
  <c r="H2491" i="2"/>
  <c r="W2356" i="2"/>
  <c r="H2241" i="2"/>
  <c r="D2167" i="2"/>
  <c r="R2345" i="2"/>
  <c r="R2208" i="2"/>
  <c r="C2567" i="2"/>
  <c r="V2259" i="2"/>
  <c r="I2243" i="2"/>
  <c r="C2487" i="2"/>
  <c r="W2179" i="2"/>
  <c r="R2418" i="2"/>
  <c r="N2381" i="2"/>
  <c r="N2244" i="2"/>
  <c r="D2490" i="2"/>
  <c r="K2347" i="2"/>
  <c r="E2279" i="2"/>
  <c r="E2530" i="2"/>
  <c r="P2350" i="2"/>
  <c r="N2454" i="2"/>
  <c r="J2417" i="2"/>
  <c r="J2280" i="2"/>
  <c r="F2533" i="2"/>
  <c r="G2215" i="2"/>
  <c r="F2332" i="2"/>
  <c r="W2264" i="2"/>
  <c r="F2312" i="2"/>
  <c r="R2450" i="2"/>
  <c r="N2413" i="2"/>
  <c r="N2276" i="2"/>
  <c r="G2472" i="2"/>
  <c r="O2207" i="2"/>
  <c r="J2228" i="2"/>
  <c r="J2688" i="2"/>
  <c r="S2235" i="2"/>
  <c r="T2370" i="2"/>
  <c r="N2314" i="2"/>
  <c r="M2285" i="2"/>
  <c r="N2170" i="2"/>
  <c r="U2169" i="2"/>
  <c r="U2171" i="2"/>
  <c r="G2171" i="2"/>
  <c r="G2173" i="2"/>
  <c r="V2305" i="2"/>
  <c r="I2497" i="2"/>
  <c r="G2295" i="2"/>
  <c r="Q2593" i="2"/>
  <c r="O2415" i="2"/>
  <c r="Q2449" i="2"/>
  <c r="J2334" i="2"/>
  <c r="I2262" i="2"/>
  <c r="R2344" i="2"/>
  <c r="P2267" i="2"/>
  <c r="K2355" i="2"/>
  <c r="R2505" i="2"/>
  <c r="O2202" i="2"/>
  <c r="V2564" i="2"/>
  <c r="N2517" i="2"/>
  <c r="T2440" i="2"/>
  <c r="S2187" i="2"/>
  <c r="C2503" i="2"/>
  <c r="K2259" i="2"/>
  <c r="I2352" i="2"/>
  <c r="D2394" i="2"/>
  <c r="G2338" i="2"/>
  <c r="O2363" i="2"/>
  <c r="Q2204" i="2"/>
  <c r="M2130" i="2"/>
  <c r="I2195" i="2"/>
  <c r="S2217" i="2"/>
  <c r="W2257" i="2"/>
  <c r="M2463" i="2"/>
  <c r="P2456" i="2"/>
  <c r="H2324" i="2"/>
  <c r="V2274" i="2"/>
  <c r="O2382" i="2"/>
  <c r="S2238" i="2"/>
  <c r="H2120" i="2"/>
  <c r="E2244" i="2"/>
  <c r="O2121" i="2"/>
  <c r="L2249" i="2"/>
  <c r="J2424" i="2"/>
  <c r="V2331" i="2"/>
  <c r="D2454" i="2"/>
  <c r="L2292" i="2"/>
  <c r="K2473" i="2"/>
  <c r="S2451" i="2"/>
  <c r="S2137" i="2"/>
  <c r="J2180" i="2"/>
  <c r="K2137" i="2"/>
  <c r="N2239" i="2"/>
  <c r="L2120" i="2"/>
  <c r="C2119" i="2"/>
  <c r="I2021" i="2"/>
  <c r="Q2020" i="2"/>
  <c r="D2020" i="2"/>
  <c r="D2118" i="2"/>
  <c r="J2020" i="2"/>
  <c r="R2019" i="2"/>
  <c r="E2019" i="2"/>
  <c r="P2118" i="2"/>
  <c r="V2020" i="2"/>
  <c r="I2020" i="2"/>
  <c r="M2159" i="2"/>
  <c r="R2298" i="2"/>
  <c r="U2131" i="2"/>
  <c r="L2130" i="2"/>
  <c r="R2032" i="2"/>
  <c r="E2032" i="2"/>
  <c r="M2031" i="2"/>
  <c r="M2129" i="2"/>
  <c r="S2031" i="2"/>
  <c r="F2031" i="2"/>
  <c r="N2030" i="2"/>
  <c r="D2130" i="2"/>
  <c r="J2032" i="2"/>
  <c r="R2031" i="2"/>
  <c r="E2031" i="2"/>
  <c r="I2125" i="2"/>
  <c r="P2152" i="2"/>
  <c r="I2376" i="2"/>
  <c r="T2345" i="2"/>
  <c r="P2428" i="2"/>
  <c r="P2426" i="2"/>
  <c r="L2464" i="2"/>
  <c r="C2235" i="2"/>
  <c r="G2322" i="2"/>
  <c r="O2315" i="2"/>
  <c r="T2313" i="2"/>
  <c r="J2300" i="2"/>
  <c r="M2192" i="2"/>
  <c r="I2118" i="2"/>
  <c r="I2441" i="2"/>
  <c r="F2364" i="2"/>
  <c r="P2430" i="2"/>
  <c r="W2198" i="2"/>
  <c r="J2182" i="2"/>
  <c r="Q2386" i="2"/>
  <c r="Q2581" i="2"/>
  <c r="S2357" i="2"/>
  <c r="O2320" i="2"/>
  <c r="O2183" i="2"/>
  <c r="L2387" i="2"/>
  <c r="S2234" i="2"/>
  <c r="F2218" i="2"/>
  <c r="D2372" i="2"/>
  <c r="R2314" i="2"/>
  <c r="O2393" i="2"/>
  <c r="K2356" i="2"/>
  <c r="K2219" i="2"/>
  <c r="T2372" i="2"/>
  <c r="O2270" i="2"/>
  <c r="W2253" i="2"/>
  <c r="M2320" i="2"/>
  <c r="W2297" i="2"/>
  <c r="S2389" i="2"/>
  <c r="O2352" i="2"/>
  <c r="O2215" i="2"/>
  <c r="O2357" i="2"/>
  <c r="S2202" i="2"/>
  <c r="G2282" i="2"/>
  <c r="W2413" i="2"/>
  <c r="P2289" i="2"/>
  <c r="H2264" i="2"/>
  <c r="W2318" i="2"/>
  <c r="E2196" i="2"/>
  <c r="Q2290" i="2"/>
  <c r="L2201" i="2"/>
  <c r="C2296" i="2"/>
  <c r="S2206" i="2"/>
  <c r="C2305" i="2"/>
  <c r="N2436" i="2"/>
  <c r="C2338" i="2"/>
  <c r="H2466" i="2"/>
  <c r="W2293" i="2"/>
  <c r="G2521" i="2"/>
  <c r="U2181" i="2"/>
  <c r="I2139" i="2"/>
  <c r="N2192" i="2"/>
  <c r="P2140" i="2"/>
  <c r="G2203" i="2"/>
  <c r="W2141" i="2"/>
  <c r="I2225" i="2"/>
  <c r="J2624" i="2"/>
  <c r="U2429" i="2"/>
  <c r="U2463" i="2"/>
  <c r="U2354" i="2"/>
  <c r="L2252" i="2"/>
  <c r="Q2390" i="2"/>
  <c r="H2288" i="2"/>
  <c r="M2426" i="2"/>
  <c r="H2366" i="2"/>
  <c r="Q2422" i="2"/>
  <c r="S2255" i="2"/>
  <c r="W2333" i="2"/>
  <c r="P2195" i="2"/>
  <c r="C2182" i="2"/>
  <c r="F2305" i="2"/>
  <c r="R2310" i="2"/>
  <c r="O2266" i="2"/>
  <c r="Q2370" i="2"/>
  <c r="O2230" i="2"/>
  <c r="W2213" i="2"/>
  <c r="L2478" i="2"/>
  <c r="Q2247" i="2"/>
  <c r="K2156" i="2"/>
  <c r="J2250" i="2"/>
  <c r="R2157" i="2"/>
  <c r="F2250" i="2"/>
  <c r="M2244" i="2"/>
  <c r="S2440" i="2"/>
  <c r="E2248" i="2"/>
  <c r="M2231" i="2"/>
  <c r="R2382" i="2"/>
  <c r="R2282" i="2"/>
  <c r="V2173" i="2"/>
  <c r="U2286" i="2"/>
  <c r="S2156" i="2"/>
  <c r="D2248" i="2"/>
  <c r="O2156" i="2"/>
  <c r="F2155" i="2"/>
  <c r="J1960" i="2"/>
  <c r="R1959" i="2"/>
  <c r="E1959" i="2"/>
  <c r="G2154" i="2"/>
  <c r="K1959" i="2"/>
  <c r="S1958" i="2"/>
  <c r="F1958" i="2"/>
  <c r="S2154" i="2"/>
  <c r="W1959" i="2"/>
  <c r="J2154" i="2"/>
  <c r="G2168" i="2"/>
  <c r="V2270" i="2"/>
  <c r="C2168" i="2"/>
  <c r="O2166" i="2"/>
  <c r="S1971" i="2"/>
  <c r="F1971" i="2"/>
  <c r="N1970" i="2"/>
  <c r="P2165" i="2"/>
  <c r="T1970" i="2"/>
  <c r="G1970" i="2"/>
  <c r="O1969" i="2"/>
  <c r="G2166" i="2"/>
  <c r="K1971" i="2"/>
  <c r="S1970" i="2"/>
  <c r="F1970" i="2"/>
  <c r="E2139" i="2"/>
  <c r="C2429" i="2"/>
  <c r="G2291" i="2"/>
  <c r="Q2451" i="2"/>
  <c r="Q2342" i="2"/>
  <c r="H2240" i="2"/>
  <c r="M2378" i="2"/>
  <c r="D2276" i="2"/>
  <c r="I2414" i="2"/>
  <c r="D2326" i="2"/>
  <c r="M2410" i="2"/>
  <c r="H2222" i="2"/>
  <c r="V2293" i="2"/>
  <c r="K2168" i="2"/>
  <c r="J2374" i="2"/>
  <c r="Q2409" i="2"/>
  <c r="J2452" i="2"/>
  <c r="R2211" i="2"/>
  <c r="F2464" i="2"/>
  <c r="F2203" i="2"/>
  <c r="N2186" i="2"/>
  <c r="S2360" i="2"/>
  <c r="T2192" i="2"/>
  <c r="W2128" i="2"/>
  <c r="M2195" i="2"/>
  <c r="I2130" i="2"/>
  <c r="U2337" i="2"/>
  <c r="D2217" i="2"/>
  <c r="D2331" i="2"/>
  <c r="Q2220" i="2"/>
  <c r="D2204" i="2"/>
  <c r="U2430" i="2"/>
  <c r="U2227" i="2"/>
  <c r="M2146" i="2"/>
  <c r="F2237" i="2"/>
  <c r="J2129" i="2"/>
  <c r="G2193" i="2"/>
  <c r="F2129" i="2"/>
  <c r="R2127" i="2"/>
  <c r="V1932" i="2"/>
  <c r="I1932" i="2"/>
  <c r="Q1931" i="2"/>
  <c r="S2126" i="2"/>
  <c r="W1931" i="2"/>
  <c r="J1931" i="2"/>
  <c r="R1930" i="2"/>
  <c r="J2127" i="2"/>
  <c r="N1932" i="2"/>
  <c r="R2141" i="2"/>
  <c r="S2140" i="2"/>
  <c r="D2216" i="2"/>
  <c r="O2140" i="2"/>
  <c r="F2139" i="2"/>
  <c r="J1944" i="2"/>
  <c r="R1943" i="2"/>
  <c r="E1943" i="2"/>
  <c r="G2138" i="2"/>
  <c r="K1943" i="2"/>
  <c r="S1942" i="2"/>
  <c r="F1942" i="2"/>
  <c r="S2138" i="2"/>
  <c r="W1943" i="2"/>
  <c r="J1943" i="2"/>
  <c r="V2328" i="2"/>
  <c r="I2494" i="2"/>
  <c r="K2358" i="2"/>
  <c r="H2406" i="2"/>
  <c r="T2527" i="2"/>
  <c r="H2375" i="2"/>
  <c r="N2302" i="2"/>
  <c r="P2360" i="2"/>
  <c r="R2291" i="2"/>
  <c r="K2345" i="2"/>
  <c r="N2283" i="2"/>
  <c r="M2278" i="2"/>
  <c r="F2289" i="2"/>
  <c r="V2290" i="2"/>
  <c r="Q2445" i="2"/>
  <c r="H2192" i="2"/>
  <c r="W2334" i="2"/>
  <c r="F2460" i="2"/>
  <c r="G2293" i="2"/>
  <c r="T2496" i="2"/>
  <c r="E2501" i="2"/>
  <c r="N2138" i="2"/>
  <c r="L2186" i="2"/>
  <c r="U2139" i="2"/>
  <c r="E2197" i="2"/>
  <c r="K2199" i="2"/>
  <c r="U2589" i="2"/>
  <c r="T2206" i="2"/>
  <c r="S2323" i="2"/>
  <c r="G2248" i="2"/>
  <c r="N2256" i="2"/>
  <c r="D2156" i="2"/>
  <c r="K2155" i="2"/>
  <c r="W2173" i="2"/>
  <c r="M2525" i="2"/>
  <c r="R2138" i="2"/>
  <c r="I2137" i="2"/>
  <c r="O2039" i="2"/>
  <c r="W2038" i="2"/>
  <c r="J2038" i="2"/>
  <c r="J2136" i="2"/>
  <c r="P2038" i="2"/>
  <c r="C2038" i="2"/>
  <c r="K2037" i="2"/>
  <c r="V2136" i="2"/>
  <c r="G2039" i="2"/>
  <c r="O2038" i="2"/>
  <c r="O2317" i="2"/>
  <c r="Q2149" i="2"/>
  <c r="F2150" i="2"/>
  <c r="M2149" i="2"/>
  <c r="C2051" i="2"/>
  <c r="K2050" i="2"/>
  <c r="S2049" i="2"/>
  <c r="O2048" i="2"/>
  <c r="D2050" i="2"/>
  <c r="L2049" i="2"/>
  <c r="T2048" i="2"/>
  <c r="P2047" i="2"/>
  <c r="P2050" i="2"/>
  <c r="C2050" i="2"/>
  <c r="K2049" i="2"/>
  <c r="O2143" i="2"/>
  <c r="D2255" i="2"/>
  <c r="J2380" i="2"/>
  <c r="F2341" i="2"/>
  <c r="T2452" i="2"/>
  <c r="Q2264" i="2"/>
  <c r="P2192" i="2"/>
  <c r="Q2207" i="2"/>
  <c r="L2355" i="2"/>
  <c r="D2240" i="2"/>
  <c r="K2205" i="2"/>
  <c r="K1938" i="2"/>
  <c r="L1937" i="2"/>
  <c r="E2166" i="2"/>
  <c r="H2145" i="2"/>
  <c r="I2144" i="2"/>
  <c r="U2144" i="2"/>
  <c r="L1924" i="2"/>
  <c r="K2164" i="2"/>
  <c r="I2263" i="2"/>
  <c r="G2164" i="2"/>
  <c r="S2162" i="2"/>
  <c r="W1967" i="2"/>
  <c r="J1967" i="2"/>
  <c r="R1966" i="2"/>
  <c r="T2161" i="2"/>
  <c r="C1967" i="2"/>
  <c r="K1966" i="2"/>
  <c r="S1965" i="2"/>
  <c r="K2162" i="2"/>
  <c r="O1967" i="2"/>
  <c r="W1966" i="2"/>
  <c r="W2417" i="2"/>
  <c r="I2341" i="2"/>
  <c r="F2414" i="2"/>
  <c r="R2322" i="2"/>
  <c r="P2288" i="2"/>
  <c r="N2372" i="2"/>
  <c r="P2214" i="2"/>
  <c r="Q2278" i="2"/>
  <c r="C2165" i="2"/>
  <c r="O2545" i="2"/>
  <c r="W2475" i="2"/>
  <c r="F2243" i="2"/>
  <c r="D2296" i="2"/>
  <c r="P2182" i="2"/>
  <c r="F2410" i="2"/>
  <c r="K2192" i="2"/>
  <c r="U2272" i="2"/>
  <c r="F2257" i="2"/>
  <c r="T2187" i="2"/>
  <c r="M1983" i="2"/>
  <c r="N1982" i="2"/>
  <c r="I2234" i="2"/>
  <c r="F1996" i="2"/>
  <c r="G1995" i="2"/>
  <c r="S1995" i="2"/>
  <c r="D2544" i="2"/>
  <c r="E2421" i="2"/>
  <c r="W2230" i="2"/>
  <c r="Q2271" i="2"/>
  <c r="F2211" i="2"/>
  <c r="W2369" i="2"/>
  <c r="W2246" i="2"/>
  <c r="S2405" i="2"/>
  <c r="L2293" i="2"/>
  <c r="W2401" i="2"/>
  <c r="N2251" i="2"/>
  <c r="L2276" i="2"/>
  <c r="G2250" i="2"/>
  <c r="H2190" i="2"/>
  <c r="V2229" i="2"/>
  <c r="T2152" i="2"/>
  <c r="E2602" i="2"/>
  <c r="R2304" i="2"/>
  <c r="K2194" i="2"/>
  <c r="N2198" i="2"/>
  <c r="O2321" i="2"/>
  <c r="K2361" i="2"/>
  <c r="V2169" i="2"/>
  <c r="I2260" i="2"/>
  <c r="K2208" i="2"/>
  <c r="S2168" i="2"/>
  <c r="I1971" i="2"/>
  <c r="J1970" i="2"/>
  <c r="N2185" i="2"/>
  <c r="W1983" i="2"/>
  <c r="C1983" i="2"/>
  <c r="O1983" i="2"/>
  <c r="F2477" i="2"/>
  <c r="C2289" i="2"/>
  <c r="G2182" i="2"/>
  <c r="D2431" i="2"/>
  <c r="N2384" i="2"/>
  <c r="U2466" i="2"/>
  <c r="C2186" i="2"/>
  <c r="T2344" i="2"/>
  <c r="T2221" i="2"/>
  <c r="C2341" i="2"/>
  <c r="F2186" i="2"/>
  <c r="M2215" i="2"/>
  <c r="K2253" i="2"/>
  <c r="G2258" i="2"/>
  <c r="O2437" i="2"/>
  <c r="T2219" i="2"/>
  <c r="K2532" i="2"/>
  <c r="K2314" i="2"/>
  <c r="K2305" i="2"/>
  <c r="J2185" i="2"/>
  <c r="G2178" i="2"/>
  <c r="U2663" i="2"/>
  <c r="W2288" i="2"/>
  <c r="J2199" i="2"/>
  <c r="F2125" i="2"/>
  <c r="K2284" i="2"/>
  <c r="G2104" i="2"/>
  <c r="H2103" i="2"/>
  <c r="L2119" i="2"/>
  <c r="C1923" i="2"/>
  <c r="D1922" i="2"/>
  <c r="P1922" i="2"/>
  <c r="M2427" i="2"/>
  <c r="L2460" i="2"/>
  <c r="S2252" i="2"/>
  <c r="J2274" i="2"/>
  <c r="T2386" i="2"/>
  <c r="S2303" i="2"/>
  <c r="O2179" i="2"/>
  <c r="D2482" i="2"/>
  <c r="C2244" i="2"/>
  <c r="U2177" i="2"/>
  <c r="S2076" i="2"/>
  <c r="T2075" i="2"/>
  <c r="F2221" i="2"/>
  <c r="C2090" i="2"/>
  <c r="D2089" i="2"/>
  <c r="P2089" i="2"/>
  <c r="O2503" i="2"/>
  <c r="N2390" i="2"/>
  <c r="G2261" i="2"/>
  <c r="O2137" i="2"/>
  <c r="L2244" i="2"/>
  <c r="V2324" i="2"/>
  <c r="T2404" i="2"/>
  <c r="W2186" i="2"/>
  <c r="J2320" i="2"/>
  <c r="G1990" i="2"/>
  <c r="H1989" i="2"/>
  <c r="M2291" i="2"/>
  <c r="G2252" i="2"/>
  <c r="K2248" i="2"/>
  <c r="Q2250" i="2"/>
  <c r="C2261" i="2"/>
  <c r="D2235" i="2"/>
  <c r="S2226" i="2"/>
  <c r="T1936" i="2"/>
  <c r="D1950" i="2"/>
  <c r="L2115" i="2"/>
  <c r="T2111" i="2"/>
  <c r="U2110" i="2"/>
  <c r="J1966" i="2"/>
  <c r="U2123" i="2"/>
  <c r="O2160" i="2"/>
  <c r="Q2255" i="2"/>
  <c r="K2160" i="2"/>
  <c r="W2158" i="2"/>
  <c r="F1964" i="2"/>
  <c r="N1963" i="2"/>
  <c r="V1962" i="2"/>
  <c r="C2158" i="2"/>
  <c r="G1963" i="2"/>
  <c r="O1962" i="2"/>
  <c r="W1961" i="2"/>
  <c r="O2158" i="2"/>
  <c r="S1963" i="2"/>
  <c r="F1963" i="2"/>
  <c r="N1962" i="2"/>
  <c r="K2174" i="2"/>
  <c r="O1979" i="2"/>
  <c r="W1978" i="2"/>
  <c r="J1978" i="2"/>
  <c r="L1975" i="2"/>
  <c r="U1998" i="2"/>
  <c r="K1804" i="2"/>
  <c r="F1804" i="2"/>
  <c r="V1803" i="2"/>
  <c r="F1997" i="2"/>
  <c r="Q1802" i="2"/>
  <c r="L1802" i="2"/>
  <c r="G1802" i="2"/>
  <c r="E1890" i="2"/>
  <c r="C2068" i="2"/>
  <c r="S2039" i="2"/>
  <c r="F2039" i="2"/>
  <c r="N2038" i="2"/>
  <c r="P2035" i="2"/>
  <c r="F1841" i="2"/>
  <c r="S2508" i="2"/>
  <c r="P2394" i="2"/>
  <c r="H2220" i="2"/>
  <c r="V2291" i="2"/>
  <c r="R2318" i="2"/>
  <c r="K2173" i="2"/>
  <c r="U2273" i="2"/>
  <c r="E2258" i="2"/>
  <c r="H2172" i="2"/>
  <c r="U2071" i="2"/>
  <c r="V2070" i="2"/>
  <c r="G2265" i="2"/>
  <c r="N2084" i="2"/>
  <c r="O2083" i="2"/>
  <c r="F2084" i="2"/>
  <c r="T2087" i="2"/>
  <c r="F2149" i="2"/>
  <c r="T2232" i="2"/>
  <c r="W2148" i="2"/>
  <c r="N2147" i="2"/>
  <c r="R1952" i="2"/>
  <c r="E1952" i="2"/>
  <c r="M1951" i="2"/>
  <c r="O2146" i="2"/>
  <c r="S1951" i="2"/>
  <c r="F1951" i="2"/>
  <c r="N1950" i="2"/>
  <c r="F2147" i="2"/>
  <c r="J1952" i="2"/>
  <c r="R1951" i="2"/>
  <c r="E1951" i="2"/>
  <c r="C2160" i="2"/>
  <c r="J2145" i="2"/>
  <c r="G2225" i="2"/>
  <c r="F2145" i="2"/>
  <c r="R2143" i="2"/>
  <c r="V1948" i="2"/>
  <c r="I1948" i="2"/>
  <c r="Q1947" i="2"/>
  <c r="S2142" i="2"/>
  <c r="W1947" i="2"/>
  <c r="J1947" i="2"/>
  <c r="R1946" i="2"/>
  <c r="J2143" i="2"/>
  <c r="N1948" i="2"/>
  <c r="V1947" i="2"/>
  <c r="I1947" i="2"/>
  <c r="F2159" i="2"/>
  <c r="J1964" i="2"/>
  <c r="R1963" i="2"/>
  <c r="E1963" i="2"/>
  <c r="G1960" i="2"/>
  <c r="P1983" i="2"/>
  <c r="F1789" i="2"/>
  <c r="V1788" i="2"/>
  <c r="Q1788" i="2"/>
  <c r="V1981" i="2"/>
  <c r="L1787" i="2"/>
  <c r="G1787" i="2"/>
  <c r="W1786" i="2"/>
  <c r="U1874" i="2"/>
  <c r="V2132" i="2"/>
  <c r="N2024" i="2"/>
  <c r="V2023" i="2"/>
  <c r="K2290" i="2"/>
  <c r="U2257" i="2"/>
  <c r="S2228" i="2"/>
  <c r="S2328" i="2"/>
  <c r="D2325" i="2"/>
  <c r="N2306" i="2"/>
  <c r="V2380" i="2"/>
  <c r="P2128" i="2"/>
  <c r="N2297" i="2"/>
  <c r="V2010" i="2"/>
  <c r="W2009" i="2"/>
  <c r="D2530" i="2"/>
  <c r="G2222" i="2"/>
  <c r="C2148" i="2"/>
  <c r="H2233" i="2"/>
  <c r="M2476" i="2"/>
  <c r="P2226" i="2"/>
  <c r="N2352" i="2"/>
  <c r="T2287" i="2"/>
  <c r="J2276" i="2"/>
  <c r="W2165" i="2"/>
  <c r="I2165" i="2"/>
  <c r="I2167" i="2"/>
  <c r="P2166" i="2"/>
  <c r="N2272" i="2"/>
  <c r="F2408" i="2"/>
  <c r="Q2261" i="2"/>
  <c r="P2422" i="2"/>
  <c r="N2348" i="2"/>
  <c r="E2325" i="2"/>
  <c r="J2209" i="2"/>
  <c r="H2195" i="2"/>
  <c r="P2196" i="2"/>
  <c r="Q2165" i="2"/>
  <c r="F2166" i="2"/>
  <c r="M2165" i="2"/>
  <c r="C2067" i="2"/>
  <c r="K2066" i="2"/>
  <c r="S2065" i="2"/>
  <c r="O2064" i="2"/>
  <c r="D2066" i="2"/>
  <c r="L2065" i="2"/>
  <c r="T2064" i="2"/>
  <c r="P2063" i="2"/>
  <c r="P2066" i="2"/>
  <c r="C2066" i="2"/>
  <c r="T2240" i="2"/>
  <c r="E2177" i="2"/>
  <c r="R2178" i="2"/>
  <c r="V2176" i="2"/>
  <c r="L2078" i="2"/>
  <c r="T2077" i="2"/>
  <c r="G2077" i="2"/>
  <c r="C2076" i="2"/>
  <c r="M2077" i="2"/>
  <c r="U2076" i="2"/>
  <c r="H2076" i="2"/>
  <c r="D2075" i="2"/>
  <c r="D2078" i="2"/>
  <c r="L2077" i="2"/>
  <c r="W2584" i="2"/>
  <c r="P2416" i="2"/>
  <c r="H2441" i="2"/>
  <c r="C2428" i="2"/>
  <c r="J2372" i="2"/>
  <c r="T2463" i="2"/>
  <c r="W2182" i="2"/>
  <c r="S2341" i="2"/>
  <c r="S2218" i="2"/>
  <c r="W2337" i="2"/>
  <c r="J2484" i="2"/>
  <c r="L2212" i="2"/>
  <c r="I2247" i="2"/>
  <c r="F2255" i="2"/>
  <c r="K2425" i="2"/>
  <c r="P2207" i="2"/>
  <c r="D2406" i="2"/>
  <c r="T2443" i="2"/>
  <c r="U2248" i="2"/>
  <c r="H2232" i="2"/>
  <c r="S2385" i="2"/>
  <c r="H2284" i="2"/>
  <c r="Q2174" i="2"/>
  <c r="V2286" i="2"/>
  <c r="C2176" i="2"/>
  <c r="G2363" i="2"/>
  <c r="S2262" i="2"/>
  <c r="D2356" i="2"/>
  <c r="K2266" i="2"/>
  <c r="S2249" i="2"/>
  <c r="U2455" i="2"/>
  <c r="G2347" i="2"/>
  <c r="S2232" i="2"/>
  <c r="L2199" i="2"/>
  <c r="D2175" i="2"/>
  <c r="P2284" i="2"/>
  <c r="U2174" i="2"/>
  <c r="L2173" i="2"/>
  <c r="P1978" i="2"/>
  <c r="C1978" i="2"/>
  <c r="K1977" i="2"/>
  <c r="M2172" i="2"/>
  <c r="Q1977" i="2"/>
  <c r="D1977" i="2"/>
  <c r="L1976" i="2"/>
  <c r="D2173" i="2"/>
  <c r="H1978" i="2"/>
  <c r="W2193" i="2"/>
  <c r="V2209" i="2"/>
  <c r="I2317" i="2"/>
  <c r="F2209" i="2"/>
  <c r="L2203" i="2"/>
  <c r="D1990" i="2"/>
  <c r="L1989" i="2"/>
  <c r="T1988" i="2"/>
  <c r="P2199" i="2"/>
  <c r="E1989" i="2"/>
  <c r="M1988" i="2"/>
  <c r="U1987" i="2"/>
  <c r="V2201" i="2"/>
  <c r="Q1989" i="2"/>
  <c r="D1989" i="2"/>
  <c r="L1988" i="2"/>
  <c r="D2430" i="2"/>
  <c r="F2576" i="2"/>
  <c r="R2325" i="2"/>
  <c r="J2454" i="2"/>
  <c r="C2367" i="2"/>
  <c r="G2411" i="2"/>
  <c r="F2328" i="2"/>
  <c r="P2203" i="2"/>
  <c r="C2178" i="2"/>
  <c r="K2268" i="2"/>
  <c r="D2199" i="2"/>
  <c r="U2082" i="2"/>
  <c r="V2081" i="2"/>
  <c r="N2245" i="2"/>
  <c r="E2096" i="2"/>
  <c r="F2095" i="2"/>
  <c r="R2095" i="2"/>
  <c r="P2236" i="2"/>
  <c r="U2266" i="2"/>
  <c r="Q2341" i="2"/>
  <c r="E2266" i="2"/>
  <c r="D2102" i="2"/>
  <c r="L2101" i="2"/>
  <c r="T2100" i="2"/>
  <c r="P2099" i="2"/>
  <c r="E2101" i="2"/>
  <c r="M2100" i="2"/>
  <c r="U2099" i="2"/>
  <c r="Q2098" i="2"/>
  <c r="Q2101" i="2"/>
  <c r="D2101" i="2"/>
  <c r="L2100" i="2"/>
  <c r="H2099" i="2"/>
  <c r="H2350" i="2"/>
  <c r="P2251" i="2"/>
  <c r="V2322" i="2"/>
  <c r="U2250" i="2"/>
  <c r="H2098" i="2"/>
  <c r="P2097" i="2"/>
  <c r="C2097" i="2"/>
  <c r="T2095" i="2"/>
  <c r="I2097" i="2"/>
  <c r="Q2096" i="2"/>
  <c r="D2096" i="2"/>
  <c r="U2094" i="2"/>
  <c r="U2097" i="2"/>
  <c r="H2097" i="2"/>
  <c r="P2096" i="2"/>
  <c r="U1928" i="2"/>
  <c r="L2113" i="2"/>
  <c r="D2113" i="2"/>
  <c r="L2112" i="2"/>
  <c r="H2111" i="2"/>
  <c r="D1915" i="2"/>
  <c r="V1937" i="2"/>
  <c r="L1743" i="2"/>
  <c r="G1743" i="2"/>
  <c r="W1742" i="2"/>
  <c r="G1936" i="2"/>
  <c r="R1741" i="2"/>
  <c r="M1741" i="2"/>
  <c r="P2023" i="2"/>
  <c r="F1829" i="2"/>
  <c r="P2173" i="2"/>
  <c r="T1978" i="2"/>
  <c r="G1978" i="2"/>
  <c r="O1977" i="2"/>
  <c r="Q1974" i="2"/>
  <c r="H2538" i="2"/>
  <c r="O2298" i="2"/>
  <c r="I2384" i="2"/>
  <c r="D2244" i="2"/>
  <c r="S2471" i="2"/>
  <c r="W2250" i="2"/>
  <c r="P2261" i="2"/>
  <c r="M2295" i="2"/>
  <c r="R2204" i="2"/>
  <c r="D2122" i="2"/>
  <c r="E2121" i="2"/>
  <c r="Q2121" i="2"/>
  <c r="J2360" i="2"/>
  <c r="F2035" i="2"/>
  <c r="G2034" i="2"/>
  <c r="S2034" i="2"/>
  <c r="V2126" i="2"/>
  <c r="V2205" i="2"/>
  <c r="F2229" i="2"/>
  <c r="F2205" i="2"/>
  <c r="T2086" i="2"/>
  <c r="G2086" i="2"/>
  <c r="O2085" i="2"/>
  <c r="K2084" i="2"/>
  <c r="U2085" i="2"/>
  <c r="H2085" i="2"/>
  <c r="P2084" i="2"/>
  <c r="L2083" i="2"/>
  <c r="L2086" i="2"/>
  <c r="T2085" i="2"/>
  <c r="G2085" i="2"/>
  <c r="C2084" i="2"/>
  <c r="E2259" i="2"/>
  <c r="Q2190" i="2"/>
  <c r="R2201" i="2"/>
  <c r="V2189" i="2"/>
  <c r="C2083" i="2"/>
  <c r="K2082" i="2"/>
  <c r="S2081" i="2"/>
  <c r="O2080" i="2"/>
  <c r="D2082" i="2"/>
  <c r="L2081" i="2"/>
  <c r="T2080" i="2"/>
  <c r="P2079" i="2"/>
  <c r="P2082" i="2"/>
  <c r="C2082" i="2"/>
  <c r="K2081" i="2"/>
  <c r="J2062" i="2"/>
  <c r="L2098" i="2"/>
  <c r="T2097" i="2"/>
  <c r="G2097" i="2"/>
  <c r="C2096" i="2"/>
  <c r="T1899" i="2"/>
  <c r="Q1922" i="2"/>
  <c r="G1728" i="2"/>
  <c r="W1727" i="2"/>
  <c r="R1727" i="2"/>
  <c r="W1920" i="2"/>
  <c r="M1726" i="2"/>
  <c r="H1726" i="2"/>
  <c r="K2008" i="2"/>
  <c r="V1813" i="2"/>
  <c r="K2158" i="2"/>
  <c r="O1963" i="2"/>
  <c r="Q2330" i="2"/>
  <c r="U2402" i="2"/>
  <c r="U2434" i="2"/>
  <c r="G2194" i="2"/>
  <c r="U2382" i="2"/>
  <c r="S2253" i="2"/>
  <c r="J2262" i="2"/>
  <c r="N2234" i="2"/>
  <c r="T2120" i="2"/>
  <c r="G2158" i="2"/>
  <c r="H2157" i="2"/>
  <c r="T2157" i="2"/>
  <c r="J2428" i="2"/>
  <c r="K2403" i="2"/>
  <c r="M2327" i="2"/>
  <c r="G2299" i="2"/>
  <c r="Q2395" i="2"/>
  <c r="M2280" i="2"/>
  <c r="Q2259" i="2"/>
  <c r="Q2300" i="2"/>
  <c r="T2177" i="2"/>
  <c r="K2272" i="2"/>
  <c r="F2183" i="2"/>
  <c r="R2277" i="2"/>
  <c r="O2254" i="2"/>
  <c r="N2318" i="2"/>
  <c r="S2465" i="2"/>
  <c r="K2333" i="2"/>
  <c r="G2277" i="2"/>
  <c r="U2400" i="2"/>
  <c r="V2247" i="2"/>
  <c r="N2122" i="2"/>
  <c r="U2357" i="2"/>
  <c r="C2280" i="2"/>
  <c r="O2178" i="2"/>
  <c r="F2273" i="2"/>
  <c r="L2267" i="2"/>
  <c r="D2006" i="2"/>
  <c r="L2005" i="2"/>
  <c r="T2004" i="2"/>
  <c r="P2263" i="2"/>
  <c r="E2005" i="2"/>
  <c r="M2004" i="2"/>
  <c r="U2003" i="2"/>
  <c r="V2265" i="2"/>
  <c r="Q2005" i="2"/>
  <c r="D2005" i="2"/>
  <c r="C2129" i="2"/>
  <c r="I2224" i="2"/>
  <c r="P2116" i="2"/>
  <c r="G2115" i="2"/>
  <c r="M2017" i="2"/>
  <c r="U2016" i="2"/>
  <c r="H2016" i="2"/>
  <c r="H2114" i="2"/>
  <c r="N2016" i="2"/>
  <c r="V2015" i="2"/>
  <c r="I2015" i="2"/>
  <c r="T2114" i="2"/>
  <c r="E2017" i="2"/>
  <c r="M2016" i="2"/>
  <c r="T2567" i="2"/>
  <c r="T2531" i="2"/>
  <c r="D2451" i="2"/>
  <c r="H2242" i="2"/>
  <c r="N2493" i="2"/>
  <c r="D2278" i="2"/>
  <c r="T2255" i="2"/>
  <c r="D2330" i="2"/>
  <c r="Q2389" i="2"/>
  <c r="L2322" i="2"/>
  <c r="U2605" i="2"/>
  <c r="E2517" i="2"/>
  <c r="U2282" i="2"/>
  <c r="G2304" i="2"/>
  <c r="N2206" i="2"/>
  <c r="U2211" i="2"/>
  <c r="I2184" i="2"/>
  <c r="H2342" i="2"/>
  <c r="V2187" i="2"/>
  <c r="I2461" i="2"/>
  <c r="R2309" i="2"/>
  <c r="M2425" i="2"/>
  <c r="R2113" i="2"/>
  <c r="F2436" i="2"/>
  <c r="D2115" i="2"/>
  <c r="Q2517" i="2"/>
  <c r="T2201" i="2"/>
  <c r="H2526" i="2"/>
  <c r="L2205" i="2"/>
  <c r="T2188" i="2"/>
  <c r="V2369" i="2"/>
  <c r="K2197" i="2"/>
  <c r="H2131" i="2"/>
  <c r="D2342" i="2"/>
  <c r="E2114" i="2"/>
  <c r="C2427" i="2"/>
  <c r="V2113" i="2"/>
  <c r="R2112" i="2"/>
  <c r="E2112" i="2"/>
  <c r="M2111" i="2"/>
  <c r="I2110" i="2"/>
  <c r="S2111" i="2"/>
  <c r="F2111" i="2"/>
  <c r="N2110" i="2"/>
  <c r="J2109" i="2"/>
  <c r="J2112" i="2"/>
  <c r="R2111" i="2"/>
  <c r="J2178" i="2"/>
  <c r="N2125" i="2"/>
  <c r="O2185" i="2"/>
  <c r="J2125" i="2"/>
  <c r="V2123" i="2"/>
  <c r="E1929" i="2"/>
  <c r="M1928" i="2"/>
  <c r="U1927" i="2"/>
  <c r="W2122" i="2"/>
  <c r="F1928" i="2"/>
  <c r="N1927" i="2"/>
  <c r="V1926" i="2"/>
  <c r="N2123" i="2"/>
  <c r="R1928" i="2"/>
  <c r="E1928" i="2"/>
  <c r="M1927" i="2"/>
  <c r="T2162" i="2"/>
  <c r="T2385" i="2"/>
  <c r="M2326" i="2"/>
  <c r="M2454" i="2"/>
  <c r="R2278" i="2"/>
  <c r="S2435" i="2"/>
  <c r="M2135" i="2"/>
  <c r="I2193" i="2"/>
  <c r="C2236" i="2"/>
  <c r="U2167" i="2"/>
  <c r="N2036" i="2"/>
  <c r="O2035" i="2"/>
  <c r="F2036" i="2"/>
  <c r="E2147" i="2"/>
  <c r="R2046" i="2"/>
  <c r="S2045" i="2"/>
  <c r="R2070" i="2"/>
  <c r="R2202" i="2"/>
  <c r="M2189" i="2"/>
  <c r="H2140" i="2"/>
  <c r="T2138" i="2"/>
  <c r="E2041" i="2"/>
  <c r="M2040" i="2"/>
  <c r="U2039" i="2"/>
  <c r="U2137" i="2"/>
  <c r="F2040" i="2"/>
  <c r="N2039" i="2"/>
  <c r="V2038" i="2"/>
  <c r="L2138" i="2"/>
  <c r="R2040" i="2"/>
  <c r="E2040" i="2"/>
  <c r="M2039" i="2"/>
  <c r="Q2133" i="2"/>
  <c r="P2168" i="2"/>
  <c r="E2409" i="2"/>
  <c r="L2136" i="2"/>
  <c r="C2135" i="2"/>
  <c r="I2037" i="2"/>
  <c r="Q2036" i="2"/>
  <c r="D2036" i="2"/>
  <c r="D2134" i="2"/>
  <c r="J2036" i="2"/>
  <c r="R2035" i="2"/>
  <c r="E2035" i="2"/>
  <c r="P2134" i="2"/>
  <c r="V2036" i="2"/>
  <c r="I2036" i="2"/>
  <c r="Q2035" i="2"/>
  <c r="Q2094" i="2"/>
  <c r="R2052" i="2"/>
  <c r="E2052" i="2"/>
  <c r="M2051" i="2"/>
  <c r="I2050" i="2"/>
  <c r="E1854" i="2"/>
  <c r="N1877" i="2"/>
  <c r="I1877" i="2"/>
  <c r="D1877" i="2"/>
  <c r="H1876" i="2"/>
  <c r="T1875" i="2"/>
  <c r="O1875" i="2"/>
  <c r="J1875" i="2"/>
  <c r="Q1962" i="2"/>
  <c r="T1925" i="2"/>
  <c r="V2112" i="2"/>
  <c r="I2112" i="2"/>
  <c r="Q2111" i="2"/>
  <c r="M2110" i="2"/>
  <c r="I1914" i="2"/>
  <c r="M2392" i="2"/>
  <c r="T2466" i="2"/>
  <c r="I2286" i="2"/>
  <c r="P2376" i="2"/>
  <c r="T2245" i="2"/>
  <c r="P2171" i="2"/>
  <c r="R2259" i="2"/>
  <c r="Q2443" i="2"/>
  <c r="C2172" i="2"/>
  <c r="O1975" i="2"/>
  <c r="P1974" i="2"/>
  <c r="G1975" i="2"/>
  <c r="W2196" i="2"/>
  <c r="S1985" i="2"/>
  <c r="T1984" i="2"/>
  <c r="H2040" i="2"/>
  <c r="V2170" i="2"/>
  <c r="T2257" i="2"/>
  <c r="C2125" i="2"/>
  <c r="O2123" i="2"/>
  <c r="U2025" i="2"/>
  <c r="H2025" i="2"/>
  <c r="P2024" i="2"/>
  <c r="P2122" i="2"/>
  <c r="V2024" i="2"/>
  <c r="I2024" i="2"/>
  <c r="Q2023" i="2"/>
  <c r="G2123" i="2"/>
  <c r="M2025" i="2"/>
  <c r="U2024" i="2"/>
  <c r="H2024" i="2"/>
  <c r="L2118" i="2"/>
  <c r="F2138" i="2"/>
  <c r="O2242" i="2"/>
  <c r="G2121" i="2"/>
  <c r="S2119" i="2"/>
  <c r="D2022" i="2"/>
  <c r="L2021" i="2"/>
  <c r="T2020" i="2"/>
  <c r="T2118" i="2"/>
  <c r="E2021" i="2"/>
  <c r="M2020" i="2"/>
  <c r="U2019" i="2"/>
  <c r="K2119" i="2"/>
  <c r="Q2021" i="2"/>
  <c r="D2021" i="2"/>
  <c r="L2020" i="2"/>
  <c r="G2064" i="2"/>
  <c r="M2037" i="2"/>
  <c r="U2036" i="2"/>
  <c r="H2036" i="2"/>
  <c r="J2033" i="2"/>
  <c r="U1838" i="2"/>
  <c r="I1862" i="2"/>
  <c r="D1862" i="2"/>
  <c r="T1861" i="2"/>
  <c r="C1861" i="2"/>
  <c r="O1860" i="2"/>
  <c r="J1860" i="2"/>
  <c r="E1860" i="2"/>
  <c r="L1947" i="2"/>
  <c r="I2059" i="2"/>
  <c r="Q2097" i="2"/>
  <c r="D2097" i="2"/>
  <c r="U2438" i="2"/>
  <c r="D2207" i="2"/>
  <c r="Q2441" i="2"/>
  <c r="F2182" i="2"/>
  <c r="U2184" i="2"/>
  <c r="T2295" i="2"/>
  <c r="S2198" i="2"/>
  <c r="R2357" i="2"/>
  <c r="J2297" i="2"/>
  <c r="D2109" i="2"/>
  <c r="E2108" i="2"/>
  <c r="D2120" i="2"/>
  <c r="M2408" i="2"/>
  <c r="I2241" i="2"/>
  <c r="E2149" i="2"/>
  <c r="E2236" i="2"/>
  <c r="U2314" i="2"/>
  <c r="J2215" i="2"/>
  <c r="R2198" i="2"/>
  <c r="N2409" i="2"/>
  <c r="G2217" i="2"/>
  <c r="F2141" i="2"/>
  <c r="U2219" i="2"/>
  <c r="M2142" i="2"/>
  <c r="G2189" i="2"/>
  <c r="H2229" i="2"/>
  <c r="T2379" i="2"/>
  <c r="U2232" i="2"/>
  <c r="H2216" i="2"/>
  <c r="C2515" i="2"/>
  <c r="H2252" i="2"/>
  <c r="Q2158" i="2"/>
  <c r="S2144" i="2"/>
  <c r="N2141" i="2"/>
  <c r="O2217" i="2"/>
  <c r="J2141" i="2"/>
  <c r="V2139" i="2"/>
  <c r="E1945" i="2"/>
  <c r="M1944" i="2"/>
  <c r="U1943" i="2"/>
  <c r="W2138" i="2"/>
  <c r="F1944" i="2"/>
  <c r="N1943" i="2"/>
  <c r="V1942" i="2"/>
  <c r="N2139" i="2"/>
  <c r="R1944" i="2"/>
  <c r="V2225" i="2"/>
  <c r="W2152" i="2"/>
  <c r="L2240" i="2"/>
  <c r="S2152" i="2"/>
  <c r="J2151" i="2"/>
  <c r="N1956" i="2"/>
  <c r="V1955" i="2"/>
  <c r="I1955" i="2"/>
  <c r="K2150" i="2"/>
  <c r="O1955" i="2"/>
  <c r="W1954" i="2"/>
  <c r="J1954" i="2"/>
  <c r="W2150" i="2"/>
  <c r="F1956" i="2"/>
  <c r="N1955" i="2"/>
  <c r="I2450" i="2"/>
  <c r="P2238" i="2"/>
  <c r="I2496" i="2"/>
  <c r="D2427" i="2"/>
  <c r="C2371" i="2"/>
  <c r="L2412" i="2"/>
  <c r="G2259" i="2"/>
  <c r="D2381" i="2"/>
  <c r="W2243" i="2"/>
  <c r="O2350" i="2"/>
  <c r="I2205" i="2"/>
  <c r="I2155" i="2"/>
  <c r="W2157" i="2"/>
  <c r="R2428" i="2"/>
  <c r="J2201" i="2"/>
  <c r="S2289" i="2"/>
  <c r="S2426" i="2"/>
  <c r="F2196" i="2"/>
  <c r="E2313" i="2"/>
  <c r="U2226" i="2"/>
  <c r="U2245" i="2"/>
  <c r="R2150" i="2"/>
  <c r="D2150" i="2"/>
  <c r="D2152" i="2"/>
  <c r="K2151" i="2"/>
  <c r="S2223" i="2"/>
  <c r="V2557" i="2"/>
  <c r="G2231" i="2"/>
  <c r="Q2361" i="2"/>
  <c r="W2296" i="2"/>
  <c r="V2280" i="2"/>
  <c r="H2168" i="2"/>
  <c r="O2167" i="2"/>
  <c r="R2326" i="2"/>
  <c r="L2150" i="2"/>
  <c r="V2150" i="2"/>
  <c r="H2150" i="2"/>
  <c r="S2051" i="2"/>
  <c r="F2051" i="2"/>
  <c r="N2050" i="2"/>
  <c r="J2049" i="2"/>
  <c r="T2050" i="2"/>
  <c r="G2050" i="2"/>
  <c r="O2049" i="2"/>
  <c r="K2048" i="2"/>
  <c r="K2051" i="2"/>
  <c r="S2050" i="2"/>
  <c r="U2179" i="2"/>
  <c r="U2161" i="2"/>
  <c r="J2162" i="2"/>
  <c r="Q2161" i="2"/>
  <c r="G2063" i="2"/>
  <c r="O2062" i="2"/>
  <c r="W2061" i="2"/>
  <c r="S2060" i="2"/>
  <c r="H2062" i="2"/>
  <c r="P2061" i="2"/>
  <c r="C2061" i="2"/>
  <c r="T2059" i="2"/>
  <c r="T2062" i="2"/>
  <c r="G2062" i="2"/>
  <c r="O2061" i="2"/>
  <c r="K2060" i="2"/>
  <c r="R2440" i="2"/>
  <c r="O2464" i="2"/>
  <c r="J2378" i="2"/>
  <c r="C2249" i="2"/>
  <c r="K2125" i="2"/>
  <c r="K2241" i="2"/>
  <c r="R2312" i="2"/>
  <c r="P2392" i="2"/>
  <c r="S2527" i="2"/>
  <c r="F2308" i="2"/>
  <c r="F1987" i="2"/>
  <c r="G1986" i="2"/>
  <c r="E2267" i="2"/>
  <c r="C2240" i="2"/>
  <c r="G2236" i="2"/>
  <c r="M2238" i="2"/>
  <c r="T1948" i="2"/>
  <c r="O2176" i="2"/>
  <c r="Q2287" i="2"/>
  <c r="K2176" i="2"/>
  <c r="W2174" i="2"/>
  <c r="F1980" i="2"/>
  <c r="N1979" i="2"/>
  <c r="V1978" i="2"/>
  <c r="C2174" i="2"/>
  <c r="G1979" i="2"/>
  <c r="O1978" i="2"/>
  <c r="W1977" i="2"/>
  <c r="O2174" i="2"/>
  <c r="S1979" i="2"/>
  <c r="F1979" i="2"/>
  <c r="N1978" i="2"/>
  <c r="P2172" i="2"/>
  <c r="S2172" i="2"/>
  <c r="D2280" i="2"/>
  <c r="O2172" i="2"/>
  <c r="F2171" i="2"/>
  <c r="J1976" i="2"/>
  <c r="R1975" i="2"/>
  <c r="E1975" i="2"/>
  <c r="G2170" i="2"/>
  <c r="K1975" i="2"/>
  <c r="S1974" i="2"/>
  <c r="F1974" i="2"/>
  <c r="S2170" i="2"/>
  <c r="W1975" i="2"/>
  <c r="J1975" i="2"/>
  <c r="R1974" i="2"/>
  <c r="I2210" i="2"/>
  <c r="S1991" i="2"/>
  <c r="F1991" i="2"/>
  <c r="N1990" i="2"/>
  <c r="P1987" i="2"/>
  <c r="D2011" i="2"/>
  <c r="O1816" i="2"/>
  <c r="J1816" i="2"/>
  <c r="E1816" i="2"/>
  <c r="J2009" i="2"/>
  <c r="U1814" i="2"/>
  <c r="P1814" i="2"/>
  <c r="K1814" i="2"/>
  <c r="I1902" i="2"/>
  <c r="K2092" i="2"/>
  <c r="W2051" i="2"/>
  <c r="J2051" i="2"/>
  <c r="R2050" i="2"/>
  <c r="N2049" i="2"/>
  <c r="J1853" i="2"/>
  <c r="T2278" i="2"/>
  <c r="O2483" i="2"/>
  <c r="P2415" i="2"/>
  <c r="C2285" i="2"/>
  <c r="L2180" i="2"/>
  <c r="I2183" i="2"/>
  <c r="J2313" i="2"/>
  <c r="Q2215" i="2"/>
  <c r="C2181" i="2"/>
  <c r="G1926" i="2"/>
  <c r="H1925" i="2"/>
  <c r="J2117" i="2"/>
  <c r="D2133" i="2"/>
  <c r="E2132" i="2"/>
  <c r="Q2132" i="2"/>
  <c r="G2112" i="2"/>
  <c r="J2161" i="2"/>
  <c r="G2257" i="2"/>
  <c r="F2161" i="2"/>
  <c r="R2159" i="2"/>
  <c r="V1964" i="2"/>
  <c r="I1964" i="2"/>
  <c r="Q1963" i="2"/>
  <c r="S2158" i="2"/>
  <c r="W1963" i="2"/>
  <c r="J1963" i="2"/>
  <c r="R1962" i="2"/>
  <c r="J2159" i="2"/>
  <c r="N1964" i="2"/>
  <c r="V1963" i="2"/>
  <c r="I1963" i="2"/>
  <c r="L2300" i="2"/>
  <c r="N2157" i="2"/>
  <c r="O2249" i="2"/>
  <c r="J2157" i="2"/>
  <c r="V2155" i="2"/>
  <c r="E1961" i="2"/>
  <c r="M1960" i="2"/>
  <c r="U1959" i="2"/>
  <c r="W2154" i="2"/>
  <c r="F1960" i="2"/>
  <c r="N1959" i="2"/>
  <c r="V1958" i="2"/>
  <c r="N2155" i="2"/>
  <c r="R1960" i="2"/>
  <c r="E1960" i="2"/>
  <c r="M1959" i="2"/>
  <c r="J2171" i="2"/>
  <c r="N1976" i="2"/>
  <c r="V1975" i="2"/>
  <c r="I1975" i="2"/>
  <c r="K1972" i="2"/>
  <c r="T1995" i="2"/>
  <c r="J1801" i="2"/>
  <c r="E1801" i="2"/>
  <c r="U1800" i="2"/>
  <c r="E1994" i="2"/>
  <c r="P1799" i="2"/>
  <c r="K1799" i="2"/>
  <c r="F1799" i="2"/>
  <c r="D1887" i="2"/>
  <c r="V2061" i="2"/>
  <c r="R2036" i="2"/>
  <c r="E2036" i="2"/>
  <c r="M2415" i="2"/>
  <c r="K2282" i="2"/>
  <c r="K2276" i="2"/>
  <c r="M2184" i="2"/>
  <c r="L2263" i="2"/>
  <c r="G2161" i="2"/>
  <c r="M2249" i="2"/>
  <c r="H2178" i="2"/>
  <c r="D2160" i="2"/>
  <c r="Q2059" i="2"/>
  <c r="R2058" i="2"/>
  <c r="F2011" i="2"/>
  <c r="I2121" i="2"/>
  <c r="J2120" i="2"/>
  <c r="V2120" i="2"/>
  <c r="C1961" i="2"/>
  <c r="Q2194" i="2"/>
  <c r="D2302" i="2"/>
  <c r="V2193" i="2"/>
  <c r="G2188" i="2"/>
  <c r="H1986" i="2"/>
  <c r="P1985" i="2"/>
  <c r="C1985" i="2"/>
  <c r="K2184" i="2"/>
  <c r="I1985" i="2"/>
  <c r="Q1984" i="2"/>
  <c r="S2380" i="2"/>
  <c r="J2278" i="2"/>
  <c r="W2376" i="2"/>
  <c r="U2393" i="2"/>
  <c r="T2511" i="2"/>
  <c r="I2135" i="2"/>
  <c r="V2502" i="2"/>
  <c r="S2271" i="2"/>
  <c r="J2164" i="2"/>
  <c r="J2319" i="2"/>
  <c r="D2570" i="2"/>
  <c r="J2362" i="2"/>
  <c r="S2286" i="2"/>
  <c r="I2469" i="2"/>
  <c r="L2296" i="2"/>
  <c r="R2460" i="2"/>
  <c r="U2255" i="2"/>
  <c r="I2381" i="2"/>
  <c r="E2182" i="2"/>
  <c r="D2179" i="2"/>
  <c r="O2180" i="2"/>
  <c r="R2348" i="2"/>
  <c r="N1995" i="2"/>
  <c r="O1994" i="2"/>
  <c r="F1995" i="2"/>
  <c r="K2465" i="2"/>
  <c r="N2500" i="2"/>
  <c r="F2350" i="2"/>
  <c r="S2599" i="2"/>
  <c r="N2194" i="2"/>
  <c r="S2332" i="2"/>
  <c r="J2230" i="2"/>
  <c r="O2368" i="2"/>
  <c r="F2266" i="2"/>
  <c r="S2364" i="2"/>
  <c r="M2315" i="2"/>
  <c r="S2394" i="2"/>
  <c r="E2123" i="2"/>
  <c r="U2432" i="2"/>
  <c r="K2247" i="2"/>
  <c r="F2152" i="2"/>
  <c r="J2504" i="2"/>
  <c r="L2439" i="2"/>
  <c r="H2482" i="2"/>
  <c r="S2230" i="2"/>
  <c r="L2419" i="2"/>
  <c r="D2272" i="2"/>
  <c r="F2300" i="2"/>
  <c r="Q2243" i="2"/>
  <c r="K2157" i="2"/>
  <c r="J2167" i="2"/>
  <c r="K2166" i="2"/>
  <c r="W2166" i="2"/>
  <c r="I2295" i="2"/>
  <c r="J1983" i="2"/>
  <c r="K1982" i="2"/>
  <c r="W1982" i="2"/>
  <c r="G2428" i="2"/>
  <c r="H2427" i="2"/>
  <c r="H2459" i="2"/>
  <c r="D2294" i="2"/>
  <c r="N2322" i="2"/>
  <c r="M2389" i="2"/>
  <c r="Q2453" i="2"/>
  <c r="P2307" i="2"/>
  <c r="G2205" i="2"/>
  <c r="T2303" i="2"/>
  <c r="M2228" i="2"/>
  <c r="T2502" i="2"/>
  <c r="H2159" i="2"/>
  <c r="S2337" i="2"/>
  <c r="P2322" i="2"/>
  <c r="I2333" i="2"/>
  <c r="C2535" i="2"/>
  <c r="Q2253" i="2"/>
  <c r="Q2285" i="2"/>
  <c r="I2329" i="2"/>
  <c r="D2314" i="2"/>
  <c r="R2376" i="2"/>
  <c r="H2305" i="2"/>
  <c r="R2182" i="2"/>
  <c r="T2209" i="2"/>
  <c r="P2106" i="2"/>
  <c r="Q2105" i="2"/>
  <c r="H2106" i="2"/>
  <c r="G2475" i="2"/>
  <c r="K1922" i="2"/>
  <c r="L1921" i="2"/>
  <c r="C1922" i="2"/>
  <c r="O2353" i="2"/>
  <c r="M2241" i="2"/>
  <c r="M2273" i="2"/>
  <c r="W2270" i="2"/>
  <c r="C2251" i="2"/>
  <c r="K2180" i="2"/>
  <c r="O2379" i="2"/>
  <c r="I2397" i="2"/>
  <c r="K2245" i="2"/>
  <c r="G2079" i="2"/>
  <c r="H2078" i="2"/>
  <c r="T2078" i="2"/>
  <c r="P2259" i="2"/>
  <c r="K2089" i="2"/>
  <c r="L2088" i="2"/>
  <c r="I2564" i="2"/>
  <c r="V2195" i="2"/>
  <c r="N2267" i="2"/>
  <c r="H2189" i="2"/>
  <c r="C2207" i="2"/>
  <c r="N2434" i="2"/>
  <c r="S2216" i="2"/>
  <c r="D2285" i="2"/>
  <c r="N2281" i="2"/>
  <c r="G2212" i="2"/>
  <c r="O1989" i="2"/>
  <c r="P1988" i="2"/>
  <c r="Q2258" i="2"/>
  <c r="H2002" i="2"/>
  <c r="I2001" i="2"/>
  <c r="U2001" i="2"/>
  <c r="K2472" i="2"/>
  <c r="V2223" i="2"/>
  <c r="O2152" i="2"/>
  <c r="U2146" i="2"/>
  <c r="F2116" i="2"/>
  <c r="C2114" i="2"/>
  <c r="I2113" i="2"/>
  <c r="P2113" i="2"/>
  <c r="L2111" i="2"/>
  <c r="O2258" i="2"/>
  <c r="E2303" i="2"/>
  <c r="R2408" i="2"/>
  <c r="O2301" i="2"/>
  <c r="L2110" i="2"/>
  <c r="T2109" i="2"/>
  <c r="G2109" i="2"/>
  <c r="C2108" i="2"/>
  <c r="M2109" i="2"/>
  <c r="U2108" i="2"/>
  <c r="H2108" i="2"/>
  <c r="D2107" i="2"/>
  <c r="D2110" i="2"/>
  <c r="L2109" i="2"/>
  <c r="T2108" i="2"/>
  <c r="P1977" i="2"/>
  <c r="P2125" i="2"/>
  <c r="T1930" i="2"/>
  <c r="G1930" i="2"/>
  <c r="O1929" i="2"/>
  <c r="Q1926" i="2"/>
  <c r="E1950" i="2"/>
  <c r="P1755" i="2"/>
  <c r="K1755" i="2"/>
  <c r="F1755" i="2"/>
  <c r="K1948" i="2"/>
  <c r="V1753" i="2"/>
  <c r="Q1753" i="2"/>
  <c r="T2035" i="2"/>
  <c r="J1841" i="2"/>
  <c r="H2207" i="2"/>
  <c r="C1991" i="2"/>
  <c r="K1990" i="2"/>
  <c r="S1989" i="2"/>
  <c r="U1986" i="2"/>
  <c r="J2530" i="2"/>
  <c r="G2283" i="2"/>
  <c r="F2417" i="2"/>
  <c r="O2225" i="2"/>
  <c r="L2362" i="2"/>
  <c r="N2288" i="2"/>
  <c r="R2172" i="2"/>
  <c r="C2447" i="2"/>
  <c r="P2219" i="2"/>
  <c r="O2171" i="2"/>
  <c r="Q2070" i="2"/>
  <c r="R2069" i="2"/>
  <c r="S2196" i="2"/>
  <c r="V2083" i="2"/>
  <c r="W2082" i="2"/>
  <c r="N2083" i="2"/>
  <c r="U2187" i="2"/>
  <c r="Q2254" i="2"/>
  <c r="W2325" i="2"/>
  <c r="V2253" i="2"/>
  <c r="C2099" i="2"/>
  <c r="K2098" i="2"/>
  <c r="S2097" i="2"/>
  <c r="O2096" i="2"/>
  <c r="D2098" i="2"/>
  <c r="L2097" i="2"/>
  <c r="T2096" i="2"/>
  <c r="P2095" i="2"/>
  <c r="P2098" i="2"/>
  <c r="C2098" i="2"/>
  <c r="K2097" i="2"/>
  <c r="G2096" i="2"/>
  <c r="D2318" i="2"/>
  <c r="L2239" i="2"/>
  <c r="G2296" i="2"/>
  <c r="Q2238" i="2"/>
  <c r="G2095" i="2"/>
  <c r="O2094" i="2"/>
  <c r="W2093" i="2"/>
  <c r="S2092" i="2"/>
  <c r="H2094" i="2"/>
  <c r="P2093" i="2"/>
  <c r="C2093" i="2"/>
  <c r="T2091" i="2"/>
  <c r="T2094" i="2"/>
  <c r="G2094" i="2"/>
  <c r="O2093" i="2"/>
  <c r="E2111" i="2"/>
  <c r="P2110" i="2"/>
  <c r="C2110" i="2"/>
  <c r="K2109" i="2"/>
  <c r="G2108" i="2"/>
  <c r="C1912" i="2"/>
  <c r="U1934" i="2"/>
  <c r="K1740" i="2"/>
  <c r="F1740" i="2"/>
  <c r="V1739" i="2"/>
  <c r="F1933" i="2"/>
  <c r="Q1738" i="2"/>
  <c r="L1738" i="2"/>
  <c r="O2020" i="2"/>
  <c r="E1826" i="2"/>
  <c r="O2170" i="2"/>
  <c r="S1975" i="2"/>
  <c r="J2375" i="2"/>
  <c r="D2440" i="2"/>
  <c r="R2484" i="2"/>
  <c r="G2499" i="2"/>
  <c r="D2420" i="2"/>
  <c r="G2202" i="2"/>
  <c r="T2285" i="2"/>
  <c r="I2283" i="2"/>
  <c r="D2241" i="2"/>
  <c r="T2291" i="2"/>
  <c r="C2288" i="2"/>
  <c r="I2290" i="2"/>
  <c r="H2362" i="2"/>
  <c r="O2205" i="2"/>
  <c r="O2233" i="2"/>
  <c r="W2365" i="2"/>
  <c r="L2444" i="2"/>
  <c r="D2312" i="2"/>
  <c r="U2271" i="2"/>
  <c r="G2358" i="2"/>
  <c r="O2226" i="2"/>
  <c r="G2117" i="2"/>
  <c r="V2231" i="2"/>
  <c r="N2118" i="2"/>
  <c r="H2237" i="2"/>
  <c r="W2399" i="2"/>
  <c r="R2319" i="2"/>
  <c r="Q2429" i="2"/>
  <c r="K2289" i="2"/>
  <c r="C2524" i="2"/>
  <c r="H2354" i="2"/>
  <c r="R2134" i="2"/>
  <c r="V2396" i="2"/>
  <c r="I2131" i="2"/>
  <c r="J2227" i="2"/>
  <c r="K2117" i="2"/>
  <c r="W2115" i="2"/>
  <c r="H2018" i="2"/>
  <c r="P2017" i="2"/>
  <c r="C2017" i="2"/>
  <c r="C2115" i="2"/>
  <c r="I2017" i="2"/>
  <c r="Q2016" i="2"/>
  <c r="D2016" i="2"/>
  <c r="O2115" i="2"/>
  <c r="U2017" i="2"/>
  <c r="H2017" i="2"/>
  <c r="K2153" i="2"/>
  <c r="T2273" i="2"/>
  <c r="T2128" i="2"/>
  <c r="K2127" i="2"/>
  <c r="Q2029" i="2"/>
  <c r="D2029" i="2"/>
  <c r="L2028" i="2"/>
  <c r="L2126" i="2"/>
  <c r="R2028" i="2"/>
  <c r="E2028" i="2"/>
  <c r="M2027" i="2"/>
  <c r="C2127" i="2"/>
  <c r="I2029" i="2"/>
  <c r="Q2028" i="2"/>
  <c r="G2541" i="2"/>
  <c r="F2511" i="2"/>
  <c r="W2341" i="2"/>
  <c r="C2291" i="2"/>
  <c r="L2316" i="2"/>
  <c r="I2377" i="2"/>
  <c r="M2441" i="2"/>
  <c r="O2304" i="2"/>
  <c r="F2202" i="2"/>
  <c r="S2300" i="2"/>
  <c r="L2225" i="2"/>
  <c r="K2464" i="2"/>
  <c r="G2156" i="2"/>
  <c r="H2530" i="2"/>
  <c r="L2310" i="2"/>
  <c r="E2321" i="2"/>
  <c r="P2205" i="2"/>
  <c r="S2439" i="2"/>
  <c r="E2200" i="2"/>
  <c r="M2183" i="2"/>
  <c r="O2348" i="2"/>
  <c r="R2186" i="2"/>
  <c r="V2125" i="2"/>
  <c r="K2189" i="2"/>
  <c r="H2127" i="2"/>
  <c r="I2299" i="2"/>
  <c r="C2214" i="2"/>
  <c r="L2319" i="2"/>
  <c r="P2217" i="2"/>
  <c r="C2201" i="2"/>
  <c r="Q2418" i="2"/>
  <c r="S2221" i="2"/>
  <c r="L2143" i="2"/>
  <c r="K2188" i="2"/>
  <c r="I2126" i="2"/>
  <c r="E2187" i="2"/>
  <c r="E2126" i="2"/>
  <c r="Q2124" i="2"/>
  <c r="U1929" i="2"/>
  <c r="H1929" i="2"/>
  <c r="P1928" i="2"/>
  <c r="R2123" i="2"/>
  <c r="V1928" i="2"/>
  <c r="I1928" i="2"/>
  <c r="Q1927" i="2"/>
  <c r="I2124" i="2"/>
  <c r="M1929" i="2"/>
  <c r="N2129" i="2"/>
  <c r="R2137" i="2"/>
  <c r="W2209" i="2"/>
  <c r="N2137" i="2"/>
  <c r="E2136" i="2"/>
  <c r="I1941" i="2"/>
  <c r="Q1940" i="2"/>
  <c r="D1940" i="2"/>
  <c r="F2135" i="2"/>
  <c r="J1940" i="2"/>
  <c r="R1939" i="2"/>
  <c r="E1939" i="2"/>
  <c r="R2135" i="2"/>
  <c r="V1940" i="2"/>
  <c r="I1940" i="2"/>
  <c r="Q1939" i="2"/>
  <c r="I2114" i="2"/>
  <c r="V2387" i="2"/>
  <c r="L2446" i="2"/>
  <c r="J2200" i="2"/>
  <c r="J2344" i="2"/>
  <c r="G2263" i="2"/>
  <c r="L2215" i="2"/>
  <c r="E2318" i="2"/>
  <c r="Q2421" i="2"/>
  <c r="S2269" i="2"/>
  <c r="I2085" i="2"/>
  <c r="J2084" i="2"/>
  <c r="V2084" i="2"/>
  <c r="T2316" i="2"/>
  <c r="M2095" i="2"/>
  <c r="N2094" i="2"/>
  <c r="E2095" i="2"/>
  <c r="T2302" i="2"/>
  <c r="W2151" i="2"/>
  <c r="L2152" i="2"/>
  <c r="S2151" i="2"/>
  <c r="I2053" i="2"/>
  <c r="Q2052" i="2"/>
  <c r="D2052" i="2"/>
  <c r="U2050" i="2"/>
  <c r="J2052" i="2"/>
  <c r="R2051" i="2"/>
  <c r="E2051" i="2"/>
  <c r="V2049" i="2"/>
  <c r="V2052" i="2"/>
  <c r="I2052" i="2"/>
  <c r="Q2051" i="2"/>
  <c r="M2050" i="2"/>
  <c r="N2285" i="2"/>
  <c r="F2148" i="2"/>
  <c r="P2148" i="2"/>
  <c r="W2147" i="2"/>
  <c r="M2049" i="2"/>
  <c r="U2048" i="2"/>
  <c r="H2048" i="2"/>
  <c r="D2047" i="2"/>
  <c r="N2048" i="2"/>
  <c r="V2047" i="2"/>
  <c r="I2047" i="2"/>
  <c r="E2046" i="2"/>
  <c r="E2049" i="2"/>
  <c r="M2048" i="2"/>
  <c r="U2047" i="2"/>
  <c r="H1928" i="2"/>
  <c r="V2064" i="2"/>
  <c r="I2064" i="2"/>
  <c r="Q2063" i="2"/>
  <c r="M2062" i="2"/>
  <c r="I1866" i="2"/>
  <c r="R1889" i="2"/>
  <c r="M1889" i="2"/>
  <c r="H1889" i="2"/>
  <c r="L1888" i="2"/>
  <c r="C1888" i="2"/>
  <c r="S1887" i="2"/>
  <c r="N1887" i="2"/>
  <c r="U1974" i="2"/>
  <c r="O1974" i="2"/>
  <c r="U2124" i="2"/>
  <c r="D1930" i="2"/>
  <c r="L1929" i="2"/>
  <c r="T1928" i="2"/>
  <c r="V1925" i="2"/>
  <c r="W2454" i="2"/>
  <c r="S2283" i="2"/>
  <c r="E2461" i="2"/>
  <c r="W2229" i="2"/>
  <c r="H2338" i="2"/>
  <c r="I2123" i="2"/>
  <c r="R2448" i="2"/>
  <c r="K2470" i="2"/>
  <c r="M2143" i="2"/>
  <c r="J2024" i="2"/>
  <c r="K2023" i="2"/>
  <c r="W2023" i="2"/>
  <c r="V2134" i="2"/>
  <c r="N2034" i="2"/>
  <c r="O2033" i="2"/>
  <c r="P2064" i="2"/>
  <c r="P2590" i="2"/>
  <c r="M2433" i="2"/>
  <c r="G2137" i="2"/>
  <c r="S2135" i="2"/>
  <c r="D2038" i="2"/>
  <c r="L2037" i="2"/>
  <c r="T2036" i="2"/>
  <c r="T2134" i="2"/>
  <c r="E2037" i="2"/>
  <c r="M2036" i="2"/>
  <c r="U2035" i="2"/>
  <c r="K2135" i="2"/>
  <c r="Q2037" i="2"/>
  <c r="D2037" i="2"/>
  <c r="L2036" i="2"/>
  <c r="P2130" i="2"/>
  <c r="N2162" i="2"/>
  <c r="E2323" i="2"/>
  <c r="K2133" i="2"/>
  <c r="W2131" i="2"/>
  <c r="H2034" i="2"/>
  <c r="P2033" i="2"/>
  <c r="C2033" i="2"/>
  <c r="C2131" i="2"/>
  <c r="I2033" i="2"/>
  <c r="Q2032" i="2"/>
  <c r="D2032" i="2"/>
  <c r="O2131" i="2"/>
  <c r="U2033" i="2"/>
  <c r="H2033" i="2"/>
  <c r="P2032" i="2"/>
  <c r="O2088" i="2"/>
  <c r="Q2049" i="2"/>
  <c r="D2049" i="2"/>
  <c r="L2048" i="2"/>
  <c r="V2045" i="2"/>
  <c r="D1851" i="2"/>
  <c r="M1874" i="2"/>
  <c r="H1874" i="2"/>
  <c r="C1874" i="2"/>
  <c r="G1873" i="2"/>
  <c r="S1872" i="2"/>
  <c r="N1872" i="2"/>
  <c r="I1872" i="2"/>
  <c r="P1959" i="2"/>
  <c r="D2108" i="2"/>
  <c r="U2109" i="2"/>
  <c r="H2109" i="2"/>
  <c r="R2500" i="2"/>
  <c r="G2303" i="2"/>
  <c r="K2311" i="2"/>
  <c r="L2339" i="2"/>
  <c r="P2233" i="2"/>
  <c r="L2159" i="2"/>
  <c r="N2247" i="2"/>
  <c r="V2394" i="2"/>
  <c r="T2159" i="2"/>
  <c r="K1963" i="2"/>
  <c r="L1962" i="2"/>
  <c r="T2168" i="2"/>
  <c r="C2463" i="2"/>
  <c r="I2425" i="2"/>
  <c r="L2255" i="2"/>
  <c r="M2260" i="2"/>
  <c r="M2358" i="2"/>
  <c r="N2227" i="2"/>
  <c r="V2210" i="2"/>
  <c r="I2458" i="2"/>
  <c r="O2241" i="2"/>
  <c r="J2153" i="2"/>
  <c r="H2244" i="2"/>
  <c r="Q2154" i="2"/>
  <c r="W2237" i="2"/>
  <c r="L2241" i="2"/>
  <c r="O2428" i="2"/>
  <c r="D2245" i="2"/>
  <c r="L2228" i="2"/>
  <c r="N2370" i="2"/>
  <c r="P2276" i="2"/>
  <c r="U2170" i="2"/>
  <c r="E2238" i="2"/>
  <c r="R2153" i="2"/>
  <c r="W2241" i="2"/>
  <c r="N2153" i="2"/>
  <c r="E2152" i="2"/>
  <c r="I1957" i="2"/>
  <c r="Q1956" i="2"/>
  <c r="D1956" i="2"/>
  <c r="F2151" i="2"/>
  <c r="J1956" i="2"/>
  <c r="R1955" i="2"/>
  <c r="E1955" i="2"/>
  <c r="R2151" i="2"/>
  <c r="V1956" i="2"/>
  <c r="F2142" i="2"/>
  <c r="F2165" i="2"/>
  <c r="T2264" i="2"/>
  <c r="W2164" i="2"/>
  <c r="N2163" i="2"/>
  <c r="R1968" i="2"/>
  <c r="E1968" i="2"/>
  <c r="M1967" i="2"/>
  <c r="O2162" i="2"/>
  <c r="S1967" i="2"/>
  <c r="F1967" i="2"/>
  <c r="N1966" i="2"/>
  <c r="F2163" i="2"/>
  <c r="J1968" i="2"/>
  <c r="R1967" i="2"/>
  <c r="P2558" i="2"/>
  <c r="P2375" i="2"/>
  <c r="G2507" i="2"/>
  <c r="H2464" i="2"/>
  <c r="J2324" i="2"/>
  <c r="O2496" i="2"/>
  <c r="Q2281" i="2"/>
  <c r="O2294" i="2"/>
  <c r="I2529" i="2"/>
  <c r="S2290" i="2"/>
  <c r="W2307" i="2"/>
  <c r="N2364" i="2"/>
  <c r="U2385" i="2"/>
  <c r="C2210" i="2"/>
  <c r="T2135" i="2"/>
  <c r="U2208" i="2"/>
  <c r="N2478" i="2"/>
  <c r="N2220" i="2"/>
  <c r="J2340" i="2"/>
  <c r="P2275" i="2"/>
  <c r="H2270" i="2"/>
  <c r="V2162" i="2"/>
  <c r="H2162" i="2"/>
  <c r="H2164" i="2"/>
  <c r="O2163" i="2"/>
  <c r="J2260" i="2"/>
  <c r="W2395" i="2"/>
  <c r="O2255" i="2"/>
  <c r="L2410" i="2"/>
  <c r="J2336" i="2"/>
  <c r="V2312" i="2"/>
  <c r="O2192" i="2"/>
  <c r="D2183" i="2"/>
  <c r="L2184" i="2"/>
  <c r="P2162" i="2"/>
  <c r="E2163" i="2"/>
  <c r="L2162" i="2"/>
  <c r="W2063" i="2"/>
  <c r="J2063" i="2"/>
  <c r="R2062" i="2"/>
  <c r="N2061" i="2"/>
  <c r="C2063" i="2"/>
  <c r="K2062" i="2"/>
  <c r="S2061" i="2"/>
  <c r="O2060" i="2"/>
  <c r="O2063" i="2"/>
  <c r="W2062" i="2"/>
  <c r="P2228" i="2"/>
  <c r="D2174" i="2"/>
  <c r="N2174" i="2"/>
  <c r="U2173" i="2"/>
  <c r="K2075" i="2"/>
  <c r="S2074" i="2"/>
  <c r="F2074" i="2"/>
  <c r="W2072" i="2"/>
  <c r="L2074" i="2"/>
  <c r="T2073" i="2"/>
  <c r="G2073" i="2"/>
  <c r="C2072" i="2"/>
  <c r="C2075" i="2"/>
  <c r="K2074" i="2"/>
  <c r="S2073" i="2"/>
  <c r="O2072" i="2"/>
  <c r="V2214" i="2"/>
  <c r="H2325" i="2"/>
  <c r="R2275" i="2"/>
  <c r="P2265" i="2"/>
  <c r="J2259" i="2"/>
  <c r="F2290" i="2"/>
  <c r="I2421" i="2"/>
  <c r="D2445" i="2"/>
  <c r="L2250" i="2"/>
  <c r="R2384" i="2"/>
  <c r="V2035" i="2"/>
  <c r="W2034" i="2"/>
  <c r="N2035" i="2"/>
  <c r="L2146" i="2"/>
  <c r="E2145" i="2"/>
  <c r="O2044" i="2"/>
  <c r="G1973" i="2"/>
  <c r="D2219" i="2"/>
  <c r="L2326" i="2"/>
  <c r="I2218" i="2"/>
  <c r="O2212" i="2"/>
  <c r="J1992" i="2"/>
  <c r="R1991" i="2"/>
  <c r="E1991" i="2"/>
  <c r="S2208" i="2"/>
  <c r="K1991" i="2"/>
  <c r="S1990" i="2"/>
  <c r="F1990" i="2"/>
  <c r="D2211" i="2"/>
  <c r="W1991" i="2"/>
  <c r="J1991" i="2"/>
  <c r="R1990" i="2"/>
  <c r="S2181" i="2"/>
  <c r="T2203" i="2"/>
  <c r="G2311" i="2"/>
  <c r="D2203" i="2"/>
  <c r="J2197" i="2"/>
  <c r="N1988" i="2"/>
  <c r="V1987" i="2"/>
  <c r="I1987" i="2"/>
  <c r="N2193" i="2"/>
  <c r="O1987" i="2"/>
  <c r="W1986" i="2"/>
  <c r="J1986" i="2"/>
  <c r="T2195" i="2"/>
  <c r="F1988" i="2"/>
  <c r="N1987" i="2"/>
  <c r="V1986" i="2"/>
  <c r="D2259" i="2"/>
  <c r="W2003" i="2"/>
  <c r="J2003" i="2"/>
  <c r="R2002" i="2"/>
  <c r="T1999" i="2"/>
  <c r="H2023" i="2"/>
  <c r="S1828" i="2"/>
  <c r="N1828" i="2"/>
  <c r="I1828" i="2"/>
  <c r="N2021" i="2"/>
  <c r="D1827" i="2"/>
  <c r="T1826" i="2"/>
  <c r="O1826" i="2"/>
  <c r="M1914" i="2"/>
  <c r="G1925" i="2"/>
  <c r="F2064" i="2"/>
  <c r="N2063" i="2"/>
  <c r="V2062" i="2"/>
  <c r="R2061" i="2"/>
  <c r="N1865" i="2"/>
  <c r="T2415" i="2"/>
  <c r="U2557" i="2"/>
  <c r="H2200" i="2"/>
  <c r="R2173" i="2"/>
  <c r="G2229" i="2"/>
  <c r="T2280" i="2"/>
  <c r="U2343" i="2"/>
  <c r="R2328" i="2"/>
  <c r="N2278" i="2"/>
  <c r="W1974" i="2"/>
  <c r="C1974" i="2"/>
  <c r="L2454" i="2"/>
  <c r="H2191" i="2"/>
  <c r="L2187" i="2"/>
  <c r="R2189" i="2"/>
  <c r="R1942" i="2"/>
  <c r="N2173" i="2"/>
  <c r="O2281" i="2"/>
  <c r="J2173" i="2"/>
  <c r="V2171" i="2"/>
  <c r="E1977" i="2"/>
  <c r="M1976" i="2"/>
  <c r="U1975" i="2"/>
  <c r="W2170" i="2"/>
  <c r="F1976" i="2"/>
  <c r="N1975" i="2"/>
  <c r="V1974" i="2"/>
  <c r="N2171" i="2"/>
  <c r="R1976" i="2"/>
  <c r="E1976" i="2"/>
  <c r="M1975" i="2"/>
  <c r="L2160" i="2"/>
  <c r="R2169" i="2"/>
  <c r="W2273" i="2"/>
  <c r="N2169" i="2"/>
  <c r="E2168" i="2"/>
  <c r="I1973" i="2"/>
  <c r="Q1972" i="2"/>
  <c r="D1972" i="2"/>
  <c r="F2167" i="2"/>
  <c r="J1972" i="2"/>
  <c r="R1971" i="2"/>
  <c r="E1971" i="2"/>
  <c r="R2167" i="2"/>
  <c r="V1972" i="2"/>
  <c r="I1972" i="2"/>
  <c r="Q1971" i="2"/>
  <c r="E2198" i="2"/>
  <c r="R1988" i="2"/>
  <c r="E1988" i="2"/>
  <c r="M1987" i="2"/>
  <c r="O1984" i="2"/>
  <c r="C2008" i="2"/>
  <c r="N1813" i="2"/>
  <c r="I1813" i="2"/>
  <c r="D1813" i="2"/>
  <c r="I2006" i="2"/>
  <c r="T1811" i="2"/>
  <c r="O1811" i="2"/>
  <c r="J1811" i="2"/>
  <c r="H1899" i="2"/>
  <c r="I2086" i="2"/>
  <c r="V2048" i="2"/>
  <c r="I2048" i="2"/>
  <c r="D2230" i="2"/>
  <c r="Q2305" i="2"/>
  <c r="P2382" i="2"/>
  <c r="M2187" i="2"/>
  <c r="E2449" i="2"/>
  <c r="S2411" i="2"/>
  <c r="D2458" i="2"/>
  <c r="I2191" i="2"/>
  <c r="P2402" i="2"/>
  <c r="L2108" i="2"/>
  <c r="M2107" i="2"/>
  <c r="J2243" i="2"/>
  <c r="O2191" i="2"/>
  <c r="L2148" i="2"/>
  <c r="E2151" i="2"/>
  <c r="O2435" i="2"/>
  <c r="K2275" i="2"/>
  <c r="D2450" i="2"/>
  <c r="W2375" i="2"/>
  <c r="L2370" i="2"/>
  <c r="G2264" i="2"/>
  <c r="Q2222" i="2"/>
  <c r="U2274" i="2"/>
  <c r="C2228" i="2"/>
  <c r="E2414" i="2"/>
  <c r="M2180" i="2"/>
  <c r="G2323" i="2"/>
  <c r="E2184" i="2"/>
  <c r="D2446" i="2"/>
  <c r="E2302" i="2"/>
  <c r="C2395" i="2"/>
  <c r="S2292" i="2"/>
  <c r="F2294" i="2"/>
  <c r="G2224" i="2"/>
  <c r="R2265" i="2"/>
  <c r="L2223" i="2"/>
  <c r="K2091" i="2"/>
  <c r="S2090" i="2"/>
  <c r="F2090" i="2"/>
  <c r="W2088" i="2"/>
  <c r="L2090" i="2"/>
  <c r="T2089" i="2"/>
  <c r="G2089" i="2"/>
  <c r="C2088" i="2"/>
  <c r="C2091" i="2"/>
  <c r="K2090" i="2"/>
  <c r="M2581" i="2"/>
  <c r="V2269" i="2"/>
  <c r="S2347" i="2"/>
  <c r="F2269" i="2"/>
  <c r="T2102" i="2"/>
  <c r="G2102" i="2"/>
  <c r="O2101" i="2"/>
  <c r="K2100" i="2"/>
  <c r="U2101" i="2"/>
  <c r="H2101" i="2"/>
  <c r="P2100" i="2"/>
  <c r="L2099" i="2"/>
  <c r="L2102" i="2"/>
  <c r="T2101" i="2"/>
  <c r="G2101" i="2"/>
  <c r="M2466" i="2"/>
  <c r="U2458" i="2"/>
  <c r="Q2367" i="2"/>
  <c r="Q2244" i="2"/>
  <c r="M2403" i="2"/>
  <c r="U2288" i="2"/>
  <c r="I2439" i="2"/>
  <c r="R2184" i="2"/>
  <c r="M2435" i="2"/>
  <c r="L2522" i="2"/>
  <c r="H2322" i="2"/>
  <c r="P2154" i="2"/>
  <c r="P2278" i="2"/>
  <c r="P2354" i="2"/>
  <c r="G2232" i="2"/>
  <c r="D2274" i="2"/>
  <c r="M2383" i="2"/>
  <c r="K2274" i="2"/>
  <c r="P2256" i="2"/>
  <c r="Q2529" i="2"/>
  <c r="H2446" i="2"/>
  <c r="G2260" i="2"/>
  <c r="C2468" i="2"/>
  <c r="N2265" i="2"/>
  <c r="K2242" i="2"/>
  <c r="J2306" i="2"/>
  <c r="O2453" i="2"/>
  <c r="G2321" i="2"/>
  <c r="F2274" i="2"/>
  <c r="M2376" i="2"/>
  <c r="R2235" i="2"/>
  <c r="M2119" i="2"/>
  <c r="O2297" i="2"/>
  <c r="R2261" i="2"/>
  <c r="I2449" i="2"/>
  <c r="W2260" i="2"/>
  <c r="H2255" i="2"/>
  <c r="C2003" i="2"/>
  <c r="K2002" i="2"/>
  <c r="S2001" i="2"/>
  <c r="L2251" i="2"/>
  <c r="D2002" i="2"/>
  <c r="L2001" i="2"/>
  <c r="T2000" i="2"/>
  <c r="R2253" i="2"/>
  <c r="P2002" i="2"/>
  <c r="W2282" i="2"/>
  <c r="V2122" i="2"/>
  <c r="E2212" i="2"/>
  <c r="Q2315" i="2"/>
  <c r="H2304" i="2"/>
  <c r="L2014" i="2"/>
  <c r="T2013" i="2"/>
  <c r="G2013" i="2"/>
  <c r="F2297" i="2"/>
  <c r="M2013" i="2"/>
  <c r="U2012" i="2"/>
  <c r="H2012" i="2"/>
  <c r="G2301" i="2"/>
  <c r="D2014" i="2"/>
  <c r="L2013" i="2"/>
  <c r="T2012" i="2"/>
  <c r="Q2216" i="2"/>
  <c r="M2560" i="2"/>
  <c r="R2183" i="2"/>
  <c r="J2255" i="2"/>
  <c r="S2351" i="2"/>
  <c r="T2194" i="2"/>
  <c r="J2422" i="2"/>
  <c r="O2204" i="2"/>
  <c r="W2278" i="2"/>
  <c r="J2269" i="2"/>
  <c r="C2200" i="2"/>
  <c r="N1986" i="2"/>
  <c r="O1985" i="2"/>
  <c r="M2246" i="2"/>
  <c r="G1999" i="2"/>
  <c r="H1998" i="2"/>
  <c r="T1998" i="2"/>
  <c r="N2140" i="2"/>
  <c r="T2127" i="2"/>
  <c r="F2190" i="2"/>
  <c r="P2127" i="2"/>
  <c r="G2126" i="2"/>
  <c r="K1931" i="2"/>
  <c r="S1930" i="2"/>
  <c r="F1930" i="2"/>
  <c r="H2125" i="2"/>
  <c r="L1930" i="2"/>
  <c r="T1929" i="2"/>
  <c r="G1929" i="2"/>
  <c r="T2125" i="2"/>
  <c r="C1931" i="2"/>
  <c r="K1930" i="2"/>
  <c r="S1929" i="2"/>
  <c r="W2171" i="2"/>
  <c r="C2124" i="2"/>
  <c r="N2182" i="2"/>
  <c r="T2123" i="2"/>
  <c r="K2122" i="2"/>
  <c r="O1927" i="2"/>
  <c r="W1926" i="2"/>
  <c r="J1926" i="2"/>
  <c r="L2121" i="2"/>
  <c r="P1926" i="2"/>
  <c r="C1926" i="2"/>
  <c r="K1925" i="2"/>
  <c r="C2122" i="2"/>
  <c r="G1927" i="2"/>
  <c r="O1926" i="2"/>
  <c r="W1925" i="2"/>
  <c r="T2137" i="2"/>
  <c r="C1943" i="2"/>
  <c r="K1942" i="2"/>
  <c r="S1941" i="2"/>
  <c r="U1938" i="2"/>
  <c r="I1962" i="2"/>
  <c r="T1767" i="2"/>
  <c r="O1767" i="2"/>
  <c r="J1767" i="2"/>
  <c r="O1960" i="2"/>
  <c r="E1766" i="2"/>
  <c r="U1765" i="2"/>
  <c r="P1765" i="2"/>
  <c r="N1853" i="2"/>
  <c r="C2256" i="2"/>
  <c r="G2003" i="2"/>
  <c r="O2002" i="2"/>
  <c r="W2001" i="2"/>
  <c r="D1999" i="2"/>
  <c r="H2484" i="2"/>
  <c r="U2258" i="2"/>
  <c r="W2189" i="2"/>
  <c r="C2144" i="2"/>
  <c r="N2199" i="2"/>
  <c r="K2336" i="2"/>
  <c r="G2124" i="2"/>
  <c r="O2214" i="2"/>
  <c r="K2140" i="2"/>
  <c r="D2123" i="2"/>
  <c r="O1925" i="2"/>
  <c r="P1924" i="2"/>
  <c r="Q2134" i="2"/>
  <c r="H1938" i="2"/>
  <c r="I1937" i="2"/>
  <c r="U1937" i="2"/>
  <c r="L2265" i="2"/>
  <c r="G2309" i="2"/>
  <c r="T2414" i="2"/>
  <c r="Q2307" i="2"/>
  <c r="G2111" i="2"/>
  <c r="O2110" i="2"/>
  <c r="W2109" i="2"/>
  <c r="S2108" i="2"/>
  <c r="H2110" i="2"/>
  <c r="P2109" i="2"/>
  <c r="C2109" i="2"/>
  <c r="T2107" i="2"/>
  <c r="T2110" i="2"/>
  <c r="G2110" i="2"/>
  <c r="O2109" i="2"/>
  <c r="K2108" i="2"/>
  <c r="U2212" i="2"/>
  <c r="G2288" i="2"/>
  <c r="J2384" i="2"/>
  <c r="L2287" i="2"/>
  <c r="K2107" i="2"/>
  <c r="S2106" i="2"/>
  <c r="F2106" i="2"/>
  <c r="W2104" i="2"/>
  <c r="L2106" i="2"/>
  <c r="T2105" i="2"/>
  <c r="G2105" i="2"/>
  <c r="C2104" i="2"/>
  <c r="C2107" i="2"/>
  <c r="K2106" i="2"/>
  <c r="S2105" i="2"/>
  <c r="L1965" i="2"/>
  <c r="O2122" i="2"/>
  <c r="S1927" i="2"/>
  <c r="F1927" i="2"/>
  <c r="N1926" i="2"/>
  <c r="P1923" i="2"/>
  <c r="D1947" i="2"/>
  <c r="O1752" i="2"/>
  <c r="J1752" i="2"/>
  <c r="E1752" i="2"/>
  <c r="J1945" i="2"/>
  <c r="U1750" i="2"/>
  <c r="P1750" i="2"/>
  <c r="S2032" i="2"/>
  <c r="I1838" i="2"/>
  <c r="D2195" i="2"/>
  <c r="W1987" i="2"/>
  <c r="R2438" i="2"/>
  <c r="H2262" i="2"/>
  <c r="Q2385" i="2"/>
  <c r="S2297" i="2"/>
  <c r="D2527" i="2"/>
  <c r="F2264" i="2"/>
  <c r="N2160" i="2"/>
  <c r="H2398" i="2"/>
  <c r="R2176" i="2"/>
  <c r="K2159" i="2"/>
  <c r="M2058" i="2"/>
  <c r="N2057" i="2"/>
  <c r="G2141" i="2"/>
  <c r="O2023" i="2"/>
  <c r="P2022" i="2"/>
  <c r="G2023" i="2"/>
  <c r="J2057" i="2"/>
  <c r="V2133" i="2"/>
  <c r="J2202" i="2"/>
  <c r="R2133" i="2"/>
  <c r="I2132" i="2"/>
  <c r="M1937" i="2"/>
  <c r="U1936" i="2"/>
  <c r="H1936" i="2"/>
  <c r="J2131" i="2"/>
  <c r="N1936" i="2"/>
  <c r="V1935" i="2"/>
  <c r="I1935" i="2"/>
  <c r="S2243" i="2"/>
  <c r="V2517" i="2"/>
  <c r="W2239" i="2"/>
  <c r="Q2316" i="2"/>
  <c r="H2332" i="2"/>
  <c r="G2415" i="2"/>
  <c r="D2222" i="2"/>
  <c r="Q2163" i="2"/>
  <c r="J2166" i="2"/>
  <c r="L2536" i="2"/>
  <c r="J2207" i="2"/>
  <c r="M2271" i="2"/>
  <c r="E2328" i="2"/>
  <c r="W2254" i="2"/>
  <c r="D2187" i="2"/>
  <c r="U2268" i="2"/>
  <c r="M2517" i="2"/>
  <c r="O2188" i="2"/>
  <c r="R1984" i="2"/>
  <c r="S1983" i="2"/>
  <c r="J1984" i="2"/>
  <c r="N2233" i="2"/>
  <c r="V1994" i="2"/>
  <c r="W1993" i="2"/>
  <c r="N1994" i="2"/>
  <c r="H2507" i="2"/>
  <c r="F2195" i="2"/>
  <c r="R2222" i="2"/>
  <c r="V2412" i="2"/>
  <c r="L2435" i="2"/>
  <c r="S2195" i="2"/>
  <c r="T2420" i="2"/>
  <c r="O2231" i="2"/>
  <c r="T2397" i="2"/>
  <c r="S2227" i="2"/>
  <c r="R2462" i="2"/>
  <c r="U2244" i="2"/>
  <c r="N2255" i="2"/>
  <c r="Q2197" i="2"/>
  <c r="M2151" i="2"/>
  <c r="F2154" i="2"/>
  <c r="R2343" i="2"/>
  <c r="D2418" i="2"/>
  <c r="M2440" i="2"/>
  <c r="K2539" i="2"/>
  <c r="S2242" i="2"/>
  <c r="O2168" i="2"/>
  <c r="Q2256" i="2"/>
  <c r="M2431" i="2"/>
  <c r="W2168" i="2"/>
  <c r="N1972" i="2"/>
  <c r="O1971" i="2"/>
  <c r="F1972" i="2"/>
  <c r="S2184" i="2"/>
  <c r="R1982" i="2"/>
  <c r="S1981" i="2"/>
  <c r="J1982" i="2"/>
  <c r="T2317" i="2"/>
  <c r="I2369" i="2"/>
  <c r="J2390" i="2"/>
  <c r="S2274" i="2"/>
  <c r="Q2329" i="2"/>
  <c r="M2323" i="2"/>
  <c r="U2334" i="2"/>
  <c r="O2455" i="2"/>
  <c r="V2508" i="2"/>
  <c r="J2440" i="2"/>
  <c r="S2376" i="2"/>
  <c r="R2250" i="2"/>
  <c r="D2256" i="2"/>
  <c r="T2261" i="2"/>
  <c r="M2214" i="2"/>
  <c r="L2245" i="2"/>
  <c r="Q2426" i="2"/>
  <c r="U2618" i="2"/>
  <c r="V2392" i="2"/>
  <c r="G2407" i="2"/>
  <c r="T2181" i="2"/>
  <c r="P2283" i="2"/>
  <c r="R2195" i="2"/>
  <c r="N2345" i="2"/>
  <c r="F2285" i="2"/>
  <c r="C2106" i="2"/>
  <c r="D2105" i="2"/>
  <c r="P2105" i="2"/>
  <c r="H2119" i="2"/>
  <c r="S1921" i="2"/>
  <c r="T1920" i="2"/>
  <c r="K1921" i="2"/>
  <c r="M2414" i="2"/>
  <c r="J2481" i="2"/>
  <c r="U2532" i="2"/>
  <c r="D2251" i="2"/>
  <c r="I2401" i="2"/>
  <c r="O2177" i="2"/>
  <c r="V2456" i="2"/>
  <c r="E2413" i="2"/>
  <c r="E2178" i="2"/>
  <c r="O2078" i="2"/>
  <c r="P2077" i="2"/>
  <c r="G2078" i="2"/>
  <c r="K2220" i="2"/>
  <c r="G2088" i="2"/>
  <c r="H2087" i="2"/>
  <c r="J2513" i="2"/>
  <c r="R2354" i="2"/>
  <c r="R2386" i="2"/>
  <c r="F2412" i="2"/>
  <c r="R2334" i="2"/>
  <c r="O2319" i="2"/>
  <c r="P2193" i="2"/>
  <c r="W2261" i="2"/>
  <c r="D2200" i="2"/>
  <c r="M2206" i="2"/>
  <c r="Q2202" i="2"/>
  <c r="W2204" i="2"/>
  <c r="E2437" i="2"/>
  <c r="P2001" i="2"/>
  <c r="Q2000" i="2"/>
  <c r="H2001" i="2"/>
  <c r="N2444" i="2"/>
  <c r="F2385" i="2"/>
  <c r="H2135" i="2"/>
  <c r="L1950" i="2"/>
  <c r="P2115" i="2"/>
  <c r="G1919" i="2"/>
  <c r="Q2112" i="2"/>
  <c r="H2113" i="2"/>
  <c r="Q2062" i="2"/>
  <c r="I2481" i="2"/>
  <c r="J2160" i="2"/>
  <c r="T2160" i="2"/>
  <c r="F2160" i="2"/>
  <c r="Q2061" i="2"/>
  <c r="D2061" i="2"/>
  <c r="L2060" i="2"/>
  <c r="H2059" i="2"/>
  <c r="R2060" i="2"/>
  <c r="E2060" i="2"/>
  <c r="M2059" i="2"/>
  <c r="I2058" i="2"/>
  <c r="I2061" i="2"/>
  <c r="Q2060" i="2"/>
  <c r="D2060" i="2"/>
  <c r="C1977" i="2"/>
  <c r="E2077" i="2"/>
  <c r="M2076" i="2"/>
  <c r="U2075" i="2"/>
  <c r="Q2074" i="2"/>
  <c r="M1878" i="2"/>
  <c r="V1901" i="2"/>
  <c r="Q1901" i="2"/>
  <c r="L1901" i="2"/>
  <c r="P1900" i="2"/>
  <c r="G1900" i="2"/>
  <c r="W1899" i="2"/>
  <c r="R1899" i="2"/>
  <c r="D1987" i="2"/>
  <c r="O1792" i="2"/>
  <c r="D2137" i="2"/>
  <c r="H1942" i="2"/>
  <c r="P1941" i="2"/>
  <c r="C1941" i="2"/>
  <c r="E1938" i="2"/>
  <c r="D2364" i="2"/>
  <c r="J2295" i="2"/>
  <c r="K2379" i="2"/>
  <c r="O2246" i="2"/>
  <c r="T2238" i="2"/>
  <c r="D2172" i="2"/>
  <c r="V2296" i="2"/>
  <c r="V2372" i="2"/>
  <c r="C2221" i="2"/>
  <c r="E2073" i="2"/>
  <c r="F2072" i="2"/>
  <c r="R2072" i="2"/>
  <c r="U2210" i="2"/>
  <c r="I2083" i="2"/>
  <c r="J2082" i="2"/>
  <c r="C2089" i="2"/>
  <c r="U2275" i="2"/>
  <c r="V2148" i="2"/>
  <c r="K2149" i="2"/>
  <c r="R2148" i="2"/>
  <c r="H2050" i="2"/>
  <c r="P2049" i="2"/>
  <c r="C2049" i="2"/>
  <c r="T2047" i="2"/>
  <c r="I2049" i="2"/>
  <c r="Q2048" i="2"/>
  <c r="D2048" i="2"/>
  <c r="U2046" i="2"/>
  <c r="U2049" i="2"/>
  <c r="H2049" i="2"/>
  <c r="P2048" i="2"/>
  <c r="T2142" i="2"/>
  <c r="S2236" i="2"/>
  <c r="F2232" i="2"/>
  <c r="O2145" i="2"/>
  <c r="F2144" i="2"/>
  <c r="L2046" i="2"/>
  <c r="T2045" i="2"/>
  <c r="G2045" i="2"/>
  <c r="G2143" i="2"/>
  <c r="M2045" i="2"/>
  <c r="U2044" i="2"/>
  <c r="H2044" i="2"/>
  <c r="S2143" i="2"/>
  <c r="D2046" i="2"/>
  <c r="L2045" i="2"/>
  <c r="T2044" i="2"/>
  <c r="W2112" i="2"/>
  <c r="U2061" i="2"/>
  <c r="H2061" i="2"/>
  <c r="P2060" i="2"/>
  <c r="L2059" i="2"/>
  <c r="H1863" i="2"/>
  <c r="Q1886" i="2"/>
  <c r="L1886" i="2"/>
  <c r="G1886" i="2"/>
  <c r="K1885" i="2"/>
  <c r="W1884" i="2"/>
  <c r="R1884" i="2"/>
  <c r="M1884" i="2"/>
  <c r="T1971" i="2"/>
  <c r="K1962" i="2"/>
  <c r="T2121" i="2"/>
  <c r="C1927" i="2"/>
  <c r="U2344" i="2"/>
  <c r="H2186" i="2"/>
  <c r="H2250" i="2"/>
  <c r="G2181" i="2"/>
  <c r="Q2292" i="2"/>
  <c r="S2296" i="2"/>
  <c r="G2351" i="2"/>
  <c r="T2449" i="2"/>
  <c r="E2119" i="2"/>
  <c r="F2012" i="2"/>
  <c r="G2011" i="2"/>
  <c r="K2487" i="2"/>
  <c r="O2218" i="2"/>
  <c r="W2436" i="2"/>
  <c r="J2149" i="2"/>
  <c r="L2297" i="2"/>
  <c r="H2407" i="2"/>
  <c r="R2239" i="2"/>
  <c r="E2223" i="2"/>
  <c r="G2349" i="2"/>
  <c r="W2265" i="2"/>
  <c r="N2165" i="2"/>
  <c r="P2268" i="2"/>
  <c r="U2166" i="2"/>
  <c r="R2286" i="2"/>
  <c r="P2253" i="2"/>
  <c r="U2505" i="2"/>
  <c r="H2257" i="2"/>
  <c r="P2240" i="2"/>
  <c r="I2419" i="2"/>
  <c r="J2304" i="2"/>
  <c r="G2196" i="2"/>
  <c r="G2145" i="2"/>
  <c r="V2165" i="2"/>
  <c r="J2266" i="2"/>
  <c r="R2165" i="2"/>
  <c r="I2164" i="2"/>
  <c r="M1969" i="2"/>
  <c r="U1968" i="2"/>
  <c r="H1968" i="2"/>
  <c r="J2163" i="2"/>
  <c r="N1968" i="2"/>
  <c r="V1967" i="2"/>
  <c r="I1967" i="2"/>
  <c r="V2163" i="2"/>
  <c r="E1969" i="2"/>
  <c r="S2268" i="2"/>
  <c r="K2177" i="2"/>
  <c r="G2289" i="2"/>
  <c r="F2177" i="2"/>
  <c r="R2175" i="2"/>
  <c r="V1980" i="2"/>
  <c r="I1980" i="2"/>
  <c r="Q1979" i="2"/>
  <c r="S2174" i="2"/>
  <c r="W1979" i="2"/>
  <c r="J1979" i="2"/>
  <c r="R1978" i="2"/>
  <c r="J2175" i="2"/>
  <c r="N1980" i="2"/>
  <c r="V1979" i="2"/>
  <c r="I2342" i="2"/>
  <c r="T2412" i="2"/>
  <c r="S2304" i="2"/>
  <c r="Q2713" i="2"/>
  <c r="M2317" i="2"/>
  <c r="K2317" i="2"/>
  <c r="Q2322" i="2"/>
  <c r="K2443" i="2"/>
  <c r="V2465" i="2"/>
  <c r="F2428" i="2"/>
  <c r="O2364" i="2"/>
  <c r="P2244" i="2"/>
  <c r="W2249" i="2"/>
  <c r="S2258" i="2"/>
  <c r="I2202" i="2"/>
  <c r="E2286" i="2"/>
  <c r="P2374" i="2"/>
  <c r="V2244" i="2"/>
  <c r="E2389" i="2"/>
  <c r="T2324" i="2"/>
  <c r="P2294" i="2"/>
  <c r="E2175" i="2"/>
  <c r="L2174" i="2"/>
  <c r="T2176" i="2"/>
  <c r="S2175" i="2"/>
  <c r="N2320" i="2"/>
  <c r="R2444" i="2"/>
  <c r="W2279" i="2"/>
  <c r="G2459" i="2"/>
  <c r="E2385" i="2"/>
  <c r="R2388" i="2"/>
  <c r="M2282" i="2"/>
  <c r="T2231" i="2"/>
  <c r="G2233" i="2"/>
  <c r="T2174" i="2"/>
  <c r="I2175" i="2"/>
  <c r="P2174" i="2"/>
  <c r="F2076" i="2"/>
  <c r="N2075" i="2"/>
  <c r="V2074" i="2"/>
  <c r="R2073" i="2"/>
  <c r="G2075" i="2"/>
  <c r="O2074" i="2"/>
  <c r="W2073" i="2"/>
  <c r="S2072" i="2"/>
  <c r="S2075" i="2"/>
  <c r="F2075" i="2"/>
  <c r="K2277" i="2"/>
  <c r="W2208" i="2"/>
  <c r="H2235" i="2"/>
  <c r="G2208" i="2"/>
  <c r="O2087" i="2"/>
  <c r="W2086" i="2"/>
  <c r="J2086" i="2"/>
  <c r="F2085" i="2"/>
  <c r="P2086" i="2"/>
  <c r="C2086" i="2"/>
  <c r="K2085" i="2"/>
  <c r="G2084" i="2"/>
  <c r="G2087" i="2"/>
  <c r="O2086" i="2"/>
  <c r="W2085" i="2"/>
  <c r="S2084" i="2"/>
  <c r="Q2263" i="2"/>
  <c r="J2341" i="2"/>
  <c r="J2472" i="2"/>
  <c r="C2353" i="2"/>
  <c r="D2124" i="2"/>
  <c r="Q2425" i="2"/>
  <c r="I2198" i="2"/>
  <c r="Q2521" i="2"/>
  <c r="U2461" i="2"/>
  <c r="T2199" i="2"/>
  <c r="Q2084" i="2"/>
  <c r="R2083" i="2"/>
  <c r="I2084" i="2"/>
  <c r="S2244" i="2"/>
  <c r="I2094" i="2"/>
  <c r="J2093" i="2"/>
  <c r="O1997" i="2"/>
  <c r="T2267" i="2"/>
  <c r="G2491" i="2"/>
  <c r="D2267" i="2"/>
  <c r="J2261" i="2"/>
  <c r="N2004" i="2"/>
  <c r="V2003" i="2"/>
  <c r="I2003" i="2"/>
  <c r="N2257" i="2"/>
  <c r="O2003" i="2"/>
  <c r="W2002" i="2"/>
  <c r="J2002" i="2"/>
  <c r="T2259" i="2"/>
  <c r="F2004" i="2"/>
  <c r="N2003" i="2"/>
  <c r="V2002" i="2"/>
  <c r="I2279" i="2"/>
  <c r="O2252" i="2"/>
  <c r="R2412" i="2"/>
  <c r="T2251" i="2"/>
  <c r="E2246" i="2"/>
  <c r="R2000" i="2"/>
  <c r="E2000" i="2"/>
  <c r="M1999" i="2"/>
  <c r="I2242" i="2"/>
  <c r="S1999" i="2"/>
  <c r="F1999" i="2"/>
  <c r="N1998" i="2"/>
  <c r="O2244" i="2"/>
  <c r="J2000" i="2"/>
  <c r="R1999" i="2"/>
  <c r="E1999" i="2"/>
  <c r="V2116" i="2"/>
  <c r="F2016" i="2"/>
  <c r="N2015" i="2"/>
  <c r="V2014" i="2"/>
  <c r="C2012" i="2"/>
  <c r="L2035" i="2"/>
  <c r="W1840" i="2"/>
  <c r="R1840" i="2"/>
  <c r="M1840" i="2"/>
  <c r="R2033" i="2"/>
  <c r="H1839" i="2"/>
  <c r="C1839" i="2"/>
  <c r="S1838" i="2"/>
  <c r="E1926" i="2"/>
  <c r="W1973" i="2"/>
  <c r="J2076" i="2"/>
  <c r="R2075" i="2"/>
  <c r="E2075" i="2"/>
  <c r="V2073" i="2"/>
  <c r="R1877" i="2"/>
  <c r="C2453" i="2"/>
  <c r="D2401" i="2"/>
  <c r="U2216" i="2"/>
  <c r="J2282" i="2"/>
  <c r="W2277" i="2"/>
  <c r="I2256" i="2"/>
  <c r="N2347" i="2"/>
  <c r="D2194" i="2"/>
  <c r="R2251" i="2"/>
  <c r="R2023" i="2"/>
  <c r="S2022" i="2"/>
  <c r="J2023" i="2"/>
  <c r="M2133" i="2"/>
  <c r="N2132" i="2"/>
  <c r="E2133" i="2"/>
  <c r="E1967" i="2"/>
  <c r="U2206" i="2"/>
  <c r="H2314" i="2"/>
  <c r="E2206" i="2"/>
  <c r="K2200" i="2"/>
  <c r="I1989" i="2"/>
  <c r="Q1988" i="2"/>
  <c r="D1988" i="2"/>
  <c r="O2196" i="2"/>
  <c r="J1988" i="2"/>
  <c r="R1987" i="2"/>
  <c r="E1987" i="2"/>
  <c r="U2198" i="2"/>
  <c r="V1988" i="2"/>
  <c r="I1988" i="2"/>
  <c r="Q1987" i="2"/>
  <c r="Q2405" i="2"/>
  <c r="P2191" i="2"/>
  <c r="C2299" i="2"/>
  <c r="U2190" i="2"/>
  <c r="F2185" i="2"/>
  <c r="M1985" i="2"/>
  <c r="U1984" i="2"/>
  <c r="H1984" i="2"/>
  <c r="J2181" i="2"/>
  <c r="N1984" i="2"/>
  <c r="V1983" i="2"/>
  <c r="I1983" i="2"/>
  <c r="P2183" i="2"/>
  <c r="E1985" i="2"/>
  <c r="M1984" i="2"/>
  <c r="U1983" i="2"/>
  <c r="U2246" i="2"/>
  <c r="V2000" i="2"/>
  <c r="I2000" i="2"/>
  <c r="Q1999" i="2"/>
  <c r="S1996" i="2"/>
  <c r="G2020" i="2"/>
  <c r="R1825" i="2"/>
  <c r="M1825" i="2"/>
  <c r="H1825" i="2"/>
  <c r="M2018" i="2"/>
  <c r="C1824" i="2"/>
  <c r="S1823" i="2"/>
  <c r="N1823" i="2"/>
  <c r="L1911" i="2"/>
  <c r="Q2110" i="2"/>
  <c r="E2061" i="2"/>
  <c r="M2060" i="2"/>
  <c r="D2367" i="2"/>
  <c r="Q2438" i="2"/>
  <c r="D2382" i="2"/>
  <c r="W2124" i="2"/>
  <c r="C2217" i="2"/>
  <c r="L2256" i="2"/>
  <c r="W2452" i="2"/>
  <c r="T2288" i="2"/>
  <c r="F2254" i="2"/>
  <c r="S1962" i="2"/>
  <c r="T1961" i="2"/>
  <c r="F2168" i="2"/>
  <c r="E2289" i="2"/>
  <c r="F2322" i="2"/>
  <c r="T2332" i="2"/>
  <c r="U2533" i="2"/>
  <c r="U2301" i="2"/>
  <c r="S2178" i="2"/>
  <c r="R2424" i="2"/>
  <c r="S2468" i="2"/>
  <c r="J2352" i="2"/>
  <c r="L2271" i="2"/>
  <c r="C2363" i="2"/>
  <c r="S2276" i="2"/>
  <c r="I2451" i="2"/>
  <c r="Q2192" i="2"/>
  <c r="I2409" i="2"/>
  <c r="I2196" i="2"/>
  <c r="Q2179" i="2"/>
  <c r="J2333" i="2"/>
  <c r="E2179" i="2"/>
  <c r="E2122" i="2"/>
  <c r="L2185" i="2"/>
  <c r="W2272" i="2"/>
  <c r="U2353" i="2"/>
  <c r="G2272" i="2"/>
  <c r="O2103" i="2"/>
  <c r="W2102" i="2"/>
  <c r="J2102" i="2"/>
  <c r="F2101" i="2"/>
  <c r="P2102" i="2"/>
  <c r="C2102" i="2"/>
  <c r="K2101" i="2"/>
  <c r="G2100" i="2"/>
  <c r="G2103" i="2"/>
  <c r="O2102" i="2"/>
  <c r="K2215" i="2"/>
  <c r="K2116" i="2"/>
  <c r="I2445" i="2"/>
  <c r="G2116" i="2"/>
  <c r="S2114" i="2"/>
  <c r="W1919" i="2"/>
  <c r="J1919" i="2"/>
  <c r="O2112" i="2"/>
  <c r="T2113" i="2"/>
  <c r="M2113" i="2"/>
  <c r="T2112" i="2"/>
  <c r="P2111" i="2"/>
  <c r="K2114" i="2"/>
  <c r="O1919" i="2"/>
  <c r="K2113" i="2"/>
  <c r="E2561" i="2"/>
  <c r="O2516" i="2"/>
  <c r="L2416" i="2"/>
  <c r="U2331" i="2"/>
  <c r="H2452" i="2"/>
  <c r="P2210" i="2"/>
  <c r="T2297" i="2"/>
  <c r="H2282" i="2"/>
  <c r="M2533" i="2"/>
  <c r="P2274" i="2"/>
  <c r="I2180" i="2"/>
  <c r="N2277" i="2"/>
  <c r="M2178" i="2"/>
  <c r="K2193" i="2"/>
  <c r="G2209" i="2"/>
  <c r="I2426" i="2"/>
  <c r="H2432" i="2"/>
  <c r="U2299" i="2"/>
  <c r="T2268" i="2"/>
  <c r="H2337" i="2"/>
  <c r="K2214" i="2"/>
  <c r="F2114" i="2"/>
  <c r="R2219" i="2"/>
  <c r="M2115" i="2"/>
  <c r="D2225" i="2"/>
  <c r="O2375" i="2"/>
  <c r="N2307" i="2"/>
  <c r="I2405" i="2"/>
  <c r="J2286" i="2"/>
  <c r="H2475" i="2"/>
  <c r="Q2296" i="2"/>
  <c r="Q2131" i="2"/>
  <c r="C2317" i="2"/>
  <c r="G2125" i="2"/>
  <c r="F2215" i="2"/>
  <c r="J2114" i="2"/>
  <c r="J2310" i="2"/>
  <c r="G2015" i="2"/>
  <c r="O2014" i="2"/>
  <c r="W2013" i="2"/>
  <c r="R2302" i="2"/>
  <c r="H2014" i="2"/>
  <c r="P2013" i="2"/>
  <c r="C2013" i="2"/>
  <c r="I2307" i="2"/>
  <c r="T2014" i="2"/>
  <c r="G2014" i="2"/>
  <c r="I2147" i="2"/>
  <c r="U2260" i="2"/>
  <c r="S2125" i="2"/>
  <c r="J2124" i="2"/>
  <c r="P2026" i="2"/>
  <c r="C2026" i="2"/>
  <c r="K2025" i="2"/>
  <c r="K2123" i="2"/>
  <c r="Q2025" i="2"/>
  <c r="D2025" i="2"/>
  <c r="L2024" i="2"/>
  <c r="W2123" i="2"/>
  <c r="H2026" i="2"/>
  <c r="P2025" i="2"/>
  <c r="C2025" i="2"/>
  <c r="G2119" i="2"/>
  <c r="L2140" i="2"/>
  <c r="Q2321" i="2"/>
  <c r="K2475" i="2"/>
  <c r="R2229" i="2"/>
  <c r="O2447" i="2"/>
  <c r="G2536" i="2"/>
  <c r="T2136" i="2"/>
  <c r="R2200" i="2"/>
  <c r="C2153" i="2"/>
  <c r="Q2135" i="2"/>
  <c r="I2035" i="2"/>
  <c r="J2034" i="2"/>
  <c r="F2261" i="2"/>
  <c r="W2047" i="2"/>
  <c r="C2047" i="2"/>
  <c r="O2047" i="2"/>
  <c r="N2069" i="2"/>
  <c r="C2140" i="2"/>
  <c r="N2214" i="2"/>
  <c r="T2139" i="2"/>
  <c r="K2138" i="2"/>
  <c r="O1943" i="2"/>
  <c r="W1942" i="2"/>
  <c r="J1942" i="2"/>
  <c r="L2137" i="2"/>
  <c r="P1942" i="2"/>
  <c r="C1942" i="2"/>
  <c r="K1941" i="2"/>
  <c r="C2138" i="2"/>
  <c r="G1943" i="2"/>
  <c r="O1942" i="2"/>
  <c r="W1941" i="2"/>
  <c r="L2123" i="2"/>
  <c r="G2136" i="2"/>
  <c r="V2206" i="2"/>
  <c r="C2136" i="2"/>
  <c r="O2134" i="2"/>
  <c r="S1939" i="2"/>
  <c r="F1939" i="2"/>
  <c r="N1938" i="2"/>
  <c r="P2133" i="2"/>
  <c r="T1938" i="2"/>
  <c r="G1938" i="2"/>
  <c r="O1937" i="2"/>
  <c r="G2134" i="2"/>
  <c r="K1939" i="2"/>
  <c r="S1938" i="2"/>
  <c r="F1938" i="2"/>
  <c r="C2150" i="2"/>
  <c r="G1955" i="2"/>
  <c r="O1954" i="2"/>
  <c r="W1953" i="2"/>
  <c r="D1951" i="2"/>
  <c r="M1974" i="2"/>
  <c r="C1780" i="2"/>
  <c r="S1779" i="2"/>
  <c r="N1779" i="2"/>
  <c r="S1972" i="2"/>
  <c r="I1778" i="2"/>
  <c r="D1778" i="2"/>
  <c r="T1777" i="2"/>
  <c r="R1865" i="2"/>
  <c r="P2114" i="2"/>
  <c r="K2015" i="2"/>
  <c r="S2014" i="2"/>
  <c r="F2014" i="2"/>
  <c r="H2011" i="2"/>
  <c r="C2526" i="2"/>
  <c r="E2329" i="2"/>
  <c r="O2206" i="2"/>
  <c r="V2222" i="2"/>
  <c r="I2357" i="2"/>
  <c r="O2373" i="2"/>
  <c r="W2172" i="2"/>
  <c r="J2263" i="2"/>
  <c r="O2220" i="2"/>
  <c r="T2171" i="2"/>
  <c r="J1974" i="2"/>
  <c r="K1973" i="2"/>
  <c r="R2197" i="2"/>
  <c r="C1987" i="2"/>
  <c r="D1986" i="2"/>
  <c r="P1986" i="2"/>
  <c r="L2134" i="2"/>
  <c r="S2124" i="2"/>
  <c r="D2184" i="2"/>
  <c r="O2124" i="2"/>
  <c r="F2123" i="2"/>
  <c r="J1928" i="2"/>
  <c r="R1927" i="2"/>
  <c r="E1927" i="2"/>
  <c r="G2122" i="2"/>
  <c r="K1927" i="2"/>
  <c r="S1926" i="2"/>
  <c r="F1926" i="2"/>
  <c r="S2122" i="2"/>
  <c r="W1927" i="2"/>
  <c r="J1927" i="2"/>
  <c r="R1926" i="2"/>
  <c r="S2159" i="2"/>
  <c r="W2120" i="2"/>
  <c r="W2523" i="2"/>
  <c r="S2120" i="2"/>
  <c r="J2119" i="2"/>
  <c r="N1924" i="2"/>
  <c r="V1923" i="2"/>
  <c r="I1923" i="2"/>
  <c r="K2118" i="2"/>
  <c r="O1923" i="2"/>
  <c r="W1922" i="2"/>
  <c r="J1922" i="2"/>
  <c r="W2118" i="2"/>
  <c r="F1924" i="2"/>
  <c r="N1923" i="2"/>
  <c r="V1922" i="2"/>
  <c r="S2134" i="2"/>
  <c r="W1939" i="2"/>
  <c r="J1939" i="2"/>
  <c r="R1938" i="2"/>
  <c r="T1935" i="2"/>
  <c r="H1959" i="2"/>
  <c r="S1764" i="2"/>
  <c r="N1764" i="2"/>
  <c r="I1764" i="2"/>
  <c r="N1957" i="2"/>
  <c r="D1763" i="2"/>
  <c r="T1762" i="2"/>
  <c r="F2045" i="2"/>
  <c r="M1850" i="2"/>
  <c r="T2243" i="2"/>
  <c r="F2000" i="2"/>
  <c r="I2636" i="2"/>
  <c r="P2385" i="2"/>
  <c r="V2340" i="2"/>
  <c r="E2234" i="2"/>
  <c r="H2181" i="2"/>
  <c r="P2303" i="2"/>
  <c r="P2304" i="2"/>
  <c r="K2202" i="2"/>
  <c r="G2128" i="2"/>
  <c r="O2296" i="2"/>
  <c r="H2107" i="2"/>
  <c r="I2106" i="2"/>
  <c r="K2121" i="2"/>
  <c r="N2308" i="2"/>
  <c r="S2147" i="2"/>
  <c r="P2216" i="2"/>
  <c r="P2353" i="2"/>
  <c r="P2534" i="2"/>
  <c r="H2296" i="2"/>
  <c r="S2494" i="2"/>
  <c r="F2200" i="2"/>
  <c r="O2141" i="2"/>
  <c r="T2210" i="2"/>
  <c r="V2142" i="2"/>
  <c r="M2221" i="2"/>
  <c r="M2205" i="2"/>
  <c r="U2514" i="2"/>
  <c r="V2212" i="2"/>
  <c r="U2329" i="2"/>
  <c r="K2260" i="2"/>
  <c r="P2262" i="2"/>
  <c r="E2159" i="2"/>
  <c r="L2158" i="2"/>
  <c r="I2190" i="2"/>
  <c r="Q2201" i="2"/>
  <c r="S2141" i="2"/>
  <c r="J2140" i="2"/>
  <c r="P2042" i="2"/>
  <c r="C2042" i="2"/>
  <c r="K2041" i="2"/>
  <c r="K2139" i="2"/>
  <c r="Q2041" i="2"/>
  <c r="D2041" i="2"/>
  <c r="L2040" i="2"/>
  <c r="W2139" i="2"/>
  <c r="H2042" i="2"/>
  <c r="P2041" i="2"/>
  <c r="I2349" i="2"/>
  <c r="R2152" i="2"/>
  <c r="G2153" i="2"/>
  <c r="N2152" i="2"/>
  <c r="D2054" i="2"/>
  <c r="L2053" i="2"/>
  <c r="T2052" i="2"/>
  <c r="P2051" i="2"/>
  <c r="E2053" i="2"/>
  <c r="M2052" i="2"/>
  <c r="U2051" i="2"/>
  <c r="Q2050" i="2"/>
  <c r="Q2053" i="2"/>
  <c r="D2053" i="2"/>
  <c r="V2552" i="2"/>
  <c r="L2242" i="2"/>
  <c r="M2439" i="2"/>
  <c r="M2330" i="2"/>
  <c r="D2228" i="2"/>
  <c r="I2366" i="2"/>
  <c r="U2263" i="2"/>
  <c r="E2402" i="2"/>
  <c r="Q2301" i="2"/>
  <c r="I2398" i="2"/>
  <c r="U2197" i="2"/>
  <c r="F2245" i="2"/>
  <c r="P2156" i="2"/>
  <c r="H2414" i="2"/>
  <c r="G2331" i="2"/>
  <c r="Q2206" i="2"/>
  <c r="K2254" i="2"/>
  <c r="I2346" i="2"/>
  <c r="M2224" i="2"/>
  <c r="U2207" i="2"/>
  <c r="E2446" i="2"/>
  <c r="M2235" i="2"/>
  <c r="I2150" i="2"/>
  <c r="F2238" i="2"/>
  <c r="P2151" i="2"/>
  <c r="S2225" i="2"/>
  <c r="K2238" i="2"/>
  <c r="K2416" i="2"/>
  <c r="C2242" i="2"/>
  <c r="K2225" i="2"/>
  <c r="J2358" i="2"/>
  <c r="N2270" i="2"/>
  <c r="T2167" i="2"/>
  <c r="J2189" i="2"/>
  <c r="Q2150" i="2"/>
  <c r="U2235" i="2"/>
  <c r="M2150" i="2"/>
  <c r="D2149" i="2"/>
  <c r="H1954" i="2"/>
  <c r="P1953" i="2"/>
  <c r="C1953" i="2"/>
  <c r="E2148" i="2"/>
  <c r="I1953" i="2"/>
  <c r="Q1952" i="2"/>
  <c r="D1952" i="2"/>
  <c r="Q2148" i="2"/>
  <c r="U1953" i="2"/>
  <c r="W2129" i="2"/>
  <c r="E2162" i="2"/>
  <c r="R2258" i="2"/>
  <c r="V2161" i="2"/>
  <c r="M2160" i="2"/>
  <c r="Q1965" i="2"/>
  <c r="D1965" i="2"/>
  <c r="L1964" i="2"/>
  <c r="N2159" i="2"/>
  <c r="R1964" i="2"/>
  <c r="E1964" i="2"/>
  <c r="M1963" i="2"/>
  <c r="E2160" i="2"/>
  <c r="I1965" i="2"/>
  <c r="Q1964" i="2"/>
  <c r="D1964" i="2"/>
  <c r="R2114" i="2"/>
  <c r="N2395" i="2"/>
  <c r="N2342" i="2"/>
  <c r="N2374" i="2"/>
  <c r="P2324" i="2"/>
  <c r="D2518" i="2"/>
  <c r="K2307" i="2"/>
  <c r="L2181" i="2"/>
  <c r="V2258" i="2"/>
  <c r="S2511" i="2"/>
  <c r="I2194" i="2"/>
  <c r="M2190" i="2"/>
  <c r="S2192" i="2"/>
  <c r="J2388" i="2"/>
  <c r="O1998" i="2"/>
  <c r="P1997" i="2"/>
  <c r="G1998" i="2"/>
  <c r="U2150" i="2"/>
  <c r="J2176" i="2"/>
  <c r="G2177" i="2"/>
  <c r="F2176" i="2"/>
  <c r="Q2077" i="2"/>
  <c r="D2077" i="2"/>
  <c r="L2076" i="2"/>
  <c r="H2075" i="2"/>
  <c r="R2076" i="2"/>
  <c r="E2076" i="2"/>
  <c r="M2075" i="2"/>
  <c r="I2074" i="2"/>
  <c r="I2077" i="2"/>
  <c r="Q2076" i="2"/>
  <c r="D2076" i="2"/>
  <c r="U2074" i="2"/>
  <c r="N2222" i="2"/>
  <c r="N2172" i="2"/>
  <c r="C2173" i="2"/>
  <c r="J2172" i="2"/>
  <c r="U2073" i="2"/>
  <c r="H2073" i="2"/>
  <c r="P2072" i="2"/>
  <c r="L2071" i="2"/>
  <c r="V2072" i="2"/>
  <c r="I2072" i="2"/>
  <c r="Q2071" i="2"/>
  <c r="M2070" i="2"/>
  <c r="M2073" i="2"/>
  <c r="U2072" i="2"/>
  <c r="H2072" i="2"/>
  <c r="S2025" i="2"/>
  <c r="I2089" i="2"/>
  <c r="Q2088" i="2"/>
  <c r="D2088" i="2"/>
  <c r="U2086" i="2"/>
  <c r="Q1890" i="2"/>
  <c r="E1914" i="2"/>
  <c r="U1913" i="2"/>
  <c r="P1913" i="2"/>
  <c r="T1912" i="2"/>
  <c r="K1912" i="2"/>
  <c r="F1912" i="2"/>
  <c r="V1911" i="2"/>
  <c r="H1999" i="2"/>
  <c r="S1804" i="2"/>
  <c r="H2149" i="2"/>
  <c r="L1954" i="2"/>
  <c r="T1953" i="2"/>
  <c r="G1953" i="2"/>
  <c r="I1950" i="2"/>
  <c r="I2477" i="2"/>
  <c r="O2331" i="2"/>
  <c r="N2456" i="2"/>
  <c r="Q2434" i="2"/>
  <c r="K2415" i="2"/>
  <c r="P2180" i="2"/>
  <c r="R2249" i="2"/>
  <c r="W2197" i="2"/>
  <c r="V2168" i="2"/>
  <c r="P2121" i="2"/>
  <c r="Q2120" i="2"/>
  <c r="H2121" i="2"/>
  <c r="U2203" i="2"/>
  <c r="P1937" i="2"/>
  <c r="Q1936" i="2"/>
  <c r="H1937" i="2"/>
  <c r="S2270" i="2"/>
  <c r="E2161" i="2"/>
  <c r="O2161" i="2"/>
  <c r="V2160" i="2"/>
  <c r="L2062" i="2"/>
  <c r="T2061" i="2"/>
  <c r="G2061" i="2"/>
  <c r="C2060" i="2"/>
  <c r="M2061" i="2"/>
  <c r="U2060" i="2"/>
  <c r="H2060" i="2"/>
  <c r="D2059" i="2"/>
  <c r="D2062" i="2"/>
  <c r="L2061" i="2"/>
  <c r="T2060" i="2"/>
  <c r="P2059" i="2"/>
  <c r="L2422" i="2"/>
  <c r="I2157" i="2"/>
  <c r="S2157" i="2"/>
  <c r="E2157" i="2"/>
  <c r="P2058" i="2"/>
  <c r="C2058" i="2"/>
  <c r="K2057" i="2"/>
  <c r="G2056" i="2"/>
  <c r="Q2057" i="2"/>
  <c r="D2057" i="2"/>
  <c r="L2056" i="2"/>
  <c r="H2055" i="2"/>
  <c r="H2058" i="2"/>
  <c r="P2057" i="2"/>
  <c r="C2057" i="2"/>
  <c r="T1964" i="2"/>
  <c r="D2074" i="2"/>
  <c r="L2073" i="2"/>
  <c r="T2072" i="2"/>
  <c r="P2071" i="2"/>
  <c r="L1875" i="2"/>
  <c r="U1898" i="2"/>
  <c r="P1898" i="2"/>
  <c r="K1898" i="2"/>
  <c r="O1897" i="2"/>
  <c r="F1897" i="2"/>
  <c r="V1896" i="2"/>
  <c r="Q1896" i="2"/>
  <c r="C1984" i="2"/>
  <c r="N1789" i="2"/>
  <c r="C2134" i="2"/>
  <c r="G1939" i="2"/>
  <c r="U2326" i="2"/>
  <c r="F2387" i="2"/>
  <c r="O2278" i="2"/>
  <c r="T2197" i="2"/>
  <c r="L2214" i="2"/>
  <c r="U2159" i="2"/>
  <c r="F2248" i="2"/>
  <c r="K2329" i="2"/>
  <c r="E2465" i="2"/>
  <c r="V2060" i="2"/>
  <c r="W2059" i="2"/>
  <c r="N2060" i="2"/>
  <c r="Q2248" i="2"/>
  <c r="W2022" i="2"/>
  <c r="C2022" i="2"/>
  <c r="O2022" i="2"/>
  <c r="M2262" i="2"/>
  <c r="R2193" i="2"/>
  <c r="N2205" i="2"/>
  <c r="W2192" i="2"/>
  <c r="S2083" i="2"/>
  <c r="F2083" i="2"/>
  <c r="N2082" i="2"/>
  <c r="J2081" i="2"/>
  <c r="T2082" i="2"/>
  <c r="G2082" i="2"/>
  <c r="O2081" i="2"/>
  <c r="K2080" i="2"/>
  <c r="U2477" i="2"/>
  <c r="W2133" i="2"/>
  <c r="O2323" i="2"/>
  <c r="P2312" i="2"/>
  <c r="D2434" i="2"/>
  <c r="R2242" i="2"/>
  <c r="H2212" i="2"/>
  <c r="M2306" i="2"/>
  <c r="O2421" i="2"/>
  <c r="S2121" i="2"/>
  <c r="U2261" i="2"/>
  <c r="N2161" i="2"/>
  <c r="N2316" i="2"/>
  <c r="V2356" i="2"/>
  <c r="K2244" i="2"/>
  <c r="P2242" i="2"/>
  <c r="P2335" i="2"/>
  <c r="V2157" i="2"/>
  <c r="K2309" i="2"/>
  <c r="N2428" i="2"/>
  <c r="G2185" i="2"/>
  <c r="Q2153" i="2"/>
  <c r="C2191" i="2"/>
  <c r="N2114" i="2"/>
  <c r="D2316" i="2"/>
  <c r="O2289" i="2"/>
  <c r="D2343" i="2"/>
  <c r="D2261" i="2"/>
  <c r="W2212" i="2"/>
  <c r="V2257" i="2"/>
  <c r="R2238" i="2"/>
  <c r="G2439" i="2"/>
  <c r="H2253" i="2"/>
  <c r="U2294" i="2"/>
  <c r="D2291" i="2"/>
  <c r="J2293" i="2"/>
  <c r="I2141" i="2"/>
  <c r="G2024" i="2"/>
  <c r="Q1852" i="2"/>
  <c r="W1850" i="2"/>
  <c r="V2087" i="2"/>
  <c r="L2330" i="2"/>
  <c r="V2376" i="2"/>
  <c r="S2171" i="2"/>
  <c r="C2196" i="2"/>
  <c r="P2255" i="2"/>
  <c r="M2001" i="2"/>
  <c r="N2000" i="2"/>
  <c r="E2001" i="2"/>
  <c r="K2240" i="2"/>
  <c r="Q1997" i="2"/>
  <c r="R1996" i="2"/>
  <c r="I1997" i="2"/>
  <c r="E2013" i="2"/>
  <c r="K2032" i="2"/>
  <c r="Q2030" i="2"/>
  <c r="D1923" i="2"/>
  <c r="H2404" i="2"/>
  <c r="S2265" i="2"/>
  <c r="W2202" i="2"/>
  <c r="F2337" i="2"/>
  <c r="P2366" i="2"/>
  <c r="U2449" i="2"/>
  <c r="E2553" i="2"/>
  <c r="U2191" i="2"/>
  <c r="N2144" i="2"/>
  <c r="N2115" i="2"/>
  <c r="O2114" i="2"/>
  <c r="F2115" i="2"/>
  <c r="Q2191" i="2"/>
  <c r="N1931" i="2"/>
  <c r="O1930" i="2"/>
  <c r="F1931" i="2"/>
  <c r="N2236" i="2"/>
  <c r="L2323" i="2"/>
  <c r="U2154" i="2"/>
  <c r="S2687" i="2"/>
  <c r="J2431" i="2"/>
  <c r="Q2127" i="2"/>
  <c r="L2182" i="2"/>
  <c r="U2143" i="2"/>
  <c r="N2126" i="2"/>
  <c r="F2026" i="2"/>
  <c r="G2025" i="2"/>
  <c r="Q2171" i="2"/>
  <c r="T2038" i="2"/>
  <c r="U2037" i="2"/>
  <c r="L2038" i="2"/>
  <c r="T2164" i="2"/>
  <c r="R2126" i="2"/>
  <c r="H2346" i="2"/>
  <c r="H2330" i="2"/>
  <c r="V2093" i="2"/>
  <c r="O2150" i="2"/>
  <c r="P2149" i="2"/>
  <c r="G2150" i="2"/>
  <c r="G2172" i="2"/>
  <c r="S2146" i="2"/>
  <c r="T2145" i="2"/>
  <c r="K2146" i="2"/>
  <c r="G2162" i="2"/>
  <c r="H1963" i="2"/>
  <c r="R1791" i="2"/>
  <c r="C1790" i="2"/>
  <c r="W2026" i="2"/>
  <c r="F2212" i="2"/>
  <c r="W2406" i="2"/>
  <c r="M2123" i="2"/>
  <c r="S2035" i="2"/>
  <c r="W2136" i="2"/>
  <c r="N1940" i="2"/>
  <c r="O1939" i="2"/>
  <c r="F1940" i="2"/>
  <c r="F2133" i="2"/>
  <c r="R1936" i="2"/>
  <c r="S1935" i="2"/>
  <c r="J1936" i="2"/>
  <c r="F1952" i="2"/>
  <c r="L1971" i="2"/>
  <c r="R1969" i="2"/>
  <c r="Q1862" i="2"/>
  <c r="P2264" i="2"/>
  <c r="G2527" i="2"/>
  <c r="P2159" i="2"/>
  <c r="L2506" i="2"/>
  <c r="H2202" i="2"/>
  <c r="S2153" i="2"/>
  <c r="U2229" i="2"/>
  <c r="G2317" i="2"/>
  <c r="O2367" i="2"/>
  <c r="T2054" i="2"/>
  <c r="U2053" i="2"/>
  <c r="L2054" i="2"/>
  <c r="K2165" i="2"/>
  <c r="C2065" i="2"/>
  <c r="D2064" i="2"/>
  <c r="I2598" i="2"/>
  <c r="T2276" i="2"/>
  <c r="S2463" i="2"/>
  <c r="G2375" i="2"/>
  <c r="H2285" i="2"/>
  <c r="C2337" i="2"/>
  <c r="T2163" i="2"/>
  <c r="G2254" i="2"/>
  <c r="C2184" i="2"/>
  <c r="Q2162" i="2"/>
  <c r="G1965" i="2"/>
  <c r="H1964" i="2"/>
  <c r="I2174" i="2"/>
  <c r="U1977" i="2"/>
  <c r="V1976" i="2"/>
  <c r="M1977" i="2"/>
  <c r="N2264" i="2"/>
  <c r="S2322" i="2"/>
  <c r="J2152" i="2"/>
  <c r="P2146" i="2"/>
  <c r="I2151" i="2"/>
  <c r="U2089" i="2"/>
  <c r="V2088" i="2"/>
  <c r="M2089" i="2"/>
  <c r="I2271" i="2"/>
  <c r="D2086" i="2"/>
  <c r="E2085" i="2"/>
  <c r="Q2085" i="2"/>
  <c r="M2101" i="2"/>
  <c r="U1902" i="2"/>
  <c r="S1730" i="2"/>
  <c r="L2011" i="2"/>
  <c r="C1966" i="2"/>
  <c r="P2451" i="2"/>
  <c r="F2278" i="2"/>
  <c r="K2170" i="2"/>
  <c r="K1986" i="2"/>
  <c r="I2173" i="2"/>
  <c r="C2074" i="2"/>
  <c r="D2073" i="2"/>
  <c r="P2073" i="2"/>
  <c r="M2169" i="2"/>
  <c r="G2070" i="2"/>
  <c r="H2069" i="2"/>
  <c r="T2069" i="2"/>
  <c r="P2085" i="2"/>
  <c r="D1911" i="2"/>
  <c r="J1909" i="2"/>
  <c r="R1801" i="2"/>
  <c r="U2265" i="2"/>
  <c r="E2401" i="2"/>
  <c r="Q2109" i="2"/>
  <c r="R2217" i="2"/>
  <c r="E2264" i="2"/>
  <c r="P2223" i="2"/>
  <c r="R2283" i="2"/>
  <c r="C2322" i="2"/>
  <c r="F2225" i="2"/>
  <c r="U1993" i="2"/>
  <c r="V1992" i="2"/>
  <c r="M1993" i="2"/>
  <c r="E2270" i="2"/>
  <c r="D2004" i="2"/>
  <c r="E2003" i="2"/>
  <c r="C2513" i="2"/>
  <c r="Q2411" i="2"/>
  <c r="C2204" i="2"/>
  <c r="W2155" i="2"/>
  <c r="E2485" i="2"/>
  <c r="O2443" i="2"/>
  <c r="O2264" i="2"/>
  <c r="H2193" i="2"/>
  <c r="D2119" i="2"/>
  <c r="C2260" i="2"/>
  <c r="E2098" i="2"/>
  <c r="F2097" i="2"/>
  <c r="I2315" i="2"/>
  <c r="J2111" i="2"/>
  <c r="K2110" i="2"/>
  <c r="W2110" i="2"/>
  <c r="S2645" i="2"/>
  <c r="C2258" i="2"/>
  <c r="S2200" i="2"/>
  <c r="R2245" i="2"/>
  <c r="I2206" i="2"/>
  <c r="V2028" i="2"/>
  <c r="W2027" i="2"/>
  <c r="N2028" i="2"/>
  <c r="H2144" i="2"/>
  <c r="E2025" i="2"/>
  <c r="F2024" i="2"/>
  <c r="R2024" i="2"/>
  <c r="N2040" i="2"/>
  <c r="V1841" i="2"/>
  <c r="D1864" i="2"/>
  <c r="M1950" i="2"/>
  <c r="M2099" i="2"/>
  <c r="R2392" i="2"/>
  <c r="U2122" i="2"/>
  <c r="T1926" i="2"/>
  <c r="C1937" i="2"/>
  <c r="D2209" i="2"/>
  <c r="D2013" i="2"/>
  <c r="E2012" i="2"/>
  <c r="Q2012" i="2"/>
  <c r="T2193" i="2"/>
  <c r="H2009" i="2"/>
  <c r="I2008" i="2"/>
  <c r="U2008" i="2"/>
  <c r="Q2024" i="2"/>
  <c r="E1850" i="2"/>
  <c r="K1848" i="2"/>
  <c r="N2010" i="2"/>
  <c r="I2257" i="2"/>
  <c r="G2159" i="2"/>
  <c r="I2060" i="2"/>
  <c r="J2022" i="2"/>
  <c r="W2335" i="2"/>
  <c r="K2034" i="2"/>
  <c r="L2033" i="2"/>
  <c r="Q2186" i="2"/>
  <c r="U1985" i="2"/>
  <c r="H1985" i="2"/>
  <c r="P1984" i="2"/>
  <c r="K2321" i="2"/>
  <c r="P2179" i="2"/>
  <c r="H2292" i="2"/>
  <c r="H2179" i="2"/>
  <c r="I2177" i="2"/>
  <c r="L1982" i="2"/>
  <c r="T1981" i="2"/>
  <c r="G1981" i="2"/>
  <c r="I2176" i="2"/>
  <c r="M1981" i="2"/>
  <c r="U1980" i="2"/>
  <c r="H1980" i="2"/>
  <c r="U2176" i="2"/>
  <c r="D1982" i="2"/>
  <c r="L1981" i="2"/>
  <c r="T1980" i="2"/>
  <c r="Q2234" i="2"/>
  <c r="U1997" i="2"/>
  <c r="H1997" i="2"/>
  <c r="P1996" i="2"/>
  <c r="R1993" i="2"/>
  <c r="F2017" i="2"/>
  <c r="Q1822" i="2"/>
  <c r="L1822" i="2"/>
  <c r="G1822" i="2"/>
  <c r="L2015" i="2"/>
  <c r="W1820" i="2"/>
  <c r="R1820" i="2"/>
  <c r="M1820" i="2"/>
  <c r="K1908" i="2"/>
  <c r="O2104" i="2"/>
  <c r="D2058" i="2"/>
  <c r="L2057" i="2"/>
  <c r="T2056" i="2"/>
  <c r="P2055" i="2"/>
  <c r="L1859" i="2"/>
  <c r="L2144" i="2"/>
  <c r="W2238" i="2"/>
  <c r="C1949" i="2"/>
  <c r="H1962" i="2"/>
  <c r="M2118" i="2"/>
  <c r="C1921" i="2"/>
  <c r="D1920" i="2"/>
  <c r="P1920" i="2"/>
  <c r="Q2114" i="2"/>
  <c r="D2111" i="2"/>
  <c r="E2110" i="2"/>
  <c r="T1989" i="2"/>
  <c r="P1932" i="2"/>
  <c r="L1758" i="2"/>
  <c r="R1756" i="2"/>
  <c r="D1994" i="2"/>
  <c r="J2101" i="2"/>
  <c r="U1982" i="2"/>
  <c r="K1788" i="2"/>
  <c r="F1788" i="2"/>
  <c r="V1787" i="2"/>
  <c r="F1981" i="2"/>
  <c r="Q1786" i="2"/>
  <c r="L1786" i="2"/>
  <c r="G1786" i="2"/>
  <c r="E1874" i="2"/>
  <c r="U1873" i="2"/>
  <c r="P1873" i="2"/>
  <c r="P2157" i="2"/>
  <c r="T1962" i="2"/>
  <c r="G1962" i="2"/>
  <c r="O1961" i="2"/>
  <c r="Q1958" i="2"/>
  <c r="E1982" i="2"/>
  <c r="P1787" i="2"/>
  <c r="K1787" i="2"/>
  <c r="F1787" i="2"/>
  <c r="K1980" i="2"/>
  <c r="V1785" i="2"/>
  <c r="Q1785" i="2"/>
  <c r="L1785" i="2"/>
  <c r="J1873" i="2"/>
  <c r="E1873" i="2"/>
  <c r="U1872" i="2"/>
  <c r="T2153" i="2"/>
  <c r="C1959" i="2"/>
  <c r="K1958" i="2"/>
  <c r="S1957" i="2"/>
  <c r="U1954" i="2"/>
  <c r="I1978" i="2"/>
  <c r="T1783" i="2"/>
  <c r="O1783" i="2"/>
  <c r="J1783" i="2"/>
  <c r="O1976" i="2"/>
  <c r="E1782" i="2"/>
  <c r="U1781" i="2"/>
  <c r="P1781" i="2"/>
  <c r="N1869" i="2"/>
  <c r="N1756" i="2"/>
  <c r="M1899" i="2"/>
  <c r="Q1891" i="2"/>
  <c r="F1677" i="2"/>
  <c r="V1676" i="2"/>
  <c r="D1677" i="2"/>
  <c r="N1785" i="2"/>
  <c r="G1813" i="2"/>
  <c r="I1618" i="2"/>
  <c r="D1618" i="2"/>
  <c r="G1618" i="2"/>
  <c r="V1744" i="2"/>
  <c r="J1754" i="2"/>
  <c r="L1559" i="2"/>
  <c r="I1820" i="2"/>
  <c r="S1895" i="2"/>
  <c r="D1792" i="2"/>
  <c r="F1597" i="2"/>
  <c r="V1596" i="2"/>
  <c r="D1597" i="2"/>
  <c r="F1855" i="2"/>
  <c r="G1733" i="2"/>
  <c r="I1538" i="2"/>
  <c r="D1538" i="2"/>
  <c r="G1538" i="2"/>
  <c r="J1886" i="2"/>
  <c r="M1674" i="2"/>
  <c r="H1674" i="2"/>
  <c r="K1674" i="2"/>
  <c r="E1613" i="2"/>
  <c r="O1605" i="2"/>
  <c r="V1410" i="2"/>
  <c r="U1215" i="2"/>
  <c r="Q1828" i="2"/>
  <c r="M1734" i="2"/>
  <c r="L1800" i="2"/>
  <c r="N1605" i="2"/>
  <c r="I1605" i="2"/>
  <c r="L1605" i="2"/>
  <c r="Q1888" i="2"/>
  <c r="O1741" i="2"/>
  <c r="Q1546" i="2"/>
  <c r="L1546" i="2"/>
  <c r="O1546" i="2"/>
  <c r="E1903" i="2"/>
  <c r="U1682" i="2"/>
  <c r="P1682" i="2"/>
  <c r="S1682" i="2"/>
  <c r="P1646" i="2"/>
  <c r="W1613" i="2"/>
  <c r="I1419" i="2"/>
  <c r="H1224" i="2"/>
  <c r="D1837" i="2"/>
  <c r="C1768" i="2"/>
  <c r="T1808" i="2"/>
  <c r="V1613" i="2"/>
  <c r="Q1613" i="2"/>
  <c r="T1613" i="2"/>
  <c r="K1727" i="2"/>
  <c r="W1749" i="2"/>
  <c r="D1555" i="2"/>
  <c r="T1554" i="2"/>
  <c r="W1554" i="2"/>
  <c r="P1725" i="2"/>
  <c r="H1691" i="2"/>
  <c r="C1691" i="2"/>
  <c r="F1691" i="2"/>
  <c r="F1680" i="2"/>
  <c r="H1680" i="2"/>
  <c r="N1290" i="2"/>
  <c r="J2240" i="2"/>
  <c r="H2478" i="2"/>
  <c r="E2097" i="2"/>
  <c r="I2107" i="2"/>
  <c r="T2154" i="2"/>
  <c r="V2053" i="2"/>
  <c r="W2052" i="2"/>
  <c r="N2053" i="2"/>
  <c r="C2151" i="2"/>
  <c r="E2050" i="2"/>
  <c r="F2049" i="2"/>
  <c r="L1940" i="2"/>
  <c r="N2065" i="2"/>
  <c r="I1892" i="2"/>
  <c r="O1890" i="2"/>
  <c r="E1933" i="2"/>
  <c r="U2070" i="2"/>
  <c r="P1967" i="2"/>
  <c r="F1773" i="2"/>
  <c r="V1772" i="2"/>
  <c r="Q1772" i="2"/>
  <c r="V1965" i="2"/>
  <c r="L1771" i="2"/>
  <c r="G1771" i="2"/>
  <c r="W1770" i="2"/>
  <c r="U1858" i="2"/>
  <c r="P1858" i="2"/>
  <c r="K1858" i="2"/>
  <c r="K2142" i="2"/>
  <c r="O1947" i="2"/>
  <c r="W1946" i="2"/>
  <c r="J1946" i="2"/>
  <c r="L1943" i="2"/>
  <c r="U1966" i="2"/>
  <c r="K1772" i="2"/>
  <c r="F1772" i="2"/>
  <c r="V1771" i="2"/>
  <c r="F1965" i="2"/>
  <c r="Q1770" i="2"/>
  <c r="L1770" i="2"/>
  <c r="G1770" i="2"/>
  <c r="E1858" i="2"/>
  <c r="U1857" i="2"/>
  <c r="P1857" i="2"/>
  <c r="O2138" i="2"/>
  <c r="S1943" i="2"/>
  <c r="F1943" i="2"/>
  <c r="N1942" i="2"/>
  <c r="P1939" i="2"/>
  <c r="D1963" i="2"/>
  <c r="O1768" i="2"/>
  <c r="J1768" i="2"/>
  <c r="E1768" i="2"/>
  <c r="J1961" i="2"/>
  <c r="U1766" i="2"/>
  <c r="P1766" i="2"/>
  <c r="K1766" i="2"/>
  <c r="I1854" i="2"/>
  <c r="D1726" i="2"/>
  <c r="H1884" i="2"/>
  <c r="G1861" i="2"/>
  <c r="V1661" i="2"/>
  <c r="Q1661" i="2"/>
  <c r="T1661" i="2"/>
  <c r="O1724" i="2"/>
  <c r="W1797" i="2"/>
  <c r="D1603" i="2"/>
  <c r="T1602" i="2"/>
  <c r="W1602" i="2"/>
  <c r="S1878" i="2"/>
  <c r="E1739" i="2"/>
  <c r="E1762" i="2"/>
  <c r="N2166" i="2"/>
  <c r="P2169" i="2"/>
  <c r="Q2168" i="2"/>
  <c r="H2169" i="2"/>
  <c r="P1936" i="2"/>
  <c r="M2170" i="2"/>
  <c r="M2275" i="2"/>
  <c r="I2170" i="2"/>
  <c r="U2168" i="2"/>
  <c r="D1974" i="2"/>
  <c r="L1973" i="2"/>
  <c r="T1972" i="2"/>
  <c r="V2167" i="2"/>
  <c r="E1973" i="2"/>
  <c r="M1972" i="2"/>
  <c r="U1971" i="2"/>
  <c r="M2168" i="2"/>
  <c r="Q1973" i="2"/>
  <c r="D1973" i="2"/>
  <c r="L1972" i="2"/>
  <c r="H2148" i="2"/>
  <c r="Q2166" i="2"/>
  <c r="U2267" i="2"/>
  <c r="M2166" i="2"/>
  <c r="D2165" i="2"/>
  <c r="H1970" i="2"/>
  <c r="P1969" i="2"/>
  <c r="C1969" i="2"/>
  <c r="E2164" i="2"/>
  <c r="I1969" i="2"/>
  <c r="Q1968" i="2"/>
  <c r="D1968" i="2"/>
  <c r="Q2164" i="2"/>
  <c r="U1969" i="2"/>
  <c r="H1969" i="2"/>
  <c r="P1968" i="2"/>
  <c r="V2185" i="2"/>
  <c r="Q1985" i="2"/>
  <c r="D1985" i="2"/>
  <c r="L1984" i="2"/>
  <c r="N1981" i="2"/>
  <c r="W2004" i="2"/>
  <c r="M1810" i="2"/>
  <c r="H1810" i="2"/>
  <c r="C1810" i="2"/>
  <c r="H2003" i="2"/>
  <c r="S1808" i="2"/>
  <c r="N1808" i="2"/>
  <c r="I1808" i="2"/>
  <c r="G1896" i="2"/>
  <c r="G2080" i="2"/>
  <c r="U2045" i="2"/>
  <c r="H2045" i="2"/>
  <c r="P2044" i="2"/>
  <c r="R2041" i="2"/>
  <c r="H1847" i="2"/>
  <c r="M2365" i="2"/>
  <c r="J2222" i="2"/>
  <c r="P2145" i="2"/>
  <c r="P1961" i="2"/>
  <c r="C2167" i="2"/>
  <c r="E2066" i="2"/>
  <c r="F2065" i="2"/>
  <c r="R2065" i="2"/>
  <c r="G2163" i="2"/>
  <c r="I2062" i="2"/>
  <c r="J2061" i="2"/>
  <c r="G1989" i="2"/>
  <c r="R2077" i="2"/>
  <c r="M1904" i="2"/>
  <c r="S1902" i="2"/>
  <c r="I1945" i="2"/>
  <c r="W2076" i="2"/>
  <c r="Q1970" i="2"/>
  <c r="G1776" i="2"/>
  <c r="W1775" i="2"/>
  <c r="R1775" i="2"/>
  <c r="W1968" i="2"/>
  <c r="M1774" i="2"/>
  <c r="H1774" i="2"/>
  <c r="C1774" i="2"/>
  <c r="V1861" i="2"/>
  <c r="Q1861" i="2"/>
  <c r="L1861" i="2"/>
  <c r="L2145" i="2"/>
  <c r="P1950" i="2"/>
  <c r="C1950" i="2"/>
  <c r="K1949" i="2"/>
  <c r="M1946" i="2"/>
  <c r="V1969" i="2"/>
  <c r="L1775" i="2"/>
  <c r="G1775" i="2"/>
  <c r="W1774" i="2"/>
  <c r="G1968" i="2"/>
  <c r="R1773" i="2"/>
  <c r="M1773" i="2"/>
  <c r="H1773" i="2"/>
  <c r="F1861" i="2"/>
  <c r="V1860" i="2"/>
  <c r="Q1860" i="2"/>
  <c r="P2141" i="2"/>
  <c r="T1946" i="2"/>
  <c r="G1946" i="2"/>
  <c r="O1945" i="2"/>
  <c r="Q1942" i="2"/>
  <c r="E1966" i="2"/>
  <c r="P1771" i="2"/>
  <c r="K1771" i="2"/>
  <c r="F1771" i="2"/>
  <c r="K1964" i="2"/>
  <c r="V1769" i="2"/>
  <c r="Q1769" i="2"/>
  <c r="L1769" i="2"/>
  <c r="J1857" i="2"/>
  <c r="F1732" i="2"/>
  <c r="I1887" i="2"/>
  <c r="I1867" i="2"/>
  <c r="W1664" i="2"/>
  <c r="R1664" i="2"/>
  <c r="U1664" i="2"/>
  <c r="S1736" i="2"/>
  <c r="C1801" i="2"/>
  <c r="E1606" i="2"/>
  <c r="U1605" i="2"/>
  <c r="C1606" i="2"/>
  <c r="W1890" i="2"/>
  <c r="F1742" i="2"/>
  <c r="G1768" i="2"/>
  <c r="E1808" i="2"/>
  <c r="C1847" i="2"/>
  <c r="U1779" i="2"/>
  <c r="W1584" i="2"/>
  <c r="R1584" i="2"/>
  <c r="U1584" i="2"/>
  <c r="K1806" i="2"/>
  <c r="F1721" i="2"/>
  <c r="V1720" i="2"/>
  <c r="D1721" i="2"/>
  <c r="P1720" i="2"/>
  <c r="W1861" i="2"/>
  <c r="I1662" i="2"/>
  <c r="D1662" i="2"/>
  <c r="G1662" i="2"/>
  <c r="J1564" i="2"/>
  <c r="K1593" i="2"/>
  <c r="R1398" i="2"/>
  <c r="G1784" i="2"/>
  <c r="M1816" i="2"/>
  <c r="N1880" i="2"/>
  <c r="H1788" i="2"/>
  <c r="J1593" i="2"/>
  <c r="E1593" i="2"/>
  <c r="H1593" i="2"/>
  <c r="V1839" i="2"/>
  <c r="K1729" i="2"/>
  <c r="M1534" i="2"/>
  <c r="H1534" i="2"/>
  <c r="K1534" i="2"/>
  <c r="R1878" i="2"/>
  <c r="Q1670" i="2"/>
  <c r="L1670" i="2"/>
  <c r="O1670" i="2"/>
  <c r="U1597" i="2"/>
  <c r="S1601" i="2"/>
  <c r="E1407" i="2"/>
  <c r="D1212" i="2"/>
  <c r="U1824" i="2"/>
  <c r="D1914" i="2"/>
  <c r="P1796" i="2"/>
  <c r="R1601" i="2"/>
  <c r="M1601" i="2"/>
  <c r="P1601" i="2"/>
  <c r="L1873" i="2"/>
  <c r="S1737" i="2"/>
  <c r="U1542" i="2"/>
  <c r="P1542" i="2"/>
  <c r="S1542" i="2"/>
  <c r="M1895" i="2"/>
  <c r="D1679" i="2"/>
  <c r="T1678" i="2"/>
  <c r="W1678" i="2"/>
  <c r="K1631" i="2"/>
  <c r="U1655" i="2"/>
  <c r="F1266" i="2"/>
  <c r="T2172" i="2"/>
  <c r="I2314" i="2"/>
  <c r="M2096" i="2"/>
  <c r="Q2003" i="2"/>
  <c r="N2273" i="2"/>
  <c r="R2269" i="2"/>
  <c r="C2272" i="2"/>
  <c r="Q2309" i="2"/>
  <c r="I2258" i="2"/>
  <c r="M2254" i="2"/>
  <c r="S2256" i="2"/>
  <c r="C2123" i="2"/>
  <c r="D2015" i="2"/>
  <c r="N1843" i="2"/>
  <c r="T1841" i="2"/>
  <c r="S2078" i="2"/>
  <c r="W2044" i="2"/>
  <c r="L1955" i="2"/>
  <c r="W1760" i="2"/>
  <c r="R1760" i="2"/>
  <c r="M1760" i="2"/>
  <c r="R1953" i="2"/>
  <c r="H1759" i="2"/>
  <c r="C1759" i="2"/>
  <c r="F2041" i="2"/>
  <c r="Q1846" i="2"/>
  <c r="L1846" i="2"/>
  <c r="V1995" i="2"/>
  <c r="G2130" i="2"/>
  <c r="K1935" i="2"/>
  <c r="S1934" i="2"/>
  <c r="F1934" i="2"/>
  <c r="H1931" i="2"/>
  <c r="Q1954" i="2"/>
  <c r="G1760" i="2"/>
  <c r="W1759" i="2"/>
  <c r="R1759" i="2"/>
  <c r="W1952" i="2"/>
  <c r="M1758" i="2"/>
  <c r="H1758" i="2"/>
  <c r="K2040" i="2"/>
  <c r="V1845" i="2"/>
  <c r="Q1845" i="2"/>
  <c r="Q1980" i="2"/>
  <c r="K2126" i="2"/>
  <c r="O1931" i="2"/>
  <c r="W1930" i="2"/>
  <c r="J1930" i="2"/>
  <c r="L1927" i="2"/>
  <c r="U1950" i="2"/>
  <c r="K1756" i="2"/>
  <c r="F1756" i="2"/>
  <c r="V1755" i="2"/>
  <c r="F1949" i="2"/>
  <c r="Q1754" i="2"/>
  <c r="L1754" i="2"/>
  <c r="O2036" i="2"/>
  <c r="E1842" i="2"/>
  <c r="M1896" i="2"/>
  <c r="D1872" i="2"/>
  <c r="P1844" i="2"/>
  <c r="R1649" i="2"/>
  <c r="M1649" i="2"/>
  <c r="P1649" i="2"/>
  <c r="P1870" i="2"/>
  <c r="S1785" i="2"/>
  <c r="U1590" i="2"/>
  <c r="P1590" i="2"/>
  <c r="S1590" i="2"/>
  <c r="C1830" i="2"/>
  <c r="V1726" i="2"/>
  <c r="R1737" i="2"/>
  <c r="M2122" i="2"/>
  <c r="D1926" i="2"/>
  <c r="E1925" i="2"/>
  <c r="Q1925" i="2"/>
  <c r="K2455" i="2"/>
  <c r="H2291" i="2"/>
  <c r="L2390" i="2"/>
  <c r="M2290" i="2"/>
  <c r="F2108" i="2"/>
  <c r="N2107" i="2"/>
  <c r="V2106" i="2"/>
  <c r="R2105" i="2"/>
  <c r="G2107" i="2"/>
  <c r="O2106" i="2"/>
  <c r="W2105" i="2"/>
  <c r="S2104" i="2"/>
  <c r="S2107" i="2"/>
  <c r="F2107" i="2"/>
  <c r="N2106" i="2"/>
  <c r="J2105" i="2"/>
  <c r="M2188" i="2"/>
  <c r="C2276" i="2"/>
  <c r="W2359" i="2"/>
  <c r="H2275" i="2"/>
  <c r="J2104" i="2"/>
  <c r="R2103" i="2"/>
  <c r="E2103" i="2"/>
  <c r="V2101" i="2"/>
  <c r="K2103" i="2"/>
  <c r="S2102" i="2"/>
  <c r="F2102" i="2"/>
  <c r="W2100" i="2"/>
  <c r="W2103" i="2"/>
  <c r="J2103" i="2"/>
  <c r="R2102" i="2"/>
  <c r="H1953" i="2"/>
  <c r="N2119" i="2"/>
  <c r="R1924" i="2"/>
  <c r="E1924" i="2"/>
  <c r="M1923" i="2"/>
  <c r="O1920" i="2"/>
  <c r="C1944" i="2"/>
  <c r="N1749" i="2"/>
  <c r="I1749" i="2"/>
  <c r="D1749" i="2"/>
  <c r="I1942" i="2"/>
  <c r="T1747" i="2"/>
  <c r="O1747" i="2"/>
  <c r="R2029" i="2"/>
  <c r="H1835" i="2"/>
  <c r="U2182" i="2"/>
  <c r="V1984" i="2"/>
  <c r="I1984" i="2"/>
  <c r="Q1983" i="2"/>
  <c r="S1980" i="2"/>
  <c r="I2427" i="2"/>
  <c r="L2221" i="2"/>
  <c r="P2147" i="2"/>
  <c r="U2158" i="2"/>
  <c r="N2146" i="2"/>
  <c r="S2019" i="2"/>
  <c r="T2018" i="2"/>
  <c r="K2019" i="2"/>
  <c r="W2125" i="2"/>
  <c r="W2015" i="2"/>
  <c r="C2015" i="2"/>
  <c r="O2015" i="2"/>
  <c r="K2031" i="2"/>
  <c r="S1832" i="2"/>
  <c r="V1854" i="2"/>
  <c r="J1941" i="2"/>
  <c r="U1956" i="2"/>
  <c r="J1953" i="2"/>
  <c r="I1910" i="2"/>
  <c r="D1910" i="2"/>
  <c r="T1909" i="2"/>
  <c r="C1909" i="2"/>
  <c r="O1908" i="2"/>
  <c r="J1908" i="2"/>
  <c r="E1908" i="2"/>
  <c r="L1995" i="2"/>
  <c r="W1800" i="2"/>
  <c r="R1800" i="2"/>
  <c r="M2007" i="2"/>
  <c r="R2084" i="2"/>
  <c r="E2084" i="2"/>
  <c r="M2083" i="2"/>
  <c r="I2082" i="2"/>
  <c r="E1886" i="2"/>
  <c r="N1909" i="2"/>
  <c r="I1909" i="2"/>
  <c r="D1909" i="2"/>
  <c r="H1908" i="2"/>
  <c r="T1907" i="2"/>
  <c r="O1907" i="2"/>
  <c r="J1907" i="2"/>
  <c r="Q1994" i="2"/>
  <c r="G1800" i="2"/>
  <c r="W1799" i="2"/>
  <c r="H1992" i="2"/>
  <c r="V2080" i="2"/>
  <c r="I2080" i="2"/>
  <c r="Q2079" i="2"/>
  <c r="M2078" i="2"/>
  <c r="I1882" i="2"/>
  <c r="R1905" i="2"/>
  <c r="M1905" i="2"/>
  <c r="H1905" i="2"/>
  <c r="L1904" i="2"/>
  <c r="C1904" i="2"/>
  <c r="S1903" i="2"/>
  <c r="N1903" i="2"/>
  <c r="U1990" i="2"/>
  <c r="K1796" i="2"/>
  <c r="F1827" i="2"/>
  <c r="K1728" i="2"/>
  <c r="V1798" i="2"/>
  <c r="C1604" i="2"/>
  <c r="S1603" i="2"/>
  <c r="V1603" i="2"/>
  <c r="O1882" i="2"/>
  <c r="D1740" i="2"/>
  <c r="F1545" i="2"/>
  <c r="V1544" i="2"/>
  <c r="D1545" i="2"/>
  <c r="D1900" i="2"/>
  <c r="J1681" i="2"/>
  <c r="E1841" i="2"/>
  <c r="F1747" i="2"/>
  <c r="C1798" i="2"/>
  <c r="D1719" i="2"/>
  <c r="T1718" i="2"/>
  <c r="W1718" i="2"/>
  <c r="N1718" i="2"/>
  <c r="S1857" i="2"/>
  <c r="G1660" i="2"/>
  <c r="W1659" i="2"/>
  <c r="E1660" i="2"/>
  <c r="N1912" i="2"/>
  <c r="H1796" i="2"/>
  <c r="J1601" i="2"/>
  <c r="E1601" i="2"/>
  <c r="H1765" i="2"/>
  <c r="U1572" i="2"/>
  <c r="L1532" i="2"/>
  <c r="S1337" i="2"/>
  <c r="E1857" i="2"/>
  <c r="N1755" i="2"/>
  <c r="N1831" i="2"/>
  <c r="I1727" i="2"/>
  <c r="K1532" i="2"/>
  <c r="F1532" i="2"/>
  <c r="I1532" i="2"/>
  <c r="N1874" i="2"/>
  <c r="O1668" i="2"/>
  <c r="J1668" i="2"/>
  <c r="M1668" i="2"/>
  <c r="H1751" i="2"/>
  <c r="P1804" i="2"/>
  <c r="R1609" i="2"/>
  <c r="M1609" i="2"/>
  <c r="J1899" i="2"/>
  <c r="P1589" i="2"/>
  <c r="T1540" i="2"/>
  <c r="F1346" i="2"/>
  <c r="P1874" i="2"/>
  <c r="V1763" i="2"/>
  <c r="D1865" i="2"/>
  <c r="Q1735" i="2"/>
  <c r="S1540" i="2"/>
  <c r="N1540" i="2"/>
  <c r="Q1540" i="2"/>
  <c r="I1891" i="2"/>
  <c r="W1676" i="2"/>
  <c r="R1676" i="2"/>
  <c r="U1676" i="2"/>
  <c r="S1784" i="2"/>
  <c r="C1813" i="2"/>
  <c r="E1618" i="2"/>
  <c r="U1617" i="2"/>
  <c r="P1838" i="2"/>
  <c r="S1531" i="2"/>
  <c r="W1533" i="2"/>
  <c r="I2181" i="2"/>
  <c r="J2400" i="2"/>
  <c r="U2319" i="2"/>
  <c r="V2108" i="2"/>
  <c r="H2155" i="2"/>
  <c r="T1958" i="2"/>
  <c r="U1957" i="2"/>
  <c r="L1958" i="2"/>
  <c r="L2151" i="2"/>
  <c r="C1955" i="2"/>
  <c r="D1954" i="2"/>
  <c r="P1954" i="2"/>
  <c r="L1970" i="2"/>
  <c r="R1989" i="2"/>
  <c r="C1988" i="2"/>
  <c r="W1880" i="2"/>
  <c r="K1926" i="2"/>
  <c r="U1922" i="2"/>
  <c r="D1895" i="2"/>
  <c r="T1894" i="2"/>
  <c r="O1894" i="2"/>
  <c r="S1893" i="2"/>
  <c r="J1893" i="2"/>
  <c r="E1893" i="2"/>
  <c r="U1892" i="2"/>
  <c r="G1980" i="2"/>
  <c r="R1785" i="2"/>
  <c r="M1785" i="2"/>
  <c r="N1946" i="2"/>
  <c r="M2069" i="2"/>
  <c r="U2068" i="2"/>
  <c r="H2068" i="2"/>
  <c r="D2067" i="2"/>
  <c r="U1870" i="2"/>
  <c r="I1894" i="2"/>
  <c r="D1894" i="2"/>
  <c r="T1893" i="2"/>
  <c r="C1893" i="2"/>
  <c r="O1892" i="2"/>
  <c r="J1892" i="2"/>
  <c r="E1892" i="2"/>
  <c r="L1979" i="2"/>
  <c r="W1784" i="2"/>
  <c r="R1784" i="2"/>
  <c r="I1931" i="2"/>
  <c r="Q2065" i="2"/>
  <c r="D2065" i="2"/>
  <c r="L2064" i="2"/>
  <c r="H2063" i="2"/>
  <c r="D1867" i="2"/>
  <c r="M1890" i="2"/>
  <c r="H1890" i="2"/>
  <c r="C1890" i="2"/>
  <c r="G1889" i="2"/>
  <c r="S1888" i="2"/>
  <c r="N1888" i="2"/>
  <c r="I1888" i="2"/>
  <c r="P1975" i="2"/>
  <c r="D1775" i="2"/>
  <c r="V1811" i="2"/>
  <c r="H1862" i="2"/>
  <c r="Q1783" i="2"/>
  <c r="S1588" i="2"/>
  <c r="N1588" i="2"/>
  <c r="Q1588" i="2"/>
  <c r="P1821" i="2"/>
  <c r="T1724" i="2"/>
  <c r="V1529" i="2"/>
  <c r="Q1529" i="2"/>
  <c r="T1529" i="2"/>
  <c r="O1869" i="2"/>
  <c r="E1666" i="2"/>
  <c r="P1810" i="2"/>
  <c r="M2171" i="2"/>
  <c r="E2071" i="2"/>
  <c r="F2070" i="2"/>
  <c r="V2082" i="2"/>
  <c r="M2251" i="2"/>
  <c r="U2145" i="2"/>
  <c r="J2146" i="2"/>
  <c r="Q2145" i="2"/>
  <c r="G2047" i="2"/>
  <c r="O2046" i="2"/>
  <c r="W2045" i="2"/>
  <c r="W2143" i="2"/>
  <c r="H2046" i="2"/>
  <c r="P2045" i="2"/>
  <c r="C2045" i="2"/>
  <c r="J2456" i="2"/>
  <c r="P2136" i="2"/>
  <c r="K2452" i="2"/>
  <c r="J2238" i="2"/>
  <c r="T2296" i="2"/>
  <c r="T2227" i="2"/>
  <c r="G2440" i="2"/>
  <c r="V2535" i="2"/>
  <c r="T2358" i="2"/>
  <c r="L2124" i="2"/>
  <c r="P2403" i="2"/>
  <c r="F2226" i="2"/>
  <c r="L2272" i="2"/>
  <c r="L2179" i="2"/>
  <c r="L2391" i="2"/>
  <c r="D2329" i="2"/>
  <c r="H2445" i="2"/>
  <c r="J2312" i="2"/>
  <c r="U2217" i="2"/>
  <c r="V2436" i="2"/>
  <c r="H2378" i="2"/>
  <c r="T2117" i="2"/>
  <c r="Q2205" i="2"/>
  <c r="V2330" i="2"/>
  <c r="F2181" i="2"/>
  <c r="P2090" i="2"/>
  <c r="R2231" i="2"/>
  <c r="L2211" i="2"/>
  <c r="T1990" i="2"/>
  <c r="C2001" i="2"/>
  <c r="K2136" i="2"/>
  <c r="C2113" i="2"/>
  <c r="U2119" i="2"/>
  <c r="V2012" i="2"/>
  <c r="W2011" i="2"/>
  <c r="N2012" i="2"/>
  <c r="J2028" i="2"/>
  <c r="R1829" i="2"/>
  <c r="Q2046" i="2"/>
  <c r="I1938" i="2"/>
  <c r="I2087" i="2"/>
  <c r="O2587" i="2"/>
  <c r="K2171" i="2"/>
  <c r="M2072" i="2"/>
  <c r="E2082" i="2"/>
  <c r="V2424" i="2"/>
  <c r="U2000" i="2"/>
  <c r="V1999" i="2"/>
  <c r="M2000" i="2"/>
  <c r="W2363" i="2"/>
  <c r="D1997" i="2"/>
  <c r="E1996" i="2"/>
  <c r="Q1996" i="2"/>
  <c r="M2012" i="2"/>
  <c r="V1837" i="2"/>
  <c r="G1836" i="2"/>
  <c r="S1961" i="2"/>
  <c r="W2499" i="2"/>
  <c r="N2207" i="2"/>
  <c r="N2011" i="2"/>
  <c r="V2230" i="2"/>
  <c r="W2190" i="2"/>
  <c r="S2116" i="2"/>
  <c r="U2204" i="2"/>
  <c r="E2382" i="2"/>
  <c r="F2117" i="2"/>
  <c r="R1920" i="2"/>
  <c r="S1919" i="2"/>
  <c r="J1920" i="2"/>
  <c r="K2128" i="2"/>
  <c r="V1930" i="2"/>
  <c r="W1929" i="2"/>
  <c r="V2659" i="2"/>
  <c r="W2322" i="2"/>
  <c r="D2433" i="2"/>
  <c r="T2292" i="2"/>
  <c r="N2520" i="2"/>
  <c r="F2263" i="2"/>
  <c r="J2275" i="2"/>
  <c r="K2299" i="2"/>
  <c r="E2229" i="2"/>
  <c r="E2125" i="2"/>
  <c r="F2124" i="2"/>
  <c r="R2124" i="2"/>
  <c r="U2457" i="2"/>
  <c r="G2038" i="2"/>
  <c r="H2037" i="2"/>
  <c r="T2037" i="2"/>
  <c r="V2318" i="2"/>
  <c r="O2351" i="2"/>
  <c r="W2216" i="2"/>
  <c r="R2096" i="2"/>
  <c r="G2152" i="2"/>
  <c r="S1955" i="2"/>
  <c r="T1954" i="2"/>
  <c r="K1955" i="2"/>
  <c r="K2148" i="2"/>
  <c r="W1951" i="2"/>
  <c r="C1951" i="2"/>
  <c r="O1951" i="2"/>
  <c r="K1967" i="2"/>
  <c r="Q1986" i="2"/>
  <c r="W1984" i="2"/>
  <c r="V1877" i="2"/>
  <c r="J2026" i="2"/>
  <c r="F2624" i="2"/>
  <c r="P2124" i="2"/>
  <c r="E2023" i="2"/>
  <c r="T2034" i="2"/>
  <c r="L2208" i="2"/>
  <c r="V1939" i="2"/>
  <c r="W1938" i="2"/>
  <c r="N1939" i="2"/>
  <c r="T2200" i="2"/>
  <c r="E1936" i="2"/>
  <c r="F1935" i="2"/>
  <c r="R1935" i="2"/>
  <c r="N1951" i="2"/>
  <c r="W1776" i="2"/>
  <c r="H1775" i="2"/>
  <c r="O2292" i="2"/>
  <c r="C2415" i="2"/>
  <c r="S2160" i="2"/>
  <c r="F1962" i="2"/>
  <c r="E2250" i="2"/>
  <c r="G2319" i="2"/>
  <c r="E2153" i="2"/>
  <c r="K2359" i="2"/>
  <c r="C2287" i="2"/>
  <c r="M2153" i="2"/>
  <c r="G2054" i="2"/>
  <c r="H2053" i="2"/>
  <c r="T2053" i="2"/>
  <c r="R2164" i="2"/>
  <c r="T2063" i="2"/>
  <c r="U2062" i="2"/>
  <c r="L2379" i="2"/>
  <c r="D2415" i="2"/>
  <c r="D2447" i="2"/>
  <c r="K2206" i="2"/>
  <c r="D2395" i="2"/>
  <c r="U2259" i="2"/>
  <c r="N2274" i="2"/>
  <c r="O2237" i="2"/>
  <c r="C2133" i="2"/>
  <c r="H2161" i="2"/>
  <c r="I2160" i="2"/>
  <c r="U2160" i="2"/>
  <c r="E2283" i="2"/>
  <c r="H1977" i="2"/>
  <c r="I1976" i="2"/>
  <c r="U1976" i="2"/>
  <c r="P2453" i="2"/>
  <c r="P2378" i="2"/>
  <c r="H2134" i="2"/>
  <c r="J2047" i="2"/>
  <c r="E2218" i="2"/>
  <c r="H2089" i="2"/>
  <c r="I2088" i="2"/>
  <c r="U2088" i="2"/>
  <c r="U2202" i="2"/>
  <c r="L2085" i="2"/>
  <c r="M2084" i="2"/>
  <c r="D2085" i="2"/>
  <c r="U2100" i="2"/>
  <c r="R1925" i="2"/>
  <c r="C1924" i="2"/>
  <c r="W1816" i="2"/>
  <c r="K1965" i="2"/>
  <c r="C2531" i="2"/>
  <c r="N2324" i="2"/>
  <c r="L2169" i="2"/>
  <c r="L1985" i="2"/>
  <c r="S2173" i="2"/>
  <c r="K2073" i="2"/>
  <c r="L2072" i="2"/>
  <c r="C2073" i="2"/>
  <c r="W2169" i="2"/>
  <c r="O2069" i="2"/>
  <c r="P2068" i="2"/>
  <c r="G2069" i="2"/>
  <c r="C2085" i="2"/>
  <c r="T1910" i="2"/>
  <c r="E1909" i="2"/>
  <c r="G2146" i="2"/>
  <c r="D2298" i="2"/>
  <c r="J2367" i="2"/>
  <c r="R2108" i="2"/>
  <c r="S2149" i="2"/>
  <c r="M2247" i="2"/>
  <c r="O2339" i="2"/>
  <c r="C2417" i="2"/>
  <c r="F2199" i="2"/>
  <c r="N2332" i="2"/>
  <c r="H1993" i="2"/>
  <c r="I1992" i="2"/>
  <c r="D2334" i="2"/>
  <c r="K2264" i="2"/>
  <c r="O2260" i="2"/>
  <c r="U2262" i="2"/>
  <c r="Q2462" i="2"/>
  <c r="I2229" i="2"/>
  <c r="I2261" i="2"/>
  <c r="R2264" i="2"/>
  <c r="Q2293" i="2"/>
  <c r="I2331" i="2"/>
  <c r="N2402" i="2"/>
  <c r="C2527" i="2"/>
  <c r="W2427" i="2"/>
  <c r="N2100" i="2"/>
  <c r="O2099" i="2"/>
  <c r="F2100" i="2"/>
  <c r="V2420" i="2"/>
  <c r="R2110" i="2"/>
  <c r="S2109" i="2"/>
  <c r="J2110" i="2"/>
  <c r="N2219" i="2"/>
  <c r="H2199" i="2"/>
  <c r="S1987" i="2"/>
  <c r="W1997" i="2"/>
  <c r="C2270" i="2"/>
  <c r="I2028" i="2"/>
  <c r="J2027" i="2"/>
  <c r="V2027" i="2"/>
  <c r="S2254" i="2"/>
  <c r="M2024" i="2"/>
  <c r="N2023" i="2"/>
  <c r="E2024" i="2"/>
  <c r="V2039" i="2"/>
  <c r="J1865" i="2"/>
  <c r="P1863" i="2"/>
  <c r="M2071" i="2"/>
  <c r="I2098" i="2"/>
  <c r="H2213" i="2"/>
  <c r="W2210" i="2"/>
  <c r="U1925" i="2"/>
  <c r="D1936" i="2"/>
  <c r="O2309" i="2"/>
  <c r="L2012" i="2"/>
  <c r="M2011" i="2"/>
  <c r="D2012" i="2"/>
  <c r="K2288" i="2"/>
  <c r="P2008" i="2"/>
  <c r="Q2007" i="2"/>
  <c r="H2008" i="2"/>
  <c r="D2024" i="2"/>
  <c r="U1849" i="2"/>
  <c r="F1848" i="2"/>
  <c r="M2085" i="2"/>
  <c r="L2278" i="2"/>
  <c r="S2383" i="2"/>
  <c r="J2059" i="2"/>
  <c r="K2021" i="2"/>
  <c r="F2134" i="2"/>
  <c r="S2033" i="2"/>
  <c r="T2032" i="2"/>
  <c r="V2131" i="2"/>
  <c r="E1937" i="2"/>
  <c r="M1936" i="2"/>
  <c r="U1935" i="2"/>
  <c r="J2249" i="2"/>
  <c r="E2130" i="2"/>
  <c r="R2194" i="2"/>
  <c r="V2129" i="2"/>
  <c r="M2128" i="2"/>
  <c r="Q1933" i="2"/>
  <c r="D1933" i="2"/>
  <c r="L1932" i="2"/>
  <c r="N2127" i="2"/>
  <c r="R1932" i="2"/>
  <c r="E1932" i="2"/>
  <c r="M1931" i="2"/>
  <c r="E2128" i="2"/>
  <c r="I1933" i="2"/>
  <c r="Q1932" i="2"/>
  <c r="D1932" i="2"/>
  <c r="V2143" i="2"/>
  <c r="E1949" i="2"/>
  <c r="M1948" i="2"/>
  <c r="U1947" i="2"/>
  <c r="W1944" i="2"/>
  <c r="K1968" i="2"/>
  <c r="V1773" i="2"/>
  <c r="Q1773" i="2"/>
  <c r="L1773" i="2"/>
  <c r="Q1966" i="2"/>
  <c r="G1772" i="2"/>
  <c r="W1771" i="2"/>
  <c r="R1771" i="2"/>
  <c r="P1859" i="2"/>
  <c r="K2280" i="2"/>
  <c r="I2009" i="2"/>
  <c r="Q2008" i="2"/>
  <c r="D2008" i="2"/>
  <c r="F2005" i="2"/>
  <c r="U2491" i="2"/>
  <c r="I2248" i="2"/>
  <c r="S2164" i="2"/>
  <c r="D2159" i="2"/>
  <c r="H2122" i="2"/>
  <c r="D2117" i="2"/>
  <c r="E2116" i="2"/>
  <c r="Q2116" i="2"/>
  <c r="O2439" i="2"/>
  <c r="O2113" i="2"/>
  <c r="N2112" i="2"/>
  <c r="E2113" i="2"/>
  <c r="Q2128" i="2"/>
  <c r="R1929" i="2"/>
  <c r="G1758" i="2"/>
  <c r="U2038" i="2"/>
  <c r="P2005" i="2"/>
  <c r="E2002" i="2"/>
  <c r="E1934" i="2"/>
  <c r="P1739" i="2"/>
  <c r="K1739" i="2"/>
  <c r="F1739" i="2"/>
  <c r="K1932" i="2"/>
  <c r="V1737" i="2"/>
  <c r="Q1737" i="2"/>
  <c r="T2019" i="2"/>
  <c r="J1825" i="2"/>
  <c r="E1825" i="2"/>
  <c r="C2105" i="2"/>
  <c r="E2109" i="2"/>
  <c r="M2108" i="2"/>
  <c r="U2107" i="2"/>
  <c r="Q2106" i="2"/>
  <c r="M1910" i="2"/>
  <c r="J1933" i="2"/>
  <c r="U1738" i="2"/>
  <c r="P1738" i="2"/>
  <c r="K1738" i="2"/>
  <c r="P1931" i="2"/>
  <c r="F1737" i="2"/>
  <c r="V1736" i="2"/>
  <c r="D2019" i="2"/>
  <c r="O1824" i="2"/>
  <c r="J1824" i="2"/>
  <c r="S2089" i="2"/>
  <c r="I2105" i="2"/>
  <c r="Q2104" i="2"/>
  <c r="D2104" i="2"/>
  <c r="U2102" i="2"/>
  <c r="Q1906" i="2"/>
  <c r="N1929" i="2"/>
  <c r="D1735" i="2"/>
  <c r="T1734" i="2"/>
  <c r="O1734" i="2"/>
  <c r="T1927" i="2"/>
  <c r="J1733" i="2"/>
  <c r="E1733" i="2"/>
  <c r="H2015" i="2"/>
  <c r="S1820" i="2"/>
  <c r="T1853" i="2"/>
  <c r="V1825" i="2"/>
  <c r="I1823" i="2"/>
  <c r="K1628" i="2"/>
  <c r="F1628" i="2"/>
  <c r="I1628" i="2"/>
  <c r="I1785" i="2"/>
  <c r="L1764" i="2"/>
  <c r="N1569" i="2"/>
  <c r="I1569" i="2"/>
  <c r="L1569" i="2"/>
  <c r="O1754" i="2"/>
  <c r="R1705" i="2"/>
  <c r="U1889" i="2"/>
  <c r="N1771" i="2"/>
  <c r="N1895" i="2"/>
  <c r="I1743" i="2"/>
  <c r="K1548" i="2"/>
  <c r="F1548" i="2"/>
  <c r="I1548" i="2"/>
  <c r="N1906" i="2"/>
  <c r="O1684" i="2"/>
  <c r="J1684" i="2"/>
  <c r="M1684" i="2"/>
  <c r="H1815" i="2"/>
  <c r="P1820" i="2"/>
  <c r="R1625" i="2"/>
  <c r="M1625" i="2"/>
  <c r="R1765" i="2"/>
  <c r="P1621" i="2"/>
  <c r="T1556" i="2"/>
  <c r="F1362" i="2"/>
  <c r="U1905" i="2"/>
  <c r="V1779" i="2"/>
  <c r="H1734" i="2"/>
  <c r="Q1751" i="2"/>
  <c r="S1556" i="2"/>
  <c r="N1556" i="2"/>
  <c r="Q1556" i="2"/>
  <c r="D1729" i="2"/>
  <c r="W1692" i="2"/>
  <c r="R1692" i="2"/>
  <c r="U1692" i="2"/>
  <c r="L1692" i="2"/>
  <c r="C1829" i="2"/>
  <c r="E1634" i="2"/>
  <c r="U1633" i="2"/>
  <c r="C1634" i="2"/>
  <c r="S1646" i="2"/>
  <c r="G1565" i="2"/>
  <c r="N1370" i="2"/>
  <c r="O1728" i="2"/>
  <c r="I1788" i="2"/>
  <c r="S1767" i="2"/>
  <c r="D1760" i="2"/>
  <c r="F1565" i="2"/>
  <c r="V1564" i="2"/>
  <c r="D1565" i="2"/>
  <c r="T1745" i="2"/>
  <c r="J1701" i="2"/>
  <c r="E1701" i="2"/>
  <c r="H1701" i="2"/>
  <c r="T1700" i="2"/>
  <c r="K1837" i="2"/>
  <c r="M1642" i="2"/>
  <c r="H1642" i="2"/>
  <c r="K1642" i="2"/>
  <c r="I1629" i="2"/>
  <c r="R1582" i="2"/>
  <c r="V2413" i="2"/>
  <c r="O2287" i="2"/>
  <c r="F2344" i="2"/>
  <c r="N2396" i="2"/>
  <c r="G2379" i="2"/>
  <c r="J2056" i="2"/>
  <c r="K2055" i="2"/>
  <c r="W2055" i="2"/>
  <c r="S2329" i="2"/>
  <c r="N2052" i="2"/>
  <c r="O2051" i="2"/>
  <c r="F2052" i="2"/>
  <c r="W2067" i="2"/>
  <c r="J1869" i="2"/>
  <c r="M1891" i="2"/>
  <c r="V1977" i="2"/>
  <c r="F1975" i="2"/>
  <c r="P1971" i="2"/>
  <c r="U1918" i="2"/>
  <c r="K1724" i="2"/>
  <c r="E1919" i="2"/>
  <c r="F1918" i="2"/>
  <c r="R1917" i="2"/>
  <c r="M1917" i="2"/>
  <c r="H1917" i="2"/>
  <c r="O2004" i="2"/>
  <c r="E1810" i="2"/>
  <c r="U1809" i="2"/>
  <c r="D2044" i="2"/>
  <c r="U2093" i="2"/>
  <c r="H2093" i="2"/>
  <c r="P2092" i="2"/>
  <c r="L2091" i="2"/>
  <c r="H1895" i="2"/>
  <c r="R1918" i="2"/>
  <c r="L1918" i="2"/>
  <c r="G1918" i="2"/>
  <c r="K1917" i="2"/>
  <c r="W1916" i="2"/>
  <c r="R1916" i="2"/>
  <c r="M1916" i="2"/>
  <c r="T2003" i="2"/>
  <c r="J1809" i="2"/>
  <c r="E1809" i="2"/>
  <c r="T2028" i="2"/>
  <c r="D2090" i="2"/>
  <c r="L2089" i="2"/>
  <c r="T2088" i="2"/>
  <c r="P2087" i="2"/>
  <c r="L1891" i="2"/>
  <c r="U1914" i="2"/>
  <c r="P1914" i="2"/>
  <c r="K1914" i="2"/>
  <c r="O1913" i="2"/>
  <c r="F1913" i="2"/>
  <c r="V1912" i="2"/>
  <c r="Q1912" i="2"/>
  <c r="C2000" i="2"/>
  <c r="N1805" i="2"/>
  <c r="I1836" i="2"/>
  <c r="W1764" i="2"/>
  <c r="D1808" i="2"/>
  <c r="F1613" i="2"/>
  <c r="V1612" i="2"/>
  <c r="D1613" i="2"/>
  <c r="J1724" i="2"/>
  <c r="G1749" i="2"/>
  <c r="I1554" i="2"/>
  <c r="D1554" i="2"/>
  <c r="G1554" i="2"/>
  <c r="J1918" i="2"/>
  <c r="M1690" i="2"/>
  <c r="K1859" i="2"/>
  <c r="H2171" i="2"/>
  <c r="T1974" i="2"/>
  <c r="U1973" i="2"/>
  <c r="L1974" i="2"/>
  <c r="J2128" i="2"/>
  <c r="R2121" i="2"/>
  <c r="H2566" i="2"/>
  <c r="N2121" i="2"/>
  <c r="E2120" i="2"/>
  <c r="I1925" i="2"/>
  <c r="Q1924" i="2"/>
  <c r="D1924" i="2"/>
  <c r="F2119" i="2"/>
  <c r="J1924" i="2"/>
  <c r="R1923" i="2"/>
  <c r="E1923" i="2"/>
  <c r="R2119" i="2"/>
  <c r="V1924" i="2"/>
  <c r="I1924" i="2"/>
  <c r="Q1923" i="2"/>
  <c r="O2147" i="2"/>
  <c r="V2117" i="2"/>
  <c r="M2457" i="2"/>
  <c r="R2117" i="2"/>
  <c r="I2116" i="2"/>
  <c r="M1921" i="2"/>
  <c r="U1920" i="2"/>
  <c r="H1920" i="2"/>
  <c r="J2115" i="2"/>
  <c r="N1920" i="2"/>
  <c r="V1919" i="2"/>
  <c r="F2113" i="2"/>
  <c r="V2115" i="2"/>
  <c r="E1921" i="2"/>
  <c r="M1920" i="2"/>
  <c r="C2002" i="2"/>
  <c r="R2131" i="2"/>
  <c r="V1936" i="2"/>
  <c r="I1936" i="2"/>
  <c r="Q1935" i="2"/>
  <c r="S1932" i="2"/>
  <c r="G1956" i="2"/>
  <c r="R1761" i="2"/>
  <c r="M1761" i="2"/>
  <c r="H1761" i="2"/>
  <c r="M1954" i="2"/>
  <c r="C1760" i="2"/>
  <c r="S1759" i="2"/>
  <c r="V2041" i="2"/>
  <c r="L1847" i="2"/>
  <c r="P2231" i="2"/>
  <c r="E1997" i="2"/>
  <c r="M1996" i="2"/>
  <c r="U1995" i="2"/>
  <c r="W1992" i="2"/>
  <c r="Q2193" i="2"/>
  <c r="E2334" i="2"/>
  <c r="F2169" i="2"/>
  <c r="P2252" i="2"/>
  <c r="C2175" i="2"/>
  <c r="N2068" i="2"/>
  <c r="O2067" i="2"/>
  <c r="F2068" i="2"/>
  <c r="W2185" i="2"/>
  <c r="R2064" i="2"/>
  <c r="S2063" i="2"/>
  <c r="J2064" i="2"/>
  <c r="F2080" i="2"/>
  <c r="N1881" i="2"/>
  <c r="Q1903" i="2"/>
  <c r="E1990" i="2"/>
  <c r="H1981" i="2"/>
  <c r="R1977" i="2"/>
  <c r="V1921" i="2"/>
  <c r="L1727" i="2"/>
  <c r="G1727" i="2"/>
  <c r="W1726" i="2"/>
  <c r="G1920" i="2"/>
  <c r="R1725" i="2"/>
  <c r="M1725" i="2"/>
  <c r="P2007" i="2"/>
  <c r="F1813" i="2"/>
  <c r="V1812" i="2"/>
  <c r="H2056" i="2"/>
  <c r="V2096" i="2"/>
  <c r="I2096" i="2"/>
  <c r="Q2095" i="2"/>
  <c r="M2094" i="2"/>
  <c r="I1898" i="2"/>
  <c r="F1921" i="2"/>
  <c r="Q1726" i="2"/>
  <c r="L1726" i="2"/>
  <c r="G1726" i="2"/>
  <c r="L1919" i="2"/>
  <c r="W1724" i="2"/>
  <c r="R1724" i="2"/>
  <c r="U2006" i="2"/>
  <c r="K1812" i="2"/>
  <c r="F1812" i="2"/>
  <c r="C2041" i="2"/>
  <c r="E2093" i="2"/>
  <c r="M2092" i="2"/>
  <c r="U2091" i="2"/>
  <c r="Q2090" i="2"/>
  <c r="M1894" i="2"/>
  <c r="V1917" i="2"/>
  <c r="Q1917" i="2"/>
  <c r="L1917" i="2"/>
  <c r="P1916" i="2"/>
  <c r="G1916" i="2"/>
  <c r="W1915" i="2"/>
  <c r="R1915" i="2"/>
  <c r="D2003" i="2"/>
  <c r="O1808" i="2"/>
  <c r="J1839" i="2"/>
  <c r="F1777" i="2"/>
  <c r="E1811" i="2"/>
  <c r="G1616" i="2"/>
  <c r="W1615" i="2"/>
  <c r="E1616" i="2"/>
  <c r="N1736" i="2"/>
  <c r="H1752" i="2"/>
  <c r="J1557" i="2"/>
  <c r="E1557" i="2"/>
  <c r="H1557" i="2"/>
  <c r="G1730" i="2"/>
  <c r="N1693" i="2"/>
  <c r="M1865" i="2"/>
  <c r="J1759" i="2"/>
  <c r="S1846" i="2"/>
  <c r="E1731" i="2"/>
  <c r="G1536" i="2"/>
  <c r="W1535" i="2"/>
  <c r="E1536" i="2"/>
  <c r="F1882" i="2"/>
  <c r="K1672" i="2"/>
  <c r="F1672" i="2"/>
  <c r="I1672" i="2"/>
  <c r="M1766" i="2"/>
  <c r="L1808" i="2"/>
  <c r="N1613" i="2"/>
  <c r="I1613" i="2"/>
  <c r="M1765" i="2"/>
  <c r="H1597" i="2"/>
  <c r="P1544" i="2"/>
  <c r="W1349" i="2"/>
  <c r="M1881" i="2"/>
  <c r="R1767" i="2"/>
  <c r="I1880" i="2"/>
  <c r="M1739" i="2"/>
  <c r="O1544" i="2"/>
  <c r="J1544" i="2"/>
  <c r="M1544" i="2"/>
  <c r="V1898" i="2"/>
  <c r="S1680" i="2"/>
  <c r="N1680" i="2"/>
  <c r="Q1680" i="2"/>
  <c r="C1800" i="2"/>
  <c r="T1816" i="2"/>
  <c r="V1621" i="2"/>
  <c r="Q1621" i="2"/>
  <c r="O1899" i="2"/>
  <c r="C1614" i="2"/>
  <c r="C1553" i="2"/>
  <c r="J1358" i="2"/>
  <c r="C1899" i="2"/>
  <c r="E1776" i="2"/>
  <c r="T1913" i="2"/>
  <c r="U1747" i="2"/>
  <c r="W1552" i="2"/>
  <c r="R1552" i="2"/>
  <c r="U1552" i="2"/>
  <c r="Q1915" i="2"/>
  <c r="F1689" i="2"/>
  <c r="V1688" i="2"/>
  <c r="D1689" i="2"/>
  <c r="P1688" i="2"/>
  <c r="G1825" i="2"/>
  <c r="I1630" i="2"/>
  <c r="D1630" i="2"/>
  <c r="G1630" i="2"/>
  <c r="N1580" i="2"/>
  <c r="J1558" i="2"/>
  <c r="E2390" i="2"/>
  <c r="H2494" i="2"/>
  <c r="O2248" i="2"/>
  <c r="N2293" i="2"/>
  <c r="G2292" i="2"/>
  <c r="O2007" i="2"/>
  <c r="P2006" i="2"/>
  <c r="G2007" i="2"/>
  <c r="S2264" i="2"/>
  <c r="S2003" i="2"/>
  <c r="T2002" i="2"/>
  <c r="K2003" i="2"/>
  <c r="G2019" i="2"/>
  <c r="M2038" i="2"/>
  <c r="S2036" i="2"/>
  <c r="F1929" i="2"/>
  <c r="S1950" i="2"/>
  <c r="H1947" i="2"/>
  <c r="H1907" i="2"/>
  <c r="C1907" i="2"/>
  <c r="S1906" i="2"/>
  <c r="W1905" i="2"/>
  <c r="N1905" i="2"/>
  <c r="I1905" i="2"/>
  <c r="D1905" i="2"/>
  <c r="K1992" i="2"/>
  <c r="V1797" i="2"/>
  <c r="Q1797" i="2"/>
  <c r="I1995" i="2"/>
  <c r="Q2081" i="2"/>
  <c r="D2081" i="2"/>
  <c r="L2080" i="2"/>
  <c r="H2079" i="2"/>
  <c r="D1883" i="2"/>
  <c r="M1906" i="2"/>
  <c r="H1906" i="2"/>
  <c r="C1906" i="2"/>
  <c r="G1905" i="2"/>
  <c r="S1904" i="2"/>
  <c r="N1904" i="2"/>
  <c r="I1904" i="2"/>
  <c r="P1991" i="2"/>
  <c r="F1797" i="2"/>
  <c r="V1796" i="2"/>
  <c r="D1980" i="2"/>
  <c r="U2077" i="2"/>
  <c r="H2077" i="2"/>
  <c r="P2076" i="2"/>
  <c r="L2075" i="2"/>
  <c r="H1879" i="2"/>
  <c r="Q1902" i="2"/>
  <c r="L1902" i="2"/>
  <c r="G1902" i="2"/>
  <c r="K1901" i="2"/>
  <c r="W1900" i="2"/>
  <c r="R1900" i="2"/>
  <c r="M1900" i="2"/>
  <c r="T1987" i="2"/>
  <c r="J1793" i="2"/>
  <c r="E1824" i="2"/>
  <c r="C1911" i="2"/>
  <c r="U1795" i="2"/>
  <c r="W1600" i="2"/>
  <c r="R1600" i="2"/>
  <c r="U1600" i="2"/>
  <c r="K1870" i="2"/>
  <c r="C1737" i="2"/>
  <c r="E1542" i="2"/>
  <c r="U1541" i="2"/>
  <c r="C1542" i="2"/>
  <c r="W1893" i="2"/>
  <c r="I1678" i="2"/>
  <c r="C1835" i="2"/>
  <c r="M2179" i="2"/>
  <c r="L1925" i="2"/>
  <c r="M1924" i="2"/>
  <c r="D1925" i="2"/>
  <c r="P2197" i="2"/>
  <c r="D2158" i="2"/>
  <c r="N2158" i="2"/>
  <c r="U2157" i="2"/>
  <c r="K2059" i="2"/>
  <c r="S2058" i="2"/>
  <c r="F2058" i="2"/>
  <c r="W2056" i="2"/>
  <c r="L2058" i="2"/>
  <c r="T2057" i="2"/>
  <c r="G2057" i="2"/>
  <c r="C2056" i="2"/>
  <c r="C2059" i="2"/>
  <c r="K2058" i="2"/>
  <c r="S2057" i="2"/>
  <c r="O2056" i="2"/>
  <c r="Q2373" i="2"/>
  <c r="H2154" i="2"/>
  <c r="R2154" i="2"/>
  <c r="D2154" i="2"/>
  <c r="O2055" i="2"/>
  <c r="W2054" i="2"/>
  <c r="J2054" i="2"/>
  <c r="F2053" i="2"/>
  <c r="P2054" i="2"/>
  <c r="C2054" i="2"/>
  <c r="K2053" i="2"/>
  <c r="G2052" i="2"/>
  <c r="G2055" i="2"/>
  <c r="O2054" i="2"/>
  <c r="W2053" i="2"/>
  <c r="P1952" i="2"/>
  <c r="C2071" i="2"/>
  <c r="K2070" i="2"/>
  <c r="S2069" i="2"/>
  <c r="O2068" i="2"/>
  <c r="K1872" i="2"/>
  <c r="T1895" i="2"/>
  <c r="O1895" i="2"/>
  <c r="J1895" i="2"/>
  <c r="N1894" i="2"/>
  <c r="E1894" i="2"/>
  <c r="U1893" i="2"/>
  <c r="P1893" i="2"/>
  <c r="W1980" i="2"/>
  <c r="W1998" i="2"/>
  <c r="W2130" i="2"/>
  <c r="F1936" i="2"/>
  <c r="N1935" i="2"/>
  <c r="V1934" i="2"/>
  <c r="C1932" i="2"/>
  <c r="Q2251" i="2"/>
  <c r="H2147" i="2"/>
  <c r="G1951" i="2"/>
  <c r="K1961" i="2"/>
  <c r="L2233" i="2"/>
  <c r="F2019" i="2"/>
  <c r="G2018" i="2"/>
  <c r="S2018" i="2"/>
  <c r="G2218" i="2"/>
  <c r="J2015" i="2"/>
  <c r="K2014" i="2"/>
  <c r="W2014" i="2"/>
  <c r="S2030" i="2"/>
  <c r="G1856" i="2"/>
  <c r="M1854" i="2"/>
  <c r="V2034" i="2"/>
  <c r="S2053" i="2"/>
  <c r="K1856" i="2"/>
  <c r="N1861" i="2"/>
  <c r="I1861" i="2"/>
  <c r="D1861" i="2"/>
  <c r="H1860" i="2"/>
  <c r="T1859" i="2"/>
  <c r="O1859" i="2"/>
  <c r="J1859" i="2"/>
  <c r="Q1946" i="2"/>
  <c r="G1752" i="2"/>
  <c r="W1751" i="2"/>
  <c r="F2061" i="2"/>
  <c r="W2035" i="2"/>
  <c r="J2035" i="2"/>
  <c r="R2034" i="2"/>
  <c r="T2031" i="2"/>
  <c r="J1837" i="2"/>
  <c r="S1860" i="2"/>
  <c r="N1860" i="2"/>
  <c r="I1860" i="2"/>
  <c r="M1859" i="2"/>
  <c r="D1859" i="2"/>
  <c r="T1858" i="2"/>
  <c r="O1858" i="2"/>
  <c r="V1945" i="2"/>
  <c r="L1751" i="2"/>
  <c r="G1751" i="2"/>
  <c r="S2052" i="2"/>
  <c r="F2032" i="2"/>
  <c r="N2031" i="2"/>
  <c r="V2030" i="2"/>
  <c r="C2028" i="2"/>
  <c r="N1833" i="2"/>
  <c r="W1856" i="2"/>
  <c r="R1856" i="2"/>
  <c r="M1856" i="2"/>
  <c r="Q1855" i="2"/>
  <c r="H1855" i="2"/>
  <c r="C1855" i="2"/>
  <c r="S1854" i="2"/>
  <c r="E1942" i="2"/>
  <c r="T1902" i="2"/>
  <c r="K1778" i="2"/>
  <c r="F1728" i="2"/>
  <c r="F1750" i="2"/>
  <c r="H1555" i="2"/>
  <c r="C1555" i="2"/>
  <c r="F1555" i="2"/>
  <c r="C1726" i="2"/>
  <c r="L1691" i="2"/>
  <c r="G1691" i="2"/>
  <c r="J1691" i="2"/>
  <c r="V1690" i="2"/>
  <c r="M1827" i="2"/>
  <c r="O1632" i="2"/>
  <c r="O1743" i="2"/>
  <c r="P1892" i="2"/>
  <c r="W1877" i="2"/>
  <c r="I1670" i="2"/>
  <c r="D1670" i="2"/>
  <c r="G1670" i="2"/>
  <c r="E1758" i="2"/>
  <c r="J1806" i="2"/>
  <c r="L1611" i="2"/>
  <c r="G1611" i="2"/>
  <c r="J1611" i="2"/>
  <c r="I1912" i="2"/>
  <c r="M1747" i="2"/>
  <c r="O1552" i="2"/>
  <c r="J1552" i="2"/>
  <c r="U1710" i="2"/>
  <c r="R1678" i="2"/>
  <c r="D1484" i="2"/>
  <c r="C1289" i="2"/>
  <c r="O1759" i="2"/>
  <c r="C1901" i="2"/>
  <c r="R1894" i="2"/>
  <c r="Q1678" i="2"/>
  <c r="L1678" i="2"/>
  <c r="O1678" i="2"/>
  <c r="P1791" i="2"/>
  <c r="R1814" i="2"/>
  <c r="T1619" i="2"/>
  <c r="O1619" i="2"/>
  <c r="R1619" i="2"/>
  <c r="C1751" i="2"/>
  <c r="U1755" i="2"/>
  <c r="W1560" i="2"/>
  <c r="R1560" i="2"/>
  <c r="H1744" i="2"/>
  <c r="E1687" i="2"/>
  <c r="L1492" i="2"/>
  <c r="K1297" i="2"/>
  <c r="E1777" i="2"/>
  <c r="K1909" i="2"/>
  <c r="M1911" i="2"/>
  <c r="D1687" i="2"/>
  <c r="T1686" i="2"/>
  <c r="W1686" i="2"/>
  <c r="F1825" i="2"/>
  <c r="E1823" i="2"/>
  <c r="G1628" i="2"/>
  <c r="W1627" i="2"/>
  <c r="E1628" i="2"/>
  <c r="N1784" i="2"/>
  <c r="H1764" i="2"/>
  <c r="J1569" i="2"/>
  <c r="E1569" i="2"/>
  <c r="S1777" i="2"/>
  <c r="O1628" i="2"/>
  <c r="T1436" i="2"/>
  <c r="V2252" i="2"/>
  <c r="L2324" i="2"/>
  <c r="H2096" i="2"/>
  <c r="W2107" i="2"/>
  <c r="C2245" i="2"/>
  <c r="G1958" i="2"/>
  <c r="H1957" i="2"/>
  <c r="T1957" i="2"/>
  <c r="K2237" i="2"/>
  <c r="K1954" i="2"/>
  <c r="L1953" i="2"/>
  <c r="C1954" i="2"/>
  <c r="T1969" i="2"/>
  <c r="H1795" i="2"/>
  <c r="N1793" i="2"/>
  <c r="R2049" i="2"/>
  <c r="I2023" i="2"/>
  <c r="T2043" i="2"/>
  <c r="I1846" i="2"/>
  <c r="D1846" i="2"/>
  <c r="T1845" i="2"/>
  <c r="D2039" i="2"/>
  <c r="O1844" i="2"/>
  <c r="J1844" i="2"/>
  <c r="E1844" i="2"/>
  <c r="L1931" i="2"/>
  <c r="W1736" i="2"/>
  <c r="R1736" i="2"/>
  <c r="D2126" i="2"/>
  <c r="R2020" i="2"/>
  <c r="E2020" i="2"/>
  <c r="M2019" i="2"/>
  <c r="O2016" i="2"/>
  <c r="C2040" i="2"/>
  <c r="N1845" i="2"/>
  <c r="I1845" i="2"/>
  <c r="D1845" i="2"/>
  <c r="I2038" i="2"/>
  <c r="T1843" i="2"/>
  <c r="O1843" i="2"/>
  <c r="J1843" i="2"/>
  <c r="Q1930" i="2"/>
  <c r="G1736" i="2"/>
  <c r="W1735" i="2"/>
  <c r="Q2117" i="2"/>
  <c r="V2016" i="2"/>
  <c r="I2016" i="2"/>
  <c r="Q2015" i="2"/>
  <c r="S2012" i="2"/>
  <c r="G2036" i="2"/>
  <c r="R1841" i="2"/>
  <c r="M1841" i="2"/>
  <c r="H1841" i="2"/>
  <c r="M2034" i="2"/>
  <c r="C1840" i="2"/>
  <c r="S1839" i="2"/>
  <c r="N1839" i="2"/>
  <c r="U1926" i="2"/>
  <c r="J1872" i="2"/>
  <c r="F1763" i="2"/>
  <c r="C1862" i="2"/>
  <c r="V1734" i="2"/>
  <c r="C1540" i="2"/>
  <c r="S1539" i="2"/>
  <c r="V1539" i="2"/>
  <c r="S1889" i="2"/>
  <c r="G1676" i="2"/>
  <c r="W1675" i="2"/>
  <c r="E1676" i="2"/>
  <c r="R1781" i="2"/>
  <c r="H1812" i="2"/>
  <c r="J1617" i="2"/>
  <c r="V2059" i="2"/>
  <c r="T2170" i="2"/>
  <c r="V2069" i="2"/>
  <c r="W2068" i="2"/>
  <c r="K1985" i="2"/>
  <c r="L2243" i="2"/>
  <c r="F2376" i="2"/>
  <c r="Q2242" i="2"/>
  <c r="W2236" i="2"/>
  <c r="L1998" i="2"/>
  <c r="T1997" i="2"/>
  <c r="G1997" i="2"/>
  <c r="F2233" i="2"/>
  <c r="M1997" i="2"/>
  <c r="U1996" i="2"/>
  <c r="H1996" i="2"/>
  <c r="E2455" i="2"/>
  <c r="K2343" i="2"/>
  <c r="F2366" i="2"/>
  <c r="N2300" i="2"/>
  <c r="E1984" i="2"/>
  <c r="C2224" i="2"/>
  <c r="W2353" i="2"/>
  <c r="G2436" i="2"/>
  <c r="J2406" i="2"/>
  <c r="P2314" i="2"/>
  <c r="M2497" i="2"/>
  <c r="R2274" i="2"/>
  <c r="V1971" i="2"/>
  <c r="D2178" i="2"/>
  <c r="D2463" i="2"/>
  <c r="T2330" i="2"/>
  <c r="K2320" i="2"/>
  <c r="G2245" i="2"/>
  <c r="M2289" i="2"/>
  <c r="K2387" i="2"/>
  <c r="K2105" i="2"/>
  <c r="U2116" i="2"/>
  <c r="I2277" i="2"/>
  <c r="H2187" i="2"/>
  <c r="W2077" i="2"/>
  <c r="Q2089" i="2"/>
  <c r="O2190" i="2"/>
  <c r="P2277" i="2"/>
  <c r="U1989" i="2"/>
  <c r="D2000" i="2"/>
  <c r="S1937" i="2"/>
  <c r="D2112" i="2"/>
  <c r="C2206" i="2"/>
  <c r="I2012" i="2"/>
  <c r="J2011" i="2"/>
  <c r="V2011" i="2"/>
  <c r="R2027" i="2"/>
  <c r="F1853" i="2"/>
  <c r="L1851" i="2"/>
  <c r="R2022" i="2"/>
  <c r="E2086" i="2"/>
  <c r="V2317" i="2"/>
  <c r="N2432" i="2"/>
  <c r="N2071" i="2"/>
  <c r="F2081" i="2"/>
  <c r="U2254" i="2"/>
  <c r="H2000" i="2"/>
  <c r="I1999" i="2"/>
  <c r="U1999" i="2"/>
  <c r="P2239" i="2"/>
  <c r="L1996" i="2"/>
  <c r="M1995" i="2"/>
  <c r="D1996" i="2"/>
  <c r="U2011" i="2"/>
  <c r="Q1837" i="2"/>
  <c r="W1835" i="2"/>
  <c r="I2073" i="2"/>
  <c r="F2456" i="2"/>
  <c r="I2601" i="2"/>
  <c r="O2010" i="2"/>
  <c r="H2236" i="2"/>
  <c r="L2490" i="2"/>
  <c r="N2460" i="2"/>
  <c r="F2301" i="2"/>
  <c r="M2203" i="2"/>
  <c r="K2451" i="2"/>
  <c r="E1920" i="2"/>
  <c r="F1919" i="2"/>
  <c r="W2224" i="2"/>
  <c r="W2126" i="2"/>
  <c r="C2126" i="2"/>
  <c r="O2126" i="2"/>
  <c r="Q2480" i="2"/>
  <c r="P2318" i="2"/>
  <c r="E2314" i="2"/>
  <c r="F2242" i="2"/>
  <c r="P2362" i="2"/>
  <c r="J2126" i="2"/>
  <c r="V2488" i="2"/>
  <c r="M2594" i="2"/>
  <c r="O2149" i="2"/>
  <c r="K2027" i="2"/>
  <c r="L2026" i="2"/>
  <c r="C2027" i="2"/>
  <c r="W2137" i="2"/>
  <c r="O2037" i="2"/>
  <c r="P2036" i="2"/>
  <c r="G2037" i="2"/>
  <c r="F2204" i="2"/>
  <c r="E2226" i="2"/>
  <c r="D2084" i="2"/>
  <c r="S2095" i="2"/>
  <c r="V2238" i="2"/>
  <c r="F1955" i="2"/>
  <c r="G1954" i="2"/>
  <c r="S1954" i="2"/>
  <c r="I2231" i="2"/>
  <c r="J1951" i="2"/>
  <c r="K1950" i="2"/>
  <c r="W1950" i="2"/>
  <c r="S1966" i="2"/>
  <c r="G1792" i="2"/>
  <c r="M1790" i="2"/>
  <c r="C2139" i="2"/>
  <c r="L2023" i="2"/>
  <c r="Q2142" i="2"/>
  <c r="H2510" i="2"/>
  <c r="F2022" i="2"/>
  <c r="K2035" i="2"/>
  <c r="S2136" i="2"/>
  <c r="I1939" i="2"/>
  <c r="J1938" i="2"/>
  <c r="V1938" i="2"/>
  <c r="W2132" i="2"/>
  <c r="M1935" i="2"/>
  <c r="N1934" i="2"/>
  <c r="E1935" i="2"/>
  <c r="V1950" i="2"/>
  <c r="R1776" i="2"/>
  <c r="C1775" i="2"/>
  <c r="J2012" i="2"/>
  <c r="D2287" i="2"/>
  <c r="F2251" i="2"/>
  <c r="G1961" i="2"/>
  <c r="P2330" i="2"/>
  <c r="D2239" i="2"/>
  <c r="E2155" i="2"/>
  <c r="I2237" i="2"/>
  <c r="I2171" i="2"/>
  <c r="W2153" i="2"/>
  <c r="O2053" i="2"/>
  <c r="P2052" i="2"/>
  <c r="D2192" i="2"/>
  <c r="H2066" i="2"/>
  <c r="I2065" i="2"/>
  <c r="U2065" i="2"/>
  <c r="T2570" i="2"/>
  <c r="O2327" i="2"/>
  <c r="F2353" i="2"/>
  <c r="G2388" i="2"/>
  <c r="Q2236" i="2"/>
  <c r="M2162" i="2"/>
  <c r="O2250" i="2"/>
  <c r="E2407" i="2"/>
  <c r="U2162" i="2"/>
  <c r="L1966" i="2"/>
  <c r="M1965" i="2"/>
  <c r="D1966" i="2"/>
  <c r="E2174" i="2"/>
  <c r="P1976" i="2"/>
  <c r="Q1975" i="2"/>
  <c r="H1976" i="2"/>
  <c r="P2596" i="2"/>
  <c r="W2463" i="2"/>
  <c r="I2133" i="2"/>
  <c r="K2046" i="2"/>
  <c r="N2253" i="2"/>
  <c r="P2088" i="2"/>
  <c r="Q2087" i="2"/>
  <c r="H2088" i="2"/>
  <c r="D2223" i="2"/>
  <c r="T2084" i="2"/>
  <c r="U2083" i="2"/>
  <c r="L2084" i="2"/>
  <c r="H2100" i="2"/>
  <c r="H1731" i="2"/>
  <c r="N1729" i="2"/>
  <c r="L2161" i="2"/>
  <c r="M1962" i="2"/>
  <c r="W2242" i="2"/>
  <c r="R2246" i="2"/>
  <c r="C2170" i="2"/>
  <c r="C1986" i="2"/>
  <c r="E2173" i="2"/>
  <c r="G2072" i="2"/>
  <c r="H2071" i="2"/>
  <c r="T2071" i="2"/>
  <c r="I2169" i="2"/>
  <c r="K2068" i="2"/>
  <c r="L2067" i="2"/>
  <c r="O2013" i="2"/>
  <c r="T2083" i="2"/>
  <c r="O1910" i="2"/>
  <c r="U1908" i="2"/>
  <c r="K1951" i="2"/>
  <c r="M2421" i="2"/>
  <c r="S2185" i="2"/>
  <c r="I2109" i="2"/>
  <c r="G2219" i="2"/>
  <c r="R2446" i="2"/>
  <c r="W2228" i="2"/>
  <c r="F2291" i="2"/>
  <c r="R2293" i="2"/>
  <c r="K2224" i="2"/>
  <c r="P1992" i="2"/>
  <c r="Q1991" i="2"/>
  <c r="U2270" i="2"/>
  <c r="I2005" i="2"/>
  <c r="J2004" i="2"/>
  <c r="V2004" i="2"/>
  <c r="I2402" i="2"/>
  <c r="N2379" i="2"/>
  <c r="M2505" i="2"/>
  <c r="N2221" i="2"/>
  <c r="V2544" i="2"/>
  <c r="H2259" i="2"/>
  <c r="P2189" i="2"/>
  <c r="F2321" i="2"/>
  <c r="S2260" i="2"/>
  <c r="V2099" i="2"/>
  <c r="W2098" i="2"/>
  <c r="N2099" i="2"/>
  <c r="S2313" i="2"/>
  <c r="N2109" i="2"/>
  <c r="O2108" i="2"/>
  <c r="F2109" i="2"/>
  <c r="C2351" i="2"/>
  <c r="V2271" i="2"/>
  <c r="T1986" i="2"/>
  <c r="C1997" i="2"/>
  <c r="D2128" i="2"/>
  <c r="Q2027" i="2"/>
  <c r="R2026" i="2"/>
  <c r="I2027" i="2"/>
  <c r="H2124" i="2"/>
  <c r="U2023" i="2"/>
  <c r="V2022" i="2"/>
  <c r="M2023" i="2"/>
  <c r="I2039" i="2"/>
  <c r="E1865" i="2"/>
  <c r="K1863" i="2"/>
  <c r="R2100" i="2"/>
  <c r="E1902" i="2"/>
  <c r="Q2279" i="2"/>
  <c r="M2406" i="2"/>
  <c r="L1926" i="2"/>
  <c r="U2015" i="2"/>
  <c r="F2298" i="2"/>
  <c r="E2294" i="2"/>
  <c r="K2296" i="2"/>
  <c r="M2204" i="2"/>
  <c r="Q2282" i="2"/>
  <c r="U2278" i="2"/>
  <c r="F2281" i="2"/>
  <c r="G2135" i="2"/>
  <c r="F2021" i="2"/>
  <c r="P1849" i="2"/>
  <c r="V1847" i="2"/>
  <c r="U2084" i="2"/>
  <c r="P2123" i="2"/>
  <c r="R2300" i="2"/>
  <c r="S2011" i="2"/>
  <c r="N2058" i="2"/>
  <c r="R2132" i="2"/>
  <c r="S2131" i="2"/>
  <c r="D1984" i="2"/>
  <c r="K2083" i="2"/>
  <c r="S2082" i="2"/>
  <c r="F2082" i="2"/>
  <c r="W2080" i="2"/>
  <c r="V2246" i="2"/>
  <c r="G2179" i="2"/>
  <c r="W2184" i="2"/>
  <c r="U2178" i="2"/>
  <c r="W2079" i="2"/>
  <c r="J2079" i="2"/>
  <c r="R2078" i="2"/>
  <c r="N2077" i="2"/>
  <c r="C2079" i="2"/>
  <c r="K2078" i="2"/>
  <c r="S2077" i="2"/>
  <c r="O2076" i="2"/>
  <c r="O2079" i="2"/>
  <c r="W2078" i="2"/>
  <c r="J2078" i="2"/>
  <c r="F2050" i="2"/>
  <c r="K2095" i="2"/>
  <c r="S2094" i="2"/>
  <c r="F2094" i="2"/>
  <c r="W2092" i="2"/>
  <c r="S1896" i="2"/>
  <c r="P1919" i="2"/>
  <c r="F1725" i="2"/>
  <c r="V1724" i="2"/>
  <c r="C1919" i="2"/>
  <c r="M1918" i="2"/>
  <c r="H1918" i="2"/>
  <c r="C1918" i="2"/>
  <c r="J2005" i="2"/>
  <c r="U1810" i="2"/>
  <c r="J2155" i="2"/>
  <c r="N1960" i="2"/>
  <c r="V1959" i="2"/>
  <c r="I1959" i="2"/>
  <c r="K1956" i="2"/>
  <c r="U2215" i="2"/>
  <c r="V2433" i="2"/>
  <c r="L2147" i="2"/>
  <c r="P1962" i="2"/>
  <c r="Q2118" i="2"/>
  <c r="H1922" i="2"/>
  <c r="I1921" i="2"/>
  <c r="U1921" i="2"/>
  <c r="U2114" i="2"/>
  <c r="U2112" i="2"/>
  <c r="V2111" i="2"/>
  <c r="M2112" i="2"/>
  <c r="U1933" i="2"/>
  <c r="F1953" i="2"/>
  <c r="L1951" i="2"/>
  <c r="K1844" i="2"/>
  <c r="N2102" i="2"/>
  <c r="F1905" i="2"/>
  <c r="V1885" i="2"/>
  <c r="Q1885" i="2"/>
  <c r="L1885" i="2"/>
  <c r="P1884" i="2"/>
  <c r="G1884" i="2"/>
  <c r="W1883" i="2"/>
  <c r="R1883" i="2"/>
  <c r="D1971" i="2"/>
  <c r="O1776" i="2"/>
  <c r="J1776" i="2"/>
  <c r="V2109" i="2"/>
  <c r="J2060" i="2"/>
  <c r="R2059" i="2"/>
  <c r="E2059" i="2"/>
  <c r="V2057" i="2"/>
  <c r="R1861" i="2"/>
  <c r="F1885" i="2"/>
  <c r="V1884" i="2"/>
  <c r="Q1884" i="2"/>
  <c r="U1883" i="2"/>
  <c r="L1883" i="2"/>
  <c r="G1883" i="2"/>
  <c r="W1882" i="2"/>
  <c r="I1970" i="2"/>
  <c r="T1775" i="2"/>
  <c r="O1775" i="2"/>
  <c r="N2101" i="2"/>
  <c r="N2056" i="2"/>
  <c r="V2055" i="2"/>
  <c r="I2055" i="2"/>
  <c r="E2054" i="2"/>
  <c r="V1857" i="2"/>
  <c r="J1881" i="2"/>
  <c r="E1881" i="2"/>
  <c r="U1880" i="2"/>
  <c r="D1880" i="2"/>
  <c r="P1879" i="2"/>
  <c r="K1879" i="2"/>
  <c r="F1879" i="2"/>
  <c r="M1966" i="2"/>
  <c r="S1756" i="2"/>
  <c r="S1802" i="2"/>
  <c r="Q1825" i="2"/>
  <c r="N1774" i="2"/>
  <c r="P1579" i="2"/>
  <c r="K1579" i="2"/>
  <c r="N1579" i="2"/>
  <c r="D1785" i="2"/>
  <c r="T1715" i="2"/>
  <c r="O1715" i="2"/>
  <c r="R1715" i="2"/>
  <c r="I1715" i="2"/>
  <c r="U1851" i="2"/>
  <c r="W1656" i="2"/>
  <c r="J1792" i="2"/>
  <c r="C1917" i="2"/>
  <c r="M1732" i="2"/>
  <c r="Q1694" i="2"/>
  <c r="L1694" i="2"/>
  <c r="O1694" i="2"/>
  <c r="F1694" i="2"/>
  <c r="R1830" i="2"/>
  <c r="T1635" i="2"/>
  <c r="O1635" i="2"/>
  <c r="R1635" i="2"/>
  <c r="C1815" i="2"/>
  <c r="U1771" i="2"/>
  <c r="W1576" i="2"/>
  <c r="R1576" i="2"/>
  <c r="H1808" i="2"/>
  <c r="R1718" i="2"/>
  <c r="L1508" i="2"/>
  <c r="K1313" i="2"/>
  <c r="J1808" i="2"/>
  <c r="F1731" i="2"/>
  <c r="H1749" i="2"/>
  <c r="D1703" i="2"/>
  <c r="T1702" i="2"/>
  <c r="W1702" i="2"/>
  <c r="N1702" i="2"/>
  <c r="E1839" i="2"/>
  <c r="G1644" i="2"/>
  <c r="W1643" i="2"/>
  <c r="E1644" i="2"/>
  <c r="N1848" i="2"/>
  <c r="H1780" i="2"/>
  <c r="J1585" i="2"/>
  <c r="E1585" i="2"/>
  <c r="S1841" i="2"/>
  <c r="U1540" i="2"/>
  <c r="T1516" i="2"/>
  <c r="S1321" i="2"/>
  <c r="U1825" i="2"/>
  <c r="N1739" i="2"/>
  <c r="N1767" i="2"/>
  <c r="L1711" i="2"/>
  <c r="G1711" i="2"/>
  <c r="J1711" i="2"/>
  <c r="V1710" i="2"/>
  <c r="M1847" i="2"/>
  <c r="O1652" i="2"/>
  <c r="J1652" i="2"/>
  <c r="M1652" i="2"/>
  <c r="D1882" i="2"/>
  <c r="P1788" i="2"/>
  <c r="R1593" i="2"/>
  <c r="M1593" i="2"/>
  <c r="F1898" i="2"/>
  <c r="Q1826" i="2"/>
  <c r="O1485" i="2"/>
  <c r="E2217" i="2"/>
  <c r="E2319" i="2"/>
  <c r="M2097" i="2"/>
  <c r="Q2107" i="2"/>
  <c r="C2155" i="2"/>
  <c r="R2055" i="2"/>
  <c r="S2054" i="2"/>
  <c r="J2055" i="2"/>
  <c r="G2151" i="2"/>
  <c r="V2051" i="2"/>
  <c r="W2050" i="2"/>
  <c r="N2051" i="2"/>
  <c r="J2067" i="2"/>
  <c r="S1892" i="2"/>
  <c r="D1891" i="2"/>
  <c r="S1986" i="2"/>
  <c r="D2072" i="2"/>
  <c r="Q1874" i="2"/>
  <c r="Q1870" i="2"/>
  <c r="L1870" i="2"/>
  <c r="G1870" i="2"/>
  <c r="K1869" i="2"/>
  <c r="W1868" i="2"/>
  <c r="R1868" i="2"/>
  <c r="M1868" i="2"/>
  <c r="T1955" i="2"/>
  <c r="J1761" i="2"/>
  <c r="E1761" i="2"/>
  <c r="L2079" i="2"/>
  <c r="E2045" i="2"/>
  <c r="M2044" i="2"/>
  <c r="U2043" i="2"/>
  <c r="W2040" i="2"/>
  <c r="M1846" i="2"/>
  <c r="V1869" i="2"/>
  <c r="Q1869" i="2"/>
  <c r="L1869" i="2"/>
  <c r="P1868" i="2"/>
  <c r="G1868" i="2"/>
  <c r="W1867" i="2"/>
  <c r="R1867" i="2"/>
  <c r="D1955" i="2"/>
  <c r="O1760" i="2"/>
  <c r="J1760" i="2"/>
  <c r="D2071" i="2"/>
  <c r="I2041" i="2"/>
  <c r="Q2040" i="2"/>
  <c r="D2040" i="2"/>
  <c r="F2037" i="2"/>
  <c r="Q1842" i="2"/>
  <c r="E1866" i="2"/>
  <c r="U1865" i="2"/>
  <c r="P1865" i="2"/>
  <c r="T1864" i="2"/>
  <c r="K1864" i="2"/>
  <c r="F1864" i="2"/>
  <c r="V1863" i="2"/>
  <c r="H1951" i="2"/>
  <c r="I1726" i="2"/>
  <c r="N1787" i="2"/>
  <c r="R1764" i="2"/>
  <c r="I1759" i="2"/>
  <c r="K1564" i="2"/>
  <c r="F1564" i="2"/>
  <c r="I1564" i="2"/>
  <c r="I1744" i="2"/>
  <c r="O1700" i="2"/>
  <c r="J1700" i="2"/>
  <c r="M1700" i="2"/>
  <c r="D1700" i="2"/>
  <c r="P1836" i="2"/>
  <c r="R1641" i="2"/>
  <c r="U1761" i="2"/>
  <c r="C2277" i="2"/>
  <c r="G1974" i="2"/>
  <c r="H1973" i="2"/>
  <c r="T1973" i="2"/>
  <c r="N2261" i="2"/>
  <c r="H2170" i="2"/>
  <c r="R2170" i="2"/>
  <c r="D2170" i="2"/>
  <c r="O2071" i="2"/>
  <c r="W2070" i="2"/>
  <c r="J2070" i="2"/>
  <c r="F2069" i="2"/>
  <c r="P2070" i="2"/>
  <c r="C2070" i="2"/>
  <c r="K2069" i="2"/>
  <c r="G2068" i="2"/>
  <c r="G2071" i="2"/>
  <c r="O2070" i="2"/>
  <c r="W2069" i="2"/>
  <c r="S2068" i="2"/>
  <c r="F2198" i="2"/>
  <c r="L2166" i="2"/>
  <c r="V2166" i="2"/>
  <c r="H2166" i="2"/>
  <c r="S2067" i="2"/>
  <c r="F2067" i="2"/>
  <c r="N2066" i="2"/>
  <c r="J2065" i="2"/>
  <c r="T2066" i="2"/>
  <c r="G2066" i="2"/>
  <c r="O2065" i="2"/>
  <c r="K2064" i="2"/>
  <c r="K2067" i="2"/>
  <c r="S2066" i="2"/>
  <c r="F2066" i="2"/>
  <c r="K2001" i="2"/>
  <c r="G2083" i="2"/>
  <c r="O2082" i="2"/>
  <c r="W2081" i="2"/>
  <c r="S2080" i="2"/>
  <c r="O1884" i="2"/>
  <c r="C1908" i="2"/>
  <c r="S1907" i="2"/>
  <c r="N1907" i="2"/>
  <c r="R1906" i="2"/>
  <c r="I1906" i="2"/>
  <c r="D1906" i="2"/>
  <c r="T1905" i="2"/>
  <c r="F1993" i="2"/>
  <c r="Q1798" i="2"/>
  <c r="F2143" i="2"/>
  <c r="J1948" i="2"/>
  <c r="R1947" i="2"/>
  <c r="E1947" i="2"/>
  <c r="G1944" i="2"/>
  <c r="E2354" i="2"/>
  <c r="K2229" i="2"/>
  <c r="C2146" i="2"/>
  <c r="C1962" i="2"/>
  <c r="G2167" i="2"/>
  <c r="V2067" i="2"/>
  <c r="W2066" i="2"/>
  <c r="N2067" i="2"/>
  <c r="K2163" i="2"/>
  <c r="E2064" i="2"/>
  <c r="F2063" i="2"/>
  <c r="R2063" i="2"/>
  <c r="N2079" i="2"/>
  <c r="W1904" i="2"/>
  <c r="H1903" i="2"/>
  <c r="P1795" i="2"/>
  <c r="F2078" i="2"/>
  <c r="S1880" i="2"/>
  <c r="R1873" i="2"/>
  <c r="M1873" i="2"/>
  <c r="H1873" i="2"/>
  <c r="L1872" i="2"/>
  <c r="C1872" i="2"/>
  <c r="S1871" i="2"/>
  <c r="N1871" i="2"/>
  <c r="U1958" i="2"/>
  <c r="K1764" i="2"/>
  <c r="F1764" i="2"/>
  <c r="N2085" i="2"/>
  <c r="F2048" i="2"/>
  <c r="N2047" i="2"/>
  <c r="V2046" i="2"/>
  <c r="C2044" i="2"/>
  <c r="N1849" i="2"/>
  <c r="W1872" i="2"/>
  <c r="R1872" i="2"/>
  <c r="M1872" i="2"/>
  <c r="Q1871" i="2"/>
  <c r="H1871" i="2"/>
  <c r="C1871" i="2"/>
  <c r="S1870" i="2"/>
  <c r="E1958" i="2"/>
  <c r="P1763" i="2"/>
  <c r="K1763" i="2"/>
  <c r="F2077" i="2"/>
  <c r="J2044" i="2"/>
  <c r="R2043" i="2"/>
  <c r="E2043" i="2"/>
  <c r="G2040" i="2"/>
  <c r="R1845" i="2"/>
  <c r="F1869" i="2"/>
  <c r="V1868" i="2"/>
  <c r="Q1868" i="2"/>
  <c r="U1867" i="2"/>
  <c r="L1867" i="2"/>
  <c r="G1867" i="2"/>
  <c r="W1866" i="2"/>
  <c r="I1954" i="2"/>
  <c r="K1732" i="2"/>
  <c r="O1790" i="2"/>
  <c r="V1776" i="2"/>
  <c r="J1762" i="2"/>
  <c r="L1567" i="2"/>
  <c r="G1567" i="2"/>
  <c r="J1567" i="2"/>
  <c r="K1750" i="2"/>
  <c r="P1703" i="2"/>
  <c r="K1703" i="2"/>
  <c r="N1703" i="2"/>
  <c r="E1703" i="2"/>
  <c r="Q1839" i="2"/>
  <c r="S1644" i="2"/>
  <c r="W1767" i="2"/>
  <c r="T1904" i="2"/>
  <c r="J1902" i="2"/>
  <c r="M1682" i="2"/>
  <c r="H1682" i="2"/>
  <c r="K1682" i="2"/>
  <c r="U1806" i="2"/>
  <c r="N1818" i="2"/>
  <c r="P1623" i="2"/>
  <c r="K1623" i="2"/>
  <c r="N1623" i="2"/>
  <c r="H1766" i="2"/>
  <c r="Q1759" i="2"/>
  <c r="S1564" i="2"/>
  <c r="N1564" i="2"/>
  <c r="M1759" i="2"/>
  <c r="J1694" i="2"/>
  <c r="H1496" i="2"/>
  <c r="G1301" i="2"/>
  <c r="W1783" i="2"/>
  <c r="G1913" i="2"/>
  <c r="U1724" i="2"/>
  <c r="U1690" i="2"/>
  <c r="P1690" i="2"/>
  <c r="S1690" i="2"/>
  <c r="J1690" i="2"/>
  <c r="V1826" i="2"/>
  <c r="C1632" i="2"/>
  <c r="S1631" i="2"/>
  <c r="V1631" i="2"/>
  <c r="S1799" i="2"/>
  <c r="D1768" i="2"/>
  <c r="F1573" i="2"/>
  <c r="V1572" i="2"/>
  <c r="C1793" i="2"/>
  <c r="E1711" i="2"/>
  <c r="P1504" i="2"/>
  <c r="O1309" i="2"/>
  <c r="M1801" i="2"/>
  <c r="J1727" i="2"/>
  <c r="P1741" i="2"/>
  <c r="H1699" i="2"/>
  <c r="C1699" i="2"/>
  <c r="F1699" i="2"/>
  <c r="R1698" i="2"/>
  <c r="I1835" i="2"/>
  <c r="K1640" i="2"/>
  <c r="F1640" i="2"/>
  <c r="I1640" i="2"/>
  <c r="I1833" i="2"/>
  <c r="L1776" i="2"/>
  <c r="N1581" i="2"/>
  <c r="I1581" i="2"/>
  <c r="N1826" i="2"/>
  <c r="M1823" i="2"/>
  <c r="G1461" i="2"/>
  <c r="J2311" i="2"/>
  <c r="D2247" i="2"/>
  <c r="U2096" i="2"/>
  <c r="M2106" i="2"/>
  <c r="Q2184" i="2"/>
  <c r="W2006" i="2"/>
  <c r="C2006" i="2"/>
  <c r="O2006" i="2"/>
  <c r="M2461" i="2"/>
  <c r="F2003" i="2"/>
  <c r="G2002" i="2"/>
  <c r="S2002" i="2"/>
  <c r="O2018" i="2"/>
  <c r="C1844" i="2"/>
  <c r="I1842" i="2"/>
  <c r="F1986" i="2"/>
  <c r="Q2047" i="2"/>
  <c r="I1850" i="2"/>
  <c r="M1858" i="2"/>
  <c r="H1858" i="2"/>
  <c r="C1858" i="2"/>
  <c r="G1857" i="2"/>
  <c r="S1856" i="2"/>
  <c r="N1856" i="2"/>
  <c r="I1856" i="2"/>
  <c r="P1943" i="2"/>
  <c r="F1749" i="2"/>
  <c r="V1748" i="2"/>
  <c r="D2055" i="2"/>
  <c r="V2032" i="2"/>
  <c r="I2032" i="2"/>
  <c r="Q2031" i="2"/>
  <c r="S2028" i="2"/>
  <c r="I1834" i="2"/>
  <c r="R1857" i="2"/>
  <c r="M1857" i="2"/>
  <c r="H1857" i="2"/>
  <c r="L1856" i="2"/>
  <c r="C1856" i="2"/>
  <c r="S1855" i="2"/>
  <c r="N1855" i="2"/>
  <c r="U1942" i="2"/>
  <c r="K1748" i="2"/>
  <c r="F1748" i="2"/>
  <c r="D2142" i="2"/>
  <c r="E2029" i="2"/>
  <c r="M2028" i="2"/>
  <c r="U2027" i="2"/>
  <c r="W2024" i="2"/>
  <c r="M1830" i="2"/>
  <c r="V1853" i="2"/>
  <c r="Q1853" i="2"/>
  <c r="L1853" i="2"/>
  <c r="G2048" i="2"/>
  <c r="G1852" i="2"/>
  <c r="W1851" i="2"/>
  <c r="R1851" i="2"/>
  <c r="D1939" i="2"/>
  <c r="R1896" i="2"/>
  <c r="J1775" i="2"/>
  <c r="S1910" i="2"/>
  <c r="E1747" i="2"/>
  <c r="G1552" i="2"/>
  <c r="W1551" i="2"/>
  <c r="E1552" i="2"/>
  <c r="F1914" i="2"/>
  <c r="K1688" i="2"/>
  <c r="F1688" i="2"/>
  <c r="I1688" i="2"/>
  <c r="U1687" i="2"/>
  <c r="L1824" i="2"/>
  <c r="N1629" i="2"/>
  <c r="Q2108" i="2"/>
  <c r="I2122" i="2"/>
  <c r="T1924" i="2"/>
  <c r="U1923" i="2"/>
  <c r="S2009" i="2"/>
  <c r="D2116" i="2"/>
  <c r="U2196" i="2"/>
  <c r="L2291" i="2"/>
  <c r="R2285" i="2"/>
  <c r="P2010" i="2"/>
  <c r="C2010" i="2"/>
  <c r="K2009" i="2"/>
  <c r="V2281" i="2"/>
  <c r="Q2009" i="2"/>
  <c r="D2009" i="2"/>
  <c r="L2008" i="2"/>
  <c r="G2284" i="2"/>
  <c r="H2010" i="2"/>
  <c r="P2009" i="2"/>
  <c r="C2009" i="2"/>
  <c r="P2406" i="2"/>
  <c r="D2283" i="2"/>
  <c r="P2181" i="2"/>
  <c r="G2276" i="2"/>
  <c r="M2270" i="2"/>
  <c r="T2006" i="2"/>
  <c r="G2006" i="2"/>
  <c r="O2005" i="2"/>
  <c r="Q2266" i="2"/>
  <c r="U2005" i="2"/>
  <c r="H2005" i="2"/>
  <c r="P2004" i="2"/>
  <c r="W2268" i="2"/>
  <c r="L2006" i="2"/>
  <c r="T2005" i="2"/>
  <c r="G2005" i="2"/>
  <c r="E2129" i="2"/>
  <c r="H2022" i="2"/>
  <c r="P2021" i="2"/>
  <c r="C2021" i="2"/>
  <c r="E2018" i="2"/>
  <c r="N2041" i="2"/>
  <c r="D1847" i="2"/>
  <c r="T1846" i="2"/>
  <c r="O1846" i="2"/>
  <c r="T2039" i="2"/>
  <c r="J1845" i="2"/>
  <c r="E1845" i="2"/>
  <c r="U1844" i="2"/>
  <c r="G1932" i="2"/>
  <c r="J1998" i="2"/>
  <c r="L2082" i="2"/>
  <c r="T2081" i="2"/>
  <c r="G2081" i="2"/>
  <c r="C2080" i="2"/>
  <c r="T1883" i="2"/>
  <c r="C2467" i="2"/>
  <c r="J2235" i="2"/>
  <c r="H1950" i="2"/>
  <c r="L1960" i="2"/>
  <c r="V2118" i="2"/>
  <c r="N2018" i="2"/>
  <c r="O2017" i="2"/>
  <c r="F2018" i="2"/>
  <c r="E2115" i="2"/>
  <c r="R2014" i="2"/>
  <c r="S2013" i="2"/>
  <c r="J2014" i="2"/>
  <c r="F2030" i="2"/>
  <c r="W1855" i="2"/>
  <c r="H1854" i="2"/>
  <c r="O2091" i="2"/>
  <c r="H1956" i="2"/>
  <c r="H2007" i="2"/>
  <c r="S1812" i="2"/>
  <c r="N1812" i="2"/>
  <c r="I1812" i="2"/>
  <c r="N2005" i="2"/>
  <c r="D1811" i="2"/>
  <c r="T1810" i="2"/>
  <c r="O1810" i="2"/>
  <c r="M1898" i="2"/>
  <c r="H1898" i="2"/>
  <c r="C1898" i="2"/>
  <c r="C2192" i="2"/>
  <c r="G1987" i="2"/>
  <c r="O1986" i="2"/>
  <c r="W1985" i="2"/>
  <c r="D1983" i="2"/>
  <c r="M2006" i="2"/>
  <c r="C1812" i="2"/>
  <c r="S1811" i="2"/>
  <c r="N1811" i="2"/>
  <c r="S2004" i="2"/>
  <c r="I1810" i="2"/>
  <c r="D1810" i="2"/>
  <c r="T1809" i="2"/>
  <c r="R1897" i="2"/>
  <c r="M1897" i="2"/>
  <c r="H1897" i="2"/>
  <c r="N2178" i="2"/>
  <c r="K1983" i="2"/>
  <c r="S1982" i="2"/>
  <c r="F1982" i="2"/>
  <c r="H1979" i="2"/>
  <c r="Q2002" i="2"/>
  <c r="G1808" i="2"/>
  <c r="W1807" i="2"/>
  <c r="R1807" i="2"/>
  <c r="W2000" i="2"/>
  <c r="M1806" i="2"/>
  <c r="H1806" i="2"/>
  <c r="C1806" i="2"/>
  <c r="V1893" i="2"/>
  <c r="I1805" i="2"/>
  <c r="P1729" i="2"/>
  <c r="G1746" i="2"/>
  <c r="N1701" i="2"/>
  <c r="I1701" i="2"/>
  <c r="L1701" i="2"/>
  <c r="C1701" i="2"/>
  <c r="O1837" i="2"/>
  <c r="Q1642" i="2"/>
  <c r="L1642" i="2"/>
  <c r="O1642" i="2"/>
  <c r="L1842" i="2"/>
  <c r="R1778" i="2"/>
  <c r="T1583" i="2"/>
  <c r="Q1844" i="2"/>
  <c r="M1798" i="2"/>
  <c r="L1816" i="2"/>
  <c r="N1621" i="2"/>
  <c r="I1621" i="2"/>
  <c r="L1621" i="2"/>
  <c r="U1757" i="2"/>
  <c r="O1757" i="2"/>
  <c r="Q1562" i="2"/>
  <c r="L1562" i="2"/>
  <c r="O1562" i="2"/>
  <c r="U1740" i="2"/>
  <c r="U1698" i="2"/>
  <c r="P1698" i="2"/>
  <c r="S1698" i="2"/>
  <c r="P1710" i="2"/>
  <c r="W1629" i="2"/>
  <c r="I1435" i="2"/>
  <c r="H1240" i="2"/>
  <c r="U1856" i="2"/>
  <c r="H1852" i="2"/>
  <c r="T1824" i="2"/>
  <c r="V1629" i="2"/>
  <c r="Q1629" i="2"/>
  <c r="T1629" i="2"/>
  <c r="K1791" i="2"/>
  <c r="W1765" i="2"/>
  <c r="D1571" i="2"/>
  <c r="T1570" i="2"/>
  <c r="W1570" i="2"/>
  <c r="P1757" i="2"/>
  <c r="H1707" i="2"/>
  <c r="C1707" i="2"/>
  <c r="F1707" i="2"/>
  <c r="J1549" i="2"/>
  <c r="J1638" i="2"/>
  <c r="Q1443" i="2"/>
  <c r="P1248" i="2"/>
  <c r="K1874" i="2"/>
  <c r="P1860" i="2"/>
  <c r="G1833" i="2"/>
  <c r="I1638" i="2"/>
  <c r="D1638" i="2"/>
  <c r="G1638" i="2"/>
  <c r="V1824" i="2"/>
  <c r="J1774" i="2"/>
  <c r="L1579" i="2"/>
  <c r="G1579" i="2"/>
  <c r="J1579" i="2"/>
  <c r="I1784" i="2"/>
  <c r="P1715" i="2"/>
  <c r="K1715" i="2"/>
  <c r="N1715" i="2"/>
  <c r="U1582" i="2"/>
  <c r="V1575" i="2"/>
  <c r="I1339" i="2"/>
  <c r="J2212" i="2"/>
  <c r="N2360" i="2"/>
  <c r="I2095" i="2"/>
  <c r="N2108" i="2"/>
  <c r="D2155" i="2"/>
  <c r="O1957" i="2"/>
  <c r="P1956" i="2"/>
  <c r="G1957" i="2"/>
  <c r="H2151" i="2"/>
  <c r="S1953" i="2"/>
  <c r="T1952" i="2"/>
  <c r="K1953" i="2"/>
  <c r="G1969" i="2"/>
  <c r="C1795" i="2"/>
  <c r="I1793" i="2"/>
  <c r="P2030" i="2"/>
  <c r="S1925" i="2"/>
  <c r="C1992" i="2"/>
  <c r="N1797" i="2"/>
  <c r="I1797" i="2"/>
  <c r="D1797" i="2"/>
  <c r="I1990" i="2"/>
  <c r="T1795" i="2"/>
  <c r="O1795" i="2"/>
  <c r="J1795" i="2"/>
  <c r="H1883" i="2"/>
  <c r="C1883" i="2"/>
  <c r="S1882" i="2"/>
  <c r="S2166" i="2"/>
  <c r="W1971" i="2"/>
  <c r="J1971" i="2"/>
  <c r="R1970" i="2"/>
  <c r="T1967" i="2"/>
  <c r="H1991" i="2"/>
  <c r="S1796" i="2"/>
  <c r="N1796" i="2"/>
  <c r="I1796" i="2"/>
  <c r="N1989" i="2"/>
  <c r="D1795" i="2"/>
  <c r="T1794" i="2"/>
  <c r="O1794" i="2"/>
  <c r="M1882" i="2"/>
  <c r="H1882" i="2"/>
  <c r="C1882" i="2"/>
  <c r="W2162" i="2"/>
  <c r="F1968" i="2"/>
  <c r="N1967" i="2"/>
  <c r="V1966" i="2"/>
  <c r="C1964" i="2"/>
  <c r="L1987" i="2"/>
  <c r="W1792" i="2"/>
  <c r="R1792" i="2"/>
  <c r="M1792" i="2"/>
  <c r="R1985" i="2"/>
  <c r="H1791" i="2"/>
  <c r="C1791" i="2"/>
  <c r="S1790" i="2"/>
  <c r="Q1878" i="2"/>
  <c r="T1774" i="2"/>
  <c r="P1908" i="2"/>
  <c r="W1909" i="2"/>
  <c r="I1686" i="2"/>
  <c r="D1686" i="2"/>
  <c r="G1686" i="2"/>
  <c r="E1822" i="2"/>
  <c r="J1822" i="2"/>
  <c r="L1627" i="2"/>
  <c r="G1627" i="2"/>
  <c r="J1627" i="2"/>
  <c r="M1781" i="2"/>
  <c r="M1763" i="2"/>
  <c r="O1568" i="2"/>
  <c r="L2216" i="2"/>
  <c r="J2072" i="2"/>
  <c r="K2071" i="2"/>
  <c r="W2071" i="2"/>
  <c r="R2081" i="2"/>
  <c r="E2146" i="2"/>
  <c r="R2226" i="2"/>
  <c r="V2145" i="2"/>
  <c r="M2144" i="2"/>
  <c r="Q1949" i="2"/>
  <c r="D1949" i="2"/>
  <c r="L1948" i="2"/>
  <c r="N2143" i="2"/>
  <c r="R1948" i="2"/>
  <c r="E1948" i="2"/>
  <c r="M1947" i="2"/>
  <c r="O2423" i="2"/>
  <c r="C2163" i="2"/>
  <c r="T2236" i="2"/>
  <c r="L2380" i="2"/>
  <c r="F1983" i="2"/>
  <c r="I2226" i="2"/>
  <c r="P2224" i="2"/>
  <c r="J2392" i="2"/>
  <c r="J2330" i="2"/>
  <c r="T2150" i="2"/>
  <c r="D2188" i="2"/>
  <c r="K2591" i="2"/>
  <c r="W1970" i="2"/>
  <c r="T2178" i="2"/>
  <c r="T2514" i="2"/>
  <c r="J2496" i="2"/>
  <c r="E2232" i="2"/>
  <c r="W2327" i="2"/>
  <c r="U2309" i="2"/>
  <c r="Q2433" i="2"/>
  <c r="L2104" i="2"/>
  <c r="L2117" i="2"/>
  <c r="K2279" i="2"/>
  <c r="D2286" i="2"/>
  <c r="C2077" i="2"/>
  <c r="H2090" i="2"/>
  <c r="L2566" i="2"/>
  <c r="T2309" i="2"/>
  <c r="L1990" i="2"/>
  <c r="P2000" i="2"/>
  <c r="M1949" i="2"/>
  <c r="P2112" i="2"/>
  <c r="M2303" i="2"/>
  <c r="Q2011" i="2"/>
  <c r="R2010" i="2"/>
  <c r="I2011" i="2"/>
  <c r="E2027" i="2"/>
  <c r="V1852" i="2"/>
  <c r="G1851" i="2"/>
  <c r="N2088" i="2"/>
  <c r="V1889" i="2"/>
  <c r="K2172" i="2"/>
  <c r="J2364" i="2"/>
  <c r="E2072" i="2"/>
  <c r="M1991" i="2"/>
  <c r="F2249" i="2"/>
  <c r="J2245" i="2"/>
  <c r="P2247" i="2"/>
  <c r="V2254" i="2"/>
  <c r="V2233" i="2"/>
  <c r="E2230" i="2"/>
  <c r="K2232" i="2"/>
  <c r="P2295" i="2"/>
  <c r="W2008" i="2"/>
  <c r="L1837" i="2"/>
  <c r="R1835" i="2"/>
  <c r="Q2072" i="2"/>
  <c r="T2184" i="2"/>
  <c r="I2272" i="2"/>
  <c r="P2119" i="2"/>
  <c r="J2187" i="2"/>
  <c r="T2315" i="2"/>
  <c r="E2118" i="2"/>
  <c r="M2208" i="2"/>
  <c r="I2134" i="2"/>
  <c r="W2116" i="2"/>
  <c r="J2113" i="2"/>
  <c r="K2112" i="2"/>
  <c r="O2128" i="2"/>
  <c r="G2465" i="2"/>
  <c r="C2281" i="2"/>
  <c r="V2263" i="2"/>
  <c r="N2136" i="2"/>
  <c r="E2341" i="2"/>
  <c r="C2152" i="2"/>
  <c r="G2148" i="2"/>
  <c r="F1966" i="2"/>
  <c r="S2048" i="2"/>
  <c r="L2063" i="2"/>
  <c r="N2298" i="2"/>
  <c r="W2146" i="2"/>
  <c r="G2476" i="2"/>
  <c r="U2452" i="2"/>
  <c r="P2170" i="2"/>
  <c r="V2164" i="2"/>
  <c r="H2379" i="2"/>
  <c r="D2220" i="2"/>
  <c r="H2260" i="2"/>
  <c r="Q2172" i="2"/>
  <c r="Q2260" i="2"/>
  <c r="J2217" i="2"/>
  <c r="E2202" i="2"/>
  <c r="D2099" i="2"/>
  <c r="U2367" i="2"/>
  <c r="M2126" i="2"/>
  <c r="J2210" i="2"/>
  <c r="H2086" i="2"/>
  <c r="E2360" i="2"/>
  <c r="V2346" i="2"/>
  <c r="L2224" i="2"/>
  <c r="W2539" i="2"/>
  <c r="M2193" i="2"/>
  <c r="N2412" i="2"/>
  <c r="D2332" i="2"/>
  <c r="W2111" i="2"/>
  <c r="D2413" i="2"/>
  <c r="P2126" i="2"/>
  <c r="T2122" i="2"/>
  <c r="K2036" i="2"/>
  <c r="V2560" i="2"/>
  <c r="F2122" i="2"/>
  <c r="S2113" i="2"/>
  <c r="I2025" i="2"/>
  <c r="F2380" i="2"/>
  <c r="W2391" i="2"/>
  <c r="P2034" i="2"/>
  <c r="L2156" i="2"/>
  <c r="G2031" i="2"/>
  <c r="H2030" i="2"/>
  <c r="T2030" i="2"/>
  <c r="P2046" i="2"/>
  <c r="C1848" i="2"/>
  <c r="F1870" i="2"/>
  <c r="O1956" i="2"/>
  <c r="O2105" i="2"/>
  <c r="O2148" i="2"/>
  <c r="P1921" i="2"/>
  <c r="H2112" i="2"/>
  <c r="Q1758" i="2"/>
  <c r="P2031" i="2"/>
  <c r="V2029" i="2"/>
  <c r="I1922" i="2"/>
  <c r="O2011" i="2"/>
  <c r="U2030" i="2"/>
  <c r="F2029" i="2"/>
  <c r="N1921" i="2"/>
  <c r="S2007" i="2"/>
  <c r="D2027" i="2"/>
  <c r="J2025" i="2"/>
  <c r="I1918" i="2"/>
  <c r="S1725" i="2"/>
  <c r="M1871" i="2"/>
  <c r="F1745" i="2"/>
  <c r="H1868" i="2"/>
  <c r="T1645" i="2"/>
  <c r="T1586" i="2"/>
  <c r="C1723" i="2"/>
  <c r="Q1459" i="2"/>
  <c r="G1849" i="2"/>
  <c r="V1888" i="2"/>
  <c r="J1595" i="2"/>
  <c r="J1536" i="2"/>
  <c r="C1273" i="2"/>
  <c r="Q1662" i="2"/>
  <c r="R1798" i="2"/>
  <c r="T1881" i="2"/>
  <c r="K1680" i="2"/>
  <c r="S2353" i="2"/>
  <c r="E2055" i="2"/>
  <c r="I2051" i="2"/>
  <c r="N1892" i="2"/>
  <c r="K2016" i="2"/>
  <c r="Q2014" i="2"/>
  <c r="P1907" i="2"/>
  <c r="J1996" i="2"/>
  <c r="P2015" i="2"/>
  <c r="V2013" i="2"/>
  <c r="U1906" i="2"/>
  <c r="N1992" i="2"/>
  <c r="T2011" i="2"/>
  <c r="E2010" i="2"/>
  <c r="D1903" i="2"/>
  <c r="Q1710" i="2"/>
  <c r="R1846" i="2"/>
  <c r="C1879" i="2"/>
  <c r="D2171" i="2"/>
  <c r="R2158" i="2"/>
  <c r="T2022" i="2"/>
  <c r="U2021" i="2"/>
  <c r="L2022" i="2"/>
  <c r="D2132" i="2"/>
  <c r="C2019" i="2"/>
  <c r="D2018" i="2"/>
  <c r="P2018" i="2"/>
  <c r="L2034" i="2"/>
  <c r="T1835" i="2"/>
  <c r="W1857" i="2"/>
  <c r="K1944" i="2"/>
  <c r="K2093" i="2"/>
  <c r="O2213" i="2"/>
  <c r="I2067" i="2"/>
  <c r="M2063" i="2"/>
  <c r="R1904" i="2"/>
  <c r="L2019" i="2"/>
  <c r="R2017" i="2"/>
  <c r="Q1910" i="2"/>
  <c r="K1999" i="2"/>
  <c r="Q2018" i="2"/>
  <c r="W2016" i="2"/>
  <c r="V1909" i="2"/>
  <c r="O1995" i="2"/>
  <c r="U2014" i="2"/>
  <c r="F2013" i="2"/>
  <c r="E1906" i="2"/>
  <c r="R1713" i="2"/>
  <c r="S1849" i="2"/>
  <c r="G1891" i="2"/>
  <c r="D1856" i="2"/>
  <c r="P1633" i="2"/>
  <c r="P1574" i="2"/>
  <c r="T1710" i="2"/>
  <c r="M1447" i="2"/>
  <c r="C1837" i="2"/>
  <c r="F1840" i="2"/>
  <c r="F1583" i="2"/>
  <c r="J1719" i="2"/>
  <c r="T1260" i="2"/>
  <c r="M1650" i="2"/>
  <c r="N1786" i="2"/>
  <c r="D1833" i="2"/>
  <c r="P1631" i="2"/>
  <c r="O2186" i="2"/>
  <c r="J2006" i="2"/>
  <c r="N2002" i="2"/>
  <c r="S1843" i="2"/>
  <c r="G2004" i="2"/>
  <c r="M2002" i="2"/>
  <c r="L1895" i="2"/>
  <c r="F1984" i="2"/>
  <c r="L2003" i="2"/>
  <c r="R2001" i="2"/>
  <c r="Q1894" i="2"/>
  <c r="J1980" i="2"/>
  <c r="P1999" i="2"/>
  <c r="V1997" i="2"/>
  <c r="U1890" i="2"/>
  <c r="M1698" i="2"/>
  <c r="N1834" i="2"/>
  <c r="H1830" i="2"/>
  <c r="U2120" i="2"/>
  <c r="I2158" i="2"/>
  <c r="U1961" i="2"/>
  <c r="V1960" i="2"/>
  <c r="M1961" i="2"/>
  <c r="M2154" i="2"/>
  <c r="D1958" i="2"/>
  <c r="E1957" i="2"/>
  <c r="Q1957" i="2"/>
  <c r="M1973" i="2"/>
  <c r="S1992" i="2"/>
  <c r="D1991" i="2"/>
  <c r="C1884" i="2"/>
  <c r="L2032" i="2"/>
  <c r="F2346" i="2"/>
  <c r="N2116" i="2"/>
  <c r="T2308" i="2"/>
  <c r="R1855" i="2"/>
  <c r="M1958" i="2"/>
  <c r="S1956" i="2"/>
  <c r="R1849" i="2"/>
  <c r="L1938" i="2"/>
  <c r="R1957" i="2"/>
  <c r="C1956" i="2"/>
  <c r="W1848" i="2"/>
  <c r="P1934" i="2"/>
  <c r="V1953" i="2"/>
  <c r="G1952" i="2"/>
  <c r="F1845" i="2"/>
  <c r="S1652" i="2"/>
  <c r="T1788" i="2"/>
  <c r="G1842" i="2"/>
  <c r="H1798" i="2"/>
  <c r="Q1572" i="2"/>
  <c r="U1708" i="2"/>
  <c r="U1649" i="2"/>
  <c r="N1386" i="2"/>
  <c r="D1776" i="2"/>
  <c r="F1791" i="2"/>
  <c r="T1716" i="2"/>
  <c r="K1658" i="2"/>
  <c r="J1777" i="2"/>
  <c r="N1589" i="2"/>
  <c r="O1725" i="2"/>
  <c r="E1871" i="2"/>
  <c r="C1532" i="2"/>
  <c r="S2443" i="2"/>
  <c r="Q2152" i="2"/>
  <c r="U2148" i="2"/>
  <c r="S1794" i="2"/>
  <c r="H1943" i="2"/>
  <c r="N1941" i="2"/>
  <c r="M1834" i="2"/>
  <c r="G1923" i="2"/>
  <c r="M1942" i="2"/>
  <c r="S1940" i="2"/>
  <c r="R1833" i="2"/>
  <c r="K1919" i="2"/>
  <c r="Q1938" i="2"/>
  <c r="W1936" i="2"/>
  <c r="V1829" i="2"/>
  <c r="N1637" i="2"/>
  <c r="O1773" i="2"/>
  <c r="H1781" i="2"/>
  <c r="R2071" i="2"/>
  <c r="M2242" i="2"/>
  <c r="J2095" i="2"/>
  <c r="K2094" i="2"/>
  <c r="L2235" i="2"/>
  <c r="D1998" i="2"/>
  <c r="L1997" i="2"/>
  <c r="T1996" i="2"/>
  <c r="N2230" i="2"/>
  <c r="G2228" i="2"/>
  <c r="N2336" i="2"/>
  <c r="L2227" i="2"/>
  <c r="R2221" i="2"/>
  <c r="P1994" i="2"/>
  <c r="C1994" i="2"/>
  <c r="K1993" i="2"/>
  <c r="V2217" i="2"/>
  <c r="Q1993" i="2"/>
  <c r="D1993" i="2"/>
  <c r="L1992" i="2"/>
  <c r="G2220" i="2"/>
  <c r="H1994" i="2"/>
  <c r="P1993" i="2"/>
  <c r="C1993" i="2"/>
  <c r="L2283" i="2"/>
  <c r="D2010" i="2"/>
  <c r="L2009" i="2"/>
  <c r="T2008" i="2"/>
  <c r="V2005" i="2"/>
  <c r="J2029" i="2"/>
  <c r="U1834" i="2"/>
  <c r="P1834" i="2"/>
  <c r="K1834" i="2"/>
  <c r="P2027" i="2"/>
  <c r="F1833" i="2"/>
  <c r="V1832" i="2"/>
  <c r="Q1832" i="2"/>
  <c r="C1920" i="2"/>
  <c r="O1949" i="2"/>
  <c r="H2070" i="2"/>
  <c r="P2069" i="2"/>
  <c r="C2069" i="2"/>
  <c r="T2067" i="2"/>
  <c r="P1871" i="2"/>
  <c r="R2545" i="2"/>
  <c r="G2404" i="2"/>
  <c r="P1949" i="2"/>
  <c r="D2157" i="2"/>
  <c r="H2167" i="2"/>
  <c r="S1969" i="2"/>
  <c r="T1968" i="2"/>
  <c r="K1969" i="2"/>
  <c r="L2163" i="2"/>
  <c r="W1965" i="2"/>
  <c r="C1965" i="2"/>
  <c r="O1965" i="2"/>
  <c r="K1981" i="2"/>
  <c r="G1807" i="2"/>
  <c r="M1805" i="2"/>
  <c r="T2042" i="2"/>
  <c r="U1931" i="2"/>
  <c r="D1995" i="2"/>
  <c r="O1800" i="2"/>
  <c r="J1800" i="2"/>
  <c r="E1800" i="2"/>
  <c r="J1993" i="2"/>
  <c r="U1798" i="2"/>
  <c r="P1798" i="2"/>
  <c r="K1798" i="2"/>
  <c r="I1886" i="2"/>
  <c r="D1886" i="2"/>
  <c r="T1885" i="2"/>
  <c r="T2169" i="2"/>
  <c r="C1975" i="2"/>
  <c r="K1974" i="2"/>
  <c r="S1973" i="2"/>
  <c r="U1970" i="2"/>
  <c r="I1994" i="2"/>
  <c r="T1799" i="2"/>
  <c r="O1799" i="2"/>
  <c r="J1799" i="2"/>
  <c r="O1992" i="2"/>
  <c r="E1798" i="2"/>
  <c r="U1797" i="2"/>
  <c r="P1797" i="2"/>
  <c r="N1885" i="2"/>
  <c r="I1885" i="2"/>
  <c r="D1885" i="2"/>
  <c r="C2166" i="2"/>
  <c r="G1971" i="2"/>
  <c r="O1970" i="2"/>
  <c r="W1969" i="2"/>
  <c r="D1967" i="2"/>
  <c r="M1990" i="2"/>
  <c r="C1796" i="2"/>
  <c r="S1795" i="2"/>
  <c r="N1795" i="2"/>
  <c r="S1988" i="2"/>
  <c r="I1794" i="2"/>
  <c r="D1794" i="2"/>
  <c r="T1793" i="2"/>
  <c r="R1881" i="2"/>
  <c r="V1780" i="2"/>
  <c r="Q1911" i="2"/>
  <c r="D1916" i="2"/>
  <c r="J1689" i="2"/>
  <c r="E1689" i="2"/>
  <c r="H1689" i="2"/>
  <c r="T1688" i="2"/>
  <c r="K1825" i="2"/>
  <c r="M1630" i="2"/>
  <c r="H1630" i="2"/>
  <c r="K1630" i="2"/>
  <c r="Q1793" i="2"/>
  <c r="N1766" i="2"/>
  <c r="P1571" i="2"/>
  <c r="M1832" i="2"/>
  <c r="R1749" i="2"/>
  <c r="H1804" i="2"/>
  <c r="J1609" i="2"/>
  <c r="E1609" i="2"/>
  <c r="H1609" i="2"/>
  <c r="V1903" i="2"/>
  <c r="K1745" i="2"/>
  <c r="M1550" i="2"/>
  <c r="H1550" i="2"/>
  <c r="K1550" i="2"/>
  <c r="R1910" i="2"/>
  <c r="Q1686" i="2"/>
  <c r="L1686" i="2"/>
  <c r="O1686" i="2"/>
  <c r="U1661" i="2"/>
  <c r="S1617" i="2"/>
  <c r="E1423" i="2"/>
  <c r="D1228" i="2"/>
  <c r="U1840" i="2"/>
  <c r="H1783" i="2"/>
  <c r="P1812" i="2"/>
  <c r="R1617" i="2"/>
  <c r="M1617" i="2"/>
  <c r="P1617" i="2"/>
  <c r="P1742" i="2"/>
  <c r="S1753" i="2"/>
  <c r="U1558" i="2"/>
  <c r="P1558" i="2"/>
  <c r="S1558" i="2"/>
  <c r="H1733" i="2"/>
  <c r="D1695" i="2"/>
  <c r="T1694" i="2"/>
  <c r="W1694" i="2"/>
  <c r="K1695" i="2"/>
  <c r="F1626" i="2"/>
  <c r="M1431" i="2"/>
  <c r="L1236" i="2"/>
  <c r="C1850" i="2"/>
  <c r="S1816" i="2"/>
  <c r="C1821" i="2"/>
  <c r="E1626" i="2"/>
  <c r="U1625" i="2"/>
  <c r="C1626" i="2"/>
  <c r="F1776" i="2"/>
  <c r="F1762" i="2"/>
  <c r="H1567" i="2"/>
  <c r="C1567" i="2"/>
  <c r="F1567" i="2"/>
  <c r="C1750" i="2"/>
  <c r="L1703" i="2"/>
  <c r="G1703" i="2"/>
  <c r="J1703" i="2"/>
  <c r="E1534" i="2"/>
  <c r="S1721" i="2"/>
  <c r="V1314" i="2"/>
  <c r="Q2233" i="2"/>
  <c r="G2190" i="2"/>
  <c r="E2094" i="2"/>
  <c r="V2107" i="2"/>
  <c r="I2278" i="2"/>
  <c r="Q2102" i="2"/>
  <c r="R2101" i="2"/>
  <c r="I2102" i="2"/>
  <c r="D2263" i="2"/>
  <c r="U2098" i="2"/>
  <c r="V2097" i="2"/>
  <c r="D1941" i="2"/>
  <c r="L1920" i="2"/>
  <c r="H1746" i="2"/>
  <c r="N1744" i="2"/>
  <c r="U1981" i="2"/>
  <c r="H2095" i="2"/>
  <c r="T1979" i="2"/>
  <c r="J1785" i="2"/>
  <c r="E1785" i="2"/>
  <c r="U1784" i="2"/>
  <c r="E1978" i="2"/>
  <c r="P1783" i="2"/>
  <c r="K1783" i="2"/>
  <c r="F1783" i="2"/>
  <c r="D1871" i="2"/>
  <c r="T1870" i="2"/>
  <c r="O1870" i="2"/>
  <c r="O2154" i="2"/>
  <c r="S1959" i="2"/>
  <c r="F1959" i="2"/>
  <c r="N1958" i="2"/>
  <c r="P1955" i="2"/>
  <c r="D1979" i="2"/>
  <c r="O1784" i="2"/>
  <c r="J1784" i="2"/>
  <c r="E1784" i="2"/>
  <c r="J1977" i="2"/>
  <c r="U1782" i="2"/>
  <c r="P1782" i="2"/>
  <c r="K1782" i="2"/>
  <c r="I1870" i="2"/>
  <c r="D1870" i="2"/>
  <c r="T1869" i="2"/>
  <c r="S2150" i="2"/>
  <c r="W1955" i="2"/>
  <c r="J1955" i="2"/>
  <c r="R1954" i="2"/>
  <c r="T1951" i="2"/>
  <c r="H1975" i="2"/>
  <c r="S1780" i="2"/>
  <c r="N1780" i="2"/>
  <c r="I1780" i="2"/>
  <c r="N1973" i="2"/>
  <c r="D1779" i="2"/>
  <c r="T1778" i="2"/>
  <c r="O1778" i="2"/>
  <c r="M1866" i="2"/>
  <c r="L1750" i="2"/>
  <c r="L1896" i="2"/>
  <c r="O1885" i="2"/>
  <c r="E1674" i="2"/>
  <c r="U1673" i="2"/>
  <c r="C1674" i="2"/>
  <c r="J1773" i="2"/>
  <c r="F1810" i="2"/>
  <c r="H1615" i="2"/>
  <c r="C1615" i="2"/>
  <c r="F1615" i="2"/>
  <c r="R1732" i="2"/>
  <c r="I1751" i="2"/>
  <c r="M1786" i="2"/>
  <c r="P1841" i="2"/>
  <c r="I1786" i="2"/>
  <c r="K1813" i="2"/>
  <c r="M1618" i="2"/>
  <c r="H1618" i="2"/>
  <c r="K1618" i="2"/>
  <c r="Q1745" i="2"/>
  <c r="N1754" i="2"/>
  <c r="P1559" i="2"/>
  <c r="K1559" i="2"/>
  <c r="N1559" i="2"/>
  <c r="S1734" i="2"/>
  <c r="T1695" i="2"/>
  <c r="O1695" i="2"/>
  <c r="R1695" i="2"/>
  <c r="L1698" i="2"/>
  <c r="V1626" i="2"/>
  <c r="H1432" i="2"/>
  <c r="G1237" i="2"/>
  <c r="S1850" i="2"/>
  <c r="T1819" i="2"/>
  <c r="S1821" i="2"/>
  <c r="U1626" i="2"/>
  <c r="P1626" i="2"/>
  <c r="S1626" i="2"/>
  <c r="G1779" i="2"/>
  <c r="V1762" i="2"/>
  <c r="C1568" i="2"/>
  <c r="S1567" i="2"/>
  <c r="V1567" i="2"/>
  <c r="N1751" i="2"/>
  <c r="G1704" i="2"/>
  <c r="W1703" i="2"/>
  <c r="E1704" i="2"/>
  <c r="F1537" i="2"/>
  <c r="I1635" i="2"/>
  <c r="P1440" i="2"/>
  <c r="O1245" i="2"/>
  <c r="I1868" i="2"/>
  <c r="O1857" i="2"/>
  <c r="F1830" i="2"/>
  <c r="H1635" i="2"/>
  <c r="C1635" i="2"/>
  <c r="F1635" i="2"/>
  <c r="R1812" i="2"/>
  <c r="I1771" i="2"/>
  <c r="K1576" i="2"/>
  <c r="F1576" i="2"/>
  <c r="I1576" i="2"/>
  <c r="E1772" i="2"/>
  <c r="O1712" i="2"/>
  <c r="J1712" i="2"/>
  <c r="V2180" i="2"/>
  <c r="O2579" i="2"/>
  <c r="F2047" i="2"/>
  <c r="S2056" i="2"/>
  <c r="M2230" i="2"/>
  <c r="F1994" i="2"/>
  <c r="G1993" i="2"/>
  <c r="S1993" i="2"/>
  <c r="H2215" i="2"/>
  <c r="J1990" i="2"/>
  <c r="K1989" i="2"/>
  <c r="W1989" i="2"/>
  <c r="S2005" i="2"/>
  <c r="O1831" i="2"/>
  <c r="U1829" i="2"/>
  <c r="G2067" i="2"/>
  <c r="D1944" i="2"/>
  <c r="F2001" i="2"/>
  <c r="Q1806" i="2"/>
  <c r="L1806" i="2"/>
  <c r="G1806" i="2"/>
  <c r="L1999" i="2"/>
  <c r="W1804" i="2"/>
  <c r="R1804" i="2"/>
  <c r="M1804" i="2"/>
  <c r="K1892" i="2"/>
  <c r="F1892" i="2"/>
  <c r="V1891" i="2"/>
  <c r="V2175" i="2"/>
  <c r="E1981" i="2"/>
  <c r="M1980" i="2"/>
  <c r="U1979" i="2"/>
  <c r="W1976" i="2"/>
  <c r="K2000" i="2"/>
  <c r="V1805" i="2"/>
  <c r="Q1805" i="2"/>
  <c r="L1805" i="2"/>
  <c r="Q1998" i="2"/>
  <c r="G1804" i="2"/>
  <c r="W1803" i="2"/>
  <c r="R1803" i="2"/>
  <c r="P1891" i="2"/>
  <c r="K1891" i="2"/>
  <c r="F1891" i="2"/>
  <c r="E2172" i="2"/>
  <c r="I1977" i="2"/>
  <c r="Q1976" i="2"/>
  <c r="D1976" i="2"/>
  <c r="F1973" i="2"/>
  <c r="O1996" i="2"/>
  <c r="E1802" i="2"/>
  <c r="U1801" i="2"/>
  <c r="P1801" i="2"/>
  <c r="U1994" i="2"/>
  <c r="K1800" i="2"/>
  <c r="F1800" i="2"/>
  <c r="V1799" i="2"/>
  <c r="T1887" i="2"/>
  <c r="E1793" i="2"/>
  <c r="S1917" i="2"/>
  <c r="C1734" i="2"/>
  <c r="L1695" i="2"/>
  <c r="G1695" i="2"/>
  <c r="J1695" i="2"/>
  <c r="V1694" i="2"/>
  <c r="M1831" i="2"/>
  <c r="O1636" i="2"/>
  <c r="J1636" i="2"/>
  <c r="M1636" i="2"/>
  <c r="D1818" i="2"/>
  <c r="P1772" i="2"/>
  <c r="R1577" i="2"/>
  <c r="O1838" i="2"/>
  <c r="E1774" i="2"/>
  <c r="J1810" i="2"/>
  <c r="L1615" i="2"/>
  <c r="G1615" i="2"/>
  <c r="J1615" i="2"/>
  <c r="M1733" i="2"/>
  <c r="M1751" i="2"/>
  <c r="O1556" i="2"/>
  <c r="J1556" i="2"/>
  <c r="M1556" i="2"/>
  <c r="Q1728" i="2"/>
  <c r="S1692" i="2"/>
  <c r="N1692" i="2"/>
  <c r="Q1692" i="2"/>
  <c r="H1686" i="2"/>
  <c r="U1623" i="2"/>
  <c r="G1429" i="2"/>
  <c r="F1234" i="2"/>
  <c r="W1846" i="2"/>
  <c r="P1807" i="2"/>
  <c r="R1818" i="2"/>
  <c r="T1623" i="2"/>
  <c r="O1623" i="2"/>
  <c r="R1623" i="2"/>
  <c r="C1767" i="2"/>
  <c r="U1759" i="2"/>
  <c r="W1564" i="2"/>
  <c r="R1564" i="2"/>
  <c r="U1564" i="2"/>
  <c r="L1745" i="2"/>
  <c r="F1701" i="2"/>
  <c r="V1700" i="2"/>
  <c r="D1701" i="2"/>
  <c r="S1719" i="2"/>
  <c r="H1632" i="2"/>
  <c r="O1437" i="2"/>
  <c r="N1242" i="2"/>
  <c r="G1862" i="2"/>
  <c r="N1854" i="2"/>
  <c r="E1827" i="2"/>
  <c r="G1632" i="2"/>
  <c r="W1631" i="2"/>
  <c r="E1632" i="2"/>
  <c r="N1800" i="2"/>
  <c r="H1768" i="2"/>
  <c r="J1573" i="2"/>
  <c r="E1573" i="2"/>
  <c r="H1573" i="2"/>
  <c r="G1762" i="2"/>
  <c r="N1709" i="2"/>
  <c r="I1709" i="2"/>
  <c r="L1709" i="2"/>
  <c r="M1558" i="2"/>
  <c r="N1551" i="2"/>
  <c r="E1327" i="2"/>
  <c r="N2241" i="2"/>
  <c r="J2077" i="2"/>
  <c r="N2073" i="2"/>
  <c r="W1914" i="2"/>
  <c r="H1779" i="2"/>
  <c r="N1777" i="2"/>
  <c r="R1864" i="2"/>
  <c r="D1953" i="2"/>
  <c r="M1778" i="2"/>
  <c r="F2010" i="2"/>
  <c r="W2030" i="2"/>
  <c r="F2027" i="2"/>
  <c r="Q2083" i="2"/>
  <c r="J1864" i="2"/>
  <c r="P1862" i="2"/>
  <c r="C1755" i="2"/>
  <c r="S2037" i="2"/>
  <c r="W2284" i="2"/>
  <c r="G1982" i="2"/>
  <c r="K1978" i="2"/>
  <c r="M2098" i="2"/>
  <c r="F1852" i="2"/>
  <c r="L1850" i="2"/>
  <c r="T1742" i="2"/>
  <c r="O2025" i="2"/>
  <c r="K1851" i="2"/>
  <c r="H2051" i="2"/>
  <c r="O2200" i="2"/>
  <c r="U2140" i="2"/>
  <c r="R2011" i="2"/>
  <c r="L1742" i="2"/>
  <c r="R1740" i="2"/>
  <c r="S1922" i="2"/>
  <c r="R2109" i="2"/>
  <c r="L1983" i="2"/>
  <c r="K1876" i="2"/>
  <c r="D1962" i="2"/>
  <c r="J1981" i="2"/>
  <c r="P1979" i="2"/>
  <c r="O1872" i="2"/>
  <c r="G1680" i="2"/>
  <c r="H1816" i="2"/>
  <c r="E1757" i="2"/>
  <c r="W1907" i="2"/>
  <c r="E1600" i="2"/>
  <c r="E1541" i="2"/>
  <c r="I1677" i="2"/>
  <c r="W1413" i="2"/>
  <c r="H1778" i="2"/>
  <c r="N1776" i="2"/>
  <c r="R1863" i="2"/>
  <c r="P1948" i="2"/>
  <c r="L1774" i="2"/>
  <c r="R1772" i="2"/>
  <c r="J1890" i="2"/>
  <c r="V1667" i="2"/>
  <c r="V1608" i="2"/>
  <c r="I1774" i="2"/>
  <c r="C1588" i="2"/>
  <c r="G1724" i="2"/>
  <c r="D1868" i="2"/>
  <c r="N1576" i="2"/>
  <c r="W2060" i="2"/>
  <c r="D1959" i="2"/>
  <c r="C1852" i="2"/>
  <c r="Q1937" i="2"/>
  <c r="W1956" i="2"/>
  <c r="H1955" i="2"/>
  <c r="G1848" i="2"/>
  <c r="T1655" i="2"/>
  <c r="U1791" i="2"/>
  <c r="K1854" i="2"/>
  <c r="L1810" i="2"/>
  <c r="R1575" i="2"/>
  <c r="V1711" i="2"/>
  <c r="V1652" i="2"/>
  <c r="Q1780" i="2"/>
  <c r="I1737" i="2"/>
  <c r="L1752" i="2"/>
  <c r="N1557" i="2"/>
  <c r="I1557" i="2"/>
  <c r="L1557" i="2"/>
  <c r="O1730" i="2"/>
  <c r="R1693" i="2"/>
  <c r="M1693" i="2"/>
  <c r="P1693" i="2"/>
  <c r="G1693" i="2"/>
  <c r="S1829" i="2"/>
  <c r="U1634" i="2"/>
  <c r="P1634" i="2"/>
  <c r="S1634" i="2"/>
  <c r="T1649" i="2"/>
  <c r="W1565" i="2"/>
  <c r="I1371" i="2"/>
  <c r="J1729" i="2"/>
  <c r="D1789" i="2"/>
  <c r="T1770" i="2"/>
  <c r="T1760" i="2"/>
  <c r="V1565" i="2"/>
  <c r="Q1565" i="2"/>
  <c r="T1565" i="2"/>
  <c r="J1747" i="2"/>
  <c r="E1702" i="2"/>
  <c r="U1701" i="2"/>
  <c r="C1702" i="2"/>
  <c r="O1701" i="2"/>
  <c r="F1838" i="2"/>
  <c r="H1643" i="2"/>
  <c r="C1643" i="2"/>
  <c r="F1643" i="2"/>
  <c r="J1683" i="2"/>
  <c r="J1574" i="2"/>
  <c r="Q1379" i="2"/>
  <c r="U1746" i="2"/>
  <c r="L1797" i="2"/>
  <c r="J1804" i="2"/>
  <c r="G1769" i="2"/>
  <c r="I1574" i="2"/>
  <c r="D1574" i="2"/>
  <c r="G1574" i="2"/>
  <c r="E1764" i="2"/>
  <c r="M1710" i="2"/>
  <c r="H1710" i="2"/>
  <c r="K1710" i="2"/>
  <c r="W1709" i="2"/>
  <c r="N1846" i="2"/>
  <c r="P1651" i="2"/>
  <c r="K1651" i="2"/>
  <c r="K2265" i="2"/>
  <c r="G2165" i="2"/>
  <c r="T2446" i="2"/>
  <c r="P2075" i="2"/>
  <c r="L2141" i="2"/>
  <c r="M2140" i="2"/>
  <c r="D2141" i="2"/>
  <c r="P2135" i="2"/>
  <c r="P2137" i="2"/>
  <c r="Q2136" i="2"/>
  <c r="H2137" i="2"/>
  <c r="D2153" i="2"/>
  <c r="E1954" i="2"/>
  <c r="O1782" i="2"/>
  <c r="U1780" i="2"/>
  <c r="T2017" i="2"/>
  <c r="I2014" i="2"/>
  <c r="G1940" i="2"/>
  <c r="R1745" i="2"/>
  <c r="M1745" i="2"/>
  <c r="H1745" i="2"/>
  <c r="M1938" i="2"/>
  <c r="C1744" i="2"/>
  <c r="S1743" i="2"/>
  <c r="V2025" i="2"/>
  <c r="L1831" i="2"/>
  <c r="G1831" i="2"/>
  <c r="W1934" i="2"/>
  <c r="W2114" i="2"/>
  <c r="F1920" i="2"/>
  <c r="N1919" i="2"/>
  <c r="S2112" i="2"/>
  <c r="O1916" i="2"/>
  <c r="L1939" i="2"/>
  <c r="W1744" i="2"/>
  <c r="R1744" i="2"/>
  <c r="M1744" i="2"/>
  <c r="R1937" i="2"/>
  <c r="H1743" i="2"/>
  <c r="C1743" i="2"/>
  <c r="F2025" i="2"/>
  <c r="Q1830" i="2"/>
  <c r="L1830" i="2"/>
  <c r="R1919" i="2"/>
  <c r="K2111" i="2"/>
  <c r="S2110" i="2"/>
  <c r="F2110" i="2"/>
  <c r="W2108" i="2"/>
  <c r="S1912" i="2"/>
  <c r="P1935" i="2"/>
  <c r="F1741" i="2"/>
  <c r="V1740" i="2"/>
  <c r="Q1740" i="2"/>
  <c r="V1933" i="2"/>
  <c r="L1739" i="2"/>
  <c r="G1739" i="2"/>
  <c r="J2021" i="2"/>
  <c r="U1826" i="2"/>
  <c r="C1866" i="2"/>
  <c r="T1856" i="2"/>
  <c r="K1829" i="2"/>
  <c r="M1634" i="2"/>
  <c r="H1634" i="2"/>
  <c r="K1634" i="2"/>
  <c r="Q1809" i="2"/>
  <c r="N1770" i="2"/>
  <c r="P1575" i="2"/>
  <c r="K1575" i="2"/>
  <c r="N1575" i="2"/>
  <c r="D1769" i="2"/>
  <c r="T1711" i="2"/>
  <c r="D1902" i="2"/>
  <c r="P1777" i="2"/>
  <c r="E1725" i="2"/>
  <c r="K1749" i="2"/>
  <c r="M1554" i="2"/>
  <c r="H1554" i="2"/>
  <c r="K1554" i="2"/>
  <c r="S1918" i="2"/>
  <c r="Q1690" i="2"/>
  <c r="L1690" i="2"/>
  <c r="O1690" i="2"/>
  <c r="F1690" i="2"/>
  <c r="R1826" i="2"/>
  <c r="T1631" i="2"/>
  <c r="O1631" i="2"/>
  <c r="R1631" i="2"/>
  <c r="P1637" i="2"/>
  <c r="V1562" i="2"/>
  <c r="H1368" i="2"/>
  <c r="D1918" i="2"/>
  <c r="C1786" i="2"/>
  <c r="P1758" i="2"/>
  <c r="S1757" i="2"/>
  <c r="U1562" i="2"/>
  <c r="P1562" i="2"/>
  <c r="S1562" i="2"/>
  <c r="H1741" i="2"/>
  <c r="D1699" i="2"/>
  <c r="T1698" i="2"/>
  <c r="W1698" i="2"/>
  <c r="N1698" i="2"/>
  <c r="E1835" i="2"/>
  <c r="G1640" i="2"/>
  <c r="W1639" i="2"/>
  <c r="E1640" i="2"/>
  <c r="F1671" i="2"/>
  <c r="I1571" i="2"/>
  <c r="P1376" i="2"/>
  <c r="S1740" i="2"/>
  <c r="K1794" i="2"/>
  <c r="F1792" i="2"/>
  <c r="F1766" i="2"/>
  <c r="H1571" i="2"/>
  <c r="C1571" i="2"/>
  <c r="F1571" i="2"/>
  <c r="C1758" i="2"/>
  <c r="L1707" i="2"/>
  <c r="G1707" i="2"/>
  <c r="J1707" i="2"/>
  <c r="V1706" i="2"/>
  <c r="M1843" i="2"/>
  <c r="O1648" i="2"/>
  <c r="J1648" i="2"/>
  <c r="M1648" i="2"/>
  <c r="Q1653" i="2"/>
  <c r="V1594" i="2"/>
  <c r="R2417" i="2"/>
  <c r="H2175" i="2"/>
  <c r="R2234" i="2"/>
  <c r="J2092" i="2"/>
  <c r="J1987" i="2"/>
  <c r="H1730" i="2"/>
  <c r="N1728" i="2"/>
  <c r="L2068" i="2"/>
  <c r="N2097" i="2"/>
  <c r="W2383" i="2"/>
  <c r="E2131" i="2"/>
  <c r="I2127" i="2"/>
  <c r="J2042" i="2"/>
  <c r="J1962" i="2"/>
  <c r="J1815" i="2"/>
  <c r="P1813" i="2"/>
  <c r="G2204" i="2"/>
  <c r="U2297" i="2"/>
  <c r="R2181" i="2"/>
  <c r="P2175" i="2"/>
  <c r="O1993" i="2"/>
  <c r="W1937" i="2"/>
  <c r="F1803" i="2"/>
  <c r="L1801" i="2"/>
  <c r="U2172" i="2"/>
  <c r="V1973" i="2"/>
  <c r="V2480" i="2"/>
  <c r="L1934" i="2"/>
  <c r="P1930" i="2"/>
  <c r="J1965" i="2"/>
  <c r="H1911" i="2"/>
  <c r="Q1887" i="2"/>
  <c r="E1974" i="2"/>
  <c r="K2063" i="2"/>
  <c r="L1839" i="2"/>
  <c r="G1740" i="2"/>
  <c r="K1827" i="2"/>
  <c r="E2107" i="2"/>
  <c r="E1738" i="2"/>
  <c r="K1736" i="2"/>
  <c r="V1859" i="2"/>
  <c r="G1631" i="2"/>
  <c r="O1572" i="2"/>
  <c r="S1708" i="2"/>
  <c r="J1746" i="2"/>
  <c r="P1912" i="2"/>
  <c r="L1827" i="2"/>
  <c r="M1814" i="2"/>
  <c r="W1911" i="2"/>
  <c r="H1729" i="2"/>
  <c r="V2009" i="2"/>
  <c r="F2096" i="2"/>
  <c r="N1897" i="2"/>
  <c r="L1725" i="2"/>
  <c r="E2006" i="2"/>
  <c r="F1814" i="2"/>
  <c r="R1748" i="2"/>
  <c r="I1560" i="2"/>
  <c r="K1762" i="2"/>
  <c r="C1539" i="2"/>
  <c r="G1675" i="2"/>
  <c r="O1616" i="2"/>
  <c r="Q1547" i="2"/>
  <c r="Q1790" i="2"/>
  <c r="P1910" i="2"/>
  <c r="C1803" i="2"/>
  <c r="R2082" i="2"/>
  <c r="N1908" i="2"/>
  <c r="T1906" i="2"/>
  <c r="G1830" i="2"/>
  <c r="T1606" i="2"/>
  <c r="G1548" i="2"/>
  <c r="K1684" i="2"/>
  <c r="E1722" i="2"/>
  <c r="U1863" i="2"/>
  <c r="V1729" i="2"/>
  <c r="C1814" i="2"/>
  <c r="M1768" i="2"/>
  <c r="J1883" i="2"/>
  <c r="H1740" i="2"/>
  <c r="J1545" i="2"/>
  <c r="E1545" i="2"/>
  <c r="H1545" i="2"/>
  <c r="L1900" i="2"/>
  <c r="N1681" i="2"/>
  <c r="I1681" i="2"/>
  <c r="L1681" i="2"/>
  <c r="D1803" i="2"/>
  <c r="O1817" i="2"/>
  <c r="Q1622" i="2"/>
  <c r="L1622" i="2"/>
  <c r="S1911" i="2"/>
  <c r="N1615" i="2"/>
  <c r="S1553" i="2"/>
  <c r="E1359" i="2"/>
  <c r="S1899" i="2"/>
  <c r="U1776" i="2"/>
  <c r="U1916" i="2"/>
  <c r="P1748" i="2"/>
  <c r="R1553" i="2"/>
  <c r="M1553" i="2"/>
  <c r="P1553" i="2"/>
  <c r="G1917" i="2"/>
  <c r="V1689" i="2"/>
  <c r="Q1689" i="2"/>
  <c r="T1689" i="2"/>
  <c r="K1689" i="2"/>
  <c r="W1825" i="2"/>
  <c r="D1631" i="2"/>
  <c r="T1630" i="2"/>
  <c r="W1630" i="2"/>
  <c r="O1634" i="2"/>
  <c r="F1562" i="2"/>
  <c r="M1367" i="2"/>
  <c r="I1917" i="2"/>
  <c r="H1785" i="2"/>
  <c r="O1755" i="2"/>
  <c r="C1757" i="2"/>
  <c r="E1562" i="2"/>
  <c r="U1561" i="2"/>
  <c r="C1562" i="2"/>
  <c r="R1739" i="2"/>
  <c r="I1698" i="2"/>
  <c r="D1698" i="2"/>
  <c r="G1698" i="2"/>
  <c r="S1697" i="2"/>
  <c r="J1834" i="2"/>
  <c r="L1639" i="2"/>
  <c r="N2401" i="2"/>
  <c r="K2402" i="2"/>
  <c r="N2164" i="2"/>
  <c r="T2158" i="2"/>
  <c r="Q2175" i="2"/>
  <c r="V2092" i="2"/>
  <c r="W2091" i="2"/>
  <c r="N2092" i="2"/>
  <c r="M2283" i="2"/>
  <c r="E2089" i="2"/>
  <c r="F2088" i="2"/>
  <c r="R2088" i="2"/>
  <c r="N2104" i="2"/>
  <c r="V1905" i="2"/>
  <c r="T1733" i="2"/>
  <c r="M2014" i="2"/>
  <c r="L1993" i="2"/>
  <c r="V1989" i="2"/>
  <c r="C1928" i="2"/>
  <c r="N1733" i="2"/>
  <c r="I1733" i="2"/>
  <c r="D1733" i="2"/>
  <c r="I1926" i="2"/>
  <c r="T1731" i="2"/>
  <c r="O1731" i="2"/>
  <c r="R2013" i="2"/>
  <c r="H1819" i="2"/>
  <c r="C1819" i="2"/>
  <c r="P2080" i="2"/>
  <c r="C2103" i="2"/>
  <c r="K2102" i="2"/>
  <c r="S2101" i="2"/>
  <c r="O2100" i="2"/>
  <c r="K1904" i="2"/>
  <c r="H1927" i="2"/>
  <c r="S1732" i="2"/>
  <c r="N1732" i="2"/>
  <c r="I1732" i="2"/>
  <c r="N1925" i="2"/>
  <c r="D1731" i="2"/>
  <c r="T1730" i="2"/>
  <c r="W2012" i="2"/>
  <c r="M1818" i="2"/>
  <c r="H1818" i="2"/>
  <c r="K2065" i="2"/>
  <c r="G2099" i="2"/>
  <c r="O2098" i="2"/>
  <c r="W2097" i="2"/>
  <c r="S2096" i="2"/>
  <c r="O1900" i="2"/>
  <c r="L1923" i="2"/>
  <c r="W1728" i="2"/>
  <c r="R1728" i="2"/>
  <c r="M1728" i="2"/>
  <c r="R1921" i="2"/>
  <c r="H1727" i="2"/>
  <c r="C1727" i="2"/>
  <c r="F2009" i="2"/>
  <c r="Q1814" i="2"/>
  <c r="L1845" i="2"/>
  <c r="N1801" i="2"/>
  <c r="G1817" i="2"/>
  <c r="I1622" i="2"/>
  <c r="D1622" i="2"/>
  <c r="G1622" i="2"/>
  <c r="V1760" i="2"/>
  <c r="J1758" i="2"/>
  <c r="L1563" i="2"/>
  <c r="G1563" i="2"/>
  <c r="J1563" i="2"/>
  <c r="K1742" i="2"/>
  <c r="P1699" i="2"/>
  <c r="Q1877" i="2"/>
  <c r="L1765" i="2"/>
  <c r="F1871" i="2"/>
  <c r="G1737" i="2"/>
  <c r="I1542" i="2"/>
  <c r="D1542" i="2"/>
  <c r="G1542" i="2"/>
  <c r="J1894" i="2"/>
  <c r="M1678" i="2"/>
  <c r="H1678" i="2"/>
  <c r="K1678" i="2"/>
  <c r="U1790" i="2"/>
  <c r="N1814" i="2"/>
  <c r="P1619" i="2"/>
  <c r="K1619" i="2"/>
  <c r="C1863" i="2"/>
  <c r="L1609" i="2"/>
  <c r="R1550" i="2"/>
  <c r="D1356" i="2"/>
  <c r="Q1893" i="2"/>
  <c r="T1773" i="2"/>
  <c r="Q1904" i="2"/>
  <c r="O1745" i="2"/>
  <c r="Q1550" i="2"/>
  <c r="L1550" i="2"/>
  <c r="O1550" i="2"/>
  <c r="E1911" i="2"/>
  <c r="U1686" i="2"/>
  <c r="P1686" i="2"/>
  <c r="S1686" i="2"/>
  <c r="K1824" i="2"/>
  <c r="V1822" i="2"/>
  <c r="C1628" i="2"/>
  <c r="S1627" i="2"/>
  <c r="I1802" i="2"/>
  <c r="G1626" i="2"/>
  <c r="E1559" i="2"/>
  <c r="L1364" i="2"/>
  <c r="G1911" i="2"/>
  <c r="G1782" i="2"/>
  <c r="K1743" i="2"/>
  <c r="W1753" i="2"/>
  <c r="D1559" i="2"/>
  <c r="T1558" i="2"/>
  <c r="W1558" i="2"/>
  <c r="P1733" i="2"/>
  <c r="H1695" i="2"/>
  <c r="C1695" i="2"/>
  <c r="F1695" i="2"/>
  <c r="R1694" i="2"/>
  <c r="I1831" i="2"/>
  <c r="K1636" i="2"/>
  <c r="F1636" i="2"/>
  <c r="I1636" i="2"/>
  <c r="V1604" i="2"/>
  <c r="N1570" i="2"/>
  <c r="I2391" i="2"/>
  <c r="N2181" i="2"/>
  <c r="O2175" i="2"/>
  <c r="R2091" i="2"/>
  <c r="H2084" i="2"/>
  <c r="I1876" i="2"/>
  <c r="O1874" i="2"/>
  <c r="P2091" i="2"/>
  <c r="W2048" i="2"/>
  <c r="H2320" i="2"/>
  <c r="Q2129" i="2"/>
  <c r="U2125" i="2"/>
  <c r="L2039" i="2"/>
  <c r="Q2058" i="2"/>
  <c r="O1766" i="2"/>
  <c r="U1764" i="2"/>
  <c r="I2136" i="2"/>
  <c r="F2174" i="2"/>
  <c r="I2178" i="2"/>
  <c r="G2174" i="2"/>
  <c r="Q1990" i="2"/>
  <c r="O2032" i="2"/>
  <c r="K1754" i="2"/>
  <c r="D2035" i="2"/>
  <c r="E2124" i="2"/>
  <c r="F1925" i="2"/>
  <c r="J2253" i="2"/>
  <c r="T1933" i="2"/>
  <c r="C1930" i="2"/>
  <c r="U1770" i="2"/>
  <c r="Q2034" i="2"/>
  <c r="W2032" i="2"/>
  <c r="J1925" i="2"/>
  <c r="P2014" i="2"/>
  <c r="V1741" i="2"/>
  <c r="H1886" i="2"/>
  <c r="P1778" i="2"/>
  <c r="J2058" i="2"/>
  <c r="F1884" i="2"/>
  <c r="L1882" i="2"/>
  <c r="T1805" i="2"/>
  <c r="L1582" i="2"/>
  <c r="P1718" i="2"/>
  <c r="C1660" i="2"/>
  <c r="R1697" i="2"/>
  <c r="S1833" i="2"/>
  <c r="G1827" i="2"/>
  <c r="L1820" i="2"/>
  <c r="L1814" i="2"/>
  <c r="R1874" i="2"/>
  <c r="F1961" i="2"/>
  <c r="K2047" i="2"/>
  <c r="S1848" i="2"/>
  <c r="V1870" i="2"/>
  <c r="J1957" i="2"/>
  <c r="K1765" i="2"/>
  <c r="M1756" i="2"/>
  <c r="F1706" i="2"/>
  <c r="U1907" i="2"/>
  <c r="L1685" i="2"/>
  <c r="L1626" i="2"/>
  <c r="T1567" i="2"/>
  <c r="I1499" i="2"/>
  <c r="W1887" i="2"/>
  <c r="U1861" i="2"/>
  <c r="H1754" i="2"/>
  <c r="W2033" i="2"/>
  <c r="S1859" i="2"/>
  <c r="D1858" i="2"/>
  <c r="L1781" i="2"/>
  <c r="D1558" i="2"/>
  <c r="H1694" i="2"/>
  <c r="P1635" i="2"/>
  <c r="J1673" i="2"/>
  <c r="K1809" i="2"/>
  <c r="Q1729" i="2"/>
  <c r="D1723" i="2"/>
  <c r="S1901" i="2"/>
  <c r="H1896" i="2"/>
  <c r="L1679" i="2"/>
  <c r="G1679" i="2"/>
  <c r="J1679" i="2"/>
  <c r="Q1794" i="2"/>
  <c r="M1815" i="2"/>
  <c r="O1620" i="2"/>
  <c r="J1620" i="2"/>
  <c r="M1620" i="2"/>
  <c r="D1754" i="2"/>
  <c r="P1756" i="2"/>
  <c r="R1561" i="2"/>
  <c r="M1561" i="2"/>
  <c r="I1747" i="2"/>
  <c r="H1688" i="2"/>
  <c r="G1493" i="2"/>
  <c r="F1298" i="2"/>
  <c r="U1777" i="2"/>
  <c r="F1910" i="2"/>
  <c r="C1913" i="2"/>
  <c r="T1687" i="2"/>
  <c r="O1687" i="2"/>
  <c r="R1687" i="2"/>
  <c r="G1828" i="2"/>
  <c r="U1823" i="2"/>
  <c r="W1628" i="2"/>
  <c r="R1628" i="2"/>
  <c r="U1628" i="2"/>
  <c r="O1787" i="2"/>
  <c r="C1765" i="2"/>
  <c r="E1570" i="2"/>
  <c r="U1569" i="2"/>
  <c r="T1780" i="2"/>
  <c r="C1705" i="2"/>
  <c r="O1501" i="2"/>
  <c r="N1306" i="2"/>
  <c r="K1795" i="2"/>
  <c r="N1918" i="2"/>
  <c r="N1735" i="2"/>
  <c r="G1696" i="2"/>
  <c r="W1695" i="2"/>
  <c r="E1696" i="2"/>
  <c r="Q1695" i="2"/>
  <c r="H1832" i="2"/>
  <c r="J1637" i="2"/>
  <c r="E1637" i="2"/>
  <c r="H1637" i="2"/>
  <c r="E1821" i="2"/>
  <c r="K1773" i="2"/>
  <c r="M1578" i="2"/>
  <c r="Q2363" i="2"/>
  <c r="Q2147" i="2"/>
  <c r="R2048" i="2"/>
  <c r="V2058" i="2"/>
  <c r="U2213" i="2"/>
  <c r="N2043" i="2"/>
  <c r="O2042" i="2"/>
  <c r="F2043" i="2"/>
  <c r="K2183" i="2"/>
  <c r="R2039" i="2"/>
  <c r="S2038" i="2"/>
  <c r="J2039" i="2"/>
  <c r="F2055" i="2"/>
  <c r="O1880" i="2"/>
  <c r="U1878" i="2"/>
  <c r="C1938" i="2"/>
  <c r="W2065" i="2"/>
  <c r="O1868" i="2"/>
  <c r="P1867" i="2"/>
  <c r="K1867" i="2"/>
  <c r="F1867" i="2"/>
  <c r="J1866" i="2"/>
  <c r="V1865" i="2"/>
  <c r="Q1865" i="2"/>
  <c r="L1865" i="2"/>
  <c r="S1952" i="2"/>
  <c r="I1758" i="2"/>
  <c r="D1758" i="2"/>
  <c r="J2073" i="2"/>
  <c r="D2042" i="2"/>
  <c r="L2041" i="2"/>
  <c r="T2040" i="2"/>
  <c r="V2037" i="2"/>
  <c r="L1843" i="2"/>
  <c r="U1866" i="2"/>
  <c r="P1866" i="2"/>
  <c r="K1866" i="2"/>
  <c r="O1865" i="2"/>
  <c r="F1865" i="2"/>
  <c r="V1864" i="2"/>
  <c r="Q1864" i="2"/>
  <c r="C1952" i="2"/>
  <c r="N1757" i="2"/>
  <c r="I1757" i="2"/>
  <c r="W2064" i="2"/>
  <c r="H2038" i="2"/>
  <c r="P2037" i="2"/>
  <c r="C2037" i="2"/>
  <c r="E2034" i="2"/>
  <c r="P1839" i="2"/>
  <c r="D1863" i="2"/>
  <c r="T1862" i="2"/>
  <c r="F1932" i="2"/>
  <c r="O2450" i="2"/>
  <c r="M2268" i="2"/>
  <c r="S2026" i="2"/>
  <c r="O2135" i="2"/>
  <c r="T2298" i="2"/>
  <c r="N1954" i="2"/>
  <c r="R1950" i="2"/>
  <c r="W1791" i="2"/>
  <c r="R2391" i="2"/>
  <c r="J2135" i="2"/>
  <c r="N2131" i="2"/>
  <c r="C1948" i="2"/>
  <c r="D2273" i="2"/>
  <c r="W2251" i="2"/>
  <c r="I2153" i="2"/>
  <c r="P2065" i="2"/>
  <c r="U2450" i="2"/>
  <c r="N2262" i="2"/>
  <c r="T1965" i="2"/>
  <c r="R2171" i="2"/>
  <c r="Q2317" i="2"/>
  <c r="L2087" i="2"/>
  <c r="P2083" i="2"/>
  <c r="C1731" i="2"/>
  <c r="P2431" i="2"/>
  <c r="P2074" i="2"/>
  <c r="T2070" i="2"/>
  <c r="P1887" i="2"/>
  <c r="H2326" i="2"/>
  <c r="S2331" i="2"/>
  <c r="Q2218" i="2"/>
  <c r="Q2004" i="2"/>
  <c r="E2265" i="2"/>
  <c r="P2338" i="2"/>
  <c r="I2099" i="2"/>
  <c r="C2111" i="2"/>
  <c r="K2687" i="2"/>
  <c r="Q2125" i="2"/>
  <c r="U2121" i="2"/>
  <c r="U1864" i="2"/>
  <c r="D2197" i="2"/>
  <c r="Q2013" i="2"/>
  <c r="U2009" i="2"/>
  <c r="S2044" i="2"/>
  <c r="K2331" i="2"/>
  <c r="C2035" i="2"/>
  <c r="C2034" i="2"/>
  <c r="C2286" i="2"/>
  <c r="O2030" i="2"/>
  <c r="P2029" i="2"/>
  <c r="G2030" i="2"/>
  <c r="C2046" i="2"/>
  <c r="L1871" i="2"/>
  <c r="R1869" i="2"/>
  <c r="U2095" i="2"/>
  <c r="K2104" i="2"/>
  <c r="W1949" i="2"/>
  <c r="Q1920" i="2"/>
  <c r="I2111" i="2"/>
  <c r="W1756" i="2"/>
  <c r="F1837" i="2"/>
  <c r="L1835" i="2"/>
  <c r="T1727" i="2"/>
  <c r="W2010" i="2"/>
  <c r="K1836" i="2"/>
  <c r="Q1834" i="2"/>
  <c r="D1727" i="2"/>
  <c r="F2007" i="2"/>
  <c r="O1832" i="2"/>
  <c r="U1830" i="2"/>
  <c r="D1854" i="2"/>
  <c r="U1530" i="2"/>
  <c r="D1667" i="2"/>
  <c r="E1803" i="2"/>
  <c r="T1840" i="2"/>
  <c r="K1855" i="2"/>
  <c r="W1586" i="2"/>
  <c r="F1723" i="2"/>
  <c r="P1264" i="2"/>
  <c r="I1654" i="2"/>
  <c r="J1790" i="2"/>
  <c r="I1848" i="2"/>
  <c r="U1646" i="2"/>
  <c r="J1728" i="2"/>
  <c r="L1662" i="2"/>
  <c r="T1603" i="2"/>
  <c r="U1739" i="2"/>
  <c r="U1716" i="2"/>
  <c r="N2096" i="2"/>
  <c r="F2054" i="2"/>
  <c r="J2050" i="2"/>
  <c r="T1890" i="2"/>
  <c r="V1821" i="2"/>
  <c r="G1820" i="2"/>
  <c r="K1907" i="2"/>
  <c r="R1995" i="2"/>
  <c r="F1821" i="2"/>
  <c r="L1819" i="2"/>
  <c r="P1906" i="2"/>
  <c r="V1991" i="2"/>
  <c r="J1817" i="2"/>
  <c r="P1815" i="2"/>
  <c r="O1823" i="2"/>
  <c r="L1710" i="2"/>
  <c r="T1651" i="2"/>
  <c r="U1787" i="2"/>
  <c r="O1973" i="2"/>
  <c r="P2245" i="2"/>
  <c r="G2022" i="2"/>
  <c r="H2021" i="2"/>
  <c r="T2021" i="2"/>
  <c r="K2230" i="2"/>
  <c r="K2018" i="2"/>
  <c r="L2017" i="2"/>
  <c r="C2018" i="2"/>
  <c r="T2033" i="2"/>
  <c r="H1859" i="2"/>
  <c r="N1857" i="2"/>
  <c r="E2047" i="2"/>
  <c r="G2092" i="2"/>
  <c r="D2145" i="2"/>
  <c r="J2066" i="2"/>
  <c r="N2062" i="2"/>
  <c r="C1903" i="2"/>
  <c r="W1824" i="2"/>
  <c r="H1823" i="2"/>
  <c r="L1910" i="2"/>
  <c r="S1998" i="2"/>
  <c r="G1824" i="2"/>
  <c r="M1822" i="2"/>
  <c r="Q1909" i="2"/>
  <c r="W1994" i="2"/>
  <c r="K1820" i="2"/>
  <c r="Q1818" i="2"/>
  <c r="Q1829" i="2"/>
  <c r="M1713" i="2"/>
  <c r="U1654" i="2"/>
  <c r="V1790" i="2"/>
  <c r="P1828" i="2"/>
  <c r="P1806" i="2"/>
  <c r="S1574" i="2"/>
  <c r="W1710" i="2"/>
  <c r="L1252" i="2"/>
  <c r="E1642" i="2"/>
  <c r="F1778" i="2"/>
  <c r="N1799" i="2"/>
  <c r="E1598" i="2"/>
  <c r="S1898" i="2"/>
  <c r="H1650" i="2"/>
  <c r="P1591" i="2"/>
  <c r="Q1727" i="2"/>
  <c r="Q1624" i="2"/>
  <c r="V2095" i="2"/>
  <c r="K2005" i="2"/>
  <c r="O2001" i="2"/>
  <c r="D1842" i="2"/>
  <c r="R1809" i="2"/>
  <c r="C1808" i="2"/>
  <c r="G1895" i="2"/>
  <c r="N1983" i="2"/>
  <c r="W1808" i="2"/>
  <c r="H1807" i="2"/>
  <c r="L1894" i="2"/>
  <c r="R1979" i="2"/>
  <c r="F1805" i="2"/>
  <c r="L1803" i="2"/>
  <c r="G1799" i="2"/>
  <c r="H1698" i="2"/>
  <c r="P1639" i="2"/>
  <c r="Q1775" i="2"/>
  <c r="V2119" i="2"/>
  <c r="E2251" i="2"/>
  <c r="H1961" i="2"/>
  <c r="I1960" i="2"/>
  <c r="U1960" i="2"/>
  <c r="M2243" i="2"/>
  <c r="L1957" i="2"/>
  <c r="M1956" i="2"/>
  <c r="D1957" i="2"/>
  <c r="U1972" i="2"/>
  <c r="I1798" i="2"/>
  <c r="O1796" i="2"/>
  <c r="T2055" i="2"/>
  <c r="N2029" i="2"/>
  <c r="T1950" i="2"/>
  <c r="E2117" i="2"/>
  <c r="K2313" i="2"/>
  <c r="C1854" i="2"/>
  <c r="C1764" i="2"/>
  <c r="I1762" i="2"/>
  <c r="M1849" i="2"/>
  <c r="T1937" i="2"/>
  <c r="H1763" i="2"/>
  <c r="N1761" i="2"/>
  <c r="R1848" i="2"/>
  <c r="C1934" i="2"/>
  <c r="L1759" i="2"/>
  <c r="R1757" i="2"/>
  <c r="O1902" i="2"/>
  <c r="N1652" i="2"/>
  <c r="V1593" i="2"/>
  <c r="W1729" i="2"/>
  <c r="Q1767" i="2"/>
  <c r="D1761" i="2"/>
  <c r="L1708" i="2"/>
  <c r="C1650" i="2"/>
  <c r="T1759" i="2"/>
  <c r="F1581" i="2"/>
  <c r="J1717" i="2"/>
  <c r="J1854" i="2"/>
  <c r="E1549" i="2"/>
  <c r="Q1812" i="2"/>
  <c r="I1589" i="2"/>
  <c r="Q1530" i="2"/>
  <c r="U1666" i="2"/>
  <c r="M1631" i="2"/>
  <c r="G2234" i="2"/>
  <c r="H2153" i="2"/>
  <c r="L2149" i="2"/>
  <c r="D1793" i="2"/>
  <c r="S1748" i="2"/>
  <c r="D1747" i="2"/>
  <c r="H1834" i="2"/>
  <c r="O1922" i="2"/>
  <c r="C1748" i="2"/>
  <c r="I1746" i="2"/>
  <c r="M1833" i="2"/>
  <c r="G2113" i="2"/>
  <c r="G1744" i="2"/>
  <c r="M1742" i="2"/>
  <c r="E1872" i="2"/>
  <c r="I1637" i="2"/>
  <c r="Q1578" i="2"/>
  <c r="U1714" i="2"/>
  <c r="S2070" i="2"/>
  <c r="V2306" i="2"/>
  <c r="R2094" i="2"/>
  <c r="S2093" i="2"/>
  <c r="E2144" i="2"/>
  <c r="I1949" i="2"/>
  <c r="Q1948" i="2"/>
  <c r="D1948" i="2"/>
  <c r="T2147" i="2"/>
  <c r="I2142" i="2"/>
  <c r="E2219" i="2"/>
  <c r="E2142" i="2"/>
  <c r="Q2140" i="2"/>
  <c r="U1945" i="2"/>
  <c r="H1945" i="2"/>
  <c r="P1944" i="2"/>
  <c r="R2139" i="2"/>
  <c r="V1944" i="2"/>
  <c r="I1944" i="2"/>
  <c r="Q1943" i="2"/>
  <c r="I2140" i="2"/>
  <c r="M1945" i="2"/>
  <c r="U1944" i="2"/>
  <c r="H1944" i="2"/>
  <c r="E2156" i="2"/>
  <c r="I1961" i="2"/>
  <c r="Q1960" i="2"/>
  <c r="D1960" i="2"/>
  <c r="F1957" i="2"/>
  <c r="O1980" i="2"/>
  <c r="E1786" i="2"/>
  <c r="U1785" i="2"/>
  <c r="P1785" i="2"/>
  <c r="U1978" i="2"/>
  <c r="K1784" i="2"/>
  <c r="F1784" i="2"/>
  <c r="V1783" i="2"/>
  <c r="T1871" i="2"/>
  <c r="T2126" i="2"/>
  <c r="M2021" i="2"/>
  <c r="U2020" i="2"/>
  <c r="H2020" i="2"/>
  <c r="J2017" i="2"/>
  <c r="S2040" i="2"/>
  <c r="M2173" i="2"/>
  <c r="L2264" i="2"/>
  <c r="S2117" i="2"/>
  <c r="N1930" i="2"/>
  <c r="T2165" i="2"/>
  <c r="U2164" i="2"/>
  <c r="L2165" i="2"/>
  <c r="D2136" i="2"/>
  <c r="C2162" i="2"/>
  <c r="D2161" i="2"/>
  <c r="P2161" i="2"/>
  <c r="N2177" i="2"/>
  <c r="M1978" i="2"/>
  <c r="W1806" i="2"/>
  <c r="H1805" i="2"/>
  <c r="G2042" i="2"/>
  <c r="M2026" i="2"/>
  <c r="I1946" i="2"/>
  <c r="T1751" i="2"/>
  <c r="O1751" i="2"/>
  <c r="J1751" i="2"/>
  <c r="O1944" i="2"/>
  <c r="E1750" i="2"/>
  <c r="U1749" i="2"/>
  <c r="C2032" i="2"/>
  <c r="N1837" i="2"/>
  <c r="I1837" i="2"/>
  <c r="J1959" i="2"/>
  <c r="D2121" i="2"/>
  <c r="H1926" i="2"/>
  <c r="P1925" i="2"/>
  <c r="C1925" i="2"/>
  <c r="E1922" i="2"/>
  <c r="N1945" i="2"/>
  <c r="D1751" i="2"/>
  <c r="T1750" i="2"/>
  <c r="O1750" i="2"/>
  <c r="T1943" i="2"/>
  <c r="J1749" i="2"/>
  <c r="E1749" i="2"/>
  <c r="H2031" i="2"/>
  <c r="S1836" i="2"/>
  <c r="N1836" i="2"/>
  <c r="E1944" i="2"/>
  <c r="H2117" i="2"/>
  <c r="L1922" i="2"/>
  <c r="T1921" i="2"/>
  <c r="G1921" i="2"/>
  <c r="W1918" i="2"/>
  <c r="R1941" i="2"/>
  <c r="H1747" i="2"/>
  <c r="C1747" i="2"/>
  <c r="S1746" i="2"/>
  <c r="C1940" i="2"/>
  <c r="N1745" i="2"/>
  <c r="I1745" i="2"/>
  <c r="L2027" i="2"/>
  <c r="W1832" i="2"/>
  <c r="G1878" i="2"/>
  <c r="V1862" i="2"/>
  <c r="M1835" i="2"/>
  <c r="O1640" i="2"/>
  <c r="J1640" i="2"/>
  <c r="M1640" i="2"/>
  <c r="D1834" i="2"/>
  <c r="P1776" i="2"/>
  <c r="R1581" i="2"/>
  <c r="M1581" i="2"/>
  <c r="P1581" i="2"/>
  <c r="L1793" i="2"/>
  <c r="V1717" i="2"/>
  <c r="H1914" i="2"/>
  <c r="R1783" i="2"/>
  <c r="M1749" i="2"/>
  <c r="M1755" i="2"/>
  <c r="O1560" i="2"/>
  <c r="J1560" i="2"/>
  <c r="M1560" i="2"/>
  <c r="Q1736" i="2"/>
  <c r="S1696" i="2"/>
  <c r="N1696" i="2"/>
  <c r="Q1696" i="2"/>
  <c r="H1696" i="2"/>
  <c r="T1832" i="2"/>
  <c r="V1637" i="2"/>
  <c r="Q1637" i="2"/>
  <c r="T1637" i="2"/>
  <c r="C1662" i="2"/>
  <c r="C1569" i="2"/>
  <c r="J1374" i="2"/>
  <c r="L1735" i="2"/>
  <c r="E1792" i="2"/>
  <c r="C1783" i="2"/>
  <c r="U1763" i="2"/>
  <c r="W1568" i="2"/>
  <c r="R1568" i="2"/>
  <c r="U1568" i="2"/>
  <c r="L1753" i="2"/>
  <c r="F1705" i="2"/>
  <c r="V1704" i="2"/>
  <c r="D1705" i="2"/>
  <c r="P1704" i="2"/>
  <c r="G1841" i="2"/>
  <c r="I1646" i="2"/>
  <c r="D1646" i="2"/>
  <c r="G1646" i="2"/>
  <c r="N1695" i="2"/>
  <c r="K1577" i="2"/>
  <c r="R1382" i="2"/>
  <c r="W1752" i="2"/>
  <c r="M1800" i="2"/>
  <c r="N1816" i="2"/>
  <c r="H1772" i="2"/>
  <c r="J1577" i="2"/>
  <c r="E1577" i="2"/>
  <c r="H1577" i="2"/>
  <c r="V1775" i="2"/>
  <c r="N1713" i="2"/>
  <c r="I1713" i="2"/>
  <c r="L1713" i="2"/>
  <c r="C1713" i="2"/>
  <c r="O1849" i="2"/>
  <c r="Q1654" i="2"/>
  <c r="L1654" i="2"/>
  <c r="O1654" i="2"/>
  <c r="D1678" i="2"/>
  <c r="E1607" i="2"/>
  <c r="E2500" i="2"/>
  <c r="W2459" i="2"/>
  <c r="C2116" i="2"/>
  <c r="I2294" i="2"/>
  <c r="K2285" i="2"/>
  <c r="E2105" i="2"/>
  <c r="F2104" i="2"/>
  <c r="R2104" i="2"/>
  <c r="F2440" i="2"/>
  <c r="I2101" i="2"/>
  <c r="J2100" i="2"/>
  <c r="V2100" i="2"/>
  <c r="M2116" i="2"/>
  <c r="E1918" i="2"/>
  <c r="C1746" i="2"/>
  <c r="Q2026" i="2"/>
  <c r="N1999" i="2"/>
  <c r="C1996" i="2"/>
  <c r="D1931" i="2"/>
  <c r="O1736" i="2"/>
  <c r="J1736" i="2"/>
  <c r="E1736" i="2"/>
  <c r="J1929" i="2"/>
  <c r="U1734" i="2"/>
  <c r="P1734" i="2"/>
  <c r="S2016" i="2"/>
  <c r="I1822" i="2"/>
  <c r="D1822" i="2"/>
  <c r="T2092" i="2"/>
  <c r="D2106" i="2"/>
  <c r="L2105" i="2"/>
  <c r="T2104" i="2"/>
  <c r="P2103" i="2"/>
  <c r="L1907" i="2"/>
  <c r="I1930" i="2"/>
  <c r="T1735" i="2"/>
  <c r="O1735" i="2"/>
  <c r="J1735" i="2"/>
  <c r="O1928" i="2"/>
  <c r="E1734" i="2"/>
  <c r="U1733" i="2"/>
  <c r="C2016" i="2"/>
  <c r="N1821" i="2"/>
  <c r="I1821" i="2"/>
  <c r="O2077" i="2"/>
  <c r="H2102" i="2"/>
  <c r="P2101" i="2"/>
  <c r="C2101" i="2"/>
  <c r="T2099" i="2"/>
  <c r="P1903" i="2"/>
  <c r="M1926" i="2"/>
  <c r="C1732" i="2"/>
  <c r="S1731" i="2"/>
  <c r="N1731" i="2"/>
  <c r="S1924" i="2"/>
  <c r="I1730" i="2"/>
  <c r="D1730" i="2"/>
  <c r="G2012" i="2"/>
  <c r="R1817" i="2"/>
  <c r="M1848" i="2"/>
  <c r="R1813" i="2"/>
  <c r="H1820" i="2"/>
  <c r="J1625" i="2"/>
  <c r="E1625" i="2"/>
  <c r="H1625" i="2"/>
  <c r="E1773" i="2"/>
  <c r="K1761" i="2"/>
  <c r="M1566" i="2"/>
  <c r="H1566" i="2"/>
  <c r="K1566" i="2"/>
  <c r="M1748" i="2"/>
  <c r="Q1702" i="2"/>
  <c r="S1883" i="2"/>
  <c r="U1792" i="2"/>
  <c r="D1786" i="2"/>
  <c r="P1764" i="2"/>
  <c r="R1569" i="2"/>
  <c r="M1569" i="2"/>
  <c r="P1569" i="2"/>
  <c r="W1754" i="2"/>
  <c r="V1705" i="2"/>
  <c r="Q1705" i="2"/>
  <c r="T1705" i="2"/>
  <c r="K1705" i="2"/>
  <c r="W1841" i="2"/>
  <c r="D1647" i="2"/>
  <c r="T1646" i="2"/>
  <c r="W1646" i="2"/>
  <c r="O1698" i="2"/>
  <c r="F1578" i="2"/>
  <c r="M1383" i="2"/>
  <c r="R1753" i="2"/>
  <c r="H1801" i="2"/>
  <c r="O1819" i="2"/>
  <c r="C1773" i="2"/>
  <c r="E1578" i="2"/>
  <c r="U1577" i="2"/>
  <c r="C1578" i="2"/>
  <c r="W1778" i="2"/>
  <c r="I1714" i="2"/>
  <c r="D1714" i="2"/>
  <c r="G1714" i="2"/>
  <c r="S1713" i="2"/>
  <c r="J1850" i="2"/>
  <c r="L1655" i="2"/>
  <c r="G1655" i="2"/>
  <c r="J1655" i="2"/>
  <c r="V1536" i="2"/>
  <c r="N1586" i="2"/>
  <c r="U1391" i="2"/>
  <c r="H1771" i="2"/>
  <c r="P1809" i="2"/>
  <c r="E1853" i="2"/>
  <c r="K1781" i="2"/>
  <c r="M1586" i="2"/>
  <c r="H1586" i="2"/>
  <c r="K1586" i="2"/>
  <c r="M1812" i="2"/>
  <c r="Q1722" i="2"/>
  <c r="L1722" i="2"/>
  <c r="O1722" i="2"/>
  <c r="F1722" i="2"/>
  <c r="C1865" i="2"/>
  <c r="T1663" i="2"/>
  <c r="O1663" i="2"/>
  <c r="F2172" i="2"/>
  <c r="T2274" i="2"/>
  <c r="R2047" i="2"/>
  <c r="I1979" i="2"/>
  <c r="S2224" i="2"/>
  <c r="W2220" i="2"/>
  <c r="H2223" i="2"/>
  <c r="F2206" i="2"/>
  <c r="N2209" i="2"/>
  <c r="R2205" i="2"/>
  <c r="C2208" i="2"/>
  <c r="H2271" i="2"/>
  <c r="U2002" i="2"/>
  <c r="J1831" i="2"/>
  <c r="P1829" i="2"/>
  <c r="O2066" i="2"/>
  <c r="Q2038" i="2"/>
  <c r="K1952" i="2"/>
  <c r="V1757" i="2"/>
  <c r="Q1757" i="2"/>
  <c r="L1757" i="2"/>
  <c r="Q1950" i="2"/>
  <c r="G1756" i="2"/>
  <c r="W1755" i="2"/>
  <c r="E2038" i="2"/>
  <c r="P1843" i="2"/>
  <c r="K1843" i="2"/>
  <c r="R1983" i="2"/>
  <c r="F2127" i="2"/>
  <c r="J1932" i="2"/>
  <c r="R1931" i="2"/>
  <c r="E1931" i="2"/>
  <c r="G1928" i="2"/>
  <c r="P1951" i="2"/>
  <c r="F1757" i="2"/>
  <c r="V1756" i="2"/>
  <c r="Q1756" i="2"/>
  <c r="V1949" i="2"/>
  <c r="L1755" i="2"/>
  <c r="G1755" i="2"/>
  <c r="J2037" i="2"/>
  <c r="U1842" i="2"/>
  <c r="P1842" i="2"/>
  <c r="M1968" i="2"/>
  <c r="J2123" i="2"/>
  <c r="N1928" i="2"/>
  <c r="V1927" i="2"/>
  <c r="I1927" i="2"/>
  <c r="K1924" i="2"/>
  <c r="T1947" i="2"/>
  <c r="J1753" i="2"/>
  <c r="E1753" i="2"/>
  <c r="U1752" i="2"/>
  <c r="E1946" i="2"/>
  <c r="P1751" i="2"/>
  <c r="K1751" i="2"/>
  <c r="N2033" i="2"/>
  <c r="D1839" i="2"/>
  <c r="K1890" i="2"/>
  <c r="C1869" i="2"/>
  <c r="O1841" i="2"/>
  <c r="Q1646" i="2"/>
  <c r="L1646" i="2"/>
  <c r="O1646" i="2"/>
  <c r="L1858" i="2"/>
  <c r="R1782" i="2"/>
  <c r="T1587" i="2"/>
  <c r="O1587" i="2"/>
  <c r="R1587" i="2"/>
  <c r="T1817" i="2"/>
  <c r="C1724" i="2"/>
  <c r="P1731" i="2"/>
  <c r="T1789" i="2"/>
  <c r="U1773" i="2"/>
  <c r="O1761" i="2"/>
  <c r="Q1566" i="2"/>
  <c r="L1566" i="2"/>
  <c r="O1566" i="2"/>
  <c r="U1748" i="2"/>
  <c r="U1702" i="2"/>
  <c r="P1702" i="2"/>
  <c r="S1702" i="2"/>
  <c r="J1702" i="2"/>
  <c r="V1838" i="2"/>
  <c r="C1644" i="2"/>
  <c r="S1643" i="2"/>
  <c r="V1643" i="2"/>
  <c r="K1686" i="2"/>
  <c r="E1575" i="2"/>
  <c r="L1380" i="2"/>
  <c r="P1747" i="2"/>
  <c r="G1798" i="2"/>
  <c r="K1807" i="2"/>
  <c r="W1769" i="2"/>
  <c r="D1575" i="2"/>
  <c r="T1574" i="2"/>
  <c r="W1574" i="2"/>
  <c r="S1766" i="2"/>
  <c r="H1711" i="2"/>
  <c r="C1711" i="2"/>
  <c r="F1711" i="2"/>
  <c r="R1710" i="2"/>
  <c r="I1847" i="2"/>
  <c r="K1652" i="2"/>
  <c r="F1652" i="2"/>
  <c r="I1652" i="2"/>
  <c r="V1719" i="2"/>
  <c r="M1583" i="2"/>
  <c r="T1388" i="2"/>
  <c r="F1765" i="2"/>
  <c r="O1806" i="2"/>
  <c r="V1840" i="2"/>
  <c r="J1778" i="2"/>
  <c r="L1583" i="2"/>
  <c r="G1583" i="2"/>
  <c r="J1583" i="2"/>
  <c r="I1800" i="2"/>
  <c r="P1719" i="2"/>
  <c r="K1719" i="2"/>
  <c r="N1719" i="2"/>
  <c r="E1719" i="2"/>
  <c r="V1858" i="2"/>
  <c r="S1660" i="2"/>
  <c r="N1660" i="2"/>
  <c r="Q1660" i="2"/>
  <c r="L1702" i="2"/>
  <c r="I1619" i="2"/>
  <c r="O1229" i="2"/>
  <c r="K2010" i="2"/>
  <c r="V2077" i="2"/>
  <c r="W2037" i="2"/>
  <c r="M1957" i="2"/>
  <c r="C1779" i="2"/>
  <c r="I1777" i="2"/>
  <c r="M1864" i="2"/>
  <c r="L1952" i="2"/>
  <c r="I2268" i="2"/>
  <c r="E2292" i="2"/>
  <c r="W2266" i="2"/>
  <c r="W2042" i="2"/>
  <c r="U2059" i="2"/>
  <c r="E1864" i="2"/>
  <c r="K1862" i="2"/>
  <c r="H2067" i="2"/>
  <c r="E2427" i="2"/>
  <c r="S2293" i="2"/>
  <c r="F2286" i="2"/>
  <c r="G1994" i="2"/>
  <c r="M2035" i="2"/>
  <c r="V1851" i="2"/>
  <c r="G1850" i="2"/>
  <c r="H2138" i="2"/>
  <c r="Q2022" i="2"/>
  <c r="Q2249" i="2"/>
  <c r="H2129" i="2"/>
  <c r="L2125" i="2"/>
  <c r="V1941" i="2"/>
  <c r="G2008" i="2"/>
  <c r="G1742" i="2"/>
  <c r="U2022" i="2"/>
  <c r="F2112" i="2"/>
  <c r="K1936" i="2"/>
  <c r="W1788" i="2"/>
  <c r="F1876" i="2"/>
  <c r="L1961" i="2"/>
  <c r="U1786" i="2"/>
  <c r="F1785" i="2"/>
  <c r="P1762" i="2"/>
  <c r="W1679" i="2"/>
  <c r="J1621" i="2"/>
  <c r="K1757" i="2"/>
  <c r="E1795" i="2"/>
  <c r="J1867" i="2"/>
  <c r="H1541" i="2"/>
  <c r="L1677" i="2"/>
  <c r="V1218" i="2"/>
  <c r="C1778" i="2"/>
  <c r="I1776" i="2"/>
  <c r="Q2144" i="2"/>
  <c r="R1945" i="2"/>
  <c r="G1774" i="2"/>
  <c r="M1772" i="2"/>
  <c r="K1873" i="2"/>
  <c r="W1748" i="2"/>
  <c r="D1609" i="2"/>
  <c r="F1811" i="2"/>
  <c r="S1587" i="2"/>
  <c r="W1723" i="2"/>
  <c r="J1665" i="2"/>
  <c r="L1596" i="2"/>
  <c r="G1888" i="2"/>
  <c r="O1764" i="2"/>
  <c r="S1851" i="2"/>
  <c r="D1937" i="2"/>
  <c r="M1762" i="2"/>
  <c r="S1760" i="2"/>
  <c r="Q1908" i="2"/>
  <c r="O1655" i="2"/>
  <c r="W1596" i="2"/>
  <c r="C1733" i="2"/>
  <c r="R1770" i="2"/>
  <c r="T1769" i="2"/>
  <c r="M1711" i="2"/>
  <c r="D1653" i="2"/>
  <c r="V1731" i="2"/>
  <c r="S1750" i="2"/>
  <c r="T1703" i="2"/>
  <c r="O1703" i="2"/>
  <c r="R1703" i="2"/>
  <c r="I1703" i="2"/>
  <c r="U1839" i="2"/>
  <c r="W1644" i="2"/>
  <c r="R1644" i="2"/>
  <c r="U1644" i="2"/>
  <c r="O1851" i="2"/>
  <c r="C1781" i="2"/>
  <c r="E1586" i="2"/>
  <c r="U1585" i="2"/>
  <c r="T1844" i="2"/>
  <c r="K1542" i="2"/>
  <c r="O1517" i="2"/>
  <c r="N1322" i="2"/>
  <c r="P1826" i="2"/>
  <c r="I1740" i="2"/>
  <c r="O1770" i="2"/>
  <c r="G1712" i="2"/>
  <c r="W1711" i="2"/>
  <c r="E1712" i="2"/>
  <c r="Q1711" i="2"/>
  <c r="H1848" i="2"/>
  <c r="J1653" i="2"/>
  <c r="E1653" i="2"/>
  <c r="H1653" i="2"/>
  <c r="E1885" i="2"/>
  <c r="K1789" i="2"/>
  <c r="M1594" i="2"/>
  <c r="H1594" i="2"/>
  <c r="H1904" i="2"/>
  <c r="F1559" i="2"/>
  <c r="W1525" i="2"/>
  <c r="V1330" i="2"/>
  <c r="F1844" i="2"/>
  <c r="Q1748" i="2"/>
  <c r="E1804" i="2"/>
  <c r="O1720" i="2"/>
  <c r="J1720" i="2"/>
  <c r="M1720" i="2"/>
  <c r="D1720" i="2"/>
  <c r="T1860" i="2"/>
  <c r="R1661" i="2"/>
  <c r="M1661" i="2"/>
  <c r="P1661" i="2"/>
  <c r="P1918" i="2"/>
  <c r="S1797" i="2"/>
  <c r="U1602" i="2"/>
  <c r="I2378" i="2"/>
  <c r="Q2214" i="2"/>
  <c r="U2147" i="2"/>
  <c r="F2060" i="2"/>
  <c r="D2143" i="2"/>
  <c r="P1946" i="2"/>
  <c r="Q1945" i="2"/>
  <c r="H1946" i="2"/>
  <c r="H2139" i="2"/>
  <c r="T1942" i="2"/>
  <c r="U1941" i="2"/>
  <c r="L1942" i="2"/>
  <c r="H1958" i="2"/>
  <c r="N1977" i="2"/>
  <c r="T1975" i="2"/>
  <c r="S1868" i="2"/>
  <c r="I1920" i="2"/>
  <c r="J1917" i="2"/>
  <c r="C1892" i="2"/>
  <c r="S1891" i="2"/>
  <c r="N1891" i="2"/>
  <c r="R1890" i="2"/>
  <c r="I1890" i="2"/>
  <c r="D1890" i="2"/>
  <c r="T1889" i="2"/>
  <c r="F1977" i="2"/>
  <c r="Q1782" i="2"/>
  <c r="L1782" i="2"/>
  <c r="J1934" i="2"/>
  <c r="L2066" i="2"/>
  <c r="T2065" i="2"/>
  <c r="G2065" i="2"/>
  <c r="C2064" i="2"/>
  <c r="T1867" i="2"/>
  <c r="H1891" i="2"/>
  <c r="C1891" i="2"/>
  <c r="S1890" i="2"/>
  <c r="W1889" i="2"/>
  <c r="N1889" i="2"/>
  <c r="I1889" i="2"/>
  <c r="D1889" i="2"/>
  <c r="K1976" i="2"/>
  <c r="V1781" i="2"/>
  <c r="Q1781" i="2"/>
  <c r="U1919" i="2"/>
  <c r="P2062" i="2"/>
  <c r="C2062" i="2"/>
  <c r="K2061" i="2"/>
  <c r="G2060" i="2"/>
  <c r="C1864" i="2"/>
  <c r="L1887" i="2"/>
  <c r="G1887" i="2"/>
  <c r="W1886" i="2"/>
  <c r="F1886" i="2"/>
  <c r="R1885" i="2"/>
  <c r="M1885" i="2"/>
  <c r="H1885" i="2"/>
  <c r="O1972" i="2"/>
  <c r="W1768" i="2"/>
  <c r="U1808" i="2"/>
  <c r="D1850" i="2"/>
  <c r="P1780" i="2"/>
  <c r="R1585" i="2"/>
  <c r="M1585" i="2"/>
  <c r="P1585" i="2"/>
  <c r="L1809" i="2"/>
  <c r="V1721" i="2"/>
  <c r="Q1721" i="2"/>
  <c r="T1721" i="2"/>
  <c r="K1721" i="2"/>
  <c r="M1863" i="2"/>
  <c r="D1663" i="2"/>
  <c r="N1804" i="2"/>
  <c r="U1728" i="2"/>
  <c r="Q1744" i="2"/>
  <c r="S1700" i="2"/>
  <c r="N1700" i="2"/>
  <c r="Q1700" i="2"/>
  <c r="H1700" i="2"/>
  <c r="T1836" i="2"/>
  <c r="V1641" i="2"/>
  <c r="Q1641" i="2"/>
  <c r="T1641" i="2"/>
  <c r="K1839" i="2"/>
  <c r="W1777" i="2"/>
  <c r="D1583" i="2"/>
  <c r="T1582" i="2"/>
  <c r="P1832" i="2"/>
  <c r="I1536" i="2"/>
  <c r="N1514" i="2"/>
  <c r="M1319" i="2"/>
  <c r="N1820" i="2"/>
  <c r="H1737" i="2"/>
  <c r="L1761" i="2"/>
  <c r="F1709" i="2"/>
  <c r="V1708" i="2"/>
  <c r="D1709" i="2"/>
  <c r="P1708" i="2"/>
  <c r="G1845" i="2"/>
  <c r="I1650" i="2"/>
  <c r="D1650" i="2"/>
  <c r="G1650" i="2"/>
  <c r="V1872" i="2"/>
  <c r="J1786" i="2"/>
  <c r="L1591" i="2"/>
  <c r="G1591" i="2"/>
  <c r="U1879" i="2"/>
  <c r="D1553" i="2"/>
  <c r="V1522" i="2"/>
  <c r="U1327" i="2"/>
  <c r="D1838" i="2"/>
  <c r="P1745" i="2"/>
  <c r="V1791" i="2"/>
  <c r="N1717" i="2"/>
  <c r="I1717" i="2"/>
  <c r="L1717" i="2"/>
  <c r="C1717" i="2"/>
  <c r="R1854" i="2"/>
  <c r="Q1658" i="2"/>
  <c r="L1658" i="2"/>
  <c r="O1658" i="2"/>
  <c r="L1906" i="2"/>
  <c r="R1794" i="2"/>
  <c r="T1599" i="2"/>
  <c r="O1599" i="2"/>
  <c r="Q1752" i="2"/>
  <c r="T1653" i="2"/>
  <c r="S1497" i="2"/>
  <c r="I2371" i="2"/>
  <c r="R2080" i="2"/>
  <c r="V2076" i="2"/>
  <c r="R1893" i="2"/>
  <c r="T1983" i="2"/>
  <c r="C1730" i="2"/>
  <c r="Q2010" i="2"/>
  <c r="W2099" i="2"/>
  <c r="J1901" i="2"/>
  <c r="V2295" i="2"/>
  <c r="R2030" i="2"/>
  <c r="V2026" i="2"/>
  <c r="F1868" i="2"/>
  <c r="I2010" i="2"/>
  <c r="O2008" i="2"/>
  <c r="N1901" i="2"/>
  <c r="H1990" i="2"/>
  <c r="K2441" i="2"/>
  <c r="W1981" i="2"/>
  <c r="F1978" i="2"/>
  <c r="K1819" i="2"/>
  <c r="E1998" i="2"/>
  <c r="K1996" i="2"/>
  <c r="J1889" i="2"/>
  <c r="D1978" i="2"/>
  <c r="J1997" i="2"/>
  <c r="S2248" i="2"/>
  <c r="M1933" i="2"/>
  <c r="Q1929" i="2"/>
  <c r="P1963" i="2"/>
  <c r="W1888" i="2"/>
  <c r="H1887" i="2"/>
  <c r="P1779" i="2"/>
  <c r="S2062" i="2"/>
  <c r="Q1741" i="2"/>
  <c r="W1739" i="2"/>
  <c r="W2101" i="2"/>
  <c r="V2105" i="2"/>
  <c r="U1737" i="2"/>
  <c r="F1736" i="2"/>
  <c r="S1853" i="2"/>
  <c r="J1631" i="2"/>
  <c r="J1572" i="2"/>
  <c r="W1895" i="2"/>
  <c r="L1551" i="2"/>
  <c r="P1687" i="2"/>
  <c r="Q1823" i="2"/>
  <c r="R1627" i="2"/>
  <c r="E1986" i="2"/>
  <c r="M1922" i="2"/>
  <c r="L1815" i="2"/>
  <c r="N2095" i="2"/>
  <c r="K1920" i="2"/>
  <c r="Q1918" i="2"/>
  <c r="P1811" i="2"/>
  <c r="H1619" i="2"/>
  <c r="I1755" i="2"/>
  <c r="I1736" i="2"/>
  <c r="W1858" i="2"/>
  <c r="F1539" i="2"/>
  <c r="J1675" i="2"/>
  <c r="J1616" i="2"/>
  <c r="C1353" i="2"/>
  <c r="E1912" i="2"/>
  <c r="K1910" i="2"/>
  <c r="L2004" i="2"/>
  <c r="N2081" i="2"/>
  <c r="I1908" i="2"/>
  <c r="O1906" i="2"/>
  <c r="O1740" i="2"/>
  <c r="W1606" i="2"/>
  <c r="W1547" i="2"/>
  <c r="G1847" i="2"/>
  <c r="U1721" i="2"/>
  <c r="H1663" i="2"/>
  <c r="I1799" i="2"/>
  <c r="W1578" i="2"/>
  <c r="W1913" i="2"/>
  <c r="K1726" i="2"/>
  <c r="P1691" i="2"/>
  <c r="K1691" i="2"/>
  <c r="N1691" i="2"/>
  <c r="E1691" i="2"/>
  <c r="Q1827" i="2"/>
  <c r="S1632" i="2"/>
  <c r="N1632" i="2"/>
  <c r="Q1632" i="2"/>
  <c r="T1802" i="2"/>
  <c r="T1768" i="2"/>
  <c r="V1573" i="2"/>
  <c r="Q1573" i="2"/>
  <c r="D1796" i="2"/>
  <c r="P1712" i="2"/>
  <c r="K1505" i="2"/>
  <c r="J1310" i="2"/>
  <c r="H1802" i="2"/>
  <c r="E1728" i="2"/>
  <c r="F1743" i="2"/>
  <c r="C1700" i="2"/>
  <c r="S1699" i="2"/>
  <c r="V1699" i="2"/>
  <c r="M1699" i="2"/>
  <c r="D1836" i="2"/>
  <c r="F1641" i="2"/>
  <c r="V1640" i="2"/>
  <c r="D1641" i="2"/>
  <c r="J1836" i="2"/>
  <c r="G1777" i="2"/>
  <c r="I1582" i="2"/>
  <c r="D1582" i="2"/>
  <c r="O1829" i="2"/>
  <c r="S1534" i="2"/>
  <c r="S1513" i="2"/>
  <c r="R1318" i="2"/>
  <c r="S1819" i="2"/>
  <c r="M1736" i="2"/>
  <c r="V1759" i="2"/>
  <c r="K1708" i="2"/>
  <c r="F1708" i="2"/>
  <c r="I1708" i="2"/>
  <c r="U1707" i="2"/>
  <c r="L1844" i="2"/>
  <c r="N1649" i="2"/>
  <c r="I1649" i="2"/>
  <c r="L1649" i="2"/>
  <c r="U1869" i="2"/>
  <c r="O1785" i="2"/>
  <c r="Q1590" i="2"/>
  <c r="D2304" i="2"/>
  <c r="S2239" i="2"/>
  <c r="G2147" i="2"/>
  <c r="N2059" i="2"/>
  <c r="I2230" i="2"/>
  <c r="I2092" i="2"/>
  <c r="J2091" i="2"/>
  <c r="V2091" i="2"/>
  <c r="D2215" i="2"/>
  <c r="M2088" i="2"/>
  <c r="N2087" i="2"/>
  <c r="E2088" i="2"/>
  <c r="V2103" i="2"/>
  <c r="S1928" i="2"/>
  <c r="D1927" i="2"/>
  <c r="C1820" i="2"/>
  <c r="J2090" i="2"/>
  <c r="W1892" i="2"/>
  <c r="T1879" i="2"/>
  <c r="O1879" i="2"/>
  <c r="J1879" i="2"/>
  <c r="N1878" i="2"/>
  <c r="E1878" i="2"/>
  <c r="U1877" i="2"/>
  <c r="P1877" i="2"/>
  <c r="W1964" i="2"/>
  <c r="M1770" i="2"/>
  <c r="H1770" i="2"/>
  <c r="R2097" i="2"/>
  <c r="H2054" i="2"/>
  <c r="P2053" i="2"/>
  <c r="C2053" i="2"/>
  <c r="T2051" i="2"/>
  <c r="P1855" i="2"/>
  <c r="D1879" i="2"/>
  <c r="T1878" i="2"/>
  <c r="O1878" i="2"/>
  <c r="S1877" i="2"/>
  <c r="J1877" i="2"/>
  <c r="E1877" i="2"/>
  <c r="U1876" i="2"/>
  <c r="G1964" i="2"/>
  <c r="R1769" i="2"/>
  <c r="M1769" i="2"/>
  <c r="J2089" i="2"/>
  <c r="L2050" i="2"/>
  <c r="T2049" i="2"/>
  <c r="G2049" i="2"/>
  <c r="L2047" i="2"/>
  <c r="T1851" i="2"/>
  <c r="H1875" i="2"/>
  <c r="C1875" i="2"/>
  <c r="S1874" i="2"/>
  <c r="W1873" i="2"/>
  <c r="N1873" i="2"/>
  <c r="I1873" i="2"/>
  <c r="D1873" i="2"/>
  <c r="K1960" i="2"/>
  <c r="O1744" i="2"/>
  <c r="Q1796" i="2"/>
  <c r="I1801" i="2"/>
  <c r="L1768" i="2"/>
  <c r="N1573" i="2"/>
  <c r="I1573" i="2"/>
  <c r="L1573" i="2"/>
  <c r="O1762" i="2"/>
  <c r="R1709" i="2"/>
  <c r="M1709" i="2"/>
  <c r="P1709" i="2"/>
  <c r="G1709" i="2"/>
  <c r="S1845" i="2"/>
  <c r="U1650" i="2"/>
  <c r="F1780" i="2"/>
  <c r="V1910" i="2"/>
  <c r="N1914" i="2"/>
  <c r="O1688" i="2"/>
  <c r="J1688" i="2"/>
  <c r="M1688" i="2"/>
  <c r="D1688" i="2"/>
  <c r="P1824" i="2"/>
  <c r="R1629" i="2"/>
  <c r="M1629" i="2"/>
  <c r="P1629" i="2"/>
  <c r="P1790" i="2"/>
  <c r="S1765" i="2"/>
  <c r="U1570" i="2"/>
  <c r="P1570" i="2"/>
  <c r="U1783" i="2"/>
  <c r="N1706" i="2"/>
  <c r="J1502" i="2"/>
  <c r="I1307" i="2"/>
  <c r="F1796" i="2"/>
  <c r="D1725" i="2"/>
  <c r="D1737" i="2"/>
  <c r="W1696" i="2"/>
  <c r="R1696" i="2"/>
  <c r="U1696" i="2"/>
  <c r="L1696" i="2"/>
  <c r="C1833" i="2"/>
  <c r="E1638" i="2"/>
  <c r="U1637" i="2"/>
  <c r="C1638" i="2"/>
  <c r="F1824" i="2"/>
  <c r="F1774" i="2"/>
  <c r="H1579" i="2"/>
  <c r="C1579" i="2"/>
  <c r="K1817" i="2"/>
  <c r="I1723" i="2"/>
  <c r="R1510" i="2"/>
  <c r="Q1315" i="2"/>
  <c r="Q1813" i="2"/>
  <c r="L1733" i="2"/>
  <c r="T1753" i="2"/>
  <c r="J1705" i="2"/>
  <c r="E1705" i="2"/>
  <c r="H1705" i="2"/>
  <c r="T1704" i="2"/>
  <c r="K1841" i="2"/>
  <c r="M1646" i="2"/>
  <c r="H1646" i="2"/>
  <c r="K1646" i="2"/>
  <c r="Q1857" i="2"/>
  <c r="N1782" i="2"/>
  <c r="P1587" i="2"/>
  <c r="K1587" i="2"/>
  <c r="G1931" i="2"/>
  <c r="D2229" i="2"/>
  <c r="V2371" i="2"/>
  <c r="T2025" i="2"/>
  <c r="F2136" i="2"/>
  <c r="E2083" i="2"/>
  <c r="O1953" i="2"/>
  <c r="S1949" i="2"/>
  <c r="H1790" i="2"/>
  <c r="T2140" i="2"/>
  <c r="K2134" i="2"/>
  <c r="O2130" i="2"/>
  <c r="M1776" i="2"/>
  <c r="W2176" i="2"/>
  <c r="L2154" i="2"/>
  <c r="K2052" i="2"/>
  <c r="Q2064" i="2"/>
  <c r="T2430" i="2"/>
  <c r="F2465" i="2"/>
  <c r="U1964" i="2"/>
  <c r="I2172" i="2"/>
  <c r="U2133" i="2"/>
  <c r="M2086" i="2"/>
  <c r="Q2082" i="2"/>
  <c r="I1729" i="2"/>
  <c r="O2169" i="2"/>
  <c r="Q2073" i="2"/>
  <c r="U2069" i="2"/>
  <c r="S1909" i="2"/>
  <c r="K2246" i="2"/>
  <c r="T2205" i="2"/>
  <c r="U2214" i="2"/>
  <c r="R2003" i="2"/>
  <c r="C2255" i="2"/>
  <c r="V2384" i="2"/>
  <c r="J2098" i="2"/>
  <c r="O2111" i="2"/>
  <c r="K1987" i="2"/>
  <c r="H2126" i="2"/>
  <c r="L2122" i="2"/>
  <c r="F1863" i="2"/>
  <c r="H2123" i="2"/>
  <c r="R2012" i="2"/>
  <c r="V2008" i="2"/>
  <c r="U2042" i="2"/>
  <c r="O2159" i="2"/>
  <c r="D2034" i="2"/>
  <c r="K2033" i="2"/>
  <c r="J2130" i="2"/>
  <c r="W2029" i="2"/>
  <c r="C2029" i="2"/>
  <c r="O2029" i="2"/>
  <c r="K2045" i="2"/>
  <c r="G1871" i="2"/>
  <c r="M1869" i="2"/>
  <c r="T2106" i="2"/>
  <c r="G1908" i="2"/>
  <c r="Q1961" i="2"/>
  <c r="H1921" i="2"/>
  <c r="U2111" i="2"/>
  <c r="L2219" i="2"/>
  <c r="V1836" i="2"/>
  <c r="G1835" i="2"/>
  <c r="O1727" i="2"/>
  <c r="J2010" i="2"/>
  <c r="F1836" i="2"/>
  <c r="L1834" i="2"/>
  <c r="T1726" i="2"/>
  <c r="N2006" i="2"/>
  <c r="J1832" i="2"/>
  <c r="P1830" i="2"/>
  <c r="C1754" i="2"/>
  <c r="P1530" i="2"/>
  <c r="T1666" i="2"/>
  <c r="G1608" i="2"/>
  <c r="V1645" i="2"/>
  <c r="W1781" i="2"/>
  <c r="S1814" i="2"/>
  <c r="J1613" i="2"/>
  <c r="P1905" i="2"/>
  <c r="D1654" i="2"/>
  <c r="L1595" i="2"/>
  <c r="M1731" i="2"/>
  <c r="R1662" i="2"/>
  <c r="C1885" i="2"/>
  <c r="O1662" i="2"/>
  <c r="O1603" i="2"/>
  <c r="W1544" i="2"/>
  <c r="D1388" i="2"/>
  <c r="R2106" i="2"/>
  <c r="R2054" i="2"/>
  <c r="V2050" i="2"/>
  <c r="V2127" i="2"/>
  <c r="Q1821" i="2"/>
  <c r="W1819" i="2"/>
  <c r="F1907" i="2"/>
  <c r="E1995" i="2"/>
  <c r="V1820" i="2"/>
  <c r="G1819" i="2"/>
  <c r="K1906" i="2"/>
  <c r="I1991" i="2"/>
  <c r="E1817" i="2"/>
  <c r="K1815" i="2"/>
  <c r="S1738" i="2"/>
  <c r="O1710" i="2"/>
  <c r="O1651" i="2"/>
  <c r="W1592" i="2"/>
  <c r="P1972" i="2"/>
  <c r="W2121" i="2"/>
  <c r="O2021" i="2"/>
  <c r="P2020" i="2"/>
  <c r="G2021" i="2"/>
  <c r="F2118" i="2"/>
  <c r="S2017" i="2"/>
  <c r="T2016" i="2"/>
  <c r="K2017" i="2"/>
  <c r="G2033" i="2"/>
  <c r="C1859" i="2"/>
  <c r="I1857" i="2"/>
  <c r="P2094" i="2"/>
  <c r="C1896" i="2"/>
  <c r="D1961" i="2"/>
  <c r="V2066" i="2"/>
  <c r="E2063" i="2"/>
  <c r="E2140" i="2"/>
  <c r="R1824" i="2"/>
  <c r="C1823" i="2"/>
  <c r="G1910" i="2"/>
  <c r="F1998" i="2"/>
  <c r="W1823" i="2"/>
  <c r="H1822" i="2"/>
  <c r="L1909" i="2"/>
  <c r="J1994" i="2"/>
  <c r="F1820" i="2"/>
  <c r="L1818" i="2"/>
  <c r="T1741" i="2"/>
  <c r="P1713" i="2"/>
  <c r="P1654" i="2"/>
  <c r="C1596" i="2"/>
  <c r="R1633" i="2"/>
  <c r="S1769" i="2"/>
  <c r="C1766" i="2"/>
  <c r="O1564" i="2"/>
  <c r="H1881" i="2"/>
  <c r="U1641" i="2"/>
  <c r="H1583" i="2"/>
  <c r="L1719" i="2"/>
  <c r="N1650" i="2"/>
  <c r="T1872" i="2"/>
  <c r="K1650" i="2"/>
  <c r="K1591" i="2"/>
  <c r="S1532" i="2"/>
  <c r="Q1363" i="2"/>
  <c r="N2105" i="2"/>
  <c r="W2005" i="2"/>
  <c r="F2002" i="2"/>
  <c r="K2079" i="2"/>
  <c r="M1809" i="2"/>
  <c r="S1807" i="2"/>
  <c r="W1894" i="2"/>
  <c r="V1982" i="2"/>
  <c r="R1808" i="2"/>
  <c r="C1807" i="2"/>
  <c r="G1894" i="2"/>
  <c r="E1979" i="2"/>
  <c r="V1804" i="2"/>
  <c r="G1803" i="2"/>
  <c r="O1726" i="2"/>
  <c r="K1698" i="2"/>
  <c r="K1639" i="2"/>
  <c r="S1580" i="2"/>
  <c r="M2120" i="2"/>
  <c r="E2158" i="2"/>
  <c r="P1960" i="2"/>
  <c r="Q1959" i="2"/>
  <c r="H1960" i="2"/>
  <c r="I2154" i="2"/>
  <c r="T1956" i="2"/>
  <c r="U1955" i="2"/>
  <c r="L1956" i="2"/>
  <c r="H1972" i="2"/>
  <c r="D1798" i="2"/>
  <c r="J1796" i="2"/>
  <c r="Q2033" i="2"/>
  <c r="D1835" i="2"/>
  <c r="D2028" i="2"/>
  <c r="S2305" i="2"/>
  <c r="C2052" i="2"/>
  <c r="W2090" i="2"/>
  <c r="S1763" i="2"/>
  <c r="D1762" i="2"/>
  <c r="H1849" i="2"/>
  <c r="G1937" i="2"/>
  <c r="C1763" i="2"/>
  <c r="I1761" i="2"/>
  <c r="U1992" i="2"/>
  <c r="K1933" i="2"/>
  <c r="G1759" i="2"/>
  <c r="M1757" i="2"/>
  <c r="E1875" i="2"/>
  <c r="Q1652" i="2"/>
  <c r="Q1593" i="2"/>
  <c r="T1743" i="2"/>
  <c r="S1572" i="2"/>
  <c r="W1708" i="2"/>
  <c r="C1845" i="2"/>
  <c r="S1710" i="2"/>
  <c r="I1804" i="2"/>
  <c r="V1580" i="2"/>
  <c r="E1717" i="2"/>
  <c r="M1658" i="2"/>
  <c r="O1589" i="2"/>
  <c r="I1865" i="2"/>
  <c r="L1589" i="2"/>
  <c r="L1530" i="2"/>
  <c r="P1666" i="2"/>
  <c r="S1241" i="2"/>
  <c r="C2100" i="2"/>
  <c r="N2201" i="2"/>
  <c r="H2165" i="2"/>
  <c r="C2030" i="2"/>
  <c r="N1748" i="2"/>
  <c r="T1746" i="2"/>
  <c r="F1947" i="2"/>
  <c r="W1921" i="2"/>
  <c r="S1747" i="2"/>
  <c r="D1746" i="2"/>
  <c r="V1931" i="2"/>
  <c r="C2112" i="2"/>
  <c r="W1743" i="2"/>
  <c r="H1742" i="2"/>
  <c r="U1859" i="2"/>
  <c r="L1637" i="2"/>
  <c r="L1578" i="2"/>
  <c r="F1908" i="2"/>
  <c r="J2071" i="2"/>
  <c r="R2241" i="2"/>
  <c r="N2093" i="2"/>
  <c r="O2092" i="2"/>
  <c r="O2095" i="2"/>
  <c r="W2094" i="2"/>
  <c r="J2094" i="2"/>
  <c r="F2093" i="2"/>
  <c r="Q2295" i="2"/>
  <c r="H2227" i="2"/>
  <c r="T2271" i="2"/>
  <c r="M2226" i="2"/>
  <c r="F2092" i="2"/>
  <c r="N2091" i="2"/>
  <c r="V2090" i="2"/>
  <c r="R2089" i="2"/>
  <c r="G2091" i="2"/>
  <c r="O2090" i="2"/>
  <c r="W2089" i="2"/>
  <c r="S2088" i="2"/>
  <c r="S2091" i="2"/>
  <c r="F2091" i="2"/>
  <c r="N2090" i="2"/>
  <c r="V2098" i="2"/>
  <c r="O2107" i="2"/>
  <c r="W2106" i="2"/>
  <c r="J2106" i="2"/>
  <c r="F2105" i="2"/>
  <c r="W1908" i="2"/>
  <c r="T1931" i="2"/>
  <c r="J1737" i="2"/>
  <c r="E1737" i="2"/>
  <c r="U1736" i="2"/>
  <c r="E1930" i="2"/>
  <c r="P1735" i="2"/>
  <c r="K1735" i="2"/>
  <c r="N2017" i="2"/>
  <c r="D1823" i="2"/>
  <c r="N2167" i="2"/>
  <c r="R1972" i="2"/>
  <c r="E1972" i="2"/>
  <c r="M1971" i="2"/>
  <c r="O1968" i="2"/>
  <c r="I2318" i="2"/>
  <c r="T2204" i="2"/>
  <c r="S2229" i="2"/>
  <c r="L2157" i="2"/>
  <c r="L2167" i="2"/>
  <c r="C1971" i="2"/>
  <c r="D1970" i="2"/>
  <c r="P1970" i="2"/>
  <c r="P2163" i="2"/>
  <c r="G1967" i="2"/>
  <c r="H1966" i="2"/>
  <c r="T1966" i="2"/>
  <c r="P1982" i="2"/>
  <c r="V2001" i="2"/>
  <c r="G2000" i="2"/>
  <c r="F1893" i="2"/>
  <c r="M1932" i="2"/>
  <c r="W1928" i="2"/>
  <c r="E1898" i="2"/>
  <c r="U1897" i="2"/>
  <c r="P1897" i="2"/>
  <c r="T1896" i="2"/>
  <c r="K1896" i="2"/>
  <c r="F1896" i="2"/>
  <c r="V1895" i="2"/>
  <c r="H1983" i="2"/>
  <c r="S1788" i="2"/>
  <c r="N1788" i="2"/>
  <c r="R1958" i="2"/>
  <c r="N2072" i="2"/>
  <c r="V2071" i="2"/>
  <c r="I2071" i="2"/>
  <c r="E2070" i="2"/>
  <c r="V1873" i="2"/>
  <c r="J1897" i="2"/>
  <c r="E1897" i="2"/>
  <c r="U1896" i="2"/>
  <c r="D1896" i="2"/>
  <c r="P1895" i="2"/>
  <c r="K1895" i="2"/>
  <c r="F1895" i="2"/>
  <c r="M1982" i="2"/>
  <c r="C1788" i="2"/>
  <c r="S1787" i="2"/>
  <c r="M1943" i="2"/>
  <c r="R2068" i="2"/>
  <c r="E2068" i="2"/>
  <c r="M2067" i="2"/>
  <c r="I2066" i="2"/>
  <c r="E1870" i="2"/>
  <c r="N1893" i="2"/>
  <c r="I1893" i="2"/>
  <c r="D1893" i="2"/>
  <c r="H1892" i="2"/>
  <c r="T1891" i="2"/>
  <c r="O1891" i="2"/>
  <c r="J1891" i="2"/>
  <c r="Q1978" i="2"/>
  <c r="F1781" i="2"/>
  <c r="W1814" i="2"/>
  <c r="L1874" i="2"/>
  <c r="R1786" i="2"/>
  <c r="T1591" i="2"/>
  <c r="O1591" i="2"/>
  <c r="R1591" i="2"/>
  <c r="T1833" i="2"/>
  <c r="U1727" i="2"/>
  <c r="W1532" i="2"/>
  <c r="R1532" i="2"/>
  <c r="U1532" i="2"/>
  <c r="Q1875" i="2"/>
  <c r="F1669" i="2"/>
  <c r="R1816" i="2"/>
  <c r="W1734" i="2"/>
  <c r="U1756" i="2"/>
  <c r="U1706" i="2"/>
  <c r="P1706" i="2"/>
  <c r="S1706" i="2"/>
  <c r="J1706" i="2"/>
  <c r="V1842" i="2"/>
  <c r="C1648" i="2"/>
  <c r="S1647" i="2"/>
  <c r="V1647" i="2"/>
  <c r="S1863" i="2"/>
  <c r="D1784" i="2"/>
  <c r="F1589" i="2"/>
  <c r="V1588" i="2"/>
  <c r="O1861" i="2"/>
  <c r="M1548" i="2"/>
  <c r="P1520" i="2"/>
  <c r="O1325" i="2"/>
  <c r="R1832" i="2"/>
  <c r="J1743" i="2"/>
  <c r="S1782" i="2"/>
  <c r="H1715" i="2"/>
  <c r="C1715" i="2"/>
  <c r="F1715" i="2"/>
  <c r="R1714" i="2"/>
  <c r="I1851" i="2"/>
  <c r="K1656" i="2"/>
  <c r="F1656" i="2"/>
  <c r="I1656" i="2"/>
  <c r="I1897" i="2"/>
  <c r="L1792" i="2"/>
  <c r="N1597" i="2"/>
  <c r="I1597" i="2"/>
  <c r="K1734" i="2"/>
  <c r="H1565" i="2"/>
  <c r="C1529" i="2"/>
  <c r="W1333" i="2"/>
  <c r="H1850" i="2"/>
  <c r="R1751" i="2"/>
  <c r="I1816" i="2"/>
  <c r="P1723" i="2"/>
  <c r="K1723" i="2"/>
  <c r="N1723" i="2"/>
  <c r="E1723" i="2"/>
  <c r="V1866" i="2"/>
  <c r="S1664" i="2"/>
  <c r="N1664" i="2"/>
  <c r="Q1664" i="2"/>
  <c r="C1736" i="2"/>
  <c r="T1800" i="2"/>
  <c r="V1605" i="2"/>
  <c r="Q1605" i="2"/>
  <c r="K1838" i="2"/>
  <c r="G1678" i="2"/>
  <c r="W1509" i="2"/>
  <c r="V2362" i="2"/>
  <c r="G2419" i="2"/>
  <c r="T2247" i="2"/>
  <c r="I2108" i="2"/>
  <c r="D2279" i="2"/>
  <c r="M2104" i="2"/>
  <c r="N2103" i="2"/>
  <c r="E2104" i="2"/>
  <c r="T2263" i="2"/>
  <c r="Q2100" i="2"/>
  <c r="R2099" i="2"/>
  <c r="I2100" i="2"/>
  <c r="Q1921" i="2"/>
  <c r="W1940" i="2"/>
  <c r="H1939" i="2"/>
  <c r="G1832" i="2"/>
  <c r="L2096" i="2"/>
  <c r="D1899" i="2"/>
  <c r="U1882" i="2"/>
  <c r="P1882" i="2"/>
  <c r="K1882" i="2"/>
  <c r="O1881" i="2"/>
  <c r="F1881" i="2"/>
  <c r="V1880" i="2"/>
  <c r="Q1880" i="2"/>
  <c r="C1968" i="2"/>
  <c r="N1773" i="2"/>
  <c r="I1773" i="2"/>
  <c r="T2103" i="2"/>
  <c r="I2057" i="2"/>
  <c r="Q2056" i="2"/>
  <c r="D2056" i="2"/>
  <c r="U2054" i="2"/>
  <c r="Q1858" i="2"/>
  <c r="E1882" i="2"/>
  <c r="U1881" i="2"/>
  <c r="P1881" i="2"/>
  <c r="T1880" i="2"/>
  <c r="K1880" i="2"/>
  <c r="F1880" i="2"/>
  <c r="V1879" i="2"/>
  <c r="H1967" i="2"/>
  <c r="S1772" i="2"/>
  <c r="N1772" i="2"/>
  <c r="L2095" i="2"/>
  <c r="M2053" i="2"/>
  <c r="U2052" i="2"/>
  <c r="H2052" i="2"/>
  <c r="D2051" i="2"/>
  <c r="U1854" i="2"/>
  <c r="I1878" i="2"/>
  <c r="D1878" i="2"/>
  <c r="T1877" i="2"/>
  <c r="C1877" i="2"/>
  <c r="O1876" i="2"/>
  <c r="J1876" i="2"/>
  <c r="E1876" i="2"/>
  <c r="L1963" i="2"/>
  <c r="Q1750" i="2"/>
  <c r="R1799" i="2"/>
  <c r="M1813" i="2"/>
  <c r="M1771" i="2"/>
  <c r="O1576" i="2"/>
  <c r="J1576" i="2"/>
  <c r="M1576" i="2"/>
  <c r="U1772" i="2"/>
  <c r="S1712" i="2"/>
  <c r="N1712" i="2"/>
  <c r="Q1712" i="2"/>
  <c r="H1712" i="2"/>
  <c r="T1848" i="2"/>
  <c r="V1653" i="2"/>
  <c r="H1786" i="2"/>
  <c r="E1744" i="2"/>
  <c r="T1785" i="2"/>
  <c r="C1716" i="2"/>
  <c r="S1715" i="2"/>
  <c r="V1715" i="2"/>
  <c r="M1715" i="2"/>
  <c r="D1852" i="2"/>
  <c r="F1657" i="2"/>
  <c r="V1656" i="2"/>
  <c r="D1657" i="2"/>
  <c r="J1900" i="2"/>
  <c r="G1793" i="2"/>
  <c r="I1598" i="2"/>
  <c r="D1598" i="2"/>
  <c r="M1740" i="2"/>
  <c r="S1566" i="2"/>
  <c r="K1529" i="2"/>
  <c r="R1334" i="2"/>
  <c r="C1851" i="2"/>
  <c r="M1752" i="2"/>
  <c r="J1819" i="2"/>
  <c r="Q1724" i="2"/>
  <c r="F1724" i="2"/>
  <c r="I1724" i="2"/>
  <c r="U1723" i="2"/>
  <c r="L1868" i="2"/>
  <c r="N1665" i="2"/>
  <c r="I1665" i="2"/>
  <c r="L1665" i="2"/>
  <c r="D1739" i="2"/>
  <c r="O1801" i="2"/>
  <c r="Q1606" i="2"/>
  <c r="L1606" i="2"/>
  <c r="O1850" i="2"/>
  <c r="N1583" i="2"/>
  <c r="S1537" i="2"/>
  <c r="E1343" i="2"/>
  <c r="N1868" i="2"/>
  <c r="U1760" i="2"/>
  <c r="U1852" i="2"/>
  <c r="P1732" i="2"/>
  <c r="R1537" i="2"/>
  <c r="M1537" i="2"/>
  <c r="P1537" i="2"/>
  <c r="G1885" i="2"/>
  <c r="V1673" i="2"/>
  <c r="Q1673" i="2"/>
  <c r="T1673" i="2"/>
  <c r="O1772" i="2"/>
  <c r="W1809" i="2"/>
  <c r="D1615" i="2"/>
  <c r="W2536" i="2"/>
  <c r="C2307" i="2"/>
  <c r="K2147" i="2"/>
  <c r="P2158" i="2"/>
  <c r="H2231" i="2"/>
  <c r="K1995" i="2"/>
  <c r="L1994" i="2"/>
  <c r="C1995" i="2"/>
  <c r="C2216" i="2"/>
  <c r="O1991" i="2"/>
  <c r="P1990" i="2"/>
  <c r="G1991" i="2"/>
  <c r="C2007" i="2"/>
  <c r="I2026" i="2"/>
  <c r="O2024" i="2"/>
  <c r="N1917" i="2"/>
  <c r="Q1944" i="2"/>
  <c r="F1941" i="2"/>
  <c r="G1904" i="2"/>
  <c r="W1903" i="2"/>
  <c r="R1903" i="2"/>
  <c r="V1902" i="2"/>
  <c r="M1902" i="2"/>
  <c r="H1902" i="2"/>
  <c r="C1902" i="2"/>
  <c r="J1989" i="2"/>
  <c r="U1794" i="2"/>
  <c r="P1794" i="2"/>
  <c r="E1983" i="2"/>
  <c r="P2078" i="2"/>
  <c r="C2078" i="2"/>
  <c r="K2077" i="2"/>
  <c r="G2076" i="2"/>
  <c r="C1880" i="2"/>
  <c r="L1903" i="2"/>
  <c r="G1903" i="2"/>
  <c r="W1902" i="2"/>
  <c r="F1902" i="2"/>
  <c r="R1901" i="2"/>
  <c r="M1901" i="2"/>
  <c r="H1901" i="2"/>
  <c r="O1988" i="2"/>
  <c r="E1794" i="2"/>
  <c r="U1793" i="2"/>
  <c r="U1967" i="2"/>
  <c r="T2074" i="2"/>
  <c r="G2074" i="2"/>
  <c r="O2073" i="2"/>
  <c r="K2072" i="2"/>
  <c r="G1876" i="2"/>
  <c r="P1899" i="2"/>
  <c r="K1899" i="2"/>
  <c r="F1899" i="2"/>
  <c r="J1898" i="2"/>
  <c r="V1897" i="2"/>
  <c r="Q1897" i="2"/>
  <c r="L1897" i="2"/>
  <c r="S1984" i="2"/>
  <c r="I1790" i="2"/>
  <c r="D1821" i="2"/>
  <c r="T1898" i="2"/>
  <c r="T1792" i="2"/>
  <c r="V1597" i="2"/>
  <c r="Q1597" i="2"/>
  <c r="T1597" i="2"/>
  <c r="G1858" i="2"/>
  <c r="W1733" i="2"/>
  <c r="D1539" i="2"/>
  <c r="T1538" i="2"/>
  <c r="W1538" i="2"/>
  <c r="U1887" i="2"/>
  <c r="H1675" i="2"/>
  <c r="V1828" i="2"/>
  <c r="D1741" i="2"/>
  <c r="P1773" i="2"/>
  <c r="W1712" i="2"/>
  <c r="R1712" i="2"/>
  <c r="U1712" i="2"/>
  <c r="L1712" i="2"/>
  <c r="C1849" i="2"/>
  <c r="E1654" i="2"/>
  <c r="U1653" i="2"/>
  <c r="C1654" i="2"/>
  <c r="F1888" i="2"/>
  <c r="F1790" i="2"/>
  <c r="H1595" i="2"/>
  <c r="C1595" i="2"/>
  <c r="J1910" i="2"/>
  <c r="Q1560" i="2"/>
  <c r="R1526" i="2"/>
  <c r="Q1331" i="2"/>
  <c r="V1844" i="2"/>
  <c r="L1749" i="2"/>
  <c r="F1807" i="2"/>
  <c r="J1721" i="2"/>
  <c r="E1721" i="2"/>
  <c r="H1721" i="2"/>
  <c r="T1720" i="2"/>
  <c r="J1862" i="2"/>
  <c r="M1662" i="2"/>
  <c r="H1662" i="2"/>
  <c r="K1662" i="2"/>
  <c r="U1726" i="2"/>
  <c r="N1798" i="2"/>
  <c r="P1603" i="2"/>
  <c r="K1603" i="2"/>
  <c r="T1801" i="2"/>
  <c r="L1577" i="2"/>
  <c r="R1534" i="2"/>
  <c r="D1340" i="2"/>
  <c r="L1862" i="2"/>
  <c r="T1757" i="2"/>
  <c r="Q1840" i="2"/>
  <c r="O1729" i="2"/>
  <c r="Q1534" i="2"/>
  <c r="L1534" i="2"/>
  <c r="O1534" i="2"/>
  <c r="E1879" i="2"/>
  <c r="U1670" i="2"/>
  <c r="P1670" i="2"/>
  <c r="S1670" i="2"/>
  <c r="K1760" i="2"/>
  <c r="V1806" i="2"/>
  <c r="C1612" i="2"/>
  <c r="S1611" i="2"/>
  <c r="E1741" i="2"/>
  <c r="O1702" i="2"/>
  <c r="F1522" i="2"/>
  <c r="V2232" i="2"/>
  <c r="S2180" i="2"/>
  <c r="K2175" i="2"/>
  <c r="V2089" i="2"/>
  <c r="D2083" i="2"/>
  <c r="S1778" i="2"/>
  <c r="D1777" i="2"/>
  <c r="M2148" i="2"/>
  <c r="N1949" i="2"/>
  <c r="C2248" i="2"/>
  <c r="J2031" i="2"/>
  <c r="N2027" i="2"/>
  <c r="K1868" i="2"/>
  <c r="M1862" i="2"/>
  <c r="I1863" i="2"/>
  <c r="R1949" i="2"/>
  <c r="C2039" i="2"/>
  <c r="T2418" i="2"/>
  <c r="O1982" i="2"/>
  <c r="S1978" i="2"/>
  <c r="P1819" i="2"/>
  <c r="E1838" i="2"/>
  <c r="N2045" i="2"/>
  <c r="N1937" i="2"/>
  <c r="T2026" i="2"/>
  <c r="H2047" i="2"/>
  <c r="L2116" i="2"/>
  <c r="I2128" i="2"/>
  <c r="M2124" i="2"/>
  <c r="K1770" i="2"/>
  <c r="F1937" i="2"/>
  <c r="L1935" i="2"/>
  <c r="K1828" i="2"/>
  <c r="N2111" i="2"/>
  <c r="L1790" i="2"/>
  <c r="R1788" i="2"/>
  <c r="V1875" i="2"/>
  <c r="T1960" i="2"/>
  <c r="P1786" i="2"/>
  <c r="V1784" i="2"/>
  <c r="N1902" i="2"/>
  <c r="E1680" i="2"/>
  <c r="E1621" i="2"/>
  <c r="M1562" i="2"/>
  <c r="G1600" i="2"/>
  <c r="H1736" i="2"/>
  <c r="L1892" i="2"/>
  <c r="I1625" i="2"/>
  <c r="J2085" i="2"/>
  <c r="H1971" i="2"/>
  <c r="G1864" i="2"/>
  <c r="U1949" i="2"/>
  <c r="F1969" i="2"/>
  <c r="L1967" i="2"/>
  <c r="K1860" i="2"/>
  <c r="C1668" i="2"/>
  <c r="D1804" i="2"/>
  <c r="F1903" i="2"/>
  <c r="G1859" i="2"/>
  <c r="V1587" i="2"/>
  <c r="E1724" i="2"/>
  <c r="E1665" i="2"/>
  <c r="S1401" i="2"/>
  <c r="D1766" i="2"/>
  <c r="J1764" i="2"/>
  <c r="N1851" i="2"/>
  <c r="L1936" i="2"/>
  <c r="H1762" i="2"/>
  <c r="N1760" i="2"/>
  <c r="F1878" i="2"/>
  <c r="R1655" i="2"/>
  <c r="R1596" i="2"/>
  <c r="V1749" i="2"/>
  <c r="T1575" i="2"/>
  <c r="C1712" i="2"/>
  <c r="D1848" i="2"/>
  <c r="V1907" i="2"/>
  <c r="K1877" i="2"/>
  <c r="W1849" i="2"/>
  <c r="D1655" i="2"/>
  <c r="T1654" i="2"/>
  <c r="W1654" i="2"/>
  <c r="W1891" i="2"/>
  <c r="E1791" i="2"/>
  <c r="G1596" i="2"/>
  <c r="W1595" i="2"/>
  <c r="E1596" i="2"/>
  <c r="J1851" i="2"/>
  <c r="H1732" i="2"/>
  <c r="J1537" i="2"/>
  <c r="E1537" i="2"/>
  <c r="V1649" i="2"/>
  <c r="M1663" i="2"/>
  <c r="T1468" i="2"/>
  <c r="S1273" i="2"/>
  <c r="E1729" i="2"/>
  <c r="S1885" i="2"/>
  <c r="H1864" i="2"/>
  <c r="L1663" i="2"/>
  <c r="G1663" i="2"/>
  <c r="J1663" i="2"/>
  <c r="Q1730" i="2"/>
  <c r="M1799" i="2"/>
  <c r="O1604" i="2"/>
  <c r="J1604" i="2"/>
  <c r="M1604" i="2"/>
  <c r="U1884" i="2"/>
  <c r="P1740" i="2"/>
  <c r="R1545" i="2"/>
  <c r="M1545" i="2"/>
  <c r="L1683" i="2"/>
  <c r="U1671" i="2"/>
  <c r="G1477" i="2"/>
  <c r="F1282" i="2"/>
  <c r="P1746" i="2"/>
  <c r="F1894" i="2"/>
  <c r="C1881" i="2"/>
  <c r="T1671" i="2"/>
  <c r="O1671" i="2"/>
  <c r="R1671" i="2"/>
  <c r="G1764" i="2"/>
  <c r="U1807" i="2"/>
  <c r="W1612" i="2"/>
  <c r="R1612" i="2"/>
  <c r="U1612" i="2"/>
  <c r="K1918" i="2"/>
  <c r="C1749" i="2"/>
  <c r="E1554" i="2"/>
  <c r="E2312" i="2"/>
  <c r="C2149" i="2"/>
  <c r="M2047" i="2"/>
  <c r="G2059" i="2"/>
  <c r="P2220" i="2"/>
  <c r="C1946" i="2"/>
  <c r="D1945" i="2"/>
  <c r="P1945" i="2"/>
  <c r="C2213" i="2"/>
  <c r="G1942" i="2"/>
  <c r="H1941" i="2"/>
  <c r="T1941" i="2"/>
  <c r="P1957" i="2"/>
  <c r="D1783" i="2"/>
  <c r="J1781" i="2"/>
  <c r="R2120" i="2"/>
  <c r="G2017" i="2"/>
  <c r="R2037" i="2"/>
  <c r="H1843" i="2"/>
  <c r="C1843" i="2"/>
  <c r="S1842" i="2"/>
  <c r="C2036" i="2"/>
  <c r="N1841" i="2"/>
  <c r="I1841" i="2"/>
  <c r="D1841" i="2"/>
  <c r="K1928" i="2"/>
  <c r="V1733" i="2"/>
  <c r="Q1733" i="2"/>
  <c r="W2119" i="2"/>
  <c r="Q2017" i="2"/>
  <c r="D2017" i="2"/>
  <c r="L2016" i="2"/>
  <c r="N2013" i="2"/>
  <c r="W2036" i="2"/>
  <c r="M1842" i="2"/>
  <c r="H1842" i="2"/>
  <c r="C1842" i="2"/>
  <c r="H2035" i="2"/>
  <c r="S1840" i="2"/>
  <c r="N1840" i="2"/>
  <c r="I1840" i="2"/>
  <c r="P1927" i="2"/>
  <c r="F1733" i="2"/>
  <c r="V1732" i="2"/>
  <c r="Q2299" i="2"/>
  <c r="U2013" i="2"/>
  <c r="H2013" i="2"/>
  <c r="P2012" i="2"/>
  <c r="R2009" i="2"/>
  <c r="F2033" i="2"/>
  <c r="Q1838" i="2"/>
  <c r="L1838" i="2"/>
  <c r="G1838" i="2"/>
  <c r="L2031" i="2"/>
  <c r="W1836" i="2"/>
  <c r="R1836" i="2"/>
  <c r="M1836" i="2"/>
  <c r="T1923" i="2"/>
  <c r="H1866" i="2"/>
  <c r="E1760" i="2"/>
  <c r="T1849" i="2"/>
  <c r="U1731" i="2"/>
  <c r="W1536" i="2"/>
  <c r="R1536" i="2"/>
  <c r="U1536" i="2"/>
  <c r="Q1883" i="2"/>
  <c r="F1673" i="2"/>
  <c r="V1672" i="2"/>
  <c r="D1673" i="2"/>
  <c r="N1769" i="2"/>
  <c r="G1809" i="2"/>
  <c r="I1614" i="2"/>
  <c r="T1901" i="2"/>
  <c r="J1874" i="2"/>
  <c r="V1846" i="2"/>
  <c r="C1652" i="2"/>
  <c r="S1651" i="2"/>
  <c r="V1651" i="2"/>
  <c r="S1879" i="2"/>
  <c r="D1788" i="2"/>
  <c r="F1593" i="2"/>
  <c r="V1592" i="2"/>
  <c r="D1593" i="2"/>
  <c r="F1839" i="2"/>
  <c r="G1729" i="2"/>
  <c r="I1534" i="2"/>
  <c r="D1534" i="2"/>
  <c r="R1637" i="2"/>
  <c r="L1660" i="2"/>
  <c r="S1465" i="2"/>
  <c r="R1270" i="2"/>
  <c r="T1917" i="2"/>
  <c r="R1882" i="2"/>
  <c r="F1858" i="2"/>
  <c r="K1660" i="2"/>
  <c r="F1660" i="2"/>
  <c r="I1660" i="2"/>
  <c r="I1913" i="2"/>
  <c r="L1796" i="2"/>
  <c r="N1601" i="2"/>
  <c r="I1601" i="2"/>
  <c r="L1601" i="2"/>
  <c r="Q1872" i="2"/>
  <c r="O1737" i="2"/>
  <c r="Q1542" i="2"/>
  <c r="L1542" i="2"/>
  <c r="H1671" i="2"/>
  <c r="T1668" i="2"/>
  <c r="F1474" i="2"/>
  <c r="E1279" i="2"/>
  <c r="N1740" i="2"/>
  <c r="E1891" i="2"/>
  <c r="V1874" i="2"/>
  <c r="S1668" i="2"/>
  <c r="N1668" i="2"/>
  <c r="Q1668" i="2"/>
  <c r="C1752" i="2"/>
  <c r="T1804" i="2"/>
  <c r="V1609" i="2"/>
  <c r="Q1609" i="2"/>
  <c r="T1609" i="2"/>
  <c r="G1906" i="2"/>
  <c r="W1745" i="2"/>
  <c r="D1551" i="2"/>
  <c r="T1550" i="2"/>
  <c r="S1704" i="2"/>
  <c r="L1570" i="2"/>
  <c r="H1400" i="2"/>
  <c r="G2273" i="2"/>
  <c r="S2079" i="2"/>
  <c r="W2075" i="2"/>
  <c r="U1915" i="2"/>
  <c r="W1924" i="2"/>
  <c r="H1923" i="2"/>
  <c r="G1816" i="2"/>
  <c r="J2099" i="2"/>
  <c r="G1924" i="2"/>
  <c r="C1999" i="2"/>
  <c r="S2029" i="2"/>
  <c r="W2025" i="2"/>
  <c r="L1866" i="2"/>
  <c r="T1815" i="2"/>
  <c r="E1814" i="2"/>
  <c r="I1901" i="2"/>
  <c r="P1989" i="2"/>
  <c r="K1998" i="2"/>
  <c r="C1981" i="2"/>
  <c r="G1977" i="2"/>
  <c r="Q1817" i="2"/>
  <c r="P1803" i="2"/>
  <c r="V1801" i="2"/>
  <c r="E1889" i="2"/>
  <c r="L1977" i="2"/>
  <c r="U1802" i="2"/>
  <c r="K2011" i="2"/>
  <c r="D1934" i="2"/>
  <c r="H1930" i="2"/>
  <c r="O1856" i="2"/>
  <c r="R1888" i="2"/>
  <c r="C1887" i="2"/>
  <c r="K1779" i="2"/>
  <c r="F2062" i="2"/>
  <c r="L1741" i="2"/>
  <c r="E2022" i="2"/>
  <c r="J2108" i="2"/>
  <c r="R1909" i="2"/>
  <c r="P1737" i="2"/>
  <c r="I2018" i="2"/>
  <c r="J1826" i="2"/>
  <c r="M1797" i="2"/>
  <c r="M1572" i="2"/>
  <c r="O1774" i="2"/>
  <c r="G1551" i="2"/>
  <c r="K1687" i="2"/>
  <c r="S1628" i="2"/>
  <c r="U1559" i="2"/>
  <c r="D1815" i="2"/>
  <c r="C1728" i="2"/>
  <c r="G1815" i="2"/>
  <c r="V2094" i="2"/>
  <c r="V1725" i="2"/>
  <c r="I1919" i="2"/>
  <c r="K1842" i="2"/>
  <c r="C1619" i="2"/>
  <c r="K1560" i="2"/>
  <c r="O1696" i="2"/>
  <c r="F1734" i="2"/>
  <c r="H1888" i="2"/>
  <c r="Q1778" i="2"/>
  <c r="H1814" i="2"/>
  <c r="O1887" i="2"/>
  <c r="I1911" i="2"/>
  <c r="R1997" i="2"/>
  <c r="W2083" i="2"/>
  <c r="J1885" i="2"/>
  <c r="M1907" i="2"/>
  <c r="V1993" i="2"/>
  <c r="W1801" i="2"/>
  <c r="S1894" i="2"/>
  <c r="E1548" i="2"/>
  <c r="G1750" i="2"/>
  <c r="C1722" i="2"/>
  <c r="C1663" i="2"/>
  <c r="K1604" i="2"/>
  <c r="N1883" i="2"/>
  <c r="G1865" i="2"/>
  <c r="S1837" i="2"/>
  <c r="U1642" i="2"/>
  <c r="P1642" i="2"/>
  <c r="S1642" i="2"/>
  <c r="G1843" i="2"/>
  <c r="V1778" i="2"/>
  <c r="C1584" i="2"/>
  <c r="S1583" i="2"/>
  <c r="V1583" i="2"/>
  <c r="O1802" i="2"/>
  <c r="G1720" i="2"/>
  <c r="W1719" i="2"/>
  <c r="E1720" i="2"/>
  <c r="F1601" i="2"/>
  <c r="I1651" i="2"/>
  <c r="P1456" i="2"/>
  <c r="O1261" i="2"/>
  <c r="N1899" i="2"/>
  <c r="O1873" i="2"/>
  <c r="F1846" i="2"/>
  <c r="H1651" i="2"/>
  <c r="C1651" i="2"/>
  <c r="F1651" i="2"/>
  <c r="R1876" i="2"/>
  <c r="I1787" i="2"/>
  <c r="K1592" i="2"/>
  <c r="F1592" i="2"/>
  <c r="I1592" i="2"/>
  <c r="E1836" i="2"/>
  <c r="L1728" i="2"/>
  <c r="N1533" i="2"/>
  <c r="S1931" i="2"/>
  <c r="K2131" i="2"/>
  <c r="O2027" i="2"/>
  <c r="S1774" i="2"/>
  <c r="H2065" i="2"/>
  <c r="M2163" i="2"/>
  <c r="P1966" i="2"/>
  <c r="G1996" i="2"/>
  <c r="I2004" i="2"/>
  <c r="C2222" i="2"/>
  <c r="E2100" i="2"/>
  <c r="H1935" i="2"/>
  <c r="V2128" i="2"/>
  <c r="M2042" i="2"/>
  <c r="M2287" i="2"/>
  <c r="C2005" i="2"/>
  <c r="L2007" i="2"/>
  <c r="P2003" i="2"/>
  <c r="S1530" i="2"/>
  <c r="D1587" i="2"/>
  <c r="G1654" i="2"/>
  <c r="R1862" i="2"/>
  <c r="E2249" i="2"/>
  <c r="N1974" i="2"/>
  <c r="G1992" i="2"/>
  <c r="K1988" i="2"/>
  <c r="F1710" i="2"/>
  <c r="N2120" i="2"/>
  <c r="R2116" i="2"/>
  <c r="I2030" i="2"/>
  <c r="E2386" i="2"/>
  <c r="P1980" i="2"/>
  <c r="H1995" i="2"/>
  <c r="L1991" i="2"/>
  <c r="G1713" i="2"/>
  <c r="U1574" i="2"/>
  <c r="C1642" i="2"/>
  <c r="K1845" i="2"/>
  <c r="T2365" i="2"/>
  <c r="F1950" i="2"/>
  <c r="C1980" i="2"/>
  <c r="G1976" i="2"/>
  <c r="W1697" i="2"/>
  <c r="Q2156" i="2"/>
  <c r="U2152" i="2"/>
  <c r="J1969" i="2"/>
  <c r="D2290" i="2"/>
  <c r="O2052" i="2"/>
  <c r="I1934" i="2"/>
  <c r="M1930" i="2"/>
  <c r="T1882" i="2"/>
  <c r="R1708" i="2"/>
  <c r="D1581" i="2"/>
  <c r="L1784" i="2"/>
  <c r="M2175" i="2"/>
  <c r="K2020" i="2"/>
  <c r="D1919" i="2"/>
  <c r="T1915" i="2"/>
  <c r="U1821" i="2"/>
  <c r="W2095" i="2"/>
  <c r="G2046" i="2"/>
  <c r="S2207" i="2"/>
  <c r="S2042" i="2"/>
  <c r="T2041" i="2"/>
  <c r="K2042" i="2"/>
  <c r="G2058" i="2"/>
  <c r="P1883" i="2"/>
  <c r="V1881" i="2"/>
  <c r="G1950" i="2"/>
  <c r="R1922" i="2"/>
  <c r="O1950" i="2"/>
  <c r="L1969" i="2"/>
  <c r="P1965" i="2"/>
  <c r="R1805" i="2"/>
  <c r="J1849" i="2"/>
  <c r="P1847" i="2"/>
  <c r="C1740" i="2"/>
  <c r="F2023" i="2"/>
  <c r="O1848" i="2"/>
  <c r="U1846" i="2"/>
  <c r="H1739" i="2"/>
  <c r="J2019" i="2"/>
  <c r="S1844" i="2"/>
  <c r="D1843" i="2"/>
  <c r="L1878" i="2"/>
  <c r="D1543" i="2"/>
  <c r="H1679" i="2"/>
  <c r="I1815" i="2"/>
  <c r="O1853" i="2"/>
  <c r="F1904" i="2"/>
  <c r="F1599" i="2"/>
  <c r="F1540" i="2"/>
  <c r="T1276" i="2"/>
  <c r="M1666" i="2"/>
  <c r="N1802" i="2"/>
  <c r="D1897" i="2"/>
  <c r="P1695" i="2"/>
  <c r="R1752" i="2"/>
  <c r="P1674" i="2"/>
  <c r="C1616" i="2"/>
  <c r="D1752" i="2"/>
  <c r="J1628" i="2"/>
  <c r="D2095" i="2"/>
  <c r="V2102" i="2"/>
  <c r="E2099" i="2"/>
  <c r="S1744" i="2"/>
  <c r="E1834" i="2"/>
  <c r="K1832" i="2"/>
  <c r="S1724" i="2"/>
  <c r="V2007" i="2"/>
  <c r="J1833" i="2"/>
  <c r="P1831" i="2"/>
  <c r="V1918" i="2"/>
  <c r="E2004" i="2"/>
  <c r="N1829" i="2"/>
  <c r="T1827" i="2"/>
  <c r="W1847" i="2"/>
  <c r="P1722" i="2"/>
  <c r="C1664" i="2"/>
  <c r="D1800" i="2"/>
  <c r="U1871" i="2"/>
  <c r="V1745" i="2"/>
  <c r="I1608" i="2"/>
  <c r="I1549" i="2"/>
  <c r="W1285" i="2"/>
  <c r="P1675" i="2"/>
  <c r="Q1811" i="2"/>
  <c r="T1738" i="2"/>
  <c r="D1732" i="2"/>
  <c r="C1771" i="2"/>
  <c r="S1683" i="2"/>
  <c r="F1625" i="2"/>
  <c r="G1761" i="2"/>
  <c r="E2048" i="2"/>
  <c r="T1993" i="2"/>
  <c r="C1990" i="2"/>
  <c r="E1830" i="2"/>
  <c r="L1855" i="2"/>
  <c r="R1853" i="2"/>
  <c r="E1746" i="2"/>
  <c r="H2029" i="2"/>
  <c r="Q1854" i="2"/>
  <c r="W1852" i="2"/>
  <c r="J1745" i="2"/>
  <c r="L2025" i="2"/>
  <c r="U1850" i="2"/>
  <c r="F1849" i="2"/>
  <c r="P1890" i="2"/>
  <c r="F1549" i="2"/>
  <c r="J1685" i="2"/>
  <c r="K1821" i="2"/>
  <c r="S1865" i="2"/>
  <c r="R1733" i="2"/>
  <c r="H1605" i="2"/>
  <c r="H1546" i="2"/>
  <c r="V1282" i="2"/>
  <c r="O1672" i="2"/>
  <c r="P1808" i="2"/>
  <c r="P1726" i="2"/>
  <c r="C1720" i="2"/>
  <c r="V1764" i="2"/>
  <c r="R1680" i="2"/>
  <c r="E1622" i="2"/>
  <c r="F1758" i="2"/>
  <c r="D1531" i="2"/>
  <c r="M2074" i="2"/>
  <c r="W1864" i="2"/>
  <c r="K2030" i="2"/>
  <c r="U1862" i="2"/>
  <c r="P1981" i="2"/>
  <c r="Q1850" i="2"/>
  <c r="T2116" i="2"/>
  <c r="Q1742" i="2"/>
  <c r="G1790" i="2"/>
  <c r="K1786" i="2"/>
  <c r="H1621" i="2"/>
  <c r="N1677" i="2"/>
  <c r="W1863" i="2"/>
  <c r="H1738" i="2"/>
  <c r="V1782" i="2"/>
  <c r="R1206" i="2"/>
  <c r="N1933" i="2"/>
  <c r="C1895" i="2"/>
  <c r="S1711" i="2"/>
  <c r="G1801" i="2"/>
  <c r="R1891" i="2"/>
  <c r="J1547" i="2"/>
  <c r="N1683" i="2"/>
  <c r="C1225" i="2"/>
  <c r="Q1614" i="2"/>
  <c r="R1750" i="2"/>
  <c r="F1727" i="2"/>
  <c r="G1683" i="2"/>
  <c r="G1846" i="2"/>
  <c r="T1622" i="2"/>
  <c r="G1564" i="2"/>
  <c r="K1700" i="2"/>
  <c r="N2046" i="2"/>
  <c r="L1944" i="2"/>
  <c r="P1940" i="2"/>
  <c r="E1781" i="2"/>
  <c r="M1794" i="2"/>
  <c r="S1792" i="2"/>
  <c r="W1879" i="2"/>
  <c r="I1968" i="2"/>
  <c r="R1793" i="2"/>
  <c r="C1792" i="2"/>
  <c r="G1879" i="2"/>
  <c r="M1964" i="2"/>
  <c r="V1789" i="2"/>
  <c r="G1788" i="2"/>
  <c r="R1768" i="2"/>
  <c r="C1683" i="2"/>
  <c r="K1624" i="2"/>
  <c r="L1760" i="2"/>
  <c r="F1798" i="2"/>
  <c r="N1879" i="2"/>
  <c r="I1544" i="2"/>
  <c r="M1680" i="2"/>
  <c r="W1221" i="2"/>
  <c r="P1611" i="2"/>
  <c r="Q1747" i="2"/>
  <c r="I1915" i="2"/>
  <c r="C1671" i="2"/>
  <c r="F1843" i="2"/>
  <c r="S1619" i="2"/>
  <c r="F1561" i="2"/>
  <c r="J1697" i="2"/>
  <c r="K1697" i="2"/>
  <c r="N2076" i="2"/>
  <c r="W1815" i="2"/>
  <c r="J2030" i="2"/>
  <c r="U1813" i="2"/>
  <c r="O1981" i="2"/>
  <c r="Q1801" i="2"/>
  <c r="U2130" i="2"/>
  <c r="M1888" i="2"/>
  <c r="Q1934" i="2"/>
  <c r="U1930" i="2"/>
  <c r="Q1760" i="2"/>
  <c r="N1628" i="2"/>
  <c r="G2053" i="2"/>
  <c r="J1789" i="2"/>
  <c r="H1539" i="2"/>
  <c r="R1961" i="2"/>
  <c r="S1908" i="2"/>
  <c r="E1743" i="2"/>
  <c r="F1663" i="2"/>
  <c r="C1789" i="2"/>
  <c r="W1842" i="2"/>
  <c r="F1535" i="2"/>
  <c r="J1671" i="2"/>
  <c r="T1212" i="2"/>
  <c r="M1602" i="2"/>
  <c r="N1738" i="2"/>
  <c r="C1897" i="2"/>
  <c r="R1679" i="2"/>
  <c r="V1610" i="2"/>
  <c r="G1221" i="2"/>
  <c r="T1755" i="2"/>
  <c r="U1610" i="2"/>
  <c r="S1610" i="2"/>
  <c r="V1746" i="2"/>
  <c r="S1551" i="2"/>
  <c r="S1913" i="2"/>
  <c r="W1687" i="2"/>
  <c r="M2349" i="2"/>
  <c r="F2059" i="2"/>
  <c r="M2090" i="2"/>
  <c r="E2090" i="2"/>
  <c r="Q2086" i="2"/>
  <c r="R2086" i="2"/>
  <c r="D1734" i="2"/>
  <c r="Q1969" i="2"/>
  <c r="S1976" i="2"/>
  <c r="D1782" i="2"/>
  <c r="D1975" i="2"/>
  <c r="J1780" i="2"/>
  <c r="C1868" i="2"/>
  <c r="N1867" i="2"/>
  <c r="R1956" i="2"/>
  <c r="M1955" i="2"/>
  <c r="C1976" i="2"/>
  <c r="I1781" i="2"/>
  <c r="I1974" i="2"/>
  <c r="O1779" i="2"/>
  <c r="H1867" i="2"/>
  <c r="S1866" i="2"/>
  <c r="V1952" i="2"/>
  <c r="Q1951" i="2"/>
  <c r="G1972" i="2"/>
  <c r="M1777" i="2"/>
  <c r="M1970" i="2"/>
  <c r="S1775" i="2"/>
  <c r="L1863" i="2"/>
  <c r="K1893" i="2"/>
  <c r="D1671" i="2"/>
  <c r="W1670" i="2"/>
  <c r="E1807" i="2"/>
  <c r="W1611" i="2"/>
  <c r="J1915" i="2"/>
  <c r="K1780" i="2"/>
  <c r="K1871" i="2"/>
  <c r="D1591" i="2"/>
  <c r="W1590" i="2"/>
  <c r="E1727" i="2"/>
  <c r="W1531" i="2"/>
  <c r="F1874" i="2"/>
  <c r="F1668" i="2"/>
  <c r="R1588" i="2"/>
  <c r="T1404" i="2"/>
  <c r="O1822" i="2"/>
  <c r="J1794" i="2"/>
  <c r="G1599" i="2"/>
  <c r="I1864" i="2"/>
  <c r="O1540" i="2"/>
  <c r="M1540" i="2"/>
  <c r="S1676" i="2"/>
  <c r="Q1676" i="2"/>
  <c r="U1607" i="2"/>
  <c r="F1218" i="2"/>
  <c r="P1743" i="2"/>
  <c r="T1607" i="2"/>
  <c r="R1607" i="2"/>
  <c r="U1743" i="2"/>
  <c r="R1548" i="2"/>
  <c r="Q1907" i="2"/>
  <c r="V1684" i="2"/>
  <c r="C1656" i="2"/>
  <c r="D1668" i="2"/>
  <c r="M2397" i="2"/>
  <c r="F2079" i="2"/>
  <c r="V2075" i="2"/>
  <c r="U1886" i="2"/>
  <c r="D1875" i="2"/>
  <c r="G1767" i="2"/>
  <c r="O1852" i="2"/>
  <c r="O1999" i="2"/>
  <c r="N2124" i="2"/>
  <c r="V1867" i="2"/>
  <c r="D1767" i="2"/>
  <c r="E1765" i="2"/>
  <c r="M1941" i="2"/>
  <c r="U2228" i="2"/>
  <c r="C2220" i="2"/>
  <c r="F1819" i="2"/>
  <c r="U1754" i="2"/>
  <c r="V1752" i="2"/>
  <c r="I1929" i="2"/>
  <c r="E1754" i="2"/>
  <c r="H2196" i="2"/>
  <c r="D1929" i="2"/>
  <c r="G2268" i="2"/>
  <c r="R1839" i="2"/>
  <c r="U1730" i="2"/>
  <c r="K2013" i="2"/>
  <c r="M1886" i="2"/>
  <c r="P2107" i="2"/>
  <c r="W1860" i="2"/>
  <c r="Q1882" i="2"/>
  <c r="U1837" i="2"/>
  <c r="H1797" i="2"/>
  <c r="K1857" i="2"/>
  <c r="M1697" i="2"/>
  <c r="P1638" i="2"/>
  <c r="S1579" i="2"/>
  <c r="F1889" i="2"/>
  <c r="D1874" i="2"/>
  <c r="H2083" i="2"/>
  <c r="G1872" i="2"/>
  <c r="H1870" i="2"/>
  <c r="E1789" i="2"/>
  <c r="Q1706" i="2"/>
  <c r="T1647" i="2"/>
  <c r="I1685" i="2"/>
  <c r="O1626" i="2"/>
  <c r="Q1771" i="2"/>
  <c r="S1864" i="2"/>
  <c r="P1861" i="2"/>
  <c r="G2035" i="2"/>
  <c r="C1860" i="2"/>
  <c r="T1857" i="2"/>
  <c r="G1753" i="2"/>
  <c r="M1694" i="2"/>
  <c r="Q1749" i="2"/>
  <c r="H1673" i="2"/>
  <c r="K1614" i="2"/>
  <c r="F1859" i="2"/>
  <c r="T1834" i="2"/>
  <c r="D1728" i="2"/>
  <c r="L1630" i="2"/>
  <c r="T1581" i="2"/>
  <c r="D1876" i="2"/>
  <c r="T1571" i="2"/>
  <c r="C1718" i="2"/>
  <c r="I1754" i="2"/>
  <c r="C1708" i="2"/>
  <c r="C1659" i="2"/>
  <c r="N1911" i="2"/>
  <c r="E1639" i="2"/>
  <c r="Q1395" i="2"/>
  <c r="K1875" i="2"/>
  <c r="K1861" i="2"/>
  <c r="G1785" i="2"/>
  <c r="N1541" i="2"/>
  <c r="W1638" i="2"/>
  <c r="R1827" i="2"/>
  <c r="R1677" i="2"/>
  <c r="W1579" i="2"/>
  <c r="J1531" i="2"/>
  <c r="S1813" i="2"/>
  <c r="F1716" i="2"/>
  <c r="N1667" i="2"/>
  <c r="V1607" i="2"/>
  <c r="T1452" i="2"/>
  <c r="C1209" i="2"/>
  <c r="D1773" i="2"/>
  <c r="J1842" i="2"/>
  <c r="Q1598" i="2"/>
  <c r="Q1549" i="2"/>
  <c r="M1861" i="2"/>
  <c r="R1734" i="2"/>
  <c r="U1685" i="2"/>
  <c r="M1588" i="2"/>
  <c r="K1889" i="2"/>
  <c r="H1627" i="2"/>
  <c r="Q2625" i="2"/>
  <c r="S2284" i="2"/>
  <c r="I2159" i="2"/>
  <c r="I2143" i="2"/>
  <c r="V2140" i="2"/>
  <c r="S2043" i="2"/>
  <c r="M2139" i="2"/>
  <c r="E2137" i="2"/>
  <c r="W2039" i="2"/>
  <c r="N2054" i="2"/>
  <c r="E1880" i="2"/>
  <c r="R1965" i="2"/>
  <c r="L1968" i="2"/>
  <c r="O1964" i="2"/>
  <c r="F1916" i="2"/>
  <c r="K1818" i="2"/>
  <c r="U1962" i="2"/>
  <c r="L1914" i="2"/>
  <c r="Q1816" i="2"/>
  <c r="T1855" i="2"/>
  <c r="T1806" i="2"/>
  <c r="K2216" i="2"/>
  <c r="N1944" i="2"/>
  <c r="O2089" i="2"/>
  <c r="F1989" i="2"/>
  <c r="T1963" i="2"/>
  <c r="K1915" i="2"/>
  <c r="P1817" i="2"/>
  <c r="E1962" i="2"/>
  <c r="Q1913" i="2"/>
  <c r="V1815" i="2"/>
  <c r="D1855" i="2"/>
  <c r="D1806" i="2"/>
  <c r="F2201" i="2"/>
  <c r="R1940" i="2"/>
  <c r="S2085" i="2"/>
  <c r="J1985" i="2"/>
  <c r="C1960" i="2"/>
  <c r="O1911" i="2"/>
  <c r="O1862" i="2"/>
  <c r="S1861" i="2"/>
  <c r="J1861" i="2"/>
  <c r="E1861" i="2"/>
  <c r="U1860" i="2"/>
  <c r="G1948" i="2"/>
  <c r="C1915" i="2"/>
  <c r="M1784" i="2"/>
  <c r="N1752" i="2"/>
  <c r="H1756" i="2"/>
  <c r="J1561" i="2"/>
  <c r="E1561" i="2"/>
  <c r="H1561" i="2"/>
  <c r="G1738" i="2"/>
  <c r="N1697" i="2"/>
  <c r="I1697" i="2"/>
  <c r="L1697" i="2"/>
  <c r="C1697" i="2"/>
  <c r="O1833" i="2"/>
  <c r="Q1638" i="2"/>
  <c r="S1755" i="2"/>
  <c r="R1898" i="2"/>
  <c r="F1890" i="2"/>
  <c r="K1676" i="2"/>
  <c r="F1676" i="2"/>
  <c r="I1676" i="2"/>
  <c r="M1782" i="2"/>
  <c r="L1812" i="2"/>
  <c r="N1617" i="2"/>
  <c r="I1617" i="2"/>
  <c r="L1617" i="2"/>
  <c r="U1741" i="2"/>
  <c r="O1753" i="2"/>
  <c r="Q1558" i="2"/>
  <c r="L1558" i="2"/>
  <c r="E1735" i="2"/>
  <c r="T1684" i="2"/>
  <c r="F1490" i="2"/>
  <c r="E1295" i="2"/>
  <c r="S1771" i="2"/>
  <c r="E1907" i="2"/>
  <c r="V1906" i="2"/>
  <c r="S1684" i="2"/>
  <c r="N1684" i="2"/>
  <c r="Q1684" i="2"/>
  <c r="C1816" i="2"/>
  <c r="T1820" i="2"/>
  <c r="V1625" i="2"/>
  <c r="Q1625" i="2"/>
  <c r="T1625" i="2"/>
  <c r="K1775" i="2"/>
  <c r="W1761" i="2"/>
  <c r="D1567" i="2"/>
  <c r="T1566" i="2"/>
  <c r="P1768" i="2"/>
  <c r="V1698" i="2"/>
  <c r="N1498" i="2"/>
  <c r="M1303" i="2"/>
  <c r="I1789" i="2"/>
  <c r="M1915" i="2"/>
  <c r="L1729" i="2"/>
  <c r="F1693" i="2"/>
  <c r="V1692" i="2"/>
  <c r="D1693" i="2"/>
  <c r="P1692" i="2"/>
  <c r="G1829" i="2"/>
  <c r="I1634" i="2"/>
  <c r="D1634" i="2"/>
  <c r="G1634" i="2"/>
  <c r="V1808" i="2"/>
  <c r="J1770" i="2"/>
  <c r="L1575" i="2"/>
  <c r="G1575" i="2"/>
  <c r="F1802" i="2"/>
  <c r="W1725" i="2"/>
  <c r="C1449" i="2"/>
  <c r="G2230" i="2"/>
  <c r="M2079" i="2"/>
  <c r="Q2075" i="2"/>
  <c r="V1916" i="2"/>
  <c r="M2022" i="2"/>
  <c r="S2020" i="2"/>
  <c r="R1913" i="2"/>
  <c r="L2002" i="2"/>
  <c r="R2021" i="2"/>
  <c r="N2249" i="2"/>
  <c r="C2031" i="2"/>
  <c r="G2027" i="2"/>
  <c r="E1867" i="2"/>
  <c r="J1913" i="2"/>
  <c r="P1911" i="2"/>
  <c r="C1804" i="2"/>
  <c r="F2087" i="2"/>
  <c r="N2400" i="2"/>
  <c r="H1982" i="2"/>
  <c r="L1978" i="2"/>
  <c r="K2012" i="2"/>
  <c r="F1901" i="2"/>
  <c r="L1899" i="2"/>
  <c r="T1791" i="2"/>
  <c r="W2074" i="2"/>
  <c r="K1900" i="2"/>
  <c r="S1997" i="2"/>
  <c r="H1932" i="2"/>
  <c r="L1928" i="2"/>
  <c r="V1768" i="2"/>
  <c r="L1791" i="2"/>
  <c r="R1789" i="2"/>
  <c r="V1876" i="2"/>
  <c r="H1965" i="2"/>
  <c r="W1838" i="2"/>
  <c r="H1837" i="2"/>
  <c r="M2286" i="2"/>
  <c r="Q2006" i="2"/>
  <c r="F1835" i="2"/>
  <c r="L1833" i="2"/>
  <c r="P1837" i="2"/>
  <c r="T1533" i="2"/>
  <c r="C1670" i="2"/>
  <c r="R1895" i="2"/>
  <c r="R1648" i="2"/>
  <c r="E1590" i="2"/>
  <c r="F1726" i="2"/>
  <c r="K1657" i="2"/>
  <c r="N2009" i="2"/>
  <c r="N1825" i="2"/>
  <c r="R1912" i="2"/>
  <c r="C1998" i="2"/>
  <c r="L1823" i="2"/>
  <c r="R1821" i="2"/>
  <c r="S1835" i="2"/>
  <c r="N1716" i="2"/>
  <c r="V1657" i="2"/>
  <c r="W1793" i="2"/>
  <c r="Q1831" i="2"/>
  <c r="T1818" i="2"/>
  <c r="T1577" i="2"/>
  <c r="C1714" i="2"/>
  <c r="M1255" i="2"/>
  <c r="O1814" i="2"/>
  <c r="U1812" i="2"/>
  <c r="W2188" i="2"/>
  <c r="I1982" i="2"/>
  <c r="S1810" i="2"/>
  <c r="D1809" i="2"/>
  <c r="I1752" i="2"/>
  <c r="D1704" i="2"/>
  <c r="P1645" i="2"/>
  <c r="R1847" i="2"/>
  <c r="J1624" i="2"/>
  <c r="R1565" i="2"/>
  <c r="V1701" i="2"/>
  <c r="W1722" i="2"/>
  <c r="T1863" i="2"/>
  <c r="K1752" i="2"/>
  <c r="O1839" i="2"/>
  <c r="U1924" i="2"/>
  <c r="I1750" i="2"/>
  <c r="O1748" i="2"/>
  <c r="I1884" i="2"/>
  <c r="K1643" i="2"/>
  <c r="S1584" i="2"/>
  <c r="W1720" i="2"/>
  <c r="N1758" i="2"/>
  <c r="S1742" i="2"/>
  <c r="I1699" i="2"/>
  <c r="U1640" i="2"/>
  <c r="N1741" i="2"/>
  <c r="C1572" i="2"/>
  <c r="R1843" i="2"/>
  <c r="F1842" i="2"/>
  <c r="R1860" i="2"/>
  <c r="M1855" i="2"/>
  <c r="W1831" i="2"/>
  <c r="H1714" i="2"/>
  <c r="P1655" i="2"/>
  <c r="Q1791" i="2"/>
  <c r="K1887" i="2"/>
  <c r="D1540" i="2"/>
  <c r="K1488" i="2"/>
  <c r="J1293" i="2"/>
  <c r="F1488" i="2"/>
  <c r="E1293" i="2"/>
  <c r="K1664" i="2"/>
  <c r="E1667" i="2"/>
  <c r="L1472" i="2"/>
  <c r="K1277" i="2"/>
  <c r="G1472" i="2"/>
  <c r="F1277" i="2"/>
  <c r="W1471" i="2"/>
  <c r="V1276" i="2"/>
  <c r="O1660" i="2"/>
  <c r="F1666" i="2"/>
  <c r="D1665" i="2"/>
  <c r="E1375" i="2"/>
  <c r="O1484" i="2"/>
  <c r="N1289" i="2"/>
  <c r="J1484" i="2"/>
  <c r="I1289" i="2"/>
  <c r="F1649" i="2"/>
  <c r="I1663" i="2"/>
  <c r="J1755" i="2"/>
  <c r="W1829" i="2"/>
  <c r="W1811" i="2"/>
  <c r="G1805" i="2"/>
  <c r="O1807" i="2"/>
  <c r="D1702" i="2"/>
  <c r="L1643" i="2"/>
  <c r="M1779" i="2"/>
  <c r="U1789" i="2"/>
  <c r="H1528" i="2"/>
  <c r="J1485" i="2"/>
  <c r="I1290" i="2"/>
  <c r="E1485" i="2"/>
  <c r="D1290" i="2"/>
  <c r="G1652" i="2"/>
  <c r="D1664" i="2"/>
  <c r="K1469" i="2"/>
  <c r="J1274" i="2"/>
  <c r="F1469" i="2"/>
  <c r="E1274" i="2"/>
  <c r="V1468" i="2"/>
  <c r="U1273" i="2"/>
  <c r="K1648" i="2"/>
  <c r="E1663" i="2"/>
  <c r="Q1640" i="2"/>
  <c r="C1369" i="2"/>
  <c r="N1481" i="2"/>
  <c r="M1286" i="2"/>
  <c r="I1481" i="2"/>
  <c r="H1286" i="2"/>
  <c r="W1636" i="2"/>
  <c r="H1660" i="2"/>
  <c r="W1730" i="2"/>
  <c r="S1817" i="2"/>
  <c r="G1763" i="2"/>
  <c r="L1756" i="2"/>
  <c r="G1783" i="2"/>
  <c r="U1689" i="2"/>
  <c r="H1631" i="2"/>
  <c r="I1767" i="2"/>
  <c r="F1887" i="2"/>
  <c r="D1516" i="2"/>
  <c r="I1482" i="2"/>
  <c r="H1287" i="2"/>
  <c r="D1482" i="2"/>
  <c r="C1287" i="2"/>
  <c r="C1640" i="2"/>
  <c r="C1661" i="2"/>
  <c r="J1466" i="2"/>
  <c r="I1271" i="2"/>
  <c r="E1466" i="2"/>
  <c r="D1271" i="2"/>
  <c r="U1465" i="2"/>
  <c r="T1270" i="2"/>
  <c r="G1636" i="2"/>
  <c r="D1660" i="2"/>
  <c r="F1623" i="2"/>
  <c r="V1362" i="2"/>
  <c r="M1478" i="2"/>
  <c r="L1283" i="2"/>
  <c r="H1478" i="2"/>
  <c r="G1283" i="2"/>
  <c r="S1624" i="2"/>
  <c r="G1657" i="2"/>
  <c r="T1900" i="2"/>
  <c r="O1805" i="2"/>
  <c r="H1909" i="2"/>
  <c r="T1707" i="2"/>
  <c r="T1758" i="2"/>
  <c r="Q1677" i="2"/>
  <c r="D1619" i="2"/>
  <c r="E1755" i="2"/>
  <c r="P1789" i="2"/>
  <c r="U1503" i="2"/>
  <c r="H1479" i="2"/>
  <c r="G1284" i="2"/>
  <c r="C1479" i="2"/>
  <c r="W1283" i="2"/>
  <c r="T1627" i="2"/>
  <c r="W1657" i="2"/>
  <c r="I1463" i="2"/>
  <c r="H1268" i="2"/>
  <c r="D1463" i="2"/>
  <c r="C1268" i="2"/>
  <c r="T1462" i="2"/>
  <c r="S1267" i="2"/>
  <c r="C1624" i="2"/>
  <c r="C1657" i="2"/>
  <c r="W1610" i="2"/>
  <c r="T1356" i="2"/>
  <c r="L1475" i="2"/>
  <c r="K1280" i="2"/>
  <c r="G1475" i="2"/>
  <c r="F1280" i="2"/>
  <c r="O1612" i="2"/>
  <c r="F1654" i="2"/>
  <c r="M1459" i="2"/>
  <c r="L1264" i="2"/>
  <c r="H1459" i="2"/>
  <c r="G1264" i="2"/>
  <c r="C1459" i="2"/>
  <c r="W1263" i="2"/>
  <c r="V1658" i="2"/>
  <c r="G1269" i="2"/>
  <c r="C1432" i="2"/>
  <c r="W1236" i="2"/>
  <c r="S1431" i="2"/>
  <c r="R1236" i="2"/>
  <c r="Q1633" i="2"/>
  <c r="R1610" i="2"/>
  <c r="D1416" i="2"/>
  <c r="C1221" i="2"/>
  <c r="T1415" i="2"/>
  <c r="S1220" i="2"/>
  <c r="O1415" i="2"/>
  <c r="N1220" i="2"/>
  <c r="U1629" i="2"/>
  <c r="S1609" i="2"/>
  <c r="L1251" i="2"/>
  <c r="G1625" i="2"/>
  <c r="H1235" i="2"/>
  <c r="P1535" i="2"/>
  <c r="I1523" i="2"/>
  <c r="H1328" i="2"/>
  <c r="D1523" i="2"/>
  <c r="C1328" i="2"/>
  <c r="T1522" i="2"/>
  <c r="S1327" i="2"/>
  <c r="V1802" i="2"/>
  <c r="U1715" i="2"/>
  <c r="E1507" i="2"/>
  <c r="D1312" i="2"/>
  <c r="U1506" i="2"/>
  <c r="T1311" i="2"/>
  <c r="P1506" i="2"/>
  <c r="O1311" i="2"/>
  <c r="I1512" i="2"/>
  <c r="H1317" i="2"/>
  <c r="V1122" i="2"/>
  <c r="U927" i="2"/>
  <c r="V1121" i="2"/>
  <c r="U926" i="2"/>
  <c r="Q1121" i="2"/>
  <c r="P926" i="2"/>
  <c r="J1511" i="2"/>
  <c r="I1316" i="2"/>
  <c r="W1121" i="2"/>
  <c r="V926" i="2"/>
  <c r="W1120" i="2"/>
  <c r="V925" i="2"/>
  <c r="G1236" i="2"/>
  <c r="W1609" i="2"/>
  <c r="C1220" i="2"/>
  <c r="W1699" i="2"/>
  <c r="M1519" i="2"/>
  <c r="L1324" i="2"/>
  <c r="H1519" i="2"/>
  <c r="G1324" i="2"/>
  <c r="C1519" i="2"/>
  <c r="W1323" i="2"/>
  <c r="L1456" i="2"/>
  <c r="K1261" i="2"/>
  <c r="G1456" i="2"/>
  <c r="F1261" i="2"/>
  <c r="W1455" i="2"/>
  <c r="V1260" i="2"/>
  <c r="T1652" i="2"/>
  <c r="E1263" i="2"/>
  <c r="W1428" i="2"/>
  <c r="V1233" i="2"/>
  <c r="R1428" i="2"/>
  <c r="Q1233" i="2"/>
  <c r="M1621" i="2"/>
  <c r="Q1607" i="2"/>
  <c r="C1413" i="2"/>
  <c r="W1217" i="2"/>
  <c r="S1412" i="2"/>
  <c r="R1217" i="2"/>
  <c r="N1412" i="2"/>
  <c r="M1217" i="2"/>
  <c r="Q1617" i="2"/>
  <c r="R1606" i="2"/>
  <c r="H1239" i="2"/>
  <c r="C1613" i="2"/>
  <c r="D1223" i="2"/>
  <c r="D1706" i="2"/>
  <c r="H1520" i="2"/>
  <c r="G1325" i="2"/>
  <c r="C1520" i="2"/>
  <c r="W1324" i="2"/>
  <c r="S1519" i="2"/>
  <c r="R1324" i="2"/>
  <c r="R1790" i="2"/>
  <c r="S1709" i="2"/>
  <c r="D1504" i="2"/>
  <c r="C1309" i="2"/>
  <c r="T1503" i="2"/>
  <c r="S1308" i="2"/>
  <c r="O1503" i="2"/>
  <c r="N1308" i="2"/>
  <c r="H1509" i="2"/>
  <c r="G1314" i="2"/>
  <c r="U1119" i="2"/>
  <c r="T924" i="2"/>
  <c r="U1118" i="2"/>
  <c r="T923" i="2"/>
  <c r="P1118" i="2"/>
  <c r="O923" i="2"/>
  <c r="I1508" i="2"/>
  <c r="H1313" i="2"/>
  <c r="V1118" i="2"/>
  <c r="U923" i="2"/>
  <c r="V1117" i="2"/>
  <c r="D1535" i="2"/>
  <c r="C1224" i="2"/>
  <c r="S1597" i="2"/>
  <c r="T1207" i="2"/>
  <c r="O1675" i="2"/>
  <c r="L1516" i="2"/>
  <c r="K1321" i="2"/>
  <c r="G1516" i="2"/>
  <c r="F1321" i="2"/>
  <c r="W1515" i="2"/>
  <c r="V1320" i="2"/>
  <c r="K1453" i="2"/>
  <c r="J1258" i="2"/>
  <c r="F1453" i="2"/>
  <c r="E1258" i="2"/>
  <c r="V1452" i="2"/>
  <c r="U1257" i="2"/>
  <c r="R1646" i="2"/>
  <c r="C1257" i="2"/>
  <c r="V1425" i="2"/>
  <c r="U1230" i="2"/>
  <c r="Q1425" i="2"/>
  <c r="P1230" i="2"/>
  <c r="I1609" i="2"/>
  <c r="P1604" i="2"/>
  <c r="W1409" i="2"/>
  <c r="V1214" i="2"/>
  <c r="R1409" i="2"/>
  <c r="Q1214" i="2"/>
  <c r="M1409" i="2"/>
  <c r="L1214" i="2"/>
  <c r="M1605" i="2"/>
  <c r="H1547" i="2"/>
  <c r="D1227" i="2"/>
  <c r="T1600" i="2"/>
  <c r="U1210" i="2"/>
  <c r="Q1681" i="2"/>
  <c r="G1517" i="2"/>
  <c r="F1322" i="2"/>
  <c r="W1516" i="2"/>
  <c r="V1321" i="2"/>
  <c r="R1516" i="2"/>
  <c r="Q1321" i="2"/>
  <c r="N1778" i="2"/>
  <c r="Q1703" i="2"/>
  <c r="C1501" i="2"/>
  <c r="W1305" i="2"/>
  <c r="S1500" i="2"/>
  <c r="R1305" i="2"/>
  <c r="N1500" i="2"/>
  <c r="M1305" i="2"/>
  <c r="G1506" i="2"/>
  <c r="F1311" i="2"/>
  <c r="T1116" i="2"/>
  <c r="S921" i="2"/>
  <c r="T1115" i="2"/>
  <c r="S920" i="2"/>
  <c r="O1115" i="2"/>
  <c r="N920" i="2"/>
  <c r="H1505" i="2"/>
  <c r="G1310" i="2"/>
  <c r="U1115" i="2"/>
  <c r="T920" i="2"/>
  <c r="U1114" i="2"/>
  <c r="E1681" i="2"/>
  <c r="T1211" i="2"/>
  <c r="O1585" i="2"/>
  <c r="P1195" i="2"/>
  <c r="G1651" i="2"/>
  <c r="K1513" i="2"/>
  <c r="J1318" i="2"/>
  <c r="F1513" i="2"/>
  <c r="E1318" i="2"/>
  <c r="V1512" i="2"/>
  <c r="U1317" i="2"/>
  <c r="F1438" i="2"/>
  <c r="E1243" i="2"/>
  <c r="V1437" i="2"/>
  <c r="U1242" i="2"/>
  <c r="Q1437" i="2"/>
  <c r="J1696" i="2"/>
  <c r="H1616" i="2"/>
  <c r="N1226" i="2"/>
  <c r="Q1410" i="2"/>
  <c r="P1215" i="2"/>
  <c r="L1410" i="2"/>
  <c r="K1215" i="2"/>
  <c r="J1548" i="2"/>
  <c r="K1589" i="2"/>
  <c r="R1394" i="2"/>
  <c r="Q1199" i="2"/>
  <c r="M1394" i="2"/>
  <c r="L1199" i="2"/>
  <c r="H1394" i="2"/>
  <c r="G1199" i="2"/>
  <c r="N1544" i="2"/>
  <c r="L1693" i="2"/>
  <c r="E1166" i="2"/>
  <c r="U1539" i="2"/>
  <c r="V1149" i="2"/>
  <c r="S1559" i="2"/>
  <c r="W1501" i="2"/>
  <c r="V1306" i="2"/>
  <c r="R1501" i="2"/>
  <c r="Q1306" i="2"/>
  <c r="M1501" i="2"/>
  <c r="L1306" i="2"/>
  <c r="R1717" i="2"/>
  <c r="L1680" i="2"/>
  <c r="S1485" i="2"/>
  <c r="R1290" i="2"/>
  <c r="N1485" i="2"/>
  <c r="M1290" i="2"/>
  <c r="I1485" i="2"/>
  <c r="H1290" i="2"/>
  <c r="W1490" i="2"/>
  <c r="V1295" i="2"/>
  <c r="O1101" i="2"/>
  <c r="N906" i="2"/>
  <c r="O1100" i="2"/>
  <c r="N905" i="2"/>
  <c r="J1100" i="2"/>
  <c r="I905" i="2"/>
  <c r="C1490" i="2"/>
  <c r="W1294" i="2"/>
  <c r="P1100" i="2"/>
  <c r="O905" i="2"/>
  <c r="P1099" i="2"/>
  <c r="M1632" i="2"/>
  <c r="U1150" i="2"/>
  <c r="C1525" i="2"/>
  <c r="N1524" i="2"/>
  <c r="I1529" i="2"/>
  <c r="F1498" i="2"/>
  <c r="E1303" i="2"/>
  <c r="V1497" i="2"/>
  <c r="U1302" i="2"/>
  <c r="Q1497" i="2"/>
  <c r="P1302" i="2"/>
  <c r="Q1714" i="2"/>
  <c r="Q1679" i="2"/>
  <c r="C1485" i="2"/>
  <c r="W1289" i="2"/>
  <c r="S1484" i="2"/>
  <c r="R1289" i="2"/>
  <c r="N1484" i="2"/>
  <c r="M1289" i="2"/>
  <c r="G1490" i="2"/>
  <c r="F1295" i="2"/>
  <c r="T1100" i="2"/>
  <c r="S905" i="2"/>
  <c r="T1099" i="2"/>
  <c r="S904" i="2"/>
  <c r="O1099" i="2"/>
  <c r="N904" i="2"/>
  <c r="H1489" i="2"/>
  <c r="G1294" i="2"/>
  <c r="U1099" i="2"/>
  <c r="T904" i="2"/>
  <c r="U1098" i="2"/>
  <c r="P1701" i="2"/>
  <c r="V1488" i="2"/>
  <c r="G1473" i="2"/>
  <c r="R1472" i="2"/>
  <c r="L1625" i="2"/>
  <c r="G1485" i="2"/>
  <c r="F1290" i="2"/>
  <c r="W1484" i="2"/>
  <c r="V1289" i="2"/>
  <c r="R1484" i="2"/>
  <c r="Q1289" i="2"/>
  <c r="Q1650" i="2"/>
  <c r="Q1663" i="2"/>
  <c r="C1469" i="2"/>
  <c r="W1273" i="2"/>
  <c r="S1468" i="2"/>
  <c r="R1273" i="2"/>
  <c r="N1468" i="2"/>
  <c r="M1273" i="2"/>
  <c r="G1474" i="2"/>
  <c r="F1279" i="2"/>
  <c r="T1084" i="2"/>
  <c r="S889" i="2"/>
  <c r="T1083" i="2"/>
  <c r="S888" i="2"/>
  <c r="O1083" i="2"/>
  <c r="N888" i="2"/>
  <c r="H1473" i="2"/>
  <c r="G1278" i="2"/>
  <c r="U1083" i="2"/>
  <c r="T888" i="2"/>
  <c r="U1082" i="2"/>
  <c r="U1604" i="2"/>
  <c r="Q1473" i="2"/>
  <c r="W1457" i="2"/>
  <c r="M1457" i="2"/>
  <c r="G1610" i="2"/>
  <c r="K1481" i="2"/>
  <c r="J1286" i="2"/>
  <c r="F1481" i="2"/>
  <c r="E1286" i="2"/>
  <c r="V1480" i="2"/>
  <c r="U1285" i="2"/>
  <c r="L1635" i="2"/>
  <c r="U1659" i="2"/>
  <c r="G1465" i="2"/>
  <c r="F1270" i="2"/>
  <c r="W1464" i="2"/>
  <c r="V1269" i="2"/>
  <c r="R1464" i="2"/>
  <c r="Q1269" i="2"/>
  <c r="K1470" i="2"/>
  <c r="J1275" i="2"/>
  <c r="C1081" i="2"/>
  <c r="W885" i="2"/>
  <c r="C1080" i="2"/>
  <c r="W884" i="2"/>
  <c r="S1079" i="2"/>
  <c r="R884" i="2"/>
  <c r="L1469" i="2"/>
  <c r="K1274" i="2"/>
  <c r="D1080" i="2"/>
  <c r="C885" i="2"/>
  <c r="D1079" i="2"/>
  <c r="V877" i="2"/>
  <c r="R1072" i="2"/>
  <c r="Q877" i="2"/>
  <c r="F1463" i="2"/>
  <c r="E1268" i="2"/>
  <c r="S1073" i="2"/>
  <c r="R878" i="2"/>
  <c r="S1072" i="2"/>
  <c r="R877" i="2"/>
  <c r="N1072" i="2"/>
  <c r="M877" i="2"/>
  <c r="G1462" i="2"/>
  <c r="F1267" i="2"/>
  <c r="T1072" i="2"/>
  <c r="S877" i="2"/>
  <c r="T1071" i="2"/>
  <c r="S876" i="2"/>
  <c r="O1071" i="2"/>
  <c r="N876" i="2"/>
  <c r="K1070" i="2"/>
  <c r="J875" i="2"/>
  <c r="T680" i="2"/>
  <c r="S485" i="2"/>
  <c r="O680" i="2"/>
  <c r="N485" i="2"/>
  <c r="R680" i="2"/>
  <c r="E1487" i="2"/>
  <c r="V1899" i="2"/>
  <c r="G1898" i="2"/>
  <c r="Q1955" i="2"/>
  <c r="J2069" i="2"/>
  <c r="E1896" i="2"/>
  <c r="K1894" i="2"/>
  <c r="P1886" i="2"/>
  <c r="S1594" i="2"/>
  <c r="S1535" i="2"/>
  <c r="T1822" i="2"/>
  <c r="Q1709" i="2"/>
  <c r="D1651" i="2"/>
  <c r="E1787" i="2"/>
  <c r="O1554" i="2"/>
  <c r="K1746" i="2"/>
  <c r="G1718" i="2"/>
  <c r="K1596" i="2"/>
  <c r="M1598" i="2"/>
  <c r="N1734" i="2"/>
  <c r="S1665" i="2"/>
  <c r="D1888" i="2"/>
  <c r="P1665" i="2"/>
  <c r="P1606" i="2"/>
  <c r="C1548" i="2"/>
  <c r="J1692" i="2"/>
  <c r="P1296" i="2"/>
  <c r="L1427" i="2"/>
  <c r="K1232" i="2"/>
  <c r="G1427" i="2"/>
  <c r="F1232" i="2"/>
  <c r="K1615" i="2"/>
  <c r="F1606" i="2"/>
  <c r="M1411" i="2"/>
  <c r="L1216" i="2"/>
  <c r="H1411" i="2"/>
  <c r="G1216" i="2"/>
  <c r="C1411" i="2"/>
  <c r="W1215" i="2"/>
  <c r="O1611" i="2"/>
  <c r="J1553" i="2"/>
  <c r="V1642" i="2"/>
  <c r="G1253" i="2"/>
  <c r="P1423" i="2"/>
  <c r="O1228" i="2"/>
  <c r="K1423" i="2"/>
  <c r="J1228" i="2"/>
  <c r="F1600" i="2"/>
  <c r="J1602" i="2"/>
  <c r="G1584" i="2"/>
  <c r="I1586" i="2"/>
  <c r="M1722" i="2"/>
  <c r="O1653" i="2"/>
  <c r="U1875" i="2"/>
  <c r="L1653" i="2"/>
  <c r="L1594" i="2"/>
  <c r="T1535" i="2"/>
  <c r="W1667" i="2"/>
  <c r="L1284" i="2"/>
  <c r="K1424" i="2"/>
  <c r="J1229" i="2"/>
  <c r="F1424" i="2"/>
  <c r="E1229" i="2"/>
  <c r="G1603" i="2"/>
  <c r="E1603" i="2"/>
  <c r="L1408" i="2"/>
  <c r="K1213" i="2"/>
  <c r="G1408" i="2"/>
  <c r="F1213" i="2"/>
  <c r="W1407" i="2"/>
  <c r="V1212" i="2"/>
  <c r="K1599" i="2"/>
  <c r="F1541" i="2"/>
  <c r="T1636" i="2"/>
  <c r="E1247" i="2"/>
  <c r="O1420" i="2"/>
  <c r="N1225" i="2"/>
  <c r="J1420" i="2"/>
  <c r="I1225" i="2"/>
  <c r="W1587" i="2"/>
  <c r="I1599" i="2"/>
  <c r="T1559" i="2"/>
  <c r="E1574" i="2"/>
  <c r="I1710" i="2"/>
  <c r="K1641" i="2"/>
  <c r="Q1863" i="2"/>
  <c r="H1641" i="2"/>
  <c r="H1582" i="2"/>
  <c r="L1718" i="2"/>
  <c r="O1643" i="2"/>
  <c r="H1272" i="2"/>
  <c r="J1421" i="2"/>
  <c r="I1226" i="2"/>
  <c r="E1421" i="2"/>
  <c r="D1226" i="2"/>
  <c r="C1591" i="2"/>
  <c r="D1600" i="2"/>
  <c r="K1405" i="2"/>
  <c r="J1210" i="2"/>
  <c r="F1405" i="2"/>
  <c r="E1210" i="2"/>
  <c r="V1404" i="2"/>
  <c r="U1209" i="2"/>
  <c r="G1587" i="2"/>
  <c r="S1723" i="2"/>
  <c r="R1630" i="2"/>
  <c r="C1241" i="2"/>
  <c r="N1417" i="2"/>
  <c r="M1222" i="2"/>
  <c r="I1417" i="2"/>
  <c r="H1222" i="2"/>
  <c r="S1575" i="2"/>
  <c r="H1596" i="2"/>
  <c r="P1547" i="2"/>
  <c r="V1561" i="2"/>
  <c r="E1698" i="2"/>
  <c r="G1629" i="2"/>
  <c r="W1828" i="2"/>
  <c r="D1629" i="2"/>
  <c r="D1570" i="2"/>
  <c r="H1706" i="2"/>
  <c r="G1619" i="2"/>
  <c r="D1260" i="2"/>
  <c r="I1418" i="2"/>
  <c r="H1223" i="2"/>
  <c r="D1418" i="2"/>
  <c r="C1223" i="2"/>
  <c r="T1578" i="2"/>
  <c r="C1597" i="2"/>
  <c r="J1402" i="2"/>
  <c r="I1207" i="2"/>
  <c r="E1402" i="2"/>
  <c r="D1207" i="2"/>
  <c r="U1401" i="2"/>
  <c r="T1206" i="2"/>
  <c r="C1575" i="2"/>
  <c r="O1711" i="2"/>
  <c r="P1624" i="2"/>
  <c r="V1234" i="2"/>
  <c r="M1414" i="2"/>
  <c r="L1219" i="2"/>
  <c r="H1414" i="2"/>
  <c r="G1219" i="2"/>
  <c r="O1563" i="2"/>
  <c r="G1593" i="2"/>
  <c r="N1398" i="2"/>
  <c r="M1203" i="2"/>
  <c r="I1398" i="2"/>
  <c r="H1203" i="2"/>
  <c r="D1398" i="2"/>
  <c r="U1537" i="2"/>
  <c r="C1537" i="2"/>
  <c r="H1176" i="2"/>
  <c r="D1371" i="2"/>
  <c r="C1176" i="2"/>
  <c r="T1370" i="2"/>
  <c r="S1847" i="2"/>
  <c r="J1607" i="2"/>
  <c r="S1549" i="2"/>
  <c r="E1355" i="2"/>
  <c r="D1160" i="2"/>
  <c r="U1354" i="2"/>
  <c r="T1159" i="2"/>
  <c r="P1354" i="2"/>
  <c r="N1832" i="2"/>
  <c r="P1605" i="2"/>
  <c r="E1591" i="2"/>
  <c r="M1397" i="2"/>
  <c r="S1381" i="2"/>
  <c r="I1381" i="2"/>
  <c r="C1534" i="2"/>
  <c r="J1462" i="2"/>
  <c r="I1267" i="2"/>
  <c r="E1462" i="2"/>
  <c r="D1267" i="2"/>
  <c r="U1461" i="2"/>
  <c r="T1266" i="2"/>
  <c r="H1559" i="2"/>
  <c r="T1640" i="2"/>
  <c r="F1446" i="2"/>
  <c r="E1251" i="2"/>
  <c r="V1445" i="2"/>
  <c r="U1250" i="2"/>
  <c r="Q1445" i="2"/>
  <c r="P1250" i="2"/>
  <c r="J1451" i="2"/>
  <c r="I1256" i="2"/>
  <c r="W1061" i="2"/>
  <c r="V866" i="2"/>
  <c r="W1060" i="2"/>
  <c r="V865" i="2"/>
  <c r="R1060" i="2"/>
  <c r="Q865" i="2"/>
  <c r="K1450" i="2"/>
  <c r="J1255" i="2"/>
  <c r="C1061" i="2"/>
  <c r="W865" i="2"/>
  <c r="C1060" i="2"/>
  <c r="P1560" i="2"/>
  <c r="H1382" i="2"/>
  <c r="N1366" i="2"/>
  <c r="D1366" i="2"/>
  <c r="K1713" i="2"/>
  <c r="N1458" i="2"/>
  <c r="M1263" i="2"/>
  <c r="I1458" i="2"/>
  <c r="H1263" i="2"/>
  <c r="D1458" i="2"/>
  <c r="C1263" i="2"/>
  <c r="M1395" i="2"/>
  <c r="L1200" i="2"/>
  <c r="H1395" i="2"/>
  <c r="G1200" i="2"/>
  <c r="C1395" i="2"/>
  <c r="U1720" i="2"/>
  <c r="V1530" i="2"/>
  <c r="G1173" i="2"/>
  <c r="C1368" i="2"/>
  <c r="W1172" i="2"/>
  <c r="S1367" i="2"/>
  <c r="C1799" i="2"/>
  <c r="H1601" i="2"/>
  <c r="R1546" i="2"/>
  <c r="D1352" i="2"/>
  <c r="C1157" i="2"/>
  <c r="T1351" i="2"/>
  <c r="S1156" i="2"/>
  <c r="O1351" i="2"/>
  <c r="S1783" i="2"/>
  <c r="N1599" i="2"/>
  <c r="R1566" i="2"/>
  <c r="I1385" i="2"/>
  <c r="O1369" i="2"/>
  <c r="E1369" i="2"/>
  <c r="L1716" i="2"/>
  <c r="I1459" i="2"/>
  <c r="H1264" i="2"/>
  <c r="D1459" i="2"/>
  <c r="C1264" i="2"/>
  <c r="T1458" i="2"/>
  <c r="S1263" i="2"/>
  <c r="D1547" i="2"/>
  <c r="S1637" i="2"/>
  <c r="E1443" i="2"/>
  <c r="D1248" i="2"/>
  <c r="U1442" i="2"/>
  <c r="T1247" i="2"/>
  <c r="P1442" i="2"/>
  <c r="O1247" i="2"/>
  <c r="I1448" i="2"/>
  <c r="H1253" i="2"/>
  <c r="V1058" i="2"/>
  <c r="U863" i="2"/>
  <c r="V1057" i="2"/>
  <c r="U862" i="2"/>
  <c r="Q1057" i="2"/>
  <c r="P862" i="2"/>
  <c r="J1447" i="2"/>
  <c r="I1252" i="2"/>
  <c r="W1057" i="2"/>
  <c r="V862" i="2"/>
  <c r="W1056" i="2"/>
  <c r="H1536" i="2"/>
  <c r="D1370" i="2"/>
  <c r="J1354" i="2"/>
  <c r="U1353" i="2"/>
  <c r="G1701" i="2"/>
  <c r="M1455" i="2"/>
  <c r="L1260" i="2"/>
  <c r="H1455" i="2"/>
  <c r="G1260" i="2"/>
  <c r="C1455" i="2"/>
  <c r="W1259" i="2"/>
  <c r="L1392" i="2"/>
  <c r="K1197" i="2"/>
  <c r="G1392" i="2"/>
  <c r="F1197" i="2"/>
  <c r="W1391" i="2"/>
  <c r="Q1708" i="2"/>
  <c r="G1525" i="2"/>
  <c r="F1170" i="2"/>
  <c r="W1364" i="2"/>
  <c r="V1169" i="2"/>
  <c r="R1364" i="2"/>
  <c r="H1750" i="2"/>
  <c r="F1595" i="2"/>
  <c r="Q1543" i="2"/>
  <c r="C1349" i="2"/>
  <c r="W1153" i="2"/>
  <c r="S1348" i="2"/>
  <c r="R1153" i="2"/>
  <c r="N1348" i="2"/>
  <c r="C1735" i="2"/>
  <c r="L1593" i="2"/>
  <c r="J1542" i="2"/>
  <c r="E1373" i="2"/>
  <c r="K1357" i="2"/>
  <c r="V1356" i="2"/>
  <c r="H1704" i="2"/>
  <c r="H1456" i="2"/>
  <c r="G1261" i="2"/>
  <c r="C1456" i="2"/>
  <c r="W1260" i="2"/>
  <c r="S1455" i="2"/>
  <c r="R1260" i="2"/>
  <c r="U1534" i="2"/>
  <c r="R1634" i="2"/>
  <c r="D1440" i="2"/>
  <c r="C1245" i="2"/>
  <c r="T1439" i="2"/>
  <c r="S1244" i="2"/>
  <c r="O1439" i="2"/>
  <c r="N1244" i="2"/>
  <c r="H1445" i="2"/>
  <c r="G1250" i="2"/>
  <c r="U1055" i="2"/>
  <c r="T860" i="2"/>
  <c r="U1054" i="2"/>
  <c r="T859" i="2"/>
  <c r="P1054" i="2"/>
  <c r="O859" i="2"/>
  <c r="I1444" i="2"/>
  <c r="H1249" i="2"/>
  <c r="V1054" i="2"/>
  <c r="U859" i="2"/>
  <c r="V1053" i="2"/>
  <c r="H1512" i="2"/>
  <c r="U1357" i="2"/>
  <c r="F1342" i="2"/>
  <c r="Q1341" i="2"/>
  <c r="C1689" i="2"/>
  <c r="L1452" i="2"/>
  <c r="K1257" i="2"/>
  <c r="G1452" i="2"/>
  <c r="F1257" i="2"/>
  <c r="W1451" i="2"/>
  <c r="V1256" i="2"/>
  <c r="G1377" i="2"/>
  <c r="F1182" i="2"/>
  <c r="W1376" i="2"/>
  <c r="V1181" i="2"/>
  <c r="R1376" i="2"/>
  <c r="R1647" i="2"/>
  <c r="R1494" i="2"/>
  <c r="V1154" i="2"/>
  <c r="R1349" i="2"/>
  <c r="Q1154" i="2"/>
  <c r="M1349" i="2"/>
  <c r="U1732" i="2"/>
  <c r="Q1564" i="2"/>
  <c r="T1528" i="2"/>
  <c r="S1333" i="2"/>
  <c r="O1528" i="2"/>
  <c r="N1333" i="2"/>
  <c r="J1528" i="2"/>
  <c r="I1333" i="2"/>
  <c r="H1725" i="2"/>
  <c r="W1562" i="2"/>
  <c r="T1420" i="2"/>
  <c r="F1312" i="2"/>
  <c r="L1296" i="2"/>
  <c r="W1295" i="2"/>
  <c r="K1665" i="2"/>
  <c r="C1441" i="2"/>
  <c r="W1245" i="2"/>
  <c r="S1440" i="2"/>
  <c r="R1245" i="2"/>
  <c r="N1440" i="2"/>
  <c r="M1245" i="2"/>
  <c r="R1668" i="2"/>
  <c r="M1619" i="2"/>
  <c r="T1424" i="2"/>
  <c r="S1229" i="2"/>
  <c r="O1424" i="2"/>
  <c r="N1229" i="2"/>
  <c r="J1424" i="2"/>
  <c r="I1229" i="2"/>
  <c r="C1430" i="2"/>
  <c r="W1234" i="2"/>
  <c r="P1040" i="2"/>
  <c r="O845" i="2"/>
  <c r="P1039" i="2"/>
  <c r="O844" i="2"/>
  <c r="K1039" i="2"/>
  <c r="J844" i="2"/>
  <c r="D1429" i="2"/>
  <c r="C1234" i="2"/>
  <c r="Q1039" i="2"/>
  <c r="P844" i="2"/>
  <c r="Q1038" i="2"/>
  <c r="J1390" i="2"/>
  <c r="V1296" i="2"/>
  <c r="G1281" i="2"/>
  <c r="R1280" i="2"/>
  <c r="S1657" i="2"/>
  <c r="G1437" i="2"/>
  <c r="F1242" i="2"/>
  <c r="W1436" i="2"/>
  <c r="V1241" i="2"/>
  <c r="R1436" i="2"/>
  <c r="Q1241" i="2"/>
  <c r="Q1665" i="2"/>
  <c r="R1618" i="2"/>
  <c r="D1424" i="2"/>
  <c r="C1229" i="2"/>
  <c r="T1423" i="2"/>
  <c r="S1228" i="2"/>
  <c r="O1423" i="2"/>
  <c r="N1228" i="2"/>
  <c r="H1429" i="2"/>
  <c r="G1234" i="2"/>
  <c r="U1039" i="2"/>
  <c r="T844" i="2"/>
  <c r="U1038" i="2"/>
  <c r="T843" i="2"/>
  <c r="P1038" i="2"/>
  <c r="O843" i="2"/>
  <c r="I1428" i="2"/>
  <c r="H1233" i="2"/>
  <c r="V1038" i="2"/>
  <c r="U843" i="2"/>
  <c r="V1037" i="2"/>
  <c r="R1286" i="2"/>
  <c r="E1245" i="2"/>
  <c r="K1229" i="2"/>
  <c r="P1242" i="2"/>
  <c r="U1631" i="2"/>
  <c r="H1424" i="2"/>
  <c r="G1229" i="2"/>
  <c r="C1424" i="2"/>
  <c r="W1228" i="2"/>
  <c r="S1423" i="2"/>
  <c r="R1228" i="2"/>
  <c r="Q1601" i="2"/>
  <c r="R1602" i="2"/>
  <c r="D1408" i="2"/>
  <c r="C1213" i="2"/>
  <c r="T1407" i="2"/>
  <c r="S1212" i="2"/>
  <c r="O1407" i="2"/>
  <c r="N1212" i="2"/>
  <c r="H1413" i="2"/>
  <c r="G1218" i="2"/>
  <c r="U1023" i="2"/>
  <c r="T828" i="2"/>
  <c r="U1022" i="2"/>
  <c r="T827" i="2"/>
  <c r="P1022" i="2"/>
  <c r="O827" i="2"/>
  <c r="I1412" i="2"/>
  <c r="H1217" i="2"/>
  <c r="V1022" i="2"/>
  <c r="U827" i="2"/>
  <c r="V1021" i="2"/>
  <c r="H1256" i="2"/>
  <c r="U1229" i="2"/>
  <c r="F1214" i="2"/>
  <c r="C1235" i="2"/>
  <c r="H1624" i="2"/>
  <c r="L1420" i="2"/>
  <c r="K1225" i="2"/>
  <c r="G1420" i="2"/>
  <c r="F1225" i="2"/>
  <c r="W1419" i="2"/>
  <c r="V1224" i="2"/>
  <c r="L1586" i="2"/>
  <c r="V1598" i="2"/>
  <c r="H1404" i="2"/>
  <c r="G1209" i="2"/>
  <c r="C1404" i="2"/>
  <c r="W1208" i="2"/>
  <c r="S1403" i="2"/>
  <c r="R1208" i="2"/>
  <c r="L1409" i="2"/>
  <c r="K1214" i="2"/>
  <c r="D1020" i="2"/>
  <c r="C825" i="2"/>
  <c r="D1019" i="2"/>
  <c r="C824" i="2"/>
  <c r="T1018" i="2"/>
  <c r="S823" i="2"/>
  <c r="M1408" i="2"/>
  <c r="L1213" i="2"/>
  <c r="E1019" i="2"/>
  <c r="D824" i="2"/>
  <c r="E1018" i="2"/>
  <c r="W816" i="2"/>
  <c r="S1011" i="2"/>
  <c r="R816" i="2"/>
  <c r="G1402" i="2"/>
  <c r="F1207" i="2"/>
  <c r="T1012" i="2"/>
  <c r="S817" i="2"/>
  <c r="T1011" i="2"/>
  <c r="S816" i="2"/>
  <c r="O1011" i="2"/>
  <c r="N816" i="2"/>
  <c r="H1401" i="2"/>
  <c r="G1206" i="2"/>
  <c r="U1011" i="2"/>
  <c r="T816" i="2"/>
  <c r="U1010" i="2"/>
  <c r="T815" i="2"/>
  <c r="P1010" i="2"/>
  <c r="O815" i="2"/>
  <c r="L1009" i="2"/>
  <c r="K814" i="2"/>
  <c r="U619" i="2"/>
  <c r="T424" i="2"/>
  <c r="P619" i="2"/>
  <c r="O424" i="2"/>
  <c r="S619" i="2"/>
  <c r="I1243" i="2"/>
  <c r="K2044" i="2"/>
  <c r="S1936" i="2"/>
  <c r="C2023" i="2"/>
  <c r="I2042" i="2"/>
  <c r="O2040" i="2"/>
  <c r="W1932" i="2"/>
  <c r="C1741" i="2"/>
  <c r="W1901" i="2"/>
  <c r="E1806" i="2"/>
  <c r="M1883" i="2"/>
  <c r="D1661" i="2"/>
  <c r="D1602" i="2"/>
  <c r="L1543" i="2"/>
  <c r="V1474" i="2"/>
  <c r="L1876" i="2"/>
  <c r="D1755" i="2"/>
  <c r="H1657" i="2"/>
  <c r="M1549" i="2"/>
  <c r="Q1685" i="2"/>
  <c r="J1422" i="2"/>
  <c r="U1811" i="2"/>
  <c r="O1739" i="2"/>
  <c r="C1558" i="2"/>
  <c r="F1572" i="2"/>
  <c r="J1677" i="2"/>
  <c r="Q1171" i="2"/>
  <c r="M1366" i="2"/>
  <c r="L1171" i="2"/>
  <c r="H1366" i="2"/>
  <c r="P1774" i="2"/>
  <c r="G1598" i="2"/>
  <c r="G1545" i="2"/>
  <c r="N1350" i="2"/>
  <c r="M1155" i="2"/>
  <c r="I1350" i="2"/>
  <c r="H1155" i="2"/>
  <c r="D1350" i="2"/>
  <c r="K1759" i="2"/>
  <c r="M1596" i="2"/>
  <c r="N1699" i="2"/>
  <c r="K1521" i="2"/>
  <c r="U1167" i="2"/>
  <c r="Q1362" i="2"/>
  <c r="P1167" i="2"/>
  <c r="L1362" i="2"/>
  <c r="M1908" i="2"/>
  <c r="O1590" i="2"/>
  <c r="K1541" i="2"/>
  <c r="D1645" i="2"/>
  <c r="I1537" i="2"/>
  <c r="M1673" i="2"/>
  <c r="F1410" i="2"/>
  <c r="Q1799" i="2"/>
  <c r="P1885" i="2"/>
  <c r="T1545" i="2"/>
  <c r="D1566" i="2"/>
  <c r="T1579" i="2"/>
  <c r="P1168" i="2"/>
  <c r="L1363" i="2"/>
  <c r="K1168" i="2"/>
  <c r="G1363" i="2"/>
  <c r="U1725" i="2"/>
  <c r="E1592" i="2"/>
  <c r="F1542" i="2"/>
  <c r="M1347" i="2"/>
  <c r="L1152" i="2"/>
  <c r="H1347" i="2"/>
  <c r="G1152" i="2"/>
  <c r="C1347" i="2"/>
  <c r="L1905" i="2"/>
  <c r="K1590" i="2"/>
  <c r="J1687" i="2"/>
  <c r="I1515" i="2"/>
  <c r="T1164" i="2"/>
  <c r="P1359" i="2"/>
  <c r="O1164" i="2"/>
  <c r="K1359" i="2"/>
  <c r="R1859" i="2"/>
  <c r="M1584" i="2"/>
  <c r="J1538" i="2"/>
  <c r="U1632" i="2"/>
  <c r="I1720" i="2"/>
  <c r="I1661" i="2"/>
  <c r="W1397" i="2"/>
  <c r="M1787" i="2"/>
  <c r="U1836" i="2"/>
  <c r="P1533" i="2"/>
  <c r="W1559" i="2"/>
  <c r="E1677" i="2"/>
  <c r="O1165" i="2"/>
  <c r="K1360" i="2"/>
  <c r="J1165" i="2"/>
  <c r="F1360" i="2"/>
  <c r="V1871" i="2"/>
  <c r="C1586" i="2"/>
  <c r="E1539" i="2"/>
  <c r="L1344" i="2"/>
  <c r="K1149" i="2"/>
  <c r="G1344" i="2"/>
  <c r="F1149" i="2"/>
  <c r="W1343" i="2"/>
  <c r="Q1856" i="2"/>
  <c r="I1584" i="2"/>
  <c r="F1675" i="2"/>
  <c r="G1509" i="2"/>
  <c r="S1161" i="2"/>
  <c r="O1356" i="2"/>
  <c r="N1161" i="2"/>
  <c r="J1356" i="2"/>
  <c r="W1810" i="2"/>
  <c r="K1578" i="2"/>
  <c r="I1535" i="2"/>
  <c r="M1608" i="2"/>
  <c r="E1708" i="2"/>
  <c r="E1649" i="2"/>
  <c r="S1385" i="2"/>
  <c r="I1775" i="2"/>
  <c r="E1788" i="2"/>
  <c r="D1716" i="2"/>
  <c r="U1553" i="2"/>
  <c r="T1594" i="2"/>
  <c r="N1162" i="2"/>
  <c r="J1357" i="2"/>
  <c r="I1162" i="2"/>
  <c r="E1357" i="2"/>
  <c r="F1823" i="2"/>
  <c r="V1579" i="2"/>
  <c r="D1536" i="2"/>
  <c r="K1341" i="2"/>
  <c r="J1146" i="2"/>
  <c r="F1341" i="2"/>
  <c r="E1146" i="2"/>
  <c r="V1340" i="2"/>
  <c r="V1807" i="2"/>
  <c r="G1578" i="2"/>
  <c r="W1662" i="2"/>
  <c r="E1503" i="2"/>
  <c r="R1158" i="2"/>
  <c r="N1353" i="2"/>
  <c r="M1158" i="2"/>
  <c r="I1353" i="2"/>
  <c r="J1763" i="2"/>
  <c r="I1572" i="2"/>
  <c r="H1532" i="2"/>
  <c r="O1337" i="2"/>
  <c r="N1142" i="2"/>
  <c r="J1337" i="2"/>
  <c r="I1142" i="2"/>
  <c r="E1337" i="2"/>
  <c r="R1652" i="2"/>
  <c r="M1415" i="2"/>
  <c r="F1505" i="2"/>
  <c r="E1310" i="2"/>
  <c r="V1504" i="2"/>
  <c r="U1309" i="2"/>
  <c r="I1731" i="2"/>
  <c r="U1683" i="2"/>
  <c r="G1489" i="2"/>
  <c r="F1294" i="2"/>
  <c r="W1488" i="2"/>
  <c r="V1293" i="2"/>
  <c r="R1488" i="2"/>
  <c r="Q1293" i="2"/>
  <c r="M1727" i="2"/>
  <c r="V1682" i="2"/>
  <c r="F1154" i="2"/>
  <c r="S1726" i="2"/>
  <c r="T1527" i="2"/>
  <c r="V1196" i="2"/>
  <c r="D1596" i="2"/>
  <c r="K1401" i="2"/>
  <c r="J1206" i="2"/>
  <c r="F1401" i="2"/>
  <c r="E1206" i="2"/>
  <c r="V1400" i="2"/>
  <c r="U1205" i="2"/>
  <c r="L1705" i="2"/>
  <c r="U1579" i="2"/>
  <c r="G1385" i="2"/>
  <c r="F1190" i="2"/>
  <c r="W1384" i="2"/>
  <c r="V1189" i="2"/>
  <c r="R1384" i="2"/>
  <c r="Q1189" i="2"/>
  <c r="K1390" i="2"/>
  <c r="J1195" i="2"/>
  <c r="C1001" i="2"/>
  <c r="W805" i="2"/>
  <c r="C1000" i="2"/>
  <c r="W804" i="2"/>
  <c r="S999" i="2"/>
  <c r="R804" i="2"/>
  <c r="L1389" i="2"/>
  <c r="K1194" i="2"/>
  <c r="D1000" i="2"/>
  <c r="C805" i="2"/>
  <c r="D999" i="2"/>
  <c r="S1528" i="2"/>
  <c r="S1825" i="2"/>
  <c r="O1512" i="2"/>
  <c r="I1189" i="2"/>
  <c r="H1592" i="2"/>
  <c r="O1397" i="2"/>
  <c r="N1202" i="2"/>
  <c r="J1397" i="2"/>
  <c r="I1202" i="2"/>
  <c r="E1397" i="2"/>
  <c r="G1529" i="2"/>
  <c r="N1334" i="2"/>
  <c r="N1529" i="2"/>
  <c r="I1334" i="2"/>
  <c r="E1529" i="2"/>
  <c r="D1334" i="2"/>
  <c r="C1607" i="2"/>
  <c r="K1409" i="2"/>
  <c r="E1502" i="2"/>
  <c r="D1307" i="2"/>
  <c r="U1501" i="2"/>
  <c r="T1306" i="2"/>
  <c r="H1719" i="2"/>
  <c r="T1680" i="2"/>
  <c r="F1486" i="2"/>
  <c r="E1291" i="2"/>
  <c r="V1485" i="2"/>
  <c r="U1290" i="2"/>
  <c r="Q1485" i="2"/>
  <c r="P1290" i="2"/>
  <c r="L1715" i="2"/>
  <c r="U1679" i="2"/>
  <c r="W1141" i="2"/>
  <c r="W1837" i="2"/>
  <c r="P1515" i="2"/>
  <c r="T1190" i="2"/>
  <c r="C1593" i="2"/>
  <c r="J1398" i="2"/>
  <c r="I1203" i="2"/>
  <c r="E1398" i="2"/>
  <c r="D1203" i="2"/>
  <c r="U1397" i="2"/>
  <c r="T1202" i="2"/>
  <c r="H1693" i="2"/>
  <c r="T1576" i="2"/>
  <c r="F1382" i="2"/>
  <c r="E1187" i="2"/>
  <c r="V1381" i="2"/>
  <c r="U1186" i="2"/>
  <c r="Q1381" i="2"/>
  <c r="P1186" i="2"/>
  <c r="J1387" i="2"/>
  <c r="I1192" i="2"/>
  <c r="W997" i="2"/>
  <c r="V802" i="2"/>
  <c r="W996" i="2"/>
  <c r="V801" i="2"/>
  <c r="R996" i="2"/>
  <c r="Q801" i="2"/>
  <c r="K1386" i="2"/>
  <c r="J1191" i="2"/>
  <c r="C997" i="2"/>
  <c r="W801" i="2"/>
  <c r="C996" i="2"/>
  <c r="O1516" i="2"/>
  <c r="C1777" i="2"/>
  <c r="K1500" i="2"/>
  <c r="G1183" i="2"/>
  <c r="G1589" i="2"/>
  <c r="N1394" i="2"/>
  <c r="M1199" i="2"/>
  <c r="I1394" i="2"/>
  <c r="H1199" i="2"/>
  <c r="D1394" i="2"/>
  <c r="N1526" i="2"/>
  <c r="M1331" i="2"/>
  <c r="I1526" i="2"/>
  <c r="H1331" i="2"/>
  <c r="D1526" i="2"/>
  <c r="C1331" i="2"/>
  <c r="P1582" i="2"/>
  <c r="I1403" i="2"/>
  <c r="D1499" i="2"/>
  <c r="C1304" i="2"/>
  <c r="T1498" i="2"/>
  <c r="S1303" i="2"/>
  <c r="D1707" i="2"/>
  <c r="S1677" i="2"/>
  <c r="E1483" i="2"/>
  <c r="D1288" i="2"/>
  <c r="U1482" i="2"/>
  <c r="T1287" i="2"/>
  <c r="P1482" i="2"/>
  <c r="O1287" i="2"/>
  <c r="H1703" i="2"/>
  <c r="T1676" i="2"/>
  <c r="P1519" i="2"/>
  <c r="G1789" i="2"/>
  <c r="L1503" i="2"/>
  <c r="R1184" i="2"/>
  <c r="W1589" i="2"/>
  <c r="I1395" i="2"/>
  <c r="H1200" i="2"/>
  <c r="D1395" i="2"/>
  <c r="C1200" i="2"/>
  <c r="T1394" i="2"/>
  <c r="S1199" i="2"/>
  <c r="D1681" i="2"/>
  <c r="S1573" i="2"/>
  <c r="E1379" i="2"/>
  <c r="D1184" i="2"/>
  <c r="U1378" i="2"/>
  <c r="T1183" i="2"/>
  <c r="P1378" i="2"/>
  <c r="O1183" i="2"/>
  <c r="I1384" i="2"/>
  <c r="H1189" i="2"/>
  <c r="V994" i="2"/>
  <c r="U799" i="2"/>
  <c r="V993" i="2"/>
  <c r="U798" i="2"/>
  <c r="Q993" i="2"/>
  <c r="P798" i="2"/>
  <c r="J1383" i="2"/>
  <c r="I1188" i="2"/>
  <c r="W993" i="2"/>
  <c r="V798" i="2"/>
  <c r="W992" i="2"/>
  <c r="K1504" i="2"/>
  <c r="H1728" i="2"/>
  <c r="G1488" i="2"/>
  <c r="E1177" i="2"/>
  <c r="F1586" i="2"/>
  <c r="M1391" i="2"/>
  <c r="L1196" i="2"/>
  <c r="H1391" i="2"/>
  <c r="G1196" i="2"/>
  <c r="C1391" i="2"/>
  <c r="I1511" i="2"/>
  <c r="H1316" i="2"/>
  <c r="D1511" i="2"/>
  <c r="C1316" i="2"/>
  <c r="T1510" i="2"/>
  <c r="S1315" i="2"/>
  <c r="V1655" i="2"/>
  <c r="T1372" i="2"/>
  <c r="T1483" i="2"/>
  <c r="S1288" i="2"/>
  <c r="O1483" i="2"/>
  <c r="N1288" i="2"/>
  <c r="E1646" i="2"/>
  <c r="N1662" i="2"/>
  <c r="U1467" i="2"/>
  <c r="T1272" i="2"/>
  <c r="P1467" i="2"/>
  <c r="O1272" i="2"/>
  <c r="K1467" i="2"/>
  <c r="J1272" i="2"/>
  <c r="I1642" i="2"/>
  <c r="O1661" i="2"/>
  <c r="Q1458" i="2"/>
  <c r="N1545" i="2"/>
  <c r="M1442" i="2"/>
  <c r="G1747" i="2"/>
  <c r="R1574" i="2"/>
  <c r="D1380" i="2"/>
  <c r="C1185" i="2"/>
  <c r="T1379" i="2"/>
  <c r="S1184" i="2"/>
  <c r="O1379" i="2"/>
  <c r="F1793" i="2"/>
  <c r="U1624" i="2"/>
  <c r="N1558" i="2"/>
  <c r="U1363" i="2"/>
  <c r="T1168" i="2"/>
  <c r="P1363" i="2"/>
  <c r="O1168" i="2"/>
  <c r="K1363" i="2"/>
  <c r="U1181" i="2"/>
  <c r="D1369" i="2"/>
  <c r="C1174" i="2"/>
  <c r="Q979" i="2"/>
  <c r="P784" i="2"/>
  <c r="Q978" i="2"/>
  <c r="P783" i="2"/>
  <c r="L978" i="2"/>
  <c r="W1179" i="2"/>
  <c r="E1368" i="2"/>
  <c r="D1173" i="2"/>
  <c r="R978" i="2"/>
  <c r="Q783" i="2"/>
  <c r="R977" i="2"/>
  <c r="L1443" i="2"/>
  <c r="K1679" i="2"/>
  <c r="H1427" i="2"/>
  <c r="E1820" i="2"/>
  <c r="V1570" i="2"/>
  <c r="H1376" i="2"/>
  <c r="G1181" i="2"/>
  <c r="C1376" i="2"/>
  <c r="W1180" i="2"/>
  <c r="S1375" i="2"/>
  <c r="W1780" i="2"/>
  <c r="J1623" i="2"/>
  <c r="S1557" i="2"/>
  <c r="E1363" i="2"/>
  <c r="D1168" i="2"/>
  <c r="U1362" i="2"/>
  <c r="S2315" i="2"/>
  <c r="J2096" i="2"/>
  <c r="O2165" i="2"/>
  <c r="F2170" i="2"/>
  <c r="F2137" i="2"/>
  <c r="W2046" i="2"/>
  <c r="E2305" i="2"/>
  <c r="F2184" i="2"/>
  <c r="U2242" i="2"/>
  <c r="J2046" i="2"/>
  <c r="M2134" i="2"/>
  <c r="R2122" i="2"/>
  <c r="W2127" i="2"/>
  <c r="W1870" i="2"/>
  <c r="O2463" i="2"/>
  <c r="Q1836" i="2"/>
  <c r="V1835" i="2"/>
  <c r="E1832" i="2"/>
  <c r="W1666" i="2"/>
  <c r="H1723" i="2"/>
  <c r="G1595" i="2"/>
  <c r="P1727" i="2"/>
  <c r="M2155" i="2"/>
  <c r="L1821" i="2"/>
  <c r="Q1820" i="2"/>
  <c r="U1816" i="2"/>
  <c r="R1651" i="2"/>
  <c r="O2119" i="2"/>
  <c r="S2115" i="2"/>
  <c r="S1858" i="2"/>
  <c r="Q2167" i="2"/>
  <c r="M1824" i="2"/>
  <c r="R1823" i="2"/>
  <c r="V1819" i="2"/>
  <c r="S1654" i="2"/>
  <c r="D1711" i="2"/>
  <c r="C1583" i="2"/>
  <c r="Q1873" i="2"/>
  <c r="H2279" i="2"/>
  <c r="H1809" i="2"/>
  <c r="M1808" i="2"/>
  <c r="Q1804" i="2"/>
  <c r="N1639" i="2"/>
  <c r="R2155" i="2"/>
  <c r="V2151" i="2"/>
  <c r="T1797" i="2"/>
  <c r="M2117" i="2"/>
  <c r="N1763" i="2"/>
  <c r="S1762" i="2"/>
  <c r="W1758" i="2"/>
  <c r="T1593" i="2"/>
  <c r="E1650" i="2"/>
  <c r="H1717" i="2"/>
  <c r="Q1824" i="2"/>
  <c r="P2153" i="2"/>
  <c r="I1748" i="2"/>
  <c r="N1747" i="2"/>
  <c r="R1743" i="2"/>
  <c r="O1578" i="2"/>
  <c r="C2095" i="2"/>
  <c r="O2045" i="2"/>
  <c r="N2142" i="2"/>
  <c r="F2042" i="2"/>
  <c r="G2041" i="2"/>
  <c r="S2041" i="2"/>
  <c r="O2057" i="2"/>
  <c r="K1883" i="2"/>
  <c r="Q1881" i="2"/>
  <c r="S2118" i="2"/>
  <c r="T1919" i="2"/>
  <c r="M2156" i="2"/>
  <c r="C1970" i="2"/>
  <c r="G1966" i="2"/>
  <c r="E2074" i="2"/>
  <c r="E1849" i="2"/>
  <c r="K1847" i="2"/>
  <c r="S1739" i="2"/>
  <c r="N2022" i="2"/>
  <c r="J1848" i="2"/>
  <c r="P1846" i="2"/>
  <c r="C1739" i="2"/>
  <c r="R2018" i="2"/>
  <c r="N1844" i="2"/>
  <c r="T1842" i="2"/>
  <c r="G1766" i="2"/>
  <c r="T1542" i="2"/>
  <c r="C1679" i="2"/>
  <c r="K1620" i="2"/>
  <c r="E1658" i="2"/>
  <c r="F1794" i="2"/>
  <c r="N1863" i="2"/>
  <c r="E1662" i="2"/>
  <c r="G1735" i="2"/>
  <c r="H1666" i="2"/>
  <c r="P1607" i="2"/>
  <c r="Q1743" i="2"/>
  <c r="V1674" i="2"/>
  <c r="G1897" i="2"/>
  <c r="S1674" i="2"/>
  <c r="S1615" i="2"/>
  <c r="F1557" i="2"/>
  <c r="L1412" i="2"/>
  <c r="J2107" i="2"/>
  <c r="M2103" i="2"/>
  <c r="Q2099" i="2"/>
  <c r="Q2176" i="2"/>
  <c r="U1833" i="2"/>
  <c r="F1832" i="2"/>
  <c r="N1724" i="2"/>
  <c r="I2007" i="2"/>
  <c r="E1833" i="2"/>
  <c r="K1831" i="2"/>
  <c r="O1918" i="2"/>
  <c r="M2003" i="2"/>
  <c r="I1829" i="2"/>
  <c r="O1827" i="2"/>
  <c r="W1750" i="2"/>
  <c r="S1722" i="2"/>
  <c r="S1663" i="2"/>
  <c r="F1605" i="2"/>
  <c r="H1667" i="2"/>
  <c r="I1803" i="2"/>
  <c r="E1900" i="2"/>
  <c r="Q1698" i="2"/>
  <c r="M1753" i="2"/>
  <c r="K1675" i="2"/>
  <c r="S1616" i="2"/>
  <c r="T1752" i="2"/>
  <c r="D1684" i="2"/>
  <c r="J1906" i="2"/>
  <c r="V1683" i="2"/>
  <c r="V1624" i="2"/>
  <c r="I1566" i="2"/>
  <c r="R2057" i="2"/>
  <c r="K1994" i="2"/>
  <c r="O1990" i="2"/>
  <c r="K1937" i="2"/>
  <c r="G1855" i="2"/>
  <c r="M1853" i="2"/>
  <c r="U1745" i="2"/>
  <c r="P2028" i="2"/>
  <c r="L1854" i="2"/>
  <c r="R1852" i="2"/>
  <c r="E1745" i="2"/>
  <c r="T2024" i="2"/>
  <c r="P1850" i="2"/>
  <c r="V1848" i="2"/>
  <c r="I1772" i="2"/>
  <c r="V1548" i="2"/>
  <c r="E1685" i="2"/>
  <c r="M1626" i="2"/>
  <c r="G1664" i="2"/>
  <c r="H1800" i="2"/>
  <c r="V1887" i="2"/>
  <c r="M1686" i="2"/>
  <c r="K1747" i="2"/>
  <c r="J1672" i="2"/>
  <c r="R1613" i="2"/>
  <c r="S1749" i="2"/>
  <c r="C1681" i="2"/>
  <c r="I1903" i="2"/>
  <c r="U1680" i="2"/>
  <c r="U1621" i="2"/>
  <c r="H1563" i="2"/>
  <c r="P1424" i="2"/>
  <c r="Q1916" i="2"/>
  <c r="Q1953" i="2"/>
  <c r="O2026" i="2"/>
  <c r="H1755" i="2"/>
  <c r="T1977" i="2"/>
  <c r="D1743" i="2"/>
  <c r="U2128" i="2"/>
  <c r="W1740" i="2"/>
  <c r="M1788" i="2"/>
  <c r="Q1784" i="2"/>
  <c r="J1823" i="2"/>
  <c r="P1608" i="2"/>
  <c r="H1949" i="2"/>
  <c r="S1667" i="2"/>
  <c r="O1818" i="2"/>
  <c r="T1765" i="2"/>
  <c r="C1762" i="2"/>
  <c r="U1596" i="2"/>
  <c r="F1653" i="2"/>
  <c r="I1606" i="2"/>
  <c r="J1742" i="2"/>
  <c r="P1904" i="2"/>
  <c r="Q1649" i="2"/>
  <c r="T1837" i="2"/>
  <c r="L1614" i="2"/>
  <c r="T1555" i="2"/>
  <c r="C1692" i="2"/>
  <c r="E1623" i="2"/>
  <c r="O1804" i="2"/>
  <c r="W1622" i="2"/>
  <c r="W1563" i="2"/>
  <c r="F1700" i="2"/>
  <c r="S2059" i="2"/>
  <c r="C1945" i="2"/>
  <c r="G1941" i="2"/>
  <c r="L2018" i="2"/>
  <c r="H1794" i="2"/>
  <c r="N1792" i="2"/>
  <c r="R1879" i="2"/>
  <c r="Q1967" i="2"/>
  <c r="M1793" i="2"/>
  <c r="S1791" i="2"/>
  <c r="W1878" i="2"/>
  <c r="U1963" i="2"/>
  <c r="Q1789" i="2"/>
  <c r="W1787" i="2"/>
  <c r="O1905" i="2"/>
  <c r="F1683" i="2"/>
  <c r="F1624" i="2"/>
  <c r="N1565" i="2"/>
  <c r="H1603" i="2"/>
  <c r="I1739" i="2"/>
  <c r="N1898" i="2"/>
  <c r="M1637" i="2"/>
  <c r="S1834" i="2"/>
  <c r="K1611" i="2"/>
  <c r="S1552" i="2"/>
  <c r="W1688" i="2"/>
  <c r="D1620" i="2"/>
  <c r="K1792" i="2"/>
  <c r="V1619" i="2"/>
  <c r="V1560" i="2"/>
  <c r="E1697" i="2"/>
  <c r="R1302" i="2"/>
  <c r="I2002" i="2"/>
  <c r="R2098" i="2"/>
  <c r="N2026" i="2"/>
  <c r="D1901" i="2"/>
  <c r="S1977" i="2"/>
  <c r="U1888" i="2"/>
  <c r="D2127" i="2"/>
  <c r="S1886" i="2"/>
  <c r="P1827" i="2"/>
  <c r="T1823" i="2"/>
  <c r="R1907" i="2"/>
  <c r="G1365" i="2"/>
  <c r="R2093" i="2"/>
  <c r="F1619" i="2"/>
  <c r="L1675" i="2"/>
  <c r="U1910" i="2"/>
  <c r="D1907" i="2"/>
  <c r="F1906" i="2"/>
  <c r="F1604" i="2"/>
  <c r="E1594" i="2"/>
  <c r="F1730" i="2"/>
  <c r="H1880" i="2"/>
  <c r="V1600" i="2"/>
  <c r="P1825" i="2"/>
  <c r="H1602" i="2"/>
  <c r="P1543" i="2"/>
  <c r="T1679" i="2"/>
  <c r="Q1634" i="2"/>
  <c r="C1465" i="2"/>
  <c r="D1917" i="2"/>
  <c r="P1856" i="2"/>
  <c r="K1659" i="2"/>
  <c r="H1910" i="2"/>
  <c r="S1600" i="2"/>
  <c r="Q1600" i="2"/>
  <c r="T1736" i="2"/>
  <c r="G2195" i="2"/>
  <c r="I2046" i="2"/>
  <c r="V2277" i="2"/>
  <c r="R2090" i="2"/>
  <c r="L2247" i="2"/>
  <c r="V2086" i="2"/>
  <c r="I2103" i="2"/>
  <c r="O1732" i="2"/>
  <c r="T1992" i="2"/>
  <c r="D1831" i="2"/>
  <c r="O1830" i="2"/>
  <c r="J1829" i="2"/>
  <c r="U1828" i="2"/>
  <c r="N1916" i="2"/>
  <c r="F2265" i="2"/>
  <c r="U2004" i="2"/>
  <c r="J2001" i="2"/>
  <c r="I1830" i="2"/>
  <c r="T1829" i="2"/>
  <c r="O1828" i="2"/>
  <c r="E1828" i="2"/>
  <c r="S1915" i="2"/>
  <c r="V2249" i="2"/>
  <c r="D2001" i="2"/>
  <c r="N1997" i="2"/>
  <c r="M1826" i="2"/>
  <c r="C1826" i="2"/>
  <c r="S1824" i="2"/>
  <c r="I1824" i="2"/>
  <c r="U1841" i="2"/>
  <c r="D1801" i="2"/>
  <c r="O1719" i="2"/>
  <c r="I1719" i="2"/>
  <c r="W1660" i="2"/>
  <c r="U1660" i="2"/>
  <c r="C1797" i="2"/>
  <c r="L1877" i="2"/>
  <c r="R1834" i="2"/>
  <c r="O1639" i="2"/>
  <c r="C1831" i="2"/>
  <c r="W1580" i="2"/>
  <c r="U1580" i="2"/>
  <c r="F1717" i="2"/>
  <c r="D1717" i="2"/>
  <c r="H1648" i="2"/>
  <c r="N1258" i="2"/>
  <c r="N1870" i="2"/>
  <c r="G1648" i="2"/>
  <c r="E1648" i="2"/>
  <c r="H1784" i="2"/>
  <c r="E1589" i="2"/>
  <c r="V1823" i="2"/>
  <c r="M1530" i="2"/>
  <c r="M1622" i="2"/>
  <c r="W1461" i="2"/>
  <c r="W1910" i="2"/>
  <c r="M1851" i="2"/>
  <c r="J1656" i="2"/>
  <c r="D1898" i="2"/>
  <c r="R1597" i="2"/>
  <c r="P1597" i="2"/>
  <c r="S1733" i="2"/>
  <c r="P1538" i="2"/>
  <c r="S1655" i="2"/>
  <c r="K1473" i="2"/>
  <c r="D2243" i="2"/>
  <c r="R2079" i="2"/>
  <c r="F1917" i="2"/>
  <c r="S1876" i="2"/>
  <c r="T1874" i="2"/>
  <c r="G2051" i="2"/>
  <c r="C1876" i="2"/>
  <c r="L2052" i="2"/>
  <c r="V2124" i="2"/>
  <c r="G1866" i="2"/>
  <c r="T1766" i="2"/>
  <c r="S1852" i="2"/>
  <c r="U1940" i="2"/>
  <c r="V1954" i="2"/>
  <c r="H2173" i="2"/>
  <c r="L1817" i="2"/>
  <c r="P1754" i="2"/>
  <c r="O1840" i="2"/>
  <c r="Q1928" i="2"/>
  <c r="L2414" i="2"/>
  <c r="U1932" i="2"/>
  <c r="P1929" i="2"/>
  <c r="E2011" i="2"/>
  <c r="M1838" i="2"/>
  <c r="P1730" i="2"/>
  <c r="N1913" i="2"/>
  <c r="C1886" i="2"/>
  <c r="O2059" i="2"/>
  <c r="K1884" i="2"/>
  <c r="G1882" i="2"/>
  <c r="O1777" i="2"/>
  <c r="U1718" i="2"/>
  <c r="L1798" i="2"/>
  <c r="P1697" i="2"/>
  <c r="S1638" i="2"/>
  <c r="G1530" i="2"/>
  <c r="J1912" i="2"/>
  <c r="T1873" i="2"/>
  <c r="S2046" i="2"/>
  <c r="W1871" i="2"/>
  <c r="C1870" i="2"/>
  <c r="M1570" i="2"/>
  <c r="L1706" i="2"/>
  <c r="D1774" i="2"/>
  <c r="D1819" i="2"/>
  <c r="L1778" i="2"/>
  <c r="L1700" i="2"/>
  <c r="J1863" i="2"/>
  <c r="W1948" i="2"/>
  <c r="O2034" i="2"/>
  <c r="N1859" i="2"/>
  <c r="F1945" i="2"/>
  <c r="I1558" i="2"/>
  <c r="K1694" i="2"/>
  <c r="Q1895" i="2"/>
  <c r="I1770" i="2"/>
  <c r="N1750" i="2"/>
  <c r="D1805" i="2"/>
  <c r="O1834" i="2"/>
  <c r="Q1630" i="2"/>
  <c r="Q1581" i="2"/>
  <c r="D1533" i="2"/>
  <c r="R1766" i="2"/>
  <c r="U1717" i="2"/>
  <c r="H1669" i="2"/>
  <c r="F1759" i="2"/>
  <c r="H1659" i="2"/>
  <c r="H1610" i="2"/>
  <c r="K1552" i="2"/>
  <c r="J1590" i="2"/>
  <c r="V1346" i="2"/>
  <c r="F1875" i="2"/>
  <c r="J1868" i="2"/>
  <c r="L1736" i="2"/>
  <c r="T1638" i="2"/>
  <c r="G1590" i="2"/>
  <c r="T1892" i="2"/>
  <c r="G1580" i="2"/>
  <c r="G1531" i="2"/>
  <c r="T1787" i="2"/>
  <c r="K1716" i="2"/>
  <c r="K1667" i="2"/>
  <c r="T1850" i="2"/>
  <c r="M1647" i="2"/>
  <c r="D1404" i="2"/>
  <c r="V1892" i="2"/>
  <c r="S1869" i="2"/>
  <c r="O1793" i="2"/>
  <c r="V1549" i="2"/>
  <c r="J1647" i="2"/>
  <c r="H1861" i="2"/>
  <c r="E1686" i="2"/>
  <c r="J1588" i="2"/>
  <c r="R1539" i="2"/>
  <c r="F1822" i="2"/>
  <c r="R1529" i="2"/>
  <c r="W2379" i="2"/>
  <c r="L2279" i="2"/>
  <c r="W2057" i="2"/>
  <c r="U2141" i="2"/>
  <c r="G2043" i="2"/>
  <c r="N2042" i="2"/>
  <c r="D2138" i="2"/>
  <c r="K2039" i="2"/>
  <c r="R2038" i="2"/>
  <c r="J2053" i="2"/>
  <c r="I1879" i="2"/>
  <c r="R2115" i="2"/>
  <c r="S2064" i="2"/>
  <c r="K1916" i="2"/>
  <c r="P1818" i="2"/>
  <c r="P1769" i="2"/>
  <c r="Q1914" i="2"/>
  <c r="V1816" i="2"/>
  <c r="V1767" i="2"/>
  <c r="D1807" i="2"/>
  <c r="E1904" i="2"/>
  <c r="J2139" i="2"/>
  <c r="G2090" i="2"/>
  <c r="D1992" i="2"/>
  <c r="K1940" i="2"/>
  <c r="P1915" i="2"/>
  <c r="U1817" i="2"/>
  <c r="U1768" i="2"/>
  <c r="V1913" i="2"/>
  <c r="F1816" i="2"/>
  <c r="F1767" i="2"/>
  <c r="I1806" i="2"/>
  <c r="J1903" i="2"/>
  <c r="N2135" i="2"/>
  <c r="K2086" i="2"/>
  <c r="H1988" i="2"/>
  <c r="O1936" i="2"/>
  <c r="T1911" i="2"/>
  <c r="D1814" i="2"/>
  <c r="T1813" i="2"/>
  <c r="D2007" i="2"/>
  <c r="O1812" i="2"/>
  <c r="J1812" i="2"/>
  <c r="E1812" i="2"/>
  <c r="C1900" i="2"/>
  <c r="M1817" i="2"/>
  <c r="R1735" i="2"/>
  <c r="K1758" i="2"/>
  <c r="P1707" i="2"/>
  <c r="K1707" i="2"/>
  <c r="N1707" i="2"/>
  <c r="E1707" i="2"/>
  <c r="Q1843" i="2"/>
  <c r="S1648" i="2"/>
  <c r="N1648" i="2"/>
  <c r="Q1648" i="2"/>
  <c r="T1866" i="2"/>
  <c r="T1784" i="2"/>
  <c r="V1589" i="2"/>
  <c r="D1853" i="2"/>
  <c r="U1822" i="2"/>
  <c r="N1822" i="2"/>
  <c r="P1627" i="2"/>
  <c r="K1627" i="2"/>
  <c r="N1627" i="2"/>
  <c r="H1782" i="2"/>
  <c r="Q1763" i="2"/>
  <c r="S1568" i="2"/>
  <c r="N1568" i="2"/>
  <c r="Q1568" i="2"/>
  <c r="D1753" i="2"/>
  <c r="W1704" i="2"/>
  <c r="R1704" i="2"/>
  <c r="U1704" i="2"/>
  <c r="G1540" i="2"/>
  <c r="D1636" i="2"/>
  <c r="K1441" i="2"/>
  <c r="J1246" i="2"/>
  <c r="D1869" i="2"/>
  <c r="J1858" i="2"/>
  <c r="V1830" i="2"/>
  <c r="C1636" i="2"/>
  <c r="S1635" i="2"/>
  <c r="V1635" i="2"/>
  <c r="S1815" i="2"/>
  <c r="D1772" i="2"/>
  <c r="F1577" i="2"/>
  <c r="V1576" i="2"/>
  <c r="D1577" i="2"/>
  <c r="F1775" i="2"/>
  <c r="J1713" i="2"/>
  <c r="E1713" i="2"/>
  <c r="H1713" i="2"/>
  <c r="R1573" i="2"/>
  <c r="L1644" i="2"/>
  <c r="S1449" i="2"/>
  <c r="R1254" i="2"/>
  <c r="O1886" i="2"/>
  <c r="R1866" i="2"/>
  <c r="I1839" i="2"/>
  <c r="K1644" i="2"/>
  <c r="F1644" i="2"/>
  <c r="I1644" i="2"/>
  <c r="I1849" i="2"/>
  <c r="L1780" i="2"/>
  <c r="N1585" i="2"/>
  <c r="I1585" i="2"/>
  <c r="L1585" i="2"/>
  <c r="Q1808" i="2"/>
  <c r="R1721" i="2"/>
  <c r="M1721" i="2"/>
  <c r="P1721" i="2"/>
  <c r="H1607" i="2"/>
  <c r="I1600" i="2"/>
  <c r="M1351" i="2"/>
  <c r="H2239" i="2"/>
  <c r="N2078" i="2"/>
  <c r="R2074" i="2"/>
  <c r="G1915" i="2"/>
  <c r="C1828" i="2"/>
  <c r="I1826" i="2"/>
  <c r="M1913" i="2"/>
  <c r="T2001" i="2"/>
  <c r="H1827" i="2"/>
  <c r="M2294" i="2"/>
  <c r="O2031" i="2"/>
  <c r="S2027" i="2"/>
  <c r="N1953" i="2"/>
  <c r="E1913" i="2"/>
  <c r="K1911" i="2"/>
  <c r="S1803" i="2"/>
  <c r="N2086" i="2"/>
  <c r="S2288" i="2"/>
  <c r="T1982" i="2"/>
  <c r="C1979" i="2"/>
  <c r="J1905" i="2"/>
  <c r="V1900" i="2"/>
  <c r="G1899" i="2"/>
  <c r="O1791" i="2"/>
  <c r="J2074" i="2"/>
  <c r="F1900" i="2"/>
  <c r="C2011" i="2"/>
  <c r="T1932" i="2"/>
  <c r="C1929" i="2"/>
  <c r="H2006" i="2"/>
  <c r="G1791" i="2"/>
  <c r="M1789" i="2"/>
  <c r="Q1876" i="2"/>
  <c r="P1964" i="2"/>
  <c r="G2032" i="2"/>
  <c r="O1924" i="2"/>
  <c r="T2010" i="2"/>
  <c r="E2030" i="2"/>
  <c r="K2028" i="2"/>
  <c r="S1920" i="2"/>
  <c r="T1728" i="2"/>
  <c r="O1877" i="2"/>
  <c r="J1757" i="2"/>
  <c r="I1871" i="2"/>
  <c r="U1648" i="2"/>
  <c r="U1589" i="2"/>
  <c r="H1531" i="2"/>
  <c r="R1462" i="2"/>
  <c r="C1827" i="2"/>
  <c r="I1825" i="2"/>
  <c r="M1912" i="2"/>
  <c r="K1997" i="2"/>
  <c r="G1823" i="2"/>
  <c r="M1821" i="2"/>
  <c r="U1744" i="2"/>
  <c r="Q1716" i="2"/>
  <c r="Q1657" i="2"/>
  <c r="D1599" i="2"/>
  <c r="S1636" i="2"/>
  <c r="T1772" i="2"/>
  <c r="G1778" i="2"/>
  <c r="S1576" i="2"/>
  <c r="J1887" i="2"/>
  <c r="T2007" i="2"/>
  <c r="S1900" i="2"/>
  <c r="L1986" i="2"/>
  <c r="R2005" i="2"/>
  <c r="C2004" i="2"/>
  <c r="W1896" i="2"/>
  <c r="O1704" i="2"/>
  <c r="P1840" i="2"/>
  <c r="P1854" i="2"/>
  <c r="Q1810" i="2"/>
  <c r="M1624" i="2"/>
  <c r="M1565" i="2"/>
  <c r="Q1701" i="2"/>
  <c r="M1535" i="2"/>
  <c r="U1753" i="2"/>
  <c r="F1752" i="2"/>
  <c r="I1956" i="2"/>
  <c r="H1924" i="2"/>
  <c r="D1750" i="2"/>
  <c r="J1748" i="2"/>
  <c r="W1865" i="2"/>
  <c r="N1643" i="2"/>
  <c r="N1584" i="2"/>
  <c r="N1725" i="2"/>
  <c r="P1563" i="2"/>
  <c r="T1699" i="2"/>
  <c r="U1835" i="2"/>
  <c r="G1674" i="2"/>
  <c r="F1795" i="2"/>
  <c r="S1571" i="2"/>
  <c r="J1657" i="2"/>
  <c r="H1647" i="2"/>
  <c r="I1783" i="2"/>
  <c r="W1546" i="2"/>
  <c r="O1742" i="2"/>
  <c r="K1714" i="2"/>
  <c r="K1655" i="2"/>
  <c r="S1596" i="2"/>
  <c r="D1595" i="2"/>
  <c r="K1345" i="2"/>
  <c r="P1439" i="2"/>
  <c r="O1244" i="2"/>
  <c r="K1439" i="2"/>
  <c r="J1244" i="2"/>
  <c r="F1664" i="2"/>
  <c r="J1618" i="2"/>
  <c r="Q1423" i="2"/>
  <c r="P1228" i="2"/>
  <c r="L1423" i="2"/>
  <c r="K1228" i="2"/>
  <c r="G1423" i="2"/>
  <c r="F1228" i="2"/>
  <c r="J1660" i="2"/>
  <c r="K1617" i="2"/>
  <c r="I1667" i="2"/>
  <c r="O1277" i="2"/>
  <c r="T1435" i="2"/>
  <c r="S1240" i="2"/>
  <c r="O1435" i="2"/>
  <c r="N1240" i="2"/>
  <c r="V1648" i="2"/>
  <c r="N1614" i="2"/>
  <c r="F1645" i="2"/>
  <c r="D1635" i="2"/>
  <c r="E1771" i="2"/>
  <c r="G1717" i="2"/>
  <c r="K1730" i="2"/>
  <c r="G1702" i="2"/>
  <c r="G1643" i="2"/>
  <c r="O1584" i="2"/>
  <c r="Q1570" i="2"/>
  <c r="G1333" i="2"/>
  <c r="O1436" i="2"/>
  <c r="N1241" i="2"/>
  <c r="J1436" i="2"/>
  <c r="I1241" i="2"/>
  <c r="W1651" i="2"/>
  <c r="I1615" i="2"/>
  <c r="P1420" i="2"/>
  <c r="O1225" i="2"/>
  <c r="K1420" i="2"/>
  <c r="J1225" i="2"/>
  <c r="F1420" i="2"/>
  <c r="E1225" i="2"/>
  <c r="F1648" i="2"/>
  <c r="J1614" i="2"/>
  <c r="G1661" i="2"/>
  <c r="M1271" i="2"/>
  <c r="S1432" i="2"/>
  <c r="R1237" i="2"/>
  <c r="N1432" i="2"/>
  <c r="M1237" i="2"/>
  <c r="R1636" i="2"/>
  <c r="M1611" i="2"/>
  <c r="W1632" i="2"/>
  <c r="U1622" i="2"/>
  <c r="V1758" i="2"/>
  <c r="T1692" i="2"/>
  <c r="L1912" i="2"/>
  <c r="C1690" i="2"/>
  <c r="C1631" i="2"/>
  <c r="K1572" i="2"/>
  <c r="I1546" i="2"/>
  <c r="C1321" i="2"/>
  <c r="N1433" i="2"/>
  <c r="M1238" i="2"/>
  <c r="I1433" i="2"/>
  <c r="H1238" i="2"/>
  <c r="S1639" i="2"/>
  <c r="H1612" i="2"/>
  <c r="O1417" i="2"/>
  <c r="N1222" i="2"/>
  <c r="J1417" i="2"/>
  <c r="I1222" i="2"/>
  <c r="E1417" i="2"/>
  <c r="D1222" i="2"/>
  <c r="W1635" i="2"/>
  <c r="I1611" i="2"/>
  <c r="E1655" i="2"/>
  <c r="K1265" i="2"/>
  <c r="R1429" i="2"/>
  <c r="Q1234" i="2"/>
  <c r="M1429" i="2"/>
  <c r="L1234" i="2"/>
  <c r="N1624" i="2"/>
  <c r="L1608" i="2"/>
  <c r="O1608" i="2"/>
  <c r="Q1610" i="2"/>
  <c r="R1746" i="2"/>
  <c r="W1677" i="2"/>
  <c r="H1900" i="2"/>
  <c r="T1677" i="2"/>
  <c r="T1618" i="2"/>
  <c r="G1560" i="2"/>
  <c r="R1716" i="2"/>
  <c r="T1308" i="2"/>
  <c r="M1430" i="2"/>
  <c r="L1235" i="2"/>
  <c r="H1430" i="2"/>
  <c r="G1235" i="2"/>
  <c r="O1627" i="2"/>
  <c r="G1609" i="2"/>
  <c r="N1414" i="2"/>
  <c r="M1219" i="2"/>
  <c r="I1414" i="2"/>
  <c r="H1219" i="2"/>
  <c r="D1414" i="2"/>
  <c r="C1219" i="2"/>
  <c r="S1623" i="2"/>
  <c r="H1608" i="2"/>
  <c r="C1649" i="2"/>
  <c r="I1259" i="2"/>
  <c r="Q1426" i="2"/>
  <c r="P1231" i="2"/>
  <c r="L1426" i="2"/>
  <c r="K1231" i="2"/>
  <c r="J1612" i="2"/>
  <c r="K1605" i="2"/>
  <c r="R1410" i="2"/>
  <c r="Q1215" i="2"/>
  <c r="M1410" i="2"/>
  <c r="L1215" i="2"/>
  <c r="H1410" i="2"/>
  <c r="P1586" i="2"/>
  <c r="K1561" i="2"/>
  <c r="L1188" i="2"/>
  <c r="H1383" i="2"/>
  <c r="G1188" i="2"/>
  <c r="C1383" i="2"/>
  <c r="W1187" i="2"/>
  <c r="T1633" i="2"/>
  <c r="W1561" i="2"/>
  <c r="I1367" i="2"/>
  <c r="H1172" i="2"/>
  <c r="D1367" i="2"/>
  <c r="C1172" i="2"/>
  <c r="T1366" i="2"/>
  <c r="S1171" i="2"/>
  <c r="C1630" i="2"/>
  <c r="S1689" i="2"/>
  <c r="H1446" i="2"/>
  <c r="N1430" i="2"/>
  <c r="D1430" i="2"/>
  <c r="S1582" i="2"/>
  <c r="N1474" i="2"/>
  <c r="M1279" i="2"/>
  <c r="I1474" i="2"/>
  <c r="H1279" i="2"/>
  <c r="D1474" i="2"/>
  <c r="C1279" i="2"/>
  <c r="C1608" i="2"/>
  <c r="C1653" i="2"/>
  <c r="J1458" i="2"/>
  <c r="I1263" i="2"/>
  <c r="E1458" i="2"/>
  <c r="D1263" i="2"/>
  <c r="U1457" i="2"/>
  <c r="T1262" i="2"/>
  <c r="N1463" i="2"/>
  <c r="M1268" i="2"/>
  <c r="F1074" i="2"/>
  <c r="E879" i="2"/>
  <c r="F1073" i="2"/>
  <c r="E878" i="2"/>
  <c r="V1072" i="2"/>
  <c r="U877" i="2"/>
  <c r="O1462" i="2"/>
  <c r="N1267" i="2"/>
  <c r="G1073" i="2"/>
  <c r="F878" i="2"/>
  <c r="G1072" i="2"/>
  <c r="F1658" i="2"/>
  <c r="C1431" i="2"/>
  <c r="I1415" i="2"/>
  <c r="T1414" i="2"/>
  <c r="N1567" i="2"/>
  <c r="R1470" i="2"/>
  <c r="Q1275" i="2"/>
  <c r="M1470" i="2"/>
  <c r="L1275" i="2"/>
  <c r="H1470" i="2"/>
  <c r="G1275" i="2"/>
  <c r="Q1407" i="2"/>
  <c r="P1212" i="2"/>
  <c r="L1407" i="2"/>
  <c r="K1212" i="2"/>
  <c r="G1407" i="2"/>
  <c r="L1574" i="2"/>
  <c r="I1555" i="2"/>
  <c r="K1185" i="2"/>
  <c r="G1380" i="2"/>
  <c r="F1185" i="2"/>
  <c r="W1379" i="2"/>
  <c r="H1799" i="2"/>
  <c r="P1625" i="2"/>
  <c r="V1558" i="2"/>
  <c r="H1364" i="2"/>
  <c r="G1169" i="2"/>
  <c r="C1364" i="2"/>
  <c r="W1168" i="2"/>
  <c r="S1363" i="2"/>
  <c r="C1784" i="2"/>
  <c r="V1623" i="2"/>
  <c r="H1664" i="2"/>
  <c r="D1434" i="2"/>
  <c r="J1418" i="2"/>
  <c r="U1417" i="2"/>
  <c r="O1570" i="2"/>
  <c r="M1471" i="2"/>
  <c r="L1276" i="2"/>
  <c r="H1471" i="2"/>
  <c r="G1276" i="2"/>
  <c r="C1471" i="2"/>
  <c r="W1275" i="2"/>
  <c r="T1595" i="2"/>
  <c r="W1649" i="2"/>
  <c r="I1455" i="2"/>
  <c r="H1260" i="2"/>
  <c r="D1455" i="2"/>
  <c r="C1260" i="2"/>
  <c r="T1454" i="2"/>
  <c r="S1259" i="2"/>
  <c r="M1460" i="2"/>
  <c r="L1265" i="2"/>
  <c r="E1071" i="2"/>
  <c r="D876" i="2"/>
  <c r="E1070" i="2"/>
  <c r="D875" i="2"/>
  <c r="U1069" i="2"/>
  <c r="T874" i="2"/>
  <c r="N1459" i="2"/>
  <c r="M1264" i="2"/>
  <c r="F1070" i="2"/>
  <c r="E875" i="2"/>
  <c r="F1069" i="2"/>
  <c r="S1633" i="2"/>
  <c r="T1418" i="2"/>
  <c r="E1403" i="2"/>
  <c r="P1402" i="2"/>
  <c r="J1555" i="2"/>
  <c r="Q1467" i="2"/>
  <c r="P1272" i="2"/>
  <c r="L1467" i="2"/>
  <c r="K1272" i="2"/>
  <c r="G1467" i="2"/>
  <c r="F1272" i="2"/>
  <c r="P1404" i="2"/>
  <c r="O1209" i="2"/>
  <c r="K1404" i="2"/>
  <c r="J1209" i="2"/>
  <c r="F1404" i="2"/>
  <c r="H1562" i="2"/>
  <c r="G1549" i="2"/>
  <c r="J1182" i="2"/>
  <c r="F1377" i="2"/>
  <c r="E1182" i="2"/>
  <c r="V1376" i="2"/>
  <c r="M1750" i="2"/>
  <c r="N1619" i="2"/>
  <c r="U1555" i="2"/>
  <c r="G1361" i="2"/>
  <c r="F1166" i="2"/>
  <c r="W1360" i="2"/>
  <c r="V1165" i="2"/>
  <c r="R1360" i="2"/>
  <c r="H1735" i="2"/>
  <c r="T1617" i="2"/>
  <c r="U1639" i="2"/>
  <c r="U1421" i="2"/>
  <c r="F1406" i="2"/>
  <c r="Q1405" i="2"/>
  <c r="K1558" i="2"/>
  <c r="L1468" i="2"/>
  <c r="K1273" i="2"/>
  <c r="G1468" i="2"/>
  <c r="F1273" i="2"/>
  <c r="W1467" i="2"/>
  <c r="V1272" i="2"/>
  <c r="P1583" i="2"/>
  <c r="V1646" i="2"/>
  <c r="H1452" i="2"/>
  <c r="G1257" i="2"/>
  <c r="C1452" i="2"/>
  <c r="W1256" i="2"/>
  <c r="S1451" i="2"/>
  <c r="R1256" i="2"/>
  <c r="L1457" i="2"/>
  <c r="K1262" i="2"/>
  <c r="D1068" i="2"/>
  <c r="C873" i="2"/>
  <c r="D1067" i="2"/>
  <c r="C872" i="2"/>
  <c r="T1066" i="2"/>
  <c r="S871" i="2"/>
  <c r="M1456" i="2"/>
  <c r="L1261" i="2"/>
  <c r="E1067" i="2"/>
  <c r="D872" i="2"/>
  <c r="E1066" i="2"/>
  <c r="K1609" i="2"/>
  <c r="P1406" i="2"/>
  <c r="V1390" i="2"/>
  <c r="L1390" i="2"/>
  <c r="F1543" i="2"/>
  <c r="P1464" i="2"/>
  <c r="O1269" i="2"/>
  <c r="K1464" i="2"/>
  <c r="J1269" i="2"/>
  <c r="F1464" i="2"/>
  <c r="E1269" i="2"/>
  <c r="K1389" i="2"/>
  <c r="J1194" i="2"/>
  <c r="F1389" i="2"/>
  <c r="E1194" i="2"/>
  <c r="V1388" i="2"/>
  <c r="M1696" i="2"/>
  <c r="E1519" i="2"/>
  <c r="E1167" i="2"/>
  <c r="V1361" i="2"/>
  <c r="U1166" i="2"/>
  <c r="Q1361" i="2"/>
  <c r="I1896" i="2"/>
  <c r="D1589" i="2"/>
  <c r="P1540" i="2"/>
  <c r="W1345" i="2"/>
  <c r="V1150" i="2"/>
  <c r="R1345" i="2"/>
  <c r="Q1150" i="2"/>
  <c r="M1345" i="2"/>
  <c r="D1881" i="2"/>
  <c r="J1587" i="2"/>
  <c r="J1518" i="2"/>
  <c r="V1360" i="2"/>
  <c r="G1345" i="2"/>
  <c r="R1344" i="2"/>
  <c r="D1692" i="2"/>
  <c r="G1453" i="2"/>
  <c r="F1258" i="2"/>
  <c r="W1452" i="2"/>
  <c r="V1257" i="2"/>
  <c r="R1452" i="2"/>
  <c r="Q1257" i="2"/>
  <c r="M1717" i="2"/>
  <c r="Q1631" i="2"/>
  <c r="C1437" i="2"/>
  <c r="W1241" i="2"/>
  <c r="S1436" i="2"/>
  <c r="R1241" i="2"/>
  <c r="N1436" i="2"/>
  <c r="M1241" i="2"/>
  <c r="G1442" i="2"/>
  <c r="F1247" i="2"/>
  <c r="T1052" i="2"/>
  <c r="S857" i="2"/>
  <c r="T1051" i="2"/>
  <c r="S856" i="2"/>
  <c r="O1051" i="2"/>
  <c r="N856" i="2"/>
  <c r="H1441" i="2"/>
  <c r="G1246" i="2"/>
  <c r="U1051" i="2"/>
  <c r="T856" i="2"/>
  <c r="U1050" i="2"/>
  <c r="U1487" i="2"/>
  <c r="Q1345" i="2"/>
  <c r="W1329" i="2"/>
  <c r="M1329" i="2"/>
  <c r="F1682" i="2"/>
  <c r="K1449" i="2"/>
  <c r="J1254" i="2"/>
  <c r="F1449" i="2"/>
  <c r="E1254" i="2"/>
  <c r="V1448" i="2"/>
  <c r="U1253" i="2"/>
  <c r="L1714" i="2"/>
  <c r="V1630" i="2"/>
  <c r="H1436" i="2"/>
  <c r="G1241" i="2"/>
  <c r="C1436" i="2"/>
  <c r="W1240" i="2"/>
  <c r="S1435" i="2"/>
  <c r="R1240" i="2"/>
  <c r="L1441" i="2"/>
  <c r="K1246" i="2"/>
  <c r="D1052" i="2"/>
  <c r="C857" i="2"/>
  <c r="D1051" i="2"/>
  <c r="C856" i="2"/>
  <c r="T1050" i="2"/>
  <c r="S855" i="2"/>
  <c r="M1440" i="2"/>
  <c r="L1245" i="2"/>
  <c r="E1051" i="2"/>
  <c r="D856" i="2"/>
  <c r="E1050" i="2"/>
  <c r="H1384" i="2"/>
  <c r="U1293" i="2"/>
  <c r="F1278" i="2"/>
  <c r="Q1277" i="2"/>
  <c r="H1656" i="2"/>
  <c r="L1436" i="2"/>
  <c r="K1241" i="2"/>
  <c r="G1436" i="2"/>
  <c r="F1241" i="2"/>
  <c r="W1435" i="2"/>
  <c r="V1240" i="2"/>
  <c r="L1650" i="2"/>
  <c r="V1614" i="2"/>
  <c r="H1420" i="2"/>
  <c r="G1225" i="2"/>
  <c r="C1420" i="2"/>
  <c r="W1224" i="2"/>
  <c r="S1419" i="2"/>
  <c r="R1224" i="2"/>
  <c r="L1425" i="2"/>
  <c r="K1230" i="2"/>
  <c r="D1036" i="2"/>
  <c r="C841" i="2"/>
  <c r="D1035" i="2"/>
  <c r="C840" i="2"/>
  <c r="T1034" i="2"/>
  <c r="S839" i="2"/>
  <c r="M1424" i="2"/>
  <c r="L1229" i="2"/>
  <c r="E1035" i="2"/>
  <c r="D840" i="2"/>
  <c r="E1034" i="2"/>
  <c r="S1353" i="2"/>
  <c r="P1278" i="2"/>
  <c r="V1262" i="2"/>
  <c r="L1262" i="2"/>
  <c r="P1648" i="2"/>
  <c r="P1432" i="2"/>
  <c r="O1237" i="2"/>
  <c r="K1432" i="2"/>
  <c r="J1237" i="2"/>
  <c r="F1432" i="2"/>
  <c r="E1237" i="2"/>
  <c r="G1635" i="2"/>
  <c r="E1611" i="2"/>
  <c r="L1416" i="2"/>
  <c r="K1221" i="2"/>
  <c r="G1416" i="2"/>
  <c r="F1221" i="2"/>
  <c r="W1415" i="2"/>
  <c r="V1220" i="2"/>
  <c r="P1421" i="2"/>
  <c r="O1226" i="2"/>
  <c r="H1032" i="2"/>
  <c r="G837" i="2"/>
  <c r="H1031" i="2"/>
  <c r="G836" i="2"/>
  <c r="C1031" i="2"/>
  <c r="W835" i="2"/>
  <c r="Q1420" i="2"/>
  <c r="P1225" i="2"/>
  <c r="I1031" i="2"/>
  <c r="H836" i="2"/>
  <c r="I1030" i="2"/>
  <c r="F829" i="2"/>
  <c r="W1023" i="2"/>
  <c r="V828" i="2"/>
  <c r="K1414" i="2"/>
  <c r="J1219" i="2"/>
  <c r="C1025" i="2"/>
  <c r="W829" i="2"/>
  <c r="C1024" i="2"/>
  <c r="W828" i="2"/>
  <c r="S1023" i="2"/>
  <c r="R828" i="2"/>
  <c r="L1413" i="2"/>
  <c r="K1218" i="2"/>
  <c r="D1024" i="2"/>
  <c r="C829" i="2"/>
  <c r="D1023" i="2"/>
  <c r="C828" i="2"/>
  <c r="T1022" i="2"/>
  <c r="S827" i="2"/>
  <c r="P1021" i="2"/>
  <c r="O826" i="2"/>
  <c r="D632" i="2"/>
  <c r="C437" i="2"/>
  <c r="T631" i="2"/>
  <c r="S436" i="2"/>
  <c r="W631" i="2"/>
  <c r="D1292" i="2"/>
  <c r="E1899" i="2"/>
  <c r="N1985" i="2"/>
  <c r="S2071" i="2"/>
  <c r="F1873" i="2"/>
  <c r="I1895" i="2"/>
  <c r="R1981" i="2"/>
  <c r="S1789" i="2"/>
  <c r="C1846" i="2"/>
  <c r="V1535" i="2"/>
  <c r="C1738" i="2"/>
  <c r="T1709" i="2"/>
  <c r="T1650" i="2"/>
  <c r="G1592" i="2"/>
  <c r="Q1523" i="2"/>
  <c r="W1794" i="2"/>
  <c r="S1717" i="2"/>
  <c r="G1535" i="2"/>
  <c r="H1598" i="2"/>
  <c r="P1539" i="2"/>
  <c r="E1471" i="2"/>
  <c r="T1868" i="2"/>
  <c r="T1739" i="2"/>
  <c r="S1606" i="2"/>
  <c r="N1596" i="2"/>
  <c r="P1641" i="2"/>
  <c r="U1183" i="2"/>
  <c r="Q1378" i="2"/>
  <c r="P1183" i="2"/>
  <c r="L1378" i="2"/>
  <c r="U1774" i="2"/>
  <c r="O1622" i="2"/>
  <c r="K1557" i="2"/>
  <c r="R1362" i="2"/>
  <c r="Q1167" i="2"/>
  <c r="M1362" i="2"/>
  <c r="L1167" i="2"/>
  <c r="H1362" i="2"/>
  <c r="P1759" i="2"/>
  <c r="U1620" i="2"/>
  <c r="E1553" i="2"/>
  <c r="K1545" i="2"/>
  <c r="D1180" i="2"/>
  <c r="U1374" i="2"/>
  <c r="T1179" i="2"/>
  <c r="P1374" i="2"/>
  <c r="R1908" i="2"/>
  <c r="W1614" i="2"/>
  <c r="O1553" i="2"/>
  <c r="C1706" i="2"/>
  <c r="D1586" i="2"/>
  <c r="H1722" i="2"/>
  <c r="V1458" i="2"/>
  <c r="L1848" i="2"/>
  <c r="U1885" i="2"/>
  <c r="O1594" i="2"/>
  <c r="L1590" i="2"/>
  <c r="L1826" i="2"/>
  <c r="T1180" i="2"/>
  <c r="P1375" i="2"/>
  <c r="O1180" i="2"/>
  <c r="K1375" i="2"/>
  <c r="E1726" i="2"/>
  <c r="M1616" i="2"/>
  <c r="J1554" i="2"/>
  <c r="Q1359" i="2"/>
  <c r="P1164" i="2"/>
  <c r="L1359" i="2"/>
  <c r="K1164" i="2"/>
  <c r="G1359" i="2"/>
  <c r="Q1905" i="2"/>
  <c r="S1614" i="2"/>
  <c r="V1540" i="2"/>
  <c r="I1539" i="2"/>
  <c r="C1177" i="2"/>
  <c r="T1371" i="2"/>
  <c r="S1176" i="2"/>
  <c r="O1371" i="2"/>
  <c r="W1859" i="2"/>
  <c r="U1608" i="2"/>
  <c r="N1550" i="2"/>
  <c r="T1693" i="2"/>
  <c r="U1573" i="2"/>
  <c r="D1710" i="2"/>
  <c r="R1446" i="2"/>
  <c r="H1836" i="2"/>
  <c r="E1837" i="2"/>
  <c r="K1582" i="2"/>
  <c r="J1584" i="2"/>
  <c r="D1892" i="2"/>
  <c r="S1177" i="2"/>
  <c r="O1372" i="2"/>
  <c r="N1177" i="2"/>
  <c r="J1372" i="2"/>
  <c r="F1872" i="2"/>
  <c r="K1610" i="2"/>
  <c r="I1551" i="2"/>
  <c r="P1356" i="2"/>
  <c r="O1161" i="2"/>
  <c r="K1356" i="2"/>
  <c r="J1161" i="2"/>
  <c r="F1356" i="2"/>
  <c r="V1856" i="2"/>
  <c r="Q1608" i="2"/>
  <c r="V1723" i="2"/>
  <c r="G1533" i="2"/>
  <c r="W1173" i="2"/>
  <c r="S1368" i="2"/>
  <c r="R1173" i="2"/>
  <c r="N1368" i="2"/>
  <c r="G1811" i="2"/>
  <c r="S1602" i="2"/>
  <c r="M1547" i="2"/>
  <c r="P1681" i="2"/>
  <c r="Q1561" i="2"/>
  <c r="U1697" i="2"/>
  <c r="N1434" i="2"/>
  <c r="D1824" i="2"/>
  <c r="J1788" i="2"/>
  <c r="G1570" i="2"/>
  <c r="H1578" i="2"/>
  <c r="R1774" i="2"/>
  <c r="R1174" i="2"/>
  <c r="N1369" i="2"/>
  <c r="M1174" i="2"/>
  <c r="I1369" i="2"/>
  <c r="K1823" i="2"/>
  <c r="I1604" i="2"/>
  <c r="H1548" i="2"/>
  <c r="O1353" i="2"/>
  <c r="N1158" i="2"/>
  <c r="J1353" i="2"/>
  <c r="I1158" i="2"/>
  <c r="E1353" i="2"/>
  <c r="F1808" i="2"/>
  <c r="O1602" i="2"/>
  <c r="R1711" i="2"/>
  <c r="M1527" i="2"/>
  <c r="V1170" i="2"/>
  <c r="R1365" i="2"/>
  <c r="Q1170" i="2"/>
  <c r="M1365" i="2"/>
  <c r="L1762" i="2"/>
  <c r="Q1596" i="2"/>
  <c r="L1544" i="2"/>
  <c r="S1349" i="2"/>
  <c r="R1154" i="2"/>
  <c r="N1349" i="2"/>
  <c r="M1154" i="2"/>
  <c r="I1349" i="2"/>
  <c r="W1652" i="2"/>
  <c r="U1439" i="2"/>
  <c r="J1517" i="2"/>
  <c r="I1322" i="2"/>
  <c r="E1517" i="2"/>
  <c r="D1322" i="2"/>
  <c r="D1780" i="2"/>
  <c r="L1704" i="2"/>
  <c r="K1501" i="2"/>
  <c r="J1306" i="2"/>
  <c r="F1501" i="2"/>
  <c r="E1306" i="2"/>
  <c r="V1500" i="2"/>
  <c r="U1305" i="2"/>
  <c r="H1776" i="2"/>
  <c r="R1702" i="2"/>
  <c r="V1202" i="2"/>
  <c r="L1202" i="2"/>
  <c r="R1186" i="2"/>
  <c r="I1221" i="2"/>
  <c r="N1610" i="2"/>
  <c r="O1413" i="2"/>
  <c r="N1218" i="2"/>
  <c r="J1413" i="2"/>
  <c r="I1218" i="2"/>
  <c r="E1413" i="2"/>
  <c r="D1218" i="2"/>
  <c r="C1559" i="2"/>
  <c r="D1592" i="2"/>
  <c r="K1397" i="2"/>
  <c r="J1202" i="2"/>
  <c r="F1397" i="2"/>
  <c r="E1202" i="2"/>
  <c r="V1396" i="2"/>
  <c r="U1201" i="2"/>
  <c r="O1402" i="2"/>
  <c r="N1207" i="2"/>
  <c r="G1013" i="2"/>
  <c r="F818" i="2"/>
  <c r="G1012" i="2"/>
  <c r="F817" i="2"/>
  <c r="W1011" i="2"/>
  <c r="V816" i="2"/>
  <c r="P1401" i="2"/>
  <c r="O1206" i="2"/>
  <c r="H1012" i="2"/>
  <c r="G817" i="2"/>
  <c r="H1011" i="2"/>
  <c r="Q1187" i="2"/>
  <c r="G1187" i="2"/>
  <c r="M1171" i="2"/>
  <c r="Q1213" i="2"/>
  <c r="L1604" i="2"/>
  <c r="S1409" i="2"/>
  <c r="R1214" i="2"/>
  <c r="N1409" i="2"/>
  <c r="M1214" i="2"/>
  <c r="I1409" i="2"/>
  <c r="H1214" i="2"/>
  <c r="R1346" i="2"/>
  <c r="Q1151" i="2"/>
  <c r="M1346" i="2"/>
  <c r="L1151" i="2"/>
  <c r="H1346" i="2"/>
  <c r="G1604" i="2"/>
  <c r="S1433" i="2"/>
  <c r="I1514" i="2"/>
  <c r="H1319" i="2"/>
  <c r="D1514" i="2"/>
  <c r="C1319" i="2"/>
  <c r="U1767" i="2"/>
  <c r="J1698" i="2"/>
  <c r="J1498" i="2"/>
  <c r="I1303" i="2"/>
  <c r="E1498" i="2"/>
  <c r="D1303" i="2"/>
  <c r="U1497" i="2"/>
  <c r="T1302" i="2"/>
  <c r="D1764" i="2"/>
  <c r="P1696" i="2"/>
  <c r="R1190" i="2"/>
  <c r="H1190" i="2"/>
  <c r="N1174" i="2"/>
  <c r="G1215" i="2"/>
  <c r="G1605" i="2"/>
  <c r="N1410" i="2"/>
  <c r="M1215" i="2"/>
  <c r="I1410" i="2"/>
  <c r="H1215" i="2"/>
  <c r="D1410" i="2"/>
  <c r="C1215" i="2"/>
  <c r="T1546" i="2"/>
  <c r="C1589" i="2"/>
  <c r="J1394" i="2"/>
  <c r="I1199" i="2"/>
  <c r="E1394" i="2"/>
  <c r="D1199" i="2"/>
  <c r="U1393" i="2"/>
  <c r="T1198" i="2"/>
  <c r="N1399" i="2"/>
  <c r="M1204" i="2"/>
  <c r="F1010" i="2"/>
  <c r="E815" i="2"/>
  <c r="F1009" i="2"/>
  <c r="E814" i="2"/>
  <c r="V1008" i="2"/>
  <c r="U813" i="2"/>
  <c r="O1398" i="2"/>
  <c r="N1203" i="2"/>
  <c r="G1009" i="2"/>
  <c r="F814" i="2"/>
  <c r="G1008" i="2"/>
  <c r="M1175" i="2"/>
  <c r="O1835" i="2"/>
  <c r="I1159" i="2"/>
  <c r="O1207" i="2"/>
  <c r="K1601" i="2"/>
  <c r="R1406" i="2"/>
  <c r="Q1211" i="2"/>
  <c r="M1406" i="2"/>
  <c r="L1211" i="2"/>
  <c r="H1406" i="2"/>
  <c r="G1211" i="2"/>
  <c r="Q1343" i="2"/>
  <c r="P1148" i="2"/>
  <c r="L1343" i="2"/>
  <c r="K1148" i="2"/>
  <c r="G1343" i="2"/>
  <c r="L1555" i="2"/>
  <c r="Q1427" i="2"/>
  <c r="H1511" i="2"/>
  <c r="G1316" i="2"/>
  <c r="C1511" i="2"/>
  <c r="W1315" i="2"/>
  <c r="Q1755" i="2"/>
  <c r="H1692" i="2"/>
  <c r="I1495" i="2"/>
  <c r="H1300" i="2"/>
  <c r="D1495" i="2"/>
  <c r="C1300" i="2"/>
  <c r="T1494" i="2"/>
  <c r="S1299" i="2"/>
  <c r="U1751" i="2"/>
  <c r="N1690" i="2"/>
  <c r="N1178" i="2"/>
  <c r="J1884" i="2"/>
  <c r="J1162" i="2"/>
  <c r="E1209" i="2"/>
  <c r="F1602" i="2"/>
  <c r="M1407" i="2"/>
  <c r="L1212" i="2"/>
  <c r="H1407" i="2"/>
  <c r="G1212" i="2"/>
  <c r="C1407" i="2"/>
  <c r="W1211" i="2"/>
  <c r="P1534" i="2"/>
  <c r="W1585" i="2"/>
  <c r="I1391" i="2"/>
  <c r="H1196" i="2"/>
  <c r="D1391" i="2"/>
  <c r="C1196" i="2"/>
  <c r="T1390" i="2"/>
  <c r="S1195" i="2"/>
  <c r="M1396" i="2"/>
  <c r="L1201" i="2"/>
  <c r="E1007" i="2"/>
  <c r="D812" i="2"/>
  <c r="E1006" i="2"/>
  <c r="D811" i="2"/>
  <c r="U1005" i="2"/>
  <c r="T810" i="2"/>
  <c r="N1395" i="2"/>
  <c r="M1200" i="2"/>
  <c r="F1006" i="2"/>
  <c r="E811" i="2"/>
  <c r="F1005" i="2"/>
  <c r="I1163" i="2"/>
  <c r="J1835" i="2"/>
  <c r="E1147" i="2"/>
  <c r="M1201" i="2"/>
  <c r="J1598" i="2"/>
  <c r="Q1403" i="2"/>
  <c r="P1208" i="2"/>
  <c r="L1403" i="2"/>
  <c r="K1208" i="2"/>
  <c r="G1403" i="2"/>
  <c r="M1523" i="2"/>
  <c r="L1328" i="2"/>
  <c r="H1523" i="2"/>
  <c r="G1328" i="2"/>
  <c r="C1523" i="2"/>
  <c r="W1327" i="2"/>
  <c r="H1558" i="2"/>
  <c r="G1397" i="2"/>
  <c r="C1496" i="2"/>
  <c r="W1300" i="2"/>
  <c r="S1495" i="2"/>
  <c r="R1300" i="2"/>
  <c r="U1694" i="2"/>
  <c r="R1674" i="2"/>
  <c r="D1480" i="2"/>
  <c r="C1285" i="2"/>
  <c r="T1479" i="2"/>
  <c r="S1284" i="2"/>
  <c r="O1479" i="2"/>
  <c r="N1284" i="2"/>
  <c r="D1691" i="2"/>
  <c r="S1673" i="2"/>
  <c r="L1507" i="2"/>
  <c r="L1740" i="2"/>
  <c r="H1491" i="2"/>
  <c r="P1178" i="2"/>
  <c r="V1586" i="2"/>
  <c r="H1392" i="2"/>
  <c r="G1197" i="2"/>
  <c r="C1392" i="2"/>
  <c r="W1196" i="2"/>
  <c r="S1391" i="2"/>
  <c r="R1196" i="2"/>
  <c r="U1668" i="2"/>
  <c r="R1570" i="2"/>
  <c r="D1376" i="2"/>
  <c r="C1181" i="2"/>
  <c r="T1375" i="2"/>
  <c r="S1180" i="2"/>
  <c r="O1375" i="2"/>
  <c r="N1180" i="2"/>
  <c r="H1381" i="2"/>
  <c r="G1186" i="2"/>
  <c r="U991" i="2"/>
  <c r="T796" i="2"/>
  <c r="U990" i="2"/>
  <c r="T795" i="2"/>
  <c r="P990" i="2"/>
  <c r="O795" i="2"/>
  <c r="I1380" i="2"/>
  <c r="H1185" i="2"/>
  <c r="V990" i="2"/>
  <c r="U795" i="2"/>
  <c r="V989" i="2"/>
  <c r="G1492" i="2"/>
  <c r="P1679" i="2"/>
  <c r="C1476" i="2"/>
  <c r="O1820" i="2"/>
  <c r="E1583" i="2"/>
  <c r="L1388" i="2"/>
  <c r="K1193" i="2"/>
  <c r="G1388" i="2"/>
  <c r="F1193" i="2"/>
  <c r="W1387" i="2"/>
  <c r="W1195" i="2"/>
  <c r="T1665" i="2"/>
  <c r="W1569" i="2"/>
  <c r="I1375" i="2"/>
  <c r="H1180" i="2"/>
  <c r="D1375" i="2"/>
  <c r="C1180" i="2"/>
  <c r="T1374" i="2"/>
  <c r="S1179" i="2"/>
  <c r="M1380" i="2"/>
  <c r="L1185" i="2"/>
  <c r="E991" i="2"/>
  <c r="D796" i="2"/>
  <c r="E990" i="2"/>
  <c r="D795" i="2"/>
  <c r="U989" i="2"/>
  <c r="T794" i="2"/>
  <c r="N1379" i="2"/>
  <c r="M1184" i="2"/>
  <c r="F990" i="2"/>
  <c r="E795" i="2"/>
  <c r="F989" i="2"/>
  <c r="K1440" i="2"/>
  <c r="G1667" i="2"/>
  <c r="G1424" i="2"/>
  <c r="R1795" i="2"/>
  <c r="F1570" i="2"/>
  <c r="M1375" i="2"/>
  <c r="L1180" i="2"/>
  <c r="H1375" i="2"/>
  <c r="G1180" i="2"/>
  <c r="C1375" i="2"/>
  <c r="T1914" i="2"/>
  <c r="R1615" i="2"/>
  <c r="W1553" i="2"/>
  <c r="I1359" i="2"/>
  <c r="H1164" i="2"/>
  <c r="D1359" i="2"/>
  <c r="C1164" i="2"/>
  <c r="T1358" i="2"/>
  <c r="R1172" i="2"/>
  <c r="M1364" i="2"/>
  <c r="L1169" i="2"/>
  <c r="E975" i="2"/>
  <c r="D780" i="2"/>
  <c r="E974" i="2"/>
  <c r="D779" i="2"/>
  <c r="U973" i="2"/>
  <c r="C1171" i="2"/>
  <c r="N1363" i="2"/>
  <c r="M1168" i="2"/>
  <c r="F974" i="2"/>
  <c r="E779" i="2"/>
  <c r="F973" i="2"/>
  <c r="F1425" i="2"/>
  <c r="H1606" i="2"/>
  <c r="W1408" i="2"/>
  <c r="K1913" i="2"/>
  <c r="J1566" i="2"/>
  <c r="Q1371" i="2"/>
  <c r="P1176" i="2"/>
  <c r="L1371" i="2"/>
  <c r="K1176" i="2"/>
  <c r="G1371" i="2"/>
  <c r="U1853" i="2"/>
  <c r="E1608" i="2"/>
  <c r="F1550" i="2"/>
  <c r="M1355" i="2"/>
  <c r="L1160" i="2"/>
  <c r="H1355" i="2"/>
  <c r="G1160" i="2"/>
  <c r="C1355" i="2"/>
  <c r="F1168" i="2"/>
  <c r="Q1360" i="2"/>
  <c r="P1165" i="2"/>
  <c r="I971" i="2"/>
  <c r="H776" i="2"/>
  <c r="I970" i="2"/>
  <c r="H775" i="2"/>
  <c r="D970" i="2"/>
  <c r="G1167" i="2"/>
  <c r="R1359" i="2"/>
  <c r="Q1164" i="2"/>
  <c r="J970" i="2"/>
  <c r="I775" i="2"/>
  <c r="J969" i="2"/>
  <c r="G768" i="2"/>
  <c r="C963" i="2"/>
  <c r="V1160" i="2"/>
  <c r="L1353" i="2"/>
  <c r="K1158" i="2"/>
  <c r="D964" i="2"/>
  <c r="C769" i="2"/>
  <c r="D963" i="2"/>
  <c r="C768" i="2"/>
  <c r="T962" i="2"/>
  <c r="W1159" i="2"/>
  <c r="M1352" i="2"/>
  <c r="L1157" i="2"/>
  <c r="E963" i="2"/>
  <c r="D768" i="2"/>
  <c r="E962" i="2"/>
  <c r="D767" i="2"/>
  <c r="U961" i="2"/>
  <c r="G767" i="2"/>
  <c r="Q960" i="2"/>
  <c r="P765" i="2"/>
  <c r="E571" i="2"/>
  <c r="D376" i="2"/>
  <c r="U570" i="2"/>
  <c r="T375" i="2"/>
  <c r="C571" i="2"/>
  <c r="K1840" i="2"/>
  <c r="V1849" i="2"/>
  <c r="I1742" i="2"/>
  <c r="K2022" i="2"/>
  <c r="T1847" i="2"/>
  <c r="E1846" i="2"/>
  <c r="N1884" i="2"/>
  <c r="E1546" i="2"/>
  <c r="I1682" i="2"/>
  <c r="J1818" i="2"/>
  <c r="Q1859" i="2"/>
  <c r="J1916" i="2"/>
  <c r="G1602" i="2"/>
  <c r="G1543" i="2"/>
  <c r="U1279" i="2"/>
  <c r="N1669" i="2"/>
  <c r="Q1879" i="2"/>
  <c r="U1900" i="2"/>
  <c r="P1549" i="2"/>
  <c r="T1685" i="2"/>
  <c r="I1227" i="2"/>
  <c r="W1616" i="2"/>
  <c r="C1753" i="2"/>
  <c r="R1731" i="2"/>
  <c r="T1669" i="2"/>
  <c r="O1637" i="2"/>
  <c r="S1512" i="2"/>
  <c r="R1317" i="2"/>
  <c r="N1512" i="2"/>
  <c r="M1317" i="2"/>
  <c r="S1761" i="2"/>
  <c r="I1695" i="2"/>
  <c r="T1496" i="2"/>
  <c r="S1301" i="2"/>
  <c r="O1496" i="2"/>
  <c r="N1301" i="2"/>
  <c r="J1496" i="2"/>
  <c r="I1301" i="2"/>
  <c r="W1757" i="2"/>
  <c r="O1693" i="2"/>
  <c r="Q1713" i="2"/>
  <c r="U1423" i="2"/>
  <c r="W1508" i="2"/>
  <c r="V1313" i="2"/>
  <c r="R1508" i="2"/>
  <c r="Q1313" i="2"/>
  <c r="N1746" i="2"/>
  <c r="Q1687" i="2"/>
  <c r="M1867" i="2"/>
  <c r="E1852" i="2"/>
  <c r="L1537" i="2"/>
  <c r="P1673" i="2"/>
  <c r="E1215" i="2"/>
  <c r="S1604" i="2"/>
  <c r="T1740" i="2"/>
  <c r="O1901" i="2"/>
  <c r="R1663" i="2"/>
  <c r="K1625" i="2"/>
  <c r="R1509" i="2"/>
  <c r="Q1314" i="2"/>
  <c r="M1509" i="2"/>
  <c r="L1314" i="2"/>
  <c r="O1749" i="2"/>
  <c r="G1689" i="2"/>
  <c r="S1493" i="2"/>
  <c r="R1298" i="2"/>
  <c r="N1493" i="2"/>
  <c r="M1298" i="2"/>
  <c r="I1493" i="2"/>
  <c r="H1298" i="2"/>
  <c r="S1745" i="2"/>
  <c r="M1687" i="2"/>
  <c r="V1664" i="2"/>
  <c r="S1417" i="2"/>
  <c r="V1505" i="2"/>
  <c r="U1310" i="2"/>
  <c r="Q1505" i="2"/>
  <c r="P1310" i="2"/>
  <c r="J1734" i="2"/>
  <c r="P1684" i="2"/>
  <c r="I1855" i="2"/>
  <c r="J1803" i="2"/>
  <c r="U1719" i="2"/>
  <c r="L1661" i="2"/>
  <c r="L1783" i="2"/>
  <c r="O1592" i="2"/>
  <c r="P1728" i="2"/>
  <c r="G1877" i="2"/>
  <c r="P1657" i="2"/>
  <c r="G1613" i="2"/>
  <c r="Q1506" i="2"/>
  <c r="P1311" i="2"/>
  <c r="L1506" i="2"/>
  <c r="K1311" i="2"/>
  <c r="K1737" i="2"/>
  <c r="K1685" i="2"/>
  <c r="R1490" i="2"/>
  <c r="Q1295" i="2"/>
  <c r="M1490" i="2"/>
  <c r="L1295" i="2"/>
  <c r="H1490" i="2"/>
  <c r="G1295" i="2"/>
  <c r="O1733" i="2"/>
  <c r="L1684" i="2"/>
  <c r="F1616" i="2"/>
  <c r="Q1411" i="2"/>
  <c r="U1502" i="2"/>
  <c r="T1307" i="2"/>
  <c r="P1502" i="2"/>
  <c r="O1307" i="2"/>
  <c r="I1722" i="2"/>
  <c r="O1681" i="2"/>
  <c r="Q1746" i="2"/>
  <c r="N1759" i="2"/>
  <c r="Q1707" i="2"/>
  <c r="H1649" i="2"/>
  <c r="D1759" i="2"/>
  <c r="K1580" i="2"/>
  <c r="O1716" i="2"/>
  <c r="T1852" i="2"/>
  <c r="N1651" i="2"/>
  <c r="C1601" i="2"/>
  <c r="P1503" i="2"/>
  <c r="O1308" i="2"/>
  <c r="K1503" i="2"/>
  <c r="J1308" i="2"/>
  <c r="G1725" i="2"/>
  <c r="J1682" i="2"/>
  <c r="Q1487" i="2"/>
  <c r="P1292" i="2"/>
  <c r="L1487" i="2"/>
  <c r="K1292" i="2"/>
  <c r="G1487" i="2"/>
  <c r="F1292" i="2"/>
  <c r="N1721" i="2"/>
  <c r="K1681" i="2"/>
  <c r="S1591" i="2"/>
  <c r="O1405" i="2"/>
  <c r="T1499" i="2"/>
  <c r="S1304" i="2"/>
  <c r="O1499" i="2"/>
  <c r="N1304" i="2"/>
  <c r="E1710" i="2"/>
  <c r="N1678" i="2"/>
  <c r="U1483" i="2"/>
  <c r="T1288" i="2"/>
  <c r="P1483" i="2"/>
  <c r="O1288" i="2"/>
  <c r="K1483" i="2"/>
  <c r="J1288" i="2"/>
  <c r="H1533" i="2"/>
  <c r="W1317" i="2"/>
  <c r="K1456" i="2"/>
  <c r="J1261" i="2"/>
  <c r="F1456" i="2"/>
  <c r="E1261" i="2"/>
  <c r="K1536" i="2"/>
  <c r="E1635" i="2"/>
  <c r="L1440" i="2"/>
  <c r="K1245" i="2"/>
  <c r="G1440" i="2"/>
  <c r="F1245" i="2"/>
  <c r="W1439" i="2"/>
  <c r="V1244" i="2"/>
  <c r="O1532" i="2"/>
  <c r="F1634" i="2"/>
  <c r="W1348" i="2"/>
  <c r="F1563" i="2"/>
  <c r="S1332" i="2"/>
  <c r="N1730" i="2"/>
  <c r="I1547" i="2"/>
  <c r="P1352" i="2"/>
  <c r="O1157" i="2"/>
  <c r="K1352" i="2"/>
  <c r="J1157" i="2"/>
  <c r="F1352" i="2"/>
  <c r="G1754" i="2"/>
  <c r="C1570" i="2"/>
  <c r="E1531" i="2"/>
  <c r="L1336" i="2"/>
  <c r="K1141" i="2"/>
  <c r="G1336" i="2"/>
  <c r="F1141" i="2"/>
  <c r="W1335" i="2"/>
  <c r="E1149" i="2"/>
  <c r="P1341" i="2"/>
  <c r="O1146" i="2"/>
  <c r="H952" i="2"/>
  <c r="G757" i="2"/>
  <c r="H951" i="2"/>
  <c r="G756" i="2"/>
  <c r="C951" i="2"/>
  <c r="F1148" i="2"/>
  <c r="Q1340" i="2"/>
  <c r="P1145" i="2"/>
  <c r="I951" i="2"/>
  <c r="H756" i="2"/>
  <c r="I950" i="2"/>
  <c r="R1333" i="2"/>
  <c r="Q1532" i="2"/>
  <c r="N1317" i="2"/>
  <c r="G1700" i="2"/>
  <c r="M1543" i="2"/>
  <c r="T1348" i="2"/>
  <c r="S1153" i="2"/>
  <c r="O1348" i="2"/>
  <c r="N1153" i="2"/>
  <c r="J1348" i="2"/>
  <c r="T1480" i="2"/>
  <c r="S1285" i="2"/>
  <c r="O1480" i="2"/>
  <c r="N1285" i="2"/>
  <c r="J1480" i="2"/>
  <c r="I1285" i="2"/>
  <c r="Q1715" i="2"/>
  <c r="U1311" i="2"/>
  <c r="J1453" i="2"/>
  <c r="I1258" i="2"/>
  <c r="E1453" i="2"/>
  <c r="D1258" i="2"/>
  <c r="C1719" i="2"/>
  <c r="D1632" i="2"/>
  <c r="K1437" i="2"/>
  <c r="J1242" i="2"/>
  <c r="F1437" i="2"/>
  <c r="E1242" i="2"/>
  <c r="V1436" i="2"/>
  <c r="U1241" i="2"/>
  <c r="G1715" i="2"/>
  <c r="E1631" i="2"/>
  <c r="S1336" i="2"/>
  <c r="S1538" i="2"/>
  <c r="O1320" i="2"/>
  <c r="I1706" i="2"/>
  <c r="H1544" i="2"/>
  <c r="O1349" i="2"/>
  <c r="N1154" i="2"/>
  <c r="J1349" i="2"/>
  <c r="I1154" i="2"/>
  <c r="E1349" i="2"/>
  <c r="T1729" i="2"/>
  <c r="V1563" i="2"/>
  <c r="L1528" i="2"/>
  <c r="K1333" i="2"/>
  <c r="G1528" i="2"/>
  <c r="F1333" i="2"/>
  <c r="W1527" i="2"/>
  <c r="V1332" i="2"/>
  <c r="D1146" i="2"/>
  <c r="O1338" i="2"/>
  <c r="N1143" i="2"/>
  <c r="G949" i="2"/>
  <c r="F754" i="2"/>
  <c r="G948" i="2"/>
  <c r="F753" i="2"/>
  <c r="W947" i="2"/>
  <c r="E1145" i="2"/>
  <c r="P1337" i="2"/>
  <c r="O1142" i="2"/>
  <c r="H948" i="2"/>
  <c r="G753" i="2"/>
  <c r="H947" i="2"/>
  <c r="N1321" i="2"/>
  <c r="V1702" i="2"/>
  <c r="J1305" i="2"/>
  <c r="T1675" i="2"/>
  <c r="L1540" i="2"/>
  <c r="S1345" i="2"/>
  <c r="R1150" i="2"/>
  <c r="N1345" i="2"/>
  <c r="M1150" i="2"/>
  <c r="I1345" i="2"/>
  <c r="S1477" i="2"/>
  <c r="R1282" i="2"/>
  <c r="N1477" i="2"/>
  <c r="M1282" i="2"/>
  <c r="I1477" i="2"/>
  <c r="H1282" i="2"/>
  <c r="M1703" i="2"/>
  <c r="S1305" i="2"/>
  <c r="I1450" i="2"/>
  <c r="H1255" i="2"/>
  <c r="D1450" i="2"/>
  <c r="C1255" i="2"/>
  <c r="T1706" i="2"/>
  <c r="C1629" i="2"/>
  <c r="J1434" i="2"/>
  <c r="I1239" i="2"/>
  <c r="E1434" i="2"/>
  <c r="D1239" i="2"/>
  <c r="U1433" i="2"/>
  <c r="T1238" i="2"/>
  <c r="C1703" i="2"/>
  <c r="D1628" i="2"/>
  <c r="O1324" i="2"/>
  <c r="C1709" i="2"/>
  <c r="K1308" i="2"/>
  <c r="V1681" i="2"/>
  <c r="G1541" i="2"/>
  <c r="N1346" i="2"/>
  <c r="M1151" i="2"/>
  <c r="I1346" i="2"/>
  <c r="H1151" i="2"/>
  <c r="D1346" i="2"/>
  <c r="Q1899" i="2"/>
  <c r="T1557" i="2"/>
  <c r="K1525" i="2"/>
  <c r="J1330" i="2"/>
  <c r="F1525" i="2"/>
  <c r="E1330" i="2"/>
  <c r="V1524" i="2"/>
  <c r="U1329" i="2"/>
  <c r="C1143" i="2"/>
  <c r="N1335" i="2"/>
  <c r="M1140" i="2"/>
  <c r="F946" i="2"/>
  <c r="E751" i="2"/>
  <c r="F945" i="2"/>
  <c r="I1141" i="2"/>
  <c r="V944" i="2"/>
  <c r="D1142" i="2"/>
  <c r="O1334" i="2"/>
  <c r="N1139" i="2"/>
  <c r="G945" i="2"/>
  <c r="H1139" i="2"/>
  <c r="G944" i="2"/>
  <c r="J1309" i="2"/>
  <c r="E1683" i="2"/>
  <c r="F1293" i="2"/>
  <c r="L1651" i="2"/>
  <c r="K1537" i="2"/>
  <c r="R1342" i="2"/>
  <c r="Q1147" i="2"/>
  <c r="M1342" i="2"/>
  <c r="L1147" i="2"/>
  <c r="H1342" i="2"/>
  <c r="N1462" i="2"/>
  <c r="M1267" i="2"/>
  <c r="I1462" i="2"/>
  <c r="H1267" i="2"/>
  <c r="D1462" i="2"/>
  <c r="C1267" i="2"/>
  <c r="C1665" i="2"/>
  <c r="I1275" i="2"/>
  <c r="D1435" i="2"/>
  <c r="C1240" i="2"/>
  <c r="T1434" i="2"/>
  <c r="S1239" i="2"/>
  <c r="U1645" i="2"/>
  <c r="S1613" i="2"/>
  <c r="E1419" i="2"/>
  <c r="D1224" i="2"/>
  <c r="U1418" i="2"/>
  <c r="T1223" i="2"/>
  <c r="P1418" i="2"/>
  <c r="O1223" i="2"/>
  <c r="D1642" i="2"/>
  <c r="T1612" i="2"/>
  <c r="P1263" i="2"/>
  <c r="K1637" i="2"/>
  <c r="L1247" i="2"/>
  <c r="C1560" i="2"/>
  <c r="J1526" i="2"/>
  <c r="I1331" i="2"/>
  <c r="E1526" i="2"/>
  <c r="D1331" i="2"/>
  <c r="U1525" i="2"/>
  <c r="T1330" i="2"/>
  <c r="E1815" i="2"/>
  <c r="W1721" i="2"/>
  <c r="F1510" i="2"/>
  <c r="E1315" i="2"/>
  <c r="V1509" i="2"/>
  <c r="U1314" i="2"/>
  <c r="Q1509" i="2"/>
  <c r="P1314" i="2"/>
  <c r="J1515" i="2"/>
  <c r="I1320" i="2"/>
  <c r="W1125" i="2"/>
  <c r="V930" i="2"/>
  <c r="W1124" i="2"/>
  <c r="V929" i="2"/>
  <c r="R1124" i="2"/>
  <c r="Q929" i="2"/>
  <c r="K1514" i="2"/>
  <c r="J1319" i="2"/>
  <c r="C1125" i="2"/>
  <c r="W929" i="2"/>
  <c r="C1124" i="2"/>
  <c r="W928" i="2"/>
  <c r="K1248" i="2"/>
  <c r="F1622" i="2"/>
  <c r="G1232" i="2"/>
  <c r="M1724" i="2"/>
  <c r="N1522" i="2"/>
  <c r="M1327" i="2"/>
  <c r="I1522" i="2"/>
  <c r="H1327" i="2"/>
  <c r="D1522" i="2"/>
  <c r="C1327" i="2"/>
  <c r="D1812" i="2"/>
  <c r="L1720" i="2"/>
  <c r="K1509" i="2"/>
  <c r="J1314" i="2"/>
  <c r="F1509" i="2"/>
  <c r="E1314" i="2"/>
  <c r="L2218" i="2"/>
  <c r="F1954" i="2"/>
  <c r="W2134" i="2"/>
  <c r="U2373" i="2"/>
  <c r="V2294" i="2"/>
  <c r="D2087" i="2"/>
  <c r="H2074" i="2"/>
  <c r="C2265" i="2"/>
  <c r="F2469" i="2"/>
  <c r="M2121" i="2"/>
  <c r="I2013" i="2"/>
  <c r="J2132" i="2"/>
  <c r="N2128" i="2"/>
  <c r="H1869" i="2"/>
  <c r="E2433" i="2"/>
  <c r="W1834" i="2"/>
  <c r="G1834" i="2"/>
  <c r="K1830" i="2"/>
  <c r="P1889" i="2"/>
  <c r="J1654" i="2"/>
  <c r="O1536" i="2"/>
  <c r="R1603" i="2"/>
  <c r="Q2151" i="2"/>
  <c r="R1819" i="2"/>
  <c r="W1818" i="2"/>
  <c r="F1815" i="2"/>
  <c r="C1963" i="2"/>
  <c r="F2120" i="2"/>
  <c r="J2116" i="2"/>
  <c r="D1857" i="2"/>
  <c r="U2163" i="2"/>
  <c r="S1822" i="2"/>
  <c r="C1822" i="2"/>
  <c r="G1818" i="2"/>
  <c r="H1865" i="2"/>
  <c r="F1642" i="2"/>
  <c r="G1719" i="2"/>
  <c r="N1591" i="2"/>
  <c r="C2264" i="2"/>
  <c r="N1807" i="2"/>
  <c r="S1806" i="2"/>
  <c r="W1802" i="2"/>
  <c r="U2165" i="2"/>
  <c r="I2156" i="2"/>
  <c r="M2152" i="2"/>
  <c r="E1796" i="2"/>
  <c r="Q2113" i="2"/>
  <c r="G2044" i="2"/>
  <c r="L2043" i="2"/>
  <c r="P2039" i="2"/>
  <c r="V1795" i="2"/>
  <c r="G1581" i="2"/>
  <c r="H1658" i="2"/>
  <c r="O1530" i="2"/>
  <c r="T2149" i="2"/>
  <c r="W2028" i="2"/>
  <c r="G2028" i="2"/>
  <c r="K2024" i="2"/>
  <c r="C2171" i="2"/>
  <c r="V2144" i="2"/>
  <c r="S2139" i="2"/>
  <c r="E2141" i="2"/>
  <c r="F2140" i="2"/>
  <c r="R2140" i="2"/>
  <c r="U2106" i="2"/>
  <c r="K2056" i="2"/>
  <c r="F1883" i="2"/>
  <c r="L1881" i="2"/>
  <c r="W1923" i="2"/>
  <c r="V2389" i="2"/>
  <c r="K2269" i="2"/>
  <c r="S2261" i="2"/>
  <c r="C1982" i="2"/>
  <c r="K2029" i="2"/>
  <c r="U1848" i="2"/>
  <c r="F1847" i="2"/>
  <c r="F2132" i="2"/>
  <c r="P2019" i="2"/>
  <c r="E1848" i="2"/>
  <c r="K1846" i="2"/>
  <c r="S2123" i="2"/>
  <c r="T2015" i="2"/>
  <c r="I1844" i="2"/>
  <c r="O1842" i="2"/>
  <c r="G1874" i="2"/>
  <c r="W1542" i="2"/>
  <c r="F1679" i="2"/>
  <c r="C1914" i="2"/>
  <c r="U1657" i="2"/>
  <c r="H1599" i="2"/>
  <c r="I1735" i="2"/>
  <c r="N1666" i="2"/>
  <c r="T1888" i="2"/>
  <c r="K1666" i="2"/>
  <c r="K1607" i="2"/>
  <c r="S1548" i="2"/>
  <c r="H1480" i="2"/>
  <c r="E1887" i="2"/>
  <c r="K1776" i="2"/>
  <c r="V1615" i="2"/>
  <c r="V1556" i="2"/>
  <c r="E2570" i="2"/>
  <c r="D2366" i="2"/>
  <c r="O2335" i="2"/>
  <c r="D1921" i="2"/>
  <c r="V1998" i="2"/>
  <c r="P1833" i="2"/>
  <c r="V1831" i="2"/>
  <c r="J2277" i="2"/>
  <c r="K2004" i="2"/>
  <c r="U1832" i="2"/>
  <c r="F1831" i="2"/>
  <c r="E2262" i="2"/>
  <c r="O2000" i="2"/>
  <c r="D1829" i="2"/>
  <c r="J1827" i="2"/>
  <c r="H1813" i="2"/>
  <c r="J1722" i="2"/>
  <c r="V1663" i="2"/>
  <c r="M1737" i="2"/>
  <c r="C1667" i="2"/>
  <c r="K1608" i="2"/>
  <c r="L1744" i="2"/>
  <c r="Q1675" i="2"/>
  <c r="W1897" i="2"/>
  <c r="N1675" i="2"/>
  <c r="N1616" i="2"/>
  <c r="V1557" i="2"/>
  <c r="K1489" i="2"/>
  <c r="K1905" i="2"/>
  <c r="W1812" i="2"/>
  <c r="D1625" i="2"/>
  <c r="L2210" i="2"/>
  <c r="P2342" i="2"/>
  <c r="K2323" i="2"/>
  <c r="K2006" i="2"/>
  <c r="O2041" i="2"/>
  <c r="W1854" i="2"/>
  <c r="H1853" i="2"/>
  <c r="J2144" i="2"/>
  <c r="R2025" i="2"/>
  <c r="G1854" i="2"/>
  <c r="M1852" i="2"/>
  <c r="W2135" i="2"/>
  <c r="V2021" i="2"/>
  <c r="K1850" i="2"/>
  <c r="Q1848" i="2"/>
  <c r="O1898" i="2"/>
  <c r="D1549" i="2"/>
  <c r="H1685" i="2"/>
  <c r="K1731" i="2"/>
  <c r="W1663" i="2"/>
  <c r="J1605" i="2"/>
  <c r="K1741" i="2"/>
  <c r="P1672" i="2"/>
  <c r="V1894" i="2"/>
  <c r="M1672" i="2"/>
  <c r="M1613" i="2"/>
  <c r="U1554" i="2"/>
  <c r="J1486" i="2"/>
  <c r="I1899" i="2"/>
  <c r="S1800" i="2"/>
  <c r="C1622" i="2"/>
  <c r="C1563" i="2"/>
  <c r="E2271" i="2"/>
  <c r="R1973" i="2"/>
  <c r="W1972" i="2"/>
  <c r="Q1866" i="2"/>
  <c r="K2038" i="2"/>
  <c r="V1817" i="2"/>
  <c r="G2026" i="2"/>
  <c r="D2125" i="2"/>
  <c r="F1828" i="2"/>
  <c r="U2156" i="2"/>
  <c r="S1897" i="2"/>
  <c r="W1599" i="2"/>
  <c r="O1912" i="2"/>
  <c r="Q1774" i="2"/>
  <c r="F1609" i="2"/>
  <c r="Q1723" i="2"/>
  <c r="C2048" i="2"/>
  <c r="Q2042" i="2"/>
  <c r="W1798" i="2"/>
  <c r="L1829" i="2"/>
  <c r="D1606" i="2"/>
  <c r="L1547" i="2"/>
  <c r="P1683" i="2"/>
  <c r="R1614" i="2"/>
  <c r="D1771" i="2"/>
  <c r="O1614" i="2"/>
  <c r="O1555" i="2"/>
  <c r="S1691" i="2"/>
  <c r="L1428" i="2"/>
  <c r="W1817" i="2"/>
  <c r="W1763" i="2"/>
  <c r="E1564" i="2"/>
  <c r="E2143" i="2"/>
  <c r="U2142" i="2"/>
  <c r="D2139" i="2"/>
  <c r="C1957" i="2"/>
  <c r="Q1919" i="2"/>
  <c r="C1794" i="2"/>
  <c r="I1792" i="2"/>
  <c r="R2163" i="2"/>
  <c r="S1964" i="2"/>
  <c r="H1793" i="2"/>
  <c r="N1791" i="2"/>
  <c r="V2159" i="2"/>
  <c r="W1960" i="2"/>
  <c r="L1789" i="2"/>
  <c r="R1787" i="2"/>
  <c r="U1903" i="2"/>
  <c r="V1809" i="2"/>
  <c r="I1624" i="2"/>
  <c r="K1826" i="2"/>
  <c r="C1603" i="2"/>
  <c r="K1544" i="2"/>
  <c r="O1680" i="2"/>
  <c r="Q1611" i="2"/>
  <c r="U1758" i="2"/>
  <c r="N1611" i="2"/>
  <c r="N1552" i="2"/>
  <c r="R1688" i="2"/>
  <c r="K1425" i="2"/>
  <c r="V1814" i="2"/>
  <c r="S1751" i="2"/>
  <c r="D1561" i="2"/>
  <c r="H1697" i="2"/>
  <c r="V2199" i="2"/>
  <c r="M1730" i="2"/>
  <c r="R1729" i="2"/>
  <c r="S2103" i="2"/>
  <c r="C1989" i="2"/>
  <c r="C2055" i="2"/>
  <c r="T1976" i="2"/>
  <c r="D1946" i="2"/>
  <c r="F1922" i="2"/>
  <c r="R2107" i="2"/>
  <c r="L1631" i="2"/>
  <c r="J1551" i="2"/>
  <c r="M1729" i="2"/>
  <c r="Q1725" i="2"/>
  <c r="F1560" i="2"/>
  <c r="M1811" i="2"/>
  <c r="H1803" i="2"/>
  <c r="L1799" i="2"/>
  <c r="G1810" i="2"/>
  <c r="H1817" i="2"/>
  <c r="U1593" i="2"/>
  <c r="H1535" i="2"/>
  <c r="L1671" i="2"/>
  <c r="N1602" i="2"/>
  <c r="E1917" i="2"/>
  <c r="K1602" i="2"/>
  <c r="K1543" i="2"/>
  <c r="O1679" i="2"/>
  <c r="L1634" i="2"/>
  <c r="H1416" i="2"/>
  <c r="C1834" i="2"/>
  <c r="S1805" i="2"/>
  <c r="P1610" i="2"/>
  <c r="C1910" i="2"/>
  <c r="C1552" i="2"/>
  <c r="V1551" i="2"/>
  <c r="G1688" i="2"/>
  <c r="S2145" i="2"/>
  <c r="J2045" i="2"/>
  <c r="N2229" i="2"/>
  <c r="N2089" i="2"/>
  <c r="I2214" i="2"/>
  <c r="R2085" i="2"/>
  <c r="E2102" i="2"/>
  <c r="J1732" i="2"/>
  <c r="F2089" i="2"/>
  <c r="I1782" i="2"/>
  <c r="T1781" i="2"/>
  <c r="O1780" i="2"/>
  <c r="E1780" i="2"/>
  <c r="S1867" i="2"/>
  <c r="N2151" i="2"/>
  <c r="E1956" i="2"/>
  <c r="O1952" i="2"/>
  <c r="N1781" i="2"/>
  <c r="D1781" i="2"/>
  <c r="T1779" i="2"/>
  <c r="J1779" i="2"/>
  <c r="C1867" i="2"/>
  <c r="R2147" i="2"/>
  <c r="I1952" i="2"/>
  <c r="S1948" i="2"/>
  <c r="R1777" i="2"/>
  <c r="H1777" i="2"/>
  <c r="C1776" i="2"/>
  <c r="N1775" i="2"/>
  <c r="J1744" i="2"/>
  <c r="M1879" i="2"/>
  <c r="T1670" i="2"/>
  <c r="F1761" i="2"/>
  <c r="G1612" i="2"/>
  <c r="E1612" i="2"/>
  <c r="H1748" i="2"/>
  <c r="G1814" i="2"/>
  <c r="W1785" i="2"/>
  <c r="T1590" i="2"/>
  <c r="S1830" i="2"/>
  <c r="G1532" i="2"/>
  <c r="E1532" i="2"/>
  <c r="K1668" i="2"/>
  <c r="I1668" i="2"/>
  <c r="M1599" i="2"/>
  <c r="S1209" i="2"/>
  <c r="V1904" i="2"/>
  <c r="L1599" i="2"/>
  <c r="J1599" i="2"/>
  <c r="M1735" i="2"/>
  <c r="J1540" i="2"/>
  <c r="V1890" i="2"/>
  <c r="N1676" i="2"/>
  <c r="H1622" i="2"/>
  <c r="G1413" i="2"/>
  <c r="W1830" i="2"/>
  <c r="R1802" i="2"/>
  <c r="O1607" i="2"/>
  <c r="T1897" i="2"/>
  <c r="W1548" i="2"/>
  <c r="U1548" i="2"/>
  <c r="F1685" i="2"/>
  <c r="D1685" i="2"/>
  <c r="G1826" i="2"/>
  <c r="U1375" i="2"/>
  <c r="S2010" i="2"/>
  <c r="I2076" i="2"/>
  <c r="L1915" i="2"/>
  <c r="N1876" i="2"/>
  <c r="V1961" i="2"/>
  <c r="O2050" i="2"/>
  <c r="S1875" i="2"/>
  <c r="R2128" i="2"/>
  <c r="M2125" i="2"/>
  <c r="F2103" i="2"/>
  <c r="T1959" i="2"/>
  <c r="N1852" i="2"/>
  <c r="H1940" i="2"/>
  <c r="D2177" i="2"/>
  <c r="T2173" i="2"/>
  <c r="K2054" i="2"/>
  <c r="P1947" i="2"/>
  <c r="J1840" i="2"/>
  <c r="D1928" i="2"/>
  <c r="R1998" i="2"/>
  <c r="L1933" i="2"/>
  <c r="L1945" i="2"/>
  <c r="G1840" i="2"/>
  <c r="H1838" i="2"/>
  <c r="U2113" i="2"/>
  <c r="R1887" i="2"/>
  <c r="J1973" i="2"/>
  <c r="W2058" i="2"/>
  <c r="V1883" i="2"/>
  <c r="N1969" i="2"/>
  <c r="Q1582" i="2"/>
  <c r="S1718" i="2"/>
  <c r="T1725" i="2"/>
  <c r="G1697" i="2"/>
  <c r="V1774" i="2"/>
  <c r="M1511" i="2"/>
  <c r="N1875" i="2"/>
  <c r="Q1766" i="2"/>
  <c r="F2046" i="2"/>
  <c r="R1871" i="2"/>
  <c r="M1738" i="2"/>
  <c r="H1570" i="2"/>
  <c r="O1706" i="2"/>
  <c r="L1908" i="2"/>
  <c r="O1821" i="2"/>
  <c r="R1762" i="2"/>
  <c r="H1304" i="2"/>
  <c r="N1862" i="2"/>
  <c r="M1754" i="2"/>
  <c r="D2031" i="2"/>
  <c r="R1858" i="2"/>
  <c r="V1908" i="2"/>
  <c r="G1558" i="2"/>
  <c r="W1693" i="2"/>
  <c r="D1884" i="2"/>
  <c r="M1614" i="2"/>
  <c r="P1555" i="2"/>
  <c r="I1756" i="2"/>
  <c r="O1825" i="2"/>
  <c r="V1581" i="2"/>
  <c r="V1532" i="2"/>
  <c r="L1794" i="2"/>
  <c r="E1718" i="2"/>
  <c r="E1669" i="2"/>
  <c r="R1571" i="2"/>
  <c r="U1855" i="2"/>
  <c r="M1610" i="2"/>
  <c r="V1707" i="2"/>
  <c r="F1552" i="2"/>
  <c r="O1541" i="2"/>
  <c r="K1249" i="2"/>
  <c r="L1813" i="2"/>
  <c r="E1868" i="2"/>
  <c r="D1639" i="2"/>
  <c r="D1590" i="2"/>
  <c r="L1541" i="2"/>
  <c r="E1775" i="2"/>
  <c r="L1531" i="2"/>
  <c r="P1677" i="2"/>
  <c r="J1787" i="2"/>
  <c r="P1667" i="2"/>
  <c r="P1618" i="2"/>
  <c r="V1585" i="2"/>
  <c r="R1598" i="2"/>
  <c r="I1355" i="2"/>
  <c r="Q1892" i="2"/>
  <c r="U1901" i="2"/>
  <c r="T1744" i="2"/>
  <c r="G1647" i="2"/>
  <c r="O1598" i="2"/>
  <c r="O1909" i="2"/>
  <c r="O1588" i="2"/>
  <c r="O1539" i="2"/>
  <c r="J1821" i="2"/>
  <c r="P1724" i="2"/>
  <c r="S1675" i="2"/>
  <c r="D2190" i="2"/>
  <c r="S2047" i="2"/>
  <c r="T2076" i="2"/>
  <c r="F2044" i="2"/>
  <c r="W2041" i="2"/>
  <c r="R2136" i="2"/>
  <c r="J2040" i="2"/>
  <c r="F2038" i="2"/>
  <c r="S2100" i="2"/>
  <c r="F1857" i="2"/>
  <c r="P1878" i="2"/>
  <c r="V1920" i="2"/>
  <c r="N1965" i="2"/>
  <c r="U1818" i="2"/>
  <c r="U1769" i="2"/>
  <c r="E1915" i="2"/>
  <c r="F1817" i="2"/>
  <c r="F1768" i="2"/>
  <c r="N2001" i="2"/>
  <c r="J1904" i="2"/>
  <c r="J1855" i="2"/>
  <c r="T2090" i="2"/>
  <c r="Q1992" i="2"/>
  <c r="I1943" i="2"/>
  <c r="G1892" i="2"/>
  <c r="E1818" i="2"/>
  <c r="E1769" i="2"/>
  <c r="J1914" i="2"/>
  <c r="K1816" i="2"/>
  <c r="K1767" i="2"/>
  <c r="S2000" i="2"/>
  <c r="O1903" i="2"/>
  <c r="O1854" i="2"/>
  <c r="C2087" i="2"/>
  <c r="U1988" i="2"/>
  <c r="M1939" i="2"/>
  <c r="K1888" i="2"/>
  <c r="I1814" i="2"/>
  <c r="I1765" i="2"/>
  <c r="D1765" i="2"/>
  <c r="I1958" i="2"/>
  <c r="T1763" i="2"/>
  <c r="O1763" i="2"/>
  <c r="M2046" i="2"/>
  <c r="H1851" i="2"/>
  <c r="S1914" i="2"/>
  <c r="G1881" i="2"/>
  <c r="E1855" i="2"/>
  <c r="U1658" i="2"/>
  <c r="P1658" i="2"/>
  <c r="S1658" i="2"/>
  <c r="G1907" i="2"/>
  <c r="V1794" i="2"/>
  <c r="C1600" i="2"/>
  <c r="S1599" i="2"/>
  <c r="V1599" i="2"/>
  <c r="O1866" i="2"/>
  <c r="D1736" i="2"/>
  <c r="C1756" i="2"/>
  <c r="C1802" i="2"/>
  <c r="P1822" i="2"/>
  <c r="S1773" i="2"/>
  <c r="U1578" i="2"/>
  <c r="P1578" i="2"/>
  <c r="S1578" i="2"/>
  <c r="C1782" i="2"/>
  <c r="D1715" i="2"/>
  <c r="T1714" i="2"/>
  <c r="W1714" i="2"/>
  <c r="N1714" i="2"/>
  <c r="E1851" i="2"/>
  <c r="G1656" i="2"/>
  <c r="W1655" i="2"/>
  <c r="E1656" i="2"/>
  <c r="W1539" i="2"/>
  <c r="I1587" i="2"/>
  <c r="P1392" i="2"/>
  <c r="C1772" i="2"/>
  <c r="K1810" i="2"/>
  <c r="F1856" i="2"/>
  <c r="F1782" i="2"/>
  <c r="H1587" i="2"/>
  <c r="C1587" i="2"/>
  <c r="F1587" i="2"/>
  <c r="N1815" i="2"/>
  <c r="L1723" i="2"/>
  <c r="G1723" i="2"/>
  <c r="J1723" i="2"/>
  <c r="V1722" i="2"/>
  <c r="N1866" i="2"/>
  <c r="O1664" i="2"/>
  <c r="J1664" i="2"/>
  <c r="M1664" i="2"/>
  <c r="M1573" i="2"/>
  <c r="Q1595" i="2"/>
  <c r="C1401" i="2"/>
  <c r="W1205" i="2"/>
  <c r="S1818" i="2"/>
  <c r="Q1889" i="2"/>
  <c r="N1790" i="2"/>
  <c r="P1595" i="2"/>
  <c r="K1595" i="2"/>
  <c r="N1595" i="2"/>
  <c r="D1849" i="2"/>
  <c r="Q1731" i="2"/>
  <c r="S1536" i="2"/>
  <c r="N1536" i="2"/>
  <c r="Q1536" i="2"/>
  <c r="I1883" i="2"/>
  <c r="W1672" i="2"/>
  <c r="R1672" i="2"/>
  <c r="U1672" i="2"/>
  <c r="K1556" i="2"/>
  <c r="Q1643" i="2"/>
  <c r="W1253" i="2"/>
  <c r="T2009" i="2"/>
  <c r="E2079" i="2"/>
  <c r="I2075" i="2"/>
  <c r="I2152" i="2"/>
  <c r="S1827" i="2"/>
  <c r="D1826" i="2"/>
  <c r="H1913" i="2"/>
  <c r="G2001" i="2"/>
  <c r="G2416" i="2"/>
  <c r="W2309" i="2"/>
  <c r="J2150" i="2"/>
  <c r="O2043" i="2"/>
  <c r="W1962" i="2"/>
  <c r="U1912" i="2"/>
  <c r="F1911" i="2"/>
  <c r="Q2019" i="2"/>
  <c r="M2355" i="2"/>
  <c r="M2182" i="2"/>
  <c r="T2175" i="2"/>
  <c r="T1994" i="2"/>
  <c r="O1938" i="2"/>
  <c r="Q1900" i="2"/>
  <c r="W1898" i="2"/>
  <c r="V1970" i="2"/>
  <c r="F2073" i="2"/>
  <c r="C2223" i="2"/>
  <c r="Q2130" i="2"/>
  <c r="U2126" i="2"/>
  <c r="T1944" i="2"/>
  <c r="L2107" i="2"/>
  <c r="W1790" i="2"/>
  <c r="H1789" i="2"/>
  <c r="Q2160" i="2"/>
  <c r="V2033" i="2"/>
  <c r="R1837" i="2"/>
  <c r="E1730" i="2"/>
  <c r="G2010" i="2"/>
  <c r="P1835" i="2"/>
  <c r="V1833" i="2"/>
  <c r="F1860" i="2"/>
  <c r="V1533" i="2"/>
  <c r="E1670" i="2"/>
  <c r="F1806" i="2"/>
  <c r="U1843" i="2"/>
  <c r="O1867" i="2"/>
  <c r="C1590" i="2"/>
  <c r="C1531" i="2"/>
  <c r="Q1267" i="2"/>
  <c r="S1826" i="2"/>
  <c r="D1825" i="2"/>
  <c r="R2237" i="2"/>
  <c r="M1994" i="2"/>
  <c r="W1822" i="2"/>
  <c r="H1821" i="2"/>
  <c r="U1788" i="2"/>
  <c r="H1716" i="2"/>
  <c r="T1657" i="2"/>
  <c r="J1871" i="2"/>
  <c r="N1636" i="2"/>
  <c r="V1577" i="2"/>
  <c r="E1714" i="2"/>
  <c r="G1645" i="2"/>
  <c r="F1985" i="2"/>
  <c r="J1813" i="2"/>
  <c r="N1900" i="2"/>
  <c r="T1985" i="2"/>
  <c r="H1811" i="2"/>
  <c r="N1809" i="2"/>
  <c r="K1811" i="2"/>
  <c r="J1704" i="2"/>
  <c r="R1645" i="2"/>
  <c r="S1781" i="2"/>
  <c r="M1819" i="2"/>
  <c r="D1770" i="2"/>
  <c r="P1565" i="2"/>
  <c r="T1701" i="2"/>
  <c r="T1340" i="2"/>
  <c r="P1753" i="2"/>
  <c r="I2034" i="2"/>
  <c r="I2120" i="2"/>
  <c r="J1921" i="2"/>
  <c r="T1749" i="2"/>
  <c r="M2030" i="2"/>
  <c r="N1838" i="2"/>
  <c r="H1846" i="2"/>
  <c r="Q1584" i="2"/>
  <c r="S1786" i="2"/>
  <c r="K1563" i="2"/>
  <c r="O1699" i="2"/>
  <c r="W1640" i="2"/>
  <c r="D1572" i="2"/>
  <c r="G1795" i="2"/>
  <c r="V1571" i="2"/>
  <c r="F1596" i="2"/>
  <c r="C1647" i="2"/>
  <c r="K1588" i="2"/>
  <c r="U1519" i="2"/>
  <c r="R1779" i="2"/>
  <c r="W1713" i="2"/>
  <c r="N1655" i="2"/>
  <c r="V1620" i="2"/>
  <c r="W1543" i="2"/>
  <c r="D1196" i="2"/>
  <c r="U1390" i="2"/>
  <c r="T1195" i="2"/>
  <c r="P1390" i="2"/>
  <c r="O1195" i="2"/>
  <c r="I1664" i="2"/>
  <c r="O1569" i="2"/>
  <c r="V1374" i="2"/>
  <c r="U1179" i="2"/>
  <c r="Q1374" i="2"/>
  <c r="P1179" i="2"/>
  <c r="L1374" i="2"/>
  <c r="K1179" i="2"/>
  <c r="M1660" i="2"/>
  <c r="U1601" i="2"/>
  <c r="S1569" i="2"/>
  <c r="H1192" i="2"/>
  <c r="D1387" i="2"/>
  <c r="C1192" i="2"/>
  <c r="T1386" i="2"/>
  <c r="S1191" i="2"/>
  <c r="D1649" i="2"/>
  <c r="S1565" i="2"/>
  <c r="W1583" i="2"/>
  <c r="T1634" i="2"/>
  <c r="G1576" i="2"/>
  <c r="Q1507" i="2"/>
  <c r="R1747" i="2"/>
  <c r="S1701" i="2"/>
  <c r="J1643" i="2"/>
  <c r="T1614" i="2"/>
  <c r="S1714" i="2"/>
  <c r="C1193" i="2"/>
  <c r="T1387" i="2"/>
  <c r="S1192" i="2"/>
  <c r="O1387" i="2"/>
  <c r="N1192" i="2"/>
  <c r="E1652" i="2"/>
  <c r="N1566" i="2"/>
  <c r="U1371" i="2"/>
  <c r="T1176" i="2"/>
  <c r="P1371" i="2"/>
  <c r="O1176" i="2"/>
  <c r="K1371" i="2"/>
  <c r="J1176" i="2"/>
  <c r="I1648" i="2"/>
  <c r="Q1589" i="2"/>
  <c r="Q1563" i="2"/>
  <c r="G1189" i="2"/>
  <c r="C1384" i="2"/>
  <c r="W1188" i="2"/>
  <c r="S1383" i="2"/>
  <c r="R1188" i="2"/>
  <c r="U1636" i="2"/>
  <c r="R1562" i="2"/>
  <c r="O1559" i="2"/>
  <c r="P1622" i="2"/>
  <c r="K2026" i="2"/>
  <c r="L2183" i="2"/>
  <c r="P2293" i="2"/>
  <c r="M2082" i="2"/>
  <c r="I2274" i="2"/>
  <c r="D1468" i="2"/>
  <c r="J2213" i="2"/>
  <c r="E2058" i="2"/>
  <c r="N2225" i="2"/>
  <c r="U1455" i="2"/>
  <c r="F2175" i="2"/>
  <c r="I2168" i="2"/>
  <c r="L2129" i="2"/>
  <c r="V1394" i="2"/>
  <c r="G2114" i="2"/>
  <c r="E2194" i="2"/>
  <c r="T2058" i="2"/>
  <c r="J1923" i="2"/>
  <c r="L1807" i="2"/>
  <c r="S2023" i="2"/>
  <c r="W2019" i="2"/>
  <c r="W1737" i="2"/>
  <c r="C1658" i="2"/>
  <c r="J1870" i="2"/>
  <c r="G1285" i="2"/>
  <c r="C1729" i="2"/>
  <c r="M1746" i="2"/>
  <c r="N2008" i="2"/>
  <c r="R2004" i="2"/>
  <c r="U1722" i="2"/>
  <c r="F1667" i="2"/>
  <c r="P1888" i="2"/>
  <c r="J1294" i="2"/>
  <c r="C2147" i="2"/>
  <c r="G1844" i="2"/>
  <c r="H1831" i="2"/>
  <c r="R2045" i="2"/>
  <c r="D1908" i="2"/>
  <c r="E1605" i="2"/>
  <c r="H1767" i="2"/>
  <c r="W1680" i="2"/>
  <c r="I2078" i="2"/>
  <c r="J1999" i="2"/>
  <c r="V2110" i="2"/>
  <c r="S1776" i="2"/>
  <c r="M2132" i="2"/>
  <c r="G1606" i="2"/>
  <c r="O1809" i="2"/>
  <c r="K1233" i="2"/>
  <c r="E2225" i="2"/>
  <c r="W1988" i="2"/>
  <c r="G1988" i="2"/>
  <c r="K1984" i="2"/>
  <c r="I1819" i="2"/>
  <c r="F1544" i="2"/>
  <c r="D1913" i="2"/>
  <c r="C1620" i="2"/>
  <c r="J2080" i="2"/>
  <c r="H2287" i="2"/>
  <c r="M2010" i="2"/>
  <c r="S1727" i="2"/>
  <c r="J2083" i="2"/>
  <c r="C1594" i="2"/>
  <c r="K1797" i="2"/>
  <c r="Q1659" i="2"/>
  <c r="N1659" i="2"/>
  <c r="V1541" i="2"/>
  <c r="I2091" i="2"/>
  <c r="M2164" i="2"/>
  <c r="E1829" i="2"/>
  <c r="H2004" i="2"/>
  <c r="J1828" i="2"/>
  <c r="L2000" i="2"/>
  <c r="N1824" i="2"/>
  <c r="R1719" i="2"/>
  <c r="E1602" i="2"/>
  <c r="U1775" i="2"/>
  <c r="W1588" i="2"/>
  <c r="W1647" i="2"/>
  <c r="K1725" i="2"/>
  <c r="V1878" i="2"/>
  <c r="M1597" i="2"/>
  <c r="E1668" i="2"/>
  <c r="T1807" i="2"/>
  <c r="E2352" i="2"/>
  <c r="J1765" i="2"/>
  <c r="M2222" i="2"/>
  <c r="O1948" i="2"/>
  <c r="W1839" i="2"/>
  <c r="U1778" i="2"/>
  <c r="O1582" i="2"/>
  <c r="C1580" i="2"/>
  <c r="H2043" i="2"/>
  <c r="R1842" i="2"/>
  <c r="D1790" i="2"/>
  <c r="I1858" i="2"/>
  <c r="E1673" i="2"/>
  <c r="T1776" i="2"/>
  <c r="J1669" i="2"/>
  <c r="S1707" i="2"/>
  <c r="E1778" i="2"/>
  <c r="I1541" i="2"/>
  <c r="E1580" i="2"/>
  <c r="Q1585" i="2"/>
  <c r="P1901" i="2"/>
  <c r="M1783" i="2"/>
  <c r="C1676" i="2"/>
  <c r="E2227" i="2"/>
  <c r="E2039" i="2"/>
  <c r="K1878" i="2"/>
  <c r="V1915" i="2"/>
  <c r="O1904" i="2"/>
  <c r="V1943" i="2"/>
  <c r="F1915" i="2"/>
  <c r="T1903" i="2"/>
  <c r="E1940" i="2"/>
  <c r="J1911" i="2"/>
  <c r="P1909" i="2"/>
  <c r="S1752" i="2"/>
  <c r="C1610" i="2"/>
  <c r="C1551" i="2"/>
  <c r="I1853" i="2"/>
  <c r="E1530" i="2"/>
  <c r="I1666" i="2"/>
  <c r="J1802" i="2"/>
  <c r="D1585" i="2"/>
  <c r="P1761" i="2"/>
  <c r="H1538" i="2"/>
  <c r="L1674" i="2"/>
  <c r="T1615" i="2"/>
  <c r="V1546" i="2"/>
  <c r="L1889" i="2"/>
  <c r="S1546" i="2"/>
  <c r="W1682" i="2"/>
  <c r="W1623" i="2"/>
  <c r="I2423" i="2"/>
  <c r="R1986" i="2"/>
  <c r="I1998" i="2"/>
  <c r="W1844" i="2"/>
  <c r="S2087" i="2"/>
  <c r="E2014" i="2"/>
  <c r="O2075" i="2"/>
  <c r="K1929" i="2"/>
  <c r="F1877" i="2"/>
  <c r="U1729" i="2"/>
  <c r="D1757" i="2"/>
  <c r="W1648" i="2"/>
  <c r="R1911" i="2"/>
  <c r="V2017" i="2"/>
  <c r="G1853" i="2"/>
  <c r="Q1577" i="2"/>
  <c r="E1813" i="2"/>
  <c r="I1809" i="2"/>
  <c r="U1586" i="2"/>
  <c r="T1722" i="2"/>
  <c r="M1925" i="2"/>
  <c r="P1643" i="2"/>
  <c r="N1563" i="2"/>
  <c r="V1766" i="2"/>
  <c r="F1588" i="2"/>
  <c r="H1894" i="2"/>
  <c r="E1342" i="2"/>
  <c r="L1549" i="2"/>
  <c r="V1325" i="2"/>
  <c r="R1547" i="2"/>
  <c r="I1338" i="2"/>
  <c r="T1541" i="2"/>
  <c r="W1575" i="2"/>
  <c r="M1845" i="2"/>
  <c r="D1339" i="2"/>
  <c r="J1543" i="2"/>
  <c r="U1322" i="2"/>
  <c r="P1541" i="2"/>
  <c r="H1335" i="2"/>
  <c r="R1535" i="2"/>
  <c r="C1564" i="2"/>
  <c r="O1917" i="2"/>
  <c r="F1631" i="2"/>
  <c r="K1690" i="2"/>
  <c r="S1384" i="2"/>
  <c r="N1384" i="2"/>
  <c r="V1639" i="2"/>
  <c r="T1368" i="2"/>
  <c r="O1368" i="2"/>
  <c r="J1368" i="2"/>
  <c r="E1636" i="2"/>
  <c r="O1557" i="2"/>
  <c r="W1380" i="2"/>
  <c r="R1380" i="2"/>
  <c r="F1627" i="2"/>
  <c r="K1547" i="2"/>
  <c r="T1551" i="2"/>
  <c r="G1893" i="2"/>
  <c r="W1618" i="2"/>
  <c r="C1666" i="2"/>
  <c r="R1381" i="2"/>
  <c r="M1381" i="2"/>
  <c r="Q1628" i="2"/>
  <c r="S1365" i="2"/>
  <c r="N1365" i="2"/>
  <c r="I1365" i="2"/>
  <c r="W1626" i="2"/>
  <c r="M1551" i="2"/>
  <c r="V1377" i="2"/>
  <c r="Q1377" i="2"/>
  <c r="D1621" i="2"/>
  <c r="W1361" i="2"/>
  <c r="R1361" i="2"/>
  <c r="M1361" i="2"/>
  <c r="H1464" i="2"/>
  <c r="M1334" i="2"/>
  <c r="H1334" i="2"/>
  <c r="G1534" i="2"/>
  <c r="N1318" i="2"/>
  <c r="I1318" i="2"/>
  <c r="D1318" i="2"/>
  <c r="M1532" i="2"/>
  <c r="G1251" i="2"/>
  <c r="Q1245" i="2"/>
  <c r="S1425" i="2"/>
  <c r="N1425" i="2"/>
  <c r="I1425" i="2"/>
  <c r="S1607" i="2"/>
  <c r="O1409" i="2"/>
  <c r="J1409" i="2"/>
  <c r="E1409" i="2"/>
  <c r="S1414" i="2"/>
  <c r="K1025" i="2"/>
  <c r="K1024" i="2"/>
  <c r="F1024" i="2"/>
  <c r="T1413" i="2"/>
  <c r="L1024" i="2"/>
  <c r="L1023" i="2"/>
  <c r="W1235" i="2"/>
  <c r="D1238" i="2"/>
  <c r="W1421" i="2"/>
  <c r="R1421" i="2"/>
  <c r="M1421" i="2"/>
  <c r="V1358" i="2"/>
  <c r="Q1358" i="2"/>
  <c r="L1358" i="2"/>
  <c r="F1458" i="2"/>
  <c r="L1331" i="2"/>
  <c r="G1331" i="2"/>
  <c r="R1722" i="2"/>
  <c r="M1315" i="2"/>
  <c r="H1315" i="2"/>
  <c r="C1315" i="2"/>
  <c r="C1721" i="2"/>
  <c r="C1239" i="2"/>
  <c r="O1239" i="2"/>
  <c r="R1422" i="2"/>
  <c r="M1422" i="2"/>
  <c r="H1422" i="2"/>
  <c r="O1595" i="2"/>
  <c r="N1406" i="2"/>
  <c r="I1406" i="2"/>
  <c r="D1406" i="2"/>
  <c r="R1411" i="2"/>
  <c r="J1022" i="2"/>
  <c r="J1021" i="2"/>
  <c r="E1021" i="2"/>
  <c r="S1410" i="2"/>
  <c r="K1021" i="2"/>
  <c r="K1020" i="2"/>
  <c r="S1223" i="2"/>
  <c r="W1231" i="2"/>
  <c r="V1418" i="2"/>
  <c r="Q1418" i="2"/>
  <c r="L1418" i="2"/>
  <c r="U1355" i="2"/>
  <c r="P1355" i="2"/>
  <c r="K1355" i="2"/>
  <c r="D1452" i="2"/>
  <c r="K1328" i="2"/>
  <c r="F1328" i="2"/>
  <c r="P1716" i="2"/>
  <c r="L1312" i="2"/>
  <c r="G1312" i="2"/>
  <c r="W1311" i="2"/>
  <c r="V1714" i="2"/>
  <c r="T1226" i="2"/>
  <c r="M1233" i="2"/>
  <c r="Q1419" i="2"/>
  <c r="L1419" i="2"/>
  <c r="G1419" i="2"/>
  <c r="K1583" i="2"/>
  <c r="M1403" i="2"/>
  <c r="H1403" i="2"/>
  <c r="C1403" i="2"/>
  <c r="Q1408" i="2"/>
  <c r="I1019" i="2"/>
  <c r="I1018" i="2"/>
  <c r="D1018" i="2"/>
  <c r="R1407" i="2"/>
  <c r="J1018" i="2"/>
  <c r="J1017" i="2"/>
  <c r="O1211" i="2"/>
  <c r="U1225" i="2"/>
  <c r="U1415" i="2"/>
  <c r="P1415" i="2"/>
  <c r="K1415" i="2"/>
  <c r="P1340" i="2"/>
  <c r="K1340" i="2"/>
  <c r="F1340" i="2"/>
  <c r="O1421" i="2"/>
  <c r="F1313" i="2"/>
  <c r="V1312" i="2"/>
  <c r="V1686" i="2"/>
  <c r="G1297" i="2"/>
  <c r="W1296" i="2"/>
  <c r="R1296" i="2"/>
  <c r="W1685" i="2"/>
  <c r="E1884" i="2"/>
  <c r="C1203" i="2"/>
  <c r="L1404" i="2"/>
  <c r="G1404" i="2"/>
  <c r="W1403" i="2"/>
  <c r="P1717" i="2"/>
  <c r="H1388" i="2"/>
  <c r="C1388" i="2"/>
  <c r="S1387" i="2"/>
  <c r="L1393" i="2"/>
  <c r="D1004" i="2"/>
  <c r="D1003" i="2"/>
  <c r="T1002" i="2"/>
  <c r="M1392" i="2"/>
  <c r="E1003" i="2"/>
  <c r="E1002" i="2"/>
  <c r="P1896" i="2"/>
  <c r="K1195" i="2"/>
  <c r="P1400" i="2"/>
  <c r="K1400" i="2"/>
  <c r="F1400" i="2"/>
  <c r="O1714" i="2"/>
  <c r="M1387" i="2"/>
  <c r="H1387" i="2"/>
  <c r="C1387" i="2"/>
  <c r="Q1392" i="2"/>
  <c r="I1003" i="2"/>
  <c r="I1002" i="2"/>
  <c r="D1002" i="2"/>
  <c r="R1391" i="2"/>
  <c r="J1002" i="2"/>
  <c r="J1001" i="2"/>
  <c r="L1667" i="2"/>
  <c r="G1796" i="2"/>
  <c r="Q1387" i="2"/>
  <c r="L1387" i="2"/>
  <c r="G1387" i="2"/>
  <c r="O1650" i="2"/>
  <c r="M1371" i="2"/>
  <c r="H1371" i="2"/>
  <c r="C1371" i="2"/>
  <c r="Q1376" i="2"/>
  <c r="I987" i="2"/>
  <c r="I986" i="2"/>
  <c r="D986" i="2"/>
  <c r="R1375" i="2"/>
  <c r="J986" i="2"/>
  <c r="J985" i="2"/>
  <c r="M1606" i="2"/>
  <c r="E1869" i="2"/>
  <c r="U1383" i="2"/>
  <c r="P1383" i="2"/>
  <c r="K1383" i="2"/>
  <c r="J1635" i="2"/>
  <c r="Q1367" i="2"/>
  <c r="L1367" i="2"/>
  <c r="G1367" i="2"/>
  <c r="U1372" i="2"/>
  <c r="M983" i="2"/>
  <c r="M982" i="2"/>
  <c r="H982" i="2"/>
  <c r="V1371" i="2"/>
  <c r="N982" i="2"/>
  <c r="N981" i="2"/>
  <c r="G975" i="2"/>
  <c r="P1365" i="2"/>
  <c r="H976" i="2"/>
  <c r="H975" i="2"/>
  <c r="C975" i="2"/>
  <c r="Q1364" i="2"/>
  <c r="I975" i="2"/>
  <c r="I974" i="2"/>
  <c r="D974" i="2"/>
  <c r="U972" i="2"/>
  <c r="I583" i="2"/>
  <c r="D583" i="2"/>
  <c r="G583" i="2"/>
  <c r="Q1898" i="2"/>
  <c r="F2071" i="2"/>
  <c r="U1894" i="2"/>
  <c r="U1594" i="2"/>
  <c r="S1881" i="2"/>
  <c r="K1709" i="2"/>
  <c r="W1591" i="2"/>
  <c r="I1718" i="2"/>
  <c r="E1901" i="2"/>
  <c r="K1539" i="2"/>
  <c r="R1665" i="2"/>
  <c r="C1894" i="2"/>
  <c r="J1686" i="2"/>
  <c r="V1329" i="2"/>
  <c r="Q1329" i="2"/>
  <c r="Q1719" i="2"/>
  <c r="W1313" i="2"/>
  <c r="R1313" i="2"/>
  <c r="M1313" i="2"/>
  <c r="W1717" i="2"/>
  <c r="H1448" i="2"/>
  <c r="E1326" i="2"/>
  <c r="U1325" i="2"/>
  <c r="D1712" i="2"/>
  <c r="J1852" i="2"/>
  <c r="K1722" i="2"/>
  <c r="N1653" i="2"/>
  <c r="H1845" i="2"/>
  <c r="F1674" i="2"/>
  <c r="U1326" i="2"/>
  <c r="P1326" i="2"/>
  <c r="O1713" i="2"/>
  <c r="V1310" i="2"/>
  <c r="Q1310" i="2"/>
  <c r="L1310" i="2"/>
  <c r="U1711" i="2"/>
  <c r="F1442" i="2"/>
  <c r="D1323" i="2"/>
  <c r="T1322" i="2"/>
  <c r="W1705" i="2"/>
  <c r="O1803" i="2"/>
  <c r="G1710" i="2"/>
  <c r="J1641" i="2"/>
  <c r="M1796" i="2"/>
  <c r="W1661" i="2"/>
  <c r="T1323" i="2"/>
  <c r="O1323" i="2"/>
  <c r="M1707" i="2"/>
  <c r="U1307" i="2"/>
  <c r="P1307" i="2"/>
  <c r="K1307" i="2"/>
  <c r="S1705" i="2"/>
  <c r="D1436" i="2"/>
  <c r="C1320" i="2"/>
  <c r="S1319" i="2"/>
  <c r="U1699" i="2"/>
  <c r="T1754" i="2"/>
  <c r="C1698" i="2"/>
  <c r="F1629" i="2"/>
  <c r="E1756" i="2"/>
  <c r="S1649" i="2"/>
  <c r="S1320" i="2"/>
  <c r="N1320" i="2"/>
  <c r="K1701" i="2"/>
  <c r="T1304" i="2"/>
  <c r="O1304" i="2"/>
  <c r="J1304" i="2"/>
  <c r="Q1699" i="2"/>
  <c r="W1429" i="2"/>
  <c r="W1316" i="2"/>
  <c r="R1316" i="2"/>
  <c r="S1693" i="2"/>
  <c r="C1301" i="2"/>
  <c r="S1300" i="2"/>
  <c r="N1300" i="2"/>
  <c r="J1342" i="2"/>
  <c r="N1273" i="2"/>
  <c r="I1273" i="2"/>
  <c r="I1647" i="2"/>
  <c r="O1257" i="2"/>
  <c r="J1257" i="2"/>
  <c r="E1257" i="2"/>
  <c r="J1646" i="2"/>
  <c r="R1691" i="2"/>
  <c r="D1828" i="2"/>
  <c r="T1364" i="2"/>
  <c r="O1364" i="2"/>
  <c r="J1364" i="2"/>
  <c r="K1594" i="2"/>
  <c r="P1348" i="2"/>
  <c r="K1348" i="2"/>
  <c r="F1348" i="2"/>
  <c r="T1353" i="2"/>
  <c r="L964" i="2"/>
  <c r="L963" i="2"/>
  <c r="G963" i="2"/>
  <c r="U1352" i="2"/>
  <c r="M963" i="2"/>
  <c r="M962" i="2"/>
  <c r="S1630" i="2"/>
  <c r="O1797" i="2"/>
  <c r="C1361" i="2"/>
  <c r="S1360" i="2"/>
  <c r="N1360" i="2"/>
  <c r="W1297" i="2"/>
  <c r="R1297" i="2"/>
  <c r="M1297" i="2"/>
  <c r="H1336" i="2"/>
  <c r="M1270" i="2"/>
  <c r="H1270" i="2"/>
  <c r="H1644" i="2"/>
  <c r="N1254" i="2"/>
  <c r="I1254" i="2"/>
  <c r="D1254" i="2"/>
  <c r="I1643" i="2"/>
  <c r="W1642" i="2"/>
  <c r="Q1803" i="2"/>
  <c r="S1361" i="2"/>
  <c r="N1361" i="2"/>
  <c r="I1361" i="2"/>
  <c r="I1588" i="2"/>
  <c r="O1345" i="2"/>
  <c r="J1345" i="2"/>
  <c r="E1345" i="2"/>
  <c r="S1350" i="2"/>
  <c r="K961" i="2"/>
  <c r="K960" i="2"/>
  <c r="F960" i="2"/>
  <c r="T1349" i="2"/>
  <c r="L960" i="2"/>
  <c r="L959" i="2"/>
  <c r="T1605" i="2"/>
  <c r="G1773" i="2"/>
  <c r="W1357" i="2"/>
  <c r="R1357" i="2"/>
  <c r="M1357" i="2"/>
  <c r="V1294" i="2"/>
  <c r="Q1294" i="2"/>
  <c r="L1294" i="2"/>
  <c r="F1330" i="2"/>
  <c r="L1267" i="2"/>
  <c r="G1267" i="2"/>
  <c r="G1641" i="2"/>
  <c r="M1251" i="2"/>
  <c r="H1251" i="2"/>
  <c r="C1251" i="2"/>
  <c r="H1640" i="2"/>
  <c r="V1611" i="2"/>
  <c r="I1779" i="2"/>
  <c r="R1358" i="2"/>
  <c r="M1358" i="2"/>
  <c r="H1358" i="2"/>
  <c r="G1582" i="2"/>
  <c r="N1342" i="2"/>
  <c r="I1342" i="2"/>
  <c r="D1342" i="2"/>
  <c r="R1347" i="2"/>
  <c r="J958" i="2"/>
  <c r="J957" i="2"/>
  <c r="E957" i="2"/>
  <c r="S1346" i="2"/>
  <c r="K957" i="2"/>
  <c r="K956" i="2"/>
  <c r="L1581" i="2"/>
  <c r="T1748" i="2"/>
  <c r="V1354" i="2"/>
  <c r="Q1354" i="2"/>
  <c r="L1354" i="2"/>
  <c r="Q1279" i="2"/>
  <c r="L1279" i="2"/>
  <c r="G1279" i="2"/>
  <c r="Q1299" i="2"/>
  <c r="G1252" i="2"/>
  <c r="W1251" i="2"/>
  <c r="W1625" i="2"/>
  <c r="H1236" i="2"/>
  <c r="C1236" i="2"/>
  <c r="S1235" i="2"/>
  <c r="C1625" i="2"/>
  <c r="F1686" i="2"/>
  <c r="N1657" i="2"/>
  <c r="M1343" i="2"/>
  <c r="H1343" i="2"/>
  <c r="C1343" i="2"/>
  <c r="R1551" i="2"/>
  <c r="I1327" i="2"/>
  <c r="D1327" i="2"/>
  <c r="T1326" i="2"/>
  <c r="M1332" i="2"/>
  <c r="E943" i="2"/>
  <c r="E942" i="2"/>
  <c r="U941" i="2"/>
  <c r="N1331" i="2"/>
  <c r="F942" i="2"/>
  <c r="F941" i="2"/>
  <c r="V1670" i="2"/>
  <c r="D1627" i="2"/>
  <c r="Q1339" i="2"/>
  <c r="L1339" i="2"/>
  <c r="G1339" i="2"/>
  <c r="G1550" i="2"/>
  <c r="N1326" i="2"/>
  <c r="I1326" i="2"/>
  <c r="D1326" i="2"/>
  <c r="R1331" i="2"/>
  <c r="J942" i="2"/>
  <c r="J941" i="2"/>
  <c r="E941" i="2"/>
  <c r="S1330" i="2"/>
  <c r="K941" i="2"/>
  <c r="K940" i="2"/>
  <c r="E1619" i="2"/>
  <c r="H1718" i="2"/>
  <c r="R1326" i="2"/>
  <c r="M1326" i="2"/>
  <c r="H1326" i="2"/>
  <c r="T1712" i="2"/>
  <c r="N1310" i="2"/>
  <c r="I1310" i="2"/>
  <c r="D1310" i="2"/>
  <c r="R1315" i="2"/>
  <c r="J926" i="2"/>
  <c r="J925" i="2"/>
  <c r="E925" i="2"/>
  <c r="S1314" i="2"/>
  <c r="K925" i="2"/>
  <c r="K924" i="2"/>
  <c r="U1603" i="2"/>
  <c r="S1687" i="2"/>
  <c r="V1322" i="2"/>
  <c r="Q1322" i="2"/>
  <c r="L1322" i="2"/>
  <c r="G1705" i="2"/>
  <c r="R1306" i="2"/>
  <c r="M1306" i="2"/>
  <c r="H1306" i="2"/>
  <c r="V1311" i="2"/>
  <c r="N922" i="2"/>
  <c r="N921" i="2"/>
  <c r="I921" i="2"/>
  <c r="W1310" i="2"/>
  <c r="O921" i="2"/>
  <c r="M914" i="2"/>
  <c r="H914" i="2"/>
  <c r="Q1304" i="2"/>
  <c r="I915" i="2"/>
  <c r="I914" i="2"/>
  <c r="D914" i="2"/>
  <c r="R1303" i="2"/>
  <c r="J914" i="2"/>
  <c r="J913" i="2"/>
  <c r="E913" i="2"/>
  <c r="V911" i="2"/>
  <c r="J522" i="2"/>
  <c r="E522" i="2"/>
  <c r="C1633" i="2"/>
  <c r="Q1849" i="2"/>
  <c r="S2021" i="2"/>
  <c r="U1845" i="2"/>
  <c r="U1545" i="2"/>
  <c r="L1623" i="2"/>
  <c r="G1797" i="2"/>
  <c r="I1674" i="2"/>
  <c r="I1669" i="2"/>
  <c r="P1744" i="2"/>
  <c r="T1658" i="2"/>
  <c r="R1616" i="2"/>
  <c r="I1694" i="2"/>
  <c r="V1442" i="2"/>
  <c r="W1268" i="2"/>
  <c r="R1268" i="2"/>
  <c r="R1642" i="2"/>
  <c r="C1253" i="2"/>
  <c r="S1252" i="2"/>
  <c r="N1252" i="2"/>
  <c r="S1641" i="2"/>
  <c r="J1326" i="2"/>
  <c r="F1265" i="2"/>
  <c r="V1264" i="2"/>
  <c r="V1638" i="2"/>
  <c r="L1732" i="2"/>
  <c r="D1610" i="2"/>
  <c r="N1604" i="2"/>
  <c r="E1682" i="2"/>
  <c r="R1430" i="2"/>
  <c r="V1265" i="2"/>
  <c r="Q1265" i="2"/>
  <c r="Q1639" i="2"/>
  <c r="W1249" i="2"/>
  <c r="R1249" i="2"/>
  <c r="M1249" i="2"/>
  <c r="R1638" i="2"/>
  <c r="H1320" i="2"/>
  <c r="E1262" i="2"/>
  <c r="U1261" i="2"/>
  <c r="U1635" i="2"/>
  <c r="K1720" i="2"/>
  <c r="I1561" i="2"/>
  <c r="J1592" i="2"/>
  <c r="V1669" i="2"/>
  <c r="N1418" i="2"/>
  <c r="U1262" i="2"/>
  <c r="P1262" i="2"/>
  <c r="P1636" i="2"/>
  <c r="V1246" i="2"/>
  <c r="Q1246" i="2"/>
  <c r="L1246" i="2"/>
  <c r="Q1635" i="2"/>
  <c r="F1314" i="2"/>
  <c r="D1259" i="2"/>
  <c r="T1258" i="2"/>
  <c r="T1632" i="2"/>
  <c r="G1708" i="2"/>
  <c r="R1707" i="2"/>
  <c r="F1580" i="2"/>
  <c r="R1657" i="2"/>
  <c r="J1406" i="2"/>
  <c r="T1259" i="2"/>
  <c r="O1259" i="2"/>
  <c r="O1633" i="2"/>
  <c r="U1243" i="2"/>
  <c r="P1243" i="2"/>
  <c r="K1243" i="2"/>
  <c r="P1632" i="2"/>
  <c r="D1308" i="2"/>
  <c r="C1256" i="2"/>
  <c r="S1255" i="2"/>
  <c r="S1629" i="2"/>
  <c r="D1240" i="2"/>
  <c r="T1239" i="2"/>
  <c r="F1684" i="2"/>
  <c r="L1220" i="2"/>
  <c r="O1212" i="2"/>
  <c r="J1212" i="2"/>
  <c r="J1586" i="2"/>
  <c r="P1196" i="2"/>
  <c r="K1196" i="2"/>
  <c r="F1196" i="2"/>
  <c r="Q1644" i="2"/>
  <c r="D1528" i="2"/>
  <c r="K1535" i="2"/>
  <c r="U1303" i="2"/>
  <c r="P1303" i="2"/>
  <c r="K1303" i="2"/>
  <c r="K1677" i="2"/>
  <c r="Q1287" i="2"/>
  <c r="L1287" i="2"/>
  <c r="G1287" i="2"/>
  <c r="U1292" i="2"/>
  <c r="M903" i="2"/>
  <c r="M902" i="2"/>
  <c r="H902" i="2"/>
  <c r="V1291" i="2"/>
  <c r="N902" i="2"/>
  <c r="Q1835" i="2"/>
  <c r="T1512" i="2"/>
  <c r="E1700" i="2"/>
  <c r="D1300" i="2"/>
  <c r="T1299" i="2"/>
  <c r="O1299" i="2"/>
  <c r="C1237" i="2"/>
  <c r="S1236" i="2"/>
  <c r="W1671" i="2"/>
  <c r="J1214" i="2"/>
  <c r="N1209" i="2"/>
  <c r="I1209" i="2"/>
  <c r="I1583" i="2"/>
  <c r="O1193" i="2"/>
  <c r="J1193" i="2"/>
  <c r="E1193" i="2"/>
  <c r="L1916" i="2"/>
  <c r="U1515" i="2"/>
  <c r="G1706" i="2"/>
  <c r="T1300" i="2"/>
  <c r="O1300" i="2"/>
  <c r="J1300" i="2"/>
  <c r="J1674" i="2"/>
  <c r="P1284" i="2"/>
  <c r="K1284" i="2"/>
  <c r="F1284" i="2"/>
  <c r="T1289" i="2"/>
  <c r="L900" i="2"/>
  <c r="L899" i="2"/>
  <c r="G899" i="2"/>
  <c r="U1288" i="2"/>
  <c r="M899" i="2"/>
  <c r="S1640" i="2"/>
  <c r="P1500" i="2"/>
  <c r="R1675" i="2"/>
  <c r="C1297" i="2"/>
  <c r="S1296" i="2"/>
  <c r="N1296" i="2"/>
  <c r="W1233" i="2"/>
  <c r="R1233" i="2"/>
  <c r="S1659" i="2"/>
  <c r="H1208" i="2"/>
  <c r="M1206" i="2"/>
  <c r="H1206" i="2"/>
  <c r="H1580" i="2"/>
  <c r="N1190" i="2"/>
  <c r="I1190" i="2"/>
  <c r="D1190" i="2"/>
  <c r="N1689" i="2"/>
  <c r="Q1503" i="2"/>
  <c r="T1681" i="2"/>
  <c r="S1297" i="2"/>
  <c r="N1297" i="2"/>
  <c r="I1297" i="2"/>
  <c r="I1671" i="2"/>
  <c r="O1281" i="2"/>
  <c r="J1281" i="2"/>
  <c r="E1281" i="2"/>
  <c r="S1286" i="2"/>
  <c r="K897" i="2"/>
  <c r="K896" i="2"/>
  <c r="F896" i="2"/>
  <c r="T1285" i="2"/>
  <c r="L896" i="2"/>
  <c r="N1640" i="2"/>
  <c r="L1488" i="2"/>
  <c r="J1651" i="2"/>
  <c r="W1293" i="2"/>
  <c r="R1293" i="2"/>
  <c r="M1293" i="2"/>
  <c r="R1218" i="2"/>
  <c r="M1218" i="2"/>
  <c r="T1598" i="2"/>
  <c r="M1191" i="2"/>
  <c r="H1191" i="2"/>
  <c r="C1191" i="2"/>
  <c r="C1565" i="2"/>
  <c r="I1175" i="2"/>
  <c r="D1175" i="2"/>
  <c r="T1174" i="2"/>
  <c r="V1543" i="2"/>
  <c r="R1442" i="2"/>
  <c r="W1594" i="2"/>
  <c r="N1282" i="2"/>
  <c r="I1282" i="2"/>
  <c r="D1282" i="2"/>
  <c r="D1656" i="2"/>
  <c r="J1266" i="2"/>
  <c r="E1266" i="2"/>
  <c r="U1265" i="2"/>
  <c r="N1271" i="2"/>
  <c r="F882" i="2"/>
  <c r="F881" i="2"/>
  <c r="V880" i="2"/>
  <c r="O1270" i="2"/>
  <c r="G881" i="2"/>
  <c r="N1682" i="2"/>
  <c r="M1427" i="2"/>
  <c r="R1579" i="2"/>
  <c r="R1278" i="2"/>
  <c r="M1278" i="2"/>
  <c r="H1278" i="2"/>
  <c r="I1655" i="2"/>
  <c r="O1265" i="2"/>
  <c r="J1265" i="2"/>
  <c r="F1460" i="2"/>
  <c r="E1265" i="2"/>
  <c r="T1465" i="2"/>
  <c r="S1270" i="2"/>
  <c r="L1076" i="2"/>
  <c r="K881" i="2"/>
  <c r="L1075" i="2"/>
  <c r="K880" i="2"/>
  <c r="G1075" i="2"/>
  <c r="F880" i="2"/>
  <c r="U1464" i="2"/>
  <c r="T1269" i="2"/>
  <c r="M1075" i="2"/>
  <c r="L880" i="2"/>
  <c r="M1074" i="2"/>
  <c r="V1578" i="2"/>
  <c r="K1391" i="2"/>
  <c r="Q1375" i="2"/>
  <c r="G1375" i="2"/>
  <c r="N1722" i="2"/>
  <c r="T1460" i="2"/>
  <c r="S1265" i="2"/>
  <c r="O1460" i="2"/>
  <c r="N1265" i="2"/>
  <c r="J1460" i="2"/>
  <c r="I1265" i="2"/>
  <c r="F1553" i="2"/>
  <c r="I1639" i="2"/>
  <c r="P1444" i="2"/>
  <c r="O1249" i="2"/>
  <c r="K1444" i="2"/>
  <c r="J1249" i="2"/>
  <c r="F1444" i="2"/>
  <c r="E1249" i="2"/>
  <c r="T1449" i="2"/>
  <c r="S1254" i="2"/>
  <c r="L1060" i="2"/>
  <c r="K865" i="2"/>
  <c r="L1059" i="2"/>
  <c r="K864" i="2"/>
  <c r="G1059" i="2"/>
  <c r="F864" i="2"/>
  <c r="U1448" i="2"/>
  <c r="T1253" i="2"/>
  <c r="M1059" i="2"/>
  <c r="L864" i="2"/>
  <c r="M1058" i="2"/>
  <c r="L1548" i="2"/>
  <c r="F1376" i="2"/>
  <c r="L1360" i="2"/>
  <c r="W1359" i="2"/>
  <c r="I1707" i="2"/>
  <c r="C1457" i="2"/>
  <c r="W1261" i="2"/>
  <c r="S1456" i="2"/>
  <c r="R1261" i="2"/>
  <c r="N1456" i="2"/>
  <c r="M1261" i="2"/>
  <c r="V1537" i="2"/>
  <c r="M1635" i="2"/>
  <c r="T1440" i="2"/>
  <c r="S1245" i="2"/>
  <c r="O1440" i="2"/>
  <c r="N1245" i="2"/>
  <c r="J1440" i="2"/>
  <c r="I1245" i="2"/>
  <c r="C1446" i="2"/>
  <c r="W1250" i="2"/>
  <c r="P1056" i="2"/>
  <c r="O861" i="2"/>
  <c r="P1055" i="2"/>
  <c r="O860" i="2"/>
  <c r="K1055" i="2"/>
  <c r="J860" i="2"/>
  <c r="D1445" i="2"/>
  <c r="C1250" i="2"/>
  <c r="Q1055" i="2"/>
  <c r="P860" i="2"/>
  <c r="Q1054" i="2"/>
  <c r="N853" i="2"/>
  <c r="J1048" i="2"/>
  <c r="I853" i="2"/>
  <c r="S1438" i="2"/>
  <c r="R1243" i="2"/>
  <c r="K1049" i="2"/>
  <c r="J854" i="2"/>
  <c r="K1048" i="2"/>
  <c r="J853" i="2"/>
  <c r="F1048" i="2"/>
  <c r="E853" i="2"/>
  <c r="T1437" i="2"/>
  <c r="S1242" i="2"/>
  <c r="L1048" i="2"/>
  <c r="K853" i="2"/>
  <c r="L1047" i="2"/>
  <c r="K852" i="2"/>
  <c r="G1047" i="2"/>
  <c r="F852" i="2"/>
  <c r="C1046" i="2"/>
  <c r="W850" i="2"/>
  <c r="L656" i="2"/>
  <c r="K461" i="2"/>
  <c r="G656" i="2"/>
  <c r="F461" i="2"/>
  <c r="J656" i="2"/>
  <c r="O1389" i="2"/>
  <c r="K1802" i="2"/>
  <c r="Q1800" i="2"/>
  <c r="D2169" i="2"/>
  <c r="E1970" i="2"/>
  <c r="O1798" i="2"/>
  <c r="U1796" i="2"/>
  <c r="V1727" i="2"/>
  <c r="U1691" i="2"/>
  <c r="L1633" i="2"/>
  <c r="N1835" i="2"/>
  <c r="F1612" i="2"/>
  <c r="N1553" i="2"/>
  <c r="Q1620" i="2"/>
  <c r="H1568" i="2"/>
  <c r="I1645" i="2"/>
  <c r="C1208" i="2"/>
  <c r="S1581" i="2"/>
  <c r="T1191" i="2"/>
  <c r="P1650" i="2"/>
  <c r="G1204" i="2"/>
  <c r="W1577" i="2"/>
  <c r="D1556" i="2"/>
  <c r="G1639" i="2"/>
  <c r="W1204" i="2"/>
  <c r="R1578" i="2"/>
  <c r="S1188" i="2"/>
  <c r="L1638" i="2"/>
  <c r="F1201" i="2"/>
  <c r="V1574" i="2"/>
  <c r="U1543" i="2"/>
  <c r="E1633" i="2"/>
  <c r="V1201" i="2"/>
  <c r="Q1575" i="2"/>
  <c r="R1185" i="2"/>
  <c r="H1626" i="2"/>
  <c r="E1198" i="2"/>
  <c r="U1571" i="2"/>
  <c r="Q1531" i="2"/>
  <c r="C1627" i="2"/>
  <c r="U1198" i="2"/>
  <c r="P1572" i="2"/>
  <c r="Q1182" i="2"/>
  <c r="D1614" i="2"/>
  <c r="D1195" i="2"/>
  <c r="T1568" i="2"/>
  <c r="U1178" i="2"/>
  <c r="U1151" i="2"/>
  <c r="R1902" i="2"/>
  <c r="N1525" i="2"/>
  <c r="E1895" i="2"/>
  <c r="H1284" i="2"/>
  <c r="V1242" i="2"/>
  <c r="L1242" i="2"/>
  <c r="R1226" i="2"/>
  <c r="H1226" i="2"/>
  <c r="N842" i="2"/>
  <c r="I841" i="2"/>
  <c r="O841" i="2"/>
  <c r="C1269" i="2"/>
  <c r="E1239" i="2"/>
  <c r="P1238" i="2"/>
  <c r="T1175" i="2"/>
  <c r="T1148" i="2"/>
  <c r="J1878" i="2"/>
  <c r="M1522" i="2"/>
  <c r="R1870" i="2"/>
  <c r="D1272" i="2"/>
  <c r="U1239" i="2"/>
  <c r="K1239" i="2"/>
  <c r="Q1223" i="2"/>
  <c r="G1223" i="2"/>
  <c r="M839" i="2"/>
  <c r="H838" i="2"/>
  <c r="N838" i="2"/>
  <c r="T1256" i="2"/>
  <c r="D1236" i="2"/>
  <c r="O1235" i="2"/>
  <c r="S1172" i="2"/>
  <c r="S1145" i="2"/>
  <c r="W1853" i="2"/>
  <c r="L1519" i="2"/>
  <c r="K1849" i="2"/>
  <c r="U1259" i="2"/>
  <c r="T1236" i="2"/>
  <c r="J1236" i="2"/>
  <c r="P1220" i="2"/>
  <c r="F1220" i="2"/>
  <c r="L836" i="2"/>
  <c r="G835" i="2"/>
  <c r="M835" i="2"/>
  <c r="P1244" i="2"/>
  <c r="C1233" i="2"/>
  <c r="N1232" i="2"/>
  <c r="N1157" i="2"/>
  <c r="K1520" i="2"/>
  <c r="H1792" i="2"/>
  <c r="G1504" i="2"/>
  <c r="L1788" i="2"/>
  <c r="V1198" i="2"/>
  <c r="O1221" i="2"/>
  <c r="E1221" i="2"/>
  <c r="K1205" i="2"/>
  <c r="V1204" i="2"/>
  <c r="G821" i="2"/>
  <c r="W819" i="2"/>
  <c r="H820" i="2"/>
  <c r="Q1183" i="2"/>
  <c r="S1217" i="2"/>
  <c r="I1217" i="2"/>
  <c r="P1204" i="2"/>
  <c r="F1204" i="2"/>
  <c r="L820" i="2"/>
  <c r="G819" i="2"/>
  <c r="M819" i="2"/>
  <c r="R1521" i="2"/>
  <c r="T1204" i="2"/>
  <c r="J1204" i="2"/>
  <c r="P1188" i="2"/>
  <c r="F1188" i="2"/>
  <c r="L804" i="2"/>
  <c r="G803" i="2"/>
  <c r="M803" i="2"/>
  <c r="M1506" i="2"/>
  <c r="C1201" i="2"/>
  <c r="N1200" i="2"/>
  <c r="T1184" i="2"/>
  <c r="J1184" i="2"/>
  <c r="P800" i="2"/>
  <c r="K799" i="2"/>
  <c r="Q799" i="2"/>
  <c r="J792" i="2"/>
  <c r="K793" i="2"/>
  <c r="F792" i="2"/>
  <c r="L792" i="2"/>
  <c r="G791" i="2"/>
  <c r="L400" i="2"/>
  <c r="D510" i="2"/>
  <c r="J1095" i="2"/>
  <c r="I900" i="2"/>
  <c r="S705" i="2"/>
  <c r="R510" i="2"/>
  <c r="N705" i="2"/>
  <c r="N901" i="2"/>
  <c r="J1096" i="2"/>
  <c r="H1702" i="2"/>
  <c r="U1627" i="2"/>
  <c r="G1433" i="2"/>
  <c r="F1238" i="2"/>
  <c r="W1432" i="2"/>
  <c r="V1237" i="2"/>
  <c r="R1432" i="2"/>
  <c r="Q1237" i="2"/>
  <c r="K1438" i="2"/>
  <c r="J1243" i="2"/>
  <c r="C1049" i="2"/>
  <c r="W853" i="2"/>
  <c r="C1048" i="2"/>
  <c r="W852" i="2"/>
  <c r="S1047" i="2"/>
  <c r="R852" i="2"/>
  <c r="L1437" i="2"/>
  <c r="K1242" i="2"/>
  <c r="D1048" i="2"/>
  <c r="C853" i="2"/>
  <c r="D1047" i="2"/>
  <c r="U1359" i="2"/>
  <c r="Q1281" i="2"/>
  <c r="W1265" i="2"/>
  <c r="M1265" i="2"/>
  <c r="F1650" i="2"/>
  <c r="K1433" i="2"/>
  <c r="J1238" i="2"/>
  <c r="F1433" i="2"/>
  <c r="E1238" i="2"/>
  <c r="V1432" i="2"/>
  <c r="U1237" i="2"/>
  <c r="H1638" i="2"/>
  <c r="U1611" i="2"/>
  <c r="G1417" i="2"/>
  <c r="F1222" i="2"/>
  <c r="W1416" i="2"/>
  <c r="V1221" i="2"/>
  <c r="R1416" i="2"/>
  <c r="Q1221" i="2"/>
  <c r="K1422" i="2"/>
  <c r="J1227" i="2"/>
  <c r="C1033" i="2"/>
  <c r="W837" i="2"/>
  <c r="C1032" i="2"/>
  <c r="W836" i="2"/>
  <c r="S1031" i="2"/>
  <c r="R836" i="2"/>
  <c r="L1421" i="2"/>
  <c r="K1226" i="2"/>
  <c r="D1032" i="2"/>
  <c r="C837" i="2"/>
  <c r="D1031" i="2"/>
  <c r="K1329" i="2"/>
  <c r="L1266" i="2"/>
  <c r="R1250" i="2"/>
  <c r="I1253" i="2"/>
  <c r="N1642" i="2"/>
  <c r="O1429" i="2"/>
  <c r="N1234" i="2"/>
  <c r="J1429" i="2"/>
  <c r="I1234" i="2"/>
  <c r="E1429" i="2"/>
  <c r="D1234" i="2"/>
  <c r="C1623" i="2"/>
  <c r="D1608" i="2"/>
  <c r="K1413" i="2"/>
  <c r="J1218" i="2"/>
  <c r="F1413" i="2"/>
  <c r="E1218" i="2"/>
  <c r="V1412" i="2"/>
  <c r="U1217" i="2"/>
  <c r="O1418" i="2"/>
  <c r="N1223" i="2"/>
  <c r="G1029" i="2"/>
  <c r="F834" i="2"/>
  <c r="G1028" i="2"/>
  <c r="F833" i="2"/>
  <c r="W1027" i="2"/>
  <c r="V832" i="2"/>
  <c r="P1417" i="2"/>
  <c r="O1222" i="2"/>
  <c r="H1028" i="2"/>
  <c r="G833" i="2"/>
  <c r="H1027" i="2"/>
  <c r="E826" i="2"/>
  <c r="V1020" i="2"/>
  <c r="U825" i="2"/>
  <c r="J1411" i="2"/>
  <c r="I1216" i="2"/>
  <c r="W1021" i="2"/>
  <c r="V826" i="2"/>
  <c r="W1020" i="2"/>
  <c r="V825" i="2"/>
  <c r="R1020" i="2"/>
  <c r="Q825" i="2"/>
  <c r="K1410" i="2"/>
  <c r="J1215" i="2"/>
  <c r="C1021" i="2"/>
  <c r="W825" i="2"/>
  <c r="C1020" i="2"/>
  <c r="W824" i="2"/>
  <c r="S1019" i="2"/>
  <c r="R824" i="2"/>
  <c r="O1018" i="2"/>
  <c r="N823" i="2"/>
  <c r="C629" i="2"/>
  <c r="W433" i="2"/>
  <c r="S628" i="2"/>
  <c r="R433" i="2"/>
  <c r="V628" i="2"/>
  <c r="U433" i="2"/>
  <c r="F1019" i="2"/>
  <c r="E824" i="2"/>
  <c r="O629" i="2"/>
  <c r="N434" i="2"/>
  <c r="J629" i="2"/>
  <c r="J825" i="2"/>
  <c r="F1020" i="2"/>
  <c r="E825" i="2"/>
  <c r="O1410" i="2"/>
  <c r="Q1815" i="2"/>
  <c r="V1636" i="2"/>
  <c r="U1703" i="2"/>
  <c r="I1354" i="2"/>
  <c r="T1573" i="2"/>
  <c r="E1338" i="2"/>
  <c r="E1572" i="2"/>
  <c r="M1350" i="2"/>
  <c r="G1566" i="2"/>
  <c r="R1624" i="2"/>
  <c r="Q1691" i="2"/>
  <c r="H1351" i="2"/>
  <c r="R1567" i="2"/>
  <c r="D1335" i="2"/>
  <c r="C1566" i="2"/>
  <c r="L1347" i="2"/>
  <c r="E1560" i="2"/>
  <c r="N1612" i="2"/>
  <c r="W1796" i="2"/>
  <c r="G1348" i="2"/>
  <c r="P1561" i="2"/>
  <c r="C1332" i="2"/>
  <c r="V1559" i="2"/>
  <c r="K1344" i="2"/>
  <c r="C1554" i="2"/>
  <c r="J1600" i="2"/>
  <c r="G1748" i="2"/>
  <c r="F1345" i="2"/>
  <c r="N1555" i="2"/>
  <c r="W1328" i="2"/>
  <c r="T1553" i="2"/>
  <c r="J1341" i="2"/>
  <c r="V1547" i="2"/>
  <c r="F1325" i="2"/>
  <c r="E1391" i="2"/>
  <c r="Q1297" i="2"/>
  <c r="W1281" i="2"/>
  <c r="M1281" i="2"/>
  <c r="T1691" i="2"/>
  <c r="G1389" i="2"/>
  <c r="R1388" i="2"/>
  <c r="C1373" i="2"/>
  <c r="N1372" i="2"/>
  <c r="T988" i="2"/>
  <c r="O987" i="2"/>
  <c r="U987" i="2"/>
  <c r="U1630" i="2"/>
  <c r="K1385" i="2"/>
  <c r="V1384" i="2"/>
  <c r="E1322" i="2"/>
  <c r="C1385" i="2"/>
  <c r="P1294" i="2"/>
  <c r="V1278" i="2"/>
  <c r="L1278" i="2"/>
  <c r="D1643" i="2"/>
  <c r="F1386" i="2"/>
  <c r="Q1385" i="2"/>
  <c r="W1369" i="2"/>
  <c r="M1369" i="2"/>
  <c r="S985" i="2"/>
  <c r="N984" i="2"/>
  <c r="T984" i="2"/>
  <c r="E1582" i="2"/>
  <c r="J1382" i="2"/>
  <c r="U1381" i="2"/>
  <c r="D1319" i="2"/>
  <c r="V1378" i="2"/>
  <c r="O1291" i="2"/>
  <c r="U1275" i="2"/>
  <c r="K1275" i="2"/>
  <c r="I1594" i="2"/>
  <c r="E1383" i="2"/>
  <c r="P1382" i="2"/>
  <c r="V1366" i="2"/>
  <c r="L1366" i="2"/>
  <c r="R982" i="2"/>
  <c r="M981" i="2"/>
  <c r="S981" i="2"/>
  <c r="J1533" i="2"/>
  <c r="I1379" i="2"/>
  <c r="T1378" i="2"/>
  <c r="T1303" i="2"/>
  <c r="L1348" i="2"/>
  <c r="J1276" i="2"/>
  <c r="P1260" i="2"/>
  <c r="F1260" i="2"/>
  <c r="I1545" i="2"/>
  <c r="U1367" i="2"/>
  <c r="K1367" i="2"/>
  <c r="Q1351" i="2"/>
  <c r="G1351" i="2"/>
  <c r="M967" i="2"/>
  <c r="H966" i="2"/>
  <c r="N966" i="2"/>
  <c r="N1679" i="2"/>
  <c r="D1364" i="2"/>
  <c r="O1363" i="2"/>
  <c r="V1350" i="2"/>
  <c r="L1350" i="2"/>
  <c r="R966" i="2"/>
  <c r="M965" i="2"/>
  <c r="S965" i="2"/>
  <c r="W1550" i="2"/>
  <c r="E1351" i="2"/>
  <c r="P1350" i="2"/>
  <c r="V1334" i="2"/>
  <c r="L1334" i="2"/>
  <c r="R950" i="2"/>
  <c r="M949" i="2"/>
  <c r="S949" i="2"/>
  <c r="E1715" i="2"/>
  <c r="I1347" i="2"/>
  <c r="T1346" i="2"/>
  <c r="E1331" i="2"/>
  <c r="P1330" i="2"/>
  <c r="V946" i="2"/>
  <c r="Q945" i="2"/>
  <c r="W945" i="2"/>
  <c r="P938" i="2"/>
  <c r="Q939" i="2"/>
  <c r="L938" i="2"/>
  <c r="R938" i="2"/>
  <c r="M937" i="2"/>
  <c r="R546" i="2"/>
  <c r="P546" i="2"/>
  <c r="V1131" i="2"/>
  <c r="U936" i="2"/>
  <c r="J742" i="2"/>
  <c r="I547" i="2"/>
  <c r="E742" i="2"/>
  <c r="D547" i="2"/>
  <c r="V1132" i="2"/>
  <c r="R1653" i="2"/>
  <c r="L1664" i="2"/>
  <c r="S1469" i="2"/>
  <c r="R1274" i="2"/>
  <c r="N1469" i="2"/>
  <c r="M1274" i="2"/>
  <c r="I1469" i="2"/>
  <c r="H1274" i="2"/>
  <c r="W1474" i="2"/>
  <c r="V1279" i="2"/>
  <c r="O1085" i="2"/>
  <c r="N890" i="2"/>
  <c r="O1084" i="2"/>
  <c r="N889" i="2"/>
  <c r="J1084" i="2"/>
  <c r="I889" i="2"/>
  <c r="C1474" i="2"/>
  <c r="W1278" i="2"/>
  <c r="P1084" i="2"/>
  <c r="O889" i="2"/>
  <c r="P1083" i="2"/>
  <c r="D1652" i="2"/>
  <c r="W1427" i="2"/>
  <c r="H1412" i="2"/>
  <c r="S1411" i="2"/>
  <c r="M1564" i="2"/>
  <c r="W1469" i="2"/>
  <c r="V1274" i="2"/>
  <c r="R1469" i="2"/>
  <c r="Q1274" i="2"/>
  <c r="M1469" i="2"/>
  <c r="L1274" i="2"/>
  <c r="R1589" i="2"/>
  <c r="L1648" i="2"/>
  <c r="S1453" i="2"/>
  <c r="R1258" i="2"/>
  <c r="N1453" i="2"/>
  <c r="M1258" i="2"/>
  <c r="I1453" i="2"/>
  <c r="H1258" i="2"/>
  <c r="W1458" i="2"/>
  <c r="V1263" i="2"/>
  <c r="O1069" i="2"/>
  <c r="N874" i="2"/>
  <c r="O1068" i="2"/>
  <c r="N873" i="2"/>
  <c r="J1068" i="2"/>
  <c r="I873" i="2"/>
  <c r="C1458" i="2"/>
  <c r="W1262" i="2"/>
  <c r="P1068" i="2"/>
  <c r="O873" i="2"/>
  <c r="P1067" i="2"/>
  <c r="O1621" i="2"/>
  <c r="R1412" i="2"/>
  <c r="C1397" i="2"/>
  <c r="N1396" i="2"/>
  <c r="H1549" i="2"/>
  <c r="F1466" i="2"/>
  <c r="E1271" i="2"/>
  <c r="V1465" i="2"/>
  <c r="U1270" i="2"/>
  <c r="Q1465" i="2"/>
  <c r="P1270" i="2"/>
  <c r="M1574" i="2"/>
  <c r="P1644" i="2"/>
  <c r="W1449" i="2"/>
  <c r="V1254" i="2"/>
  <c r="R1449" i="2"/>
  <c r="Q1254" i="2"/>
  <c r="M1449" i="2"/>
  <c r="L1254" i="2"/>
  <c r="F1455" i="2"/>
  <c r="E1260" i="2"/>
  <c r="S1065" i="2"/>
  <c r="R870" i="2"/>
  <c r="S1064" i="2"/>
  <c r="R869" i="2"/>
  <c r="N1064" i="2"/>
  <c r="M869" i="2"/>
  <c r="G1454" i="2"/>
  <c r="F1259" i="2"/>
  <c r="T1064" i="2"/>
  <c r="S869" i="2"/>
  <c r="T1063" i="2"/>
  <c r="Q862" i="2"/>
  <c r="M1057" i="2"/>
  <c r="L862" i="2"/>
  <c r="V1447" i="2"/>
  <c r="U1252" i="2"/>
  <c r="N1058" i="2"/>
  <c r="M863" i="2"/>
  <c r="N1057" i="2"/>
  <c r="M862" i="2"/>
  <c r="I1057" i="2"/>
  <c r="H862" i="2"/>
  <c r="W1446" i="2"/>
  <c r="V1251" i="2"/>
  <c r="O1057" i="2"/>
  <c r="N862" i="2"/>
  <c r="O1056" i="2"/>
  <c r="N861" i="2"/>
  <c r="J1056" i="2"/>
  <c r="I861" i="2"/>
  <c r="F1055" i="2"/>
  <c r="E860" i="2"/>
  <c r="O665" i="2"/>
  <c r="N470" i="2"/>
  <c r="J665" i="2"/>
  <c r="I470" i="2"/>
  <c r="M665" i="2"/>
  <c r="L470" i="2"/>
  <c r="R1055" i="2"/>
  <c r="Q860" i="2"/>
  <c r="F666" i="2"/>
  <c r="E471" i="2"/>
  <c r="V665" i="2"/>
  <c r="V861" i="2"/>
  <c r="R1056" i="2"/>
  <c r="Q861" i="2"/>
  <c r="F1447" i="2"/>
  <c r="E1252" i="2"/>
  <c r="S1057" i="2"/>
  <c r="R862" i="2"/>
  <c r="S1620" i="2"/>
  <c r="D1637" i="2"/>
  <c r="L1840" i="2"/>
  <c r="N1305" i="2"/>
  <c r="I1679" i="2"/>
  <c r="J1289" i="2"/>
  <c r="J1678" i="2"/>
  <c r="R1301" i="2"/>
  <c r="M1675" i="2"/>
  <c r="N1753" i="2"/>
  <c r="H1828" i="2"/>
  <c r="M1302" i="2"/>
  <c r="H1676" i="2"/>
  <c r="I1286" i="2"/>
  <c r="I1675" i="2"/>
  <c r="Q1298" i="2"/>
  <c r="L1672" i="2"/>
  <c r="I1753" i="2"/>
  <c r="D1816" i="2"/>
  <c r="L1299" i="2"/>
  <c r="G1673" i="2"/>
  <c r="H1283" i="2"/>
  <c r="H1672" i="2"/>
  <c r="P1295" i="2"/>
  <c r="K1669" i="2"/>
  <c r="S1758" i="2"/>
  <c r="U1803" i="2"/>
  <c r="K1296" i="2"/>
  <c r="F1670" i="2"/>
  <c r="G1280" i="2"/>
  <c r="G1669" i="2"/>
  <c r="O1292" i="2"/>
  <c r="J1666" i="2"/>
  <c r="K1276" i="2"/>
  <c r="O1293" i="2"/>
  <c r="V1248" i="2"/>
  <c r="G1233" i="2"/>
  <c r="R1232" i="2"/>
  <c r="W1673" i="2"/>
  <c r="L1340" i="2"/>
  <c r="W1339" i="2"/>
  <c r="H1324" i="2"/>
  <c r="S1323" i="2"/>
  <c r="D940" i="2"/>
  <c r="T938" i="2"/>
  <c r="E939" i="2"/>
  <c r="R1658" i="2"/>
  <c r="P1336" i="2"/>
  <c r="F1336" i="2"/>
  <c r="J1273" i="2"/>
  <c r="M1287" i="2"/>
  <c r="U1245" i="2"/>
  <c r="F1230" i="2"/>
  <c r="Q1229" i="2"/>
  <c r="S1661" i="2"/>
  <c r="K1337" i="2"/>
  <c r="V1336" i="2"/>
  <c r="G1321" i="2"/>
  <c r="R1320" i="2"/>
  <c r="C937" i="2"/>
  <c r="S935" i="2"/>
  <c r="D936" i="2"/>
  <c r="N1646" i="2"/>
  <c r="O1333" i="2"/>
  <c r="E1333" i="2"/>
  <c r="I1270" i="2"/>
  <c r="K1281" i="2"/>
  <c r="T1242" i="2"/>
  <c r="E1227" i="2"/>
  <c r="P1226" i="2"/>
  <c r="O1649" i="2"/>
  <c r="J1334" i="2"/>
  <c r="U1333" i="2"/>
  <c r="F1318" i="2"/>
  <c r="Q1317" i="2"/>
  <c r="W933" i="2"/>
  <c r="R932" i="2"/>
  <c r="C933" i="2"/>
  <c r="J1634" i="2"/>
  <c r="N1330" i="2"/>
  <c r="D1330" i="2"/>
  <c r="D1255" i="2"/>
  <c r="V1250" i="2"/>
  <c r="O1227" i="2"/>
  <c r="U1211" i="2"/>
  <c r="K1211" i="2"/>
  <c r="P1588" i="2"/>
  <c r="E1319" i="2"/>
  <c r="P1318" i="2"/>
  <c r="V1302" i="2"/>
  <c r="L1302" i="2"/>
  <c r="R918" i="2"/>
  <c r="M917" i="2"/>
  <c r="S917" i="2"/>
  <c r="K1573" i="2"/>
  <c r="I1315" i="2"/>
  <c r="T1314" i="2"/>
  <c r="F1302" i="2"/>
  <c r="Q1301" i="2"/>
  <c r="W917" i="2"/>
  <c r="R916" i="2"/>
  <c r="C917" i="2"/>
  <c r="W1521" i="2"/>
  <c r="J1302" i="2"/>
  <c r="U1301" i="2"/>
  <c r="F1286" i="2"/>
  <c r="Q1285" i="2"/>
  <c r="W901" i="2"/>
  <c r="R900" i="2"/>
  <c r="C901" i="2"/>
  <c r="R1506" i="2"/>
  <c r="N1298" i="2"/>
  <c r="D1298" i="2"/>
  <c r="J1282" i="2"/>
  <c r="U1281" i="2"/>
  <c r="F898" i="2"/>
  <c r="V896" i="2"/>
  <c r="G897" i="2"/>
  <c r="U889" i="2"/>
  <c r="V890" i="2"/>
  <c r="Q889" i="2"/>
  <c r="W889" i="2"/>
  <c r="R888" i="2"/>
  <c r="W497" i="2"/>
  <c r="L534" i="2"/>
  <c r="R1119" i="2"/>
  <c r="Q924" i="2"/>
  <c r="F730" i="2"/>
  <c r="E535" i="2"/>
  <c r="V729" i="2"/>
  <c r="G928" i="2"/>
  <c r="R1120" i="2"/>
  <c r="W1604" i="2"/>
  <c r="H1652" i="2"/>
  <c r="O1457" i="2"/>
  <c r="N1262" i="2"/>
  <c r="J1457" i="2"/>
  <c r="I1262" i="2"/>
  <c r="E1457" i="2"/>
  <c r="D1262" i="2"/>
  <c r="S1462" i="2"/>
  <c r="R1267" i="2"/>
  <c r="K1073" i="2"/>
  <c r="J878" i="2"/>
  <c r="K1072" i="2"/>
  <c r="J877" i="2"/>
  <c r="F1072" i="2"/>
  <c r="E877" i="2"/>
  <c r="T1461" i="2"/>
  <c r="S1266" i="2"/>
  <c r="L1072" i="2"/>
  <c r="K877" i="2"/>
  <c r="L1071" i="2"/>
  <c r="N1554" i="2"/>
  <c r="G1379" i="2"/>
  <c r="M1363" i="2"/>
  <c r="C1363" i="2"/>
  <c r="J1710" i="2"/>
  <c r="S1457" i="2"/>
  <c r="R1262" i="2"/>
  <c r="N1457" i="2"/>
  <c r="M1262" i="2"/>
  <c r="I1457" i="2"/>
  <c r="H1262" i="2"/>
  <c r="W1540" i="2"/>
  <c r="H1636" i="2"/>
  <c r="O1441" i="2"/>
  <c r="N1246" i="2"/>
  <c r="J1441" i="2"/>
  <c r="I1246" i="2"/>
  <c r="E1441" i="2"/>
  <c r="D1246" i="2"/>
  <c r="S1446" i="2"/>
  <c r="R1251" i="2"/>
  <c r="K1057" i="2"/>
  <c r="J862" i="2"/>
  <c r="K1056" i="2"/>
  <c r="J861" i="2"/>
  <c r="F1056" i="2"/>
  <c r="E861" i="2"/>
  <c r="T1445" i="2"/>
  <c r="S1250" i="2"/>
  <c r="L1056" i="2"/>
  <c r="K861" i="2"/>
  <c r="L1055" i="2"/>
  <c r="L1524" i="2"/>
  <c r="W1363" i="2"/>
  <c r="H1348" i="2"/>
  <c r="S1347" i="2"/>
  <c r="E1695" i="2"/>
  <c r="W1453" i="2"/>
  <c r="V1258" i="2"/>
  <c r="R1453" i="2"/>
  <c r="Q1258" i="2"/>
  <c r="M1453" i="2"/>
  <c r="L1258" i="2"/>
  <c r="N1720" i="2"/>
  <c r="L1632" i="2"/>
  <c r="S1437" i="2"/>
  <c r="R1242" i="2"/>
  <c r="N1437" i="2"/>
  <c r="M1242" i="2"/>
  <c r="I1437" i="2"/>
  <c r="H1242" i="2"/>
  <c r="W1442" i="2"/>
  <c r="V1247" i="2"/>
  <c r="O1053" i="2"/>
  <c r="N858" i="2"/>
  <c r="O1052" i="2"/>
  <c r="N857" i="2"/>
  <c r="J1052" i="2"/>
  <c r="I857" i="2"/>
  <c r="C1442" i="2"/>
  <c r="W1246" i="2"/>
  <c r="P1052" i="2"/>
  <c r="O857" i="2"/>
  <c r="P1051" i="2"/>
  <c r="M850" i="2"/>
  <c r="I1045" i="2"/>
  <c r="H850" i="2"/>
  <c r="R1435" i="2"/>
  <c r="Q1240" i="2"/>
  <c r="J1046" i="2"/>
  <c r="I851" i="2"/>
  <c r="J1045" i="2"/>
  <c r="I850" i="2"/>
  <c r="E1045" i="2"/>
  <c r="D850" i="2"/>
  <c r="S1434" i="2"/>
  <c r="R1239" i="2"/>
  <c r="K1045" i="2"/>
  <c r="J850" i="2"/>
  <c r="K1044" i="2"/>
  <c r="J849" i="2"/>
  <c r="F1044" i="2"/>
  <c r="E849" i="2"/>
  <c r="W1042" i="2"/>
  <c r="V847" i="2"/>
  <c r="K653" i="2"/>
  <c r="J458" i="2"/>
  <c r="F653" i="2"/>
  <c r="E458" i="2"/>
  <c r="I653" i="2"/>
  <c r="H458" i="2"/>
  <c r="N1043" i="2"/>
  <c r="M848" i="2"/>
  <c r="W653" i="2"/>
  <c r="V458" i="2"/>
  <c r="R653" i="2"/>
  <c r="R849" i="2"/>
  <c r="N1044" i="2"/>
  <c r="M849" i="2"/>
  <c r="W1434" i="2"/>
  <c r="V1843" i="2"/>
  <c r="D1832" i="2"/>
  <c r="F1704" i="2"/>
  <c r="T1451" i="2"/>
  <c r="V1712" i="2"/>
  <c r="P1435" i="2"/>
  <c r="E1709" i="2"/>
  <c r="C1448" i="2"/>
  <c r="Q1697" i="2"/>
  <c r="U1819" i="2"/>
  <c r="W1691" i="2"/>
  <c r="S1448" i="2"/>
  <c r="R1700" i="2"/>
  <c r="O1432" i="2"/>
  <c r="V1696" i="2"/>
  <c r="W1444" i="2"/>
  <c r="M1685" i="2"/>
  <c r="Q1807" i="2"/>
  <c r="S1679" i="2"/>
  <c r="R1445" i="2"/>
  <c r="N1688" i="2"/>
  <c r="N1429" i="2"/>
  <c r="R1684" i="2"/>
  <c r="V1441" i="2"/>
  <c r="I1673" i="2"/>
  <c r="M1795" i="2"/>
  <c r="O1667" i="2"/>
  <c r="Q1442" i="2"/>
  <c r="J1676" i="2"/>
  <c r="M1426" i="2"/>
  <c r="N1672" i="2"/>
  <c r="U1438" i="2"/>
  <c r="E1661" i="2"/>
  <c r="Q1422" i="2"/>
  <c r="S1585" i="2"/>
  <c r="G1395" i="2"/>
  <c r="M1379" i="2"/>
  <c r="C1379" i="2"/>
  <c r="C1495" i="2"/>
  <c r="R1486" i="2"/>
  <c r="H1486" i="2"/>
  <c r="N1470" i="2"/>
  <c r="D1470" i="2"/>
  <c r="J1086" i="2"/>
  <c r="E1085" i="2"/>
  <c r="K1085" i="2"/>
  <c r="S1479" i="2"/>
  <c r="V1482" i="2"/>
  <c r="L1482" i="2"/>
  <c r="P1419" i="2"/>
  <c r="Q1579" i="2"/>
  <c r="F1392" i="2"/>
  <c r="L1376" i="2"/>
  <c r="W1375" i="2"/>
  <c r="T1482" i="2"/>
  <c r="Q1483" i="2"/>
  <c r="G1483" i="2"/>
  <c r="M1467" i="2"/>
  <c r="C1467" i="2"/>
  <c r="I1083" i="2"/>
  <c r="D1082" i="2"/>
  <c r="J1082" i="2"/>
  <c r="O1467" i="2"/>
  <c r="U1479" i="2"/>
  <c r="K1479" i="2"/>
  <c r="O1416" i="2"/>
  <c r="O1573" i="2"/>
  <c r="E1389" i="2"/>
  <c r="K1373" i="2"/>
  <c r="V1372" i="2"/>
  <c r="P1470" i="2"/>
  <c r="P1480" i="2"/>
  <c r="F1480" i="2"/>
  <c r="L1464" i="2"/>
  <c r="W1463" i="2"/>
  <c r="H1080" i="2"/>
  <c r="C1079" i="2"/>
  <c r="I1079" i="2"/>
  <c r="K1455" i="2"/>
  <c r="T1476" i="2"/>
  <c r="J1476" i="2"/>
  <c r="J1401" i="2"/>
  <c r="E1543" i="2"/>
  <c r="U1373" i="2"/>
  <c r="F1358" i="2"/>
  <c r="Q1357" i="2"/>
  <c r="Q1409" i="2"/>
  <c r="K1465" i="2"/>
  <c r="V1464" i="2"/>
  <c r="G1449" i="2"/>
  <c r="R1448" i="2"/>
  <c r="C1065" i="2"/>
  <c r="S1063" i="2"/>
  <c r="D1064" i="2"/>
  <c r="L1394" i="2"/>
  <c r="O1461" i="2"/>
  <c r="E1461" i="2"/>
  <c r="L1448" i="2"/>
  <c r="W1447" i="2"/>
  <c r="H1064" i="2"/>
  <c r="C1063" i="2"/>
  <c r="I1063" i="2"/>
  <c r="P1342" i="2"/>
  <c r="P1448" i="2"/>
  <c r="F1448" i="2"/>
  <c r="L1432" i="2"/>
  <c r="W1431" i="2"/>
  <c r="H1048" i="2"/>
  <c r="C1047" i="2"/>
  <c r="I1047" i="2"/>
  <c r="K1327" i="2"/>
  <c r="T1444" i="2"/>
  <c r="J1444" i="2"/>
  <c r="P1428" i="2"/>
  <c r="F1428" i="2"/>
  <c r="L1044" i="2"/>
  <c r="G1043" i="2"/>
  <c r="M1043" i="2"/>
  <c r="F1036" i="2"/>
  <c r="G1037" i="2"/>
  <c r="W1035" i="2"/>
  <c r="H1036" i="2"/>
  <c r="C1035" i="2"/>
  <c r="H644" i="2"/>
  <c r="F644" i="2"/>
  <c r="S767" i="2"/>
  <c r="H961" i="2"/>
  <c r="G766" i="2"/>
  <c r="Q571" i="2"/>
  <c r="P376" i="2"/>
  <c r="L571" i="2"/>
  <c r="L767" i="2"/>
  <c r="E1751" i="2"/>
  <c r="W1689" i="2"/>
  <c r="F1494" i="2"/>
  <c r="E1299" i="2"/>
  <c r="V1493" i="2"/>
  <c r="U1298" i="2"/>
  <c r="Q1493" i="2"/>
  <c r="P1298" i="2"/>
  <c r="J1499" i="2"/>
  <c r="I1304" i="2"/>
  <c r="W1109" i="2"/>
  <c r="V914" i="2"/>
  <c r="W1108" i="2"/>
  <c r="V913" i="2"/>
  <c r="R1108" i="2"/>
  <c r="Q913" i="2"/>
  <c r="K1498" i="2"/>
  <c r="J1303" i="2"/>
  <c r="C1109" i="2"/>
  <c r="W913" i="2"/>
  <c r="C1108" i="2"/>
  <c r="V1786" i="2"/>
  <c r="M1525" i="2"/>
  <c r="S1509" i="2"/>
  <c r="I1509" i="2"/>
  <c r="C1694" i="2"/>
  <c r="J1494" i="2"/>
  <c r="I1299" i="2"/>
  <c r="E1494" i="2"/>
  <c r="D1299" i="2"/>
  <c r="U1493" i="2"/>
  <c r="T1298" i="2"/>
  <c r="H1687" i="2"/>
  <c r="T1672" i="2"/>
  <c r="F1478" i="2"/>
  <c r="E1283" i="2"/>
  <c r="V1477" i="2"/>
  <c r="U1282" i="2"/>
  <c r="Q1477" i="2"/>
  <c r="P1282" i="2"/>
  <c r="J1483" i="2"/>
  <c r="I1288" i="2"/>
  <c r="W1093" i="2"/>
  <c r="V898" i="2"/>
  <c r="W1092" i="2"/>
  <c r="V897" i="2"/>
  <c r="R1092" i="2"/>
  <c r="Q897" i="2"/>
  <c r="K1482" i="2"/>
  <c r="J1287" i="2"/>
  <c r="C1093" i="2"/>
  <c r="W897" i="2"/>
  <c r="C1092" i="2"/>
  <c r="H1543" i="2"/>
  <c r="H1510" i="2"/>
  <c r="N1494" i="2"/>
  <c r="D1494" i="2"/>
  <c r="N1663" i="2"/>
  <c r="N1490" i="2"/>
  <c r="M1295" i="2"/>
  <c r="I1490" i="2"/>
  <c r="H1295" i="2"/>
  <c r="D1490" i="2"/>
  <c r="C1295" i="2"/>
  <c r="C1672" i="2"/>
  <c r="C1669" i="2"/>
  <c r="J1474" i="2"/>
  <c r="I1279" i="2"/>
  <c r="E1474" i="2"/>
  <c r="D1279" i="2"/>
  <c r="U1473" i="2"/>
  <c r="T1278" i="2"/>
  <c r="N1479" i="2"/>
  <c r="M1284" i="2"/>
  <c r="F1090" i="2"/>
  <c r="E895" i="2"/>
  <c r="F1089" i="2"/>
  <c r="E894" i="2"/>
  <c r="V1088" i="2"/>
  <c r="U893" i="2"/>
  <c r="O1478" i="2"/>
  <c r="N1283" i="2"/>
  <c r="G1089" i="2"/>
  <c r="F894" i="2"/>
  <c r="G1088" i="2"/>
  <c r="D887" i="2"/>
  <c r="U1081" i="2"/>
  <c r="T886" i="2"/>
  <c r="I1472" i="2"/>
  <c r="H1277" i="2"/>
  <c r="V1082" i="2"/>
  <c r="U887" i="2"/>
  <c r="V1081" i="2"/>
  <c r="U886" i="2"/>
  <c r="Q1081" i="2"/>
  <c r="P886" i="2"/>
  <c r="J1471" i="2"/>
  <c r="I1276" i="2"/>
  <c r="W1081" i="2"/>
  <c r="V886" i="2"/>
  <c r="W1080" i="2"/>
  <c r="V885" i="2"/>
  <c r="R1080" i="2"/>
  <c r="Q885" i="2"/>
  <c r="N1079" i="2"/>
  <c r="M884" i="2"/>
  <c r="W689" i="2"/>
  <c r="V494" i="2"/>
  <c r="R689" i="2"/>
  <c r="Q494" i="2"/>
  <c r="U689" i="2"/>
  <c r="T494" i="2"/>
  <c r="E1080" i="2"/>
  <c r="D885" i="2"/>
  <c r="N690" i="2"/>
  <c r="M495" i="2"/>
  <c r="I690" i="2"/>
  <c r="I886" i="2"/>
  <c r="E1081" i="2"/>
  <c r="D886" i="2"/>
  <c r="N1471" i="2"/>
  <c r="M1276" i="2"/>
  <c r="F1082" i="2"/>
  <c r="E887" i="2"/>
  <c r="W1069" i="2"/>
  <c r="G765" i="2"/>
  <c r="H959" i="2"/>
  <c r="G764" i="2"/>
  <c r="C959" i="2"/>
  <c r="H1878" i="2"/>
  <c r="F1611" i="2"/>
  <c r="Q1551" i="2"/>
  <c r="C1357" i="2"/>
  <c r="W1161" i="2"/>
  <c r="S1356" i="2"/>
  <c r="R1161" i="2"/>
  <c r="N1356" i="2"/>
  <c r="Q1169" i="2"/>
  <c r="G1362" i="2"/>
  <c r="F1167" i="2"/>
  <c r="T972" i="2"/>
  <c r="S777" i="2"/>
  <c r="T971" i="2"/>
  <c r="S776" i="2"/>
  <c r="O971" i="2"/>
  <c r="R1168" i="2"/>
  <c r="H1361" i="2"/>
  <c r="G1166" i="2"/>
  <c r="U971" i="2"/>
  <c r="T776" i="2"/>
  <c r="U970" i="2"/>
  <c r="H1367" i="2"/>
  <c r="R1599" i="2"/>
  <c r="D1351" i="2"/>
  <c r="E1767" i="2"/>
  <c r="U1551" i="2"/>
  <c r="G1357" i="2"/>
  <c r="F1162" i="2"/>
  <c r="W1356" i="2"/>
  <c r="V1161" i="2"/>
  <c r="R1356" i="2"/>
  <c r="D1817" i="2"/>
  <c r="F1579" i="2"/>
  <c r="Q1535" i="2"/>
  <c r="C1341" i="2"/>
  <c r="W1145" i="2"/>
  <c r="S1340" i="2"/>
  <c r="R1145" i="2"/>
  <c r="N1340" i="2"/>
  <c r="Q1153" i="2"/>
  <c r="G1346" i="2"/>
  <c r="F1151" i="2"/>
  <c r="T956" i="2"/>
  <c r="S761" i="2"/>
  <c r="T955" i="2"/>
  <c r="S760" i="2"/>
  <c r="O955" i="2"/>
  <c r="R1152" i="2"/>
  <c r="H1345" i="2"/>
  <c r="G1150" i="2"/>
  <c r="U955" i="2"/>
  <c r="T760" i="2"/>
  <c r="U954" i="2"/>
  <c r="C1352" i="2"/>
  <c r="H1569" i="2"/>
  <c r="T1335" i="2"/>
  <c r="P1736" i="2"/>
  <c r="J1950" i="2"/>
  <c r="N2074" i="2"/>
  <c r="I2070" i="2"/>
  <c r="G2106" i="2"/>
  <c r="L1825" i="2"/>
  <c r="R1544" i="2"/>
  <c r="M1764" i="2"/>
  <c r="C2094" i="2"/>
  <c r="Q1776" i="2"/>
  <c r="N1532" i="2"/>
  <c r="E1740" i="2"/>
  <c r="D2033" i="2"/>
  <c r="Q1847" i="2"/>
  <c r="S1666" i="2"/>
  <c r="L1832" i="2"/>
  <c r="K2043" i="2"/>
  <c r="G1860" i="2"/>
  <c r="D2232" i="2"/>
  <c r="C1832" i="2"/>
  <c r="D2043" i="2"/>
  <c r="H2039" i="2"/>
  <c r="U1895" i="2"/>
  <c r="C1599" i="2"/>
  <c r="U1742" i="2"/>
  <c r="U1674" i="2"/>
  <c r="K2252" i="2"/>
  <c r="O2028" i="2"/>
  <c r="T2027" i="2"/>
  <c r="C2024" i="2"/>
  <c r="K1865" i="2"/>
  <c r="F1608" i="2"/>
  <c r="L1779" i="2"/>
  <c r="C1684" i="2"/>
  <c r="S1994" i="2"/>
  <c r="F1854" i="2"/>
  <c r="K1853" i="2"/>
  <c r="P2043" i="2"/>
  <c r="I1818" i="2"/>
  <c r="M1546" i="2"/>
  <c r="P1613" i="2"/>
  <c r="C1817" i="2"/>
  <c r="C1972" i="2"/>
  <c r="K1852" i="2"/>
  <c r="V1957" i="2"/>
  <c r="W1772" i="2"/>
  <c r="R1850" i="2"/>
  <c r="G1547" i="2"/>
  <c r="L1730" i="2"/>
  <c r="D1623" i="2"/>
  <c r="K1945" i="2"/>
  <c r="H1987" i="2"/>
  <c r="M1986" i="2"/>
  <c r="Q1982" i="2"/>
  <c r="I1769" i="2"/>
  <c r="J1680" i="2"/>
  <c r="Q1552" i="2"/>
  <c r="D1756" i="2"/>
  <c r="S1728" i="2"/>
  <c r="K1803" i="2"/>
  <c r="O1932" i="2"/>
  <c r="T1918" i="2"/>
  <c r="D1607" i="2"/>
  <c r="C1535" i="2"/>
  <c r="M1876" i="2"/>
  <c r="W1269" i="2"/>
  <c r="Q1795" i="2"/>
  <c r="J2148" i="2"/>
  <c r="U2087" i="2"/>
  <c r="N2025" i="2"/>
  <c r="S1916" i="2"/>
  <c r="S2024" i="2"/>
  <c r="C1916" i="2"/>
  <c r="W2020" i="2"/>
  <c r="G1912" i="2"/>
  <c r="I1859" i="2"/>
  <c r="F1862" i="2"/>
  <c r="R1580" i="2"/>
  <c r="O1453" i="2"/>
  <c r="N1864" i="2"/>
  <c r="H1530" i="2"/>
  <c r="O1656" i="2"/>
  <c r="L1857" i="2"/>
  <c r="J1278" i="2"/>
  <c r="M1875" i="2"/>
  <c r="I2129" i="2"/>
  <c r="I1852" i="2"/>
  <c r="J1949" i="2"/>
  <c r="L2010" i="2"/>
  <c r="C1838" i="2"/>
  <c r="F2057" i="2"/>
  <c r="J1718" i="2"/>
  <c r="L1316" i="2"/>
  <c r="M1870" i="2"/>
  <c r="N1685" i="2"/>
  <c r="E1862" i="2"/>
  <c r="J1740" i="2"/>
  <c r="H1614" i="2"/>
  <c r="F1533" i="2"/>
  <c r="O1571" i="2"/>
  <c r="F1659" i="2"/>
  <c r="Q1764" i="2"/>
  <c r="W1827" i="2"/>
  <c r="P1872" i="2"/>
  <c r="W1549" i="2"/>
  <c r="L1647" i="2"/>
  <c r="T1539" i="2"/>
  <c r="U2189" i="2"/>
  <c r="V2042" i="2"/>
  <c r="Q2137" i="2"/>
  <c r="D1969" i="2"/>
  <c r="P2011" i="2"/>
  <c r="O1855" i="2"/>
  <c r="K2088" i="2"/>
  <c r="U2010" i="2"/>
  <c r="T1854" i="2"/>
  <c r="O2084" i="2"/>
  <c r="N1910" i="2"/>
  <c r="W1996" i="2"/>
  <c r="C1805" i="2"/>
  <c r="W1906" i="2"/>
  <c r="F1551" i="2"/>
  <c r="H1753" i="2"/>
  <c r="U1529" i="2"/>
  <c r="D1666" i="2"/>
  <c r="L1607" i="2"/>
  <c r="N1538" i="2"/>
  <c r="V1855" i="2"/>
  <c r="K1538" i="2"/>
  <c r="O1674" i="2"/>
  <c r="O1615" i="2"/>
  <c r="H1352" i="2"/>
  <c r="S1741" i="2"/>
  <c r="M1903" i="2"/>
  <c r="F1809" i="2"/>
  <c r="J1741" i="2"/>
  <c r="N2189" i="2"/>
  <c r="N1827" i="2"/>
  <c r="G2270" i="2"/>
  <c r="L1959" i="2"/>
  <c r="O2253" i="2"/>
  <c r="D1935" i="2"/>
  <c r="W1876" i="2"/>
  <c r="P1770" i="2"/>
  <c r="U1965" i="2"/>
  <c r="O2009" i="2"/>
  <c r="Q1533" i="2"/>
  <c r="C1785" i="2"/>
  <c r="C2020" i="2"/>
  <c r="G2016" i="2"/>
  <c r="K1903" i="2"/>
  <c r="U1713" i="2"/>
  <c r="I1900" i="2"/>
  <c r="Q1732" i="2"/>
  <c r="O1624" i="2"/>
  <c r="U2034" i="2"/>
  <c r="S1944" i="2"/>
  <c r="Q1779" i="2"/>
  <c r="R1699" i="2"/>
  <c r="N1819" i="2"/>
  <c r="T1324" i="2"/>
  <c r="O1718" i="2"/>
  <c r="D1147" i="2"/>
  <c r="G1521" i="2"/>
  <c r="R1520" i="2"/>
  <c r="L1777" i="2"/>
  <c r="H1143" i="2"/>
  <c r="J1807" i="2"/>
  <c r="P1312" i="2"/>
  <c r="M1712" i="2"/>
  <c r="C1144" i="2"/>
  <c r="F1518" i="2"/>
  <c r="Q1517" i="2"/>
  <c r="Q1867" i="2"/>
  <c r="G1140" i="2"/>
  <c r="W1782" i="2"/>
  <c r="S1563" i="2"/>
  <c r="E1690" i="2"/>
  <c r="R1796" i="2"/>
  <c r="J1539" i="2"/>
  <c r="C1336" i="2"/>
  <c r="S1335" i="2"/>
  <c r="H1537" i="2"/>
  <c r="D1320" i="2"/>
  <c r="T1319" i="2"/>
  <c r="O1319" i="2"/>
  <c r="N1535" i="2"/>
  <c r="L1460" i="2"/>
  <c r="G1332" i="2"/>
  <c r="W1331" i="2"/>
  <c r="H1724" i="2"/>
  <c r="T1803" i="2"/>
  <c r="O1551" i="2"/>
  <c r="V1677" i="2"/>
  <c r="W1747" i="2"/>
  <c r="O1709" i="2"/>
  <c r="W1332" i="2"/>
  <c r="R1332" i="2"/>
  <c r="F1531" i="2"/>
  <c r="C1317" i="2"/>
  <c r="S1316" i="2"/>
  <c r="N1316" i="2"/>
  <c r="D1724" i="2"/>
  <c r="J1454" i="2"/>
  <c r="F1329" i="2"/>
  <c r="V1328" i="2"/>
  <c r="F1718" i="2"/>
  <c r="G1313" i="2"/>
  <c r="W1312" i="2"/>
  <c r="R1312" i="2"/>
  <c r="R1366" i="2"/>
  <c r="R1285" i="2"/>
  <c r="M1285" i="2"/>
  <c r="M1659" i="2"/>
  <c r="S1269" i="2"/>
  <c r="N1269" i="2"/>
  <c r="I1269" i="2"/>
  <c r="N1658" i="2"/>
  <c r="O1691" i="2"/>
  <c r="M1844" i="2"/>
  <c r="C1377" i="2"/>
  <c r="S1376" i="2"/>
  <c r="N1376" i="2"/>
  <c r="S1618" i="2"/>
  <c r="T1360" i="2"/>
  <c r="O1360" i="2"/>
  <c r="J1360" i="2"/>
  <c r="C1366" i="2"/>
  <c r="P976" i="2"/>
  <c r="P975" i="2"/>
  <c r="K975" i="2"/>
  <c r="D1365" i="2"/>
  <c r="Q975" i="2"/>
  <c r="Q974" i="2"/>
  <c r="P1630" i="2"/>
  <c r="N1743" i="2"/>
  <c r="G1373" i="2"/>
  <c r="W1372" i="2"/>
  <c r="R1372" i="2"/>
  <c r="F1310" i="2"/>
  <c r="V1309" i="2"/>
  <c r="Q1309" i="2"/>
  <c r="P1360" i="2"/>
  <c r="Q1282" i="2"/>
  <c r="L1282" i="2"/>
  <c r="L1656" i="2"/>
  <c r="R1266" i="2"/>
  <c r="M1266" i="2"/>
  <c r="H1266" i="2"/>
  <c r="M1655" i="2"/>
  <c r="T1642" i="2"/>
  <c r="R1755" i="2"/>
  <c r="W1373" i="2"/>
  <c r="R1373" i="2"/>
  <c r="M1373" i="2"/>
  <c r="Q1612" i="2"/>
  <c r="S1357" i="2"/>
  <c r="N1357" i="2"/>
  <c r="I1357" i="2"/>
  <c r="W1362" i="2"/>
  <c r="O973" i="2"/>
  <c r="O972" i="2"/>
  <c r="J972" i="2"/>
  <c r="C1362" i="2"/>
  <c r="P972" i="2"/>
  <c r="P971" i="2"/>
  <c r="U1581" i="2"/>
  <c r="C1889" i="2"/>
  <c r="F1370" i="2"/>
  <c r="V1369" i="2"/>
  <c r="Q1369" i="2"/>
  <c r="E1307" i="2"/>
  <c r="U1306" i="2"/>
  <c r="P1306" i="2"/>
  <c r="N1354" i="2"/>
  <c r="P1279" i="2"/>
  <c r="K1279" i="2"/>
  <c r="K1653" i="2"/>
  <c r="Q1263" i="2"/>
  <c r="L1263" i="2"/>
  <c r="G1263" i="2"/>
  <c r="L1652" i="2"/>
  <c r="D1594" i="2"/>
  <c r="G1901" i="2"/>
  <c r="V1370" i="2"/>
  <c r="Q1370" i="2"/>
  <c r="L1370" i="2"/>
  <c r="O1606" i="2"/>
  <c r="R1354" i="2"/>
  <c r="M1354" i="2"/>
  <c r="H1354" i="2"/>
  <c r="V1359" i="2"/>
  <c r="N970" i="2"/>
  <c r="N969" i="2"/>
  <c r="I969" i="2"/>
  <c r="W1358" i="2"/>
  <c r="O969" i="2"/>
  <c r="O968" i="2"/>
  <c r="E1533" i="2"/>
  <c r="J1846" i="2"/>
  <c r="E1367" i="2"/>
  <c r="U1366" i="2"/>
  <c r="P1366" i="2"/>
  <c r="U1291" i="2"/>
  <c r="P1291" i="2"/>
  <c r="K1291" i="2"/>
  <c r="D1324" i="2"/>
  <c r="K1264" i="2"/>
  <c r="F1264" i="2"/>
  <c r="F1638" i="2"/>
  <c r="L1248" i="2"/>
  <c r="G1248" i="2"/>
  <c r="W1247" i="2"/>
  <c r="G1637" i="2"/>
  <c r="N1587" i="2"/>
  <c r="V1754" i="2"/>
  <c r="Q1355" i="2"/>
  <c r="L1355" i="2"/>
  <c r="G1355" i="2"/>
  <c r="E1576" i="2"/>
  <c r="M1339" i="2"/>
  <c r="H1339" i="2"/>
  <c r="C1339" i="2"/>
  <c r="Q1344" i="2"/>
  <c r="I955" i="2"/>
  <c r="I954" i="2"/>
  <c r="D954" i="2"/>
  <c r="R1343" i="2"/>
  <c r="J954" i="2"/>
  <c r="J953" i="2"/>
  <c r="D1557" i="2"/>
  <c r="L1724" i="2"/>
  <c r="U1351" i="2"/>
  <c r="P1351" i="2"/>
  <c r="K1351" i="2"/>
  <c r="O1574" i="2"/>
  <c r="R1338" i="2"/>
  <c r="M1338" i="2"/>
  <c r="H1338" i="2"/>
  <c r="V1343" i="2"/>
  <c r="N954" i="2"/>
  <c r="N953" i="2"/>
  <c r="I953" i="2"/>
  <c r="W1342" i="2"/>
  <c r="O953" i="2"/>
  <c r="O952" i="2"/>
  <c r="U1667" i="2"/>
  <c r="W1620" i="2"/>
  <c r="V1338" i="2"/>
  <c r="Q1338" i="2"/>
  <c r="L1338" i="2"/>
  <c r="O1542" i="2"/>
  <c r="R1322" i="2"/>
  <c r="M1322" i="2"/>
  <c r="H1322" i="2"/>
  <c r="V1327" i="2"/>
  <c r="N938" i="2"/>
  <c r="N937" i="2"/>
  <c r="I937" i="2"/>
  <c r="W1326" i="2"/>
  <c r="O937" i="2"/>
  <c r="O936" i="2"/>
  <c r="P1652" i="2"/>
  <c r="M1590" i="2"/>
  <c r="E1335" i="2"/>
  <c r="U1334" i="2"/>
  <c r="P1334" i="2"/>
  <c r="W1534" i="2"/>
  <c r="V1318" i="2"/>
  <c r="Q1318" i="2"/>
  <c r="L1318" i="2"/>
  <c r="E1324" i="2"/>
  <c r="R934" i="2"/>
  <c r="R933" i="2"/>
  <c r="M933" i="2"/>
  <c r="F1323" i="2"/>
  <c r="S933" i="2"/>
  <c r="R929" i="2"/>
  <c r="L926" i="2"/>
  <c r="U1316" i="2"/>
  <c r="M927" i="2"/>
  <c r="M926" i="2"/>
  <c r="H926" i="2"/>
  <c r="V1315" i="2"/>
  <c r="N926" i="2"/>
  <c r="N925" i="2"/>
  <c r="I925" i="2"/>
  <c r="E924" i="2"/>
  <c r="N534" i="2"/>
  <c r="I534" i="2"/>
  <c r="S1681" i="2"/>
  <c r="L1898" i="2"/>
  <c r="N2070" i="2"/>
  <c r="P1894" i="2"/>
  <c r="P1594" i="2"/>
  <c r="G1672" i="2"/>
  <c r="W1845" i="2"/>
  <c r="W1885" i="2"/>
  <c r="D1718" i="2"/>
  <c r="K1793" i="2"/>
  <c r="D1659" i="2"/>
  <c r="M1665" i="2"/>
  <c r="V1742" i="2"/>
  <c r="Q1491" i="2"/>
  <c r="F1281" i="2"/>
  <c r="V1280" i="2"/>
  <c r="V1654" i="2"/>
  <c r="G1265" i="2"/>
  <c r="W1264" i="2"/>
  <c r="R1264" i="2"/>
  <c r="W1653" i="2"/>
  <c r="R1350" i="2"/>
  <c r="J1277" i="2"/>
  <c r="E1277" i="2"/>
  <c r="E1651" i="2"/>
  <c r="G1781" i="2"/>
  <c r="I1610" i="2"/>
  <c r="I1653" i="2"/>
  <c r="R1730" i="2"/>
  <c r="M1479" i="2"/>
  <c r="E1278" i="2"/>
  <c r="U1277" i="2"/>
  <c r="U1651" i="2"/>
  <c r="F1262" i="2"/>
  <c r="V1261" i="2"/>
  <c r="Q1261" i="2"/>
  <c r="V1650" i="2"/>
  <c r="P1344" i="2"/>
  <c r="I1274" i="2"/>
  <c r="D1274" i="2"/>
  <c r="D1648" i="2"/>
  <c r="C1769" i="2"/>
  <c r="N1561" i="2"/>
  <c r="E1641" i="2"/>
  <c r="Q1718" i="2"/>
  <c r="I1467" i="2"/>
  <c r="D1275" i="2"/>
  <c r="T1274" i="2"/>
  <c r="T1648" i="2"/>
  <c r="E1259" i="2"/>
  <c r="U1258" i="2"/>
  <c r="P1258" i="2"/>
  <c r="U1647" i="2"/>
  <c r="N1338" i="2"/>
  <c r="H1271" i="2"/>
  <c r="C1271" i="2"/>
  <c r="C1645" i="2"/>
  <c r="T1756" i="2"/>
  <c r="O1707" i="2"/>
  <c r="V1628" i="2"/>
  <c r="M1706" i="2"/>
  <c r="E1455" i="2"/>
  <c r="C1272" i="2"/>
  <c r="S1271" i="2"/>
  <c r="S1645" i="2"/>
  <c r="D1256" i="2"/>
  <c r="T1255" i="2"/>
  <c r="O1255" i="2"/>
  <c r="T1644" i="2"/>
  <c r="L1332" i="2"/>
  <c r="G1268" i="2"/>
  <c r="W1267" i="2"/>
  <c r="W1641" i="2"/>
  <c r="H1252" i="2"/>
  <c r="C1252" i="2"/>
  <c r="E1538" i="2"/>
  <c r="T1244" i="2"/>
  <c r="S1224" i="2"/>
  <c r="N1224" i="2"/>
  <c r="N1598" i="2"/>
  <c r="T1208" i="2"/>
  <c r="O1208" i="2"/>
  <c r="J1208" i="2"/>
  <c r="N1644" i="2"/>
  <c r="L1576" i="2"/>
  <c r="V1632" i="2"/>
  <c r="D1316" i="2"/>
  <c r="T1315" i="2"/>
  <c r="O1315" i="2"/>
  <c r="M1691" i="2"/>
  <c r="U1299" i="2"/>
  <c r="P1299" i="2"/>
  <c r="K1299" i="2"/>
  <c r="D1305" i="2"/>
  <c r="Q915" i="2"/>
  <c r="Q914" i="2"/>
  <c r="L914" i="2"/>
  <c r="E1304" i="2"/>
  <c r="R914" i="2"/>
  <c r="O1583" i="2"/>
  <c r="G1561" i="2"/>
  <c r="L1602" i="2"/>
  <c r="H1312" i="2"/>
  <c r="C1312" i="2"/>
  <c r="S1311" i="2"/>
  <c r="G1249" i="2"/>
  <c r="W1248" i="2"/>
  <c r="R1720" i="2"/>
  <c r="R1238" i="2"/>
  <c r="R1221" i="2"/>
  <c r="M1221" i="2"/>
  <c r="M1595" i="2"/>
  <c r="S1205" i="2"/>
  <c r="N1205" i="2"/>
  <c r="I1205" i="2"/>
  <c r="S1595" i="2"/>
  <c r="H1564" i="2"/>
  <c r="N1608" i="2"/>
  <c r="C1313" i="2"/>
  <c r="S1312" i="2"/>
  <c r="N1312" i="2"/>
  <c r="N1686" i="2"/>
  <c r="T1296" i="2"/>
  <c r="O1296" i="2"/>
  <c r="J1296" i="2"/>
  <c r="C1302" i="2"/>
  <c r="P912" i="2"/>
  <c r="P911" i="2"/>
  <c r="K911" i="2"/>
  <c r="D1301" i="2"/>
  <c r="Q911" i="2"/>
  <c r="T1534" i="2"/>
  <c r="C1549" i="2"/>
  <c r="D1578" i="2"/>
  <c r="G1309" i="2"/>
  <c r="W1308" i="2"/>
  <c r="R1308" i="2"/>
  <c r="F1246" i="2"/>
  <c r="V1245" i="2"/>
  <c r="N1708" i="2"/>
  <c r="P1232" i="2"/>
  <c r="Q1218" i="2"/>
  <c r="L1218" i="2"/>
  <c r="L1592" i="2"/>
  <c r="R1202" i="2"/>
  <c r="M1202" i="2"/>
  <c r="H1202" i="2"/>
  <c r="C1547" i="2"/>
  <c r="D1552" i="2"/>
  <c r="F1584" i="2"/>
  <c r="W1309" i="2"/>
  <c r="R1309" i="2"/>
  <c r="M1309" i="2"/>
  <c r="M1683" i="2"/>
  <c r="S1293" i="2"/>
  <c r="N1293" i="2"/>
  <c r="I1293" i="2"/>
  <c r="W1298" i="2"/>
  <c r="O909" i="2"/>
  <c r="O908" i="2"/>
  <c r="J908" i="2"/>
  <c r="C1298" i="2"/>
  <c r="P908" i="2"/>
  <c r="H1681" i="2"/>
  <c r="T1536" i="2"/>
  <c r="Q1553" i="2"/>
  <c r="F1306" i="2"/>
  <c r="V1305" i="2"/>
  <c r="Q1305" i="2"/>
  <c r="V1230" i="2"/>
  <c r="Q1230" i="2"/>
  <c r="O1647" i="2"/>
  <c r="Q1203" i="2"/>
  <c r="L1203" i="2"/>
  <c r="G1203" i="2"/>
  <c r="G1577" i="2"/>
  <c r="M1187" i="2"/>
  <c r="H1187" i="2"/>
  <c r="C1187" i="2"/>
  <c r="I1689" i="2"/>
  <c r="M1491" i="2"/>
  <c r="L1657" i="2"/>
  <c r="R1294" i="2"/>
  <c r="M1294" i="2"/>
  <c r="H1294" i="2"/>
  <c r="H1668" i="2"/>
  <c r="N1278" i="2"/>
  <c r="I1278" i="2"/>
  <c r="D1278" i="2"/>
  <c r="R1283" i="2"/>
  <c r="J894" i="2"/>
  <c r="J893" i="2"/>
  <c r="E893" i="2"/>
  <c r="S1282" i="2"/>
  <c r="K893" i="2"/>
  <c r="T1530" i="2"/>
  <c r="H1476" i="2"/>
  <c r="M1628" i="2"/>
  <c r="V1290" i="2"/>
  <c r="Q1290" i="2"/>
  <c r="L1290" i="2"/>
  <c r="M1667" i="2"/>
  <c r="S1277" i="2"/>
  <c r="N1277" i="2"/>
  <c r="I1277" i="2"/>
  <c r="W1282" i="2"/>
  <c r="O893" i="2"/>
  <c r="O892" i="2"/>
  <c r="J892" i="2"/>
  <c r="C1282" i="2"/>
  <c r="P892" i="2"/>
  <c r="L1676" i="2"/>
  <c r="L1424" i="2"/>
  <c r="Q1576" i="2"/>
  <c r="W1277" i="2"/>
  <c r="R1277" i="2"/>
  <c r="M1277" i="2"/>
  <c r="M1651" i="2"/>
  <c r="S1261" i="2"/>
  <c r="N1261" i="2"/>
  <c r="I1261" i="2"/>
  <c r="W1266" i="2"/>
  <c r="O877" i="2"/>
  <c r="O876" i="2"/>
  <c r="J876" i="2"/>
  <c r="C1266" i="2"/>
  <c r="P876" i="2"/>
  <c r="W1645" i="2"/>
  <c r="G1409" i="2"/>
  <c r="L1561" i="2"/>
  <c r="F1274" i="2"/>
  <c r="V1273" i="2"/>
  <c r="Q1273" i="2"/>
  <c r="Q1647" i="2"/>
  <c r="W1257" i="2"/>
  <c r="R1257" i="2"/>
  <c r="M1257" i="2"/>
  <c r="F1263" i="2"/>
  <c r="S873" i="2"/>
  <c r="S872" i="2"/>
  <c r="N872" i="2"/>
  <c r="G1262" i="2"/>
  <c r="T872" i="2"/>
  <c r="R865" i="2"/>
  <c r="M865" i="2"/>
  <c r="V1255" i="2"/>
  <c r="N866" i="2"/>
  <c r="N865" i="2"/>
  <c r="I865" i="2"/>
  <c r="W1254" i="2"/>
  <c r="O865" i="2"/>
  <c r="O864" i="2"/>
  <c r="J864" i="2"/>
  <c r="F863" i="2"/>
  <c r="O473" i="2"/>
  <c r="J473" i="2"/>
  <c r="J1438" i="2"/>
  <c r="L1849" i="2"/>
  <c r="U2018" i="2"/>
  <c r="P1845" i="2"/>
  <c r="C1546" i="2"/>
  <c r="I1725" i="2"/>
  <c r="I1602" i="2"/>
  <c r="O1669" i="2"/>
  <c r="L1669" i="2"/>
  <c r="R1549" i="2"/>
  <c r="C1617" i="2"/>
  <c r="U1616" i="2"/>
  <c r="D1694" i="2"/>
  <c r="U1247" i="2"/>
  <c r="G1220" i="2"/>
  <c r="W1219" i="2"/>
  <c r="W1593" i="2"/>
  <c r="H1204" i="2"/>
  <c r="C1204" i="2"/>
  <c r="S1203" i="2"/>
  <c r="K1699" i="2"/>
  <c r="T1228" i="2"/>
  <c r="K1216" i="2"/>
  <c r="F1216" i="2"/>
  <c r="F1590" i="2"/>
  <c r="N1537" i="2"/>
  <c r="T1604" i="2"/>
  <c r="Q1604" i="2"/>
  <c r="U1681" i="2"/>
  <c r="Q1235" i="2"/>
  <c r="F1217" i="2"/>
  <c r="V1216" i="2"/>
  <c r="V1590" i="2"/>
  <c r="G1201" i="2"/>
  <c r="W1200" i="2"/>
  <c r="R1200" i="2"/>
  <c r="G1687" i="2"/>
  <c r="R1222" i="2"/>
  <c r="J1213" i="2"/>
  <c r="E1213" i="2"/>
  <c r="E1587" i="2"/>
  <c r="F1720" i="2"/>
  <c r="P1592" i="2"/>
  <c r="M1592" i="2"/>
  <c r="Q1669" i="2"/>
  <c r="M1223" i="2"/>
  <c r="E1214" i="2"/>
  <c r="U1213" i="2"/>
  <c r="U1587" i="2"/>
  <c r="F1198" i="2"/>
  <c r="V1197" i="2"/>
  <c r="Q1197" i="2"/>
  <c r="C1675" i="2"/>
  <c r="P1216" i="2"/>
  <c r="I1210" i="2"/>
  <c r="D1210" i="2"/>
  <c r="D1584" i="2"/>
  <c r="W1707" i="2"/>
  <c r="L1580" i="2"/>
  <c r="I1580" i="2"/>
  <c r="M1657" i="2"/>
  <c r="K1217" i="2"/>
  <c r="D1211" i="2"/>
  <c r="T1210" i="2"/>
  <c r="T1584" i="2"/>
  <c r="E1195" i="2"/>
  <c r="U1194" i="2"/>
  <c r="P1194" i="2"/>
  <c r="T1662" i="2"/>
  <c r="N1210" i="2"/>
  <c r="H1207" i="2"/>
  <c r="C1207" i="2"/>
  <c r="C1581" i="2"/>
  <c r="I1191" i="2"/>
  <c r="D1191" i="2"/>
  <c r="I1684" i="2"/>
  <c r="D1164" i="2"/>
  <c r="T1163" i="2"/>
  <c r="N1847" i="2"/>
  <c r="O1537" i="2"/>
  <c r="U1147" i="2"/>
  <c r="P1147" i="2"/>
  <c r="I1832" i="2"/>
  <c r="W1493" i="2"/>
  <c r="C1333" i="2"/>
  <c r="Q1683" i="2"/>
  <c r="E1255" i="2"/>
  <c r="U1254" i="2"/>
  <c r="P1254" i="2"/>
  <c r="P1628" i="2"/>
  <c r="V1238" i="2"/>
  <c r="Q1238" i="2"/>
  <c r="L1238" i="2"/>
  <c r="E1244" i="2"/>
  <c r="R854" i="2"/>
  <c r="R853" i="2"/>
  <c r="M853" i="2"/>
  <c r="F1243" i="2"/>
  <c r="S853" i="2"/>
  <c r="M1463" i="2"/>
  <c r="S1317" i="2"/>
  <c r="D1676" i="2"/>
  <c r="I1251" i="2"/>
  <c r="D1251" i="2"/>
  <c r="T1250" i="2"/>
  <c r="H1188" i="2"/>
  <c r="C1188" i="2"/>
  <c r="E1672" i="2"/>
  <c r="C1161" i="2"/>
  <c r="S1160" i="2"/>
  <c r="S1798" i="2"/>
  <c r="N1534" i="2"/>
  <c r="T1144" i="2"/>
  <c r="O1144" i="2"/>
  <c r="N1783" i="2"/>
  <c r="O1469" i="2"/>
  <c r="T1320" i="2"/>
  <c r="O1677" i="2"/>
  <c r="D1252" i="2"/>
  <c r="T1251" i="2"/>
  <c r="O1251" i="2"/>
  <c r="O1625" i="2"/>
  <c r="U1235" i="2"/>
  <c r="P1235" i="2"/>
  <c r="K1235" i="2"/>
  <c r="D1241" i="2"/>
  <c r="Q851" i="2"/>
  <c r="Q850" i="2"/>
  <c r="L850" i="2"/>
  <c r="E1240" i="2"/>
  <c r="R850" i="2"/>
  <c r="E1439" i="2"/>
  <c r="O1305" i="2"/>
  <c r="W1669" i="2"/>
  <c r="H1248" i="2"/>
  <c r="C1248" i="2"/>
  <c r="S1247" i="2"/>
  <c r="G1185" i="2"/>
  <c r="W1184" i="2"/>
  <c r="V1659" i="2"/>
  <c r="W1157" i="2"/>
  <c r="R1157" i="2"/>
  <c r="H1757" i="2"/>
  <c r="M1531" i="2"/>
  <c r="S1141" i="2"/>
  <c r="N1141" i="2"/>
  <c r="P1749" i="2"/>
  <c r="G1445" i="2"/>
  <c r="P1308" i="2"/>
  <c r="M1671" i="2"/>
  <c r="C1249" i="2"/>
  <c r="S1248" i="2"/>
  <c r="N1248" i="2"/>
  <c r="N1622" i="2"/>
  <c r="T1232" i="2"/>
  <c r="O1232" i="2"/>
  <c r="J1232" i="2"/>
  <c r="C1238" i="2"/>
  <c r="P848" i="2"/>
  <c r="P847" i="2"/>
  <c r="K847" i="2"/>
  <c r="D1237" i="2"/>
  <c r="Q847" i="2"/>
  <c r="R1414" i="2"/>
  <c r="K1293" i="2"/>
  <c r="U1663" i="2"/>
  <c r="G1245" i="2"/>
  <c r="W1244" i="2"/>
  <c r="R1244" i="2"/>
  <c r="W1169" i="2"/>
  <c r="R1169" i="2"/>
  <c r="O1746" i="2"/>
  <c r="R1142" i="2"/>
  <c r="M1142" i="2"/>
  <c r="C1841" i="2"/>
  <c r="P1516" i="2"/>
  <c r="K1516" i="2"/>
  <c r="F1516" i="2"/>
  <c r="G1837" i="2"/>
  <c r="I1323" i="2"/>
  <c r="Q1247" i="2"/>
  <c r="C1641" i="2"/>
  <c r="S1233" i="2"/>
  <c r="N1233" i="2"/>
  <c r="I1233" i="2"/>
  <c r="I1607" i="2"/>
  <c r="O1217" i="2"/>
  <c r="J1217" i="2"/>
  <c r="E1217" i="2"/>
  <c r="S1222" i="2"/>
  <c r="K833" i="2"/>
  <c r="K832" i="2"/>
  <c r="F832" i="2"/>
  <c r="T1221" i="2"/>
  <c r="L832" i="2"/>
  <c r="T1292" i="2"/>
  <c r="L1232" i="2"/>
  <c r="K1633" i="2"/>
  <c r="W1229" i="2"/>
  <c r="R1229" i="2"/>
  <c r="M1229" i="2"/>
  <c r="N1606" i="2"/>
  <c r="T1216" i="2"/>
  <c r="O1216" i="2"/>
  <c r="K1411" i="2"/>
  <c r="J1216" i="2"/>
  <c r="D1417" i="2"/>
  <c r="C1222" i="2"/>
  <c r="Q1027" i="2"/>
  <c r="P832" i="2"/>
  <c r="Q1026" i="2"/>
  <c r="P831" i="2"/>
  <c r="L1026" i="2"/>
  <c r="K831" i="2"/>
  <c r="E1416" i="2"/>
  <c r="D1221" i="2"/>
  <c r="R1026" i="2"/>
  <c r="Q831" i="2"/>
  <c r="R1025" i="2"/>
  <c r="T1196" i="2"/>
  <c r="J1196" i="2"/>
  <c r="P1180" i="2"/>
  <c r="H1218" i="2"/>
  <c r="M1607" i="2"/>
  <c r="D1412" i="2"/>
  <c r="C1217" i="2"/>
  <c r="T1411" i="2"/>
  <c r="S1216" i="2"/>
  <c r="O1411" i="2"/>
  <c r="N1216" i="2"/>
  <c r="V1552" i="2"/>
  <c r="N1590" i="2"/>
  <c r="U1395" i="2"/>
  <c r="T1200" i="2"/>
  <c r="P1395" i="2"/>
  <c r="O1200" i="2"/>
  <c r="K1395" i="2"/>
  <c r="J1200" i="2"/>
  <c r="D1401" i="2"/>
  <c r="C1206" i="2"/>
  <c r="Q1011" i="2"/>
  <c r="P816" i="2"/>
  <c r="Q1010" i="2"/>
  <c r="P815" i="2"/>
  <c r="L1010" i="2"/>
  <c r="K815" i="2"/>
  <c r="E1400" i="2"/>
  <c r="D1205" i="2"/>
  <c r="R1010" i="2"/>
  <c r="Q815" i="2"/>
  <c r="R1009" i="2"/>
  <c r="O1181" i="2"/>
  <c r="I1738" i="2"/>
  <c r="K1165" i="2"/>
  <c r="P1210" i="2"/>
  <c r="V1602" i="2"/>
  <c r="H1408" i="2"/>
  <c r="G1213" i="2"/>
  <c r="C1408" i="2"/>
  <c r="W1212" i="2"/>
  <c r="S1407" i="2"/>
  <c r="R1212" i="2"/>
  <c r="Q1537" i="2"/>
  <c r="R1586" i="2"/>
  <c r="D1392" i="2"/>
  <c r="C1197" i="2"/>
  <c r="T1391" i="2"/>
  <c r="S1196" i="2"/>
  <c r="O1391" i="2"/>
  <c r="N1196" i="2"/>
  <c r="H1397" i="2"/>
  <c r="G1202" i="2"/>
  <c r="U1007" i="2"/>
  <c r="T812" i="2"/>
  <c r="U1006" i="2"/>
  <c r="T811" i="2"/>
  <c r="P1006" i="2"/>
  <c r="O811" i="2"/>
  <c r="I1396" i="2"/>
  <c r="H1201" i="2"/>
  <c r="V1006" i="2"/>
  <c r="U811" i="2"/>
  <c r="V1005" i="2"/>
  <c r="S804" i="2"/>
  <c r="O999" i="2"/>
  <c r="N804" i="2"/>
  <c r="C1390" i="2"/>
  <c r="W1194" i="2"/>
  <c r="P1000" i="2"/>
  <c r="O805" i="2"/>
  <c r="P999" i="2"/>
  <c r="O804" i="2"/>
  <c r="K999" i="2"/>
  <c r="J804" i="2"/>
  <c r="D1389" i="2"/>
  <c r="C1194" i="2"/>
  <c r="Q999" i="2"/>
  <c r="P804" i="2"/>
  <c r="Q998" i="2"/>
  <c r="P803" i="2"/>
  <c r="L998" i="2"/>
  <c r="K803" i="2"/>
  <c r="H997" i="2"/>
  <c r="G802" i="2"/>
  <c r="Q607" i="2"/>
  <c r="P412" i="2"/>
  <c r="L607" i="2"/>
  <c r="K412" i="2"/>
  <c r="O607" i="2"/>
  <c r="V1765" i="2"/>
  <c r="P1995" i="2"/>
  <c r="O1888" i="2"/>
  <c r="H1974" i="2"/>
  <c r="N1993" i="2"/>
  <c r="T1991" i="2"/>
  <c r="S1884" i="2"/>
  <c r="K1692" i="2"/>
  <c r="L1828" i="2"/>
  <c r="U1805" i="2"/>
  <c r="V1761" i="2"/>
  <c r="I1612" i="2"/>
  <c r="R1689" i="2"/>
  <c r="E1657" i="2"/>
  <c r="W1779" i="2"/>
  <c r="M1641" i="2"/>
  <c r="T1402" i="2"/>
  <c r="E1387" i="2"/>
  <c r="P1386" i="2"/>
  <c r="F1594" i="2"/>
  <c r="C1399" i="2"/>
  <c r="V1644" i="2"/>
  <c r="G1731" i="2"/>
  <c r="E1617" i="2"/>
  <c r="S1399" i="2"/>
  <c r="D1384" i="2"/>
  <c r="O1383" i="2"/>
  <c r="D1588" i="2"/>
  <c r="W1395" i="2"/>
  <c r="R1632" i="2"/>
  <c r="H1877" i="2"/>
  <c r="R1592" i="2"/>
  <c r="R1396" i="2"/>
  <c r="C1381" i="2"/>
  <c r="N1380" i="2"/>
  <c r="W1581" i="2"/>
  <c r="V1392" i="2"/>
  <c r="J1608" i="2"/>
  <c r="M1828" i="2"/>
  <c r="J1568" i="2"/>
  <c r="Q1393" i="2"/>
  <c r="W1377" i="2"/>
  <c r="M1377" i="2"/>
  <c r="U1575" i="2"/>
  <c r="U1389" i="2"/>
  <c r="F1374" i="2"/>
  <c r="Q1373" i="2"/>
  <c r="Q1346" i="2"/>
  <c r="O1558" i="2"/>
  <c r="M1330" i="2"/>
  <c r="U1556" i="2"/>
  <c r="S1283" i="2"/>
  <c r="R1437" i="2"/>
  <c r="N1656" i="2"/>
  <c r="N1421" i="2"/>
  <c r="W1426" i="2"/>
  <c r="O1036" i="2"/>
  <c r="C1426" i="2"/>
  <c r="P1035" i="2"/>
  <c r="N1268" i="2"/>
  <c r="V1433" i="2"/>
  <c r="E1371" i="2"/>
  <c r="P1370" i="2"/>
  <c r="P1343" i="2"/>
  <c r="M1552" i="2"/>
  <c r="L1327" i="2"/>
  <c r="S1550" i="2"/>
  <c r="O1271" i="2"/>
  <c r="Q1434" i="2"/>
  <c r="J1644" i="2"/>
  <c r="M1418" i="2"/>
  <c r="V1423" i="2"/>
  <c r="N1033" i="2"/>
  <c r="W1422" i="2"/>
  <c r="O1032" i="2"/>
  <c r="J1256" i="2"/>
  <c r="U1430" i="2"/>
  <c r="D1368" i="2"/>
  <c r="O1367" i="2"/>
  <c r="O1340" i="2"/>
  <c r="K1546" i="2"/>
  <c r="K1324" i="2"/>
  <c r="Q1544" i="2"/>
  <c r="K1259" i="2"/>
  <c r="P1431" i="2"/>
  <c r="F1632" i="2"/>
  <c r="L1415" i="2"/>
  <c r="U1420" i="2"/>
  <c r="M1030" i="2"/>
  <c r="V1419" i="2"/>
  <c r="N1029" i="2"/>
  <c r="H1250" i="2"/>
  <c r="T1427" i="2"/>
  <c r="T1352" i="2"/>
  <c r="J1352" i="2"/>
  <c r="J1325" i="2"/>
  <c r="N1710" i="2"/>
  <c r="F1309" i="2"/>
  <c r="T1708" i="2"/>
  <c r="K1227" i="2"/>
  <c r="K1416" i="2"/>
  <c r="G1571" i="2"/>
  <c r="G1400" i="2"/>
  <c r="P1405" i="2"/>
  <c r="H1015" i="2"/>
  <c r="Q1404" i="2"/>
  <c r="I1014" i="2"/>
  <c r="S1219" i="2"/>
  <c r="O1412" i="2"/>
  <c r="F1568" i="2"/>
  <c r="L1399" i="2"/>
  <c r="U1404" i="2"/>
  <c r="M1014" i="2"/>
  <c r="V1403" i="2"/>
  <c r="N1013" i="2"/>
  <c r="U1193" i="2"/>
  <c r="P1399" i="2"/>
  <c r="J1699" i="2"/>
  <c r="L1383" i="2"/>
  <c r="U1388" i="2"/>
  <c r="M998" i="2"/>
  <c r="V1387" i="2"/>
  <c r="N997" i="2"/>
  <c r="H1186" i="2"/>
  <c r="T1395" i="2"/>
  <c r="E1684" i="2"/>
  <c r="P1379" i="2"/>
  <c r="D1385" i="2"/>
  <c r="Q994" i="2"/>
  <c r="E1384" i="2"/>
  <c r="R993" i="2"/>
  <c r="T1377" i="2"/>
  <c r="L987" i="2"/>
  <c r="U1376" i="2"/>
  <c r="M986" i="2"/>
  <c r="D985" i="2"/>
  <c r="H595" i="2"/>
  <c r="I461" i="2"/>
  <c r="O1046" i="2"/>
  <c r="N851" i="2"/>
  <c r="C657" i="2"/>
  <c r="W461" i="2"/>
  <c r="S656" i="2"/>
  <c r="S852" i="2"/>
  <c r="E1205" i="2"/>
  <c r="K1702" i="2"/>
  <c r="E1579" i="2"/>
  <c r="L1384" i="2"/>
  <c r="K1189" i="2"/>
  <c r="G1384" i="2"/>
  <c r="F1189" i="2"/>
  <c r="W1383" i="2"/>
  <c r="V1188" i="2"/>
  <c r="P1389" i="2"/>
  <c r="O1194" i="2"/>
  <c r="H1000" i="2"/>
  <c r="G805" i="2"/>
  <c r="H999" i="2"/>
  <c r="G804" i="2"/>
  <c r="C999" i="2"/>
  <c r="W803" i="2"/>
  <c r="Q1388" i="2"/>
  <c r="P1193" i="2"/>
  <c r="I999" i="2"/>
  <c r="H804" i="2"/>
  <c r="I998" i="2"/>
  <c r="W1476" i="2"/>
  <c r="Q1618" i="2"/>
  <c r="S1460" i="2"/>
  <c r="M1893" i="2"/>
  <c r="I1579" i="2"/>
  <c r="P1384" i="2"/>
  <c r="O1189" i="2"/>
  <c r="K1384" i="2"/>
  <c r="J1189" i="2"/>
  <c r="F1384" i="2"/>
  <c r="E1189" i="2"/>
  <c r="K1638" i="2"/>
  <c r="E1563" i="2"/>
  <c r="L1368" i="2"/>
  <c r="K1173" i="2"/>
  <c r="G1368" i="2"/>
  <c r="F1173" i="2"/>
  <c r="W1367" i="2"/>
  <c r="V1172" i="2"/>
  <c r="P1373" i="2"/>
  <c r="O1178" i="2"/>
  <c r="H984" i="2"/>
  <c r="G789" i="2"/>
  <c r="H983" i="2"/>
  <c r="G788" i="2"/>
  <c r="C983" i="2"/>
  <c r="W787" i="2"/>
  <c r="Q1372" i="2"/>
  <c r="P1177" i="2"/>
  <c r="I983" i="2"/>
  <c r="H788" i="2"/>
  <c r="I982" i="2"/>
  <c r="R1461" i="2"/>
  <c r="R1557" i="2"/>
  <c r="N1445" i="2"/>
  <c r="O1771" i="2"/>
  <c r="M1575" i="2"/>
  <c r="T1380" i="2"/>
  <c r="S1185" i="2"/>
  <c r="O1380" i="2"/>
  <c r="N1185" i="2"/>
  <c r="J1380" i="2"/>
  <c r="J1805" i="2"/>
  <c r="K1626" i="2"/>
  <c r="I1559" i="2"/>
  <c r="P1364" i="2"/>
  <c r="O1169" i="2"/>
  <c r="K1364" i="2"/>
  <c r="J1169" i="2"/>
  <c r="F1364" i="2"/>
  <c r="K1183" i="2"/>
  <c r="T1369" i="2"/>
  <c r="S1174" i="2"/>
  <c r="L980" i="2"/>
  <c r="K785" i="2"/>
  <c r="L979" i="2"/>
  <c r="K784" i="2"/>
  <c r="G979" i="2"/>
  <c r="M1181" i="2"/>
  <c r="U1368" i="2"/>
  <c r="T1173" i="2"/>
  <c r="M979" i="2"/>
  <c r="L784" i="2"/>
  <c r="M978" i="2"/>
  <c r="J777" i="2"/>
  <c r="F972" i="2"/>
  <c r="D1170" i="2"/>
  <c r="O1362" i="2"/>
  <c r="N1167" i="2"/>
  <c r="G973" i="2"/>
  <c r="F778" i="2"/>
  <c r="G972" i="2"/>
  <c r="F777" i="2"/>
  <c r="W971" i="2"/>
  <c r="E1169" i="2"/>
  <c r="P1361" i="2"/>
  <c r="O1166" i="2"/>
  <c r="H972" i="2"/>
  <c r="G777" i="2"/>
  <c r="H971" i="2"/>
  <c r="G776" i="2"/>
  <c r="C971" i="2"/>
  <c r="J776" i="2"/>
  <c r="T969" i="2"/>
  <c r="S774" i="2"/>
  <c r="H580" i="2"/>
  <c r="G385" i="2"/>
  <c r="C580" i="2"/>
  <c r="W384" i="2"/>
  <c r="F580" i="2"/>
  <c r="V776" i="2"/>
  <c r="K970" i="2"/>
  <c r="J775" i="2"/>
  <c r="T580" i="2"/>
  <c r="S385" i="2"/>
  <c r="O580" i="2"/>
  <c r="O776" i="2"/>
  <c r="K971" i="2"/>
  <c r="I1169" i="2"/>
  <c r="I1553" i="2"/>
  <c r="G1863" i="2"/>
  <c r="O1373" i="2"/>
  <c r="S1547" i="2"/>
  <c r="H1159" i="2"/>
  <c r="C1533" i="2"/>
  <c r="D1143" i="2"/>
  <c r="S1650" i="2"/>
  <c r="L1155" i="2"/>
  <c r="Q1765" i="2"/>
  <c r="K1361" i="2"/>
  <c r="Q1541" i="2"/>
  <c r="G1156" i="2"/>
  <c r="W1529" i="2"/>
  <c r="C1140" i="2"/>
  <c r="O1638" i="2"/>
  <c r="K1152" i="2"/>
  <c r="W1862" i="2"/>
  <c r="G1349" i="2"/>
  <c r="O1535" i="2"/>
  <c r="F1153" i="2"/>
  <c r="I1527" i="2"/>
  <c r="T1526" i="2"/>
  <c r="V1777" i="2"/>
  <c r="J1149" i="2"/>
  <c r="R1831" i="2"/>
  <c r="C1337" i="2"/>
  <c r="M1529" i="2"/>
  <c r="E1150" i="2"/>
  <c r="H1524" i="2"/>
  <c r="S1523" i="2"/>
  <c r="Q1777" i="2"/>
  <c r="I1146" i="2"/>
  <c r="L1520" i="2"/>
  <c r="W1519" i="2"/>
  <c r="W1492" i="2"/>
  <c r="Q1682" i="2"/>
  <c r="S1476" i="2"/>
  <c r="U1678" i="2"/>
  <c r="D1479" i="2"/>
  <c r="F1194" i="2"/>
  <c r="Q1193" i="2"/>
  <c r="W1177" i="2"/>
  <c r="M1177" i="2"/>
  <c r="S793" i="2"/>
  <c r="N792" i="2"/>
  <c r="T792" i="2"/>
  <c r="T1463" i="2"/>
  <c r="J1190" i="2"/>
  <c r="K1517" i="2"/>
  <c r="V1516" i="2"/>
  <c r="V1489" i="2"/>
  <c r="M1670" i="2"/>
  <c r="R1473" i="2"/>
  <c r="Q1666" i="2"/>
  <c r="U1466" i="2"/>
  <c r="E1191" i="2"/>
  <c r="P1190" i="2"/>
  <c r="V1174" i="2"/>
  <c r="L1174" i="2"/>
  <c r="R790" i="2"/>
  <c r="M789" i="2"/>
  <c r="S789" i="2"/>
  <c r="P1451" i="2"/>
  <c r="I1187" i="2"/>
  <c r="J1514" i="2"/>
  <c r="U1513" i="2"/>
  <c r="U1486" i="2"/>
  <c r="I1658" i="2"/>
  <c r="Q1470" i="2"/>
  <c r="M1654" i="2"/>
  <c r="Q1454" i="2"/>
  <c r="D1188" i="2"/>
  <c r="O1187" i="2"/>
  <c r="U1171" i="2"/>
  <c r="K1171" i="2"/>
  <c r="Q787" i="2"/>
  <c r="D1186" i="2"/>
  <c r="R786" i="2"/>
  <c r="L1439" i="2"/>
  <c r="H1184" i="2"/>
  <c r="E1499" i="2"/>
  <c r="P1498" i="2"/>
  <c r="P1471" i="2"/>
  <c r="J1597" i="2"/>
  <c r="L1455" i="2"/>
  <c r="N1593" i="2"/>
  <c r="R1393" i="2"/>
  <c r="T1172" i="2"/>
  <c r="V1792" i="2"/>
  <c r="P1156" i="2"/>
  <c r="J1164" i="2"/>
  <c r="L772" i="2"/>
  <c r="K1163" i="2"/>
  <c r="M771" i="2"/>
  <c r="M1378" i="2"/>
  <c r="C1169" i="2"/>
  <c r="R1780" i="2"/>
  <c r="U1155" i="2"/>
  <c r="O1163" i="2"/>
  <c r="Q771" i="2"/>
  <c r="P1162" i="2"/>
  <c r="R770" i="2"/>
  <c r="Q1326" i="2"/>
  <c r="D1156" i="2"/>
  <c r="C1742" i="2"/>
  <c r="U1139" i="2"/>
  <c r="O1147" i="2"/>
  <c r="Q755" i="2"/>
  <c r="P1146" i="2"/>
  <c r="R754" i="2"/>
  <c r="L1311" i="2"/>
  <c r="H1152" i="2"/>
  <c r="S1905" i="2"/>
  <c r="V1525" i="2"/>
  <c r="S1143" i="2"/>
  <c r="U751" i="2"/>
  <c r="T1142" i="2"/>
  <c r="M1141" i="2"/>
  <c r="E1524" i="2"/>
  <c r="R1133" i="2"/>
  <c r="F1523" i="2"/>
  <c r="S1132" i="2"/>
  <c r="J1131" i="2"/>
  <c r="N741" i="2"/>
  <c r="U497" i="2"/>
  <c r="F1083" i="2"/>
  <c r="E888" i="2"/>
  <c r="O693" i="2"/>
  <c r="N498" i="2"/>
  <c r="J693" i="2"/>
  <c r="J889" i="2"/>
  <c r="F1084" i="2"/>
  <c r="M1653" i="2"/>
  <c r="Q1615" i="2"/>
  <c r="C1421" i="2"/>
  <c r="W1225" i="2"/>
  <c r="S1420" i="2"/>
  <c r="R1225" i="2"/>
  <c r="N1420" i="2"/>
  <c r="M1225" i="2"/>
  <c r="G1426" i="2"/>
  <c r="F1231" i="2"/>
  <c r="T1036" i="2"/>
  <c r="S841" i="2"/>
  <c r="T1035" i="2"/>
  <c r="S840" i="2"/>
  <c r="O1035" i="2"/>
  <c r="N840" i="2"/>
  <c r="H1425" i="2"/>
  <c r="G1230" i="2"/>
  <c r="U1035" i="2"/>
  <c r="T840" i="2"/>
  <c r="U1034" i="2"/>
  <c r="J1262" i="2"/>
  <c r="V1232" i="2"/>
  <c r="G1217" i="2"/>
  <c r="N1236" i="2"/>
  <c r="S1625" i="2"/>
  <c r="G1421" i="2"/>
  <c r="F1226" i="2"/>
  <c r="W1420" i="2"/>
  <c r="V1225" i="2"/>
  <c r="R1420" i="2"/>
  <c r="Q1225" i="2"/>
  <c r="M1589" i="2"/>
  <c r="Q1599" i="2"/>
  <c r="C1405" i="2"/>
  <c r="W1209" i="2"/>
  <c r="S1404" i="2"/>
  <c r="R1209" i="2"/>
  <c r="N1404" i="2"/>
  <c r="M1209" i="2"/>
  <c r="G1410" i="2"/>
  <c r="F1215" i="2"/>
  <c r="T1020" i="2"/>
  <c r="S825" i="2"/>
  <c r="T1019" i="2"/>
  <c r="S824" i="2"/>
  <c r="O1019" i="2"/>
  <c r="N824" i="2"/>
  <c r="H1409" i="2"/>
  <c r="G1214" i="2"/>
  <c r="U1019" i="2"/>
  <c r="T824" i="2"/>
  <c r="U1018" i="2"/>
  <c r="U1231" i="2"/>
  <c r="Q1217" i="2"/>
  <c r="W1201" i="2"/>
  <c r="V1228" i="2"/>
  <c r="F1618" i="2"/>
  <c r="K1417" i="2"/>
  <c r="J1222" i="2"/>
  <c r="F1417" i="2"/>
  <c r="E1222" i="2"/>
  <c r="V1416" i="2"/>
  <c r="U1221" i="2"/>
  <c r="H1574" i="2"/>
  <c r="U1595" i="2"/>
  <c r="G1401" i="2"/>
  <c r="F1206" i="2"/>
  <c r="W1400" i="2"/>
  <c r="V1205" i="2"/>
  <c r="R1400" i="2"/>
  <c r="Q1205" i="2"/>
  <c r="K1406" i="2"/>
  <c r="J1211" i="2"/>
  <c r="C1017" i="2"/>
  <c r="W821" i="2"/>
  <c r="C1016" i="2"/>
  <c r="W820" i="2"/>
  <c r="S1015" i="2"/>
  <c r="R820" i="2"/>
  <c r="L1405" i="2"/>
  <c r="K1210" i="2"/>
  <c r="D1016" i="2"/>
  <c r="C821" i="2"/>
  <c r="D1015" i="2"/>
  <c r="V813" i="2"/>
  <c r="R1008" i="2"/>
  <c r="Q813" i="2"/>
  <c r="F1399" i="2"/>
  <c r="E1204" i="2"/>
  <c r="S1009" i="2"/>
  <c r="R814" i="2"/>
  <c r="S1008" i="2"/>
  <c r="R813" i="2"/>
  <c r="N1008" i="2"/>
  <c r="M813" i="2"/>
  <c r="G1398" i="2"/>
  <c r="F1203" i="2"/>
  <c r="T1008" i="2"/>
  <c r="S813" i="2"/>
  <c r="T1007" i="2"/>
  <c r="S812" i="2"/>
  <c r="O1007" i="2"/>
  <c r="N812" i="2"/>
  <c r="K1006" i="2"/>
  <c r="J811" i="2"/>
  <c r="T616" i="2"/>
  <c r="S421" i="2"/>
  <c r="O616" i="2"/>
  <c r="N421" i="2"/>
  <c r="R616" i="2"/>
  <c r="Q421" i="2"/>
  <c r="W1006" i="2"/>
  <c r="V811" i="2"/>
  <c r="K617" i="2"/>
  <c r="J422" i="2"/>
  <c r="F617" i="2"/>
  <c r="F813" i="2"/>
  <c r="W1007" i="2"/>
  <c r="V812" i="2"/>
  <c r="K1398" i="2"/>
  <c r="J1203" i="2"/>
  <c r="C1009" i="2"/>
  <c r="L1553" i="2"/>
  <c r="R1892" i="2"/>
  <c r="Q1734" i="2"/>
  <c r="L1645" i="2"/>
  <c r="J1500" i="2"/>
  <c r="P1484" i="2"/>
  <c r="F1484" i="2"/>
  <c r="K1567" i="2"/>
  <c r="N1496" i="2"/>
  <c r="W1843" i="2"/>
  <c r="E1905" i="2"/>
  <c r="J1639" i="2"/>
  <c r="I1497" i="2"/>
  <c r="O1481" i="2"/>
  <c r="E1481" i="2"/>
  <c r="C1543" i="2"/>
  <c r="M1493" i="2"/>
  <c r="L1746" i="2"/>
  <c r="R1880" i="2"/>
  <c r="H1633" i="2"/>
  <c r="H1494" i="2"/>
  <c r="N1478" i="2"/>
  <c r="D1478" i="2"/>
  <c r="T1713" i="2"/>
  <c r="L1490" i="2"/>
  <c r="M1892" i="2"/>
  <c r="J1856" i="2"/>
  <c r="E1790" i="2"/>
  <c r="G1491" i="2"/>
  <c r="M1475" i="2"/>
  <c r="C1475" i="2"/>
  <c r="L1689" i="2"/>
  <c r="K1487" i="2"/>
  <c r="Q1471" i="2"/>
  <c r="G1471" i="2"/>
  <c r="G1444" i="2"/>
  <c r="L1682" i="2"/>
  <c r="C1428" i="2"/>
  <c r="P1678" i="2"/>
  <c r="C1284" i="2"/>
  <c r="K1145" i="2"/>
  <c r="Q1851" i="2"/>
  <c r="D1519" i="2"/>
  <c r="M1524" i="2"/>
  <c r="E1134" i="2"/>
  <c r="N1523" i="2"/>
  <c r="F1133" i="2"/>
  <c r="S1268" i="2"/>
  <c r="O1141" i="2"/>
  <c r="P1468" i="2"/>
  <c r="F1468" i="2"/>
  <c r="F1441" i="2"/>
  <c r="H1670" i="2"/>
  <c r="W1424" i="2"/>
  <c r="L1666" i="2"/>
  <c r="T1271" i="2"/>
  <c r="J1142" i="2"/>
  <c r="M1839" i="2"/>
  <c r="C1516" i="2"/>
  <c r="L1521" i="2"/>
  <c r="D1131" i="2"/>
  <c r="M1520" i="2"/>
  <c r="E1130" i="2"/>
  <c r="O1256" i="2"/>
  <c r="K1528" i="2"/>
  <c r="O1465" i="2"/>
  <c r="E1465" i="2"/>
  <c r="E1438" i="2"/>
  <c r="D1658" i="2"/>
  <c r="V1421" i="2"/>
  <c r="H1654" i="2"/>
  <c r="P1259" i="2"/>
  <c r="F1529" i="2"/>
  <c r="I1827" i="2"/>
  <c r="W1512" i="2"/>
  <c r="K1518" i="2"/>
  <c r="C1128" i="2"/>
  <c r="L1517" i="2"/>
  <c r="D1127" i="2"/>
  <c r="K1244" i="2"/>
  <c r="J1525" i="2"/>
  <c r="J1450" i="2"/>
  <c r="U1449" i="2"/>
  <c r="U1422" i="2"/>
  <c r="E1597" i="2"/>
  <c r="Q1406" i="2"/>
  <c r="I1593" i="2"/>
  <c r="Q1198" i="2"/>
  <c r="V1513" i="2"/>
  <c r="J1766" i="2"/>
  <c r="R1497" i="2"/>
  <c r="F1503" i="2"/>
  <c r="S1112" i="2"/>
  <c r="G1502" i="2"/>
  <c r="T1111" i="2"/>
  <c r="L1183" i="2"/>
  <c r="E1510" i="2"/>
  <c r="I1763" i="2"/>
  <c r="W1496" i="2"/>
  <c r="K1502" i="2"/>
  <c r="C1112" i="2"/>
  <c r="L1501" i="2"/>
  <c r="D1111" i="2"/>
  <c r="M1521" i="2"/>
  <c r="F1497" i="2"/>
  <c r="L1699" i="2"/>
  <c r="W1480" i="2"/>
  <c r="K1486" i="2"/>
  <c r="C1096" i="2"/>
  <c r="L1485" i="2"/>
  <c r="D1095" i="2"/>
  <c r="H1506" i="2"/>
  <c r="J1493" i="2"/>
  <c r="G1684" i="2"/>
  <c r="F1477" i="2"/>
  <c r="O1482" i="2"/>
  <c r="G1092" i="2"/>
  <c r="P1481" i="2"/>
  <c r="H1091" i="2"/>
  <c r="J1475" i="2"/>
  <c r="W1084" i="2"/>
  <c r="K1474" i="2"/>
  <c r="C1084" i="2"/>
  <c r="O1082" i="2"/>
  <c r="S692" i="2"/>
  <c r="Q485" i="2"/>
  <c r="W1070" i="2"/>
  <c r="V875" i="2"/>
  <c r="K681" i="2"/>
  <c r="J486" i="2"/>
  <c r="F681" i="2"/>
  <c r="F877" i="2"/>
  <c r="W1071" i="2"/>
  <c r="R1604" i="2"/>
  <c r="M1603" i="2"/>
  <c r="T1408" i="2"/>
  <c r="S1213" i="2"/>
  <c r="O1408" i="2"/>
  <c r="N1213" i="2"/>
  <c r="J1408" i="2"/>
  <c r="I1213" i="2"/>
  <c r="C1414" i="2"/>
  <c r="W1218" i="2"/>
  <c r="P1024" i="2"/>
  <c r="O829" i="2"/>
  <c r="P1023" i="2"/>
  <c r="O828" i="2"/>
  <c r="K1023" i="2"/>
  <c r="J828" i="2"/>
  <c r="D1413" i="2"/>
  <c r="C1218" i="2"/>
  <c r="Q1023" i="2"/>
  <c r="P828" i="2"/>
  <c r="Q1022" i="2"/>
  <c r="P1184" i="2"/>
  <c r="D1787" i="2"/>
  <c r="L1168" i="2"/>
  <c r="F1212" i="2"/>
  <c r="Q1603" i="2"/>
  <c r="C1409" i="2"/>
  <c r="W1213" i="2"/>
  <c r="S1408" i="2"/>
  <c r="R1213" i="2"/>
  <c r="N1408" i="2"/>
  <c r="M1213" i="2"/>
  <c r="R1540" i="2"/>
  <c r="M1587" i="2"/>
  <c r="T1392" i="2"/>
  <c r="S1197" i="2"/>
  <c r="O1392" i="2"/>
  <c r="N1197" i="2"/>
  <c r="J1392" i="2"/>
  <c r="I1197" i="2"/>
  <c r="C1398" i="2"/>
  <c r="W1202" i="2"/>
  <c r="P1008" i="2"/>
  <c r="O813" i="2"/>
  <c r="P1007" i="2"/>
  <c r="O812" i="2"/>
  <c r="K1007" i="2"/>
  <c r="J812" i="2"/>
  <c r="D1397" i="2"/>
  <c r="C1202" i="2"/>
  <c r="Q1007" i="2"/>
  <c r="P812" i="2"/>
  <c r="Q1006" i="2"/>
  <c r="K1169" i="2"/>
  <c r="D1738" i="2"/>
  <c r="G1153" i="2"/>
  <c r="N1204" i="2"/>
  <c r="U1599" i="2"/>
  <c r="G1405" i="2"/>
  <c r="F1210" i="2"/>
  <c r="W1404" i="2"/>
  <c r="V1209" i="2"/>
  <c r="R1404" i="2"/>
  <c r="Q1209" i="2"/>
  <c r="Q1720" i="2"/>
  <c r="Q1583" i="2"/>
  <c r="C1389" i="2"/>
  <c r="W1193" i="2"/>
  <c r="S1388" i="2"/>
  <c r="R1193" i="2"/>
  <c r="N1388" i="2"/>
  <c r="M1193" i="2"/>
  <c r="G1394" i="2"/>
  <c r="F1199" i="2"/>
  <c r="T1004" i="2"/>
  <c r="S809" i="2"/>
  <c r="T1003" i="2"/>
  <c r="S808" i="2"/>
  <c r="O1003" i="2"/>
  <c r="N808" i="2"/>
  <c r="H1393" i="2"/>
  <c r="G1198" i="2"/>
  <c r="U1003" i="2"/>
  <c r="T808" i="2"/>
  <c r="U1002" i="2"/>
  <c r="R801" i="2"/>
  <c r="N996" i="2"/>
  <c r="M801" i="2"/>
  <c r="W1386" i="2"/>
  <c r="V1191" i="2"/>
  <c r="O997" i="2"/>
  <c r="N802" i="2"/>
  <c r="O996" i="2"/>
  <c r="N801" i="2"/>
  <c r="J996" i="2"/>
  <c r="I801" i="2"/>
  <c r="C1386" i="2"/>
  <c r="W1190" i="2"/>
  <c r="P996" i="2"/>
  <c r="O801" i="2"/>
  <c r="P995" i="2"/>
  <c r="O800" i="2"/>
  <c r="K995" i="2"/>
  <c r="J800" i="2"/>
  <c r="G994" i="2"/>
  <c r="F799" i="2"/>
  <c r="P604" i="2"/>
  <c r="O409" i="2"/>
  <c r="K604" i="2"/>
  <c r="J409" i="2"/>
  <c r="N604" i="2"/>
  <c r="M409" i="2"/>
  <c r="S994" i="2"/>
  <c r="R799" i="2"/>
  <c r="G605" i="2"/>
  <c r="F410" i="2"/>
  <c r="W604" i="2"/>
  <c r="W800" i="2"/>
  <c r="S995" i="2"/>
  <c r="R800" i="2"/>
  <c r="G1386" i="2"/>
  <c r="N1620" i="2"/>
  <c r="W1658" i="2"/>
  <c r="N1645" i="2"/>
  <c r="S1256" i="2"/>
  <c r="N1630" i="2"/>
  <c r="O1240" i="2"/>
  <c r="O1629" i="2"/>
  <c r="W1252" i="2"/>
  <c r="R1626" i="2"/>
  <c r="E1620" i="2"/>
  <c r="J1633" i="2"/>
  <c r="R1253" i="2"/>
  <c r="M1627" i="2"/>
  <c r="N1237" i="2"/>
  <c r="N1626" i="2"/>
  <c r="V1249" i="2"/>
  <c r="Q1623" i="2"/>
  <c r="R1595" i="2"/>
  <c r="F1621" i="2"/>
  <c r="Q1250" i="2"/>
  <c r="L1624" i="2"/>
  <c r="M1234" i="2"/>
  <c r="M1623" i="2"/>
  <c r="U1246" i="2"/>
  <c r="P1620" i="2"/>
  <c r="J1571" i="2"/>
  <c r="W1608" i="2"/>
  <c r="P1247" i="2"/>
  <c r="K1621" i="2"/>
  <c r="L1231" i="2"/>
  <c r="L1620" i="2"/>
  <c r="T1243" i="2"/>
  <c r="O1617" i="2"/>
  <c r="P1227" i="2"/>
  <c r="P1200" i="2"/>
  <c r="F1200" i="2"/>
  <c r="L1184" i="2"/>
  <c r="W1183" i="2"/>
  <c r="I1479" i="2"/>
  <c r="Q1291" i="2"/>
  <c r="G1291" i="2"/>
  <c r="M1275" i="2"/>
  <c r="C1275" i="2"/>
  <c r="I891" i="2"/>
  <c r="D890" i="2"/>
  <c r="J890" i="2"/>
  <c r="D1464" i="2"/>
  <c r="U1287" i="2"/>
  <c r="K1287" i="2"/>
  <c r="O1224" i="2"/>
  <c r="O1197" i="2"/>
  <c r="E1197" i="2"/>
  <c r="K1181" i="2"/>
  <c r="V1180" i="2"/>
  <c r="E1467" i="2"/>
  <c r="P1288" i="2"/>
  <c r="F1288" i="2"/>
  <c r="L1272" i="2"/>
  <c r="W1271" i="2"/>
  <c r="H888" i="2"/>
  <c r="C887" i="2"/>
  <c r="I887" i="2"/>
  <c r="U1451" i="2"/>
  <c r="T1284" i="2"/>
  <c r="J1284" i="2"/>
  <c r="N1221" i="2"/>
  <c r="N1194" i="2"/>
  <c r="D1194" i="2"/>
  <c r="J1178" i="2"/>
  <c r="U1177" i="2"/>
  <c r="V1454" i="2"/>
  <c r="O1285" i="2"/>
  <c r="E1285" i="2"/>
  <c r="K1269" i="2"/>
  <c r="V1268" i="2"/>
  <c r="G885" i="2"/>
  <c r="W883" i="2"/>
  <c r="H884" i="2"/>
  <c r="Q1439" i="2"/>
  <c r="S1281" i="2"/>
  <c r="I1281" i="2"/>
  <c r="I1206" i="2"/>
  <c r="I1179" i="2"/>
  <c r="N1896" i="2"/>
  <c r="E1163" i="2"/>
  <c r="I1881" i="2"/>
  <c r="W1393" i="2"/>
  <c r="J1270" i="2"/>
  <c r="U1269" i="2"/>
  <c r="F1254" i="2"/>
  <c r="Q1253" i="2"/>
  <c r="W869" i="2"/>
  <c r="R868" i="2"/>
  <c r="C869" i="2"/>
  <c r="R1378" i="2"/>
  <c r="N1266" i="2"/>
  <c r="D1266" i="2"/>
  <c r="K1253" i="2"/>
  <c r="V1252" i="2"/>
  <c r="G869" i="2"/>
  <c r="W867" i="2"/>
  <c r="H868" i="2"/>
  <c r="V1326" i="2"/>
  <c r="O1253" i="2"/>
  <c r="E1253" i="2"/>
  <c r="K1237" i="2"/>
  <c r="V1236" i="2"/>
  <c r="G853" i="2"/>
  <c r="W851" i="2"/>
  <c r="H852" i="2"/>
  <c r="Q1311" i="2"/>
  <c r="S1249" i="2"/>
  <c r="I1249" i="2"/>
  <c r="O1233" i="2"/>
  <c r="E1233" i="2"/>
  <c r="K849" i="2"/>
  <c r="F848" i="2"/>
  <c r="L848" i="2"/>
  <c r="E841" i="2"/>
  <c r="F842" i="2"/>
  <c r="V840" i="2"/>
  <c r="G841" i="2"/>
  <c r="W839" i="2"/>
  <c r="G449" i="2"/>
  <c r="H522" i="2"/>
  <c r="N1107" i="2"/>
  <c r="M912" i="2"/>
  <c r="W717" i="2"/>
  <c r="V522" i="2"/>
  <c r="R717" i="2"/>
  <c r="R913" i="2"/>
  <c r="N1108" i="2"/>
  <c r="G1556" i="2"/>
  <c r="D1640" i="2"/>
  <c r="K1445" i="2"/>
  <c r="J1250" i="2"/>
  <c r="F1445" i="2"/>
  <c r="E1250" i="2"/>
  <c r="V1444" i="2"/>
  <c r="U1249" i="2"/>
  <c r="O1450" i="2"/>
  <c r="N1255" i="2"/>
  <c r="G1061" i="2"/>
  <c r="F866" i="2"/>
  <c r="G1060" i="2"/>
  <c r="F865" i="2"/>
  <c r="W1059" i="2"/>
  <c r="V864" i="2"/>
  <c r="P1449" i="2"/>
  <c r="O1254" i="2"/>
  <c r="H1060" i="2"/>
  <c r="G865" i="2"/>
  <c r="H1059" i="2"/>
  <c r="K1457" i="2"/>
  <c r="L1330" i="2"/>
  <c r="R1314" i="2"/>
  <c r="H1314" i="2"/>
  <c r="N1674" i="2"/>
  <c r="O1445" i="2"/>
  <c r="N1250" i="2"/>
  <c r="J1445" i="2"/>
  <c r="I1250" i="2"/>
  <c r="E1445" i="2"/>
  <c r="D1250" i="2"/>
  <c r="C1687" i="2"/>
  <c r="D1624" i="2"/>
  <c r="K1429" i="2"/>
  <c r="J1234" i="2"/>
  <c r="F1429" i="2"/>
  <c r="E1234" i="2"/>
  <c r="V1428" i="2"/>
  <c r="U1233" i="2"/>
  <c r="O1434" i="2"/>
  <c r="N1239" i="2"/>
  <c r="G1045" i="2"/>
  <c r="F850" i="2"/>
  <c r="G1044" i="2"/>
  <c r="F849" i="2"/>
  <c r="W1043" i="2"/>
  <c r="V848" i="2"/>
  <c r="P1433" i="2"/>
  <c r="O1238" i="2"/>
  <c r="H1044" i="2"/>
  <c r="G849" i="2"/>
  <c r="H1043" i="2"/>
  <c r="V1426" i="2"/>
  <c r="G1315" i="2"/>
  <c r="M1299" i="2"/>
  <c r="C1299" i="2"/>
  <c r="V1666" i="2"/>
  <c r="S1441" i="2"/>
  <c r="R1246" i="2"/>
  <c r="N1441" i="2"/>
  <c r="M1246" i="2"/>
  <c r="I1441" i="2"/>
  <c r="H1246" i="2"/>
  <c r="S1671" i="2"/>
  <c r="H1620" i="2"/>
  <c r="O1425" i="2"/>
  <c r="N1230" i="2"/>
  <c r="J1425" i="2"/>
  <c r="I1230" i="2"/>
  <c r="E1425" i="2"/>
  <c r="D1230" i="2"/>
  <c r="S1430" i="2"/>
  <c r="R1235" i="2"/>
  <c r="K1041" i="2"/>
  <c r="J846" i="2"/>
  <c r="K1040" i="2"/>
  <c r="J845" i="2"/>
  <c r="F1040" i="2"/>
  <c r="E845" i="2"/>
  <c r="T1429" i="2"/>
  <c r="S1234" i="2"/>
  <c r="L1040" i="2"/>
  <c r="K845" i="2"/>
  <c r="L1039" i="2"/>
  <c r="I838" i="2"/>
  <c r="E1033" i="2"/>
  <c r="D838" i="2"/>
  <c r="N1423" i="2"/>
  <c r="M1228" i="2"/>
  <c r="F1034" i="2"/>
  <c r="E839" i="2"/>
  <c r="F1033" i="2"/>
  <c r="E838" i="2"/>
  <c r="V1032" i="2"/>
  <c r="U837" i="2"/>
  <c r="O1422" i="2"/>
  <c r="N1227" i="2"/>
  <c r="G1033" i="2"/>
  <c r="F838" i="2"/>
  <c r="G1032" i="2"/>
  <c r="F837" i="2"/>
  <c r="W1031" i="2"/>
  <c r="V836" i="2"/>
  <c r="S1030" i="2"/>
  <c r="R835" i="2"/>
  <c r="G641" i="2"/>
  <c r="F446" i="2"/>
  <c r="W640" i="2"/>
  <c r="V445" i="2"/>
  <c r="E641" i="2"/>
  <c r="D446" i="2"/>
  <c r="J1031" i="2"/>
  <c r="I836" i="2"/>
  <c r="S641" i="2"/>
  <c r="R446" i="2"/>
  <c r="N641" i="2"/>
  <c r="N837" i="2"/>
  <c r="J1032" i="2"/>
  <c r="I837" i="2"/>
  <c r="S1422" i="2"/>
  <c r="R1227" i="2"/>
  <c r="K1033" i="2"/>
  <c r="T1361" i="2"/>
  <c r="L972" i="2"/>
  <c r="N1105" i="2"/>
  <c r="M910" i="2"/>
  <c r="I1105" i="2"/>
  <c r="H910" i="2"/>
  <c r="Q1787" i="2"/>
  <c r="H1708" i="2"/>
  <c r="I1503" i="2"/>
  <c r="H1308" i="2"/>
  <c r="D1503" i="2"/>
  <c r="C1308" i="2"/>
  <c r="T1502" i="2"/>
  <c r="S1307" i="2"/>
  <c r="M1508" i="2"/>
  <c r="L1313" i="2"/>
  <c r="E1119" i="2"/>
  <c r="D924" i="2"/>
  <c r="E1118" i="2"/>
  <c r="D923" i="2"/>
  <c r="U1117" i="2"/>
  <c r="T922" i="2"/>
  <c r="N1507" i="2"/>
  <c r="M1312" i="2"/>
  <c r="F1118" i="2"/>
  <c r="E923" i="2"/>
  <c r="F1117" i="2"/>
  <c r="T1717" i="2"/>
  <c r="G1172" i="2"/>
  <c r="W1545" i="2"/>
  <c r="C1156" i="2"/>
  <c r="W1571" i="2"/>
  <c r="M1503" i="2"/>
  <c r="L1308" i="2"/>
  <c r="H1503" i="2"/>
  <c r="G1308" i="2"/>
  <c r="C1503" i="2"/>
  <c r="W1307" i="2"/>
  <c r="T1723" i="2"/>
  <c r="W1681" i="2"/>
  <c r="I1487" i="2"/>
  <c r="H1292" i="2"/>
  <c r="D1487" i="2"/>
  <c r="C1292" i="2"/>
  <c r="T1486" i="2"/>
  <c r="S1291" i="2"/>
  <c r="M1492" i="2"/>
  <c r="L1297" i="2"/>
  <c r="E1103" i="2"/>
  <c r="D908" i="2"/>
  <c r="E1102" i="2"/>
  <c r="D907" i="2"/>
  <c r="U1101" i="2"/>
  <c r="T906" i="2"/>
  <c r="N1491" i="2"/>
  <c r="M1296" i="2"/>
  <c r="F1102" i="2"/>
  <c r="E907" i="2"/>
  <c r="F1101" i="2"/>
  <c r="U1656" i="2"/>
  <c r="W1156" i="2"/>
  <c r="R1530" i="2"/>
  <c r="S1140" i="2"/>
  <c r="F2131" i="2"/>
  <c r="L2070" i="2"/>
  <c r="M2009" i="2"/>
  <c r="H1933" i="2"/>
  <c r="Q1645" i="2"/>
  <c r="R2066" i="2"/>
  <c r="F2034" i="2"/>
  <c r="V2078" i="2"/>
  <c r="M1633" i="2"/>
  <c r="W2017" i="2"/>
  <c r="E2106" i="2"/>
  <c r="H2027" i="2"/>
  <c r="N1572" i="2"/>
  <c r="I1966" i="2"/>
  <c r="O2333" i="2"/>
  <c r="L2042" i="2"/>
  <c r="J1882" i="2"/>
  <c r="K1970" i="2"/>
  <c r="E2042" i="2"/>
  <c r="J2041" i="2"/>
  <c r="N2037" i="2"/>
  <c r="V1793" i="2"/>
  <c r="K1540" i="2"/>
  <c r="N1607" i="2"/>
  <c r="V1810" i="2"/>
  <c r="U2103" i="2"/>
  <c r="U2026" i="2"/>
  <c r="E2026" i="2"/>
  <c r="I2022" i="2"/>
  <c r="W1732" i="2"/>
  <c r="N1549" i="2"/>
  <c r="Q1616" i="2"/>
  <c r="D1820" i="2"/>
  <c r="W1990" i="2"/>
  <c r="O1940" i="2"/>
  <c r="T1939" i="2"/>
  <c r="C1936" i="2"/>
  <c r="N1886" i="2"/>
  <c r="W1477" i="2"/>
  <c r="P1554" i="2"/>
  <c r="F1760" i="2"/>
  <c r="W1999" i="2"/>
  <c r="P1851" i="2"/>
  <c r="R1797" i="2"/>
  <c r="G1745" i="2"/>
  <c r="O1575" i="2"/>
  <c r="K1683" i="2"/>
  <c r="R1555" i="2"/>
  <c r="E1759" i="2"/>
  <c r="O1941" i="2"/>
  <c r="G1880" i="2"/>
  <c r="L1879" i="2"/>
  <c r="P1875" i="2"/>
  <c r="J1725" i="2"/>
  <c r="C1417" i="2"/>
  <c r="U1688" i="2"/>
  <c r="T1737" i="2"/>
  <c r="G2009" i="2"/>
  <c r="M2232" i="2"/>
  <c r="M1767" i="2"/>
  <c r="O1871" i="2"/>
  <c r="O1721" i="2"/>
  <c r="G1671" i="2"/>
  <c r="N1543" i="2"/>
  <c r="W1881" i="2"/>
  <c r="N1600" i="2"/>
  <c r="O2058" i="2"/>
  <c r="M2087" i="2"/>
  <c r="T1830" i="2"/>
  <c r="I1916" i="2"/>
  <c r="D1830" i="2"/>
  <c r="N1915" i="2"/>
  <c r="H1826" i="2"/>
  <c r="V1747" i="2"/>
  <c r="R1660" i="2"/>
  <c r="T1639" i="2"/>
  <c r="K1790" i="2"/>
  <c r="L1893" i="2"/>
  <c r="J1589" i="2"/>
  <c r="P1656" i="2"/>
  <c r="M1656" i="2"/>
  <c r="U1538" i="2"/>
  <c r="E2080" i="2"/>
  <c r="L1767" i="2"/>
  <c r="K2076" i="2"/>
  <c r="N2223" i="2"/>
  <c r="F1753" i="2"/>
  <c r="P2188" i="2"/>
  <c r="C2014" i="2"/>
  <c r="E1883" i="2"/>
  <c r="O1738" i="2"/>
  <c r="I1874" i="2"/>
  <c r="P1793" i="2"/>
  <c r="Q1626" i="2"/>
  <c r="U2058" i="2"/>
  <c r="E1732" i="2"/>
  <c r="K1555" i="2"/>
  <c r="O1630" i="2"/>
  <c r="O1717" i="2"/>
  <c r="F1591" i="2"/>
  <c r="W1833" i="2"/>
  <c r="J1726" i="2"/>
  <c r="U1618" i="2"/>
  <c r="S1257" i="2"/>
  <c r="L1598" i="2"/>
  <c r="C1686" i="2"/>
  <c r="Q2217" i="2"/>
  <c r="M2141" i="2"/>
  <c r="S2055" i="2"/>
  <c r="J2013" i="2"/>
  <c r="K1768" i="2"/>
  <c r="U2031" i="2"/>
  <c r="O2012" i="2"/>
  <c r="P1767" i="2"/>
  <c r="P2016" i="2"/>
  <c r="S2008" i="2"/>
  <c r="E1910" i="2"/>
  <c r="M1802" i="2"/>
  <c r="E1610" i="2"/>
  <c r="F1746" i="2"/>
  <c r="H1912" i="2"/>
  <c r="K1822" i="2"/>
  <c r="C1530" i="2"/>
  <c r="G1666" i="2"/>
  <c r="G1607" i="2"/>
  <c r="U1343" i="2"/>
  <c r="K1733" i="2"/>
  <c r="R1886" i="2"/>
  <c r="P1775" i="2"/>
  <c r="D1802" i="2"/>
  <c r="T1886" i="2"/>
  <c r="U1546" i="2"/>
  <c r="D1683" i="2"/>
  <c r="E1819" i="2"/>
  <c r="F1556" i="2"/>
  <c r="H2176" i="2"/>
  <c r="T1825" i="2"/>
  <c r="W2031" i="2"/>
  <c r="D1912" i="2"/>
  <c r="G1983" i="2"/>
  <c r="U1899" i="2"/>
  <c r="C2309" i="2"/>
  <c r="V1985" i="2"/>
  <c r="G1839" i="2"/>
  <c r="K1835" i="2"/>
  <c r="U1669" i="2"/>
  <c r="W1826" i="2"/>
  <c r="W1912" i="2"/>
  <c r="F1909" i="2"/>
  <c r="E1859" i="2"/>
  <c r="N1450" i="2"/>
  <c r="G1985" i="2"/>
  <c r="M1704" i="2"/>
  <c r="P1760" i="2"/>
  <c r="U1946" i="2"/>
  <c r="D1943" i="2"/>
  <c r="P1805" i="2"/>
  <c r="R1640" i="2"/>
  <c r="J1535" i="2"/>
  <c r="M1714" i="2"/>
  <c r="E1588" i="2"/>
  <c r="U1341" i="2"/>
  <c r="F1326" i="2"/>
  <c r="Q1325" i="2"/>
  <c r="P1472" i="2"/>
  <c r="D1338" i="2"/>
  <c r="O1705" i="2"/>
  <c r="I1702" i="2"/>
  <c r="R1563" i="2"/>
  <c r="T1338" i="2"/>
  <c r="E1323" i="2"/>
  <c r="P1322" i="2"/>
  <c r="N1466" i="2"/>
  <c r="C1335" i="2"/>
  <c r="K1693" i="2"/>
  <c r="M1495" i="2"/>
  <c r="O1689" i="2"/>
  <c r="R1608" i="2"/>
  <c r="W1189" i="2"/>
  <c r="R1189" i="2"/>
  <c r="M1189" i="2"/>
  <c r="M1563" i="2"/>
  <c r="S1173" i="2"/>
  <c r="N1173" i="2"/>
  <c r="I1173" i="2"/>
  <c r="M1577" i="2"/>
  <c r="F1186" i="2"/>
  <c r="V1185" i="2"/>
  <c r="L1811" i="2"/>
  <c r="Q1559" i="2"/>
  <c r="L1610" i="2"/>
  <c r="I1483" i="2"/>
  <c r="O1788" i="2"/>
  <c r="P1602" i="2"/>
  <c r="V1186" i="2"/>
  <c r="Q1186" i="2"/>
  <c r="P1823" i="2"/>
  <c r="L1560" i="2"/>
  <c r="R1170" i="2"/>
  <c r="M1170" i="2"/>
  <c r="K1808" i="2"/>
  <c r="I1565" i="2"/>
  <c r="E1183" i="2"/>
  <c r="U1182" i="2"/>
  <c r="Q1762" i="2"/>
  <c r="P1556" i="2"/>
  <c r="V1166" i="2"/>
  <c r="Q1166" i="2"/>
  <c r="U1847" i="2"/>
  <c r="Q1139" i="2"/>
  <c r="L1529" i="2"/>
  <c r="T1828" i="2"/>
  <c r="O1513" i="2"/>
  <c r="J1513" i="2"/>
  <c r="E1513" i="2"/>
  <c r="C1825" i="2"/>
  <c r="V1298" i="2"/>
  <c r="M1235" i="2"/>
  <c r="V1634" i="2"/>
  <c r="R1230" i="2"/>
  <c r="M1230" i="2"/>
  <c r="H1230" i="2"/>
  <c r="H1604" i="2"/>
  <c r="N1214" i="2"/>
  <c r="I1214" i="2"/>
  <c r="D1214" i="2"/>
  <c r="R1219" i="2"/>
  <c r="J830" i="2"/>
  <c r="J829" i="2"/>
  <c r="E829" i="2"/>
  <c r="S1218" i="2"/>
  <c r="K829" i="2"/>
  <c r="L1268" i="2"/>
  <c r="H1220" i="2"/>
  <c r="I1627" i="2"/>
  <c r="V1226" i="2"/>
  <c r="Q1226" i="2"/>
  <c r="L1226" i="2"/>
  <c r="U1163" i="2"/>
  <c r="P1163" i="2"/>
  <c r="E1799" i="2"/>
  <c r="M1526" i="2"/>
  <c r="H1526" i="2"/>
  <c r="P1816" i="2"/>
  <c r="N1510" i="2"/>
  <c r="I1510" i="2"/>
  <c r="D1510" i="2"/>
  <c r="T1812" i="2"/>
  <c r="N1274" i="2"/>
  <c r="I1223" i="2"/>
  <c r="T1628" i="2"/>
  <c r="Q1227" i="2"/>
  <c r="L1227" i="2"/>
  <c r="G1227" i="2"/>
  <c r="G1601" i="2"/>
  <c r="M1211" i="2"/>
  <c r="H1211" i="2"/>
  <c r="C1211" i="2"/>
  <c r="Q1216" i="2"/>
  <c r="I827" i="2"/>
  <c r="I826" i="2"/>
  <c r="D826" i="2"/>
  <c r="R1215" i="2"/>
  <c r="J826" i="2"/>
  <c r="D1244" i="2"/>
  <c r="D1208" i="2"/>
  <c r="G1621" i="2"/>
  <c r="U1223" i="2"/>
  <c r="P1223" i="2"/>
  <c r="K1223" i="2"/>
  <c r="T1160" i="2"/>
  <c r="O1160" i="2"/>
  <c r="J1750" i="2"/>
  <c r="L1523" i="2"/>
  <c r="G1523" i="2"/>
  <c r="L1804" i="2"/>
  <c r="M1507" i="2"/>
  <c r="H1507" i="2"/>
  <c r="C1507" i="2"/>
  <c r="P1800" i="2"/>
  <c r="F1250" i="2"/>
  <c r="E1211" i="2"/>
  <c r="R1622" i="2"/>
  <c r="P1224" i="2"/>
  <c r="K1224" i="2"/>
  <c r="F1224" i="2"/>
  <c r="F1598" i="2"/>
  <c r="L1208" i="2"/>
  <c r="G1208" i="2"/>
  <c r="W1207" i="2"/>
  <c r="P1213" i="2"/>
  <c r="H824" i="2"/>
  <c r="H823" i="2"/>
  <c r="C823" i="2"/>
  <c r="Q1212" i="2"/>
  <c r="I823" i="2"/>
  <c r="Q1219" i="2"/>
  <c r="U1195" i="2"/>
  <c r="E1615" i="2"/>
  <c r="T1220" i="2"/>
  <c r="O1220" i="2"/>
  <c r="J1220" i="2"/>
  <c r="O1145" i="2"/>
  <c r="J1145" i="2"/>
  <c r="M1701" i="2"/>
  <c r="G1508" i="2"/>
  <c r="W1507" i="2"/>
  <c r="M1743" i="2"/>
  <c r="H1492" i="2"/>
  <c r="C1492" i="2"/>
  <c r="S1491" i="2"/>
  <c r="Q1739" i="2"/>
  <c r="J1166" i="2"/>
  <c r="F1150" i="2"/>
  <c r="E1599" i="2"/>
  <c r="K1209" i="2"/>
  <c r="F1209" i="2"/>
  <c r="V1208" i="2"/>
  <c r="V1582" i="2"/>
  <c r="G1193" i="2"/>
  <c r="W1192" i="2"/>
  <c r="R1192" i="2"/>
  <c r="K1198" i="2"/>
  <c r="C809" i="2"/>
  <c r="C808" i="2"/>
  <c r="S807" i="2"/>
  <c r="L1197" i="2"/>
  <c r="D808" i="2"/>
  <c r="E1151" i="2"/>
  <c r="S1524" i="2"/>
  <c r="I1595" i="2"/>
  <c r="O1205" i="2"/>
  <c r="J1205" i="2"/>
  <c r="F1208" i="2"/>
  <c r="F1582" i="2"/>
  <c r="L1192" i="2"/>
  <c r="G1192" i="2"/>
  <c r="W1191" i="2"/>
  <c r="P1197" i="2"/>
  <c r="H808" i="2"/>
  <c r="H807" i="2"/>
  <c r="C807" i="2"/>
  <c r="Q1196" i="2"/>
  <c r="I807" i="2"/>
  <c r="F1489" i="2"/>
  <c r="W1472" i="2"/>
  <c r="J1582" i="2"/>
  <c r="P1192" i="2"/>
  <c r="K1192" i="2"/>
  <c r="F1192" i="2"/>
  <c r="F1566" i="2"/>
  <c r="L1176" i="2"/>
  <c r="G1176" i="2"/>
  <c r="W1175" i="2"/>
  <c r="P1181" i="2"/>
  <c r="H792" i="2"/>
  <c r="H791" i="2"/>
  <c r="C791" i="2"/>
  <c r="Q1180" i="2"/>
  <c r="I791" i="2"/>
  <c r="V1473" i="2"/>
  <c r="R1457" i="2"/>
  <c r="N1578" i="2"/>
  <c r="T1188" i="2"/>
  <c r="O1188" i="2"/>
  <c r="J1188" i="2"/>
  <c r="J1562" i="2"/>
  <c r="P1172" i="2"/>
  <c r="K1172" i="2"/>
  <c r="F1172" i="2"/>
  <c r="T1177" i="2"/>
  <c r="L788" i="2"/>
  <c r="L787" i="2"/>
  <c r="G787" i="2"/>
  <c r="U1176" i="2"/>
  <c r="M787" i="2"/>
  <c r="K780" i="2"/>
  <c r="C1175" i="2"/>
  <c r="O1170" i="2"/>
  <c r="G781" i="2"/>
  <c r="G780" i="2"/>
  <c r="E1173" i="2"/>
  <c r="P1169" i="2"/>
  <c r="H780" i="2"/>
  <c r="H779" i="2"/>
  <c r="K779" i="2"/>
  <c r="T777" i="2"/>
  <c r="H388" i="2"/>
  <c r="C388" i="2"/>
  <c r="J1937" i="2"/>
  <c r="D1791" i="2"/>
  <c r="O1896" i="2"/>
  <c r="H1787" i="2"/>
  <c r="V1730" i="2"/>
  <c r="W1762" i="2"/>
  <c r="W1650" i="2"/>
  <c r="P1328" i="2"/>
  <c r="O1758" i="2"/>
  <c r="K1598" i="2"/>
  <c r="D1276" i="2"/>
  <c r="S1801" i="2"/>
  <c r="G1694" i="2"/>
  <c r="W1524" i="2"/>
  <c r="R1524" i="2"/>
  <c r="N1810" i="2"/>
  <c r="C1509" i="2"/>
  <c r="S1508" i="2"/>
  <c r="N1508" i="2"/>
  <c r="R1806" i="2"/>
  <c r="V1713" i="2"/>
  <c r="F1521" i="2"/>
  <c r="V1520" i="2"/>
  <c r="I1795" i="2"/>
  <c r="G1734" i="2"/>
  <c r="G1586" i="2"/>
  <c r="U1263" i="2"/>
  <c r="O1789" i="2"/>
  <c r="E1688" i="2"/>
  <c r="V1521" i="2"/>
  <c r="Q1521" i="2"/>
  <c r="J1798" i="2"/>
  <c r="W1505" i="2"/>
  <c r="R1505" i="2"/>
  <c r="M1505" i="2"/>
  <c r="N1794" i="2"/>
  <c r="F1665" i="2"/>
  <c r="E1518" i="2"/>
  <c r="U1517" i="2"/>
  <c r="E1783" i="2"/>
  <c r="H1916" i="2"/>
  <c r="C1574" i="2"/>
  <c r="Q1251" i="2"/>
  <c r="K1777" i="2"/>
  <c r="C1682" i="2"/>
  <c r="U1518" i="2"/>
  <c r="P1518" i="2"/>
  <c r="F1786" i="2"/>
  <c r="V1502" i="2"/>
  <c r="Q1502" i="2"/>
  <c r="L1502" i="2"/>
  <c r="J1782" i="2"/>
  <c r="K1616" i="2"/>
  <c r="D1515" i="2"/>
  <c r="T1514" i="2"/>
  <c r="V1770" i="2"/>
  <c r="D1904" i="2"/>
  <c r="T1561" i="2"/>
  <c r="M1239" i="2"/>
  <c r="G1765" i="2"/>
  <c r="V1675" i="2"/>
  <c r="T1515" i="2"/>
  <c r="O1515" i="2"/>
  <c r="W1773" i="2"/>
  <c r="U1499" i="2"/>
  <c r="P1499" i="2"/>
  <c r="K1499" i="2"/>
  <c r="F1770" i="2"/>
  <c r="P1567" i="2"/>
  <c r="C1512" i="2"/>
  <c r="S1511" i="2"/>
  <c r="R1758" i="2"/>
  <c r="D1496" i="2"/>
  <c r="T1495" i="2"/>
  <c r="O1495" i="2"/>
  <c r="C1582" i="2"/>
  <c r="O1468" i="2"/>
  <c r="J1468" i="2"/>
  <c r="F1585" i="2"/>
  <c r="P1452" i="2"/>
  <c r="K1452" i="2"/>
  <c r="F1452" i="2"/>
  <c r="J1581" i="2"/>
  <c r="R1397" i="2"/>
  <c r="N1381" i="2"/>
  <c r="M1559" i="2"/>
  <c r="S1169" i="2"/>
  <c r="N1169" i="2"/>
  <c r="F1744" i="2"/>
  <c r="I1543" i="2"/>
  <c r="O1153" i="2"/>
  <c r="J1153" i="2"/>
  <c r="I1161" i="2"/>
  <c r="S1158" i="2"/>
  <c r="K769" i="2"/>
  <c r="K768" i="2"/>
  <c r="J1160" i="2"/>
  <c r="T1157" i="2"/>
  <c r="L768" i="2"/>
  <c r="M1382" i="2"/>
  <c r="I1366" i="2"/>
  <c r="Q1555" i="2"/>
  <c r="W1165" i="2"/>
  <c r="R1165" i="2"/>
  <c r="C1493" i="2"/>
  <c r="S1492" i="2"/>
  <c r="N1492" i="2"/>
  <c r="T1569" i="2"/>
  <c r="N1465" i="2"/>
  <c r="I1465" i="2"/>
  <c r="W1572" i="2"/>
  <c r="O1449" i="2"/>
  <c r="J1449" i="2"/>
  <c r="E1449" i="2"/>
  <c r="F1569" i="2"/>
  <c r="N1385" i="2"/>
  <c r="J1369" i="2"/>
  <c r="L1556" i="2"/>
  <c r="R1166" i="2"/>
  <c r="M1166" i="2"/>
  <c r="G1890" i="2"/>
  <c r="H1540" i="2"/>
  <c r="N1150" i="2"/>
  <c r="I1150" i="2"/>
  <c r="H1158" i="2"/>
  <c r="R1155" i="2"/>
  <c r="J766" i="2"/>
  <c r="J765" i="2"/>
  <c r="I1157" i="2"/>
  <c r="S1154" i="2"/>
  <c r="K765" i="2"/>
  <c r="I1370" i="2"/>
  <c r="E1354" i="2"/>
  <c r="P1552" i="2"/>
  <c r="V1162" i="2"/>
  <c r="Q1162" i="2"/>
  <c r="W1489" i="2"/>
  <c r="R1489" i="2"/>
  <c r="M1489" i="2"/>
  <c r="P1557" i="2"/>
  <c r="M1462" i="2"/>
  <c r="H1462" i="2"/>
  <c r="S1560" i="2"/>
  <c r="N1446" i="2"/>
  <c r="I1446" i="2"/>
  <c r="D1446" i="2"/>
  <c r="W1556" i="2"/>
  <c r="J1373" i="2"/>
  <c r="F1357" i="2"/>
  <c r="K1553" i="2"/>
  <c r="Q1163" i="2"/>
  <c r="L1163" i="2"/>
  <c r="L1841" i="2"/>
  <c r="G1537" i="2"/>
  <c r="M1147" i="2"/>
  <c r="H1147" i="2"/>
  <c r="G1155" i="2"/>
  <c r="Q1152" i="2"/>
  <c r="I763" i="2"/>
  <c r="I762" i="2"/>
  <c r="H1154" i="2"/>
  <c r="R1151" i="2"/>
  <c r="J762" i="2"/>
  <c r="E1358" i="2"/>
  <c r="V1341" i="2"/>
  <c r="O1549" i="2"/>
  <c r="U1159" i="2"/>
  <c r="P1159" i="2"/>
  <c r="R1474" i="2"/>
  <c r="M1474" i="2"/>
  <c r="H1474" i="2"/>
  <c r="I1691" i="2"/>
  <c r="H1447" i="2"/>
  <c r="C1447" i="2"/>
  <c r="P1694" i="2"/>
  <c r="I1431" i="2"/>
  <c r="D1431" i="2"/>
  <c r="T1430" i="2"/>
  <c r="T1690" i="2"/>
  <c r="K1312" i="2"/>
  <c r="G1296" i="2"/>
  <c r="F1538" i="2"/>
  <c r="L1148" i="2"/>
  <c r="G1148" i="2"/>
  <c r="I1875" i="2"/>
  <c r="J1522" i="2"/>
  <c r="E1522" i="2"/>
  <c r="U1521" i="2"/>
  <c r="N1527" i="2"/>
  <c r="F1138" i="2"/>
  <c r="F1137" i="2"/>
  <c r="V1136" i="2"/>
  <c r="O1526" i="2"/>
  <c r="G1137" i="2"/>
  <c r="G1136" i="2"/>
  <c r="F1297" i="2"/>
  <c r="W1280" i="2"/>
  <c r="J1534" i="2"/>
  <c r="P1144" i="2"/>
  <c r="K1144" i="2"/>
  <c r="G1869" i="2"/>
  <c r="O1521" i="2"/>
  <c r="J1521" i="2"/>
  <c r="E1521" i="2"/>
  <c r="S1526" i="2"/>
  <c r="K1137" i="2"/>
  <c r="K1136" i="2"/>
  <c r="F1136" i="2"/>
  <c r="T1525" i="2"/>
  <c r="L1136" i="2"/>
  <c r="L1135" i="2"/>
  <c r="J1245" i="2"/>
  <c r="F1229" i="2"/>
  <c r="S1521" i="2"/>
  <c r="N1521" i="2"/>
  <c r="I1521" i="2"/>
  <c r="T1796" i="2"/>
  <c r="O1505" i="2"/>
  <c r="J1505" i="2"/>
  <c r="E1505" i="2"/>
  <c r="S1510" i="2"/>
  <c r="K1121" i="2"/>
  <c r="K1120" i="2"/>
  <c r="F1120" i="2"/>
  <c r="T1509" i="2"/>
  <c r="L1120" i="2"/>
  <c r="L1119" i="2"/>
  <c r="E1230" i="2"/>
  <c r="V1213" i="2"/>
  <c r="W1517" i="2"/>
  <c r="R1517" i="2"/>
  <c r="M1517" i="2"/>
  <c r="O1781" i="2"/>
  <c r="S1501" i="2"/>
  <c r="N1501" i="2"/>
  <c r="I1501" i="2"/>
  <c r="W1506" i="2"/>
  <c r="O1117" i="2"/>
  <c r="O1116" i="2"/>
  <c r="J1116" i="2"/>
  <c r="C1506" i="2"/>
  <c r="P1116" i="2"/>
  <c r="P1115" i="2"/>
  <c r="I1109" i="2"/>
  <c r="R1499" i="2"/>
  <c r="J1110" i="2"/>
  <c r="J1109" i="2"/>
  <c r="E1109" i="2"/>
  <c r="S1498" i="2"/>
  <c r="K1109" i="2"/>
  <c r="K1108" i="2"/>
  <c r="F1108" i="2"/>
  <c r="W1106" i="2"/>
  <c r="K717" i="2"/>
  <c r="F717" i="2"/>
  <c r="I717" i="2"/>
  <c r="O1863" i="2"/>
  <c r="D1742" i="2"/>
  <c r="O1847" i="2"/>
  <c r="H1769" i="2"/>
  <c r="D1682" i="2"/>
  <c r="F1661" i="2"/>
  <c r="R1875" i="2"/>
  <c r="I1741" i="2"/>
  <c r="I1791" i="2"/>
  <c r="G1909" i="2"/>
  <c r="E1840" i="2"/>
  <c r="E1558" i="2"/>
  <c r="W1789" i="2"/>
  <c r="C1464" i="2"/>
  <c r="S1463" i="2"/>
  <c r="U1566" i="2"/>
  <c r="D1448" i="2"/>
  <c r="T1447" i="2"/>
  <c r="O1447" i="2"/>
  <c r="D1563" i="2"/>
  <c r="C1550" i="2"/>
  <c r="G1460" i="2"/>
  <c r="W1459" i="2"/>
  <c r="P1551" i="2"/>
  <c r="E1779" i="2"/>
  <c r="T1884" i="2"/>
  <c r="V1827" i="2"/>
  <c r="V1545" i="2"/>
  <c r="O1765" i="2"/>
  <c r="W1460" i="2"/>
  <c r="R1460" i="2"/>
  <c r="Q1554" i="2"/>
  <c r="C1445" i="2"/>
  <c r="S1444" i="2"/>
  <c r="N1444" i="2"/>
  <c r="U1550" i="2"/>
  <c r="T1537" i="2"/>
  <c r="F1457" i="2"/>
  <c r="V1456" i="2"/>
  <c r="L1539" i="2"/>
  <c r="R1754" i="2"/>
  <c r="L1860" i="2"/>
  <c r="R1815" i="2"/>
  <c r="R1533" i="2"/>
  <c r="G1741" i="2"/>
  <c r="V1457" i="2"/>
  <c r="Q1457" i="2"/>
  <c r="M1542" i="2"/>
  <c r="W1441" i="2"/>
  <c r="R1441" i="2"/>
  <c r="M1441" i="2"/>
  <c r="Q1538" i="2"/>
  <c r="H1720" i="2"/>
  <c r="E1454" i="2"/>
  <c r="U1453" i="2"/>
  <c r="D1722" i="2"/>
  <c r="N1742" i="2"/>
  <c r="H1844" i="2"/>
  <c r="N1803" i="2"/>
  <c r="J1716" i="2"/>
  <c r="W1716" i="2"/>
  <c r="U1454" i="2"/>
  <c r="P1454" i="2"/>
  <c r="I1530" i="2"/>
  <c r="V1438" i="2"/>
  <c r="Q1438" i="2"/>
  <c r="L1438" i="2"/>
  <c r="I1721" i="2"/>
  <c r="D1708" i="2"/>
  <c r="D1451" i="2"/>
  <c r="T1450" i="2"/>
  <c r="U1709" i="2"/>
  <c r="E1435" i="2"/>
  <c r="U1434" i="2"/>
  <c r="P1434" i="2"/>
  <c r="F1610" i="2"/>
  <c r="P1407" i="2"/>
  <c r="K1407" i="2"/>
  <c r="F1536" i="2"/>
  <c r="Q1391" i="2"/>
  <c r="L1391" i="2"/>
  <c r="G1391" i="2"/>
  <c r="J1532" i="2"/>
  <c r="V1153" i="2"/>
  <c r="O1527" i="2"/>
  <c r="V1498" i="2"/>
  <c r="Q1498" i="2"/>
  <c r="L1498" i="2"/>
  <c r="N1705" i="2"/>
  <c r="R1482" i="2"/>
  <c r="M1482" i="2"/>
  <c r="H1482" i="2"/>
  <c r="V1487" i="2"/>
  <c r="N1098" i="2"/>
  <c r="N1097" i="2"/>
  <c r="I1097" i="2"/>
  <c r="W1486" i="2"/>
  <c r="O1097" i="2"/>
  <c r="O1096" i="2"/>
  <c r="N1528" i="2"/>
  <c r="J1512" i="2"/>
  <c r="E1495" i="2"/>
  <c r="U1494" i="2"/>
  <c r="P1494" i="2"/>
  <c r="D1432" i="2"/>
  <c r="T1431" i="2"/>
  <c r="O1431" i="2"/>
  <c r="D1604" i="2"/>
  <c r="O1404" i="2"/>
  <c r="J1404" i="2"/>
  <c r="F1719" i="2"/>
  <c r="P1388" i="2"/>
  <c r="K1388" i="2"/>
  <c r="F1388" i="2"/>
  <c r="J1715" i="2"/>
  <c r="R1141" i="2"/>
  <c r="K1515" i="2"/>
  <c r="U1495" i="2"/>
  <c r="P1495" i="2"/>
  <c r="K1495" i="2"/>
  <c r="J1693" i="2"/>
  <c r="Q1479" i="2"/>
  <c r="L1479" i="2"/>
  <c r="G1479" i="2"/>
  <c r="U1484" i="2"/>
  <c r="M1095" i="2"/>
  <c r="M1094" i="2"/>
  <c r="H1094" i="2"/>
  <c r="V1483" i="2"/>
  <c r="N1094" i="2"/>
  <c r="N1093" i="2"/>
  <c r="J1516" i="2"/>
  <c r="F1500" i="2"/>
  <c r="D1492" i="2"/>
  <c r="T1491" i="2"/>
  <c r="O1491" i="2"/>
  <c r="C1429" i="2"/>
  <c r="S1428" i="2"/>
  <c r="N1428" i="2"/>
  <c r="W1597" i="2"/>
  <c r="N1401" i="2"/>
  <c r="I1401" i="2"/>
  <c r="W1706" i="2"/>
  <c r="O1385" i="2"/>
  <c r="J1385" i="2"/>
  <c r="E1385" i="2"/>
  <c r="F1703" i="2"/>
  <c r="K1519" i="2"/>
  <c r="G1503" i="2"/>
  <c r="T1492" i="2"/>
  <c r="O1492" i="2"/>
  <c r="J1492" i="2"/>
  <c r="F1681" i="2"/>
  <c r="P1476" i="2"/>
  <c r="K1476" i="2"/>
  <c r="F1476" i="2"/>
  <c r="T1481" i="2"/>
  <c r="L1092" i="2"/>
  <c r="L1091" i="2"/>
  <c r="G1091" i="2"/>
  <c r="U1480" i="2"/>
  <c r="M1091" i="2"/>
  <c r="M1090" i="2"/>
  <c r="F1504" i="2"/>
  <c r="W1487" i="2"/>
  <c r="C1489" i="2"/>
  <c r="S1488" i="2"/>
  <c r="N1488" i="2"/>
  <c r="S1413" i="2"/>
  <c r="N1413" i="2"/>
  <c r="I1413" i="2"/>
  <c r="M1567" i="2"/>
  <c r="I1386" i="2"/>
  <c r="D1386" i="2"/>
  <c r="C1646" i="2"/>
  <c r="J1370" i="2"/>
  <c r="E1370" i="2"/>
  <c r="U1369" i="2"/>
  <c r="G1642" i="2"/>
  <c r="L1458" i="2"/>
  <c r="H1442" i="2"/>
  <c r="O1477" i="2"/>
  <c r="J1477" i="2"/>
  <c r="E1477" i="2"/>
  <c r="G1620" i="2"/>
  <c r="K1461" i="2"/>
  <c r="F1461" i="2"/>
  <c r="V1460" i="2"/>
  <c r="O1466" i="2"/>
  <c r="G1077" i="2"/>
  <c r="G1076" i="2"/>
  <c r="W1075" i="2"/>
  <c r="P1465" i="2"/>
  <c r="H1076" i="2"/>
  <c r="H1075" i="2"/>
  <c r="G1443" i="2"/>
  <c r="C1427" i="2"/>
  <c r="S1473" i="2"/>
  <c r="N1473" i="2"/>
  <c r="I1473" i="2"/>
  <c r="F1617" i="2"/>
  <c r="P1460" i="2"/>
  <c r="K1460" i="2"/>
  <c r="T1167" i="2"/>
  <c r="P1362" i="2"/>
  <c r="J1180" i="2"/>
  <c r="I1368" i="2"/>
  <c r="H1173" i="2"/>
  <c r="V978" i="2"/>
  <c r="U783" i="2"/>
  <c r="V977" i="2"/>
  <c r="U782" i="2"/>
  <c r="Q977" i="2"/>
  <c r="L1178" i="2"/>
  <c r="J1367" i="2"/>
  <c r="I1172" i="2"/>
  <c r="W977" i="2"/>
  <c r="V782" i="2"/>
  <c r="W976" i="2"/>
  <c r="P1391" i="2"/>
  <c r="J1667" i="2"/>
  <c r="L1375" i="2"/>
  <c r="U1815" i="2"/>
  <c r="W1557" i="2"/>
  <c r="I1363" i="2"/>
  <c r="H1168" i="2"/>
  <c r="D1363" i="2"/>
  <c r="C1168" i="2"/>
  <c r="T1362" i="2"/>
  <c r="O1914" i="2"/>
  <c r="J1591" i="2"/>
  <c r="S1541" i="2"/>
  <c r="E1347" i="2"/>
  <c r="D1152" i="2"/>
  <c r="U1346" i="2"/>
  <c r="T1151" i="2"/>
  <c r="P1346" i="2"/>
  <c r="S1159" i="2"/>
  <c r="I1352" i="2"/>
  <c r="H1157" i="2"/>
  <c r="V962" i="2"/>
  <c r="U767" i="2"/>
  <c r="V961" i="2"/>
  <c r="U766" i="2"/>
  <c r="Q961" i="2"/>
  <c r="T1158" i="2"/>
  <c r="J1351" i="2"/>
  <c r="I1156" i="2"/>
  <c r="W961" i="2"/>
  <c r="V766" i="2"/>
  <c r="W960" i="2"/>
  <c r="K1376" i="2"/>
  <c r="C1618" i="2"/>
  <c r="G1360" i="2"/>
  <c r="K1785" i="2"/>
  <c r="F1554" i="2"/>
  <c r="M1359" i="2"/>
  <c r="L1164" i="2"/>
  <c r="H1359" i="2"/>
  <c r="G1164" i="2"/>
  <c r="C1359" i="2"/>
  <c r="P1853" i="2"/>
  <c r="R1583" i="2"/>
  <c r="W1537" i="2"/>
  <c r="I1343" i="2"/>
  <c r="H1148" i="2"/>
  <c r="D1343" i="2"/>
  <c r="C1148" i="2"/>
  <c r="T1342" i="2"/>
  <c r="W1155" i="2"/>
  <c r="M1348" i="2"/>
  <c r="L1153" i="2"/>
  <c r="E959" i="2"/>
  <c r="D764" i="2"/>
  <c r="E958" i="2"/>
  <c r="D763" i="2"/>
  <c r="U957" i="2"/>
  <c r="C1155" i="2"/>
  <c r="N1347" i="2"/>
  <c r="M1152" i="2"/>
  <c r="F958" i="2"/>
  <c r="E763" i="2"/>
  <c r="F957" i="2"/>
  <c r="C756" i="2"/>
  <c r="T950" i="2"/>
  <c r="R1148" i="2"/>
  <c r="H1341" i="2"/>
  <c r="G1146" i="2"/>
  <c r="U951" i="2"/>
  <c r="T756" i="2"/>
  <c r="U950" i="2"/>
  <c r="T755" i="2"/>
  <c r="P950" i="2"/>
  <c r="S1147" i="2"/>
  <c r="I1340" i="2"/>
  <c r="H1145" i="2"/>
  <c r="V950" i="2"/>
  <c r="U755" i="2"/>
  <c r="V949" i="2"/>
  <c r="U754" i="2"/>
  <c r="Q949" i="2"/>
  <c r="C755" i="2"/>
  <c r="M948" i="2"/>
  <c r="L753" i="2"/>
  <c r="V558" i="2"/>
  <c r="U363" i="2"/>
  <c r="Q558" i="2"/>
  <c r="P363" i="2"/>
  <c r="T558" i="2"/>
  <c r="S1960" i="2"/>
  <c r="F1801" i="2"/>
  <c r="J1888" i="2"/>
  <c r="P1973" i="2"/>
  <c r="D1799" i="2"/>
  <c r="J1797" i="2"/>
  <c r="C1787" i="2"/>
  <c r="F1692" i="2"/>
  <c r="N1633" i="2"/>
  <c r="O1769" i="2"/>
  <c r="I1807" i="2"/>
  <c r="E1916" i="2"/>
  <c r="T1620" i="2"/>
  <c r="S1695" i="2"/>
  <c r="E1568" i="2"/>
  <c r="I1211" i="2"/>
  <c r="S1207" i="2"/>
  <c r="D1192" i="2"/>
  <c r="O1191" i="2"/>
  <c r="L1204" i="2"/>
  <c r="W1203" i="2"/>
  <c r="O1683" i="2"/>
  <c r="V1555" i="2"/>
  <c r="G1205" i="2"/>
  <c r="R1204" i="2"/>
  <c r="C1189" i="2"/>
  <c r="N1188" i="2"/>
  <c r="K1201" i="2"/>
  <c r="V1200" i="2"/>
  <c r="K1671" i="2"/>
  <c r="R1543" i="2"/>
  <c r="F1202" i="2"/>
  <c r="Q1201" i="2"/>
  <c r="W1185" i="2"/>
  <c r="M1185" i="2"/>
  <c r="J1198" i="2"/>
  <c r="U1197" i="2"/>
  <c r="G1659" i="2"/>
  <c r="N1531" i="2"/>
  <c r="E1199" i="2"/>
  <c r="P1198" i="2"/>
  <c r="V1182" i="2"/>
  <c r="L1182" i="2"/>
  <c r="I1195" i="2"/>
  <c r="T1194" i="2"/>
  <c r="E1179" i="2"/>
  <c r="N1635" i="2"/>
  <c r="P1151" i="2"/>
  <c r="S1525" i="2"/>
  <c r="I1525" i="2"/>
  <c r="L1396" i="2"/>
  <c r="I1659" i="2"/>
  <c r="Q1242" i="2"/>
  <c r="L1616" i="2"/>
  <c r="M1226" i="2"/>
  <c r="V1231" i="2"/>
  <c r="N841" i="2"/>
  <c r="W1230" i="2"/>
  <c r="W1365" i="2"/>
  <c r="Q1651" i="2"/>
  <c r="U1238" i="2"/>
  <c r="D1176" i="2"/>
  <c r="F1729" i="2"/>
  <c r="O1148" i="2"/>
  <c r="R1522" i="2"/>
  <c r="H1522" i="2"/>
  <c r="D1372" i="2"/>
  <c r="G1653" i="2"/>
  <c r="P1239" i="2"/>
  <c r="K1613" i="2"/>
  <c r="L1223" i="2"/>
  <c r="U1228" i="2"/>
  <c r="M838" i="2"/>
  <c r="V1227" i="2"/>
  <c r="O1341" i="2"/>
  <c r="O1645" i="2"/>
  <c r="T1235" i="2"/>
  <c r="C1173" i="2"/>
  <c r="V1728" i="2"/>
  <c r="N1145" i="2"/>
  <c r="Q1519" i="2"/>
  <c r="G1519" i="2"/>
  <c r="Q1347" i="2"/>
  <c r="E1647" i="2"/>
  <c r="O1236" i="2"/>
  <c r="J1610" i="2"/>
  <c r="K1220" i="2"/>
  <c r="T1225" i="2"/>
  <c r="L835" i="2"/>
  <c r="U1224" i="2"/>
  <c r="G1317" i="2"/>
  <c r="M1639" i="2"/>
  <c r="S1232" i="2"/>
  <c r="S1157" i="2"/>
  <c r="R1701" i="2"/>
  <c r="F1520" i="2"/>
  <c r="L1504" i="2"/>
  <c r="W1503" i="2"/>
  <c r="S1225" i="2"/>
  <c r="P1616" i="2"/>
  <c r="J1221" i="2"/>
  <c r="E1595" i="2"/>
  <c r="F1205" i="2"/>
  <c r="O1210" i="2"/>
  <c r="G820" i="2"/>
  <c r="P1209" i="2"/>
  <c r="U1199" i="2"/>
  <c r="C1609" i="2"/>
  <c r="N1217" i="2"/>
  <c r="J1594" i="2"/>
  <c r="K1204" i="2"/>
  <c r="T1209" i="2"/>
  <c r="L819" i="2"/>
  <c r="U1208" i="2"/>
  <c r="D1148" i="2"/>
  <c r="N1594" i="2"/>
  <c r="O1204" i="2"/>
  <c r="J1578" i="2"/>
  <c r="K1188" i="2"/>
  <c r="T1193" i="2"/>
  <c r="L803" i="2"/>
  <c r="U1192" i="2"/>
  <c r="Q1522" i="2"/>
  <c r="R1590" i="2"/>
  <c r="S1200" i="2"/>
  <c r="N1574" i="2"/>
  <c r="O1184" i="2"/>
  <c r="C1190" i="2"/>
  <c r="P799" i="2"/>
  <c r="D1189" i="2"/>
  <c r="O792" i="2"/>
  <c r="S1182" i="2"/>
  <c r="K792" i="2"/>
  <c r="T1181" i="2"/>
  <c r="L791" i="2"/>
  <c r="C790" i="2"/>
  <c r="G400" i="2"/>
  <c r="N412" i="2"/>
  <c r="T997" i="2"/>
  <c r="S802" i="2"/>
  <c r="H608" i="2"/>
  <c r="G413" i="2"/>
  <c r="C608" i="2"/>
  <c r="C804" i="2"/>
  <c r="E1748" i="2"/>
  <c r="M1568" i="2"/>
  <c r="J1530" i="2"/>
  <c r="Q1335" i="2"/>
  <c r="P1140" i="2"/>
  <c r="L1335" i="2"/>
  <c r="K1140" i="2"/>
  <c r="G1335" i="2"/>
  <c r="J1148" i="2"/>
  <c r="U1340" i="2"/>
  <c r="T1145" i="2"/>
  <c r="M951" i="2"/>
  <c r="L756" i="2"/>
  <c r="M950" i="2"/>
  <c r="L755" i="2"/>
  <c r="H950" i="2"/>
  <c r="K1147" i="2"/>
  <c r="V1339" i="2"/>
  <c r="U1144" i="2"/>
  <c r="N950" i="2"/>
  <c r="M755" i="2"/>
  <c r="N949" i="2"/>
  <c r="V1281" i="2"/>
  <c r="Q1655" i="2"/>
  <c r="R1265" i="2"/>
  <c r="O1596" i="2"/>
  <c r="N1530" i="2"/>
  <c r="U1335" i="2"/>
  <c r="T1140" i="2"/>
  <c r="P1335" i="2"/>
  <c r="O1140" i="2"/>
  <c r="K1335" i="2"/>
  <c r="K1833" i="2"/>
  <c r="M1536" i="2"/>
  <c r="R1514" i="2"/>
  <c r="Q1319" i="2"/>
  <c r="M1514" i="2"/>
  <c r="L1319" i="2"/>
  <c r="H1514" i="2"/>
  <c r="G1319" i="2"/>
  <c r="V1519" i="2"/>
  <c r="U1324" i="2"/>
  <c r="N1130" i="2"/>
  <c r="M935" i="2"/>
  <c r="N1129" i="2"/>
  <c r="M934" i="2"/>
  <c r="I1129" i="2"/>
  <c r="H934" i="2"/>
  <c r="W1518" i="2"/>
  <c r="V1323" i="2"/>
  <c r="O1129" i="2"/>
  <c r="N934" i="2"/>
  <c r="O1128" i="2"/>
  <c r="N933" i="2"/>
  <c r="Q1266" i="2"/>
  <c r="L1640" i="2"/>
  <c r="M1250" i="2"/>
  <c r="E1566" i="2"/>
  <c r="E1527" i="2"/>
  <c r="D1332" i="2"/>
  <c r="U1526" i="2"/>
  <c r="T1331" i="2"/>
  <c r="P1526" i="2"/>
  <c r="O1331" i="2"/>
  <c r="F1818" i="2"/>
  <c r="M1723" i="2"/>
  <c r="V1510" i="2"/>
  <c r="U1315" i="2"/>
  <c r="Q1510" i="2"/>
  <c r="P1315" i="2"/>
  <c r="L1510" i="2"/>
  <c r="K1315" i="2"/>
  <c r="E1516" i="2"/>
  <c r="D1321" i="2"/>
  <c r="R1126" i="2"/>
  <c r="Q931" i="2"/>
  <c r="R1125" i="2"/>
  <c r="Q930" i="2"/>
  <c r="M1125" i="2"/>
  <c r="L930" i="2"/>
  <c r="F1515" i="2"/>
  <c r="E1320" i="2"/>
  <c r="S1125" i="2"/>
  <c r="R930" i="2"/>
  <c r="S1124" i="2"/>
  <c r="P923" i="2"/>
  <c r="L1118" i="2"/>
  <c r="K923" i="2"/>
  <c r="U1508" i="2"/>
  <c r="T1313" i="2"/>
  <c r="M1119" i="2"/>
  <c r="L924" i="2"/>
  <c r="M1118" i="2"/>
  <c r="L923" i="2"/>
  <c r="H1118" i="2"/>
  <c r="G923" i="2"/>
  <c r="V1507" i="2"/>
  <c r="U1312" i="2"/>
  <c r="N1118" i="2"/>
  <c r="M923" i="2"/>
  <c r="N1117" i="2"/>
  <c r="M922" i="2"/>
  <c r="I1117" i="2"/>
  <c r="H922" i="2"/>
  <c r="E1116" i="2"/>
  <c r="D921" i="2"/>
  <c r="N726" i="2"/>
  <c r="M531" i="2"/>
  <c r="I726" i="2"/>
  <c r="H531" i="2"/>
  <c r="L726" i="2"/>
  <c r="K531" i="2"/>
  <c r="Q1116" i="2"/>
  <c r="P921" i="2"/>
  <c r="E727" i="2"/>
  <c r="D532" i="2"/>
  <c r="U726" i="2"/>
  <c r="U922" i="2"/>
  <c r="Q1117" i="2"/>
  <c r="P922" i="2"/>
  <c r="E1508" i="2"/>
  <c r="M1689" i="2"/>
  <c r="I1596" i="2"/>
  <c r="E1763" i="2"/>
  <c r="D1546" i="2"/>
  <c r="D1354" i="2"/>
  <c r="J1338" i="2"/>
  <c r="U1337" i="2"/>
  <c r="C1497" i="2"/>
  <c r="H1350" i="2"/>
  <c r="E1584" i="2"/>
  <c r="V1750" i="2"/>
  <c r="M1692" i="2"/>
  <c r="C1351" i="2"/>
  <c r="I1335" i="2"/>
  <c r="T1334" i="2"/>
  <c r="V1490" i="2"/>
  <c r="G1347" i="2"/>
  <c r="R1559" i="2"/>
  <c r="R1738" i="2"/>
  <c r="R1643" i="2"/>
  <c r="W1347" i="2"/>
  <c r="H1332" i="2"/>
  <c r="S1331" i="2"/>
  <c r="T1484" i="2"/>
  <c r="F1344" i="2"/>
  <c r="N1547" i="2"/>
  <c r="N1726" i="2"/>
  <c r="M1612" i="2"/>
  <c r="V1344" i="2"/>
  <c r="G1329" i="2"/>
  <c r="R1328" i="2"/>
  <c r="R1478" i="2"/>
  <c r="E1341" i="2"/>
  <c r="K1325" i="2"/>
  <c r="V1324" i="2"/>
  <c r="V1297" i="2"/>
  <c r="Q1671" i="2"/>
  <c r="R1281" i="2"/>
  <c r="R1670" i="2"/>
  <c r="N1172" i="2"/>
  <c r="W1388" i="2"/>
  <c r="Q1656" i="2"/>
  <c r="S1372" i="2"/>
  <c r="G1378" i="2"/>
  <c r="T987" i="2"/>
  <c r="H1377" i="2"/>
  <c r="U986" i="2"/>
  <c r="U1917" i="2"/>
  <c r="F1385" i="2"/>
  <c r="J1322" i="2"/>
  <c r="U1321" i="2"/>
  <c r="U1294" i="2"/>
  <c r="P1668" i="2"/>
  <c r="Q1278" i="2"/>
  <c r="Q1667" i="2"/>
  <c r="L1747" i="2"/>
  <c r="V1385" i="2"/>
  <c r="M1644" i="2"/>
  <c r="R1369" i="2"/>
  <c r="F1375" i="2"/>
  <c r="S984" i="2"/>
  <c r="G1374" i="2"/>
  <c r="T983" i="2"/>
  <c r="J1820" i="2"/>
  <c r="E1382" i="2"/>
  <c r="I1319" i="2"/>
  <c r="T1318" i="2"/>
  <c r="T1291" i="2"/>
  <c r="O1665" i="2"/>
  <c r="P1275" i="2"/>
  <c r="P1664" i="2"/>
  <c r="R1844" i="2"/>
  <c r="U1382" i="2"/>
  <c r="I1632" i="2"/>
  <c r="Q1366" i="2"/>
  <c r="E1372" i="2"/>
  <c r="R981" i="2"/>
  <c r="F1371" i="2"/>
  <c r="S980" i="2"/>
  <c r="P1917" i="2"/>
  <c r="D1379" i="2"/>
  <c r="D1304" i="2"/>
  <c r="O1303" i="2"/>
  <c r="O1276" i="2"/>
  <c r="J1650" i="2"/>
  <c r="K1260" i="2"/>
  <c r="K1649" i="2"/>
  <c r="P1852" i="2"/>
  <c r="P1367" i="2"/>
  <c r="M1600" i="2"/>
  <c r="L1351" i="2"/>
  <c r="U1356" i="2"/>
  <c r="M966" i="2"/>
  <c r="V1355" i="2"/>
  <c r="N965" i="2"/>
  <c r="W1821" i="2"/>
  <c r="T1363" i="2"/>
  <c r="W1598" i="2"/>
  <c r="Q1350" i="2"/>
  <c r="E1356" i="2"/>
  <c r="R965" i="2"/>
  <c r="F1355" i="2"/>
  <c r="S964" i="2"/>
  <c r="M1718" i="2"/>
  <c r="U1350" i="2"/>
  <c r="W1566" i="2"/>
  <c r="Q1334" i="2"/>
  <c r="E1340" i="2"/>
  <c r="R949" i="2"/>
  <c r="F1339" i="2"/>
  <c r="S948" i="2"/>
  <c r="C1688" i="2"/>
  <c r="D1347" i="2"/>
  <c r="J1559" i="2"/>
  <c r="U1330" i="2"/>
  <c r="I1336" i="2"/>
  <c r="V945" i="2"/>
  <c r="J1335" i="2"/>
  <c r="W944" i="2"/>
  <c r="D1329" i="2"/>
  <c r="Q938" i="2"/>
  <c r="E1328" i="2"/>
  <c r="R937" i="2"/>
  <c r="I936" i="2"/>
  <c r="M546" i="2"/>
  <c r="E449" i="2"/>
  <c r="K1034" i="2"/>
  <c r="J839" i="2"/>
  <c r="T644" i="2"/>
  <c r="S449" i="2"/>
  <c r="O644" i="2"/>
  <c r="O840" i="2"/>
  <c r="V1192" i="2"/>
  <c r="P1653" i="2"/>
  <c r="V1566" i="2"/>
  <c r="H1372" i="2"/>
  <c r="G1177" i="2"/>
  <c r="C1372" i="2"/>
  <c r="W1176" i="2"/>
  <c r="S1371" i="2"/>
  <c r="R1176" i="2"/>
  <c r="L1377" i="2"/>
  <c r="K1182" i="2"/>
  <c r="D988" i="2"/>
  <c r="C793" i="2"/>
  <c r="D987" i="2"/>
  <c r="C792" i="2"/>
  <c r="T986" i="2"/>
  <c r="S791" i="2"/>
  <c r="M1376" i="2"/>
  <c r="L1181" i="2"/>
  <c r="E987" i="2"/>
  <c r="D792" i="2"/>
  <c r="E986" i="2"/>
  <c r="G1428" i="2"/>
  <c r="L1618" i="2"/>
  <c r="C1412" i="2"/>
  <c r="J1731" i="2"/>
  <c r="E1567" i="2"/>
  <c r="L1372" i="2"/>
  <c r="K1177" i="2"/>
  <c r="G1372" i="2"/>
  <c r="F1177" i="2"/>
  <c r="W1371" i="2"/>
  <c r="D1866" i="2"/>
  <c r="P1609" i="2"/>
  <c r="V1550" i="2"/>
  <c r="H1356" i="2"/>
  <c r="G1161" i="2"/>
  <c r="C1356" i="2"/>
  <c r="W1160" i="2"/>
  <c r="S1355" i="2"/>
  <c r="V1168" i="2"/>
  <c r="L1361" i="2"/>
  <c r="K1166" i="2"/>
  <c r="D972" i="2"/>
  <c r="C777" i="2"/>
  <c r="D971" i="2"/>
  <c r="C776" i="2"/>
  <c r="T970" i="2"/>
  <c r="W1167" i="2"/>
  <c r="M1360" i="2"/>
  <c r="L1165" i="2"/>
  <c r="E971" i="2"/>
  <c r="D776" i="2"/>
  <c r="E970" i="2"/>
  <c r="W1412" i="2"/>
  <c r="M1557" i="2"/>
  <c r="S1396" i="2"/>
  <c r="P1864" i="2"/>
  <c r="I1563" i="2"/>
  <c r="P1368" i="2"/>
  <c r="O1173" i="2"/>
  <c r="K1368" i="2"/>
  <c r="J1173" i="2"/>
  <c r="F1368" i="2"/>
  <c r="E1805" i="2"/>
  <c r="C1602" i="2"/>
  <c r="E1547" i="2"/>
  <c r="L1352" i="2"/>
  <c r="K1157" i="2"/>
  <c r="G1352" i="2"/>
  <c r="F1157" i="2"/>
  <c r="W1351" i="2"/>
  <c r="E1165" i="2"/>
  <c r="P1357" i="2"/>
  <c r="O1162" i="2"/>
  <c r="H968" i="2"/>
  <c r="G773" i="2"/>
  <c r="H967" i="2"/>
  <c r="G772" i="2"/>
  <c r="C967" i="2"/>
  <c r="F1164" i="2"/>
  <c r="Q1356" i="2"/>
  <c r="P1161" i="2"/>
  <c r="I967" i="2"/>
  <c r="H772" i="2"/>
  <c r="I966" i="2"/>
  <c r="F765" i="2"/>
  <c r="W959" i="2"/>
  <c r="U1157" i="2"/>
  <c r="K1350" i="2"/>
  <c r="J1155" i="2"/>
  <c r="C961" i="2"/>
  <c r="W765" i="2"/>
  <c r="C960" i="2"/>
  <c r="W764" i="2"/>
  <c r="S959" i="2"/>
  <c r="V1156" i="2"/>
  <c r="L1349" i="2"/>
  <c r="K1154" i="2"/>
  <c r="D960" i="2"/>
  <c r="C765" i="2"/>
  <c r="D959" i="2"/>
  <c r="C764" i="2"/>
  <c r="T958" i="2"/>
  <c r="F764" i="2"/>
  <c r="P957" i="2"/>
  <c r="O762" i="2"/>
  <c r="D568" i="2"/>
  <c r="C373" i="2"/>
  <c r="T567" i="2"/>
  <c r="S372" i="2"/>
  <c r="W567" i="2"/>
  <c r="R764" i="2"/>
  <c r="G958" i="2"/>
  <c r="F763" i="2"/>
  <c r="P568" i="2"/>
  <c r="O373" i="2"/>
  <c r="K568" i="2"/>
  <c r="K764" i="2"/>
  <c r="G959" i="2"/>
  <c r="E1157" i="2"/>
  <c r="P1349" i="2"/>
  <c r="O1154" i="2"/>
  <c r="H960" i="2"/>
  <c r="P1689" i="2"/>
  <c r="F1735" i="2"/>
  <c r="G1568" i="2"/>
  <c r="T1588" i="2"/>
  <c r="I1305" i="2"/>
  <c r="O1289" i="2"/>
  <c r="E1289" i="2"/>
  <c r="M1399" i="2"/>
  <c r="M1301" i="2"/>
  <c r="C1905" i="2"/>
  <c r="C1556" i="2"/>
  <c r="P1576" i="2"/>
  <c r="H1302" i="2"/>
  <c r="N1286" i="2"/>
  <c r="D1286" i="2"/>
  <c r="K1393" i="2"/>
  <c r="L1298" i="2"/>
  <c r="P1880" i="2"/>
  <c r="T1543" i="2"/>
  <c r="L1564" i="2"/>
  <c r="G1299" i="2"/>
  <c r="M1283" i="2"/>
  <c r="C1283" i="2"/>
  <c r="I1387" i="2"/>
  <c r="K1295" i="2"/>
  <c r="H1856" i="2"/>
  <c r="P1531" i="2"/>
  <c r="H1552" i="2"/>
  <c r="F1296" i="2"/>
  <c r="L1280" i="2"/>
  <c r="W1279" i="2"/>
  <c r="G1381" i="2"/>
  <c r="J1292" i="2"/>
  <c r="P1276" i="2"/>
  <c r="F1276" i="2"/>
  <c r="F1249" i="2"/>
  <c r="V1622" i="2"/>
  <c r="W1232" i="2"/>
  <c r="W1621" i="2"/>
  <c r="F1633" i="2"/>
  <c r="G1340" i="2"/>
  <c r="P1545" i="2"/>
  <c r="C1324" i="2"/>
  <c r="L1329" i="2"/>
  <c r="D939" i="2"/>
  <c r="M1328" i="2"/>
  <c r="E938" i="2"/>
  <c r="Q1602" i="2"/>
  <c r="K1336" i="2"/>
  <c r="O1273" i="2"/>
  <c r="E1273" i="2"/>
  <c r="E1246" i="2"/>
  <c r="U1619" i="2"/>
  <c r="V1229" i="2"/>
  <c r="V1618" i="2"/>
  <c r="S1608" i="2"/>
  <c r="F1337" i="2"/>
  <c r="N1539" i="2"/>
  <c r="W1320" i="2"/>
  <c r="K1326" i="2"/>
  <c r="C936" i="2"/>
  <c r="L1325" i="2"/>
  <c r="D935" i="2"/>
  <c r="I1578" i="2"/>
  <c r="J1333" i="2"/>
  <c r="N1270" i="2"/>
  <c r="D1270" i="2"/>
  <c r="D1243" i="2"/>
  <c r="T1616" i="2"/>
  <c r="U1226" i="2"/>
  <c r="U1615" i="2"/>
  <c r="K1584" i="2"/>
  <c r="E1334" i="2"/>
  <c r="L1533" i="2"/>
  <c r="V1317" i="2"/>
  <c r="J1323" i="2"/>
  <c r="W932" i="2"/>
  <c r="K1322" i="2"/>
  <c r="C932" i="2"/>
  <c r="V1553" i="2"/>
  <c r="I1330" i="2"/>
  <c r="I1255" i="2"/>
  <c r="I1550" i="2"/>
  <c r="T1227" i="2"/>
  <c r="O1601" i="2"/>
  <c r="P1211" i="2"/>
  <c r="I1693" i="2"/>
  <c r="I1657" i="2"/>
  <c r="U1318" i="2"/>
  <c r="O1697" i="2"/>
  <c r="Q1302" i="2"/>
  <c r="E1308" i="2"/>
  <c r="R917" i="2"/>
  <c r="F1307" i="2"/>
  <c r="J1632" i="2"/>
  <c r="T1626" i="2"/>
  <c r="D1315" i="2"/>
  <c r="D1696" i="2"/>
  <c r="V1301" i="2"/>
  <c r="J1307" i="2"/>
  <c r="W916" i="2"/>
  <c r="K1306" i="2"/>
  <c r="G1875" i="2"/>
  <c r="K1718" i="2"/>
  <c r="E1302" i="2"/>
  <c r="U1675" i="2"/>
  <c r="V1285" i="2"/>
  <c r="J1291" i="2"/>
  <c r="W900" i="2"/>
  <c r="K1290" i="2"/>
  <c r="F1738" i="2"/>
  <c r="V1687" i="2"/>
  <c r="I1298" i="2"/>
  <c r="D1672" i="2"/>
  <c r="E1282" i="2"/>
  <c r="N1287" i="2"/>
  <c r="F897" i="2"/>
  <c r="O1286" i="2"/>
  <c r="E890" i="2"/>
  <c r="I1280" i="2"/>
  <c r="V889" i="2"/>
  <c r="J1279" i="2"/>
  <c r="W888" i="2"/>
  <c r="N887" i="2"/>
  <c r="R497" i="2"/>
  <c r="V436" i="2"/>
  <c r="G1022" i="2"/>
  <c r="F827" i="2"/>
  <c r="P632" i="2"/>
  <c r="O437" i="2"/>
  <c r="K632" i="2"/>
  <c r="K828" i="2"/>
  <c r="G1732" i="2"/>
  <c r="H1617" i="2"/>
  <c r="R1554" i="2"/>
  <c r="D1360" i="2"/>
  <c r="C1165" i="2"/>
  <c r="T1359" i="2"/>
  <c r="S1164" i="2"/>
  <c r="O1359" i="2"/>
  <c r="H1174" i="2"/>
  <c r="H1365" i="2"/>
  <c r="G1170" i="2"/>
  <c r="U975" i="2"/>
  <c r="T780" i="2"/>
  <c r="U974" i="2"/>
  <c r="T779" i="2"/>
  <c r="P974" i="2"/>
  <c r="J1172" i="2"/>
  <c r="I1364" i="2"/>
  <c r="H1169" i="2"/>
  <c r="V974" i="2"/>
  <c r="U779" i="2"/>
  <c r="V973" i="2"/>
  <c r="L1379" i="2"/>
  <c r="E1624" i="2"/>
  <c r="H1363" i="2"/>
  <c r="M1791" i="2"/>
  <c r="V1554" i="2"/>
  <c r="H1360" i="2"/>
  <c r="G1165" i="2"/>
  <c r="C1360" i="2"/>
  <c r="W1164" i="2"/>
  <c r="S1359" i="2"/>
  <c r="T1865" i="2"/>
  <c r="H1585" i="2"/>
  <c r="R1538" i="2"/>
  <c r="D1344" i="2"/>
  <c r="C1149" i="2"/>
  <c r="T1343" i="2"/>
  <c r="S1148" i="2"/>
  <c r="O1343" i="2"/>
  <c r="R1156" i="2"/>
  <c r="H1349" i="2"/>
  <c r="G1154" i="2"/>
  <c r="U959" i="2"/>
  <c r="T764" i="2"/>
  <c r="U958" i="2"/>
  <c r="T763" i="2"/>
  <c r="P958" i="2"/>
  <c r="S1155" i="2"/>
  <c r="I1348" i="2"/>
  <c r="H1153" i="2"/>
  <c r="V958" i="2"/>
  <c r="U763" i="2"/>
  <c r="V957" i="2"/>
  <c r="G1364" i="2"/>
  <c r="P1593" i="2"/>
  <c r="C1348" i="2"/>
  <c r="C1761" i="2"/>
  <c r="E1551" i="2"/>
  <c r="L1356" i="2"/>
  <c r="K1161" i="2"/>
  <c r="G1356" i="2"/>
  <c r="F1161" i="2"/>
  <c r="W1355" i="2"/>
  <c r="U1804" i="2"/>
  <c r="P1577" i="2"/>
  <c r="V1534" i="2"/>
  <c r="H1340" i="2"/>
  <c r="G1145" i="2"/>
  <c r="C1340" i="2"/>
  <c r="W1144" i="2"/>
  <c r="S1339" i="2"/>
  <c r="V1152" i="2"/>
  <c r="L1345" i="2"/>
  <c r="K1150" i="2"/>
  <c r="D956" i="2"/>
  <c r="C761" i="2"/>
  <c r="D955" i="2"/>
  <c r="C760" i="2"/>
  <c r="T954" i="2"/>
  <c r="W1151" i="2"/>
  <c r="M1344" i="2"/>
  <c r="L1149" i="2"/>
  <c r="E955" i="2"/>
  <c r="D760" i="2"/>
  <c r="E954" i="2"/>
  <c r="W752" i="2"/>
  <c r="S947" i="2"/>
  <c r="Q1145" i="2"/>
  <c r="G1338" i="2"/>
  <c r="F1143" i="2"/>
  <c r="T948" i="2"/>
  <c r="S753" i="2"/>
  <c r="T947" i="2"/>
  <c r="S752" i="2"/>
  <c r="O947" i="2"/>
  <c r="R1144" i="2"/>
  <c r="H1337" i="2"/>
  <c r="G1142" i="2"/>
  <c r="U947" i="2"/>
  <c r="T752" i="2"/>
  <c r="U946" i="2"/>
  <c r="T751" i="2"/>
  <c r="P946" i="2"/>
  <c r="W751" i="2"/>
  <c r="L945" i="2"/>
  <c r="K750" i="2"/>
  <c r="U555" i="2"/>
  <c r="G751" i="2"/>
  <c r="P555" i="2"/>
  <c r="O360" i="2"/>
  <c r="S555" i="2"/>
  <c r="N752" i="2"/>
  <c r="C946" i="2"/>
  <c r="W750" i="2"/>
  <c r="L556" i="2"/>
  <c r="K361" i="2"/>
  <c r="G556" i="2"/>
  <c r="G752" i="2"/>
  <c r="C947" i="2"/>
  <c r="V1144" i="2"/>
  <c r="T1916" i="2"/>
  <c r="J1730" i="2"/>
  <c r="J1791" i="2"/>
  <c r="O1692" i="2"/>
  <c r="O1451" i="2"/>
  <c r="U1435" i="2"/>
  <c r="K1435" i="2"/>
  <c r="U1695" i="2"/>
  <c r="S1447" i="2"/>
  <c r="E1706" i="2"/>
  <c r="F1779" i="2"/>
  <c r="G1668" i="2"/>
  <c r="N1448" i="2"/>
  <c r="T1432" i="2"/>
  <c r="J1432" i="2"/>
  <c r="O1685" i="2"/>
  <c r="R1444" i="2"/>
  <c r="V1693" i="2"/>
  <c r="W1766" i="2"/>
  <c r="T1643" i="2"/>
  <c r="M1445" i="2"/>
  <c r="S1429" i="2"/>
  <c r="I1429" i="2"/>
  <c r="M1679" i="2"/>
  <c r="Q1441" i="2"/>
  <c r="R1681" i="2"/>
  <c r="S1754" i="2"/>
  <c r="L1619" i="2"/>
  <c r="L1442" i="2"/>
  <c r="R1426" i="2"/>
  <c r="H1426" i="2"/>
  <c r="K1673" i="2"/>
  <c r="P1438" i="2"/>
  <c r="V1422" i="2"/>
  <c r="L1422" i="2"/>
  <c r="L1395" i="2"/>
  <c r="O1682" i="2"/>
  <c r="H1379" i="2"/>
  <c r="S1678" i="2"/>
  <c r="T1478" i="2"/>
  <c r="M1486" i="2"/>
  <c r="S1656" i="2"/>
  <c r="I1470" i="2"/>
  <c r="R1475" i="2"/>
  <c r="J1085" i="2"/>
  <c r="S1474" i="2"/>
  <c r="K1084" i="2"/>
  <c r="O1463" i="2"/>
  <c r="Q1482" i="2"/>
  <c r="U1419" i="2"/>
  <c r="K1419" i="2"/>
  <c r="K1392" i="2"/>
  <c r="K1670" i="2"/>
  <c r="G1376" i="2"/>
  <c r="O1666" i="2"/>
  <c r="P1466" i="2"/>
  <c r="L1483" i="2"/>
  <c r="O1644" i="2"/>
  <c r="H1467" i="2"/>
  <c r="Q1472" i="2"/>
  <c r="I1082" i="2"/>
  <c r="R1471" i="2"/>
  <c r="J1081" i="2"/>
  <c r="K1451" i="2"/>
  <c r="P1479" i="2"/>
  <c r="T1416" i="2"/>
  <c r="J1416" i="2"/>
  <c r="J1389" i="2"/>
  <c r="G1658" i="2"/>
  <c r="F1373" i="2"/>
  <c r="K1654" i="2"/>
  <c r="L1454" i="2"/>
  <c r="K1480" i="2"/>
  <c r="K1632" i="2"/>
  <c r="G1464" i="2"/>
  <c r="P1469" i="2"/>
  <c r="H1079" i="2"/>
  <c r="Q1468" i="2"/>
  <c r="I1078" i="2"/>
  <c r="G1439" i="2"/>
  <c r="O1476" i="2"/>
  <c r="O1401" i="2"/>
  <c r="E1401" i="2"/>
  <c r="E1374" i="2"/>
  <c r="L1613" i="2"/>
  <c r="V1357" i="2"/>
  <c r="R1611" i="2"/>
  <c r="M1393" i="2"/>
  <c r="F1465" i="2"/>
  <c r="L1571" i="2"/>
  <c r="W1448" i="2"/>
  <c r="K1454" i="2"/>
  <c r="C1064" i="2"/>
  <c r="L1453" i="2"/>
  <c r="D1063" i="2"/>
  <c r="H1378" i="2"/>
  <c r="J1461" i="2"/>
  <c r="K1568" i="2"/>
  <c r="G1448" i="2"/>
  <c r="P1453" i="2"/>
  <c r="H1063" i="2"/>
  <c r="Q1452" i="2"/>
  <c r="I1062" i="2"/>
  <c r="L1326" i="2"/>
  <c r="K1448" i="2"/>
  <c r="G1699" i="2"/>
  <c r="G1432" i="2"/>
  <c r="P1437" i="2"/>
  <c r="H1047" i="2"/>
  <c r="Q1436" i="2"/>
  <c r="I1046" i="2"/>
  <c r="G1311" i="2"/>
  <c r="O1444" i="2"/>
  <c r="W1683" i="2"/>
  <c r="K1428" i="2"/>
  <c r="T1433" i="2"/>
  <c r="L1043" i="2"/>
  <c r="U1432" i="2"/>
  <c r="M1042" i="2"/>
  <c r="O1426" i="2"/>
  <c r="G1036" i="2"/>
  <c r="P1425" i="2"/>
  <c r="H1035" i="2"/>
  <c r="T1033" i="2"/>
  <c r="C644" i="2"/>
  <c r="M473" i="2"/>
  <c r="S1058" i="2"/>
  <c r="R863" i="2"/>
  <c r="G669" i="2"/>
  <c r="F474" i="2"/>
  <c r="W668" i="2"/>
  <c r="W864" i="2"/>
  <c r="S1059" i="2"/>
  <c r="W1555" i="2"/>
  <c r="I1591" i="2"/>
  <c r="P1396" i="2"/>
  <c r="O1201" i="2"/>
  <c r="K1396" i="2"/>
  <c r="J1201" i="2"/>
  <c r="F1396" i="2"/>
  <c r="E1201" i="2"/>
  <c r="T1401" i="2"/>
  <c r="S1206" i="2"/>
  <c r="L1012" i="2"/>
  <c r="K817" i="2"/>
  <c r="L1011" i="2"/>
  <c r="K816" i="2"/>
  <c r="G1011" i="2"/>
  <c r="F816" i="2"/>
  <c r="U1400" i="2"/>
  <c r="T1205" i="2"/>
  <c r="M1011" i="2"/>
  <c r="L816" i="2"/>
  <c r="M1010" i="2"/>
  <c r="R1525" i="2"/>
  <c r="O1813" i="2"/>
  <c r="N1509" i="2"/>
  <c r="S1187" i="2"/>
  <c r="M1591" i="2"/>
  <c r="T1396" i="2"/>
  <c r="S1201" i="2"/>
  <c r="O1396" i="2"/>
  <c r="N1201" i="2"/>
  <c r="J1396" i="2"/>
  <c r="I1201" i="2"/>
  <c r="F1687" i="2"/>
  <c r="I1575" i="2"/>
  <c r="P1380" i="2"/>
  <c r="O1185" i="2"/>
  <c r="K1380" i="2"/>
  <c r="J1185" i="2"/>
  <c r="F1380" i="2"/>
  <c r="E1185" i="2"/>
  <c r="T1385" i="2"/>
  <c r="S1190" i="2"/>
  <c r="L996" i="2"/>
  <c r="K801" i="2"/>
  <c r="L995" i="2"/>
  <c r="K800" i="2"/>
  <c r="G995" i="2"/>
  <c r="F800" i="2"/>
  <c r="U1384" i="2"/>
  <c r="T1189" i="2"/>
  <c r="M995" i="2"/>
  <c r="L800" i="2"/>
  <c r="M994" i="2"/>
  <c r="M1510" i="2"/>
  <c r="P1752" i="2"/>
  <c r="I1494" i="2"/>
  <c r="F1180" i="2"/>
  <c r="Q1587" i="2"/>
  <c r="C1393" i="2"/>
  <c r="W1197" i="2"/>
  <c r="S1392" i="2"/>
  <c r="R1197" i="2"/>
  <c r="N1392" i="2"/>
  <c r="M1197" i="2"/>
  <c r="V1671" i="2"/>
  <c r="M1571" i="2"/>
  <c r="T1376" i="2"/>
  <c r="S1181" i="2"/>
  <c r="O1376" i="2"/>
  <c r="N1181" i="2"/>
  <c r="J1376" i="2"/>
  <c r="I1181" i="2"/>
  <c r="C1382" i="2"/>
  <c r="W1186" i="2"/>
  <c r="P992" i="2"/>
  <c r="O797" i="2"/>
  <c r="P991" i="2"/>
  <c r="O796" i="2"/>
  <c r="K991" i="2"/>
  <c r="J796" i="2"/>
  <c r="D1381" i="2"/>
  <c r="C1186" i="2"/>
  <c r="Q991" i="2"/>
  <c r="P796" i="2"/>
  <c r="Q990" i="2"/>
  <c r="N789" i="2"/>
  <c r="J984" i="2"/>
  <c r="I789" i="2"/>
  <c r="S1374" i="2"/>
  <c r="R1179" i="2"/>
  <c r="K985" i="2"/>
  <c r="J790" i="2"/>
  <c r="K984" i="2"/>
  <c r="J789" i="2"/>
  <c r="F984" i="2"/>
  <c r="E789" i="2"/>
  <c r="T1373" i="2"/>
  <c r="S1178" i="2"/>
  <c r="L984" i="2"/>
  <c r="K789" i="2"/>
  <c r="L983" i="2"/>
  <c r="K788" i="2"/>
  <c r="G983" i="2"/>
  <c r="F788" i="2"/>
  <c r="C982" i="2"/>
  <c r="W786" i="2"/>
  <c r="L592" i="2"/>
  <c r="K397" i="2"/>
  <c r="G592" i="2"/>
  <c r="F397" i="2"/>
  <c r="J592" i="2"/>
  <c r="I397" i="2"/>
  <c r="O982" i="2"/>
  <c r="N787" i="2"/>
  <c r="C593" i="2"/>
  <c r="W397" i="2"/>
  <c r="S592" i="2"/>
  <c r="S788" i="2"/>
  <c r="O983" i="2"/>
  <c r="N788" i="2"/>
  <c r="C1374" i="2"/>
  <c r="W1178" i="2"/>
  <c r="P984" i="2"/>
  <c r="I1264" i="2"/>
  <c r="V874" i="2"/>
  <c r="S1056" i="2"/>
  <c r="R861" i="2"/>
  <c r="N1056" i="2"/>
  <c r="M861" i="2"/>
  <c r="S1592" i="2"/>
  <c r="G1649" i="2"/>
  <c r="N1454" i="2"/>
  <c r="M1259" i="2"/>
  <c r="I1454" i="2"/>
  <c r="H1259" i="2"/>
  <c r="D1454" i="2"/>
  <c r="C1259" i="2"/>
  <c r="R1459" i="2"/>
  <c r="Q1264" i="2"/>
  <c r="J1070" i="2"/>
  <c r="I875" i="2"/>
  <c r="J1069" i="2"/>
  <c r="I874" i="2"/>
  <c r="E1069" i="2"/>
  <c r="D874" i="2"/>
  <c r="S1458" i="2"/>
  <c r="R1263" i="2"/>
  <c r="K1069" i="2"/>
  <c r="J874" i="2"/>
  <c r="K1068" i="2"/>
  <c r="F1530" i="2"/>
  <c r="C1367" i="2"/>
  <c r="I1351" i="2"/>
  <c r="T1350" i="2"/>
  <c r="F1698" i="2"/>
  <c r="R1454" i="2"/>
  <c r="Q1259" i="2"/>
  <c r="M1454" i="2"/>
  <c r="L1259" i="2"/>
  <c r="H1454" i="2"/>
  <c r="G1259" i="2"/>
  <c r="O1723" i="2"/>
  <c r="G1633" i="2"/>
  <c r="L2051" i="2"/>
  <c r="P1876" i="2"/>
  <c r="L1864" i="2"/>
  <c r="S1831" i="2"/>
  <c r="S1968" i="2"/>
  <c r="V1929" i="2"/>
  <c r="S1735" i="2"/>
  <c r="H1915" i="2"/>
  <c r="J1772" i="2"/>
  <c r="D1744" i="2"/>
  <c r="K1753" i="2"/>
  <c r="H1665" i="2"/>
  <c r="V1743" i="2"/>
  <c r="H1683" i="2"/>
  <c r="N1704" i="2"/>
  <c r="J1603" i="2"/>
  <c r="P1659" i="2"/>
  <c r="T2023" i="2"/>
  <c r="H2019" i="2"/>
  <c r="V1716" i="2"/>
  <c r="P1792" i="2"/>
  <c r="N1961" i="2"/>
  <c r="V1886" i="2"/>
  <c r="K1570" i="2"/>
  <c r="C1853" i="2"/>
  <c r="I1590" i="2"/>
  <c r="T1549" i="2"/>
  <c r="J1880" i="2"/>
  <c r="J1769" i="2"/>
  <c r="U1909" i="2"/>
  <c r="L1687" i="2"/>
  <c r="S1862" i="2"/>
  <c r="R1810" i="2"/>
  <c r="T1682" i="2"/>
  <c r="W2252" i="2"/>
  <c r="I1986" i="2"/>
  <c r="Q1833" i="2"/>
  <c r="S1716" i="2"/>
  <c r="M1645" i="2"/>
  <c r="Q1761" i="2"/>
  <c r="I1147" i="2"/>
  <c r="M1143" i="2"/>
  <c r="H1144" i="2"/>
  <c r="L1140" i="2"/>
  <c r="F1826" i="2"/>
  <c r="V1834" i="2"/>
  <c r="E1831" i="2"/>
  <c r="Q1819" i="2"/>
  <c r="W1813" i="2"/>
  <c r="R1822" i="2"/>
  <c r="V1818" i="2"/>
  <c r="M1807" i="2"/>
  <c r="N1631" i="2"/>
  <c r="T1464" i="2"/>
  <c r="M1446" i="2"/>
  <c r="R1181" i="2"/>
  <c r="N1165" i="2"/>
  <c r="O780" i="2"/>
  <c r="H1431" i="2"/>
  <c r="V1177" i="2"/>
  <c r="O1618" i="2"/>
  <c r="S1461" i="2"/>
  <c r="I1434" i="2"/>
  <c r="Q1178" i="2"/>
  <c r="M1162" i="2"/>
  <c r="N777" i="2"/>
  <c r="D1419" i="2"/>
  <c r="U1174" i="2"/>
  <c r="K1606" i="2"/>
  <c r="R1458" i="2"/>
  <c r="E1422" i="2"/>
  <c r="P1175" i="2"/>
  <c r="L1159" i="2"/>
  <c r="M774" i="2"/>
  <c r="U1406" i="2"/>
  <c r="T1171" i="2"/>
  <c r="L1545" i="2"/>
  <c r="M1443" i="2"/>
  <c r="F1361" i="2"/>
  <c r="K1160" i="2"/>
  <c r="G1144" i="2"/>
  <c r="H759" i="2"/>
  <c r="V1345" i="2"/>
  <c r="O1156" i="2"/>
  <c r="L1143" i="2"/>
  <c r="M758" i="2"/>
  <c r="E1294" i="2"/>
  <c r="P1143" i="2"/>
  <c r="I1517" i="2"/>
  <c r="J1132" i="2"/>
  <c r="U1278" i="2"/>
  <c r="T1139" i="2"/>
  <c r="M1513" i="2"/>
  <c r="N1128" i="2"/>
  <c r="M1121" i="2"/>
  <c r="I1121" i="2"/>
  <c r="J1120" i="2"/>
  <c r="M729" i="2"/>
  <c r="C1818" i="2"/>
  <c r="T1838" i="2"/>
  <c r="U1606" i="2"/>
  <c r="P1615" i="2"/>
  <c r="T1611" i="2"/>
  <c r="K1600" i="2"/>
  <c r="Q1594" i="2"/>
  <c r="L1603" i="2"/>
  <c r="P1599" i="2"/>
  <c r="G1588" i="2"/>
  <c r="M1582" i="2"/>
  <c r="H1591" i="2"/>
  <c r="L1587" i="2"/>
  <c r="C1576" i="2"/>
  <c r="I1570" i="2"/>
  <c r="D1579" i="2"/>
  <c r="H1575" i="2"/>
  <c r="T1563" i="2"/>
  <c r="N1634" i="2"/>
  <c r="U1403" i="2"/>
  <c r="Q1202" i="2"/>
  <c r="P1510" i="2"/>
  <c r="L1494" i="2"/>
  <c r="M1109" i="2"/>
  <c r="L1187" i="2"/>
  <c r="T1506" i="2"/>
  <c r="L1628" i="2"/>
  <c r="T1400" i="2"/>
  <c r="M1190" i="2"/>
  <c r="O1507" i="2"/>
  <c r="K1491" i="2"/>
  <c r="L1106" i="2"/>
  <c r="H1175" i="2"/>
  <c r="S1503" i="2"/>
  <c r="J1622" i="2"/>
  <c r="S1397" i="2"/>
  <c r="I1178" i="2"/>
  <c r="N1504" i="2"/>
  <c r="J1488" i="2"/>
  <c r="K1103" i="2"/>
  <c r="D1163" i="2"/>
  <c r="R1500" i="2"/>
  <c r="U1591" i="2"/>
  <c r="N1382" i="2"/>
  <c r="G1507" i="2"/>
  <c r="I1489" i="2"/>
  <c r="E1473" i="2"/>
  <c r="F1088" i="2"/>
  <c r="W1491" i="2"/>
  <c r="M1485" i="2"/>
  <c r="J1472" i="2"/>
  <c r="K1087" i="2"/>
  <c r="F1440" i="2"/>
  <c r="N1472" i="2"/>
  <c r="J1456" i="2"/>
  <c r="K1071" i="2"/>
  <c r="V1424" i="2"/>
  <c r="R1468" i="2"/>
  <c r="N1452" i="2"/>
  <c r="O1067" i="2"/>
  <c r="N1060" i="2"/>
  <c r="J1060" i="2"/>
  <c r="K1059" i="2"/>
  <c r="N668" i="2"/>
  <c r="K1886" i="2"/>
  <c r="U1891" i="2"/>
  <c r="U1557" i="2"/>
  <c r="P1566" i="2"/>
  <c r="T1562" i="2"/>
  <c r="K1551" i="2"/>
  <c r="Q1545" i="2"/>
  <c r="L1554" i="2"/>
  <c r="P1550" i="2"/>
  <c r="G1539" i="2"/>
  <c r="M1533" i="2"/>
  <c r="H1542" i="2"/>
  <c r="L1538" i="2"/>
  <c r="G1722" i="2"/>
  <c r="M1716" i="2"/>
  <c r="D1530" i="2"/>
  <c r="L1721" i="2"/>
  <c r="C1710" i="2"/>
  <c r="C1513" i="2"/>
  <c r="V1342" i="2"/>
  <c r="R1348" i="2"/>
  <c r="Q1449" i="2"/>
  <c r="M1433" i="2"/>
  <c r="N1048" i="2"/>
  <c r="M1333" i="2"/>
  <c r="U1445" i="2"/>
  <c r="V1506" i="2"/>
  <c r="U1339" i="2"/>
  <c r="N1336" i="2"/>
  <c r="P1446" i="2"/>
  <c r="L1430" i="2"/>
  <c r="M1045" i="2"/>
  <c r="I1321" i="2"/>
  <c r="T1442" i="2"/>
  <c r="T1500" i="2"/>
  <c r="T1336" i="2"/>
  <c r="J1324" i="2"/>
  <c r="O1443" i="2"/>
  <c r="K1427" i="2"/>
  <c r="L1042" i="2"/>
  <c r="E1309" i="2"/>
  <c r="S1439" i="2"/>
  <c r="J1470" i="2"/>
  <c r="O1321" i="2"/>
  <c r="K1263" i="2"/>
  <c r="J1428" i="2"/>
  <c r="F1412" i="2"/>
  <c r="G1027" i="2"/>
  <c r="F1248" i="2"/>
  <c r="N1424" i="2"/>
  <c r="V1508" i="2"/>
  <c r="G1125" i="2"/>
  <c r="W1123" i="2"/>
  <c r="H1124" i="2"/>
  <c r="O1196" i="2"/>
  <c r="O1509" i="2"/>
  <c r="E1509" i="2"/>
  <c r="K1493" i="2"/>
  <c r="V1492" i="2"/>
  <c r="G1109" i="2"/>
  <c r="W1107" i="2"/>
  <c r="H1108" i="2"/>
  <c r="J1181" i="2"/>
  <c r="S1505" i="2"/>
  <c r="I1505" i="2"/>
  <c r="O1489" i="2"/>
  <c r="E1489" i="2"/>
  <c r="K1105" i="2"/>
  <c r="F1104" i="2"/>
  <c r="L1104" i="2"/>
  <c r="E1097" i="2"/>
  <c r="F1098" i="2"/>
  <c r="V1096" i="2"/>
  <c r="G1097" i="2"/>
  <c r="W1095" i="2"/>
  <c r="G705" i="2"/>
  <c r="E705" i="2"/>
  <c r="E1888" i="2"/>
  <c r="R1914" i="2"/>
  <c r="K1612" i="2"/>
  <c r="I1704" i="2"/>
  <c r="H1709" i="2"/>
  <c r="E1692" i="2"/>
  <c r="D1697" i="2"/>
  <c r="V1679" i="2"/>
  <c r="U1684" i="2"/>
  <c r="R1667" i="2"/>
  <c r="Q1672" i="2"/>
  <c r="P1488" i="2"/>
  <c r="W1299" i="2"/>
  <c r="I1421" i="2"/>
  <c r="R1284" i="2"/>
  <c r="N1482" i="2"/>
  <c r="S1287" i="2"/>
  <c r="H1418" i="2"/>
  <c r="N1272" i="2"/>
  <c r="L1476" i="2"/>
  <c r="O1275" i="2"/>
  <c r="G1415" i="2"/>
  <c r="J1260" i="2"/>
  <c r="W1445" i="2"/>
  <c r="P1214" i="2"/>
  <c r="W1399" i="2"/>
  <c r="K1199" i="2"/>
  <c r="G1399" i="2"/>
  <c r="H1872" i="2"/>
  <c r="G1383" i="2"/>
  <c r="K1801" i="2"/>
  <c r="K1379" i="2"/>
  <c r="K987" i="2"/>
  <c r="H986" i="2"/>
  <c r="D949" i="2"/>
  <c r="H559" i="2"/>
  <c r="W1481" i="2"/>
  <c r="M1481" i="2"/>
  <c r="S1097" i="2"/>
  <c r="N1096" i="2"/>
  <c r="T1096" i="2"/>
  <c r="R1476" i="2"/>
  <c r="F1482" i="2"/>
  <c r="Q1481" i="2"/>
  <c r="W1465" i="2"/>
  <c r="M1465" i="2"/>
  <c r="S1081" i="2"/>
  <c r="N1080" i="2"/>
  <c r="T1080" i="2"/>
  <c r="M1461" i="2"/>
  <c r="J1478" i="2"/>
  <c r="U1477" i="2"/>
  <c r="F1462" i="2"/>
  <c r="Q1461" i="2"/>
  <c r="W1077" i="2"/>
  <c r="R1076" i="2"/>
  <c r="C1077" i="2"/>
  <c r="Q1069" i="2"/>
  <c r="R1070" i="2"/>
  <c r="M1069" i="2"/>
  <c r="S1069" i="2"/>
  <c r="N1068" i="2"/>
  <c r="S677" i="2"/>
  <c r="Q677" i="2"/>
  <c r="J678" i="2"/>
  <c r="V1068" i="2"/>
  <c r="V1695" i="2"/>
  <c r="I1143" i="2"/>
  <c r="R1683" i="2"/>
  <c r="H1140" i="2"/>
  <c r="N1671" i="2"/>
  <c r="D1527" i="2"/>
  <c r="J1659" i="2"/>
  <c r="C1524" i="2"/>
  <c r="G1520" i="2"/>
  <c r="N1476" i="2"/>
  <c r="Q1567" i="2"/>
  <c r="G1182" i="2"/>
  <c r="F1517" i="2"/>
  <c r="M1473" i="2"/>
  <c r="P1564" i="2"/>
  <c r="F1179" i="2"/>
  <c r="E1514" i="2"/>
  <c r="L1470" i="2"/>
  <c r="O1561" i="2"/>
  <c r="E1176" i="2"/>
  <c r="U1498" i="2"/>
  <c r="G1455" i="2"/>
  <c r="J1546" i="2"/>
  <c r="U1160" i="2"/>
  <c r="O1545" i="2"/>
  <c r="E1160" i="2"/>
  <c r="O1529" i="2"/>
  <c r="E1144" i="2"/>
  <c r="F1526" i="2"/>
  <c r="I1140" i="2"/>
  <c r="S1133" i="2"/>
  <c r="J400" i="2"/>
  <c r="C401" i="2"/>
  <c r="E1544" i="2"/>
  <c r="H1323" i="2"/>
  <c r="Q1328" i="2"/>
  <c r="I938" i="2"/>
  <c r="R1327" i="2"/>
  <c r="J937" i="2"/>
  <c r="U1693" i="2"/>
  <c r="L1323" i="2"/>
  <c r="R1706" i="2"/>
  <c r="H1307" i="2"/>
  <c r="Q1312" i="2"/>
  <c r="I922" i="2"/>
  <c r="R1311" i="2"/>
  <c r="M1705" i="2"/>
  <c r="K1663" i="2"/>
  <c r="P1319" i="2"/>
  <c r="E1699" i="2"/>
  <c r="L1303" i="2"/>
  <c r="U1308" i="2"/>
  <c r="M918" i="2"/>
  <c r="V1307" i="2"/>
  <c r="L911" i="2"/>
  <c r="P1301" i="2"/>
  <c r="H911" i="2"/>
  <c r="Q1300" i="2"/>
  <c r="I910" i="2"/>
  <c r="U908" i="2"/>
  <c r="D519" i="2"/>
  <c r="L909" i="2"/>
  <c r="Q910" i="2"/>
  <c r="U1300" i="2"/>
  <c r="M1695" i="2"/>
  <c r="K1484" i="2"/>
  <c r="G1812" i="2"/>
  <c r="J1481" i="2"/>
  <c r="L1763" i="2"/>
  <c r="I1478" i="2"/>
  <c r="M1909" i="2"/>
  <c r="H1475" i="2"/>
  <c r="L1471" i="2"/>
  <c r="S1427" i="2"/>
  <c r="I1519" i="2"/>
  <c r="F1134" i="2"/>
  <c r="K1468" i="2"/>
  <c r="R1424" i="2"/>
  <c r="H1516" i="2"/>
  <c r="E1131" i="2"/>
  <c r="J1465" i="2"/>
  <c r="Q1421" i="2"/>
  <c r="G1513" i="2"/>
  <c r="D1128" i="2"/>
  <c r="E1450" i="2"/>
  <c r="L1406" i="2"/>
  <c r="W1497" i="2"/>
  <c r="T1112" i="2"/>
  <c r="G1497" i="2"/>
  <c r="D1112" i="2"/>
  <c r="G1481" i="2"/>
  <c r="D1096" i="2"/>
  <c r="K1477" i="2"/>
  <c r="H1092" i="2"/>
  <c r="C1085" i="2"/>
  <c r="W779" i="2"/>
  <c r="T388" i="2"/>
  <c r="J1714" i="2"/>
  <c r="D1311" i="2"/>
  <c r="M1316" i="2"/>
  <c r="E926" i="2"/>
  <c r="N1315" i="2"/>
  <c r="K1571" i="2"/>
  <c r="J1596" i="2"/>
  <c r="H1311" i="2"/>
  <c r="C1685" i="2"/>
  <c r="D1295" i="2"/>
  <c r="M1300" i="2"/>
  <c r="E910" i="2"/>
  <c r="N1299" i="2"/>
  <c r="P1705" i="2"/>
  <c r="U1565" i="2"/>
  <c r="L1307" i="2"/>
  <c r="G1681" i="2"/>
  <c r="H1291" i="2"/>
  <c r="Q1296" i="2"/>
  <c r="I906" i="2"/>
  <c r="R1295" i="2"/>
  <c r="H899" i="2"/>
  <c r="L1289" i="2"/>
  <c r="D899" i="2"/>
  <c r="M1288" i="2"/>
  <c r="E898" i="2"/>
  <c r="Q896" i="2"/>
  <c r="U506" i="2"/>
  <c r="H897" i="2"/>
  <c r="M898" i="2"/>
  <c r="D1674" i="2"/>
  <c r="N1256" i="2"/>
  <c r="R1252" i="2"/>
  <c r="M1253" i="2"/>
  <c r="Q1249" i="2"/>
  <c r="L1250" i="2"/>
  <c r="P1246" i="2"/>
  <c r="K1247" i="2"/>
  <c r="O1243" i="2"/>
  <c r="F1574" i="2"/>
  <c r="L1291" i="2"/>
  <c r="I890" i="2"/>
  <c r="P1287" i="2"/>
  <c r="E1571" i="2"/>
  <c r="K1288" i="2"/>
  <c r="H887" i="2"/>
  <c r="O1284" i="2"/>
  <c r="D1568" i="2"/>
  <c r="J1285" i="2"/>
  <c r="G884" i="2"/>
  <c r="N1281" i="2"/>
  <c r="T1552" i="2"/>
  <c r="E1270" i="2"/>
  <c r="W868" i="2"/>
  <c r="I1266" i="2"/>
  <c r="G868" i="2"/>
  <c r="J1253" i="2"/>
  <c r="G852" i="2"/>
  <c r="N1249" i="2"/>
  <c r="K848" i="2"/>
  <c r="F841" i="2"/>
  <c r="W448" i="2"/>
  <c r="L620" i="2"/>
  <c r="W1731" i="2"/>
  <c r="T1152" i="2"/>
  <c r="N1160" i="2"/>
  <c r="P768" i="2"/>
  <c r="O1159" i="2"/>
  <c r="Q767" i="2"/>
  <c r="M1314" i="2"/>
  <c r="C1153" i="2"/>
  <c r="U1911" i="2"/>
  <c r="Q1526" i="2"/>
  <c r="N1144" i="2"/>
  <c r="P752" i="2"/>
  <c r="O1143" i="2"/>
  <c r="Q751" i="2"/>
  <c r="H1299" i="2"/>
  <c r="G1149" i="2"/>
  <c r="K1881" i="2"/>
  <c r="U1522" i="2"/>
  <c r="I1528" i="2"/>
  <c r="V1137" i="2"/>
  <c r="J1527" i="2"/>
  <c r="W1136" i="2"/>
  <c r="D1521" i="2"/>
  <c r="Q1130" i="2"/>
  <c r="E1520" i="2"/>
  <c r="R1129" i="2"/>
  <c r="I1128" i="2"/>
  <c r="M738" i="2"/>
  <c r="U1128" i="2"/>
  <c r="D739" i="2"/>
  <c r="I1520" i="2"/>
  <c r="S1166" i="2"/>
  <c r="S1007" i="2"/>
  <c r="S1405" i="2"/>
  <c r="I1405" i="2"/>
  <c r="O1021" i="2"/>
  <c r="J1020" i="2"/>
  <c r="P1020" i="2"/>
  <c r="T1786" i="2"/>
  <c r="W1405" i="2"/>
  <c r="M1405" i="2"/>
  <c r="N1438" i="2"/>
  <c r="I1438" i="2"/>
  <c r="D1438" i="2"/>
  <c r="R1443" i="2"/>
  <c r="J1054" i="2"/>
  <c r="J1053" i="2"/>
  <c r="E1053" i="2"/>
  <c r="S1442" i="2"/>
  <c r="K1053" i="2"/>
  <c r="K1052" i="2"/>
  <c r="S1351" i="2"/>
  <c r="O1335" i="2"/>
  <c r="T1596" i="2"/>
  <c r="F1402" i="2"/>
  <c r="E1207" i="2"/>
  <c r="V1401" i="2"/>
  <c r="R1726" i="2"/>
  <c r="R1682" i="2"/>
  <c r="D1488" i="2"/>
  <c r="C1293" i="2"/>
  <c r="T1487" i="2"/>
  <c r="S1292" i="2"/>
  <c r="O1487" i="2"/>
  <c r="N1292" i="2"/>
  <c r="H1493" i="2"/>
  <c r="G1298" i="2"/>
  <c r="U1103" i="2"/>
  <c r="T908" i="2"/>
  <c r="U1102" i="2"/>
  <c r="T907" i="2"/>
  <c r="P1102" i="2"/>
  <c r="O907" i="2"/>
  <c r="I1492" i="2"/>
  <c r="H1297" i="2"/>
  <c r="V1102" i="2"/>
  <c r="U907" i="2"/>
  <c r="V1101" i="2"/>
  <c r="W1603" i="2"/>
  <c r="E1501" i="2"/>
  <c r="K1485" i="2"/>
  <c r="V1484" i="2"/>
  <c r="H1645" i="2"/>
  <c r="H1488" i="2"/>
  <c r="G1293" i="2"/>
  <c r="C1488" i="2"/>
  <c r="W1292" i="2"/>
  <c r="S1487" i="2"/>
  <c r="R1292" i="2"/>
  <c r="U1662" i="2"/>
  <c r="R1666" i="2"/>
  <c r="D1472" i="2"/>
  <c r="C1277" i="2"/>
  <c r="T1471" i="2"/>
  <c r="S1276" i="2"/>
  <c r="O1471" i="2"/>
  <c r="N1276" i="2"/>
  <c r="H1477" i="2"/>
  <c r="G1282" i="2"/>
  <c r="U1087" i="2"/>
  <c r="T892" i="2"/>
  <c r="U1086" i="2"/>
  <c r="T891" i="2"/>
  <c r="P1086" i="2"/>
  <c r="O891" i="2"/>
  <c r="I1476" i="2"/>
  <c r="H1281" i="2"/>
  <c r="V1086" i="2"/>
  <c r="U891" i="2"/>
  <c r="V1085" i="2"/>
  <c r="H1677" i="2"/>
  <c r="U1485" i="2"/>
  <c r="F1470" i="2"/>
  <c r="Q1469" i="2"/>
  <c r="K1622" i="2"/>
  <c r="L1484" i="2"/>
  <c r="K1289" i="2"/>
  <c r="G1484" i="2"/>
  <c r="F1289" i="2"/>
  <c r="W1483" i="2"/>
  <c r="V1288" i="2"/>
  <c r="P1647" i="2"/>
  <c r="V1662" i="2"/>
  <c r="H1468" i="2"/>
  <c r="G1273" i="2"/>
  <c r="C1468" i="2"/>
  <c r="W1272" i="2"/>
  <c r="S1467" i="2"/>
  <c r="R1272" i="2"/>
  <c r="L1473" i="2"/>
  <c r="K1278" i="2"/>
  <c r="D1084" i="2"/>
  <c r="C889" i="2"/>
  <c r="D1083" i="2"/>
  <c r="C888" i="2"/>
  <c r="T1082" i="2"/>
  <c r="S887" i="2"/>
  <c r="M1472" i="2"/>
  <c r="L1277" i="2"/>
  <c r="E1083" i="2"/>
  <c r="D888" i="2"/>
  <c r="E1082" i="2"/>
  <c r="W880" i="2"/>
  <c r="S1075" i="2"/>
  <c r="R880" i="2"/>
  <c r="G1466" i="2"/>
  <c r="F1271" i="2"/>
  <c r="T1076" i="2"/>
  <c r="S881" i="2"/>
  <c r="T1075" i="2"/>
  <c r="S880" i="2"/>
  <c r="O1075" i="2"/>
  <c r="N880" i="2"/>
  <c r="H1465" i="2"/>
  <c r="G1270" i="2"/>
  <c r="U1075" i="2"/>
  <c r="T880" i="2"/>
  <c r="U1074" i="2"/>
  <c r="T879" i="2"/>
  <c r="P1074" i="2"/>
  <c r="O879" i="2"/>
  <c r="L1073" i="2"/>
  <c r="K878" i="2"/>
  <c r="U683" i="2"/>
  <c r="T488" i="2"/>
  <c r="P683" i="2"/>
  <c r="O488" i="2"/>
  <c r="S683" i="2"/>
  <c r="R488" i="2"/>
  <c r="C1074" i="2"/>
  <c r="W878" i="2"/>
  <c r="L684" i="2"/>
  <c r="K489" i="2"/>
  <c r="G684" i="2"/>
  <c r="G880" i="2"/>
  <c r="C1075" i="2"/>
  <c r="W879" i="2"/>
  <c r="L1465" i="2"/>
  <c r="K1270" i="2"/>
  <c r="D1076" i="2"/>
  <c r="C881" i="2"/>
  <c r="D1075" i="2"/>
  <c r="C880" i="2"/>
  <c r="T1074" i="2"/>
  <c r="S879" i="2"/>
  <c r="W1291" i="2"/>
  <c r="H1276" i="2"/>
  <c r="S1275" i="2"/>
  <c r="D892" i="2"/>
  <c r="T890" i="2"/>
  <c r="E891" i="2"/>
  <c r="S883" i="2"/>
  <c r="T884" i="2"/>
  <c r="O883" i="2"/>
  <c r="U883" i="2"/>
  <c r="P882" i="2"/>
  <c r="U491" i="2"/>
  <c r="S491" i="2"/>
  <c r="L492" i="2"/>
  <c r="J968" i="2"/>
  <c r="S1358" i="2"/>
  <c r="K969" i="2"/>
  <c r="K968" i="2"/>
  <c r="F968" i="2"/>
  <c r="M1464" i="2"/>
  <c r="L1269" i="2"/>
  <c r="E1075" i="2"/>
  <c r="D880" i="2"/>
  <c r="E1074" i="2"/>
  <c r="D879" i="2"/>
  <c r="U1073" i="2"/>
  <c r="T878" i="2"/>
  <c r="Q1072" i="2"/>
  <c r="P877" i="2"/>
  <c r="E683" i="2"/>
  <c r="D488" i="2"/>
  <c r="U682" i="2"/>
  <c r="T487" i="2"/>
  <c r="C683" i="2"/>
  <c r="W487" i="2"/>
  <c r="H1073" i="2"/>
  <c r="G878" i="2"/>
  <c r="Q683" i="2"/>
  <c r="P488" i="2"/>
  <c r="L683" i="2"/>
  <c r="K876" i="2"/>
  <c r="G1071" i="2"/>
  <c r="F876" i="2"/>
  <c r="P1461" i="2"/>
  <c r="O1266" i="2"/>
  <c r="H1072" i="2"/>
  <c r="G877" i="2"/>
  <c r="H1071" i="2"/>
  <c r="G876" i="2"/>
  <c r="C1071" i="2"/>
  <c r="W875" i="2"/>
  <c r="Q1460" i="2"/>
  <c r="P1265" i="2"/>
  <c r="I1071" i="2"/>
  <c r="H876" i="2"/>
  <c r="I1070" i="2"/>
  <c r="H875" i="2"/>
  <c r="D1070" i="2"/>
  <c r="C875" i="2"/>
  <c r="U1068" i="2"/>
  <c r="T873" i="2"/>
  <c r="I679" i="2"/>
  <c r="H484" i="2"/>
  <c r="D679" i="2"/>
  <c r="C484" i="2"/>
  <c r="G679" i="2"/>
  <c r="F484" i="2"/>
  <c r="L1069" i="2"/>
  <c r="K874" i="2"/>
  <c r="U679" i="2"/>
  <c r="T484" i="2"/>
  <c r="T823" i="2"/>
  <c r="P1018" i="2"/>
  <c r="O823" i="2"/>
  <c r="D1409" i="2"/>
  <c r="C1214" i="2"/>
  <c r="Q1019" i="2"/>
  <c r="P824" i="2"/>
  <c r="Q1018" i="2"/>
  <c r="H1481" i="2"/>
  <c r="U1090" i="2"/>
  <c r="L1089" i="2"/>
  <c r="P699" i="2"/>
  <c r="C1090" i="2"/>
  <c r="U742" i="2"/>
  <c r="M446" i="2"/>
  <c r="Q641" i="2"/>
  <c r="P446" i="2"/>
  <c r="F1031" i="2"/>
  <c r="E836" i="2"/>
  <c r="O641" i="2"/>
  <c r="N446" i="2"/>
  <c r="J641" i="2"/>
  <c r="I446" i="2"/>
  <c r="M641" i="2"/>
  <c r="L446" i="2"/>
  <c r="G1030" i="2"/>
  <c r="F835" i="2"/>
  <c r="P640" i="2"/>
  <c r="O445" i="2"/>
  <c r="K640" i="2"/>
  <c r="J445" i="2"/>
  <c r="N640" i="2"/>
  <c r="M445" i="2"/>
  <c r="V639" i="2"/>
  <c r="U444" i="2"/>
  <c r="H250" i="2"/>
  <c r="G55" i="2"/>
  <c r="W218" i="2"/>
  <c r="I881" i="2"/>
  <c r="O881" i="2"/>
  <c r="J880" i="2"/>
  <c r="O489" i="2"/>
  <c r="M489" i="2"/>
  <c r="F490" i="2"/>
  <c r="L491" i="2"/>
  <c r="P686" i="2"/>
  <c r="O491" i="2"/>
  <c r="E1076" i="2"/>
  <c r="D881" i="2"/>
  <c r="N686" i="2"/>
  <c r="M491" i="2"/>
  <c r="I686" i="2"/>
  <c r="H491" i="2"/>
  <c r="L686" i="2"/>
  <c r="K491" i="2"/>
  <c r="F1075" i="2"/>
  <c r="E880" i="2"/>
  <c r="S1279" i="2"/>
  <c r="D1264" i="2"/>
  <c r="O1263" i="2"/>
  <c r="U879" i="2"/>
  <c r="P878" i="2"/>
  <c r="V878" i="2"/>
  <c r="O871" i="2"/>
  <c r="P872" i="2"/>
  <c r="K871" i="2"/>
  <c r="Q871" i="2"/>
  <c r="L870" i="2"/>
  <c r="Q479" i="2"/>
  <c r="O479" i="2"/>
  <c r="H480" i="2"/>
  <c r="H962" i="2"/>
  <c r="Q1352" i="2"/>
  <c r="I963" i="2"/>
  <c r="I962" i="2"/>
  <c r="D962" i="2"/>
  <c r="L1461" i="2"/>
  <c r="K1266" i="2"/>
  <c r="D1072" i="2"/>
  <c r="C877" i="2"/>
  <c r="D1071" i="2"/>
  <c r="C876" i="2"/>
  <c r="T1070" i="2"/>
  <c r="S875" i="2"/>
  <c r="P1069" i="2"/>
  <c r="O874" i="2"/>
  <c r="D680" i="2"/>
  <c r="C485" i="2"/>
  <c r="T679" i="2"/>
  <c r="S484" i="2"/>
  <c r="W679" i="2"/>
  <c r="V484" i="2"/>
  <c r="G1070" i="2"/>
  <c r="F875" i="2"/>
  <c r="P680" i="2"/>
  <c r="O485" i="2"/>
  <c r="K680" i="2"/>
  <c r="J873" i="2"/>
  <c r="F1068" i="2"/>
  <c r="E873" i="2"/>
  <c r="O1458" i="2"/>
  <c r="N1263" i="2"/>
  <c r="G1069" i="2"/>
  <c r="F874" i="2"/>
  <c r="G1068" i="2"/>
  <c r="F873" i="2"/>
  <c r="W1067" i="2"/>
  <c r="V872" i="2"/>
  <c r="P1457" i="2"/>
  <c r="O1262" i="2"/>
  <c r="H1068" i="2"/>
  <c r="G873" i="2"/>
  <c r="H1067" i="2"/>
  <c r="G872" i="2"/>
  <c r="C1067" i="2"/>
  <c r="W871" i="2"/>
  <c r="T1065" i="2"/>
  <c r="S870" i="2"/>
  <c r="H676" i="2"/>
  <c r="G481" i="2"/>
  <c r="C676" i="2"/>
  <c r="W480" i="2"/>
  <c r="F676" i="2"/>
  <c r="E481" i="2"/>
  <c r="K1066" i="2"/>
  <c r="J871" i="2"/>
  <c r="T676" i="2"/>
  <c r="S481" i="2"/>
  <c r="S820" i="2"/>
  <c r="O1015" i="2"/>
  <c r="N820" i="2"/>
  <c r="C1406" i="2"/>
  <c r="W1210" i="2"/>
  <c r="P1016" i="2"/>
  <c r="O821" i="2"/>
  <c r="P1015" i="2"/>
  <c r="D1469" i="2"/>
  <c r="Q1078" i="2"/>
  <c r="H1077" i="2"/>
  <c r="L687" i="2"/>
  <c r="T1077" i="2"/>
  <c r="S736" i="2"/>
  <c r="L443" i="2"/>
  <c r="P638" i="2"/>
  <c r="O443" i="2"/>
  <c r="E1028" i="2"/>
  <c r="D833" i="2"/>
  <c r="N638" i="2"/>
  <c r="M443" i="2"/>
  <c r="I638" i="2"/>
  <c r="H443" i="2"/>
  <c r="L638" i="2"/>
  <c r="K443" i="2"/>
  <c r="F1027" i="2"/>
  <c r="E832" i="2"/>
  <c r="O637" i="2"/>
  <c r="N442" i="2"/>
  <c r="J637" i="2"/>
  <c r="I442" i="2"/>
  <c r="M637" i="2"/>
  <c r="L442" i="2"/>
  <c r="U636" i="2"/>
  <c r="T441" i="2"/>
  <c r="G247" i="2"/>
  <c r="F52" i="2"/>
  <c r="V215" i="2"/>
  <c r="E869" i="2"/>
  <c r="K869" i="2"/>
  <c r="F868" i="2"/>
  <c r="K477" i="2"/>
  <c r="I477" i="2"/>
  <c r="W477" i="2"/>
  <c r="K488" i="2"/>
  <c r="O683" i="2"/>
  <c r="N488" i="2"/>
  <c r="D1073" i="2"/>
  <c r="C878" i="2"/>
  <c r="M683" i="2"/>
  <c r="L488" i="2"/>
  <c r="H683" i="2"/>
  <c r="G488" i="2"/>
  <c r="K683" i="2"/>
  <c r="J488" i="2"/>
  <c r="E1072" i="2"/>
  <c r="D877" i="2"/>
  <c r="O1267" i="2"/>
  <c r="U1251" i="2"/>
  <c r="K1251" i="2"/>
  <c r="Q867" i="2"/>
  <c r="L866" i="2"/>
  <c r="R866" i="2"/>
  <c r="K859" i="2"/>
  <c r="L860" i="2"/>
  <c r="G859" i="2"/>
  <c r="M859" i="2"/>
  <c r="H858" i="2"/>
  <c r="M467" i="2"/>
  <c r="K467" i="2"/>
  <c r="D468" i="2"/>
  <c r="F956" i="2"/>
  <c r="O1346" i="2"/>
  <c r="G957" i="2"/>
  <c r="G956" i="2"/>
  <c r="W955" i="2"/>
  <c r="K1458" i="2"/>
  <c r="J1263" i="2"/>
  <c r="C1069" i="2"/>
  <c r="W873" i="2"/>
  <c r="C1068" i="2"/>
  <c r="W872" i="2"/>
  <c r="S1067" i="2"/>
  <c r="R872" i="2"/>
  <c r="O1066" i="2"/>
  <c r="N871" i="2"/>
  <c r="C677" i="2"/>
  <c r="W481" i="2"/>
  <c r="S676" i="2"/>
  <c r="R481" i="2"/>
  <c r="V676" i="2"/>
  <c r="U481" i="2"/>
  <c r="F1067" i="2"/>
  <c r="E872" i="2"/>
  <c r="O677" i="2"/>
  <c r="N482" i="2"/>
  <c r="J677" i="2"/>
  <c r="I870" i="2"/>
  <c r="E1065" i="2"/>
  <c r="D870" i="2"/>
  <c r="N1455" i="2"/>
  <c r="M1260" i="2"/>
  <c r="F1066" i="2"/>
  <c r="E871" i="2"/>
  <c r="F1065" i="2"/>
  <c r="E870" i="2"/>
  <c r="V1064" i="2"/>
  <c r="U869" i="2"/>
  <c r="O1454" i="2"/>
  <c r="N1259" i="2"/>
  <c r="G1065" i="2"/>
  <c r="F870" i="2"/>
  <c r="G1064" i="2"/>
  <c r="F869" i="2"/>
  <c r="W1063" i="2"/>
  <c r="V868" i="2"/>
  <c r="S1062" i="2"/>
  <c r="R867" i="2"/>
  <c r="K1142" i="2"/>
  <c r="S801" i="2"/>
  <c r="T995" i="2"/>
  <c r="S800" i="2"/>
  <c r="O995" i="2"/>
  <c r="N800" i="2"/>
  <c r="S1543" i="2"/>
  <c r="H1588" i="2"/>
  <c r="O1393" i="2"/>
  <c r="N1198" i="2"/>
  <c r="J1393" i="2"/>
  <c r="I1198" i="2"/>
  <c r="E1393" i="2"/>
  <c r="D1198" i="2"/>
  <c r="S1398" i="2"/>
  <c r="R1203" i="2"/>
  <c r="K1009" i="2"/>
  <c r="J814" i="2"/>
  <c r="K1008" i="2"/>
  <c r="J813" i="2"/>
  <c r="F1008" i="2"/>
  <c r="E813" i="2"/>
  <c r="T1397" i="2"/>
  <c r="S1202" i="2"/>
  <c r="L1008" i="2"/>
  <c r="K813" i="2"/>
  <c r="L1007" i="2"/>
  <c r="N1513" i="2"/>
  <c r="T1764" i="2"/>
  <c r="J1497" i="2"/>
  <c r="Q1181" i="2"/>
  <c r="L1588" i="2"/>
  <c r="S1393" i="2"/>
  <c r="R1198" i="2"/>
  <c r="N1393" i="2"/>
  <c r="M1198" i="2"/>
  <c r="I1393" i="2"/>
  <c r="H1198" i="2"/>
  <c r="W1674" i="2"/>
  <c r="H1572" i="2"/>
  <c r="O1377" i="2"/>
  <c r="N1182" i="2"/>
  <c r="J1377" i="2"/>
  <c r="I1182" i="2"/>
  <c r="E1377" i="2"/>
  <c r="D1182" i="2"/>
  <c r="S1382" i="2"/>
  <c r="R1187" i="2"/>
  <c r="K993" i="2"/>
  <c r="J798" i="2"/>
  <c r="K992" i="2"/>
  <c r="J797" i="2"/>
  <c r="F992" i="2"/>
  <c r="E797" i="2"/>
  <c r="T1381" i="2"/>
  <c r="S1186" i="2"/>
  <c r="L992" i="2"/>
  <c r="F2217" i="2"/>
  <c r="O2228" i="2"/>
  <c r="T2179" i="2"/>
  <c r="C2118" i="2"/>
  <c r="O1966" i="2"/>
  <c r="L1880" i="2"/>
  <c r="D2100" i="2"/>
  <c r="O1889" i="2"/>
  <c r="T1831" i="2"/>
  <c r="E1664" i="2"/>
  <c r="O1864" i="2"/>
  <c r="N1737" i="2"/>
  <c r="T1782" i="2"/>
  <c r="F1603" i="2"/>
  <c r="O1815" i="2"/>
  <c r="O1883" i="2"/>
  <c r="P1869" i="2"/>
  <c r="M2005" i="2"/>
  <c r="T1719" i="2"/>
  <c r="E1843" i="2"/>
  <c r="V1850" i="2"/>
  <c r="S2177" i="2"/>
  <c r="U1762" i="2"/>
  <c r="O1567" i="2"/>
  <c r="G1794" i="2"/>
  <c r="M1677" i="2"/>
  <c r="U1820" i="2"/>
  <c r="E1770" i="2"/>
  <c r="L1913" i="2"/>
  <c r="H1833" i="2"/>
  <c r="C1725" i="2"/>
  <c r="I1869" i="2"/>
  <c r="T1601" i="2"/>
  <c r="G1624" i="2"/>
  <c r="F2028" i="2"/>
  <c r="G1933" i="2"/>
  <c r="H1611" i="2"/>
  <c r="Q1636" i="2"/>
  <c r="W1746" i="2"/>
  <c r="K1377" i="2"/>
  <c r="F1866" i="2"/>
  <c r="D1844" i="2"/>
  <c r="E1847" i="2"/>
  <c r="U1831" i="2"/>
  <c r="K1706" i="2"/>
  <c r="E1515" i="2"/>
  <c r="I1811" i="2"/>
  <c r="S1770" i="2"/>
  <c r="I1700" i="2"/>
  <c r="D1512" i="2"/>
  <c r="N1762" i="2"/>
  <c r="H1508" i="2"/>
  <c r="S1480" i="2"/>
  <c r="O1464" i="2"/>
  <c r="I1430" i="2"/>
  <c r="K1744" i="2"/>
  <c r="S1175" i="2"/>
  <c r="U1173" i="2"/>
  <c r="D1415" i="2"/>
  <c r="G1505" i="2"/>
  <c r="R1477" i="2"/>
  <c r="N1461" i="2"/>
  <c r="E1418" i="2"/>
  <c r="L1890" i="2"/>
  <c r="L1170" i="2"/>
  <c r="M1169" i="2"/>
  <c r="U1402" i="2"/>
  <c r="F1502" i="2"/>
  <c r="Q1474" i="2"/>
  <c r="M1458" i="2"/>
  <c r="V1405" i="2"/>
  <c r="Q1841" i="2"/>
  <c r="K1167" i="2"/>
  <c r="L1166" i="2"/>
  <c r="Q1390" i="2"/>
  <c r="V1486" i="2"/>
  <c r="L1459" i="2"/>
  <c r="H1443" i="2"/>
  <c r="W1344" i="2"/>
  <c r="Q1792" i="2"/>
  <c r="F1152" i="2"/>
  <c r="G1151" i="2"/>
  <c r="R1329" i="2"/>
  <c r="M1780" i="2"/>
  <c r="K1151" i="2"/>
  <c r="L1150" i="2"/>
  <c r="V1277" i="2"/>
  <c r="O1845" i="2"/>
  <c r="W1522" i="2"/>
  <c r="C1522" i="2"/>
  <c r="Q1262" i="2"/>
  <c r="J1830" i="2"/>
  <c r="F1519" i="2"/>
  <c r="G1518" i="2"/>
  <c r="V1511" i="2"/>
  <c r="W1510" i="2"/>
  <c r="F1119" i="2"/>
  <c r="I1766" i="2"/>
  <c r="C1536" i="2"/>
  <c r="L1852" i="2"/>
  <c r="I1728" i="2"/>
  <c r="H1460" i="2"/>
  <c r="S1598" i="2"/>
  <c r="D1840" i="2"/>
  <c r="S1873" i="2"/>
  <c r="G1457" i="2"/>
  <c r="O1586" i="2"/>
  <c r="U1827" i="2"/>
  <c r="R1838" i="2"/>
  <c r="F1454" i="2"/>
  <c r="K1574" i="2"/>
  <c r="M1803" i="2"/>
  <c r="J1814" i="2"/>
  <c r="E1451" i="2"/>
  <c r="G1562" i="2"/>
  <c r="I1447" i="2"/>
  <c r="T1419" i="2"/>
  <c r="P1403" i="2"/>
  <c r="M1186" i="2"/>
  <c r="F1754" i="2"/>
  <c r="E1500" i="2"/>
  <c r="F1499" i="2"/>
  <c r="H1171" i="2"/>
  <c r="H1444" i="2"/>
  <c r="S1416" i="2"/>
  <c r="O1400" i="2"/>
  <c r="I1174" i="2"/>
  <c r="W1741" i="2"/>
  <c r="D1497" i="2"/>
  <c r="E1496" i="2"/>
  <c r="D1159" i="2"/>
  <c r="G1441" i="2"/>
  <c r="R1413" i="2"/>
  <c r="N1397" i="2"/>
  <c r="E1162" i="2"/>
  <c r="S1729" i="2"/>
  <c r="C1494" i="2"/>
  <c r="D1493" i="2"/>
  <c r="U1146" i="2"/>
  <c r="W1425" i="2"/>
  <c r="M1398" i="2"/>
  <c r="I1382" i="2"/>
  <c r="C1491" i="2"/>
  <c r="W1668" i="2"/>
  <c r="S1478" i="2"/>
  <c r="T1477" i="2"/>
  <c r="S1475" i="2"/>
  <c r="V1665" i="2"/>
  <c r="C1478" i="2"/>
  <c r="D1477" i="2"/>
  <c r="W1423" i="2"/>
  <c r="V1601" i="2"/>
  <c r="C1462" i="2"/>
  <c r="D1461" i="2"/>
  <c r="R1408" i="2"/>
  <c r="Q1586" i="2"/>
  <c r="G1458" i="2"/>
  <c r="H1457" i="2"/>
  <c r="W1450" i="2"/>
  <c r="C1450" i="2"/>
  <c r="G1058" i="2"/>
  <c r="F1851" i="2"/>
  <c r="G1682" i="2"/>
  <c r="L1535" i="2"/>
  <c r="G1544" i="2"/>
  <c r="I1399" i="2"/>
  <c r="N1618" i="2"/>
  <c r="U1705" i="2"/>
  <c r="P1714" i="2"/>
  <c r="H1396" i="2"/>
  <c r="L1612" i="2"/>
  <c r="Q1693" i="2"/>
  <c r="H1690" i="2"/>
  <c r="G1393" i="2"/>
  <c r="J1606" i="2"/>
  <c r="M1681" i="2"/>
  <c r="U1665" i="2"/>
  <c r="F1390" i="2"/>
  <c r="H1600" i="2"/>
  <c r="J1386" i="2"/>
  <c r="U1358" i="2"/>
  <c r="Q1342" i="2"/>
  <c r="N1332" i="2"/>
  <c r="I1705" i="2"/>
  <c r="F1439" i="2"/>
  <c r="G1438" i="2"/>
  <c r="I1317" i="2"/>
  <c r="I1383" i="2"/>
  <c r="T1355" i="2"/>
  <c r="P1339" i="2"/>
  <c r="J1320" i="2"/>
  <c r="E1693" i="2"/>
  <c r="E1436" i="2"/>
  <c r="F1435" i="2"/>
  <c r="E1305" i="2"/>
  <c r="H1380" i="2"/>
  <c r="S1352" i="2"/>
  <c r="O1336" i="2"/>
  <c r="F1308" i="2"/>
  <c r="V1680" i="2"/>
  <c r="D1433" i="2"/>
  <c r="E1432" i="2"/>
  <c r="V1292" i="2"/>
  <c r="C1365" i="2"/>
  <c r="N1337" i="2"/>
  <c r="J1321" i="2"/>
  <c r="S1251" i="2"/>
  <c r="W1619" i="2"/>
  <c r="T1417" i="2"/>
  <c r="U1416" i="2"/>
  <c r="F1244" i="2"/>
  <c r="V1616" i="2"/>
  <c r="U1313" i="2"/>
  <c r="F930" i="2"/>
  <c r="V928" i="2"/>
  <c r="G929" i="2"/>
  <c r="J1570" i="2"/>
  <c r="N1314" i="2"/>
  <c r="D1314" i="2"/>
  <c r="J1298" i="2"/>
  <c r="U1297" i="2"/>
  <c r="F914" i="2"/>
  <c r="V912" i="2"/>
  <c r="G913" i="2"/>
  <c r="E1555" i="2"/>
  <c r="R1310" i="2"/>
  <c r="H1310" i="2"/>
  <c r="N1294" i="2"/>
  <c r="D1294" i="2"/>
  <c r="J910" i="2"/>
  <c r="E909" i="2"/>
  <c r="K909" i="2"/>
  <c r="D902" i="2"/>
  <c r="E903" i="2"/>
  <c r="U901" i="2"/>
  <c r="F902" i="2"/>
  <c r="V900" i="2"/>
  <c r="F510" i="2"/>
  <c r="H1584" i="2"/>
  <c r="C1973" i="2"/>
  <c r="I1692" i="2"/>
  <c r="L1748" i="2"/>
  <c r="D1403" i="2"/>
  <c r="H1399" i="2"/>
  <c r="C1400" i="2"/>
  <c r="G1396" i="2"/>
  <c r="W1396" i="2"/>
  <c r="F1393" i="2"/>
  <c r="V1393" i="2"/>
  <c r="E1390" i="2"/>
  <c r="L1346" i="2"/>
  <c r="W1437" i="2"/>
  <c r="O1037" i="2"/>
  <c r="F1434" i="2"/>
  <c r="K1343" i="2"/>
  <c r="V1434" i="2"/>
  <c r="N1034" i="2"/>
  <c r="E1431" i="2"/>
  <c r="J1340" i="2"/>
  <c r="U1431" i="2"/>
  <c r="M1031" i="2"/>
  <c r="D1428" i="2"/>
  <c r="E1325" i="2"/>
  <c r="P1416" i="2"/>
  <c r="H1016" i="2"/>
  <c r="T1412" i="2"/>
  <c r="M1015" i="2"/>
  <c r="U1399" i="2"/>
  <c r="M999" i="2"/>
  <c r="D1396" i="2"/>
  <c r="Q995" i="2"/>
  <c r="L988" i="2"/>
  <c r="M595" i="2"/>
  <c r="C754" i="2"/>
  <c r="H755" i="2"/>
  <c r="V1286" i="2"/>
  <c r="L1286" i="2"/>
  <c r="R902" i="2"/>
  <c r="M901" i="2"/>
  <c r="S901" i="2"/>
  <c r="C1461" i="2"/>
  <c r="E1287" i="2"/>
  <c r="P1286" i="2"/>
  <c r="V1270" i="2"/>
  <c r="L1270" i="2"/>
  <c r="R886" i="2"/>
  <c r="M885" i="2"/>
  <c r="S885" i="2"/>
  <c r="S1445" i="2"/>
  <c r="I1283" i="2"/>
  <c r="T1282" i="2"/>
  <c r="E1267" i="2"/>
  <c r="P1266" i="2"/>
  <c r="V882" i="2"/>
  <c r="Q881" i="2"/>
  <c r="W881" i="2"/>
  <c r="P874" i="2"/>
  <c r="Q875" i="2"/>
  <c r="L874" i="2"/>
  <c r="R874" i="2"/>
  <c r="M873" i="2"/>
  <c r="R482" i="2"/>
  <c r="P482" i="2"/>
  <c r="I483" i="2"/>
  <c r="U873" i="2"/>
  <c r="V1751" i="2"/>
  <c r="T1761" i="2"/>
  <c r="N1727" i="2"/>
  <c r="L1737" i="2"/>
  <c r="K1897" i="2"/>
  <c r="I1907" i="2"/>
  <c r="C1873" i="2"/>
  <c r="V1882" i="2"/>
  <c r="U1533" i="2"/>
  <c r="H1495" i="2"/>
  <c r="R1177" i="2"/>
  <c r="C1480" i="2"/>
  <c r="Q1704" i="2"/>
  <c r="D1483" i="2"/>
  <c r="Q1174" i="2"/>
  <c r="T1467" i="2"/>
  <c r="I1680" i="2"/>
  <c r="U1470" i="2"/>
  <c r="P1171" i="2"/>
  <c r="P1455" i="2"/>
  <c r="G1594" i="2"/>
  <c r="V1409" i="2"/>
  <c r="K1156" i="2"/>
  <c r="Q1394" i="2"/>
  <c r="P1155" i="2"/>
  <c r="U1342" i="2"/>
  <c r="P1139" i="2"/>
  <c r="P1327" i="2"/>
  <c r="Q1525" i="2"/>
  <c r="Q1133" i="2"/>
  <c r="N1132" i="2"/>
  <c r="P985" i="2"/>
  <c r="T595" i="2"/>
  <c r="N1518" i="2"/>
  <c r="D1518" i="2"/>
  <c r="J1134" i="2"/>
  <c r="E1133" i="2"/>
  <c r="K1133" i="2"/>
  <c r="F1233" i="2"/>
  <c r="R1518" i="2"/>
  <c r="H1518" i="2"/>
  <c r="N1502" i="2"/>
  <c r="D1502" i="2"/>
  <c r="J1118" i="2"/>
  <c r="E1117" i="2"/>
  <c r="K1117" i="2"/>
  <c r="V1217" i="2"/>
  <c r="V1514" i="2"/>
  <c r="L1514" i="2"/>
  <c r="R1498" i="2"/>
  <c r="H1498" i="2"/>
  <c r="N1114" i="2"/>
  <c r="I1113" i="2"/>
  <c r="O1113" i="2"/>
  <c r="H1106" i="2"/>
  <c r="I1107" i="2"/>
  <c r="D1106" i="2"/>
  <c r="J1106" i="2"/>
  <c r="E1105" i="2"/>
  <c r="J714" i="2"/>
  <c r="H714" i="2"/>
  <c r="V714" i="2"/>
  <c r="M1105" i="2"/>
  <c r="N1106" i="2"/>
  <c r="K1704" i="2"/>
  <c r="J1709" i="2"/>
  <c r="G1692" i="2"/>
  <c r="F1697" i="2"/>
  <c r="C1680" i="2"/>
  <c r="W1684" i="2"/>
  <c r="T1667" i="2"/>
  <c r="S1672" i="2"/>
  <c r="I1683" i="2"/>
  <c r="G1300" i="2"/>
  <c r="T1518" i="2"/>
  <c r="W1284" i="2"/>
  <c r="G1677" i="2"/>
  <c r="C1288" i="2"/>
  <c r="S1515" i="2"/>
  <c r="S1272" i="2"/>
  <c r="E1671" i="2"/>
  <c r="T1275" i="2"/>
  <c r="R1512" i="2"/>
  <c r="O1260" i="2"/>
  <c r="P1640" i="2"/>
  <c r="U1214" i="2"/>
  <c r="M1497" i="2"/>
  <c r="P1199" i="2"/>
  <c r="R1496" i="2"/>
  <c r="T1147" i="2"/>
  <c r="R1480" i="2"/>
  <c r="L1522" i="2"/>
  <c r="V1476" i="2"/>
  <c r="V1084" i="2"/>
  <c r="S1083" i="2"/>
  <c r="L973" i="2"/>
  <c r="P583" i="2"/>
  <c r="J1506" i="2"/>
  <c r="U1505" i="2"/>
  <c r="F1122" i="2"/>
  <c r="V1120" i="2"/>
  <c r="G1121" i="2"/>
  <c r="K1184" i="2"/>
  <c r="N1506" i="2"/>
  <c r="D1506" i="2"/>
  <c r="J1490" i="2"/>
  <c r="U1489" i="2"/>
  <c r="F1106" i="2"/>
  <c r="V1104" i="2"/>
  <c r="G1105" i="2"/>
  <c r="F1169" i="2"/>
  <c r="R1502" i="2"/>
  <c r="H1502" i="2"/>
  <c r="N1486" i="2"/>
  <c r="D1486" i="2"/>
  <c r="J1102" i="2"/>
  <c r="E1101" i="2"/>
  <c r="K1101" i="2"/>
  <c r="D1094" i="2"/>
  <c r="E1095" i="2"/>
  <c r="U1093" i="2"/>
  <c r="F1094" i="2"/>
  <c r="V1092" i="2"/>
  <c r="F702" i="2"/>
  <c r="D702" i="2"/>
  <c r="R702" i="2"/>
  <c r="I1093" i="2"/>
  <c r="C1696" i="2"/>
  <c r="T1240" i="2"/>
  <c r="T1683" i="2"/>
  <c r="S1237" i="2"/>
  <c r="P1671" i="2"/>
  <c r="R1234" i="2"/>
  <c r="L1659" i="2"/>
  <c r="Q1231" i="2"/>
  <c r="U1227" i="2"/>
  <c r="G1184" i="2"/>
  <c r="G1665" i="2"/>
  <c r="R1279" i="2"/>
  <c r="T1224" i="2"/>
  <c r="F1181" i="2"/>
  <c r="F1662" i="2"/>
  <c r="Q1276" i="2"/>
  <c r="S1221" i="2"/>
  <c r="E1178" i="2"/>
  <c r="E1659" i="2"/>
  <c r="P1273" i="2"/>
  <c r="N1206" i="2"/>
  <c r="U1162" i="2"/>
  <c r="U1643" i="2"/>
  <c r="K1258" i="2"/>
  <c r="E1643" i="2"/>
  <c r="P1257" i="2"/>
  <c r="E1627" i="2"/>
  <c r="P1241" i="2"/>
  <c r="I1623" i="2"/>
  <c r="T1237" i="2"/>
  <c r="O1230" i="2"/>
  <c r="R424" i="2"/>
  <c r="K425" i="2"/>
  <c r="U1592" i="2"/>
  <c r="P1347" i="2"/>
  <c r="D1353" i="2"/>
  <c r="Q962" i="2"/>
  <c r="E1352" i="2"/>
  <c r="R961" i="2"/>
  <c r="E1694" i="2"/>
  <c r="T1347" i="2"/>
  <c r="U1560" i="2"/>
  <c r="P1331" i="2"/>
  <c r="D1337" i="2"/>
  <c r="Q946" i="2"/>
  <c r="E1336" i="2"/>
  <c r="R945" i="2"/>
  <c r="P1663" i="2"/>
  <c r="C1344" i="2"/>
  <c r="H1553" i="2"/>
  <c r="T1327" i="2"/>
  <c r="H1333" i="2"/>
  <c r="U942" i="2"/>
  <c r="I1332" i="2"/>
  <c r="V941" i="2"/>
  <c r="C1326" i="2"/>
  <c r="P935" i="2"/>
  <c r="D1325" i="2"/>
  <c r="Q934" i="2"/>
  <c r="H933" i="2"/>
  <c r="L543" i="2"/>
  <c r="T933" i="2"/>
  <c r="C544" i="2"/>
  <c r="H1325" i="2"/>
  <c r="W813" i="2"/>
  <c r="R812" i="2"/>
  <c r="R1210" i="2"/>
  <c r="H1210" i="2"/>
  <c r="N826" i="2"/>
  <c r="I825" i="2"/>
  <c r="O825" i="2"/>
  <c r="H1156" i="2"/>
  <c r="V1210" i="2"/>
  <c r="L1210" i="2"/>
  <c r="S1389" i="2"/>
  <c r="N1389" i="2"/>
  <c r="I1389" i="2"/>
  <c r="W1394" i="2"/>
  <c r="O1005" i="2"/>
  <c r="O1004" i="2"/>
  <c r="J1004" i="2"/>
  <c r="C1394" i="2"/>
  <c r="P1004" i="2"/>
  <c r="P1003" i="2"/>
  <c r="F1751" i="2"/>
  <c r="L1198" i="2"/>
  <c r="D1548" i="2"/>
  <c r="K1353" i="2"/>
  <c r="J1158" i="2"/>
  <c r="F1353" i="2"/>
  <c r="T1531" i="2"/>
  <c r="W1633" i="2"/>
  <c r="I1439" i="2"/>
  <c r="H1244" i="2"/>
  <c r="D1439" i="2"/>
  <c r="C1244" i="2"/>
  <c r="T1438" i="2"/>
  <c r="S1243" i="2"/>
  <c r="M1444" i="2"/>
  <c r="L1249" i="2"/>
  <c r="E1055" i="2"/>
  <c r="D860" i="2"/>
  <c r="E1054" i="2"/>
  <c r="D859" i="2"/>
  <c r="U1053" i="2"/>
  <c r="T858" i="2"/>
  <c r="N1443" i="2"/>
  <c r="M1248" i="2"/>
  <c r="F1054" i="2"/>
  <c r="E859" i="2"/>
  <c r="F1053" i="2"/>
  <c r="P1408" i="2"/>
  <c r="D1306" i="2"/>
  <c r="J1290" i="2"/>
  <c r="U1289" i="2"/>
  <c r="J1662" i="2"/>
  <c r="M1439" i="2"/>
  <c r="L1244" i="2"/>
  <c r="H1439" i="2"/>
  <c r="G1244" i="2"/>
  <c r="C1439" i="2"/>
  <c r="W1243" i="2"/>
  <c r="P1662" i="2"/>
  <c r="W1617" i="2"/>
  <c r="I1423" i="2"/>
  <c r="H1228" i="2"/>
  <c r="D1423" i="2"/>
  <c r="C1228" i="2"/>
  <c r="T1422" i="2"/>
  <c r="S1227" i="2"/>
  <c r="M1428" i="2"/>
  <c r="L1233" i="2"/>
  <c r="E1039" i="2"/>
  <c r="D844" i="2"/>
  <c r="E1038" i="2"/>
  <c r="D843" i="2"/>
  <c r="U1037" i="2"/>
  <c r="T842" i="2"/>
  <c r="N1427" i="2"/>
  <c r="M1232" i="2"/>
  <c r="F1038" i="2"/>
  <c r="E843" i="2"/>
  <c r="F1037" i="2"/>
  <c r="F1378" i="2"/>
  <c r="T1290" i="2"/>
  <c r="E1275" i="2"/>
  <c r="P1274" i="2"/>
  <c r="R1654" i="2"/>
  <c r="Q1435" i="2"/>
  <c r="P1240" i="2"/>
  <c r="L1435" i="2"/>
  <c r="K1240" i="2"/>
  <c r="G1435" i="2"/>
  <c r="F1240" i="2"/>
  <c r="K1647" i="2"/>
  <c r="F1614" i="2"/>
  <c r="M1419" i="2"/>
  <c r="L1224" i="2"/>
  <c r="H1419" i="2"/>
  <c r="G1224" i="2"/>
  <c r="C1419" i="2"/>
  <c r="W1223" i="2"/>
  <c r="Q1424" i="2"/>
  <c r="P1229" i="2"/>
  <c r="I1035" i="2"/>
  <c r="H840" i="2"/>
  <c r="I1034" i="2"/>
  <c r="H839" i="2"/>
  <c r="D1034" i="2"/>
  <c r="C839" i="2"/>
  <c r="R1423" i="2"/>
  <c r="Q1228" i="2"/>
  <c r="J1034" i="2"/>
  <c r="I839" i="2"/>
  <c r="J1033" i="2"/>
  <c r="G832" i="2"/>
  <c r="C1027" i="2"/>
  <c r="W831" i="2"/>
  <c r="L1417" i="2"/>
  <c r="K1222" i="2"/>
  <c r="D1028" i="2"/>
  <c r="C833" i="2"/>
  <c r="D1027" i="2"/>
  <c r="C832" i="2"/>
  <c r="T1026" i="2"/>
  <c r="S831" i="2"/>
  <c r="M1416" i="2"/>
  <c r="L1221" i="2"/>
  <c r="E1027" i="2"/>
  <c r="D832" i="2"/>
  <c r="E1026" i="2"/>
  <c r="D831" i="2"/>
  <c r="U1025" i="2"/>
  <c r="T830" i="2"/>
  <c r="Q1024" i="2"/>
  <c r="P829" i="2"/>
  <c r="E635" i="2"/>
  <c r="D440" i="2"/>
  <c r="U634" i="2"/>
  <c r="T439" i="2"/>
  <c r="C635" i="2"/>
  <c r="W439" i="2"/>
  <c r="H1025" i="2"/>
  <c r="G830" i="2"/>
  <c r="Q635" i="2"/>
  <c r="P440" i="2"/>
  <c r="L635" i="2"/>
  <c r="L831" i="2"/>
  <c r="H1026" i="2"/>
  <c r="G831" i="2"/>
  <c r="Q1416" i="2"/>
  <c r="P1221" i="2"/>
  <c r="I1027" i="2"/>
  <c r="H832" i="2"/>
  <c r="I1026" i="2"/>
  <c r="H831" i="2"/>
  <c r="D1026" i="2"/>
  <c r="C831" i="2"/>
  <c r="T1659" i="2"/>
  <c r="D1471" i="2"/>
  <c r="M1476" i="2"/>
  <c r="E1086" i="2"/>
  <c r="N1475" i="2"/>
  <c r="F1085" i="2"/>
  <c r="H1469" i="2"/>
  <c r="U1078" i="2"/>
  <c r="I1468" i="2"/>
  <c r="V1077" i="2"/>
  <c r="M1076" i="2"/>
  <c r="Q686" i="2"/>
  <c r="D1077" i="2"/>
  <c r="H687" i="2"/>
  <c r="T870" i="2"/>
  <c r="H1261" i="2"/>
  <c r="U871" i="2"/>
  <c r="U870" i="2"/>
  <c r="P870" i="2"/>
  <c r="R1415" i="2"/>
  <c r="Q1220" i="2"/>
  <c r="J1026" i="2"/>
  <c r="I831" i="2"/>
  <c r="J1025" i="2"/>
  <c r="I830" i="2"/>
  <c r="E1025" i="2"/>
  <c r="D830" i="2"/>
  <c r="V1023" i="2"/>
  <c r="U828" i="2"/>
  <c r="J634" i="2"/>
  <c r="I439" i="2"/>
  <c r="E634" i="2"/>
  <c r="D439" i="2"/>
  <c r="H634" i="2"/>
  <c r="G439" i="2"/>
  <c r="M1024" i="2"/>
  <c r="L829" i="2"/>
  <c r="V634" i="2"/>
  <c r="U439" i="2"/>
  <c r="Q634" i="2"/>
  <c r="P827" i="2"/>
  <c r="L1022" i="2"/>
  <c r="K827" i="2"/>
  <c r="U1412" i="2"/>
  <c r="T1217" i="2"/>
  <c r="M1023" i="2"/>
  <c r="L828" i="2"/>
  <c r="M1022" i="2"/>
  <c r="L827" i="2"/>
  <c r="H1022" i="2"/>
  <c r="G827" i="2"/>
  <c r="V1411" i="2"/>
  <c r="U1216" i="2"/>
  <c r="N1022" i="2"/>
  <c r="M827" i="2"/>
  <c r="N1021" i="2"/>
  <c r="M826" i="2"/>
  <c r="I1021" i="2"/>
  <c r="H826" i="2"/>
  <c r="E1020" i="2"/>
  <c r="D825" i="2"/>
  <c r="N630" i="2"/>
  <c r="M435" i="2"/>
  <c r="I630" i="2"/>
  <c r="H435" i="2"/>
  <c r="L630" i="2"/>
  <c r="K435" i="2"/>
  <c r="Q1020" i="2"/>
  <c r="P825" i="2"/>
  <c r="E631" i="2"/>
  <c r="D436" i="2"/>
  <c r="D775" i="2"/>
  <c r="U969" i="2"/>
  <c r="S1167" i="2"/>
  <c r="I1360" i="2"/>
  <c r="H1165" i="2"/>
  <c r="V970" i="2"/>
  <c r="U775" i="2"/>
  <c r="S896" i="2"/>
  <c r="G1286" i="2"/>
  <c r="T895" i="2"/>
  <c r="K894" i="2"/>
  <c r="O504" i="2"/>
  <c r="W894" i="2"/>
  <c r="J645" i="2"/>
  <c r="R397" i="2"/>
  <c r="V592" i="2"/>
  <c r="U397" i="2"/>
  <c r="K982" i="2"/>
  <c r="J787" i="2"/>
  <c r="T592" i="2"/>
  <c r="S397" i="2"/>
  <c r="O592" i="2"/>
  <c r="N397" i="2"/>
  <c r="R592" i="2"/>
  <c r="Q397" i="2"/>
  <c r="L981" i="2"/>
  <c r="K786" i="2"/>
  <c r="U591" i="2"/>
  <c r="T396" i="2"/>
  <c r="P591" i="2"/>
  <c r="O396" i="2"/>
  <c r="S591" i="2"/>
  <c r="R396" i="2"/>
  <c r="F591" i="2"/>
  <c r="E396" i="2"/>
  <c r="M201" i="2"/>
  <c r="L6" i="2"/>
  <c r="G170" i="2"/>
  <c r="C1466" i="2"/>
  <c r="P1075" i="2"/>
  <c r="G1074" i="2"/>
  <c r="K684" i="2"/>
  <c r="S1074" i="2"/>
  <c r="M734" i="2"/>
  <c r="Q442" i="2"/>
  <c r="U637" i="2"/>
  <c r="T442" i="2"/>
  <c r="J1027" i="2"/>
  <c r="I832" i="2"/>
  <c r="S637" i="2"/>
  <c r="R442" i="2"/>
  <c r="N637" i="2"/>
  <c r="M442" i="2"/>
  <c r="Q637" i="2"/>
  <c r="P442" i="2"/>
  <c r="K1026" i="2"/>
  <c r="J831" i="2"/>
  <c r="D1611" i="2"/>
  <c r="U1458" i="2"/>
  <c r="I1464" i="2"/>
  <c r="V1073" i="2"/>
  <c r="J1463" i="2"/>
  <c r="W1072" i="2"/>
  <c r="D1457" i="2"/>
  <c r="Q1066" i="2"/>
  <c r="E1456" i="2"/>
  <c r="R1065" i="2"/>
  <c r="I1064" i="2"/>
  <c r="M674" i="2"/>
  <c r="U1064" i="2"/>
  <c r="D675" i="2"/>
  <c r="R864" i="2"/>
  <c r="F1255" i="2"/>
  <c r="S865" i="2"/>
  <c r="S864" i="2"/>
  <c r="N864" i="2"/>
  <c r="Q1412" i="2"/>
  <c r="P1217" i="2"/>
  <c r="I1023" i="2"/>
  <c r="H828" i="2"/>
  <c r="I1022" i="2"/>
  <c r="H827" i="2"/>
  <c r="D1022" i="2"/>
  <c r="C827" i="2"/>
  <c r="U1020" i="2"/>
  <c r="T825" i="2"/>
  <c r="I631" i="2"/>
  <c r="H436" i="2"/>
  <c r="D631" i="2"/>
  <c r="C436" i="2"/>
  <c r="G631" i="2"/>
  <c r="F436" i="2"/>
  <c r="L1021" i="2"/>
  <c r="K826" i="2"/>
  <c r="U631" i="2"/>
  <c r="T436" i="2"/>
  <c r="P631" i="2"/>
  <c r="O824" i="2"/>
  <c r="K1019" i="2"/>
  <c r="J824" i="2"/>
  <c r="T1409" i="2"/>
  <c r="S1214" i="2"/>
  <c r="L1020" i="2"/>
  <c r="K825" i="2"/>
  <c r="L1019" i="2"/>
  <c r="K824" i="2"/>
  <c r="G1019" i="2"/>
  <c r="F824" i="2"/>
  <c r="U1408" i="2"/>
  <c r="T1213" i="2"/>
  <c r="M1019" i="2"/>
  <c r="L824" i="2"/>
  <c r="M1018" i="2"/>
  <c r="L823" i="2"/>
  <c r="H1018" i="2"/>
  <c r="G823" i="2"/>
  <c r="D1017" i="2"/>
  <c r="C822" i="2"/>
  <c r="M627" i="2"/>
  <c r="L432" i="2"/>
  <c r="H627" i="2"/>
  <c r="G432" i="2"/>
  <c r="K627" i="2"/>
  <c r="J432" i="2"/>
  <c r="P1017" i="2"/>
  <c r="O822" i="2"/>
  <c r="D628" i="2"/>
  <c r="C433" i="2"/>
  <c r="C772" i="2"/>
  <c r="T966" i="2"/>
  <c r="R1164" i="2"/>
  <c r="H1357" i="2"/>
  <c r="G1162" i="2"/>
  <c r="U967" i="2"/>
  <c r="T772" i="2"/>
  <c r="O884" i="2"/>
  <c r="C1274" i="2"/>
  <c r="P883" i="2"/>
  <c r="G882" i="2"/>
  <c r="K492" i="2"/>
  <c r="S882" i="2"/>
  <c r="H639" i="2"/>
  <c r="Q394" i="2"/>
  <c r="U589" i="2"/>
  <c r="U785" i="2"/>
  <c r="J979" i="2"/>
  <c r="I784" i="2"/>
  <c r="S589" i="2"/>
  <c r="R394" i="2"/>
  <c r="N589" i="2"/>
  <c r="M394" i="2"/>
  <c r="Q589" i="2"/>
  <c r="V784" i="2"/>
  <c r="K978" i="2"/>
  <c r="J783" i="2"/>
  <c r="T588" i="2"/>
  <c r="S393" i="2"/>
  <c r="O588" i="2"/>
  <c r="N393" i="2"/>
  <c r="R588" i="2"/>
  <c r="Q393" i="2"/>
  <c r="E588" i="2"/>
  <c r="D393" i="2"/>
  <c r="L198" i="2"/>
  <c r="K3" i="2"/>
  <c r="F167" i="2"/>
  <c r="T1453" i="2"/>
  <c r="L1063" i="2"/>
  <c r="C1062" i="2"/>
  <c r="G672" i="2"/>
  <c r="O1062" i="2"/>
  <c r="K728" i="2"/>
  <c r="P439" i="2"/>
  <c r="T634" i="2"/>
  <c r="S439" i="2"/>
  <c r="I1024" i="2"/>
  <c r="H829" i="2"/>
  <c r="R634" i="2"/>
  <c r="Q439" i="2"/>
  <c r="M634" i="2"/>
  <c r="L439" i="2"/>
  <c r="P634" i="2"/>
  <c r="O439" i="2"/>
  <c r="J1023" i="2"/>
  <c r="I828" i="2"/>
  <c r="I1562" i="2"/>
  <c r="Q1446" i="2"/>
  <c r="E1452" i="2"/>
  <c r="R1061" i="2"/>
  <c r="F1451" i="2"/>
  <c r="S1060" i="2"/>
  <c r="U1444" i="2"/>
  <c r="M1054" i="2"/>
  <c r="V1443" i="2"/>
  <c r="N1053" i="2"/>
  <c r="E1052" i="2"/>
  <c r="I662" i="2"/>
  <c r="Q1052" i="2"/>
  <c r="U662" i="2"/>
  <c r="P858" i="2"/>
  <c r="D1249" i="2"/>
  <c r="Q859" i="2"/>
  <c r="Q858" i="2"/>
  <c r="L858" i="2"/>
  <c r="P1409" i="2"/>
  <c r="O1214" i="2"/>
  <c r="H1020" i="2"/>
  <c r="G825" i="2"/>
  <c r="H1019" i="2"/>
  <c r="G824" i="2"/>
  <c r="C1019" i="2"/>
  <c r="W823" i="2"/>
  <c r="T1017" i="2"/>
  <c r="S822" i="2"/>
  <c r="H628" i="2"/>
  <c r="G433" i="2"/>
  <c r="C628" i="2"/>
  <c r="W432" i="2"/>
  <c r="F628" i="2"/>
  <c r="E433" i="2"/>
  <c r="K1018" i="2"/>
  <c r="J823" i="2"/>
  <c r="T628" i="2"/>
  <c r="S433" i="2"/>
  <c r="O628" i="2"/>
  <c r="N821" i="2"/>
  <c r="J1016" i="2"/>
  <c r="I821" i="2"/>
  <c r="S1406" i="2"/>
  <c r="R1211" i="2"/>
  <c r="K1017" i="2"/>
  <c r="J822" i="2"/>
  <c r="K1016" i="2"/>
  <c r="J821" i="2"/>
  <c r="F1016" i="2"/>
  <c r="E821" i="2"/>
  <c r="T1405" i="2"/>
  <c r="S1210" i="2"/>
  <c r="L1016" i="2"/>
  <c r="K821" i="2"/>
  <c r="L1015" i="2"/>
  <c r="K820" i="2"/>
  <c r="G1015" i="2"/>
  <c r="F820" i="2"/>
  <c r="C1014" i="2"/>
  <c r="W818" i="2"/>
  <c r="O1045" i="2"/>
  <c r="C753" i="2"/>
  <c r="D947" i="2"/>
  <c r="C752" i="2"/>
  <c r="T946" i="2"/>
  <c r="C1878" i="2"/>
  <c r="S1586" i="2"/>
  <c r="M1539" i="2"/>
  <c r="T1344" i="2"/>
  <c r="S1149" i="2"/>
  <c r="O1344" i="2"/>
  <c r="N1149" i="2"/>
  <c r="J1344" i="2"/>
  <c r="M1157" i="2"/>
  <c r="C1350" i="2"/>
  <c r="W1154" i="2"/>
  <c r="P960" i="2"/>
  <c r="O765" i="2"/>
  <c r="P959" i="2"/>
  <c r="O764" i="2"/>
  <c r="K959" i="2"/>
  <c r="N1156" i="2"/>
  <c r="D1349" i="2"/>
  <c r="C1154" i="2"/>
  <c r="Q959" i="2"/>
  <c r="P764" i="2"/>
  <c r="Q958" i="2"/>
  <c r="M1318" i="2"/>
  <c r="T1696" i="2"/>
  <c r="I1302" i="2"/>
  <c r="R1669" i="2"/>
  <c r="Q1539" i="2"/>
  <c r="C1345" i="2"/>
  <c r="W1149" i="2"/>
  <c r="S1344" i="2"/>
  <c r="R1149" i="2"/>
  <c r="N1344" i="2"/>
  <c r="M1887" i="2"/>
  <c r="S1554" i="2"/>
  <c r="U1523" i="2"/>
  <c r="T1328" i="2"/>
  <c r="P1523" i="2"/>
  <c r="O1328" i="2"/>
  <c r="K1523" i="2"/>
  <c r="J1328" i="2"/>
  <c r="D1529" i="2"/>
  <c r="C1334" i="2"/>
  <c r="F1140" i="2"/>
  <c r="P944" i="2"/>
  <c r="Q1138" i="2"/>
  <c r="P943" i="2"/>
  <c r="L1138" i="2"/>
  <c r="K943" i="2"/>
  <c r="E1528" i="2"/>
  <c r="D1333" i="2"/>
  <c r="R1138" i="2"/>
  <c r="Q943" i="2"/>
  <c r="O2127" i="2"/>
  <c r="K2115" i="2"/>
  <c r="I2250" i="2"/>
  <c r="T2046" i="2"/>
  <c r="M1934" i="2"/>
  <c r="U1471" i="2"/>
  <c r="H1919" i="2"/>
  <c r="C1481" i="2"/>
  <c r="U2029" i="2"/>
  <c r="N1882" i="2"/>
  <c r="Q1768" i="2"/>
  <c r="D1420" i="2"/>
  <c r="V1968" i="2"/>
  <c r="N1806" i="2"/>
  <c r="P2108" i="2"/>
  <c r="U1407" i="2"/>
  <c r="Q2091" i="2"/>
  <c r="D2023" i="2"/>
  <c r="O1915" i="2"/>
  <c r="H1589" i="2"/>
  <c r="J2075" i="2"/>
  <c r="N1971" i="2"/>
  <c r="U1638" i="2"/>
  <c r="O1836" i="2"/>
  <c r="K1805" i="2"/>
  <c r="I1716" i="2"/>
  <c r="J2048" i="2"/>
  <c r="G1914" i="2"/>
  <c r="M1989" i="2"/>
  <c r="U1609" i="2"/>
  <c r="W1869" i="2"/>
  <c r="M1538" i="2"/>
  <c r="C1770" i="2"/>
  <c r="F1546" i="2"/>
  <c r="M1998" i="2"/>
  <c r="G1984" i="2"/>
  <c r="N1625" i="2"/>
  <c r="T1814" i="2"/>
  <c r="T1839" i="2"/>
  <c r="F1647" i="2"/>
  <c r="W1520" i="2"/>
  <c r="W1634" i="2"/>
  <c r="V1517" i="2"/>
  <c r="S1622" i="2"/>
  <c r="G1141" i="2"/>
  <c r="U1514" i="2"/>
  <c r="H1527" i="2"/>
  <c r="O1610" i="2"/>
  <c r="C1528" i="2"/>
  <c r="T1511" i="2"/>
  <c r="G1524" i="2"/>
  <c r="C1508" i="2"/>
  <c r="N1480" i="2"/>
  <c r="J1464" i="2"/>
  <c r="Q1571" i="2"/>
  <c r="M1555" i="2"/>
  <c r="W1170" i="2"/>
  <c r="C1170" i="2"/>
  <c r="U1567" i="2"/>
  <c r="W1504" i="2"/>
  <c r="M1477" i="2"/>
  <c r="I1461" i="2"/>
  <c r="P1568" i="2"/>
  <c r="L1552" i="2"/>
  <c r="V1167" i="2"/>
  <c r="W1166" i="2"/>
  <c r="T1564" i="2"/>
  <c r="V1501" i="2"/>
  <c r="L1474" i="2"/>
  <c r="H1458" i="2"/>
  <c r="O1565" i="2"/>
  <c r="K1549" i="2"/>
  <c r="U1164" i="2"/>
  <c r="V1163" i="2"/>
  <c r="S1561" i="2"/>
  <c r="Q1486" i="2"/>
  <c r="G1459" i="2"/>
  <c r="C1443" i="2"/>
  <c r="J1550" i="2"/>
  <c r="F1534" i="2"/>
  <c r="P1149" i="2"/>
  <c r="Q1148" i="2"/>
  <c r="N1546" i="2"/>
  <c r="K1533" i="2"/>
  <c r="U1148" i="2"/>
  <c r="V1147" i="2"/>
  <c r="O1533" i="2"/>
  <c r="S1517" i="2"/>
  <c r="O1133" i="2"/>
  <c r="P1132" i="2"/>
  <c r="S1529" i="2"/>
  <c r="W1513" i="2"/>
  <c r="S1129" i="2"/>
  <c r="T1128" i="2"/>
  <c r="N1122" i="2"/>
  <c r="O1121" i="2"/>
  <c r="O729" i="2"/>
  <c r="T1790" i="2"/>
  <c r="V1709" i="2"/>
  <c r="M1860" i="2"/>
  <c r="G1476" i="2"/>
  <c r="C1460" i="2"/>
  <c r="K1472" i="2"/>
  <c r="R1811" i="2"/>
  <c r="F1473" i="2"/>
  <c r="W1456" i="2"/>
  <c r="J1469" i="2"/>
  <c r="R1763" i="2"/>
  <c r="E1470" i="2"/>
  <c r="V1453" i="2"/>
  <c r="I1466" i="2"/>
  <c r="J1739" i="2"/>
  <c r="D1467" i="2"/>
  <c r="U1450" i="2"/>
  <c r="H1463" i="2"/>
  <c r="D1447" i="2"/>
  <c r="O1419" i="2"/>
  <c r="K1403" i="2"/>
  <c r="E1511" i="2"/>
  <c r="V1494" i="2"/>
  <c r="R1110" i="2"/>
  <c r="S1109" i="2"/>
  <c r="I1507" i="2"/>
  <c r="C1444" i="2"/>
  <c r="N1416" i="2"/>
  <c r="J1400" i="2"/>
  <c r="D1508" i="2"/>
  <c r="U1491" i="2"/>
  <c r="Q1107" i="2"/>
  <c r="R1106" i="2"/>
  <c r="H1504" i="2"/>
  <c r="W1440" i="2"/>
  <c r="M1413" i="2"/>
  <c r="I1397" i="2"/>
  <c r="C1505" i="2"/>
  <c r="T1488" i="2"/>
  <c r="P1104" i="2"/>
  <c r="Q1103" i="2"/>
  <c r="G1501" i="2"/>
  <c r="R1425" i="2"/>
  <c r="H1398" i="2"/>
  <c r="D1382" i="2"/>
  <c r="S1489" i="2"/>
  <c r="O1473" i="2"/>
  <c r="K1089" i="2"/>
  <c r="L1088" i="2"/>
  <c r="W1485" i="2"/>
  <c r="T1472" i="2"/>
  <c r="P1088" i="2"/>
  <c r="Q1087" i="2"/>
  <c r="C1473" i="2"/>
  <c r="T1456" i="2"/>
  <c r="P1072" i="2"/>
  <c r="Q1071" i="2"/>
  <c r="G1469" i="2"/>
  <c r="C1453" i="2"/>
  <c r="T1068" i="2"/>
  <c r="U1067" i="2"/>
  <c r="O1061" i="2"/>
  <c r="P1060" i="2"/>
  <c r="P668" i="2"/>
  <c r="U2129" i="2"/>
  <c r="V1660" i="2"/>
  <c r="V1685" i="2"/>
  <c r="H1415" i="2"/>
  <c r="D1399" i="2"/>
  <c r="L1411" i="2"/>
  <c r="R1673" i="2"/>
  <c r="G1412" i="2"/>
  <c r="C1396" i="2"/>
  <c r="K1408" i="2"/>
  <c r="N1661" i="2"/>
  <c r="F1409" i="2"/>
  <c r="W1392" i="2"/>
  <c r="J1405" i="2"/>
  <c r="J1649" i="2"/>
  <c r="E1406" i="2"/>
  <c r="V1389" i="2"/>
  <c r="I1402" i="2"/>
  <c r="E1386" i="2"/>
  <c r="P1358" i="2"/>
  <c r="L1342" i="2"/>
  <c r="F1450" i="2"/>
  <c r="W1433" i="2"/>
  <c r="S1049" i="2"/>
  <c r="T1048" i="2"/>
  <c r="J1446" i="2"/>
  <c r="D1383" i="2"/>
  <c r="O1355" i="2"/>
  <c r="K1339" i="2"/>
  <c r="E1447" i="2"/>
  <c r="V1430" i="2"/>
  <c r="R1046" i="2"/>
  <c r="S1045" i="2"/>
  <c r="I1443" i="2"/>
  <c r="C1380" i="2"/>
  <c r="N1352" i="2"/>
  <c r="J1336" i="2"/>
  <c r="D1444" i="2"/>
  <c r="U1427" i="2"/>
  <c r="Q1043" i="2"/>
  <c r="R1042" i="2"/>
  <c r="H1440" i="2"/>
  <c r="S1364" i="2"/>
  <c r="I1337" i="2"/>
  <c r="E1321" i="2"/>
  <c r="T1428" i="2"/>
  <c r="P1412" i="2"/>
  <c r="L1028" i="2"/>
  <c r="M1027" i="2"/>
  <c r="C1425" i="2"/>
  <c r="U1411" i="2"/>
  <c r="O1514" i="2"/>
  <c r="G1124" i="2"/>
  <c r="P1513" i="2"/>
  <c r="H1123" i="2"/>
  <c r="K1180" i="2"/>
  <c r="J1509" i="2"/>
  <c r="D1748" i="2"/>
  <c r="F1493" i="2"/>
  <c r="O1498" i="2"/>
  <c r="G1108" i="2"/>
  <c r="P1497" i="2"/>
  <c r="H1107" i="2"/>
  <c r="F1165" i="2"/>
  <c r="N1505" i="2"/>
  <c r="T1732" i="2"/>
  <c r="J1489" i="2"/>
  <c r="S1494" i="2"/>
  <c r="K1104" i="2"/>
  <c r="T1493" i="2"/>
  <c r="L1103" i="2"/>
  <c r="N1487" i="2"/>
  <c r="F1097" i="2"/>
  <c r="O1486" i="2"/>
  <c r="G1096" i="2"/>
  <c r="S1094" i="2"/>
  <c r="W704" i="2"/>
  <c r="P1802" i="2"/>
  <c r="T1798" i="2"/>
  <c r="I1633" i="2"/>
  <c r="L1795" i="2"/>
  <c r="D1713" i="2"/>
  <c r="T1697" i="2"/>
  <c r="U1700" i="2"/>
  <c r="P1685" i="2"/>
  <c r="Q1688" i="2"/>
  <c r="L1673" i="2"/>
  <c r="M1676" i="2"/>
  <c r="H1661" i="2"/>
  <c r="R1330" i="2"/>
  <c r="M1437" i="2"/>
  <c r="J1036" i="2"/>
  <c r="Q1433" i="2"/>
  <c r="Q1327" i="2"/>
  <c r="L1434" i="2"/>
  <c r="I1033" i="2"/>
  <c r="P1430" i="2"/>
  <c r="P1324" i="2"/>
  <c r="K1431" i="2"/>
  <c r="H1030" i="2"/>
  <c r="O1427" i="2"/>
  <c r="K1309" i="2"/>
  <c r="F1416" i="2"/>
  <c r="C1015" i="2"/>
  <c r="J1412" i="2"/>
  <c r="H1014" i="2"/>
  <c r="K1399" i="2"/>
  <c r="H998" i="2"/>
  <c r="O1395" i="2"/>
  <c r="L994" i="2"/>
  <c r="G987" i="2"/>
  <c r="K595" i="2"/>
  <c r="M559" i="2"/>
  <c r="M1702" i="2"/>
  <c r="R1481" i="2"/>
  <c r="F1487" i="2"/>
  <c r="S1096" i="2"/>
  <c r="G1486" i="2"/>
  <c r="T1095" i="2"/>
  <c r="N1460" i="2"/>
  <c r="V1481" i="2"/>
  <c r="M1638" i="2"/>
  <c r="R1465" i="2"/>
  <c r="F1471" i="2"/>
  <c r="S1080" i="2"/>
  <c r="G1470" i="2"/>
  <c r="T1079" i="2"/>
  <c r="I1445" i="2"/>
  <c r="E1478" i="2"/>
  <c r="H1623" i="2"/>
  <c r="V1461" i="2"/>
  <c r="J1467" i="2"/>
  <c r="W1076" i="2"/>
  <c r="K1466" i="2"/>
  <c r="C1076" i="2"/>
  <c r="E1460" i="2"/>
  <c r="R1069" i="2"/>
  <c r="F1459" i="2"/>
  <c r="S1068" i="2"/>
  <c r="J1067" i="2"/>
  <c r="N677" i="2"/>
  <c r="V1067" i="2"/>
  <c r="E678" i="2"/>
  <c r="J1459" i="2"/>
  <c r="M1159" i="2"/>
  <c r="Q1155" i="2"/>
  <c r="L1156" i="2"/>
  <c r="P1152" i="2"/>
  <c r="K1153" i="2"/>
  <c r="O1149" i="2"/>
  <c r="J1150" i="2"/>
  <c r="N1146" i="2"/>
  <c r="R1492" i="2"/>
  <c r="U1583" i="2"/>
  <c r="F1183" i="2"/>
  <c r="D1580" i="2"/>
  <c r="Q1489" i="2"/>
  <c r="T1580" i="2"/>
  <c r="E1180" i="2"/>
  <c r="C1577" i="2"/>
  <c r="P1486" i="2"/>
  <c r="S1577" i="2"/>
  <c r="D1177" i="2"/>
  <c r="W1573" i="2"/>
  <c r="K1471" i="2"/>
  <c r="N1562" i="2"/>
  <c r="T1161" i="2"/>
  <c r="R1558" i="2"/>
  <c r="D1161" i="2"/>
  <c r="S1545" i="2"/>
  <c r="D1145" i="2"/>
  <c r="W1541" i="2"/>
  <c r="H1141" i="2"/>
  <c r="R1134" i="2"/>
  <c r="S741" i="2"/>
  <c r="O790" i="2"/>
  <c r="T791" i="2"/>
  <c r="M1323" i="2"/>
  <c r="C1323" i="2"/>
  <c r="I939" i="2"/>
  <c r="D938" i="2"/>
  <c r="J938" i="2"/>
  <c r="V1606" i="2"/>
  <c r="Q1323" i="2"/>
  <c r="G1323" i="2"/>
  <c r="M1307" i="2"/>
  <c r="C1307" i="2"/>
  <c r="I923" i="2"/>
  <c r="D922" i="2"/>
  <c r="J922" i="2"/>
  <c r="Q1591" i="2"/>
  <c r="U1319" i="2"/>
  <c r="K1319" i="2"/>
  <c r="Q1303" i="2"/>
  <c r="G1303" i="2"/>
  <c r="M919" i="2"/>
  <c r="H918" i="2"/>
  <c r="N918" i="2"/>
  <c r="G911" i="2"/>
  <c r="H912" i="2"/>
  <c r="C911" i="2"/>
  <c r="I911" i="2"/>
  <c r="D910" i="2"/>
  <c r="I519" i="2"/>
  <c r="G519" i="2"/>
  <c r="U519" i="2"/>
  <c r="L910" i="2"/>
  <c r="M911" i="2"/>
  <c r="O1500" i="2"/>
  <c r="S1496" i="2"/>
  <c r="N1497" i="2"/>
  <c r="R1493" i="2"/>
  <c r="M1494" i="2"/>
  <c r="Q1490" i="2"/>
  <c r="L1491" i="2"/>
  <c r="P1487" i="2"/>
  <c r="W1443" i="2"/>
  <c r="E1535" i="2"/>
  <c r="E1135" i="2"/>
  <c r="I1531" i="2"/>
  <c r="V1440" i="2"/>
  <c r="D1532" i="2"/>
  <c r="D1132" i="2"/>
  <c r="P1528" i="2"/>
  <c r="U1437" i="2"/>
  <c r="P1529" i="2"/>
  <c r="C1129" i="2"/>
  <c r="O1525" i="2"/>
  <c r="P1422" i="2"/>
  <c r="F1514" i="2"/>
  <c r="S1113" i="2"/>
  <c r="J1510" i="2"/>
  <c r="C1113" i="2"/>
  <c r="K1497" i="2"/>
  <c r="C1097" i="2"/>
  <c r="O1493" i="2"/>
  <c r="G1093" i="2"/>
  <c r="W1085" i="2"/>
  <c r="C693" i="2"/>
  <c r="K778" i="2"/>
  <c r="P779" i="2"/>
  <c r="I1311" i="2"/>
  <c r="T1310" i="2"/>
  <c r="E927" i="2"/>
  <c r="U925" i="2"/>
  <c r="F926" i="2"/>
  <c r="F1558" i="2"/>
  <c r="M1311" i="2"/>
  <c r="C1311" i="2"/>
  <c r="I1295" i="2"/>
  <c r="T1294" i="2"/>
  <c r="E911" i="2"/>
  <c r="U909" i="2"/>
  <c r="F910" i="2"/>
  <c r="V1542" i="2"/>
  <c r="Q1307" i="2"/>
  <c r="G1307" i="2"/>
  <c r="M1291" i="2"/>
  <c r="C1291" i="2"/>
  <c r="I907" i="2"/>
  <c r="D906" i="2"/>
  <c r="J906" i="2"/>
  <c r="C899" i="2"/>
  <c r="D900" i="2"/>
  <c r="T898" i="2"/>
  <c r="E899" i="2"/>
  <c r="U897" i="2"/>
  <c r="E507" i="2"/>
  <c r="C507" i="2"/>
  <c r="Q507" i="2"/>
  <c r="H898" i="2"/>
  <c r="W1567" i="2"/>
  <c r="J1240" i="2"/>
  <c r="S1555" i="2"/>
  <c r="I1237" i="2"/>
  <c r="O1543" i="2"/>
  <c r="H1234" i="2"/>
  <c r="K1531" i="2"/>
  <c r="G1231" i="2"/>
  <c r="K1635" i="2"/>
  <c r="G1555" i="2"/>
  <c r="H1275" i="2"/>
  <c r="H1629" i="2"/>
  <c r="G1623" i="2"/>
  <c r="U1652" i="2"/>
  <c r="G1272" i="2"/>
  <c r="M1580" i="2"/>
  <c r="C1611" i="2"/>
  <c r="Q1592" i="2"/>
  <c r="F1269" i="2"/>
  <c r="R1531" i="2"/>
  <c r="D1550" i="2"/>
  <c r="M1615" i="2"/>
  <c r="V1253" i="2"/>
  <c r="C1585" i="2"/>
  <c r="F1253" i="2"/>
  <c r="S1481" i="2"/>
  <c r="F1237" i="2"/>
  <c r="I1451" i="2"/>
  <c r="J1233" i="2"/>
  <c r="J841" i="2"/>
  <c r="G840" i="2"/>
  <c r="C1010" i="2"/>
  <c r="G620" i="2"/>
  <c r="N1542" i="2"/>
  <c r="O1152" i="2"/>
  <c r="C1158" i="2"/>
  <c r="P767" i="2"/>
  <c r="D1157" i="2"/>
  <c r="Q1330" i="2"/>
  <c r="R1542" i="2"/>
  <c r="S1152" i="2"/>
  <c r="V1526" i="2"/>
  <c r="L1526" i="2"/>
  <c r="C1142" i="2"/>
  <c r="P751" i="2"/>
  <c r="D1141" i="2"/>
  <c r="L1315" i="2"/>
  <c r="V1538" i="2"/>
  <c r="W1148" i="2"/>
  <c r="E1523" i="2"/>
  <c r="P1522" i="2"/>
  <c r="V1138" i="2"/>
  <c r="Q1137" i="2"/>
  <c r="W1137" i="2"/>
  <c r="P1130" i="2"/>
  <c r="Q1131" i="2"/>
  <c r="L1130" i="2"/>
  <c r="R1130" i="2"/>
  <c r="M1129" i="2"/>
  <c r="R738" i="2"/>
  <c r="P738" i="2"/>
  <c r="I739" i="2"/>
  <c r="U1129" i="2"/>
  <c r="V1130" i="2"/>
  <c r="C1008" i="2"/>
  <c r="N1592" i="2"/>
  <c r="N1405" i="2"/>
  <c r="W1410" i="2"/>
  <c r="O1020" i="2"/>
  <c r="C1410" i="2"/>
  <c r="P1019" i="2"/>
  <c r="D1206" i="2"/>
  <c r="R1405" i="2"/>
  <c r="R1723" i="2"/>
  <c r="M1243" i="2"/>
  <c r="H1243" i="2"/>
  <c r="C1243" i="2"/>
  <c r="Q1248" i="2"/>
  <c r="I859" i="2"/>
  <c r="I858" i="2"/>
  <c r="D858" i="2"/>
  <c r="R1247" i="2"/>
  <c r="J858" i="2"/>
  <c r="D1500" i="2"/>
  <c r="D1336" i="2"/>
  <c r="M1541" i="2"/>
  <c r="Q1499" i="2"/>
  <c r="P1304" i="2"/>
  <c r="L1499" i="2"/>
  <c r="K1304" i="2"/>
  <c r="O1531" i="2"/>
  <c r="G1585" i="2"/>
  <c r="N1390" i="2"/>
  <c r="M1195" i="2"/>
  <c r="I1390" i="2"/>
  <c r="H1195" i="2"/>
  <c r="D1390" i="2"/>
  <c r="C1195" i="2"/>
  <c r="R1395" i="2"/>
  <c r="Q1200" i="2"/>
  <c r="J1006" i="2"/>
  <c r="I811" i="2"/>
  <c r="J1005" i="2"/>
  <c r="I810" i="2"/>
  <c r="E1005" i="2"/>
  <c r="D810" i="2"/>
  <c r="S1394" i="2"/>
  <c r="R1199" i="2"/>
  <c r="K1005" i="2"/>
  <c r="J810" i="2"/>
  <c r="K1004" i="2"/>
  <c r="J1501" i="2"/>
  <c r="G1716" i="2"/>
  <c r="F1485" i="2"/>
  <c r="O1175" i="2"/>
  <c r="K1585" i="2"/>
  <c r="R1390" i="2"/>
  <c r="Q1195" i="2"/>
  <c r="M1390" i="2"/>
  <c r="L1195" i="2"/>
  <c r="H1390" i="2"/>
  <c r="G1195" i="2"/>
  <c r="S1662" i="2"/>
  <c r="G1569" i="2"/>
  <c r="N1374" i="2"/>
  <c r="M1179" i="2"/>
  <c r="I1374" i="2"/>
  <c r="H1179" i="2"/>
  <c r="D1374" i="2"/>
  <c r="C1179" i="2"/>
  <c r="R1379" i="2"/>
  <c r="Q1184" i="2"/>
  <c r="J990" i="2"/>
  <c r="I795" i="2"/>
  <c r="J989" i="2"/>
  <c r="I794" i="2"/>
  <c r="E989" i="2"/>
  <c r="D794" i="2"/>
  <c r="S1378" i="2"/>
  <c r="R1183" i="2"/>
  <c r="K989" i="2"/>
  <c r="J794" i="2"/>
  <c r="K988" i="2"/>
  <c r="E1486" i="2"/>
  <c r="H1655" i="2"/>
  <c r="V1469" i="2"/>
  <c r="T1771" i="2"/>
  <c r="O1581" i="2"/>
  <c r="V1386" i="2"/>
  <c r="U1191" i="2"/>
  <c r="Q1386" i="2"/>
  <c r="P1191" i="2"/>
  <c r="L1386" i="2"/>
  <c r="K1191" i="2"/>
  <c r="N1647" i="2"/>
  <c r="K1565" i="2"/>
  <c r="R1370" i="2"/>
  <c r="Q1175" i="2"/>
  <c r="M1370" i="2"/>
  <c r="L1175" i="2"/>
  <c r="H1370" i="2"/>
  <c r="G1175" i="2"/>
  <c r="V1375" i="2"/>
  <c r="U1180" i="2"/>
  <c r="N986" i="2"/>
  <c r="M791" i="2"/>
  <c r="N985" i="2"/>
  <c r="M790" i="2"/>
  <c r="I985" i="2"/>
  <c r="H790" i="2"/>
  <c r="W1374" i="2"/>
  <c r="V1179" i="2"/>
  <c r="O985" i="2"/>
  <c r="N790" i="2"/>
  <c r="O984" i="2"/>
  <c r="L783" i="2"/>
  <c r="H978" i="2"/>
  <c r="E1181" i="2"/>
  <c r="Q1368" i="2"/>
  <c r="P1173" i="2"/>
  <c r="I979" i="2"/>
  <c r="H784" i="2"/>
  <c r="I978" i="2"/>
  <c r="H783" i="2"/>
  <c r="D978" i="2"/>
  <c r="G1179" i="2"/>
  <c r="R1367" i="2"/>
  <c r="Q1172" i="2"/>
  <c r="J978" i="2"/>
  <c r="I783" i="2"/>
  <c r="J977" i="2"/>
  <c r="I782" i="2"/>
  <c r="E977" i="2"/>
  <c r="L782" i="2"/>
  <c r="V975" i="2"/>
  <c r="U780" i="2"/>
  <c r="J586" i="2"/>
  <c r="I391" i="2"/>
  <c r="E586" i="2"/>
  <c r="D391" i="2"/>
  <c r="H586" i="2"/>
  <c r="C783" i="2"/>
  <c r="M976" i="2"/>
  <c r="L781" i="2"/>
  <c r="V586" i="2"/>
  <c r="U391" i="2"/>
  <c r="Q586" i="2"/>
  <c r="Q782" i="2"/>
  <c r="M977" i="2"/>
  <c r="O1179" i="2"/>
  <c r="V1367" i="2"/>
  <c r="U1172" i="2"/>
  <c r="N978" i="2"/>
  <c r="M783" i="2"/>
  <c r="N977" i="2"/>
  <c r="M782" i="2"/>
  <c r="I977" i="2"/>
  <c r="G1292" i="2"/>
  <c r="W1665" i="2"/>
  <c r="C1276" i="2"/>
  <c r="L1281" i="2"/>
  <c r="D891" i="2"/>
  <c r="M1280" i="2"/>
  <c r="C884" i="2"/>
  <c r="G1274" i="2"/>
  <c r="T883" i="2"/>
  <c r="H1273" i="2"/>
  <c r="U882" i="2"/>
  <c r="L881" i="2"/>
  <c r="P491" i="2"/>
  <c r="C882" i="2"/>
  <c r="H883" i="2"/>
  <c r="H1166" i="2"/>
  <c r="R1163" i="2"/>
  <c r="J774" i="2"/>
  <c r="J773" i="2"/>
  <c r="Q1177" i="2"/>
  <c r="W1366" i="2"/>
  <c r="V1171" i="2"/>
  <c r="O977" i="2"/>
  <c r="N782" i="2"/>
  <c r="O976" i="2"/>
  <c r="N781" i="2"/>
  <c r="J976" i="2"/>
  <c r="Q781" i="2"/>
  <c r="F975" i="2"/>
  <c r="E780" i="2"/>
  <c r="O585" i="2"/>
  <c r="N390" i="2"/>
  <c r="J585" i="2"/>
  <c r="I390" i="2"/>
  <c r="M585" i="2"/>
  <c r="H782" i="2"/>
  <c r="R975" i="2"/>
  <c r="Q780" i="2"/>
  <c r="F586" i="2"/>
  <c r="E391" i="2"/>
  <c r="V585" i="2"/>
  <c r="U778" i="2"/>
  <c r="Q973" i="2"/>
  <c r="W1171" i="2"/>
  <c r="E1364" i="2"/>
  <c r="D1169" i="2"/>
  <c r="R974" i="2"/>
  <c r="Q779" i="2"/>
  <c r="R973" i="2"/>
  <c r="Q778" i="2"/>
  <c r="M973" i="2"/>
  <c r="P1170" i="2"/>
  <c r="F1363" i="2"/>
  <c r="E1168" i="2"/>
  <c r="S973" i="2"/>
  <c r="R778" i="2"/>
  <c r="S972" i="2"/>
  <c r="R777" i="2"/>
  <c r="N972" i="2"/>
  <c r="U777" i="2"/>
  <c r="J971" i="2"/>
  <c r="I776" i="2"/>
  <c r="S581" i="2"/>
  <c r="R386" i="2"/>
  <c r="N581" i="2"/>
  <c r="M386" i="2"/>
  <c r="Q581" i="2"/>
  <c r="L778" i="2"/>
  <c r="V971" i="2"/>
  <c r="U776" i="2"/>
  <c r="J582" i="2"/>
  <c r="J921" i="2"/>
  <c r="F1116" i="2"/>
  <c r="E921" i="2"/>
  <c r="O1506" i="2"/>
  <c r="N1311" i="2"/>
  <c r="G1117" i="2"/>
  <c r="F922" i="2"/>
  <c r="G1116" i="2"/>
  <c r="O1091" i="2"/>
  <c r="U1091" i="2"/>
  <c r="P1090" i="2"/>
  <c r="U699" i="2"/>
  <c r="S699" i="2"/>
  <c r="L700" i="2"/>
  <c r="T547" i="2"/>
  <c r="G739" i="2"/>
  <c r="F544" i="2"/>
  <c r="Q1128" i="2"/>
  <c r="P933" i="2"/>
  <c r="E739" i="2"/>
  <c r="D544" i="2"/>
  <c r="U738" i="2"/>
  <c r="T543" i="2"/>
  <c r="C739" i="2"/>
  <c r="W543" i="2"/>
  <c r="R1127" i="2"/>
  <c r="Q932" i="2"/>
  <c r="F738" i="2"/>
  <c r="E543" i="2"/>
  <c r="V737" i="2"/>
  <c r="U542" i="2"/>
  <c r="D738" i="2"/>
  <c r="C543" i="2"/>
  <c r="L737" i="2"/>
  <c r="K542" i="2"/>
  <c r="S347" i="2"/>
  <c r="R152" i="2"/>
  <c r="M316" i="2"/>
  <c r="N881" i="2"/>
  <c r="W1270" i="2"/>
  <c r="O880" i="2"/>
  <c r="F879" i="2"/>
  <c r="J489" i="2"/>
  <c r="R879" i="2"/>
  <c r="W636" i="2"/>
  <c r="V393" i="2"/>
  <c r="E589" i="2"/>
  <c r="E785" i="2"/>
  <c r="O978" i="2"/>
  <c r="N783" i="2"/>
  <c r="C589" i="2"/>
  <c r="W393" i="2"/>
  <c r="S588" i="2"/>
  <c r="R393" i="2"/>
  <c r="V588" i="2"/>
  <c r="F784" i="2"/>
  <c r="P977" i="2"/>
  <c r="C1280" i="2"/>
  <c r="S1653" i="2"/>
  <c r="T1263" i="2"/>
  <c r="H1269" i="2"/>
  <c r="U878" i="2"/>
  <c r="I1268" i="2"/>
  <c r="T871" i="2"/>
  <c r="C1262" i="2"/>
  <c r="P871" i="2"/>
  <c r="D1261" i="2"/>
  <c r="Q870" i="2"/>
  <c r="H869" i="2"/>
  <c r="L479" i="2"/>
  <c r="T869" i="2"/>
  <c r="D871" i="2"/>
  <c r="F1160" i="2"/>
  <c r="P1157" i="2"/>
  <c r="H768" i="2"/>
  <c r="H767" i="2"/>
  <c r="O1171" i="2"/>
  <c r="V1363" i="2"/>
  <c r="U1168" i="2"/>
  <c r="N974" i="2"/>
  <c r="M779" i="2"/>
  <c r="N973" i="2"/>
  <c r="M778" i="2"/>
  <c r="I973" i="2"/>
  <c r="P778" i="2"/>
  <c r="E972" i="2"/>
  <c r="D777" i="2"/>
  <c r="N582" i="2"/>
  <c r="M387" i="2"/>
  <c r="I582" i="2"/>
  <c r="H387" i="2"/>
  <c r="L582" i="2"/>
  <c r="G779" i="2"/>
  <c r="Q972" i="2"/>
  <c r="P777" i="2"/>
  <c r="E583" i="2"/>
  <c r="D388" i="2"/>
  <c r="U582" i="2"/>
  <c r="T775" i="2"/>
  <c r="P970" i="2"/>
  <c r="N1168" i="2"/>
  <c r="D1361" i="2"/>
  <c r="C1166" i="2"/>
  <c r="Q971" i="2"/>
  <c r="P776" i="2"/>
  <c r="Q970" i="2"/>
  <c r="P775" i="2"/>
  <c r="L970" i="2"/>
  <c r="O1167" i="2"/>
  <c r="E1360" i="2"/>
  <c r="D1165" i="2"/>
  <c r="R970" i="2"/>
  <c r="Q775" i="2"/>
  <c r="R969" i="2"/>
  <c r="Q774" i="2"/>
  <c r="M969" i="2"/>
  <c r="T774" i="2"/>
  <c r="I968" i="2"/>
  <c r="H773" i="2"/>
  <c r="R578" i="2"/>
  <c r="Q383" i="2"/>
  <c r="M578" i="2"/>
  <c r="L383" i="2"/>
  <c r="P578" i="2"/>
  <c r="K775" i="2"/>
  <c r="U968" i="2"/>
  <c r="T773" i="2"/>
  <c r="I579" i="2"/>
  <c r="I918" i="2"/>
  <c r="E1113" i="2"/>
  <c r="D918" i="2"/>
  <c r="N1503" i="2"/>
  <c r="M1308" i="2"/>
  <c r="F1114" i="2"/>
  <c r="E919" i="2"/>
  <c r="F1113" i="2"/>
  <c r="K1079" i="2"/>
  <c r="Q1079" i="2"/>
  <c r="L1078" i="2"/>
  <c r="Q687" i="2"/>
  <c r="O687" i="2"/>
  <c r="H688" i="2"/>
  <c r="R541" i="2"/>
  <c r="F736" i="2"/>
  <c r="E541" i="2"/>
  <c r="P1125" i="2"/>
  <c r="O930" i="2"/>
  <c r="D736" i="2"/>
  <c r="C541" i="2"/>
  <c r="T735" i="2"/>
  <c r="S540" i="2"/>
  <c r="W735" i="2"/>
  <c r="V540" i="2"/>
  <c r="Q1124" i="2"/>
  <c r="P929" i="2"/>
  <c r="E735" i="2"/>
  <c r="D540" i="2"/>
  <c r="U734" i="2"/>
  <c r="T539" i="2"/>
  <c r="C735" i="2"/>
  <c r="W539" i="2"/>
  <c r="K734" i="2"/>
  <c r="J539" i="2"/>
  <c r="R344" i="2"/>
  <c r="Q149" i="2"/>
  <c r="L313" i="2"/>
  <c r="J869" i="2"/>
  <c r="S1258" i="2"/>
  <c r="K868" i="2"/>
  <c r="W866" i="2"/>
  <c r="F477" i="2"/>
  <c r="N867" i="2"/>
  <c r="U630" i="2"/>
  <c r="U390" i="2"/>
  <c r="D586" i="2"/>
  <c r="D782" i="2"/>
  <c r="N975" i="2"/>
  <c r="M780" i="2"/>
  <c r="W585" i="2"/>
  <c r="V390" i="2"/>
  <c r="R585" i="2"/>
  <c r="Q390" i="2"/>
  <c r="U585" i="2"/>
  <c r="E781" i="2"/>
  <c r="O974" i="2"/>
  <c r="T1267" i="2"/>
  <c r="O1641" i="2"/>
  <c r="P1251" i="2"/>
  <c r="D1257" i="2"/>
  <c r="Q866" i="2"/>
  <c r="E1256" i="2"/>
  <c r="P859" i="2"/>
  <c r="T1249" i="2"/>
  <c r="L859" i="2"/>
  <c r="U1248" i="2"/>
  <c r="M858" i="2"/>
  <c r="D857" i="2"/>
  <c r="H467" i="2"/>
  <c r="P857" i="2"/>
  <c r="U858" i="2"/>
  <c r="D1154" i="2"/>
  <c r="N1151" i="2"/>
  <c r="F762" i="2"/>
  <c r="F761" i="2"/>
  <c r="J1168" i="2"/>
  <c r="U1360" i="2"/>
  <c r="T1165" i="2"/>
  <c r="M971" i="2"/>
  <c r="L776" i="2"/>
  <c r="M970" i="2"/>
  <c r="L775" i="2"/>
  <c r="H970" i="2"/>
  <c r="O775" i="2"/>
  <c r="D969" i="2"/>
  <c r="C774" i="2"/>
  <c r="M579" i="2"/>
  <c r="L384" i="2"/>
  <c r="H579" i="2"/>
  <c r="G384" i="2"/>
  <c r="K579" i="2"/>
  <c r="F776" i="2"/>
  <c r="P969" i="2"/>
  <c r="O774" i="2"/>
  <c r="D580" i="2"/>
  <c r="C385" i="2"/>
  <c r="T579" i="2"/>
  <c r="S772" i="2"/>
  <c r="O967" i="2"/>
  <c r="M1165" i="2"/>
  <c r="C1358" i="2"/>
  <c r="W1162" i="2"/>
  <c r="P968" i="2"/>
  <c r="O773" i="2"/>
  <c r="P967" i="2"/>
  <c r="O772" i="2"/>
  <c r="K967" i="2"/>
  <c r="N1164" i="2"/>
  <c r="D1357" i="2"/>
  <c r="C1162" i="2"/>
  <c r="Q967" i="2"/>
  <c r="P772" i="2"/>
  <c r="Q966" i="2"/>
  <c r="P771" i="2"/>
  <c r="L966" i="2"/>
  <c r="S771" i="2"/>
  <c r="H965" i="2"/>
  <c r="L1337" i="2"/>
  <c r="D948" i="2"/>
  <c r="J1093" i="2"/>
  <c r="I898" i="2"/>
  <c r="E1093" i="2"/>
  <c r="D898" i="2"/>
  <c r="V1738" i="2"/>
  <c r="S1685" i="2"/>
  <c r="E1491" i="2"/>
  <c r="D1296" i="2"/>
  <c r="U1490" i="2"/>
  <c r="T1295" i="2"/>
  <c r="P1490" i="2"/>
  <c r="O1295" i="2"/>
  <c r="I1496" i="2"/>
  <c r="H1301" i="2"/>
  <c r="V1106" i="2"/>
  <c r="U911" i="2"/>
  <c r="V1105" i="2"/>
  <c r="U910" i="2"/>
  <c r="Q1105" i="2"/>
  <c r="P910" i="2"/>
  <c r="J1495" i="2"/>
  <c r="I1300" i="2"/>
  <c r="W1105" i="2"/>
  <c r="V910" i="2"/>
  <c r="W1104" i="2"/>
  <c r="C1592" i="2"/>
  <c r="I1513" i="2"/>
  <c r="O1497" i="2"/>
  <c r="E1497" i="2"/>
  <c r="P1669" i="2"/>
  <c r="I1491" i="2"/>
  <c r="H1296" i="2"/>
  <c r="D1491" i="2"/>
  <c r="C1296" i="2"/>
  <c r="T1490" i="2"/>
  <c r="S1295" i="2"/>
  <c r="D1675" i="2"/>
  <c r="S1669" i="2"/>
  <c r="E1475" i="2"/>
  <c r="D1280" i="2"/>
  <c r="U1474" i="2"/>
  <c r="T1279" i="2"/>
  <c r="P1474" i="2"/>
  <c r="O1279" i="2"/>
  <c r="I1480" i="2"/>
  <c r="H1285" i="2"/>
  <c r="V1090" i="2"/>
  <c r="U895" i="2"/>
  <c r="V1089" i="2"/>
  <c r="U894" i="2"/>
  <c r="Q1089" i="2"/>
  <c r="P894" i="2"/>
  <c r="J1479" i="2"/>
  <c r="I1284" i="2"/>
  <c r="W1089" i="2"/>
  <c r="V894" i="2"/>
  <c r="N2289" i="2"/>
  <c r="S2240" i="2"/>
  <c r="H2133" i="2"/>
  <c r="C2043" i="2"/>
  <c r="R1933" i="2"/>
  <c r="N1548" i="2"/>
  <c r="M1919" i="2"/>
  <c r="Q1557" i="2"/>
  <c r="D2026" i="2"/>
  <c r="I1291" i="2"/>
  <c r="J1541" i="2"/>
  <c r="V1691" i="2"/>
  <c r="E1965" i="2"/>
  <c r="J1230" i="2"/>
  <c r="N1687" i="2"/>
  <c r="I1533" i="2"/>
  <c r="I1734" i="2"/>
  <c r="Q2001" i="2"/>
  <c r="R1639" i="2"/>
  <c r="V1266" i="2"/>
  <c r="W2049" i="2"/>
  <c r="F1769" i="2"/>
  <c r="L1766" i="2"/>
  <c r="N1830" i="2"/>
  <c r="L1444" i="2"/>
  <c r="T1821" i="2"/>
  <c r="R2174" i="2"/>
  <c r="I1993" i="2"/>
  <c r="N1765" i="2"/>
  <c r="H1551" i="2"/>
  <c r="E1742" i="2"/>
  <c r="Q1674" i="2"/>
  <c r="P1546" i="2"/>
  <c r="E2091" i="2"/>
  <c r="K1979" i="2"/>
  <c r="M1837" i="2"/>
  <c r="P1998" i="2"/>
  <c r="C1811" i="2"/>
  <c r="C1836" i="2"/>
  <c r="N1850" i="2"/>
  <c r="N1858" i="2"/>
  <c r="J1838" i="2"/>
  <c r="I1843" i="2"/>
  <c r="L1300" i="2"/>
  <c r="W1140" i="2"/>
  <c r="P1514" i="2"/>
  <c r="C1527" i="2"/>
  <c r="H1288" i="2"/>
  <c r="S1527" i="2"/>
  <c r="O1511" i="2"/>
  <c r="W1523" i="2"/>
  <c r="S1507" i="2"/>
  <c r="V1633" i="2"/>
  <c r="E1630" i="2"/>
  <c r="W1181" i="2"/>
  <c r="S1165" i="2"/>
  <c r="O781" i="2"/>
  <c r="P780" i="2"/>
  <c r="F1178" i="2"/>
  <c r="R1504" i="2"/>
  <c r="R1621" i="2"/>
  <c r="V1617" i="2"/>
  <c r="V1178" i="2"/>
  <c r="R1162" i="2"/>
  <c r="N778" i="2"/>
  <c r="O777" i="2"/>
  <c r="E1175" i="2"/>
  <c r="Q1501" i="2"/>
  <c r="N1609" i="2"/>
  <c r="R1605" i="2"/>
  <c r="U1175" i="2"/>
  <c r="Q1159" i="2"/>
  <c r="M775" i="2"/>
  <c r="N774" i="2"/>
  <c r="D1172" i="2"/>
  <c r="L1486" i="2"/>
  <c r="O1548" i="2"/>
  <c r="S1544" i="2"/>
  <c r="P1160" i="2"/>
  <c r="L1144" i="2"/>
  <c r="H760" i="2"/>
  <c r="I759" i="2"/>
  <c r="T1156" i="2"/>
  <c r="Q1143" i="2"/>
  <c r="M759" i="2"/>
  <c r="N758" i="2"/>
  <c r="U1143" i="2"/>
  <c r="N1517" i="2"/>
  <c r="O1132" i="2"/>
  <c r="P1131" i="2"/>
  <c r="D1140" i="2"/>
  <c r="R1513" i="2"/>
  <c r="S1128" i="2"/>
  <c r="T1127" i="2"/>
  <c r="N1121" i="2"/>
  <c r="O1120" i="2"/>
  <c r="J729" i="2"/>
  <c r="J1896" i="2"/>
  <c r="W1875" i="2"/>
  <c r="L1734" i="2"/>
  <c r="W1475" i="2"/>
  <c r="S1459" i="2"/>
  <c r="F1472" i="2"/>
  <c r="U1904" i="2"/>
  <c r="V1472" i="2"/>
  <c r="R1456" i="2"/>
  <c r="E1469" i="2"/>
  <c r="M1880" i="2"/>
  <c r="U1469" i="2"/>
  <c r="Q1453" i="2"/>
  <c r="D1466" i="2"/>
  <c r="E1856" i="2"/>
  <c r="T1466" i="2"/>
  <c r="P1450" i="2"/>
  <c r="C1463" i="2"/>
  <c r="T1446" i="2"/>
  <c r="V1584" i="2"/>
  <c r="E1581" i="2"/>
  <c r="U1510" i="2"/>
  <c r="Q1494" i="2"/>
  <c r="R1109" i="2"/>
  <c r="S1108" i="2"/>
  <c r="D1507" i="2"/>
  <c r="S1443" i="2"/>
  <c r="R1572" i="2"/>
  <c r="V1568" i="2"/>
  <c r="T1507" i="2"/>
  <c r="P1491" i="2"/>
  <c r="Q1106" i="2"/>
  <c r="R1105" i="2"/>
  <c r="C1504" i="2"/>
  <c r="R1440" i="2"/>
  <c r="N1560" i="2"/>
  <c r="R1556" i="2"/>
  <c r="S1504" i="2"/>
  <c r="O1488" i="2"/>
  <c r="P1103" i="2"/>
  <c r="Q1102" i="2"/>
  <c r="W1500" i="2"/>
  <c r="M1425" i="2"/>
  <c r="S1694" i="2"/>
  <c r="W1690" i="2"/>
  <c r="N1489" i="2"/>
  <c r="J1473" i="2"/>
  <c r="K1088" i="2"/>
  <c r="L1087" i="2"/>
  <c r="R1485" i="2"/>
  <c r="O1472" i="2"/>
  <c r="P1087" i="2"/>
  <c r="Q1086" i="2"/>
  <c r="S1472" i="2"/>
  <c r="O1456" i="2"/>
  <c r="P1071" i="2"/>
  <c r="Q1070" i="2"/>
  <c r="W1468" i="2"/>
  <c r="S1452" i="2"/>
  <c r="T1067" i="2"/>
  <c r="U1066" i="2"/>
  <c r="O1060" i="2"/>
  <c r="P1059" i="2"/>
  <c r="K668" i="2"/>
  <c r="J1847" i="2"/>
  <c r="J1738" i="2"/>
  <c r="G1780" i="2"/>
  <c r="C1415" i="2"/>
  <c r="T1398" i="2"/>
  <c r="G1411" i="2"/>
  <c r="L1731" i="2"/>
  <c r="W1411" i="2"/>
  <c r="S1395" i="2"/>
  <c r="F1408" i="2"/>
  <c r="M1877" i="2"/>
  <c r="V1408" i="2"/>
  <c r="R1392" i="2"/>
  <c r="E1405" i="2"/>
  <c r="R1828" i="2"/>
  <c r="U1405" i="2"/>
  <c r="Q1389" i="2"/>
  <c r="D1402" i="2"/>
  <c r="U1385" i="2"/>
  <c r="W1582" i="2"/>
  <c r="H1581" i="2"/>
  <c r="V1449" i="2"/>
  <c r="R1433" i="2"/>
  <c r="S1048" i="2"/>
  <c r="T1047" i="2"/>
  <c r="E1446" i="2"/>
  <c r="T1382" i="2"/>
  <c r="U1576" i="2"/>
  <c r="F1575" i="2"/>
  <c r="U1446" i="2"/>
  <c r="Q1430" i="2"/>
  <c r="R1045" i="2"/>
  <c r="S1044" i="2"/>
  <c r="D1443" i="2"/>
  <c r="S1379" i="2"/>
  <c r="S1570" i="2"/>
  <c r="D1569" i="2"/>
  <c r="T1443" i="2"/>
  <c r="P1427" i="2"/>
  <c r="Q1042" i="2"/>
  <c r="R1041" i="2"/>
  <c r="C1440" i="2"/>
  <c r="N1364" i="2"/>
  <c r="I1540" i="2"/>
  <c r="O1538" i="2"/>
  <c r="O1428" i="2"/>
  <c r="K1412" i="2"/>
  <c r="L1027" i="2"/>
  <c r="M1026" i="2"/>
  <c r="S1424" i="2"/>
  <c r="P1411" i="2"/>
  <c r="N1319" i="2"/>
  <c r="F929" i="2"/>
  <c r="O1318" i="2"/>
  <c r="F1620" i="2"/>
  <c r="R1620" i="2"/>
  <c r="I1314" i="2"/>
  <c r="L1688" i="2"/>
  <c r="E1298" i="2"/>
  <c r="N1303" i="2"/>
  <c r="F913" i="2"/>
  <c r="O1302" i="2"/>
  <c r="G1559" i="2"/>
  <c r="H1590" i="2"/>
  <c r="M1310" i="2"/>
  <c r="H1684" i="2"/>
  <c r="I1294" i="2"/>
  <c r="R1299" i="2"/>
  <c r="J909" i="2"/>
  <c r="S1298" i="2"/>
  <c r="I902" i="2"/>
  <c r="M1292" i="2"/>
  <c r="E902" i="2"/>
  <c r="N1291" i="2"/>
  <c r="F901" i="2"/>
  <c r="R899" i="2"/>
  <c r="V509" i="2"/>
  <c r="V1800" i="2"/>
  <c r="E1797" i="2"/>
  <c r="Q1574" i="2"/>
  <c r="F1637" i="2"/>
  <c r="U1386" i="2"/>
  <c r="W1624" i="2"/>
  <c r="T1383" i="2"/>
  <c r="S1612" i="2"/>
  <c r="S1380" i="2"/>
  <c r="O1600" i="2"/>
  <c r="R1377" i="2"/>
  <c r="V1373" i="2"/>
  <c r="H1330" i="2"/>
  <c r="S1421" i="2"/>
  <c r="P1036" i="2"/>
  <c r="U1370" i="2"/>
  <c r="G1327" i="2"/>
  <c r="R1418" i="2"/>
  <c r="O1033" i="2"/>
  <c r="T1367" i="2"/>
  <c r="F1324" i="2"/>
  <c r="Q1415" i="2"/>
  <c r="N1030" i="2"/>
  <c r="O1352" i="2"/>
  <c r="V1308" i="2"/>
  <c r="L1400" i="2"/>
  <c r="I1015" i="2"/>
  <c r="Q1399" i="2"/>
  <c r="N1014" i="2"/>
  <c r="Q1383" i="2"/>
  <c r="N998" i="2"/>
  <c r="U1379" i="2"/>
  <c r="R994" i="2"/>
  <c r="M987" i="2"/>
  <c r="O755" i="2"/>
  <c r="L364" i="2"/>
  <c r="P1676" i="2"/>
  <c r="Q1286" i="2"/>
  <c r="E1292" i="2"/>
  <c r="R901" i="2"/>
  <c r="F1291" i="2"/>
  <c r="D1617" i="2"/>
  <c r="H1613" i="2"/>
  <c r="U1286" i="2"/>
  <c r="P1660" i="2"/>
  <c r="Q1270" i="2"/>
  <c r="E1276" i="2"/>
  <c r="R885" i="2"/>
  <c r="F1275" i="2"/>
  <c r="E1556" i="2"/>
  <c r="C1598" i="2"/>
  <c r="D1283" i="2"/>
  <c r="T1656" i="2"/>
  <c r="U1266" i="2"/>
  <c r="I1272" i="2"/>
  <c r="V881" i="2"/>
  <c r="J1271" i="2"/>
  <c r="U874" i="2"/>
  <c r="D1265" i="2"/>
  <c r="Q874" i="2"/>
  <c r="E1264" i="2"/>
  <c r="R873" i="2"/>
  <c r="I872" i="2"/>
  <c r="M482" i="2"/>
  <c r="U872" i="2"/>
  <c r="E874" i="2"/>
  <c r="F1426" i="2"/>
  <c r="K1774" i="2"/>
  <c r="W1738" i="2"/>
  <c r="D1745" i="2"/>
  <c r="T1908" i="2"/>
  <c r="V1914" i="2"/>
  <c r="L1884" i="2"/>
  <c r="N1890" i="2"/>
  <c r="D1860" i="2"/>
  <c r="C1477" i="2"/>
  <c r="V1193" i="2"/>
  <c r="S792" i="2"/>
  <c r="E1190" i="2"/>
  <c r="W1473" i="2"/>
  <c r="U1190" i="2"/>
  <c r="R789" i="2"/>
  <c r="D1187" i="2"/>
  <c r="V1470" i="2"/>
  <c r="T1187" i="2"/>
  <c r="Q786" i="2"/>
  <c r="C1184" i="2"/>
  <c r="Q1455" i="2"/>
  <c r="O1172" i="2"/>
  <c r="L771" i="2"/>
  <c r="S1168" i="2"/>
  <c r="Q770" i="2"/>
  <c r="T1155" i="2"/>
  <c r="Q754" i="2"/>
  <c r="C1152" i="2"/>
  <c r="U750" i="2"/>
  <c r="M1133" i="2"/>
  <c r="Q741" i="2"/>
  <c r="D596" i="2"/>
  <c r="P1848" i="2"/>
  <c r="I1518" i="2"/>
  <c r="R1523" i="2"/>
  <c r="J1133" i="2"/>
  <c r="S1522" i="2"/>
  <c r="K1132" i="2"/>
  <c r="W1216" i="2"/>
  <c r="M1518" i="2"/>
  <c r="P1784" i="2"/>
  <c r="I1502" i="2"/>
  <c r="R1507" i="2"/>
  <c r="J1117" i="2"/>
  <c r="S1506" i="2"/>
  <c r="K1116" i="2"/>
  <c r="R1201" i="2"/>
  <c r="Q1514" i="2"/>
  <c r="K1769" i="2"/>
  <c r="M1498" i="2"/>
  <c r="V1503" i="2"/>
  <c r="N1113" i="2"/>
  <c r="W1502" i="2"/>
  <c r="O1112" i="2"/>
  <c r="Q1496" i="2"/>
  <c r="I1106" i="2"/>
  <c r="R1495" i="2"/>
  <c r="J1105" i="2"/>
  <c r="V1103" i="2"/>
  <c r="E714" i="2"/>
  <c r="M1104" i="2"/>
  <c r="Q714" i="2"/>
  <c r="V1495" i="2"/>
  <c r="E1231" i="2"/>
  <c r="F1713" i="2"/>
  <c r="V1697" i="2"/>
  <c r="W1700" i="2"/>
  <c r="R1685" i="2"/>
  <c r="S1688" i="2"/>
  <c r="N1673" i="2"/>
  <c r="O1676" i="2"/>
  <c r="J1661" i="2"/>
  <c r="H1428" i="2"/>
  <c r="F1145" i="2"/>
  <c r="U1133" i="2"/>
  <c r="J1141" i="2"/>
  <c r="G1425" i="2"/>
  <c r="E1142" i="2"/>
  <c r="T1130" i="2"/>
  <c r="F1528" i="2"/>
  <c r="F1422" i="2"/>
  <c r="V1528" i="2"/>
  <c r="S1127" i="2"/>
  <c r="E1525" i="2"/>
  <c r="V1406" i="2"/>
  <c r="Q1513" i="2"/>
  <c r="N1112" i="2"/>
  <c r="U1509" i="2"/>
  <c r="S1111" i="2"/>
  <c r="V1496" i="2"/>
  <c r="S1095" i="2"/>
  <c r="E1493" i="2"/>
  <c r="W1091" i="2"/>
  <c r="R1084" i="2"/>
  <c r="V692" i="2"/>
  <c r="U583" i="2"/>
  <c r="U1799" i="2"/>
  <c r="E1506" i="2"/>
  <c r="N1511" i="2"/>
  <c r="F1121" i="2"/>
  <c r="O1510" i="2"/>
  <c r="G1120" i="2"/>
  <c r="G1168" i="2"/>
  <c r="I1506" i="2"/>
  <c r="U1735" i="2"/>
  <c r="E1490" i="2"/>
  <c r="N1495" i="2"/>
  <c r="F1105" i="2"/>
  <c r="O1494" i="2"/>
  <c r="G1104" i="2"/>
  <c r="W1152" i="2"/>
  <c r="M1502" i="2"/>
  <c r="S1720" i="2"/>
  <c r="I1486" i="2"/>
  <c r="R1491" i="2"/>
  <c r="J1101" i="2"/>
  <c r="S1490" i="2"/>
  <c r="K1100" i="2"/>
  <c r="M1484" i="2"/>
  <c r="E1094" i="2"/>
  <c r="N1483" i="2"/>
  <c r="F1093" i="2"/>
  <c r="R1091" i="2"/>
  <c r="V701" i="2"/>
  <c r="I1092" i="2"/>
  <c r="M702" i="2"/>
  <c r="R1483" i="2"/>
  <c r="F1394" i="2"/>
  <c r="W1301" i="2"/>
  <c r="W1381" i="2"/>
  <c r="U1295" i="2"/>
  <c r="S1369" i="2"/>
  <c r="S1289" i="2"/>
  <c r="O1357" i="2"/>
  <c r="Q1283" i="2"/>
  <c r="K1200" i="2"/>
  <c r="D1633" i="2"/>
  <c r="Q1280" i="2"/>
  <c r="I1616" i="2"/>
  <c r="J1197" i="2"/>
  <c r="J1619" i="2"/>
  <c r="P1277" i="2"/>
  <c r="E1604" i="2"/>
  <c r="I1194" i="2"/>
  <c r="F1607" i="2"/>
  <c r="O1274" i="2"/>
  <c r="V1591" i="2"/>
  <c r="D1179" i="2"/>
  <c r="G1546" i="2"/>
  <c r="J1259" i="2"/>
  <c r="W1530" i="2"/>
  <c r="O1258" i="2"/>
  <c r="P1680" i="2"/>
  <c r="O1242" i="2"/>
  <c r="C1673" i="2"/>
  <c r="S1238" i="2"/>
  <c r="N1231" i="2"/>
  <c r="S838" i="2"/>
  <c r="W814" i="2"/>
  <c r="G816" i="2"/>
  <c r="U1347" i="2"/>
  <c r="K1347" i="2"/>
  <c r="Q963" i="2"/>
  <c r="L962" i="2"/>
  <c r="R962" i="2"/>
  <c r="G1721" i="2"/>
  <c r="D1348" i="2"/>
  <c r="O1347" i="2"/>
  <c r="U1331" i="2"/>
  <c r="K1331" i="2"/>
  <c r="Q947" i="2"/>
  <c r="L946" i="2"/>
  <c r="R946" i="2"/>
  <c r="R1690" i="2"/>
  <c r="H1344" i="2"/>
  <c r="S1343" i="2"/>
  <c r="D1328" i="2"/>
  <c r="O1327" i="2"/>
  <c r="U943" i="2"/>
  <c r="P942" i="2"/>
  <c r="V942" i="2"/>
  <c r="O935" i="2"/>
  <c r="P936" i="2"/>
  <c r="K935" i="2"/>
  <c r="Q935" i="2"/>
  <c r="L934" i="2"/>
  <c r="Q543" i="2"/>
  <c r="O543" i="2"/>
  <c r="H544" i="2"/>
  <c r="T934" i="2"/>
  <c r="U935" i="2"/>
  <c r="W812" i="2"/>
  <c r="L1600" i="2"/>
  <c r="M1210" i="2"/>
  <c r="V1215" i="2"/>
  <c r="N825" i="2"/>
  <c r="W1214" i="2"/>
  <c r="L1172" i="2"/>
  <c r="P1600" i="2"/>
  <c r="Q1210" i="2"/>
  <c r="L1584" i="2"/>
  <c r="R1194" i="2"/>
  <c r="M1194" i="2"/>
  <c r="H1194" i="2"/>
  <c r="V1199" i="2"/>
  <c r="N810" i="2"/>
  <c r="N809" i="2"/>
  <c r="I809" i="2"/>
  <c r="W1198" i="2"/>
  <c r="O809" i="2"/>
  <c r="G1157" i="2"/>
  <c r="C1141" i="2"/>
  <c r="G1685" i="2"/>
  <c r="V1450" i="2"/>
  <c r="U1255" i="2"/>
  <c r="Q1450" i="2"/>
  <c r="H1829" i="2"/>
  <c r="Q1580" i="2"/>
  <c r="L1536" i="2"/>
  <c r="S1341" i="2"/>
  <c r="R1146" i="2"/>
  <c r="N1341" i="2"/>
  <c r="M1146" i="2"/>
  <c r="I1341" i="2"/>
  <c r="L1154" i="2"/>
  <c r="W1346" i="2"/>
  <c r="V1151" i="2"/>
  <c r="O957" i="2"/>
  <c r="N762" i="2"/>
  <c r="O956" i="2"/>
  <c r="N761" i="2"/>
  <c r="J956" i="2"/>
  <c r="M1153" i="2"/>
  <c r="C1346" i="2"/>
  <c r="W1150" i="2"/>
  <c r="P956" i="2"/>
  <c r="O761" i="2"/>
  <c r="P955" i="2"/>
  <c r="I1306" i="2"/>
  <c r="D1680" i="2"/>
  <c r="E1290" i="2"/>
  <c r="J1645" i="2"/>
  <c r="P1536" i="2"/>
  <c r="W1341" i="2"/>
  <c r="V1146" i="2"/>
  <c r="R1341" i="2"/>
  <c r="Q1146" i="2"/>
  <c r="M1341" i="2"/>
  <c r="E1863" i="2"/>
  <c r="Q1548" i="2"/>
  <c r="T1520" i="2"/>
  <c r="S1325" i="2"/>
  <c r="O1520" i="2"/>
  <c r="N1325" i="2"/>
  <c r="J1520" i="2"/>
  <c r="I1325" i="2"/>
  <c r="C1526" i="2"/>
  <c r="W1330" i="2"/>
  <c r="P1136" i="2"/>
  <c r="O941" i="2"/>
  <c r="P1135" i="2"/>
  <c r="O940" i="2"/>
  <c r="K1135" i="2"/>
  <c r="J940" i="2"/>
  <c r="D1525" i="2"/>
  <c r="C1330" i="2"/>
  <c r="Q1135" i="2"/>
  <c r="P940" i="2"/>
  <c r="Q1134" i="2"/>
  <c r="P939" i="2"/>
  <c r="D1291" i="2"/>
  <c r="T1664" i="2"/>
  <c r="U1274" i="2"/>
  <c r="U1614" i="2"/>
  <c r="T1532" i="2"/>
  <c r="F1338" i="2"/>
  <c r="E1143" i="2"/>
  <c r="V1337" i="2"/>
  <c r="U1142" i="2"/>
  <c r="Q1337" i="2"/>
  <c r="N1842" i="2"/>
  <c r="D1541" i="2"/>
  <c r="C1517" i="2"/>
  <c r="W1321" i="2"/>
  <c r="S1516" i="2"/>
  <c r="R1321" i="2"/>
  <c r="N1516" i="2"/>
  <c r="M1321" i="2"/>
  <c r="G1522" i="2"/>
  <c r="F1327" i="2"/>
  <c r="T1132" i="2"/>
  <c r="S937" i="2"/>
  <c r="T1131" i="2"/>
  <c r="S936" i="2"/>
  <c r="O1131" i="2"/>
  <c r="N936" i="2"/>
  <c r="H1521" i="2"/>
  <c r="G1326" i="2"/>
  <c r="U1131" i="2"/>
  <c r="T936" i="2"/>
  <c r="U1130" i="2"/>
  <c r="T935" i="2"/>
  <c r="N1124" i="2"/>
  <c r="M929" i="2"/>
  <c r="W1514" i="2"/>
  <c r="V1319" i="2"/>
  <c r="O1125" i="2"/>
  <c r="N930" i="2"/>
  <c r="O1124" i="2"/>
  <c r="N929" i="2"/>
  <c r="J1124" i="2"/>
  <c r="I929" i="2"/>
  <c r="C1514" i="2"/>
  <c r="W1318" i="2"/>
  <c r="P1124" i="2"/>
  <c r="O929" i="2"/>
  <c r="P1123" i="2"/>
  <c r="O928" i="2"/>
  <c r="K1123" i="2"/>
  <c r="J928" i="2"/>
  <c r="G1122" i="2"/>
  <c r="F927" i="2"/>
  <c r="P732" i="2"/>
  <c r="O537" i="2"/>
  <c r="K732" i="2"/>
  <c r="J537" i="2"/>
  <c r="N732" i="2"/>
  <c r="M537" i="2"/>
  <c r="S1122" i="2"/>
  <c r="R927" i="2"/>
  <c r="G733" i="2"/>
  <c r="F538" i="2"/>
  <c r="W732" i="2"/>
  <c r="I934" i="2"/>
  <c r="S1123" i="2"/>
  <c r="R928" i="2"/>
  <c r="G1514" i="2"/>
  <c r="F1319" i="2"/>
  <c r="T1124" i="2"/>
  <c r="S929" i="2"/>
  <c r="T1123" i="2"/>
  <c r="S928" i="2"/>
  <c r="O1123" i="2"/>
  <c r="N928" i="2"/>
  <c r="C1487" i="2"/>
  <c r="I1471" i="2"/>
  <c r="T1470" i="2"/>
  <c r="E1087" i="2"/>
  <c r="U1085" i="2"/>
  <c r="F1086" i="2"/>
  <c r="T1078" i="2"/>
  <c r="U1079" i="2"/>
  <c r="P1078" i="2"/>
  <c r="V1078" i="2"/>
  <c r="Q1077" i="2"/>
  <c r="V686" i="2"/>
  <c r="T686" i="2"/>
  <c r="M687" i="2"/>
  <c r="D1078" i="2"/>
  <c r="I1456" i="2"/>
  <c r="V1066" i="2"/>
  <c r="V1065" i="2"/>
  <c r="Q1065" i="2"/>
  <c r="H1513" i="2"/>
  <c r="G1318" i="2"/>
  <c r="U1123" i="2"/>
  <c r="T928" i="2"/>
  <c r="U1122" i="2"/>
  <c r="T927" i="2"/>
  <c r="P1122" i="2"/>
  <c r="O927" i="2"/>
  <c r="L1121" i="2"/>
  <c r="K926" i="2"/>
  <c r="U731" i="2"/>
  <c r="T536" i="2"/>
  <c r="P731" i="2"/>
  <c r="O536" i="2"/>
  <c r="S731" i="2"/>
  <c r="R536" i="2"/>
  <c r="C1122" i="2"/>
  <c r="W926" i="2"/>
  <c r="L732" i="2"/>
  <c r="K537" i="2"/>
  <c r="G732" i="2"/>
  <c r="Q926" i="2"/>
  <c r="W1119" i="2"/>
  <c r="V924" i="2"/>
  <c r="K1510" i="2"/>
  <c r="J1315" i="2"/>
  <c r="C1121" i="2"/>
  <c r="W925" i="2"/>
  <c r="C1120" i="2"/>
  <c r="W924" i="2"/>
  <c r="S1119" i="2"/>
  <c r="R924" i="2"/>
  <c r="L1509" i="2"/>
  <c r="K1314" i="2"/>
  <c r="D1120" i="2"/>
  <c r="C925" i="2"/>
  <c r="D1119" i="2"/>
  <c r="C924" i="2"/>
  <c r="T1118" i="2"/>
  <c r="S923" i="2"/>
  <c r="P1117" i="2"/>
  <c r="O922" i="2"/>
  <c r="D728" i="2"/>
  <c r="C533" i="2"/>
  <c r="T727" i="2"/>
  <c r="S532" i="2"/>
  <c r="W727" i="2"/>
  <c r="V532" i="2"/>
  <c r="G1118" i="2"/>
  <c r="F923" i="2"/>
  <c r="P728" i="2"/>
  <c r="O533" i="2"/>
  <c r="O872" i="2"/>
  <c r="K1067" i="2"/>
  <c r="J872" i="2"/>
  <c r="T1457" i="2"/>
  <c r="S1262" i="2"/>
  <c r="L1068" i="2"/>
  <c r="K873" i="2"/>
  <c r="L1067" i="2"/>
  <c r="N896" i="2"/>
  <c r="T896" i="2"/>
  <c r="O895" i="2"/>
  <c r="T504" i="2"/>
  <c r="R504" i="2"/>
  <c r="K505" i="2"/>
  <c r="H495" i="2"/>
  <c r="L690" i="2"/>
  <c r="K495" i="2"/>
  <c r="V1079" i="2"/>
  <c r="U884" i="2"/>
  <c r="J690" i="2"/>
  <c r="I495" i="2"/>
  <c r="E690" i="2"/>
  <c r="D495" i="2"/>
  <c r="H690" i="2"/>
  <c r="G495" i="2"/>
  <c r="W1078" i="2"/>
  <c r="V883" i="2"/>
  <c r="K689" i="2"/>
  <c r="J494" i="2"/>
  <c r="F689" i="2"/>
  <c r="E494" i="2"/>
  <c r="I689" i="2"/>
  <c r="H494" i="2"/>
  <c r="Q688" i="2"/>
  <c r="P493" i="2"/>
  <c r="C299" i="2"/>
  <c r="W103" i="2"/>
  <c r="R267" i="2"/>
  <c r="J1076" i="2"/>
  <c r="P1076" i="2"/>
  <c r="K1075" i="2"/>
  <c r="P684" i="2"/>
  <c r="N684" i="2"/>
  <c r="G685" i="2"/>
  <c r="G540" i="2"/>
  <c r="K735" i="2"/>
  <c r="J540" i="2"/>
  <c r="U1124" i="2"/>
  <c r="T929" i="2"/>
  <c r="I735" i="2"/>
  <c r="H540" i="2"/>
  <c r="D735" i="2"/>
  <c r="C540" i="2"/>
  <c r="G735" i="2"/>
  <c r="F540" i="2"/>
  <c r="V1123" i="2"/>
  <c r="U928" i="2"/>
  <c r="T1474" i="2"/>
  <c r="E1459" i="2"/>
  <c r="P1458" i="2"/>
  <c r="V1074" i="2"/>
  <c r="Q1073" i="2"/>
  <c r="W1073" i="2"/>
  <c r="P1066" i="2"/>
  <c r="Q1067" i="2"/>
  <c r="L1066" i="2"/>
  <c r="R1066" i="2"/>
  <c r="M1065" i="2"/>
  <c r="R674" i="2"/>
  <c r="P674" i="2"/>
  <c r="I675" i="2"/>
  <c r="U1065" i="2"/>
  <c r="G1450" i="2"/>
  <c r="T1060" i="2"/>
  <c r="T1059" i="2"/>
  <c r="O1059" i="2"/>
  <c r="G1510" i="2"/>
  <c r="F1315" i="2"/>
  <c r="T1120" i="2"/>
  <c r="S925" i="2"/>
  <c r="T1119" i="2"/>
  <c r="S924" i="2"/>
  <c r="O1119" i="2"/>
  <c r="N924" i="2"/>
  <c r="K1118" i="2"/>
  <c r="J923" i="2"/>
  <c r="T728" i="2"/>
  <c r="S533" i="2"/>
  <c r="O728" i="2"/>
  <c r="N533" i="2"/>
  <c r="R728" i="2"/>
  <c r="Q533" i="2"/>
  <c r="W1118" i="2"/>
  <c r="V923" i="2"/>
  <c r="K729" i="2"/>
  <c r="J534" i="2"/>
  <c r="F729" i="2"/>
  <c r="E922" i="2"/>
  <c r="V1116" i="2"/>
  <c r="U921" i="2"/>
  <c r="J1507" i="2"/>
  <c r="I1312" i="2"/>
  <c r="W1117" i="2"/>
  <c r="V922" i="2"/>
  <c r="W1116" i="2"/>
  <c r="V921" i="2"/>
  <c r="R1116" i="2"/>
  <c r="Q921" i="2"/>
  <c r="K1506" i="2"/>
  <c r="J1311" i="2"/>
  <c r="C1117" i="2"/>
  <c r="W921" i="2"/>
  <c r="C1116" i="2"/>
  <c r="W920" i="2"/>
  <c r="S1115" i="2"/>
  <c r="R920" i="2"/>
  <c r="O1114" i="2"/>
  <c r="N919" i="2"/>
  <c r="C725" i="2"/>
  <c r="W529" i="2"/>
  <c r="S724" i="2"/>
  <c r="R529" i="2"/>
  <c r="V724" i="2"/>
  <c r="U529" i="2"/>
  <c r="F1115" i="2"/>
  <c r="E920" i="2"/>
  <c r="O725" i="2"/>
  <c r="N530" i="2"/>
  <c r="N869" i="2"/>
  <c r="J1064" i="2"/>
  <c r="I869" i="2"/>
  <c r="S1454" i="2"/>
  <c r="R1259" i="2"/>
  <c r="K1065" i="2"/>
  <c r="J870" i="2"/>
  <c r="K1064" i="2"/>
  <c r="J884" i="2"/>
  <c r="P884" i="2"/>
  <c r="K883" i="2"/>
  <c r="P492" i="2"/>
  <c r="N492" i="2"/>
  <c r="G493" i="2"/>
  <c r="G492" i="2"/>
  <c r="K687" i="2"/>
  <c r="J492" i="2"/>
  <c r="U1076" i="2"/>
  <c r="T881" i="2"/>
  <c r="I687" i="2"/>
  <c r="H492" i="2"/>
  <c r="D687" i="2"/>
  <c r="C492" i="2"/>
  <c r="G687" i="2"/>
  <c r="F492" i="2"/>
  <c r="V1075" i="2"/>
  <c r="U880" i="2"/>
  <c r="J686" i="2"/>
  <c r="I491" i="2"/>
  <c r="E686" i="2"/>
  <c r="D491" i="2"/>
  <c r="H686" i="2"/>
  <c r="G491" i="2"/>
  <c r="P685" i="2"/>
  <c r="O490" i="2"/>
  <c r="W295" i="2"/>
  <c r="V100" i="2"/>
  <c r="Q264" i="2"/>
  <c r="F1064" i="2"/>
  <c r="L1064" i="2"/>
  <c r="G1063" i="2"/>
  <c r="L672" i="2"/>
  <c r="J672" i="2"/>
  <c r="C673" i="2"/>
  <c r="F537" i="2"/>
  <c r="J732" i="2"/>
  <c r="I537" i="2"/>
  <c r="T1121" i="2"/>
  <c r="S926" i="2"/>
  <c r="H732" i="2"/>
  <c r="G537" i="2"/>
  <c r="C732" i="2"/>
  <c r="W536" i="2"/>
  <c r="F732" i="2"/>
  <c r="E537" i="2"/>
  <c r="U1120" i="2"/>
  <c r="T925" i="2"/>
  <c r="P1462" i="2"/>
  <c r="V1446" i="2"/>
  <c r="L1446" i="2"/>
  <c r="R1062" i="2"/>
  <c r="M1061" i="2"/>
  <c r="S1061" i="2"/>
  <c r="L1054" i="2"/>
  <c r="M1055" i="2"/>
  <c r="H1054" i="2"/>
  <c r="N1054" i="2"/>
  <c r="I1053" i="2"/>
  <c r="N662" i="2"/>
  <c r="L662" i="2"/>
  <c r="E663" i="2"/>
  <c r="Q1053" i="2"/>
  <c r="E1444" i="2"/>
  <c r="R1054" i="2"/>
  <c r="R1053" i="2"/>
  <c r="M1053" i="2"/>
  <c r="F1507" i="2"/>
  <c r="E1312" i="2"/>
  <c r="S1117" i="2"/>
  <c r="R922" i="2"/>
  <c r="S1116" i="2"/>
  <c r="R921" i="2"/>
  <c r="N1116" i="2"/>
  <c r="M921" i="2"/>
  <c r="J1115" i="2"/>
  <c r="I920" i="2"/>
  <c r="S725" i="2"/>
  <c r="R530" i="2"/>
  <c r="N725" i="2"/>
  <c r="M530" i="2"/>
  <c r="Q725" i="2"/>
  <c r="P530" i="2"/>
  <c r="V1115" i="2"/>
  <c r="U920" i="2"/>
  <c r="J726" i="2"/>
  <c r="I531" i="2"/>
  <c r="E726" i="2"/>
  <c r="D919" i="2"/>
  <c r="U1113" i="2"/>
  <c r="T918" i="2"/>
  <c r="I1504" i="2"/>
  <c r="H1309" i="2"/>
  <c r="V1114" i="2"/>
  <c r="U919" i="2"/>
  <c r="V1113" i="2"/>
  <c r="U918" i="2"/>
  <c r="Q1113" i="2"/>
  <c r="P918" i="2"/>
  <c r="J1503" i="2"/>
  <c r="I1308" i="2"/>
  <c r="W1113" i="2"/>
  <c r="V918" i="2"/>
  <c r="W1112" i="2"/>
  <c r="V917" i="2"/>
  <c r="R1112" i="2"/>
  <c r="Q917" i="2"/>
  <c r="N1111" i="2"/>
  <c r="M916" i="2"/>
  <c r="V1239" i="2"/>
  <c r="N850" i="2"/>
  <c r="O1044" i="2"/>
  <c r="N849" i="2"/>
  <c r="J1044" i="2"/>
  <c r="I849" i="2"/>
  <c r="C1544" i="2"/>
  <c r="C1637" i="2"/>
  <c r="J1442" i="2"/>
  <c r="I1247" i="2"/>
  <c r="E1442" i="2"/>
  <c r="D1247" i="2"/>
  <c r="U1441" i="2"/>
  <c r="T1246" i="2"/>
  <c r="N1447" i="2"/>
  <c r="M1252" i="2"/>
  <c r="F1058" i="2"/>
  <c r="E863" i="2"/>
  <c r="F1057" i="2"/>
  <c r="E862" i="2"/>
  <c r="V1056" i="2"/>
  <c r="U861" i="2"/>
  <c r="O1446" i="2"/>
  <c r="N1251" i="2"/>
  <c r="G1057" i="2"/>
  <c r="F862" i="2"/>
  <c r="G1056" i="2"/>
  <c r="C1433" i="2"/>
  <c r="H1318" i="2"/>
  <c r="N1302" i="2"/>
  <c r="D1302" i="2"/>
  <c r="L1668" i="2"/>
  <c r="N1442" i="2"/>
  <c r="M1247" i="2"/>
  <c r="I1442" i="2"/>
  <c r="H1247" i="2"/>
  <c r="D1442" i="2"/>
  <c r="C1247" i="2"/>
  <c r="T1674" i="2"/>
  <c r="C1621" i="2"/>
  <c r="J1426" i="2"/>
  <c r="I1231" i="2"/>
  <c r="E1426" i="2"/>
  <c r="D1231" i="2"/>
  <c r="U1425" i="2"/>
  <c r="T1230" i="2"/>
  <c r="N1431" i="2"/>
  <c r="M1236" i="2"/>
  <c r="F1042" i="2"/>
  <c r="E847" i="2"/>
  <c r="F1041" i="2"/>
  <c r="E846" i="2"/>
  <c r="V1040" i="2"/>
  <c r="U845" i="2"/>
  <c r="O1430" i="2"/>
  <c r="N1235" i="2"/>
  <c r="G1041" i="2"/>
  <c r="F846" i="2"/>
  <c r="G1040" i="2"/>
  <c r="N1402" i="2"/>
  <c r="C1303" i="2"/>
  <c r="I1287" i="2"/>
  <c r="T1286" i="2"/>
  <c r="T1660" i="2"/>
  <c r="R1438" i="2"/>
  <c r="Q1243" i="2"/>
  <c r="M1438" i="2"/>
  <c r="O1893" i="2"/>
  <c r="I1556" i="2"/>
  <c r="P1524" i="2"/>
  <c r="O1329" i="2"/>
  <c r="K1524" i="2"/>
  <c r="J1329" i="2"/>
  <c r="F1524" i="2"/>
  <c r="E1329" i="2"/>
  <c r="H1142" i="2"/>
  <c r="S1334" i="2"/>
  <c r="R1139" i="2"/>
  <c r="K945" i="2"/>
  <c r="L1139" i="2"/>
  <c r="K944" i="2"/>
  <c r="G1139" i="2"/>
  <c r="F944" i="2"/>
  <c r="U1528" i="2"/>
  <c r="T1333" i="2"/>
  <c r="M1139" i="2"/>
  <c r="L944" i="2"/>
  <c r="M1138" i="2"/>
  <c r="L943" i="2"/>
  <c r="N1257" i="2"/>
  <c r="I1631" i="2"/>
  <c r="J1241" i="2"/>
  <c r="T1547" i="2"/>
  <c r="T1524" i="2"/>
  <c r="S1329" i="2"/>
  <c r="O1524" i="2"/>
  <c r="N1329" i="2"/>
  <c r="J1524" i="2"/>
  <c r="I1329" i="2"/>
  <c r="C1809" i="2"/>
  <c r="V1718" i="2"/>
  <c r="P1508" i="2"/>
  <c r="O1313" i="2"/>
  <c r="K1508" i="2"/>
  <c r="J1313" i="2"/>
  <c r="F1508" i="2"/>
  <c r="E1313" i="2"/>
  <c r="T1513" i="2"/>
  <c r="S1318" i="2"/>
  <c r="L1124" i="2"/>
  <c r="K929" i="2"/>
  <c r="L1123" i="2"/>
  <c r="K928" i="2"/>
  <c r="G1123" i="2"/>
  <c r="F928" i="2"/>
  <c r="U1512" i="2"/>
  <c r="T1317" i="2"/>
  <c r="M1123" i="2"/>
  <c r="L928" i="2"/>
  <c r="M1122" i="2"/>
  <c r="L927" i="2"/>
  <c r="I1242" i="2"/>
  <c r="D1616" i="2"/>
  <c r="E1226" i="2"/>
  <c r="F1712" i="2"/>
  <c r="C1521" i="2"/>
  <c r="W1325" i="2"/>
  <c r="S1520" i="2"/>
  <c r="R1325" i="2"/>
  <c r="N1520" i="2"/>
  <c r="M1325" i="2"/>
  <c r="S1793" i="2"/>
  <c r="I1711" i="2"/>
  <c r="T1504" i="2"/>
  <c r="S1309" i="2"/>
  <c r="O1504" i="2"/>
  <c r="N1309" i="2"/>
  <c r="J1504" i="2"/>
  <c r="I1309" i="2"/>
  <c r="C1510" i="2"/>
  <c r="W1314" i="2"/>
  <c r="P1120" i="2"/>
  <c r="O925" i="2"/>
  <c r="P1119" i="2"/>
  <c r="O924" i="2"/>
  <c r="K1119" i="2"/>
  <c r="J924" i="2"/>
  <c r="D1509" i="2"/>
  <c r="C1314" i="2"/>
  <c r="Q1119" i="2"/>
  <c r="P924" i="2"/>
  <c r="Q1118" i="2"/>
  <c r="N917" i="2"/>
  <c r="J1112" i="2"/>
  <c r="I917" i="2"/>
  <c r="S1502" i="2"/>
  <c r="R1307" i="2"/>
  <c r="K1113" i="2"/>
  <c r="J918" i="2"/>
  <c r="K1112" i="2"/>
  <c r="J917" i="2"/>
  <c r="F1112" i="2"/>
  <c r="E917" i="2"/>
  <c r="T1501" i="2"/>
  <c r="S1306" i="2"/>
  <c r="L1112" i="2"/>
  <c r="K917" i="2"/>
  <c r="L1111" i="2"/>
  <c r="K916" i="2"/>
  <c r="G1111" i="2"/>
  <c r="F916" i="2"/>
  <c r="C1110" i="2"/>
  <c r="W914" i="2"/>
  <c r="L720" i="2"/>
  <c r="K525" i="2"/>
  <c r="G720" i="2"/>
  <c r="F525" i="2"/>
  <c r="J720" i="2"/>
  <c r="I525" i="2"/>
  <c r="O1110" i="2"/>
  <c r="N915" i="2"/>
  <c r="C721" i="2"/>
  <c r="W525" i="2"/>
  <c r="S720" i="2"/>
  <c r="S916" i="2"/>
  <c r="O1111" i="2"/>
  <c r="N916" i="2"/>
  <c r="C1502" i="2"/>
  <c r="W1306" i="2"/>
  <c r="P1112" i="2"/>
  <c r="O917" i="2"/>
  <c r="P1111" i="2"/>
  <c r="O916" i="2"/>
  <c r="K1111" i="2"/>
  <c r="J916" i="2"/>
  <c r="H1438" i="2"/>
  <c r="N1422" i="2"/>
  <c r="D1422" i="2"/>
  <c r="J1038" i="2"/>
  <c r="E1037" i="2"/>
  <c r="K1037" i="2"/>
  <c r="D1030" i="2"/>
  <c r="E1031" i="2"/>
  <c r="U1029" i="2"/>
  <c r="F1030" i="2"/>
  <c r="V1028" i="2"/>
  <c r="F638" i="2"/>
  <c r="D638" i="2"/>
  <c r="R638" i="2"/>
  <c r="M1041" i="2"/>
  <c r="V1431" i="2"/>
  <c r="N1042" i="2"/>
  <c r="N1041" i="2"/>
  <c r="I1041" i="2"/>
  <c r="D1501" i="2"/>
  <c r="C1306" i="2"/>
  <c r="Q1111" i="2"/>
  <c r="P916" i="2"/>
  <c r="Q1110" i="2"/>
  <c r="P915" i="2"/>
  <c r="L1110" i="2"/>
  <c r="K915" i="2"/>
  <c r="H1109" i="2"/>
  <c r="G914" i="2"/>
  <c r="Q719" i="2"/>
  <c r="P524" i="2"/>
  <c r="L719" i="2"/>
  <c r="K524" i="2"/>
  <c r="O719" i="2"/>
  <c r="N524" i="2"/>
  <c r="T1109" i="2"/>
  <c r="S914" i="2"/>
  <c r="H720" i="2"/>
  <c r="G525" i="2"/>
  <c r="C720" i="2"/>
  <c r="W912" i="2"/>
  <c r="S1107" i="2"/>
  <c r="R912" i="2"/>
  <c r="G1498" i="2"/>
  <c r="F1303" i="2"/>
  <c r="T1108" i="2"/>
  <c r="S913" i="2"/>
  <c r="T1107" i="2"/>
  <c r="S912" i="2"/>
  <c r="O1107" i="2"/>
  <c r="N912" i="2"/>
  <c r="H1497" i="2"/>
  <c r="G1302" i="2"/>
  <c r="U1107" i="2"/>
  <c r="T912" i="2"/>
  <c r="U1106" i="2"/>
  <c r="T911" i="2"/>
  <c r="P1106" i="2"/>
  <c r="O911" i="2"/>
  <c r="L1105" i="2"/>
  <c r="K910" i="2"/>
  <c r="U715" i="2"/>
  <c r="T520" i="2"/>
  <c r="P715" i="2"/>
  <c r="O520" i="2"/>
  <c r="S715" i="2"/>
  <c r="R520" i="2"/>
  <c r="C1106" i="2"/>
  <c r="W910" i="2"/>
  <c r="L716" i="2"/>
  <c r="K521" i="2"/>
  <c r="K860" i="2"/>
  <c r="G1055" i="2"/>
  <c r="F860" i="2"/>
  <c r="P1445" i="2"/>
  <c r="O1250" i="2"/>
  <c r="H1056" i="2"/>
  <c r="G861" i="2"/>
  <c r="H1055" i="2"/>
  <c r="S847" i="2"/>
  <c r="D848" i="2"/>
  <c r="T846" i="2"/>
  <c r="D456" i="2"/>
  <c r="W455" i="2"/>
  <c r="P456" i="2"/>
  <c r="D483" i="2"/>
  <c r="H678" i="2"/>
  <c r="G483" i="2"/>
  <c r="R1067" i="2"/>
  <c r="Q872" i="2"/>
  <c r="F678" i="2"/>
  <c r="E483" i="2"/>
  <c r="V677" i="2"/>
  <c r="U482" i="2"/>
  <c r="D678" i="2"/>
  <c r="C483" i="2"/>
  <c r="S1066" i="2"/>
  <c r="R871" i="2"/>
  <c r="G677" i="2"/>
  <c r="F482" i="2"/>
  <c r="W676" i="2"/>
  <c r="V481" i="2"/>
  <c r="E677" i="2"/>
  <c r="D482" i="2"/>
  <c r="M676" i="2"/>
  <c r="L481" i="2"/>
  <c r="T286" i="2"/>
  <c r="S91" i="2"/>
  <c r="N255" i="2"/>
  <c r="O1027" i="2"/>
  <c r="U1027" i="2"/>
  <c r="P1026" i="2"/>
  <c r="U635" i="2"/>
  <c r="S635" i="2"/>
  <c r="L636" i="2"/>
  <c r="C528" i="2"/>
  <c r="G723" i="2"/>
  <c r="F528" i="2"/>
  <c r="Q1112" i="2"/>
  <c r="P917" i="2"/>
  <c r="E723" i="2"/>
  <c r="D528" i="2"/>
  <c r="U722" i="2"/>
  <c r="T527" i="2"/>
  <c r="C723" i="2"/>
  <c r="W527" i="2"/>
  <c r="R1111" i="2"/>
  <c r="Q916" i="2"/>
  <c r="D1426" i="2"/>
  <c r="J1410" i="2"/>
  <c r="U1409" i="2"/>
  <c r="F1026" i="2"/>
  <c r="V1024" i="2"/>
  <c r="G1025" i="2"/>
  <c r="U1017" i="2"/>
  <c r="V1018" i="2"/>
  <c r="Q1017" i="2"/>
  <c r="W1017" i="2"/>
  <c r="R1016" i="2"/>
  <c r="W625" i="2"/>
  <c r="U625" i="2"/>
  <c r="N626" i="2"/>
  <c r="K1035" i="2"/>
  <c r="T1425" i="2"/>
  <c r="L1036" i="2"/>
  <c r="L1035" i="2"/>
  <c r="G1035" i="2"/>
  <c r="C1498" i="2"/>
  <c r="W1302" i="2"/>
  <c r="P1108" i="2"/>
  <c r="O913" i="2"/>
  <c r="P1107" i="2"/>
  <c r="O912" i="2"/>
  <c r="K1107" i="2"/>
  <c r="J912" i="2"/>
  <c r="G1106" i="2"/>
  <c r="F911" i="2"/>
  <c r="P716" i="2"/>
  <c r="O521" i="2"/>
  <c r="K716" i="2"/>
  <c r="J521" i="2"/>
  <c r="N716" i="2"/>
  <c r="M521" i="2"/>
  <c r="S1106" i="2"/>
  <c r="R911" i="2"/>
  <c r="G717" i="2"/>
  <c r="F522" i="2"/>
  <c r="W716" i="2"/>
  <c r="V909" i="2"/>
  <c r="R1104" i="2"/>
  <c r="Q909" i="2"/>
  <c r="F1495" i="2"/>
  <c r="E1300" i="2"/>
  <c r="S1105" i="2"/>
  <c r="R910" i="2"/>
  <c r="S1104" i="2"/>
  <c r="R909" i="2"/>
  <c r="N1104" i="2"/>
  <c r="M909" i="2"/>
  <c r="G1494" i="2"/>
  <c r="F1299" i="2"/>
  <c r="T1104" i="2"/>
  <c r="S909" i="2"/>
  <c r="T1103" i="2"/>
  <c r="S908" i="2"/>
  <c r="O1103" i="2"/>
  <c r="N908" i="2"/>
  <c r="K1102" i="2"/>
  <c r="J907" i="2"/>
  <c r="T712" i="2"/>
  <c r="S517" i="2"/>
  <c r="O712" i="2"/>
  <c r="N517" i="2"/>
  <c r="R712" i="2"/>
  <c r="Q517" i="2"/>
  <c r="W1102" i="2"/>
  <c r="V907" i="2"/>
  <c r="K713" i="2"/>
  <c r="J518" i="2"/>
  <c r="J857" i="2"/>
  <c r="F1052" i="2"/>
  <c r="E857" i="2"/>
  <c r="O1442" i="2"/>
  <c r="N1247" i="2"/>
  <c r="G1053" i="2"/>
  <c r="F858" i="2"/>
  <c r="G1052" i="2"/>
  <c r="O835" i="2"/>
  <c r="U835" i="2"/>
  <c r="P834" i="2"/>
  <c r="U443" i="2"/>
  <c r="S443" i="2"/>
  <c r="L444" i="2"/>
  <c r="C480" i="2"/>
  <c r="G675" i="2"/>
  <c r="F480" i="2"/>
  <c r="Q1064" i="2"/>
  <c r="P869" i="2"/>
  <c r="E675" i="2"/>
  <c r="D480" i="2"/>
  <c r="U674" i="2"/>
  <c r="T479" i="2"/>
  <c r="C675" i="2"/>
  <c r="W479" i="2"/>
  <c r="R1063" i="2"/>
  <c r="Q868" i="2"/>
  <c r="F674" i="2"/>
  <c r="E479" i="2"/>
  <c r="V673" i="2"/>
  <c r="U478" i="2"/>
  <c r="D674" i="2"/>
  <c r="C479" i="2"/>
  <c r="L673" i="2"/>
  <c r="K478" i="2"/>
  <c r="S283" i="2"/>
  <c r="R88" i="2"/>
  <c r="M252" i="2"/>
  <c r="K1015" i="2"/>
  <c r="Q1015" i="2"/>
  <c r="L1014" i="2"/>
  <c r="Q623" i="2"/>
  <c r="O623" i="2"/>
  <c r="H624" i="2"/>
  <c r="W524" i="2"/>
  <c r="F720" i="2"/>
  <c r="E525" i="2"/>
  <c r="P1109" i="2"/>
  <c r="O914" i="2"/>
  <c r="D720" i="2"/>
  <c r="C525" i="2"/>
  <c r="T719" i="2"/>
  <c r="S524" i="2"/>
  <c r="W719" i="2"/>
  <c r="V524" i="2"/>
  <c r="Q1108" i="2"/>
  <c r="P913" i="2"/>
  <c r="U1413" i="2"/>
  <c r="F1398" i="2"/>
  <c r="Q1397" i="2"/>
  <c r="W1013" i="2"/>
  <c r="R1012" i="2"/>
  <c r="C1013" i="2"/>
  <c r="Q1005" i="2"/>
  <c r="R1006" i="2"/>
  <c r="M1005" i="2"/>
  <c r="S1005" i="2"/>
  <c r="N1004" i="2"/>
  <c r="S613" i="2"/>
  <c r="Q613" i="2"/>
  <c r="J614" i="2"/>
  <c r="I1029" i="2"/>
  <c r="R1419" i="2"/>
  <c r="J1030" i="2"/>
  <c r="J1029" i="2"/>
  <c r="E1029" i="2"/>
  <c r="W1494" i="2"/>
  <c r="V1299" i="2"/>
  <c r="O1105" i="2"/>
  <c r="N910" i="2"/>
  <c r="O1104" i="2"/>
  <c r="N909" i="2"/>
  <c r="J1104" i="2"/>
  <c r="I909" i="2"/>
  <c r="F1103" i="2"/>
  <c r="E908" i="2"/>
  <c r="O713" i="2"/>
  <c r="N518" i="2"/>
  <c r="J713" i="2"/>
  <c r="I518" i="2"/>
  <c r="M713" i="2"/>
  <c r="L518" i="2"/>
  <c r="R1103" i="2"/>
  <c r="Q908" i="2"/>
  <c r="F714" i="2"/>
  <c r="E519" i="2"/>
  <c r="V713" i="2"/>
  <c r="U906" i="2"/>
  <c r="Q1101" i="2"/>
  <c r="P906" i="2"/>
  <c r="E1492" i="2"/>
  <c r="D1297" i="2"/>
  <c r="R1102" i="2"/>
  <c r="Q907" i="2"/>
  <c r="R1101" i="2"/>
  <c r="Q906" i="2"/>
  <c r="M1101" i="2"/>
  <c r="L906" i="2"/>
  <c r="F1491" i="2"/>
  <c r="E1296" i="2"/>
  <c r="S1101" i="2"/>
  <c r="R906" i="2"/>
  <c r="S1100" i="2"/>
  <c r="R905" i="2"/>
  <c r="N1100" i="2"/>
  <c r="M905" i="2"/>
  <c r="J1099" i="2"/>
  <c r="I904" i="2"/>
  <c r="R1118" i="2"/>
  <c r="O789" i="2"/>
  <c r="P983" i="2"/>
  <c r="O788" i="2"/>
  <c r="K983" i="2"/>
  <c r="D1202" i="2"/>
  <c r="G1690" i="2"/>
  <c r="D1576" i="2"/>
  <c r="K1381" i="2"/>
  <c r="J1186" i="2"/>
  <c r="F1381" i="2"/>
  <c r="E1186" i="2"/>
  <c r="V1380" i="2"/>
  <c r="U1185" i="2"/>
  <c r="O1386" i="2"/>
  <c r="N1191" i="2"/>
  <c r="G997" i="2"/>
  <c r="F802" i="2"/>
  <c r="G996" i="2"/>
  <c r="F801" i="2"/>
  <c r="W995" i="2"/>
  <c r="V800" i="2"/>
  <c r="P1385" i="2"/>
  <c r="O1190" i="2"/>
  <c r="H996" i="2"/>
  <c r="G801" i="2"/>
  <c r="H995" i="2"/>
  <c r="S1464" i="2"/>
  <c r="V1569" i="2"/>
  <c r="O1448" i="2"/>
  <c r="W1795" i="2"/>
  <c r="H1576" i="2"/>
  <c r="O1381" i="2"/>
  <c r="N1186" i="2"/>
  <c r="J1381" i="2"/>
  <c r="I1186" i="2"/>
  <c r="E1381" i="2"/>
  <c r="N1817" i="2"/>
  <c r="V1627" i="2"/>
  <c r="D1560" i="2"/>
  <c r="K1365" i="2"/>
  <c r="J1170" i="2"/>
  <c r="F1365" i="2"/>
  <c r="E1170" i="2"/>
  <c r="V1364" i="2"/>
  <c r="V1184" i="2"/>
  <c r="O1370" i="2"/>
  <c r="N1175" i="2"/>
  <c r="G981" i="2"/>
  <c r="F786" i="2"/>
  <c r="G980" i="2"/>
  <c r="F785" i="2"/>
  <c r="W979" i="2"/>
  <c r="C1183" i="2"/>
  <c r="P1369" i="2"/>
  <c r="O1174" i="2"/>
  <c r="H980" i="2"/>
  <c r="G785" i="2"/>
  <c r="H979" i="2"/>
  <c r="N1449" i="2"/>
  <c r="S1703" i="2"/>
  <c r="J1433" i="2"/>
  <c r="U1868" i="2"/>
  <c r="L1572" i="2"/>
  <c r="S1377" i="2"/>
  <c r="R1182" i="2"/>
  <c r="N1377" i="2"/>
  <c r="J1629" i="2"/>
  <c r="J1658" i="2"/>
  <c r="Q1463" i="2"/>
  <c r="P1268" i="2"/>
  <c r="L1463" i="2"/>
  <c r="K1268" i="2"/>
  <c r="G1463" i="2"/>
  <c r="F1268" i="2"/>
  <c r="U1468" i="2"/>
  <c r="T1273" i="2"/>
  <c r="M1079" i="2"/>
  <c r="L884" i="2"/>
  <c r="M1078" i="2"/>
  <c r="L883" i="2"/>
  <c r="H1078" i="2"/>
  <c r="G883" i="2"/>
  <c r="V1467" i="2"/>
  <c r="U1272" i="2"/>
  <c r="N1078" i="2"/>
  <c r="M883" i="2"/>
  <c r="N1077" i="2"/>
  <c r="I1603" i="2"/>
  <c r="O1403" i="2"/>
  <c r="U1387" i="2"/>
  <c r="K1387" i="2"/>
  <c r="E1540" i="2"/>
  <c r="U1463" i="2"/>
  <c r="T1268" i="2"/>
  <c r="P1463" i="2"/>
  <c r="O1268" i="2"/>
  <c r="K1463" i="2"/>
  <c r="J1268" i="2"/>
  <c r="J1565" i="2"/>
  <c r="J1642" i="2"/>
  <c r="Q1447" i="2"/>
  <c r="P1252" i="2"/>
  <c r="L1447" i="2"/>
  <c r="K1252" i="2"/>
  <c r="G1447" i="2"/>
  <c r="F1252" i="2"/>
  <c r="U1452" i="2"/>
  <c r="T1257" i="2"/>
  <c r="M1063" i="2"/>
  <c r="L868" i="2"/>
  <c r="M1062" i="2"/>
  <c r="L867" i="2"/>
  <c r="H1062" i="2"/>
  <c r="G867" i="2"/>
  <c r="V1451" i="2"/>
  <c r="U1256" i="2"/>
  <c r="N1062" i="2"/>
  <c r="M867" i="2"/>
  <c r="N1061" i="2"/>
  <c r="T1572" i="2"/>
  <c r="J1388" i="2"/>
  <c r="P1372" i="2"/>
  <c r="F1372" i="2"/>
  <c r="M1719" i="2"/>
  <c r="D1460" i="2"/>
  <c r="C1265" i="2"/>
  <c r="T1459" i="2"/>
  <c r="S1264" i="2"/>
  <c r="O1459" i="2"/>
  <c r="N1264" i="2"/>
  <c r="E1550" i="2"/>
  <c r="N1638" i="2"/>
  <c r="U1443" i="2"/>
  <c r="T1248" i="2"/>
  <c r="P1443" i="2"/>
  <c r="O1248" i="2"/>
  <c r="K1443" i="2"/>
  <c r="J1248" i="2"/>
  <c r="D1449" i="2"/>
  <c r="C1254" i="2"/>
  <c r="Q1059" i="2"/>
  <c r="P864" i="2"/>
  <c r="Q1058" i="2"/>
  <c r="P863" i="2"/>
  <c r="L1058" i="2"/>
  <c r="K863" i="2"/>
  <c r="E1448" i="2"/>
  <c r="D1253" i="2"/>
  <c r="R1058" i="2"/>
  <c r="Q863" i="2"/>
  <c r="R1057" i="2"/>
  <c r="O856" i="2"/>
  <c r="K1051" i="2"/>
  <c r="J856" i="2"/>
  <c r="T1441" i="2"/>
  <c r="S1246" i="2"/>
  <c r="L1052" i="2"/>
  <c r="K857" i="2"/>
  <c r="L1051" i="2"/>
  <c r="K856" i="2"/>
  <c r="G1051" i="2"/>
  <c r="F856" i="2"/>
  <c r="U1440" i="2"/>
  <c r="T1245" i="2"/>
  <c r="M1051" i="2"/>
  <c r="L856" i="2"/>
  <c r="M1050" i="2"/>
  <c r="L855" i="2"/>
  <c r="H1050" i="2"/>
  <c r="G855" i="2"/>
  <c r="D1049" i="2"/>
  <c r="C854" i="2"/>
  <c r="M659" i="2"/>
  <c r="L464" i="2"/>
  <c r="H659" i="2"/>
  <c r="G464" i="2"/>
  <c r="K659" i="2"/>
  <c r="J464" i="2"/>
  <c r="P1049" i="2"/>
  <c r="O854" i="2"/>
  <c r="D660" i="2"/>
  <c r="C465" i="2"/>
  <c r="T659" i="2"/>
  <c r="T855" i="2"/>
  <c r="P1050" i="2"/>
  <c r="O855" i="2"/>
  <c r="D1441" i="2"/>
  <c r="C1246" i="2"/>
  <c r="Q1051" i="2"/>
  <c r="P856" i="2"/>
  <c r="Q1050" i="2"/>
  <c r="P855" i="2"/>
  <c r="L1050" i="2"/>
  <c r="K855" i="2"/>
  <c r="L1194" i="2"/>
  <c r="R1178" i="2"/>
  <c r="H1178" i="2"/>
  <c r="N794" i="2"/>
  <c r="I793" i="2"/>
  <c r="O793" i="2"/>
  <c r="H786" i="2"/>
  <c r="I787" i="2"/>
  <c r="I1185" i="2"/>
  <c r="J786" i="2"/>
  <c r="M785" i="2"/>
  <c r="J394" i="2"/>
  <c r="D786" i="2"/>
  <c r="V394" i="2"/>
  <c r="O919" i="2"/>
  <c r="C1310" i="2"/>
  <c r="P920" i="2"/>
  <c r="P919" i="2"/>
  <c r="K919" i="2"/>
  <c r="E1440" i="2"/>
  <c r="D1245" i="2"/>
  <c r="R1050" i="2"/>
  <c r="Q855" i="2"/>
  <c r="R1049" i="2"/>
  <c r="Q854" i="2"/>
  <c r="M1049" i="2"/>
  <c r="L854" i="2"/>
  <c r="I1048" i="2"/>
  <c r="H853" i="2"/>
  <c r="R658" i="2"/>
  <c r="Q463" i="2"/>
  <c r="M658" i="2"/>
  <c r="L463" i="2"/>
  <c r="P658" i="2"/>
  <c r="O463" i="2"/>
  <c r="U1048" i="2"/>
  <c r="T853" i="2"/>
  <c r="I659" i="2"/>
  <c r="H464" i="2"/>
  <c r="D659" i="2"/>
  <c r="C852" i="2"/>
  <c r="T1046" i="2"/>
  <c r="S851" i="2"/>
  <c r="H1437" i="2"/>
  <c r="G1242" i="2"/>
  <c r="U1047" i="2"/>
  <c r="T852" i="2"/>
  <c r="U1046" i="2"/>
  <c r="T851" i="2"/>
  <c r="P1046" i="2"/>
  <c r="O851" i="2"/>
  <c r="I1436" i="2"/>
  <c r="H1241" i="2"/>
  <c r="V1046" i="2"/>
  <c r="U851" i="2"/>
  <c r="V1045" i="2"/>
  <c r="U850" i="2"/>
  <c r="Q1045" i="2"/>
  <c r="P850" i="2"/>
  <c r="M1044" i="2"/>
  <c r="L849" i="2"/>
  <c r="V654" i="2"/>
  <c r="U459" i="2"/>
  <c r="Q654" i="2"/>
  <c r="P459" i="2"/>
  <c r="T654" i="2"/>
  <c r="S459" i="2"/>
  <c r="D1045" i="2"/>
  <c r="C850" i="2"/>
  <c r="M655" i="2"/>
  <c r="L460" i="2"/>
  <c r="L799" i="2"/>
  <c r="H994" i="2"/>
  <c r="G799" i="2"/>
  <c r="Q1384" i="2"/>
  <c r="P1189" i="2"/>
  <c r="I995" i="2"/>
  <c r="H800" i="2"/>
  <c r="I994" i="2"/>
  <c r="R1383" i="2"/>
  <c r="J993" i="2"/>
  <c r="V991" i="2"/>
  <c r="E602" i="2"/>
  <c r="M992" i="2"/>
  <c r="E694" i="2"/>
  <c r="E422" i="2"/>
  <c r="I617" i="2"/>
  <c r="H422" i="2"/>
  <c r="S1006" i="2"/>
  <c r="R811" i="2"/>
  <c r="G617" i="2"/>
  <c r="F422" i="2"/>
  <c r="W616" i="2"/>
  <c r="V421" i="2"/>
  <c r="E617" i="2"/>
  <c r="D422" i="2"/>
  <c r="T1005" i="2"/>
  <c r="S810" i="2"/>
  <c r="H616" i="2"/>
  <c r="G421" i="2"/>
  <c r="C616" i="2"/>
  <c r="W420" i="2"/>
  <c r="F616" i="2"/>
  <c r="E421" i="2"/>
  <c r="N615" i="2"/>
  <c r="M420" i="2"/>
  <c r="U225" i="2"/>
  <c r="T30" i="2"/>
  <c r="O194" i="2"/>
  <c r="R1180" i="2"/>
  <c r="D784" i="2"/>
  <c r="G783" i="2"/>
  <c r="D392" i="2"/>
  <c r="S783" i="2"/>
  <c r="K393" i="2"/>
  <c r="D467" i="2"/>
  <c r="H662" i="2"/>
  <c r="G467" i="2"/>
  <c r="R1051" i="2"/>
  <c r="Q856" i="2"/>
  <c r="F662" i="2"/>
  <c r="E467" i="2"/>
  <c r="V661" i="2"/>
  <c r="U466" i="2"/>
  <c r="D662" i="2"/>
  <c r="C467" i="2"/>
  <c r="S1050" i="2"/>
  <c r="R855" i="2"/>
  <c r="O1756" i="2"/>
  <c r="N1166" i="2"/>
  <c r="I1177" i="2"/>
  <c r="J782" i="2"/>
  <c r="K1175" i="2"/>
  <c r="K781" i="2"/>
  <c r="C1167" i="2"/>
  <c r="E775" i="2"/>
  <c r="D1166" i="2"/>
  <c r="F774" i="2"/>
  <c r="I773" i="2"/>
  <c r="F382" i="2"/>
  <c r="U773" i="2"/>
  <c r="R382" i="2"/>
  <c r="M913" i="2"/>
  <c r="V1303" i="2"/>
  <c r="N914" i="2"/>
  <c r="N913" i="2"/>
  <c r="I913" i="2"/>
  <c r="D1437" i="2"/>
  <c r="C1242" i="2"/>
  <c r="Q1047" i="2"/>
  <c r="P852" i="2"/>
  <c r="Q1046" i="2"/>
  <c r="P851" i="2"/>
  <c r="L1046" i="2"/>
  <c r="K851" i="2"/>
  <c r="H1045" i="2"/>
  <c r="G850" i="2"/>
  <c r="Q655" i="2"/>
  <c r="P460" i="2"/>
  <c r="L655" i="2"/>
  <c r="K460" i="2"/>
  <c r="O655" i="2"/>
  <c r="N460" i="2"/>
  <c r="T1045" i="2"/>
  <c r="S850" i="2"/>
  <c r="H656" i="2"/>
  <c r="G461" i="2"/>
  <c r="C656" i="2"/>
  <c r="W848" i="2"/>
  <c r="S1043" i="2"/>
  <c r="R848" i="2"/>
  <c r="G1434" i="2"/>
  <c r="F1239" i="2"/>
  <c r="T1044" i="2"/>
  <c r="S849" i="2"/>
  <c r="T1043" i="2"/>
  <c r="S848" i="2"/>
  <c r="O1043" i="2"/>
  <c r="N848" i="2"/>
  <c r="H1433" i="2"/>
  <c r="G1238" i="2"/>
  <c r="U1043" i="2"/>
  <c r="T848" i="2"/>
  <c r="U1042" i="2"/>
  <c r="T847" i="2"/>
  <c r="P1042" i="2"/>
  <c r="O847" i="2"/>
  <c r="L1041" i="2"/>
  <c r="K846" i="2"/>
  <c r="U651" i="2"/>
  <c r="T456" i="2"/>
  <c r="P651" i="2"/>
  <c r="O456" i="2"/>
  <c r="S651" i="2"/>
  <c r="R456" i="2"/>
  <c r="C1042" i="2"/>
  <c r="W846" i="2"/>
  <c r="L652" i="2"/>
  <c r="K457" i="2"/>
  <c r="K796" i="2"/>
  <c r="G991" i="2"/>
  <c r="F796" i="2"/>
  <c r="P1381" i="2"/>
  <c r="O1186" i="2"/>
  <c r="H992" i="2"/>
  <c r="G797" i="2"/>
  <c r="E982" i="2"/>
  <c r="N1371" i="2"/>
  <c r="F981" i="2"/>
  <c r="R979" i="2"/>
  <c r="V589" i="2"/>
  <c r="I980" i="2"/>
  <c r="C688" i="2"/>
  <c r="D419" i="2"/>
  <c r="H614" i="2"/>
  <c r="G419" i="2"/>
  <c r="R1003" i="2"/>
  <c r="Q808" i="2"/>
  <c r="F614" i="2"/>
  <c r="E419" i="2"/>
  <c r="V613" i="2"/>
  <c r="U418" i="2"/>
  <c r="D614" i="2"/>
  <c r="C419" i="2"/>
  <c r="S1002" i="2"/>
  <c r="R807" i="2"/>
  <c r="G613" i="2"/>
  <c r="F418" i="2"/>
  <c r="W612" i="2"/>
  <c r="V417" i="2"/>
  <c r="E613" i="2"/>
  <c r="D418" i="2"/>
  <c r="M612" i="2"/>
  <c r="L417" i="2"/>
  <c r="T222" i="2"/>
  <c r="S27" i="2"/>
  <c r="N191" i="2"/>
  <c r="S1163" i="2"/>
  <c r="U771" i="2"/>
  <c r="C771" i="2"/>
  <c r="U379" i="2"/>
  <c r="O771" i="2"/>
  <c r="I387" i="2"/>
  <c r="C464" i="2"/>
  <c r="G659" i="2"/>
  <c r="F464" i="2"/>
  <c r="Q1048" i="2"/>
  <c r="P853" i="2"/>
  <c r="E659" i="2"/>
  <c r="D464" i="2"/>
  <c r="U658" i="2"/>
  <c r="T463" i="2"/>
  <c r="C659" i="2"/>
  <c r="W463" i="2"/>
  <c r="R1047" i="2"/>
  <c r="Q852" i="2"/>
  <c r="J1756" i="2"/>
  <c r="J1154" i="2"/>
  <c r="D1162" i="2"/>
  <c r="F770" i="2"/>
  <c r="E1161" i="2"/>
  <c r="G769" i="2"/>
  <c r="T1154" i="2"/>
  <c r="V762" i="2"/>
  <c r="U1153" i="2"/>
  <c r="W761" i="2"/>
  <c r="E761" i="2"/>
  <c r="W369" i="2"/>
  <c r="Q761" i="2"/>
  <c r="N370" i="2"/>
  <c r="K907" i="2"/>
  <c r="T1297" i="2"/>
  <c r="L908" i="2"/>
  <c r="L907" i="2"/>
  <c r="G907" i="2"/>
  <c r="C1434" i="2"/>
  <c r="W1238" i="2"/>
  <c r="P1044" i="2"/>
  <c r="O849" i="2"/>
  <c r="P1043" i="2"/>
  <c r="O848" i="2"/>
  <c r="K1043" i="2"/>
  <c r="J848" i="2"/>
  <c r="G1042" i="2"/>
  <c r="F847" i="2"/>
  <c r="P652" i="2"/>
  <c r="O457" i="2"/>
  <c r="K652" i="2"/>
  <c r="J457" i="2"/>
  <c r="N652" i="2"/>
  <c r="M457" i="2"/>
  <c r="S1042" i="2"/>
  <c r="R847" i="2"/>
  <c r="G653" i="2"/>
  <c r="F458" i="2"/>
  <c r="W652" i="2"/>
  <c r="V845" i="2"/>
  <c r="R1040" i="2"/>
  <c r="Q845" i="2"/>
  <c r="F1431" i="2"/>
  <c r="E1236" i="2"/>
  <c r="S1041" i="2"/>
  <c r="R846" i="2"/>
  <c r="S1040" i="2"/>
  <c r="R845" i="2"/>
  <c r="N1040" i="2"/>
  <c r="M845" i="2"/>
  <c r="G1430" i="2"/>
  <c r="F1235" i="2"/>
  <c r="T1040" i="2"/>
  <c r="S845" i="2"/>
  <c r="T1039" i="2"/>
  <c r="S844" i="2"/>
  <c r="O1039" i="2"/>
  <c r="N844" i="2"/>
  <c r="K1038" i="2"/>
  <c r="J843" i="2"/>
  <c r="T996" i="2"/>
  <c r="R1117" i="2"/>
  <c r="Q922" i="2"/>
  <c r="M1117" i="2"/>
  <c r="L922" i="2"/>
  <c r="L1836" i="2"/>
  <c r="C1538" i="2"/>
  <c r="M1515" i="2"/>
  <c r="L1320" i="2"/>
  <c r="H1515" i="2"/>
  <c r="G1320" i="2"/>
  <c r="C1515" i="2"/>
  <c r="W1319" i="2"/>
  <c r="Q1520" i="2"/>
  <c r="P1325" i="2"/>
  <c r="I1131" i="2"/>
  <c r="H936" i="2"/>
  <c r="I1130" i="2"/>
  <c r="H935" i="2"/>
  <c r="D1130" i="2"/>
  <c r="C935" i="2"/>
  <c r="R1519" i="2"/>
  <c r="Q1324" i="2"/>
  <c r="J1130" i="2"/>
  <c r="I935" i="2"/>
  <c r="J1129" i="2"/>
  <c r="Q1717" i="2"/>
  <c r="W1220" i="2"/>
  <c r="R1594" i="2"/>
  <c r="S1204" i="2"/>
  <c r="M1669" i="2"/>
  <c r="Q1515" i="2"/>
  <c r="P1320" i="2"/>
  <c r="L1515" i="2"/>
  <c r="K1320" i="2"/>
  <c r="G1515" i="2"/>
  <c r="F1320" i="2"/>
  <c r="L1772" i="2"/>
  <c r="P1700" i="2"/>
  <c r="M1499" i="2"/>
  <c r="L1304" i="2"/>
  <c r="H1499" i="2"/>
  <c r="G1304" i="2"/>
  <c r="C1499" i="2"/>
  <c r="W1303" i="2"/>
  <c r="Q1504" i="2"/>
  <c r="P1309" i="2"/>
  <c r="I1115" i="2"/>
  <c r="H920" i="2"/>
  <c r="I1114" i="2"/>
  <c r="H919" i="2"/>
  <c r="D1114" i="2"/>
  <c r="C919" i="2"/>
  <c r="R1503" i="2"/>
  <c r="Q1308" i="2"/>
  <c r="J1114" i="2"/>
  <c r="I919" i="2"/>
  <c r="J1113" i="2"/>
  <c r="R1656" i="2"/>
  <c r="R1205" i="2"/>
  <c r="M1579" i="2"/>
  <c r="N1189" i="2"/>
  <c r="C1639" i="2"/>
  <c r="U1511" i="2"/>
  <c r="T1316" i="2"/>
  <c r="P1511" i="2"/>
  <c r="O1316" i="2"/>
  <c r="J1580" i="2"/>
  <c r="K1597" i="2"/>
  <c r="R1402" i="2"/>
  <c r="Q1207" i="2"/>
  <c r="M1402" i="2"/>
  <c r="L1207" i="2"/>
  <c r="H1402" i="2"/>
  <c r="G1207" i="2"/>
  <c r="V1407" i="2"/>
  <c r="U1212" i="2"/>
  <c r="N1018" i="2"/>
  <c r="M823" i="2"/>
  <c r="N1017" i="2"/>
  <c r="M822" i="2"/>
  <c r="I1017" i="2"/>
  <c r="H822" i="2"/>
  <c r="W1406" i="2"/>
  <c r="V1211" i="2"/>
  <c r="O1017" i="2"/>
  <c r="N822" i="2"/>
  <c r="O1016" i="2"/>
  <c r="H1160" i="2"/>
  <c r="O1786" i="2"/>
  <c r="D1144" i="2"/>
  <c r="W1199" i="2"/>
  <c r="O1597" i="2"/>
  <c r="V1402" i="2"/>
  <c r="U1207" i="2"/>
  <c r="Q1402" i="2"/>
  <c r="P1207" i="2"/>
  <c r="L1402" i="2"/>
  <c r="K1207" i="2"/>
  <c r="N1711" i="2"/>
  <c r="K1581" i="2"/>
  <c r="R1386" i="2"/>
  <c r="Q1191" i="2"/>
  <c r="M1386" i="2"/>
  <c r="L1191" i="2"/>
  <c r="H1386" i="2"/>
  <c r="G1191" i="2"/>
  <c r="V1391" i="2"/>
  <c r="U1196" i="2"/>
  <c r="N1002" i="2"/>
  <c r="M807" i="2"/>
  <c r="N1001" i="2"/>
  <c r="M806" i="2"/>
  <c r="I1001" i="2"/>
  <c r="H806" i="2"/>
  <c r="W1390" i="2"/>
  <c r="V1195" i="2"/>
  <c r="O1001" i="2"/>
  <c r="N806" i="2"/>
  <c r="O1000" i="2"/>
  <c r="C1145" i="2"/>
  <c r="F1850" i="2"/>
  <c r="Q1518" i="2"/>
  <c r="J1192" i="2"/>
  <c r="S1593" i="2"/>
  <c r="E1399" i="2"/>
  <c r="D1204" i="2"/>
  <c r="U1398" i="2"/>
  <c r="T1203" i="2"/>
  <c r="P1398" i="2"/>
  <c r="O1203" i="2"/>
  <c r="I1696" i="2"/>
  <c r="O1577" i="2"/>
  <c r="V1382" i="2"/>
  <c r="U1187" i="2"/>
  <c r="Q1382" i="2"/>
  <c r="P1187" i="2"/>
  <c r="L1382" i="2"/>
  <c r="K1187" i="2"/>
  <c r="E1388" i="2"/>
  <c r="D1193" i="2"/>
  <c r="R998" i="2"/>
  <c r="Q803" i="2"/>
  <c r="R997" i="2"/>
  <c r="Q802" i="2"/>
  <c r="M997" i="2"/>
  <c r="L802" i="2"/>
  <c r="F1387" i="2"/>
  <c r="E1192" i="2"/>
  <c r="S997" i="2"/>
  <c r="R802" i="2"/>
  <c r="S996" i="2"/>
  <c r="P795" i="2"/>
  <c r="L990" i="2"/>
  <c r="K795" i="2"/>
  <c r="U1380" i="2"/>
  <c r="T1185" i="2"/>
  <c r="M991" i="2"/>
  <c r="L796" i="2"/>
  <c r="M990" i="2"/>
  <c r="L795" i="2"/>
  <c r="H990" i="2"/>
  <c r="G795" i="2"/>
  <c r="V1379" i="2"/>
  <c r="U1184" i="2"/>
  <c r="N990" i="2"/>
  <c r="M795" i="2"/>
  <c r="N989" i="2"/>
  <c r="M794" i="2"/>
  <c r="I989" i="2"/>
  <c r="H794" i="2"/>
  <c r="E988" i="2"/>
  <c r="D793" i="2"/>
  <c r="N598" i="2"/>
  <c r="M403" i="2"/>
  <c r="I598" i="2"/>
  <c r="H403" i="2"/>
  <c r="L598" i="2"/>
  <c r="K403" i="2"/>
  <c r="Q988" i="2"/>
  <c r="P793" i="2"/>
  <c r="E599" i="2"/>
  <c r="D404" i="2"/>
  <c r="U598" i="2"/>
  <c r="U794" i="2"/>
  <c r="Q989" i="2"/>
  <c r="P794" i="2"/>
  <c r="E1380" i="2"/>
  <c r="D1185" i="2"/>
  <c r="R990" i="2"/>
  <c r="Q795" i="2"/>
  <c r="R989" i="2"/>
  <c r="Q794" i="2"/>
  <c r="M989" i="2"/>
  <c r="L794" i="2"/>
  <c r="F1547" i="2"/>
  <c r="S1324" i="2"/>
  <c r="G1330" i="2"/>
  <c r="T939" i="2"/>
  <c r="H1329" i="2"/>
  <c r="U938" i="2"/>
  <c r="W1322" i="2"/>
  <c r="O932" i="2"/>
  <c r="C1322" i="2"/>
  <c r="P931" i="2"/>
  <c r="G930" i="2"/>
  <c r="K540" i="2"/>
  <c r="S930" i="2"/>
  <c r="W540" i="2"/>
  <c r="Q797" i="2"/>
  <c r="E1188" i="2"/>
  <c r="R798" i="2"/>
  <c r="R797" i="2"/>
  <c r="M797" i="2"/>
  <c r="F1379" i="2"/>
  <c r="E1184" i="2"/>
  <c r="S989" i="2"/>
  <c r="R794" i="2"/>
  <c r="S988" i="2"/>
  <c r="R793" i="2"/>
  <c r="N988" i="2"/>
  <c r="M793" i="2"/>
  <c r="J987" i="2"/>
  <c r="I792" i="2"/>
  <c r="S597" i="2"/>
  <c r="R402" i="2"/>
  <c r="N597" i="2"/>
  <c r="M402" i="2"/>
  <c r="Q597" i="2"/>
  <c r="P402" i="2"/>
  <c r="V987" i="2"/>
  <c r="U792" i="2"/>
  <c r="J598" i="2"/>
  <c r="I403" i="2"/>
  <c r="E598" i="2"/>
  <c r="D791" i="2"/>
  <c r="U985" i="2"/>
  <c r="T790" i="2"/>
  <c r="I1376" i="2"/>
  <c r="H1181" i="2"/>
  <c r="V986" i="2"/>
  <c r="U791" i="2"/>
  <c r="V985" i="2"/>
  <c r="U790" i="2"/>
  <c r="Q985" i="2"/>
  <c r="P790" i="2"/>
  <c r="J1375" i="2"/>
  <c r="I1180" i="2"/>
  <c r="W985" i="2"/>
  <c r="V790" i="2"/>
  <c r="W984" i="2"/>
  <c r="V789" i="2"/>
  <c r="R984" i="2"/>
  <c r="Q789" i="2"/>
  <c r="N983" i="2"/>
  <c r="M788" i="2"/>
  <c r="W593" i="2"/>
  <c r="V398" i="2"/>
  <c r="R593" i="2"/>
  <c r="Q398" i="2"/>
  <c r="U593" i="2"/>
  <c r="T398" i="2"/>
  <c r="E984" i="2"/>
  <c r="D789" i="2"/>
  <c r="N594" i="2"/>
  <c r="M399" i="2"/>
  <c r="J1128" i="2"/>
  <c r="I933" i="2"/>
  <c r="S1518" i="2"/>
  <c r="R1323" i="2"/>
  <c r="K1129" i="2"/>
  <c r="J934" i="2"/>
  <c r="K1128" i="2"/>
  <c r="M750" i="2"/>
  <c r="V1139" i="2"/>
  <c r="K1139" i="2"/>
  <c r="P748" i="2"/>
  <c r="N748" i="2"/>
  <c r="G749" i="2"/>
  <c r="G572" i="2"/>
  <c r="F361" i="2"/>
  <c r="J556" i="2"/>
  <c r="J752" i="2"/>
  <c r="T945" i="2"/>
  <c r="S750" i="2"/>
  <c r="H556" i="2"/>
  <c r="G361" i="2"/>
  <c r="C556" i="2"/>
  <c r="W360" i="2"/>
  <c r="F556" i="2"/>
  <c r="E1141" i="2"/>
  <c r="U944" i="2"/>
  <c r="L750" i="2"/>
  <c r="I555" i="2"/>
  <c r="E750" i="2"/>
  <c r="D555" i="2"/>
  <c r="H750" i="2"/>
  <c r="G555" i="2"/>
  <c r="P749" i="2"/>
  <c r="O554" i="2"/>
  <c r="W359" i="2"/>
  <c r="V164" i="2"/>
  <c r="Q328" i="2"/>
  <c r="I930" i="2"/>
  <c r="R1319" i="2"/>
  <c r="J929" i="2"/>
  <c r="V927" i="2"/>
  <c r="E538" i="2"/>
  <c r="M928" i="2"/>
  <c r="J661" i="2"/>
  <c r="E406" i="2"/>
  <c r="I601" i="2"/>
  <c r="H406" i="2"/>
  <c r="S990" i="2"/>
  <c r="R795" i="2"/>
  <c r="G601" i="2"/>
  <c r="F406" i="2"/>
  <c r="W600" i="2"/>
  <c r="V405" i="2"/>
  <c r="E601" i="2"/>
  <c r="D406" i="2"/>
  <c r="T989" i="2"/>
  <c r="S794" i="2"/>
  <c r="K1717" i="2"/>
  <c r="O1312" i="2"/>
  <c r="C1318" i="2"/>
  <c r="P927" i="2"/>
  <c r="D1317" i="2"/>
  <c r="O920" i="2"/>
  <c r="S1310" i="2"/>
  <c r="K920" i="2"/>
  <c r="T1309" i="2"/>
  <c r="L919" i="2"/>
  <c r="C918" i="2"/>
  <c r="G528" i="2"/>
  <c r="O918" i="2"/>
  <c r="T919" i="2"/>
  <c r="O791" i="2"/>
  <c r="C1182" i="2"/>
  <c r="P792" i="2"/>
  <c r="P791" i="2"/>
  <c r="K791" i="2"/>
  <c r="E1376" i="2"/>
  <c r="D1181" i="2"/>
  <c r="R986" i="2"/>
  <c r="Q791" i="2"/>
  <c r="R985" i="2"/>
  <c r="Q790" i="2"/>
  <c r="M985" i="2"/>
  <c r="L790" i="2"/>
  <c r="I984" i="2"/>
  <c r="H789" i="2"/>
  <c r="R594" i="2"/>
  <c r="Q399" i="2"/>
  <c r="M594" i="2"/>
  <c r="L399" i="2"/>
  <c r="P594" i="2"/>
  <c r="O399" i="2"/>
  <c r="U984" i="2"/>
  <c r="T789" i="2"/>
  <c r="I595" i="2"/>
  <c r="H400" i="2"/>
  <c r="D595" i="2"/>
  <c r="C788" i="2"/>
  <c r="T982" i="2"/>
  <c r="S787" i="2"/>
  <c r="H1373" i="2"/>
  <c r="G1178" i="2"/>
  <c r="U983" i="2"/>
  <c r="T788" i="2"/>
  <c r="U982" i="2"/>
  <c r="T787" i="2"/>
  <c r="P982" i="2"/>
  <c r="O787" i="2"/>
  <c r="I1372" i="2"/>
  <c r="H1177" i="2"/>
  <c r="V982" i="2"/>
  <c r="U787" i="2"/>
  <c r="V981" i="2"/>
  <c r="U786" i="2"/>
  <c r="Q981" i="2"/>
  <c r="P786" i="2"/>
  <c r="M980" i="2"/>
  <c r="L785" i="2"/>
  <c r="V590" i="2"/>
  <c r="U395" i="2"/>
  <c r="Q590" i="2"/>
  <c r="P395" i="2"/>
  <c r="T590" i="2"/>
  <c r="S395" i="2"/>
  <c r="D981" i="2"/>
  <c r="C786" i="2"/>
  <c r="M591" i="2"/>
  <c r="L396" i="2"/>
  <c r="I1125" i="2"/>
  <c r="H930" i="2"/>
  <c r="R1515" i="2"/>
  <c r="Q1320" i="2"/>
  <c r="J1126" i="2"/>
  <c r="I931" i="2"/>
  <c r="J1125" i="2"/>
  <c r="F1128" i="2"/>
  <c r="L1128" i="2"/>
  <c r="G1127" i="2"/>
  <c r="L736" i="2"/>
  <c r="J736" i="2"/>
  <c r="C737" i="2"/>
  <c r="E566" i="2"/>
  <c r="J748" i="2"/>
  <c r="I553" i="2"/>
  <c r="T1137" i="2"/>
  <c r="S942" i="2"/>
  <c r="H748" i="2"/>
  <c r="G553" i="2"/>
  <c r="C748" i="2"/>
  <c r="W552" i="2"/>
  <c r="F748" i="2"/>
  <c r="E553" i="2"/>
  <c r="U1136" i="2"/>
  <c r="T941" i="2"/>
  <c r="I747" i="2"/>
  <c r="H552" i="2"/>
  <c r="D747" i="2"/>
  <c r="C552" i="2"/>
  <c r="G747" i="2"/>
  <c r="F552" i="2"/>
  <c r="O746" i="2"/>
  <c r="N551" i="2"/>
  <c r="V356" i="2"/>
  <c r="U161" i="2"/>
  <c r="P325" i="2"/>
  <c r="E918" i="2"/>
  <c r="N1307" i="2"/>
  <c r="F917" i="2"/>
  <c r="R915" i="2"/>
  <c r="V525" i="2"/>
  <c r="I916" i="2"/>
  <c r="H655" i="2"/>
  <c r="D403" i="2"/>
  <c r="H598" i="2"/>
  <c r="G403" i="2"/>
  <c r="R987" i="2"/>
  <c r="Q792" i="2"/>
  <c r="F598" i="2"/>
  <c r="E403" i="2"/>
  <c r="V597" i="2"/>
  <c r="U402" i="2"/>
  <c r="D598" i="2"/>
  <c r="C403" i="2"/>
  <c r="S986" i="2"/>
  <c r="R791" i="2"/>
  <c r="C1693" i="2"/>
  <c r="K1300" i="2"/>
  <c r="T1305" i="2"/>
  <c r="L915" i="2"/>
  <c r="U1304" i="2"/>
  <c r="K908" i="2"/>
  <c r="O1298" i="2"/>
  <c r="G908" i="2"/>
  <c r="P1297" i="2"/>
  <c r="H907" i="2"/>
  <c r="T905" i="2"/>
  <c r="C516" i="2"/>
  <c r="K906" i="2"/>
  <c r="P907" i="2"/>
  <c r="Q1185" i="2"/>
  <c r="V1175" i="2"/>
  <c r="N786" i="2"/>
  <c r="N785" i="2"/>
  <c r="J788" i="2"/>
  <c r="D1373" i="2"/>
  <c r="C1178" i="2"/>
  <c r="Q983" i="2"/>
  <c r="P788" i="2"/>
  <c r="Q982" i="2"/>
  <c r="P787" i="2"/>
  <c r="L982" i="2"/>
  <c r="K787" i="2"/>
  <c r="H981" i="2"/>
  <c r="G786" i="2"/>
  <c r="Q591" i="2"/>
  <c r="P396" i="2"/>
  <c r="L591" i="2"/>
  <c r="K396" i="2"/>
  <c r="O591" i="2"/>
  <c r="N396" i="2"/>
  <c r="T981" i="2"/>
  <c r="S786" i="2"/>
  <c r="H592" i="2"/>
  <c r="G397" i="2"/>
  <c r="C592" i="2"/>
  <c r="W784" i="2"/>
  <c r="S979" i="2"/>
  <c r="F1184" i="2"/>
  <c r="G1370" i="2"/>
  <c r="F1175" i="2"/>
  <c r="T980" i="2"/>
  <c r="S785" i="2"/>
  <c r="T979" i="2"/>
  <c r="S784" i="2"/>
  <c r="O979" i="2"/>
  <c r="H1182" i="2"/>
  <c r="H1369" i="2"/>
  <c r="G1174" i="2"/>
  <c r="U979" i="2"/>
  <c r="T784" i="2"/>
  <c r="U978" i="2"/>
  <c r="T783" i="2"/>
  <c r="P978" i="2"/>
  <c r="W783" i="2"/>
  <c r="L977" i="2"/>
  <c r="S806" i="2"/>
  <c r="H612" i="2"/>
  <c r="G417" i="2"/>
  <c r="C612" i="2"/>
  <c r="W416" i="2"/>
  <c r="F612" i="2"/>
  <c r="E417" i="2"/>
  <c r="K1002" i="2"/>
  <c r="J807" i="2"/>
  <c r="T612" i="2"/>
  <c r="S417" i="2"/>
  <c r="S756" i="2"/>
  <c r="O951" i="2"/>
  <c r="M1149" i="2"/>
  <c r="C1342" i="2"/>
  <c r="W1146" i="2"/>
  <c r="P952" i="2"/>
  <c r="O757" i="2"/>
  <c r="P823" i="2"/>
  <c r="D1213" i="2"/>
  <c r="Q822" i="2"/>
  <c r="H821" i="2"/>
  <c r="L431" i="2"/>
  <c r="T821" i="2"/>
  <c r="S608" i="2"/>
  <c r="L379" i="2"/>
  <c r="P574" i="2"/>
  <c r="P770" i="2"/>
  <c r="E964" i="2"/>
  <c r="D769" i="2"/>
  <c r="N574" i="2"/>
  <c r="M379" i="2"/>
  <c r="I574" i="2"/>
  <c r="H379" i="2"/>
  <c r="L574" i="2"/>
  <c r="Q769" i="2"/>
  <c r="F963" i="2"/>
  <c r="E768" i="2"/>
  <c r="O573" i="2"/>
  <c r="N378" i="2"/>
  <c r="J573" i="2"/>
  <c r="I378" i="2"/>
  <c r="M573" i="2"/>
  <c r="L378" i="2"/>
  <c r="U572" i="2"/>
  <c r="T377" i="2"/>
  <c r="G183" i="2"/>
  <c r="W346" i="2"/>
  <c r="V151" i="2"/>
  <c r="U1392" i="2"/>
  <c r="M1002" i="2"/>
  <c r="D1001" i="2"/>
  <c r="H611" i="2"/>
  <c r="P1001" i="2"/>
  <c r="V697" i="2"/>
  <c r="K424" i="2"/>
  <c r="O619" i="2"/>
  <c r="N424" i="2"/>
  <c r="D1009" i="2"/>
  <c r="C814" i="2"/>
  <c r="M619" i="2"/>
  <c r="L424" i="2"/>
  <c r="H619" i="2"/>
  <c r="G424" i="2"/>
  <c r="K619" i="2"/>
  <c r="J424" i="2"/>
  <c r="E1008" i="2"/>
  <c r="D813" i="2"/>
  <c r="N1571" i="2"/>
  <c r="W1336" i="2"/>
  <c r="K1342" i="2"/>
  <c r="C952" i="2"/>
  <c r="L1341" i="2"/>
  <c r="D951" i="2"/>
  <c r="F1335" i="2"/>
  <c r="S944" i="2"/>
  <c r="G1334" i="2"/>
  <c r="T943" i="2"/>
  <c r="K942" i="2"/>
  <c r="O552" i="2"/>
  <c r="W942" i="2"/>
  <c r="F553" i="2"/>
  <c r="S803" i="2"/>
  <c r="G1194" i="2"/>
  <c r="T804" i="2"/>
  <c r="T803" i="2"/>
  <c r="O803" i="2"/>
  <c r="G1382" i="2"/>
  <c r="F1187" i="2"/>
  <c r="T992" i="2"/>
  <c r="S797" i="2"/>
  <c r="T991" i="2"/>
  <c r="S796" i="2"/>
  <c r="O991" i="2"/>
  <c r="N796" i="2"/>
  <c r="K990" i="2"/>
  <c r="J795" i="2"/>
  <c r="T600" i="2"/>
  <c r="S405" i="2"/>
  <c r="H442" i="2"/>
  <c r="V442" i="2"/>
  <c r="L830" i="2"/>
  <c r="M831" i="2"/>
  <c r="H830" i="2"/>
  <c r="N830" i="2"/>
  <c r="I829" i="2"/>
  <c r="N438" i="2"/>
  <c r="L438" i="2"/>
  <c r="E439" i="2"/>
  <c r="J1363" i="2"/>
  <c r="W908" i="2"/>
  <c r="S516" i="2"/>
  <c r="W595" i="2"/>
  <c r="U595" i="2"/>
  <c r="S595" i="2"/>
  <c r="V594" i="2"/>
  <c r="T594" i="2"/>
  <c r="N204" i="2"/>
  <c r="T1087" i="2"/>
  <c r="O740" i="2"/>
  <c r="K1030" i="2"/>
  <c r="O640" i="2"/>
  <c r="L1029" i="2"/>
  <c r="E655" i="2"/>
  <c r="D460" i="2"/>
  <c r="U654" i="2"/>
  <c r="T459" i="2"/>
  <c r="C655" i="2"/>
  <c r="W459" i="2"/>
  <c r="K654" i="2"/>
  <c r="J459" i="2"/>
  <c r="R264" i="2"/>
  <c r="Q69" i="2"/>
  <c r="L233" i="2"/>
  <c r="K38" i="2"/>
  <c r="J202" i="2"/>
  <c r="V1523" i="2"/>
  <c r="N1133" i="2"/>
  <c r="E1132" i="2"/>
  <c r="I742" i="2"/>
  <c r="Q1132" i="2"/>
  <c r="J374" i="2"/>
  <c r="F457" i="2"/>
  <c r="J652" i="2"/>
  <c r="I457" i="2"/>
  <c r="T1041" i="2"/>
  <c r="S846" i="2"/>
  <c r="H652" i="2"/>
  <c r="G457" i="2"/>
  <c r="C652" i="2"/>
  <c r="W456" i="2"/>
  <c r="F652" i="2"/>
  <c r="E457" i="2"/>
  <c r="U1040" i="2"/>
  <c r="T845" i="2"/>
  <c r="I651" i="2"/>
  <c r="H456" i="2"/>
  <c r="D651" i="2"/>
  <c r="C456" i="2"/>
  <c r="G651" i="2"/>
  <c r="F456" i="2"/>
  <c r="O650" i="2"/>
  <c r="N455" i="2"/>
  <c r="V260" i="2"/>
  <c r="U65" i="2"/>
  <c r="P229" i="2"/>
  <c r="O34" i="2"/>
  <c r="N198" i="2"/>
  <c r="Q1508" i="2"/>
  <c r="I1118" i="2"/>
  <c r="U1116" i="2"/>
  <c r="D727" i="2"/>
  <c r="L1117" i="2"/>
  <c r="W365" i="2"/>
  <c r="J453" i="2"/>
  <c r="N648" i="2"/>
  <c r="M453" i="2"/>
  <c r="C1038" i="2"/>
  <c r="W842" i="2"/>
  <c r="L648" i="2"/>
  <c r="K453" i="2"/>
  <c r="G648" i="2"/>
  <c r="F453" i="2"/>
  <c r="J648" i="2"/>
  <c r="I453" i="2"/>
  <c r="D1037" i="2"/>
  <c r="C842" i="2"/>
  <c r="M647" i="2"/>
  <c r="L452" i="2"/>
  <c r="H647" i="2"/>
  <c r="G452" i="2"/>
  <c r="K647" i="2"/>
  <c r="J452" i="2"/>
  <c r="S646" i="2"/>
  <c r="R451" i="2"/>
  <c r="E257" i="2"/>
  <c r="D62" i="2"/>
  <c r="T225" i="2"/>
  <c r="V334" i="2"/>
  <c r="D56" i="2"/>
  <c r="U712" i="2"/>
  <c r="T517" i="2"/>
  <c r="G323" i="2"/>
  <c r="F128" i="2"/>
  <c r="V291" i="2"/>
  <c r="U96" i="2"/>
  <c r="T260" i="2"/>
  <c r="S65" i="2"/>
  <c r="N719" i="2"/>
  <c r="M524" i="2"/>
  <c r="U329" i="2"/>
  <c r="T134" i="2"/>
  <c r="O298" i="2"/>
  <c r="N103" i="2"/>
  <c r="M267" i="2"/>
  <c r="L72" i="2"/>
  <c r="O718" i="2"/>
  <c r="N523" i="2"/>
  <c r="V328" i="2"/>
  <c r="U133" i="2"/>
  <c r="P297" i="2"/>
  <c r="O102" i="2"/>
  <c r="N266" i="2"/>
  <c r="M71" i="2"/>
  <c r="T235" i="2"/>
  <c r="H39" i="2"/>
  <c r="I118" i="2"/>
  <c r="R237" i="2"/>
  <c r="Q42" i="2"/>
  <c r="G120" i="2"/>
  <c r="R242" i="2"/>
  <c r="O9" i="2"/>
  <c r="K666" i="2"/>
  <c r="V429" i="2"/>
  <c r="I820" i="2"/>
  <c r="M818" i="2"/>
  <c r="Q1208" i="2"/>
  <c r="I818" i="2"/>
  <c r="R1207" i="2"/>
  <c r="J817" i="2"/>
  <c r="V815" i="2"/>
  <c r="E426" i="2"/>
  <c r="M816" i="2"/>
  <c r="R960" i="2"/>
  <c r="S961" i="2"/>
  <c r="H859" i="2"/>
  <c r="D627" i="2"/>
  <c r="H973" i="2"/>
  <c r="L583" i="2"/>
  <c r="I972" i="2"/>
  <c r="M582" i="2"/>
  <c r="C582" i="2"/>
  <c r="D161" i="2"/>
  <c r="T647" i="2"/>
  <c r="R628" i="2"/>
  <c r="P628" i="2"/>
  <c r="N628" i="2"/>
  <c r="O749" i="2"/>
  <c r="N554" i="2"/>
  <c r="J749" i="2"/>
  <c r="I554" i="2"/>
  <c r="M749" i="2"/>
  <c r="L554" i="2"/>
  <c r="U748" i="2"/>
  <c r="T553" i="2"/>
  <c r="G359" i="2"/>
  <c r="F164" i="2"/>
  <c r="V327" i="2"/>
  <c r="U132" i="2"/>
  <c r="T296" i="2"/>
  <c r="D1122" i="2"/>
  <c r="J1122" i="2"/>
  <c r="E1121" i="2"/>
  <c r="J730" i="2"/>
  <c r="H730" i="2"/>
  <c r="V730" i="2"/>
  <c r="D563" i="2"/>
  <c r="T746" i="2"/>
  <c r="S551" i="2"/>
  <c r="I1136" i="2"/>
  <c r="H941" i="2"/>
  <c r="R746" i="2"/>
  <c r="Q551" i="2"/>
  <c r="M746" i="2"/>
  <c r="L551" i="2"/>
  <c r="P746" i="2"/>
  <c r="O551" i="2"/>
  <c r="J1135" i="2"/>
  <c r="I940" i="2"/>
  <c r="S745" i="2"/>
  <c r="R550" i="2"/>
  <c r="N745" i="2"/>
  <c r="M550" i="2"/>
  <c r="Q745" i="2"/>
  <c r="P550" i="2"/>
  <c r="D745" i="2"/>
  <c r="C550" i="2"/>
  <c r="K355" i="2"/>
  <c r="J160" i="2"/>
  <c r="E324" i="2"/>
  <c r="D129" i="2"/>
  <c r="C293" i="2"/>
  <c r="T1106" i="2"/>
  <c r="E1107" i="2"/>
  <c r="U1105" i="2"/>
  <c r="E715" i="2"/>
  <c r="C715" i="2"/>
  <c r="Q715" i="2"/>
  <c r="Q554" i="2"/>
  <c r="C743" i="2"/>
  <c r="W547" i="2"/>
  <c r="M1132" i="2"/>
  <c r="L937" i="2"/>
  <c r="V742" i="2"/>
  <c r="U547" i="2"/>
  <c r="Q742" i="2"/>
  <c r="P547" i="2"/>
  <c r="T742" i="2"/>
  <c r="S547" i="2"/>
  <c r="N1131" i="2"/>
  <c r="M936" i="2"/>
  <c r="W741" i="2"/>
  <c r="V546" i="2"/>
  <c r="R741" i="2"/>
  <c r="Q546" i="2"/>
  <c r="U741" i="2"/>
  <c r="T546" i="2"/>
  <c r="H741" i="2"/>
  <c r="G546" i="2"/>
  <c r="O351" i="2"/>
  <c r="N156" i="2"/>
  <c r="I320" i="2"/>
  <c r="H125" i="2"/>
  <c r="N150" i="2"/>
  <c r="R313" i="2"/>
  <c r="I612" i="2"/>
  <c r="H417" i="2"/>
  <c r="P222" i="2"/>
  <c r="O27" i="2"/>
  <c r="J191" i="2"/>
  <c r="I355" i="2"/>
  <c r="H160" i="2"/>
  <c r="L323" i="2"/>
  <c r="W618" i="2"/>
  <c r="V423" i="2"/>
  <c r="I229" i="2"/>
  <c r="H34" i="2"/>
  <c r="C198" i="2"/>
  <c r="W2" i="2"/>
  <c r="V166" i="2"/>
  <c r="E330" i="2"/>
  <c r="C618" i="2"/>
  <c r="W422" i="2"/>
  <c r="J228" i="2"/>
  <c r="I33" i="2"/>
  <c r="D197" i="2"/>
  <c r="C2" i="2"/>
  <c r="W165" i="2"/>
  <c r="F329" i="2"/>
  <c r="H135" i="2"/>
  <c r="S212" i="2"/>
  <c r="R17" i="2"/>
  <c r="F137" i="2"/>
  <c r="Q214" i="2"/>
  <c r="Q72" i="2"/>
  <c r="D104" i="2"/>
  <c r="K371" i="2"/>
  <c r="G369" i="2"/>
  <c r="V760" i="2"/>
  <c r="S369" i="2"/>
  <c r="H1150" i="2"/>
  <c r="J758" i="2"/>
  <c r="I1149" i="2"/>
  <c r="K757" i="2"/>
  <c r="N756" i="2"/>
  <c r="K365" i="2"/>
  <c r="E757" i="2"/>
  <c r="C900" i="2"/>
  <c r="G1290" i="2"/>
  <c r="H1006" i="2"/>
  <c r="L614" i="2"/>
  <c r="T522" i="2"/>
  <c r="R522" i="2"/>
  <c r="P522" i="2"/>
  <c r="S521" i="2"/>
  <c r="Q521" i="2"/>
  <c r="K131" i="2"/>
  <c r="H795" i="2"/>
  <c r="I594" i="2"/>
  <c r="H957" i="2"/>
  <c r="L567" i="2"/>
  <c r="I956" i="2"/>
  <c r="T636" i="2"/>
  <c r="S441" i="2"/>
  <c r="O636" i="2"/>
  <c r="N441" i="2"/>
  <c r="R636" i="2"/>
  <c r="Q441" i="2"/>
  <c r="E636" i="2"/>
  <c r="D441" i="2"/>
  <c r="L246" i="2"/>
  <c r="K51" i="2"/>
  <c r="F215" i="2"/>
  <c r="E20" i="2"/>
  <c r="D184" i="2"/>
  <c r="S1450" i="2"/>
  <c r="K1060" i="2"/>
  <c r="W1058" i="2"/>
  <c r="F669" i="2"/>
  <c r="N1059" i="2"/>
  <c r="P727" i="2"/>
  <c r="U438" i="2"/>
  <c r="D634" i="2"/>
  <c r="C439" i="2"/>
  <c r="N1023" i="2"/>
  <c r="M828" i="2"/>
  <c r="W633" i="2"/>
  <c r="V438" i="2"/>
  <c r="R633" i="2"/>
  <c r="Q438" i="2"/>
  <c r="U633" i="2"/>
  <c r="T438" i="2"/>
  <c r="O1022" i="2"/>
  <c r="N827" i="2"/>
  <c r="C633" i="2"/>
  <c r="W437" i="2"/>
  <c r="S632" i="2"/>
  <c r="R437" i="2"/>
  <c r="V632" i="2"/>
  <c r="U437" i="2"/>
  <c r="I632" i="2"/>
  <c r="H437" i="2"/>
  <c r="P242" i="2"/>
  <c r="O47" i="2"/>
  <c r="J211" i="2"/>
  <c r="I16" i="2"/>
  <c r="H180" i="2"/>
  <c r="N1435" i="2"/>
  <c r="F1045" i="2"/>
  <c r="R1043" i="2"/>
  <c r="V653" i="2"/>
  <c r="I1044" i="2"/>
  <c r="H719" i="2"/>
  <c r="D435" i="2"/>
  <c r="H630" i="2"/>
  <c r="G435" i="2"/>
  <c r="R1019" i="2"/>
  <c r="Q824" i="2"/>
  <c r="F630" i="2"/>
  <c r="E435" i="2"/>
  <c r="V629" i="2"/>
  <c r="U434" i="2"/>
  <c r="D630" i="2"/>
  <c r="C435" i="2"/>
  <c r="S1018" i="2"/>
  <c r="R823" i="2"/>
  <c r="G629" i="2"/>
  <c r="F434" i="2"/>
  <c r="W628" i="2"/>
  <c r="V433" i="2"/>
  <c r="E629" i="2"/>
  <c r="D434" i="2"/>
  <c r="M628" i="2"/>
  <c r="L433" i="2"/>
  <c r="T238" i="2"/>
  <c r="S43" i="2"/>
  <c r="N207" i="2"/>
  <c r="J298" i="2"/>
  <c r="S37" i="2"/>
  <c r="O694" i="2"/>
  <c r="N499" i="2"/>
  <c r="V304" i="2"/>
  <c r="U109" i="2"/>
  <c r="P273" i="2"/>
  <c r="O78" i="2"/>
  <c r="N242" i="2"/>
  <c r="M47" i="2"/>
  <c r="H701" i="2"/>
  <c r="G506" i="2"/>
  <c r="O311" i="2"/>
  <c r="N116" i="2"/>
  <c r="I280" i="2"/>
  <c r="H85" i="2"/>
  <c r="G249" i="2"/>
  <c r="F54" i="2"/>
  <c r="I700" i="2"/>
  <c r="H505" i="2"/>
  <c r="P310" i="2"/>
  <c r="O115" i="2"/>
  <c r="J279" i="2"/>
  <c r="I84" i="2"/>
  <c r="H248" i="2"/>
  <c r="G53" i="2"/>
  <c r="N217" i="2"/>
  <c r="K300" i="2"/>
  <c r="C100" i="2"/>
  <c r="L219" i="2"/>
  <c r="E6" i="2"/>
  <c r="V101" i="2"/>
  <c r="F206" i="2"/>
  <c r="N349" i="2"/>
  <c r="E648" i="2"/>
  <c r="H698" i="2"/>
  <c r="V698" i="2"/>
  <c r="L1086" i="2"/>
  <c r="M1087" i="2"/>
  <c r="H1086" i="2"/>
  <c r="N1086" i="2"/>
  <c r="I1085" i="2"/>
  <c r="N694" i="2"/>
  <c r="L694" i="2"/>
  <c r="E695" i="2"/>
  <c r="O794" i="2"/>
  <c r="D600" i="2"/>
  <c r="C405" i="2"/>
  <c r="T599" i="2"/>
  <c r="S404" i="2"/>
  <c r="W599" i="2"/>
  <c r="V404" i="2"/>
  <c r="G990" i="2"/>
  <c r="F795" i="2"/>
  <c r="P600" i="2"/>
  <c r="O405" i="2"/>
  <c r="L1134" i="2"/>
  <c r="K939" i="2"/>
  <c r="U1524" i="2"/>
  <c r="T1329" i="2"/>
  <c r="M1135" i="2"/>
  <c r="L940" i="2"/>
  <c r="M1134" i="2"/>
  <c r="U774" i="2"/>
  <c r="I1164" i="2"/>
  <c r="V773" i="2"/>
  <c r="M772" i="2"/>
  <c r="Q382" i="2"/>
  <c r="D773" i="2"/>
  <c r="K584" i="2"/>
  <c r="H367" i="2"/>
  <c r="L562" i="2"/>
  <c r="L758" i="2"/>
  <c r="V951" i="2"/>
  <c r="U756" i="2"/>
  <c r="J562" i="2"/>
  <c r="I367" i="2"/>
  <c r="E562" i="2"/>
  <c r="D367" i="2"/>
  <c r="H562" i="2"/>
  <c r="M757" i="2"/>
  <c r="W950" i="2"/>
  <c r="V755" i="2"/>
  <c r="K561" i="2"/>
  <c r="J366" i="2"/>
  <c r="F561" i="2"/>
  <c r="E366" i="2"/>
  <c r="I561" i="2"/>
  <c r="H366" i="2"/>
  <c r="Q560" i="2"/>
  <c r="P365" i="2"/>
  <c r="C171" i="2"/>
  <c r="S334" i="2"/>
  <c r="Q954" i="2"/>
  <c r="E1344" i="2"/>
  <c r="R953" i="2"/>
  <c r="I952" i="2"/>
  <c r="M562" i="2"/>
  <c r="U952" i="2"/>
  <c r="N673" i="2"/>
  <c r="G412" i="2"/>
  <c r="K607" i="2"/>
  <c r="J412" i="2"/>
  <c r="K797" i="2"/>
  <c r="L991" i="2"/>
  <c r="I1498" i="2"/>
  <c r="C1704" i="2"/>
  <c r="E1482" i="2"/>
  <c r="D1174" i="2"/>
  <c r="P1584" i="2"/>
  <c r="W1389" i="2"/>
  <c r="V1194" i="2"/>
  <c r="R1389" i="2"/>
  <c r="E1678" i="2"/>
  <c r="N1670" i="2"/>
  <c r="U1475" i="2"/>
  <c r="T1280" i="2"/>
  <c r="P1475" i="2"/>
  <c r="O1280" i="2"/>
  <c r="K1475" i="2"/>
  <c r="J1280" i="2"/>
  <c r="D1481" i="2"/>
  <c r="C1286" i="2"/>
  <c r="Q1091" i="2"/>
  <c r="P896" i="2"/>
  <c r="Q1090" i="2"/>
  <c r="P895" i="2"/>
  <c r="L1090" i="2"/>
  <c r="K895" i="2"/>
  <c r="E1480" i="2"/>
  <c r="D1285" i="2"/>
  <c r="R1090" i="2"/>
  <c r="Q895" i="2"/>
  <c r="R1089" i="2"/>
  <c r="F1714" i="2"/>
  <c r="J1452" i="2"/>
  <c r="P1436" i="2"/>
  <c r="F1436" i="2"/>
  <c r="U1588" i="2"/>
  <c r="D1476" i="2"/>
  <c r="C1281" i="2"/>
  <c r="T1475" i="2"/>
  <c r="S1280" i="2"/>
  <c r="O1475" i="2"/>
  <c r="N1280" i="2"/>
  <c r="E1614" i="2"/>
  <c r="N1654" i="2"/>
  <c r="U1459" i="2"/>
  <c r="T1264" i="2"/>
  <c r="P1459" i="2"/>
  <c r="O1264" i="2"/>
  <c r="K1459" i="2"/>
  <c r="J1264" i="2"/>
  <c r="D1465" i="2"/>
  <c r="C1270" i="2"/>
  <c r="Q1075" i="2"/>
  <c r="P880" i="2"/>
  <c r="Q1074" i="2"/>
  <c r="P879" i="2"/>
  <c r="L1074" i="2"/>
  <c r="K879" i="2"/>
  <c r="E1464" i="2"/>
  <c r="D1269" i="2"/>
  <c r="R1074" i="2"/>
  <c r="Q879" i="2"/>
  <c r="R1073" i="2"/>
  <c r="J1670" i="2"/>
  <c r="E1437" i="2"/>
  <c r="K1421" i="2"/>
  <c r="V1420" i="2"/>
  <c r="P1573" i="2"/>
  <c r="H1472" i="2"/>
  <c r="G1277" i="2"/>
  <c r="C1472" i="2"/>
  <c r="W1276" i="2"/>
  <c r="S1471" i="2"/>
  <c r="R1276" i="2"/>
  <c r="U1598" i="2"/>
  <c r="R1650" i="2"/>
  <c r="D1456" i="2"/>
  <c r="C1261" i="2"/>
  <c r="T1455" i="2"/>
  <c r="S1260" i="2"/>
  <c r="O1455" i="2"/>
  <c r="N1260" i="2"/>
  <c r="H1461" i="2"/>
  <c r="G1266" i="2"/>
  <c r="U1071" i="2"/>
  <c r="T876" i="2"/>
  <c r="U1070" i="2"/>
  <c r="T875" i="2"/>
  <c r="P1070" i="2"/>
  <c r="O875" i="2"/>
  <c r="I1460" i="2"/>
  <c r="H1265" i="2"/>
  <c r="V1070" i="2"/>
  <c r="U875" i="2"/>
  <c r="V1069" i="2"/>
  <c r="S868" i="2"/>
  <c r="O1063" i="2"/>
  <c r="N868" i="2"/>
  <c r="C1454" i="2"/>
  <c r="W1258" i="2"/>
  <c r="P1064" i="2"/>
  <c r="O869" i="2"/>
  <c r="P1063" i="2"/>
  <c r="O868" i="2"/>
  <c r="K1063" i="2"/>
  <c r="J868" i="2"/>
  <c r="D1453" i="2"/>
  <c r="C1258" i="2"/>
  <c r="Q1063" i="2"/>
  <c r="P868" i="2"/>
  <c r="Q1062" i="2"/>
  <c r="P867" i="2"/>
  <c r="L1062" i="2"/>
  <c r="K867" i="2"/>
  <c r="H1061" i="2"/>
  <c r="G866" i="2"/>
  <c r="Q671" i="2"/>
  <c r="P476" i="2"/>
  <c r="L671" i="2"/>
  <c r="K476" i="2"/>
  <c r="O671" i="2"/>
  <c r="N476" i="2"/>
  <c r="T1061" i="2"/>
  <c r="S866" i="2"/>
  <c r="H672" i="2"/>
  <c r="G477" i="2"/>
  <c r="C672" i="2"/>
  <c r="C868" i="2"/>
  <c r="T1062" i="2"/>
  <c r="S867" i="2"/>
  <c r="H1453" i="2"/>
  <c r="G1258" i="2"/>
  <c r="U1063" i="2"/>
  <c r="T868" i="2"/>
  <c r="U1062" i="2"/>
  <c r="T867" i="2"/>
  <c r="P1062" i="2"/>
  <c r="O867" i="2"/>
  <c r="G1243" i="2"/>
  <c r="M1227" i="2"/>
  <c r="C1227" i="2"/>
  <c r="I843" i="2"/>
  <c r="D842" i="2"/>
  <c r="J842" i="2"/>
  <c r="C835" i="2"/>
  <c r="D836" i="2"/>
  <c r="T834" i="2"/>
  <c r="E835" i="2"/>
  <c r="U833" i="2"/>
  <c r="E443" i="2"/>
  <c r="C443" i="2"/>
  <c r="Q443" i="2"/>
  <c r="W943" i="2"/>
  <c r="K1334" i="2"/>
  <c r="C945" i="2"/>
  <c r="C944" i="2"/>
  <c r="S943" i="2"/>
  <c r="I1452" i="2"/>
  <c r="H1257" i="2"/>
  <c r="V1062" i="2"/>
  <c r="U867" i="2"/>
  <c r="V1061" i="2"/>
  <c r="U866" i="2"/>
  <c r="Q1061" i="2"/>
  <c r="P866" i="2"/>
  <c r="M1060" i="2"/>
  <c r="L865" i="2"/>
  <c r="V670" i="2"/>
  <c r="U475" i="2"/>
  <c r="Q670" i="2"/>
  <c r="P475" i="2"/>
  <c r="T670" i="2"/>
  <c r="S475" i="2"/>
  <c r="D1061" i="2"/>
  <c r="C866" i="2"/>
  <c r="M671" i="2"/>
  <c r="L476" i="2"/>
  <c r="H671" i="2"/>
  <c r="G864" i="2"/>
  <c r="C1059" i="2"/>
  <c r="W863" i="2"/>
  <c r="L1449" i="2"/>
  <c r="K1254" i="2"/>
  <c r="D1060" i="2"/>
  <c r="C865" i="2"/>
  <c r="D1059" i="2"/>
  <c r="C864" i="2"/>
  <c r="T1058" i="2"/>
  <c r="S863" i="2"/>
  <c r="M1448" i="2"/>
  <c r="L1253" i="2"/>
  <c r="E1059" i="2"/>
  <c r="D864" i="2"/>
  <c r="E1058" i="2"/>
  <c r="D863" i="2"/>
  <c r="U1057" i="2"/>
  <c r="T862" i="2"/>
  <c r="Q1056" i="2"/>
  <c r="P861" i="2"/>
  <c r="E667" i="2"/>
  <c r="D472" i="2"/>
  <c r="U666" i="2"/>
  <c r="T471" i="2"/>
  <c r="C667" i="2"/>
  <c r="W471" i="2"/>
  <c r="H1057" i="2"/>
  <c r="G862" i="2"/>
  <c r="Q667" i="2"/>
  <c r="P472" i="2"/>
  <c r="P811" i="2"/>
  <c r="L1006" i="2"/>
  <c r="K811" i="2"/>
  <c r="U1396" i="2"/>
  <c r="T1201" i="2"/>
  <c r="M1007" i="2"/>
  <c r="L812" i="2"/>
  <c r="M1006" i="2"/>
  <c r="M1432" i="2"/>
  <c r="E1042" i="2"/>
  <c r="Q1040" i="2"/>
  <c r="U650" i="2"/>
  <c r="H1041" i="2"/>
  <c r="M718" i="2"/>
  <c r="I434" i="2"/>
  <c r="M629" i="2"/>
  <c r="L434" i="2"/>
  <c r="W1018" i="2"/>
  <c r="V823" i="2"/>
  <c r="K629" i="2"/>
  <c r="J434" i="2"/>
  <c r="F629" i="2"/>
  <c r="E434" i="2"/>
  <c r="I629" i="2"/>
  <c r="H434" i="2"/>
  <c r="C1018" i="2"/>
  <c r="W822" i="2"/>
  <c r="L628" i="2"/>
  <c r="K433" i="2"/>
  <c r="G628" i="2"/>
  <c r="F433" i="2"/>
  <c r="J628" i="2"/>
  <c r="I433" i="2"/>
  <c r="R627" i="2"/>
  <c r="Q432" i="2"/>
  <c r="D238" i="2"/>
  <c r="C43" i="2"/>
  <c r="S206" i="2"/>
  <c r="N832" i="2"/>
  <c r="T832" i="2"/>
  <c r="O831" i="2"/>
  <c r="T440" i="2"/>
  <c r="R440" i="2"/>
  <c r="K441" i="2"/>
  <c r="H479" i="2"/>
  <c r="L674" i="2"/>
  <c r="K479" i="2"/>
  <c r="V1063" i="2"/>
  <c r="U868" i="2"/>
  <c r="J674" i="2"/>
  <c r="I479" i="2"/>
  <c r="E674" i="2"/>
  <c r="D479" i="2"/>
  <c r="H674" i="2"/>
  <c r="G479" i="2"/>
  <c r="W1062" i="2"/>
  <c r="V867" i="2"/>
  <c r="C1231" i="2"/>
  <c r="I1215" i="2"/>
  <c r="T1214" i="2"/>
  <c r="E831" i="2"/>
  <c r="U829" i="2"/>
  <c r="F830" i="2"/>
  <c r="T822" i="2"/>
  <c r="U823" i="2"/>
  <c r="P822" i="2"/>
  <c r="V822" i="2"/>
  <c r="Q821" i="2"/>
  <c r="V430" i="2"/>
  <c r="T430" i="2"/>
  <c r="M431" i="2"/>
  <c r="U937" i="2"/>
  <c r="I1328" i="2"/>
  <c r="V938" i="2"/>
  <c r="V937" i="2"/>
  <c r="Q937" i="2"/>
  <c r="H1449" i="2"/>
  <c r="G1254" i="2"/>
  <c r="U1059" i="2"/>
  <c r="T864" i="2"/>
  <c r="U1058" i="2"/>
  <c r="T863" i="2"/>
  <c r="P1058" i="2"/>
  <c r="O863" i="2"/>
  <c r="L1057" i="2"/>
  <c r="K862" i="2"/>
  <c r="U667" i="2"/>
  <c r="T472" i="2"/>
  <c r="P667" i="2"/>
  <c r="O472" i="2"/>
  <c r="S667" i="2"/>
  <c r="R472" i="2"/>
  <c r="C1058" i="2"/>
  <c r="W862" i="2"/>
  <c r="L668" i="2"/>
  <c r="K473" i="2"/>
  <c r="G668" i="2"/>
  <c r="F861" i="2"/>
  <c r="W1055" i="2"/>
  <c r="V860" i="2"/>
  <c r="K1446" i="2"/>
  <c r="J1251" i="2"/>
  <c r="C1057" i="2"/>
  <c r="W861" i="2"/>
  <c r="C1056" i="2"/>
  <c r="W860" i="2"/>
  <c r="S1055" i="2"/>
  <c r="R860" i="2"/>
  <c r="L1445" i="2"/>
  <c r="K1250" i="2"/>
  <c r="D1056" i="2"/>
  <c r="C861" i="2"/>
  <c r="D1055" i="2"/>
  <c r="C860" i="2"/>
  <c r="T1054" i="2"/>
  <c r="S859" i="2"/>
  <c r="P1053" i="2"/>
  <c r="O858" i="2"/>
  <c r="D664" i="2"/>
  <c r="C469" i="2"/>
  <c r="T663" i="2"/>
  <c r="S468" i="2"/>
  <c r="W663" i="2"/>
  <c r="V468" i="2"/>
  <c r="G1054" i="2"/>
  <c r="F859" i="2"/>
  <c r="P664" i="2"/>
  <c r="O469" i="2"/>
  <c r="O808" i="2"/>
  <c r="K1003" i="2"/>
  <c r="J808" i="2"/>
  <c r="T1393" i="2"/>
  <c r="S1198" i="2"/>
  <c r="L1004" i="2"/>
  <c r="K809" i="2"/>
  <c r="L1003" i="2"/>
  <c r="I1420" i="2"/>
  <c r="V1029" i="2"/>
  <c r="M1028" i="2"/>
  <c r="Q638" i="2"/>
  <c r="D1029" i="2"/>
  <c r="K712" i="2"/>
  <c r="H431" i="2"/>
  <c r="L626" i="2"/>
  <c r="K431" i="2"/>
  <c r="V1015" i="2"/>
  <c r="U820" i="2"/>
  <c r="J626" i="2"/>
  <c r="I431" i="2"/>
  <c r="E626" i="2"/>
  <c r="D431" i="2"/>
  <c r="H626" i="2"/>
  <c r="G431" i="2"/>
  <c r="W1014" i="2"/>
  <c r="V819" i="2"/>
  <c r="K625" i="2"/>
  <c r="J430" i="2"/>
  <c r="F625" i="2"/>
  <c r="E430" i="2"/>
  <c r="I625" i="2"/>
  <c r="H430" i="2"/>
  <c r="Q624" i="2"/>
  <c r="P429" i="2"/>
  <c r="C235" i="2"/>
  <c r="W39" i="2"/>
  <c r="R203" i="2"/>
  <c r="J820" i="2"/>
  <c r="P820" i="2"/>
  <c r="K819" i="2"/>
  <c r="P428" i="2"/>
  <c r="N428" i="2"/>
  <c r="G429" i="2"/>
  <c r="G476" i="2"/>
  <c r="K671" i="2"/>
  <c r="J476" i="2"/>
  <c r="U1060" i="2"/>
  <c r="T865" i="2"/>
  <c r="I671" i="2"/>
  <c r="H476" i="2"/>
  <c r="D671" i="2"/>
  <c r="C476" i="2"/>
  <c r="G671" i="2"/>
  <c r="F476" i="2"/>
  <c r="V1059" i="2"/>
  <c r="U864" i="2"/>
  <c r="T1218" i="2"/>
  <c r="E1203" i="2"/>
  <c r="P1202" i="2"/>
  <c r="V818" i="2"/>
  <c r="Q817" i="2"/>
  <c r="W817" i="2"/>
  <c r="P810" i="2"/>
  <c r="Q811" i="2"/>
  <c r="L810" i="2"/>
  <c r="R810" i="2"/>
  <c r="M809" i="2"/>
  <c r="R418" i="2"/>
  <c r="P418" i="2"/>
  <c r="I419" i="2"/>
  <c r="S931" i="2"/>
  <c r="G1322" i="2"/>
  <c r="T932" i="2"/>
  <c r="T931" i="2"/>
  <c r="O931" i="2"/>
  <c r="G1446" i="2"/>
  <c r="F1251" i="2"/>
  <c r="T1056" i="2"/>
  <c r="S861" i="2"/>
  <c r="T1055" i="2"/>
  <c r="S860" i="2"/>
  <c r="O1055" i="2"/>
  <c r="N860" i="2"/>
  <c r="K1054" i="2"/>
  <c r="J859" i="2"/>
  <c r="T664" i="2"/>
  <c r="S469" i="2"/>
  <c r="O664" i="2"/>
  <c r="N469" i="2"/>
  <c r="R664" i="2"/>
  <c r="Q469" i="2"/>
  <c r="W1054" i="2"/>
  <c r="V859" i="2"/>
  <c r="K665" i="2"/>
  <c r="J470" i="2"/>
  <c r="F665" i="2"/>
  <c r="E858" i="2"/>
  <c r="V1052" i="2"/>
  <c r="U857" i="2"/>
  <c r="J1443" i="2"/>
  <c r="I1248" i="2"/>
  <c r="W1053" i="2"/>
  <c r="V858" i="2"/>
  <c r="W1052" i="2"/>
  <c r="V857" i="2"/>
  <c r="R1052" i="2"/>
  <c r="Q857" i="2"/>
  <c r="K1442" i="2"/>
  <c r="J1247" i="2"/>
  <c r="C1053" i="2"/>
  <c r="W857" i="2"/>
  <c r="C1052" i="2"/>
  <c r="W856" i="2"/>
  <c r="S1051" i="2"/>
  <c r="R856" i="2"/>
  <c r="O1050" i="2"/>
  <c r="N855" i="2"/>
  <c r="G1021" i="2"/>
  <c r="V1129" i="2"/>
  <c r="U934" i="2"/>
  <c r="Q1129" i="2"/>
  <c r="P934" i="2"/>
  <c r="W1917" i="2"/>
  <c r="K1562" i="2"/>
  <c r="Q1527" i="2"/>
  <c r="P1332" i="2"/>
  <c r="L1527" i="2"/>
  <c r="K1332" i="2"/>
  <c r="G1527" i="2"/>
  <c r="F1332" i="2"/>
  <c r="I1145" i="2"/>
  <c r="T1337" i="2"/>
  <c r="S1142" i="2"/>
  <c r="L948" i="2"/>
  <c r="K753" i="2"/>
  <c r="L947" i="2"/>
  <c r="K752" i="2"/>
  <c r="G947" i="2"/>
  <c r="J1144" i="2"/>
  <c r="U1336" i="2"/>
  <c r="T1141" i="2"/>
  <c r="M947" i="2"/>
  <c r="L752" i="2"/>
  <c r="M946" i="2"/>
  <c r="R1269" i="2"/>
  <c r="M1643" i="2"/>
  <c r="N1253" i="2"/>
  <c r="G1572" i="2"/>
  <c r="U1527" i="2"/>
  <c r="T1332" i="2"/>
  <c r="P1527" i="2"/>
  <c r="O1332" i="2"/>
  <c r="K1527" i="2"/>
  <c r="J1332" i="2"/>
  <c r="G1821" i="2"/>
  <c r="K1530" i="2"/>
  <c r="Q1511" i="2"/>
  <c r="P1316" i="2"/>
  <c r="L1511" i="2"/>
  <c r="K1316" i="2"/>
  <c r="G1511" i="2"/>
  <c r="F1316" i="2"/>
  <c r="U1516" i="2"/>
  <c r="T1321" i="2"/>
  <c r="M1127" i="2"/>
  <c r="L932" i="2"/>
  <c r="M1126" i="2"/>
  <c r="L931" i="2"/>
  <c r="H1126" i="2"/>
  <c r="G931" i="2"/>
  <c r="V1515" i="2"/>
  <c r="U1320" i="2"/>
  <c r="N1126" i="2"/>
  <c r="M931" i="2"/>
  <c r="N1125" i="2"/>
  <c r="M930" i="2"/>
  <c r="M1254" i="2"/>
  <c r="H1628" i="2"/>
  <c r="I1238" i="2"/>
  <c r="R1541" i="2"/>
  <c r="D1524" i="2"/>
  <c r="C1329" i="2"/>
  <c r="T1523" i="2"/>
  <c r="S1328" i="2"/>
  <c r="E1629" i="2"/>
  <c r="O1609" i="2"/>
  <c r="V1414" i="2"/>
  <c r="U1219" i="2"/>
  <c r="Q1414" i="2"/>
  <c r="P1219" i="2"/>
  <c r="L1414" i="2"/>
  <c r="K1219" i="2"/>
  <c r="E1420" i="2"/>
  <c r="D1225" i="2"/>
  <c r="R1030" i="2"/>
  <c r="Q835" i="2"/>
  <c r="R1029" i="2"/>
  <c r="Q834" i="2"/>
  <c r="M1029" i="2"/>
  <c r="L834" i="2"/>
  <c r="F1419" i="2"/>
  <c r="E1224" i="2"/>
  <c r="S1029" i="2"/>
  <c r="R834" i="2"/>
  <c r="S1028" i="2"/>
  <c r="O1213" i="2"/>
  <c r="N1208" i="2"/>
  <c r="T1192" i="2"/>
  <c r="J1224" i="2"/>
  <c r="O1613" i="2"/>
  <c r="E1415" i="2"/>
  <c r="D1220" i="2"/>
  <c r="U1414" i="2"/>
  <c r="T1219" i="2"/>
  <c r="P1414" i="2"/>
  <c r="O1219" i="2"/>
  <c r="E1565" i="2"/>
  <c r="O1593" i="2"/>
  <c r="V1398" i="2"/>
  <c r="U1203" i="2"/>
  <c r="Q1398" i="2"/>
  <c r="P1203" i="2"/>
  <c r="L1398" i="2"/>
  <c r="K1203" i="2"/>
  <c r="E1404" i="2"/>
  <c r="D1209" i="2"/>
  <c r="R1014" i="2"/>
  <c r="Q819" i="2"/>
  <c r="R1013" i="2"/>
  <c r="Q818" i="2"/>
  <c r="M1013" i="2"/>
  <c r="L818" i="2"/>
  <c r="F1403" i="2"/>
  <c r="E1208" i="2"/>
  <c r="S1013" i="2"/>
  <c r="R818" i="2"/>
  <c r="S1012" i="2"/>
  <c r="S1193" i="2"/>
  <c r="I1193" i="2"/>
  <c r="O1177" i="2"/>
  <c r="R1216" i="2"/>
  <c r="W1605" i="2"/>
  <c r="I1411" i="2"/>
  <c r="H1216" i="2"/>
  <c r="D1411" i="2"/>
  <c r="C1216" i="2"/>
  <c r="T1410" i="2"/>
  <c r="S1215" i="2"/>
  <c r="U1549" i="2"/>
  <c r="S1589" i="2"/>
  <c r="E1395" i="2"/>
  <c r="D1200" i="2"/>
  <c r="U1394" i="2"/>
  <c r="T1199" i="2"/>
  <c r="P1394" i="2"/>
  <c r="O1199" i="2"/>
  <c r="I1400" i="2"/>
  <c r="H1205" i="2"/>
  <c r="V1010" i="2"/>
  <c r="U815" i="2"/>
  <c r="V1009" i="2"/>
  <c r="U814" i="2"/>
  <c r="Q1009" i="2"/>
  <c r="P814" i="2"/>
  <c r="J1399" i="2"/>
  <c r="I1204" i="2"/>
  <c r="W1009" i="2"/>
  <c r="V814" i="2"/>
  <c r="W1008" i="2"/>
  <c r="T807" i="2"/>
  <c r="P1002" i="2"/>
  <c r="O807" i="2"/>
  <c r="D1393" i="2"/>
  <c r="C1198" i="2"/>
  <c r="Q1003" i="2"/>
  <c r="P808" i="2"/>
  <c r="Q1002" i="2"/>
  <c r="P807" i="2"/>
  <c r="L1002" i="2"/>
  <c r="K807" i="2"/>
  <c r="E1392" i="2"/>
  <c r="D1197" i="2"/>
  <c r="R1002" i="2"/>
  <c r="Q807" i="2"/>
  <c r="R1001" i="2"/>
  <c r="Q806" i="2"/>
  <c r="M1001" i="2"/>
  <c r="L806" i="2"/>
  <c r="I1000" i="2"/>
  <c r="H805" i="2"/>
  <c r="R610" i="2"/>
  <c r="Q415" i="2"/>
  <c r="M610" i="2"/>
  <c r="L415" i="2"/>
  <c r="P610" i="2"/>
  <c r="O415" i="2"/>
  <c r="U1000" i="2"/>
  <c r="T805" i="2"/>
  <c r="I611" i="2"/>
  <c r="H416" i="2"/>
  <c r="D611" i="2"/>
  <c r="D807" i="2"/>
  <c r="U1001" i="2"/>
  <c r="T806" i="2"/>
  <c r="I1392" i="2"/>
  <c r="H1197" i="2"/>
  <c r="V1002" i="2"/>
  <c r="U807" i="2"/>
  <c r="V1001" i="2"/>
  <c r="U806" i="2"/>
  <c r="Q1001" i="2"/>
  <c r="P806" i="2"/>
  <c r="R1659" i="2"/>
  <c r="N1373" i="2"/>
  <c r="W1378" i="2"/>
  <c r="O988" i="2"/>
  <c r="C1378" i="2"/>
  <c r="P987" i="2"/>
  <c r="R1371" i="2"/>
  <c r="J981" i="2"/>
  <c r="S1370" i="2"/>
  <c r="K980" i="2"/>
  <c r="W978" i="2"/>
  <c r="F589" i="2"/>
  <c r="N979" i="2"/>
  <c r="R589" i="2"/>
  <c r="D822" i="2"/>
  <c r="M1212" i="2"/>
  <c r="E823" i="2"/>
  <c r="E822" i="2"/>
  <c r="U821" i="2"/>
  <c r="J1391" i="2"/>
  <c r="I1196" i="2"/>
  <c r="W1001" i="2"/>
  <c r="V806" i="2"/>
  <c r="W1000" i="2"/>
  <c r="V805" i="2"/>
  <c r="R1000" i="2"/>
  <c r="Q805" i="2"/>
  <c r="N999" i="2"/>
  <c r="M804" i="2"/>
  <c r="W609" i="2"/>
  <c r="V414" i="2"/>
  <c r="R609" i="2"/>
  <c r="Q414" i="2"/>
  <c r="U609" i="2"/>
  <c r="T414" i="2"/>
  <c r="E1000" i="2"/>
  <c r="D805" i="2"/>
  <c r="N610" i="2"/>
  <c r="M415" i="2"/>
  <c r="I610" i="2"/>
  <c r="H803" i="2"/>
  <c r="D998" i="2"/>
  <c r="C803" i="2"/>
  <c r="M1388" i="2"/>
  <c r="L1193" i="2"/>
  <c r="E999" i="2"/>
  <c r="D804" i="2"/>
  <c r="E998" i="2"/>
  <c r="D803" i="2"/>
  <c r="U997" i="2"/>
  <c r="T802" i="2"/>
  <c r="N1387" i="2"/>
  <c r="M1192" i="2"/>
  <c r="F998" i="2"/>
  <c r="E803" i="2"/>
  <c r="F997" i="2"/>
  <c r="E802" i="2"/>
  <c r="V996" i="2"/>
  <c r="U801" i="2"/>
  <c r="R995" i="2"/>
  <c r="Q800" i="2"/>
  <c r="F606" i="2"/>
  <c r="E411" i="2"/>
  <c r="V605" i="2"/>
  <c r="U410" i="2"/>
  <c r="D606" i="2"/>
  <c r="C411" i="2"/>
  <c r="I996" i="2"/>
  <c r="H801" i="2"/>
  <c r="R606" i="2"/>
  <c r="Q411" i="2"/>
  <c r="Q750" i="2"/>
  <c r="M945" i="2"/>
  <c r="K1143" i="2"/>
  <c r="V1335" i="2"/>
  <c r="U1140" i="2"/>
  <c r="N946" i="2"/>
  <c r="M751" i="2"/>
  <c r="H799" i="2"/>
  <c r="Q1188" i="2"/>
  <c r="I798" i="2"/>
  <c r="U796" i="2"/>
  <c r="D407" i="2"/>
  <c r="L797" i="2"/>
  <c r="O596" i="2"/>
  <c r="J373" i="2"/>
  <c r="N568" i="2"/>
  <c r="N764" i="2"/>
  <c r="C958" i="2"/>
  <c r="W762" i="2"/>
  <c r="L568" i="2"/>
  <c r="K373" i="2"/>
  <c r="G568" i="2"/>
  <c r="F373" i="2"/>
  <c r="J568" i="2"/>
  <c r="O763" i="2"/>
  <c r="D957" i="2"/>
  <c r="C762" i="2"/>
  <c r="M567" i="2"/>
  <c r="L372" i="2"/>
  <c r="H567" i="2"/>
  <c r="G372" i="2"/>
  <c r="K567" i="2"/>
  <c r="J372" i="2"/>
  <c r="S566" i="2"/>
  <c r="R371" i="2"/>
  <c r="E177" i="2"/>
  <c r="U340" i="2"/>
  <c r="D979" i="2"/>
  <c r="M1368" i="2"/>
  <c r="E978" i="2"/>
  <c r="Q976" i="2"/>
  <c r="U586" i="2"/>
  <c r="H977" i="2"/>
  <c r="R685" i="2"/>
  <c r="I418" i="2"/>
  <c r="M613" i="2"/>
  <c r="L418" i="2"/>
  <c r="W1002" i="2"/>
  <c r="V807" i="2"/>
  <c r="K613" i="2"/>
  <c r="J418" i="2"/>
  <c r="F613" i="2"/>
  <c r="E418" i="2"/>
  <c r="I613" i="2"/>
  <c r="H418" i="2"/>
  <c r="C1002" i="2"/>
  <c r="W806" i="2"/>
  <c r="I1620" i="2"/>
  <c r="J1361" i="2"/>
  <c r="S1366" i="2"/>
  <c r="K976" i="2"/>
  <c r="T1365" i="2"/>
  <c r="L975" i="2"/>
  <c r="N1359" i="2"/>
  <c r="F969" i="2"/>
  <c r="O1358" i="2"/>
  <c r="G968" i="2"/>
  <c r="S966" i="2"/>
  <c r="W576" i="2"/>
  <c r="J967" i="2"/>
  <c r="N577" i="2"/>
  <c r="W815" i="2"/>
  <c r="K1206" i="2"/>
  <c r="C817" i="2"/>
  <c r="C816" i="2"/>
  <c r="S815" i="2"/>
  <c r="I1388" i="2"/>
  <c r="H1193" i="2"/>
  <c r="V998" i="2"/>
  <c r="U803" i="2"/>
  <c r="V997" i="2"/>
  <c r="U802" i="2"/>
  <c r="Q997" i="2"/>
  <c r="P802" i="2"/>
  <c r="M996" i="2"/>
  <c r="L801" i="2"/>
  <c r="V606" i="2"/>
  <c r="U411" i="2"/>
  <c r="Q606" i="2"/>
  <c r="P411" i="2"/>
  <c r="T606" i="2"/>
  <c r="S411" i="2"/>
  <c r="D997" i="2"/>
  <c r="C802" i="2"/>
  <c r="M607" i="2"/>
  <c r="L412" i="2"/>
  <c r="H607" i="2"/>
  <c r="G800" i="2"/>
  <c r="C995" i="2"/>
  <c r="W799" i="2"/>
  <c r="L1385" i="2"/>
  <c r="K1190" i="2"/>
  <c r="D996" i="2"/>
  <c r="C801" i="2"/>
  <c r="D995" i="2"/>
  <c r="C800" i="2"/>
  <c r="T994" i="2"/>
  <c r="S799" i="2"/>
  <c r="M1384" i="2"/>
  <c r="L1189" i="2"/>
  <c r="E995" i="2"/>
  <c r="D800" i="2"/>
  <c r="E994" i="2"/>
  <c r="D799" i="2"/>
  <c r="U993" i="2"/>
  <c r="T798" i="2"/>
  <c r="Q992" i="2"/>
  <c r="P797" i="2"/>
  <c r="E603" i="2"/>
  <c r="D408" i="2"/>
  <c r="U602" i="2"/>
  <c r="T407" i="2"/>
  <c r="C603" i="2"/>
  <c r="W407" i="2"/>
  <c r="H993" i="2"/>
  <c r="G798" i="2"/>
  <c r="Q603" i="2"/>
  <c r="P408" i="2"/>
  <c r="M1137" i="2"/>
  <c r="L942" i="2"/>
  <c r="V1527" i="2"/>
  <c r="U1332" i="2"/>
  <c r="N1138" i="2"/>
  <c r="M943" i="2"/>
  <c r="N1137" i="2"/>
  <c r="D787" i="2"/>
  <c r="M1176" i="2"/>
  <c r="E786" i="2"/>
  <c r="Q784" i="2"/>
  <c r="U394" i="2"/>
  <c r="H785" i="2"/>
  <c r="M590" i="2"/>
  <c r="I370" i="2"/>
  <c r="M565" i="2"/>
  <c r="M761" i="2"/>
  <c r="W954" i="2"/>
  <c r="V759" i="2"/>
  <c r="K565" i="2"/>
  <c r="J370" i="2"/>
  <c r="F565" i="2"/>
  <c r="E370" i="2"/>
  <c r="I565" i="2"/>
  <c r="N760" i="2"/>
  <c r="C954" i="2"/>
  <c r="W758" i="2"/>
  <c r="L564" i="2"/>
  <c r="K369" i="2"/>
  <c r="G564" i="2"/>
  <c r="F369" i="2"/>
  <c r="J564" i="2"/>
  <c r="I369" i="2"/>
  <c r="R563" i="2"/>
  <c r="Q368" i="2"/>
  <c r="D174" i="2"/>
  <c r="T337" i="2"/>
  <c r="U966" i="2"/>
  <c r="I1356" i="2"/>
  <c r="V965" i="2"/>
  <c r="M964" i="2"/>
  <c r="Q574" i="2"/>
  <c r="D965" i="2"/>
  <c r="P679" i="2"/>
  <c r="H415" i="2"/>
  <c r="L610" i="2"/>
  <c r="K415" i="2"/>
  <c r="V999" i="2"/>
  <c r="U804" i="2"/>
  <c r="J610" i="2"/>
  <c r="I415" i="2"/>
  <c r="E610" i="2"/>
  <c r="D415" i="2"/>
  <c r="H610" i="2"/>
  <c r="G415" i="2"/>
  <c r="W998" i="2"/>
  <c r="V803" i="2"/>
  <c r="V1595" i="2"/>
  <c r="F1349" i="2"/>
  <c r="O1354" i="2"/>
  <c r="G964" i="2"/>
  <c r="P1353" i="2"/>
  <c r="H963" i="2"/>
  <c r="J1347" i="2"/>
  <c r="W956" i="2"/>
  <c r="K1346" i="2"/>
  <c r="C956" i="2"/>
  <c r="O954" i="2"/>
  <c r="S564" i="2"/>
  <c r="F955" i="2"/>
  <c r="J565" i="2"/>
  <c r="U809" i="2"/>
  <c r="I1200" i="2"/>
  <c r="V810" i="2"/>
  <c r="V809" i="2"/>
  <c r="Q809" i="2"/>
  <c r="H1385" i="2"/>
  <c r="G1190" i="2"/>
  <c r="U995" i="2"/>
  <c r="T800" i="2"/>
  <c r="U994" i="2"/>
  <c r="T799" i="2"/>
  <c r="P994" i="2"/>
  <c r="O799" i="2"/>
  <c r="L993" i="2"/>
  <c r="K798" i="2"/>
  <c r="U603" i="2"/>
  <c r="T408" i="2"/>
  <c r="P603" i="2"/>
  <c r="O408" i="2"/>
  <c r="S603" i="2"/>
  <c r="R408" i="2"/>
  <c r="C994" i="2"/>
  <c r="W798" i="2"/>
  <c r="L604" i="2"/>
  <c r="K409" i="2"/>
  <c r="G604" i="2"/>
  <c r="F797" i="2"/>
  <c r="W991" i="2"/>
  <c r="V796" i="2"/>
  <c r="K1382" i="2"/>
  <c r="J1187" i="2"/>
  <c r="C993" i="2"/>
  <c r="W797" i="2"/>
  <c r="C992" i="2"/>
  <c r="W796" i="2"/>
  <c r="S991" i="2"/>
  <c r="R796" i="2"/>
  <c r="L1381" i="2"/>
  <c r="K1186" i="2"/>
  <c r="D992" i="2"/>
  <c r="C797" i="2"/>
  <c r="D991" i="2"/>
  <c r="C796" i="2"/>
  <c r="T990" i="2"/>
  <c r="S795" i="2"/>
  <c r="P989" i="2"/>
  <c r="Q1288" i="2"/>
  <c r="I899" i="2"/>
  <c r="W1068" i="2"/>
  <c r="V873" i="2"/>
  <c r="R1068" i="2"/>
  <c r="Q873" i="2"/>
  <c r="N1641" i="2"/>
  <c r="K1661" i="2"/>
  <c r="R1466" i="2"/>
  <c r="Q1271" i="2"/>
  <c r="M1466" i="2"/>
  <c r="L1271" i="2"/>
  <c r="H1466" i="2"/>
  <c r="G1271" i="2"/>
  <c r="V1471" i="2"/>
  <c r="U1276" i="2"/>
  <c r="N1082" i="2"/>
  <c r="M887" i="2"/>
  <c r="N1081" i="2"/>
  <c r="M886" i="2"/>
  <c r="I1081" i="2"/>
  <c r="H886" i="2"/>
  <c r="W1470" i="2"/>
  <c r="V1275" i="2"/>
  <c r="O1081" i="2"/>
  <c r="N886" i="2"/>
  <c r="O1080" i="2"/>
  <c r="Q1627" i="2"/>
  <c r="S1415" i="2"/>
  <c r="D1400" i="2"/>
  <c r="O1399" i="2"/>
  <c r="I1552" i="2"/>
  <c r="V1466" i="2"/>
  <c r="U1271" i="2"/>
  <c r="Q1466" i="2"/>
  <c r="P1271" i="2"/>
  <c r="L1466" i="2"/>
  <c r="K1271" i="2"/>
  <c r="N1577" i="2"/>
  <c r="K1645" i="2"/>
  <c r="R1450" i="2"/>
  <c r="Q1255" i="2"/>
  <c r="M1450" i="2"/>
  <c r="L1255" i="2"/>
  <c r="H1450" i="2"/>
  <c r="G1255" i="2"/>
  <c r="V1455" i="2"/>
  <c r="U1260" i="2"/>
  <c r="N1066" i="2"/>
  <c r="M871" i="2"/>
  <c r="N1065" i="2"/>
  <c r="M870" i="2"/>
  <c r="I1065" i="2"/>
  <c r="H870" i="2"/>
  <c r="W1454" i="2"/>
  <c r="V1259" i="2"/>
  <c r="O1065" i="2"/>
  <c r="N870" i="2"/>
  <c r="O1064" i="2"/>
  <c r="G1597" i="2"/>
  <c r="N1400" i="2"/>
  <c r="T1384" i="2"/>
  <c r="J1384" i="2"/>
  <c r="D1537" i="2"/>
  <c r="E1463" i="2"/>
  <c r="D1268" i="2"/>
  <c r="U1462" i="2"/>
  <c r="M1829" i="2"/>
  <c r="D1605" i="2"/>
  <c r="P1548" i="2"/>
  <c r="W1353" i="2"/>
  <c r="V1158" i="2"/>
  <c r="R1353" i="2"/>
  <c r="Q1158" i="2"/>
  <c r="M1353" i="2"/>
  <c r="P1166" i="2"/>
  <c r="F1359" i="2"/>
  <c r="E1164" i="2"/>
  <c r="S969" i="2"/>
  <c r="R774" i="2"/>
  <c r="S968" i="2"/>
  <c r="R773" i="2"/>
  <c r="N968" i="2"/>
  <c r="Q1165" i="2"/>
  <c r="G1358" i="2"/>
  <c r="F1163" i="2"/>
  <c r="T968" i="2"/>
  <c r="S773" i="2"/>
  <c r="T967" i="2"/>
  <c r="D1355" i="2"/>
  <c r="J1575" i="2"/>
  <c r="U1338" i="2"/>
  <c r="R1742" i="2"/>
  <c r="T1548" i="2"/>
  <c r="F1354" i="2"/>
  <c r="E1159" i="2"/>
  <c r="V1353" i="2"/>
  <c r="U1158" i="2"/>
  <c r="Q1353" i="2"/>
  <c r="I1768" i="2"/>
  <c r="D1573" i="2"/>
  <c r="P1532" i="2"/>
  <c r="W1337" i="2"/>
  <c r="V1142" i="2"/>
  <c r="R1337" i="2"/>
  <c r="Q1142" i="2"/>
  <c r="M1337" i="2"/>
  <c r="P1150" i="2"/>
  <c r="F1343" i="2"/>
  <c r="E1148" i="2"/>
  <c r="S953" i="2"/>
  <c r="R758" i="2"/>
  <c r="S952" i="2"/>
  <c r="R757" i="2"/>
  <c r="N952" i="2"/>
  <c r="Q1149" i="2"/>
  <c r="G1342" i="2"/>
  <c r="F1147" i="2"/>
  <c r="T952" i="2"/>
  <c r="S757" i="2"/>
  <c r="T951" i="2"/>
  <c r="T1339" i="2"/>
  <c r="U1544" i="2"/>
  <c r="P1323" i="2"/>
  <c r="K1712" i="2"/>
  <c r="C1545" i="2"/>
  <c r="J1350" i="2"/>
  <c r="I1155" i="2"/>
  <c r="E1350" i="2"/>
  <c r="D1155" i="2"/>
  <c r="U1349" i="2"/>
  <c r="V1735" i="2"/>
  <c r="L1565" i="2"/>
  <c r="H1529" i="2"/>
  <c r="F1334" i="2"/>
  <c r="W1528" i="2"/>
  <c r="V1333" i="2"/>
  <c r="R1528" i="2"/>
  <c r="Q1333" i="2"/>
  <c r="T1146" i="2"/>
  <c r="J1339" i="2"/>
  <c r="I1144" i="2"/>
  <c r="W949" i="2"/>
  <c r="V754" i="2"/>
  <c r="W948" i="2"/>
  <c r="V753" i="2"/>
  <c r="R948" i="2"/>
  <c r="U1145" i="2"/>
  <c r="K1338" i="2"/>
  <c r="J1143" i="2"/>
  <c r="C949" i="2"/>
  <c r="W753" i="2"/>
  <c r="C948" i="2"/>
  <c r="R1136" i="2"/>
  <c r="Q941" i="2"/>
  <c r="F1527" i="2"/>
  <c r="E1332" i="2"/>
  <c r="S1137" i="2"/>
  <c r="R942" i="2"/>
  <c r="S1136" i="2"/>
  <c r="R941" i="2"/>
  <c r="N1136" i="2"/>
  <c r="M941" i="2"/>
  <c r="G1526" i="2"/>
  <c r="F1331" i="2"/>
  <c r="T1136" i="2"/>
  <c r="S941" i="2"/>
  <c r="T1135" i="2"/>
  <c r="S940" i="2"/>
  <c r="O1135" i="2"/>
  <c r="N940" i="2"/>
  <c r="K1134" i="2"/>
  <c r="J939" i="2"/>
  <c r="T744" i="2"/>
  <c r="S549" i="2"/>
  <c r="O744" i="2"/>
  <c r="N549" i="2"/>
  <c r="R744" i="2"/>
  <c r="Q549" i="2"/>
  <c r="W1134" i="2"/>
  <c r="V939" i="2"/>
  <c r="K745" i="2"/>
  <c r="J550" i="2"/>
  <c r="F745" i="2"/>
  <c r="E550" i="2"/>
  <c r="W1135" i="2"/>
  <c r="V940" i="2"/>
  <c r="K1526" i="2"/>
  <c r="J1331" i="2"/>
  <c r="C1137" i="2"/>
  <c r="W941" i="2"/>
  <c r="C1136" i="2"/>
  <c r="W940" i="2"/>
  <c r="S1135" i="2"/>
  <c r="R940" i="2"/>
  <c r="V1145" i="2"/>
  <c r="D1520" i="2"/>
  <c r="O1519" i="2"/>
  <c r="U1135" i="2"/>
  <c r="P1134" i="2"/>
  <c r="V1134" i="2"/>
  <c r="O1127" i="2"/>
  <c r="P1128" i="2"/>
  <c r="K1127" i="2"/>
  <c r="Q1127" i="2"/>
  <c r="L1126" i="2"/>
  <c r="Q735" i="2"/>
  <c r="O735" i="2"/>
  <c r="H736" i="2"/>
  <c r="T1126" i="2"/>
  <c r="Q1480" i="2"/>
  <c r="I1091" i="2"/>
  <c r="I1090" i="2"/>
  <c r="D1090" i="2"/>
  <c r="L1525" i="2"/>
  <c r="K1330" i="2"/>
  <c r="D1136" i="2"/>
  <c r="C941" i="2"/>
  <c r="D1135" i="2"/>
  <c r="C940" i="2"/>
  <c r="T1134" i="2"/>
  <c r="S939" i="2"/>
  <c r="P1133" i="2"/>
  <c r="O938" i="2"/>
  <c r="D744" i="2"/>
  <c r="C549" i="2"/>
  <c r="T743" i="2"/>
  <c r="S548" i="2"/>
  <c r="W743" i="2"/>
  <c r="V548" i="2"/>
  <c r="G1134" i="2"/>
  <c r="F939" i="2"/>
  <c r="P744" i="2"/>
  <c r="O549" i="2"/>
  <c r="K744" i="2"/>
  <c r="J549" i="2"/>
  <c r="F1132" i="2"/>
  <c r="E937" i="2"/>
  <c r="O1522" i="2"/>
  <c r="N1327" i="2"/>
  <c r="G1133" i="2"/>
  <c r="F938" i="2"/>
  <c r="G1132" i="2"/>
  <c r="F937" i="2"/>
  <c r="W1131" i="2"/>
  <c r="V936" i="2"/>
  <c r="P1521" i="2"/>
  <c r="O1326" i="2"/>
  <c r="H1132" i="2"/>
  <c r="G937" i="2"/>
  <c r="H1131" i="2"/>
  <c r="G936" i="2"/>
  <c r="C1131" i="2"/>
  <c r="W935" i="2"/>
  <c r="T1129" i="2"/>
  <c r="S934" i="2"/>
  <c r="H740" i="2"/>
  <c r="G545" i="2"/>
  <c r="C740" i="2"/>
  <c r="W544" i="2"/>
  <c r="F740" i="2"/>
  <c r="E545" i="2"/>
  <c r="K1130" i="2"/>
  <c r="J935" i="2"/>
  <c r="T740" i="2"/>
  <c r="S545" i="2"/>
  <c r="S884" i="2"/>
  <c r="O1079" i="2"/>
  <c r="N884" i="2"/>
  <c r="C1470" i="2"/>
  <c r="W1274" i="2"/>
  <c r="P1080" i="2"/>
  <c r="O885" i="2"/>
  <c r="P1079" i="2"/>
  <c r="I945" i="2"/>
  <c r="O945" i="2"/>
  <c r="J944" i="2"/>
  <c r="O553" i="2"/>
  <c r="M553" i="2"/>
  <c r="F554" i="2"/>
  <c r="L507" i="2"/>
  <c r="P702" i="2"/>
  <c r="O507" i="2"/>
  <c r="E1092" i="2"/>
  <c r="D897" i="2"/>
  <c r="N702" i="2"/>
  <c r="M507" i="2"/>
  <c r="I702" i="2"/>
  <c r="H507" i="2"/>
  <c r="L702" i="2"/>
  <c r="K507" i="2"/>
  <c r="F1091" i="2"/>
  <c r="E896" i="2"/>
  <c r="O701" i="2"/>
  <c r="N506" i="2"/>
  <c r="J701" i="2"/>
  <c r="I506" i="2"/>
  <c r="M701" i="2"/>
  <c r="L506" i="2"/>
  <c r="U700" i="2"/>
  <c r="T505" i="2"/>
  <c r="G311" i="2"/>
  <c r="F116" i="2"/>
  <c r="V279" i="2"/>
  <c r="E1125" i="2"/>
  <c r="K1125" i="2"/>
  <c r="F1124" i="2"/>
  <c r="K733" i="2"/>
  <c r="I733" i="2"/>
  <c r="W733" i="2"/>
  <c r="T563" i="2"/>
  <c r="O747" i="2"/>
  <c r="N552" i="2"/>
  <c r="D1137" i="2"/>
  <c r="C942" i="2"/>
  <c r="M747" i="2"/>
  <c r="L552" i="2"/>
  <c r="H747" i="2"/>
  <c r="G552" i="2"/>
  <c r="K747" i="2"/>
  <c r="J552" i="2"/>
  <c r="E1136" i="2"/>
  <c r="D941" i="2"/>
  <c r="O1523" i="2"/>
  <c r="U1507" i="2"/>
  <c r="K1507" i="2"/>
  <c r="Q1123" i="2"/>
  <c r="L1122" i="2"/>
  <c r="R1122" i="2"/>
  <c r="K1115" i="2"/>
  <c r="L1116" i="2"/>
  <c r="G1115" i="2"/>
  <c r="M1115" i="2"/>
  <c r="H1114" i="2"/>
  <c r="M723" i="2"/>
  <c r="K723" i="2"/>
  <c r="D724" i="2"/>
  <c r="P1114" i="2"/>
  <c r="O1474" i="2"/>
  <c r="G1085" i="2"/>
  <c r="G1084" i="2"/>
  <c r="W1083" i="2"/>
  <c r="K1522" i="2"/>
  <c r="J1327" i="2"/>
  <c r="C1133" i="2"/>
  <c r="W937" i="2"/>
  <c r="C1132" i="2"/>
  <c r="W936" i="2"/>
  <c r="S1131" i="2"/>
  <c r="R936" i="2"/>
  <c r="O1130" i="2"/>
  <c r="N935" i="2"/>
  <c r="C741" i="2"/>
  <c r="W545" i="2"/>
  <c r="S740" i="2"/>
  <c r="R545" i="2"/>
  <c r="V740" i="2"/>
  <c r="U545" i="2"/>
  <c r="F1131" i="2"/>
  <c r="E936" i="2"/>
  <c r="O741" i="2"/>
  <c r="N546" i="2"/>
  <c r="J741" i="2"/>
  <c r="I546" i="2"/>
  <c r="E1129" i="2"/>
  <c r="D934" i="2"/>
  <c r="N1519" i="2"/>
  <c r="M1324" i="2"/>
  <c r="F1130" i="2"/>
  <c r="E935" i="2"/>
  <c r="F1129" i="2"/>
  <c r="E934" i="2"/>
  <c r="V1128" i="2"/>
  <c r="U933" i="2"/>
  <c r="O1518" i="2"/>
  <c r="N1323" i="2"/>
  <c r="G1129" i="2"/>
  <c r="F934" i="2"/>
  <c r="G1128" i="2"/>
  <c r="F933" i="2"/>
  <c r="W1127" i="2"/>
  <c r="V932" i="2"/>
  <c r="S1126" i="2"/>
  <c r="R931" i="2"/>
  <c r="G737" i="2"/>
  <c r="F542" i="2"/>
  <c r="W736" i="2"/>
  <c r="V541" i="2"/>
  <c r="E737" i="2"/>
  <c r="D542" i="2"/>
  <c r="J1127" i="2"/>
  <c r="I932" i="2"/>
  <c r="S737" i="2"/>
  <c r="R542" i="2"/>
  <c r="R881" i="2"/>
  <c r="N1076" i="2"/>
  <c r="M881" i="2"/>
  <c r="W1466" i="2"/>
  <c r="V1271" i="2"/>
  <c r="O1077" i="2"/>
  <c r="N882" i="2"/>
  <c r="O1076" i="2"/>
  <c r="E933" i="2"/>
  <c r="K933" i="2"/>
  <c r="F932" i="2"/>
  <c r="K541" i="2"/>
  <c r="I541" i="2"/>
  <c r="W541" i="2"/>
  <c r="K504" i="2"/>
  <c r="O699" i="2"/>
  <c r="N504" i="2"/>
  <c r="D1089" i="2"/>
  <c r="C894" i="2"/>
  <c r="M699" i="2"/>
  <c r="L504" i="2"/>
  <c r="H699" i="2"/>
  <c r="G504" i="2"/>
  <c r="K699" i="2"/>
  <c r="J504" i="2"/>
  <c r="E1088" i="2"/>
  <c r="D893" i="2"/>
  <c r="N698" i="2"/>
  <c r="M503" i="2"/>
  <c r="I698" i="2"/>
  <c r="H503" i="2"/>
  <c r="L698" i="2"/>
  <c r="K503" i="2"/>
  <c r="T697" i="2"/>
  <c r="S502" i="2"/>
  <c r="F308" i="2"/>
  <c r="E113" i="2"/>
  <c r="U276" i="2"/>
  <c r="V1112" i="2"/>
  <c r="G1113" i="2"/>
  <c r="W1111" i="2"/>
  <c r="G721" i="2"/>
  <c r="E721" i="2"/>
  <c r="S721" i="2"/>
  <c r="R557" i="2"/>
  <c r="N744" i="2"/>
  <c r="M549" i="2"/>
  <c r="C1134" i="2"/>
  <c r="W938" i="2"/>
  <c r="L744" i="2"/>
  <c r="K549" i="2"/>
  <c r="G744" i="2"/>
  <c r="F549" i="2"/>
  <c r="J744" i="2"/>
  <c r="I549" i="2"/>
  <c r="D1133" i="2"/>
  <c r="C938" i="2"/>
  <c r="K1511" i="2"/>
  <c r="Q1495" i="2"/>
  <c r="G1495" i="2"/>
  <c r="M1111" i="2"/>
  <c r="H1110" i="2"/>
  <c r="N1110" i="2"/>
  <c r="G1103" i="2"/>
  <c r="H1104" i="2"/>
  <c r="C1103" i="2"/>
  <c r="I1103" i="2"/>
  <c r="D1102" i="2"/>
  <c r="I711" i="2"/>
  <c r="G711" i="2"/>
  <c r="U711" i="2"/>
  <c r="L1102" i="2"/>
  <c r="M1468" i="2"/>
  <c r="E1079" i="2"/>
  <c r="E1078" i="2"/>
  <c r="U1077" i="2"/>
  <c r="J1519" i="2"/>
  <c r="I1324" i="2"/>
  <c r="W1129" i="2"/>
  <c r="V934" i="2"/>
  <c r="W1128" i="2"/>
  <c r="V933" i="2"/>
  <c r="R1128" i="2"/>
  <c r="Q933" i="2"/>
  <c r="N1127" i="2"/>
  <c r="M932" i="2"/>
  <c r="W737" i="2"/>
  <c r="V542" i="2"/>
  <c r="R737" i="2"/>
  <c r="Q542" i="2"/>
  <c r="U737" i="2"/>
  <c r="T542" i="2"/>
  <c r="E1128" i="2"/>
  <c r="D933" i="2"/>
  <c r="N738" i="2"/>
  <c r="M543" i="2"/>
  <c r="I738" i="2"/>
  <c r="H543" i="2"/>
  <c r="D1126" i="2"/>
  <c r="C931" i="2"/>
  <c r="M1516" i="2"/>
  <c r="L1321" i="2"/>
  <c r="E1127" i="2"/>
  <c r="D932" i="2"/>
  <c r="E1126" i="2"/>
  <c r="D931" i="2"/>
  <c r="U1125" i="2"/>
  <c r="T930" i="2"/>
  <c r="N1515" i="2"/>
  <c r="M1320" i="2"/>
  <c r="F1126" i="2"/>
  <c r="E931" i="2"/>
  <c r="F1125" i="2"/>
  <c r="E930" i="2"/>
  <c r="V1124" i="2"/>
  <c r="U929" i="2"/>
  <c r="R1123" i="2"/>
  <c r="Q928" i="2"/>
  <c r="C758" i="2"/>
  <c r="M563" i="2"/>
  <c r="L368" i="2"/>
  <c r="H563" i="2"/>
  <c r="G368" i="2"/>
  <c r="K563" i="2"/>
  <c r="F760" i="2"/>
  <c r="P953" i="2"/>
  <c r="O758" i="2"/>
  <c r="D564" i="2"/>
  <c r="D903" i="2"/>
  <c r="U1097" i="2"/>
  <c r="T902" i="2"/>
  <c r="I1488" i="2"/>
  <c r="H1293" i="2"/>
  <c r="V1098" i="2"/>
  <c r="U903" i="2"/>
  <c r="V1097" i="2"/>
  <c r="L1018" i="2"/>
  <c r="R1018" i="2"/>
  <c r="M1017" i="2"/>
  <c r="R626" i="2"/>
  <c r="P626" i="2"/>
  <c r="I627" i="2"/>
  <c r="R525" i="2"/>
  <c r="V720" i="2"/>
  <c r="U525" i="2"/>
  <c r="K1110" i="2"/>
  <c r="J915" i="2"/>
  <c r="T720" i="2"/>
  <c r="S525" i="2"/>
  <c r="O720" i="2"/>
  <c r="N525" i="2"/>
  <c r="R720" i="2"/>
  <c r="Q525" i="2"/>
  <c r="L1109" i="2"/>
  <c r="K914" i="2"/>
  <c r="U719" i="2"/>
  <c r="T524" i="2"/>
  <c r="P719" i="2"/>
  <c r="O524" i="2"/>
  <c r="S719" i="2"/>
  <c r="R524" i="2"/>
  <c r="F719" i="2"/>
  <c r="E524" i="2"/>
  <c r="M329" i="2"/>
  <c r="L134" i="2"/>
  <c r="G298" i="2"/>
  <c r="K808" i="2"/>
  <c r="T1197" i="2"/>
  <c r="L807" i="2"/>
  <c r="C806" i="2"/>
  <c r="G416" i="2"/>
  <c r="O806" i="2"/>
  <c r="K600" i="2"/>
  <c r="P375" i="2"/>
  <c r="T570" i="2"/>
  <c r="T766" i="2"/>
  <c r="I960" i="2"/>
  <c r="H765" i="2"/>
  <c r="R570" i="2"/>
  <c r="Q375" i="2"/>
  <c r="M570" i="2"/>
  <c r="L375" i="2"/>
  <c r="P570" i="2"/>
  <c r="U765" i="2"/>
  <c r="J959" i="2"/>
  <c r="E1158" i="2"/>
  <c r="U1531" i="2"/>
  <c r="V1141" i="2"/>
  <c r="J1147" i="2"/>
  <c r="W756" i="2"/>
  <c r="K1146" i="2"/>
  <c r="N1140" i="2"/>
  <c r="E1140" i="2"/>
  <c r="S1139" i="2"/>
  <c r="V1140" i="2"/>
  <c r="P1138" i="2"/>
  <c r="U747" i="2"/>
  <c r="S747" i="2"/>
  <c r="L748" i="2"/>
  <c r="C1139" i="2"/>
  <c r="S1486" i="2"/>
  <c r="K1097" i="2"/>
  <c r="K1096" i="2"/>
  <c r="F1096" i="2"/>
  <c r="M1528" i="2"/>
  <c r="L1333" i="2"/>
  <c r="E1139" i="2"/>
  <c r="D944" i="2"/>
  <c r="E1138" i="2"/>
  <c r="D943" i="2"/>
  <c r="U1137" i="2"/>
  <c r="T942" i="2"/>
  <c r="Q1136" i="2"/>
  <c r="P941" i="2"/>
  <c r="E747" i="2"/>
  <c r="D552" i="2"/>
  <c r="F637" i="2"/>
  <c r="N1027" i="2"/>
  <c r="R637" i="2"/>
  <c r="V1415" i="2"/>
  <c r="N1025" i="2"/>
  <c r="W1414" i="2"/>
  <c r="O1024" i="2"/>
  <c r="F1023" i="2"/>
  <c r="J633" i="2"/>
  <c r="R1023" i="2"/>
  <c r="E778" i="2"/>
  <c r="I1168" i="2"/>
  <c r="K1298" i="2"/>
  <c r="F907" i="2"/>
  <c r="V400" i="2"/>
  <c r="T400" i="2"/>
  <c r="R400" i="2"/>
  <c r="U399" i="2"/>
  <c r="S399" i="2"/>
  <c r="M9" i="2"/>
  <c r="K1086" i="2"/>
  <c r="R445" i="2"/>
  <c r="J835" i="2"/>
  <c r="N445" i="2"/>
  <c r="K834" i="2"/>
  <c r="J606" i="2"/>
  <c r="I411" i="2"/>
  <c r="E606" i="2"/>
  <c r="D411" i="2"/>
  <c r="H606" i="2"/>
  <c r="G411" i="2"/>
  <c r="P605" i="2"/>
  <c r="O410" i="2"/>
  <c r="W215" i="2"/>
  <c r="V20" i="2"/>
  <c r="Q184" i="2"/>
  <c r="P348" i="2"/>
  <c r="L939" i="2"/>
  <c r="U1328" i="2"/>
  <c r="M938" i="2"/>
  <c r="D937" i="2"/>
  <c r="H547" i="2"/>
  <c r="P937" i="2"/>
  <c r="Q666" i="2"/>
  <c r="K408" i="2"/>
  <c r="O603" i="2"/>
  <c r="N408" i="2"/>
  <c r="D993" i="2"/>
  <c r="C798" i="2"/>
  <c r="M603" i="2"/>
  <c r="L408" i="2"/>
  <c r="H603" i="2"/>
  <c r="G408" i="2"/>
  <c r="K603" i="2"/>
  <c r="J408" i="2"/>
  <c r="E992" i="2"/>
  <c r="D797" i="2"/>
  <c r="N602" i="2"/>
  <c r="M407" i="2"/>
  <c r="I602" i="2"/>
  <c r="H407" i="2"/>
  <c r="L602" i="2"/>
  <c r="K407" i="2"/>
  <c r="T601" i="2"/>
  <c r="S406" i="2"/>
  <c r="F212" i="2"/>
  <c r="E17" i="2"/>
  <c r="U180" i="2"/>
  <c r="T344" i="2"/>
  <c r="G924" i="2"/>
  <c r="P1313" i="2"/>
  <c r="H923" i="2"/>
  <c r="T921" i="2"/>
  <c r="C532" i="2"/>
  <c r="K922" i="2"/>
  <c r="I658" i="2"/>
  <c r="O404" i="2"/>
  <c r="S599" i="2"/>
  <c r="R404" i="2"/>
  <c r="H989" i="2"/>
  <c r="G794" i="2"/>
  <c r="Q599" i="2"/>
  <c r="P404" i="2"/>
  <c r="L599" i="2"/>
  <c r="K404" i="2"/>
  <c r="O599" i="2"/>
  <c r="N404" i="2"/>
  <c r="I988" i="2"/>
  <c r="H793" i="2"/>
  <c r="R598" i="2"/>
  <c r="Q403" i="2"/>
  <c r="M598" i="2"/>
  <c r="L403" i="2"/>
  <c r="P598" i="2"/>
  <c r="O403" i="2"/>
  <c r="C598" i="2"/>
  <c r="W402" i="2"/>
  <c r="J208" i="2"/>
  <c r="I13" i="2"/>
  <c r="D177" i="2"/>
  <c r="K237" i="2"/>
  <c r="I7" i="2"/>
  <c r="E664" i="2"/>
  <c r="D469" i="2"/>
  <c r="L274" i="2"/>
  <c r="K79" i="2"/>
  <c r="F243" i="2"/>
  <c r="E48" i="2"/>
  <c r="D212" i="2"/>
  <c r="C17" i="2"/>
  <c r="S670" i="2"/>
  <c r="R475" i="2"/>
  <c r="E281" i="2"/>
  <c r="D86" i="2"/>
  <c r="T249" i="2"/>
  <c r="S54" i="2"/>
  <c r="R218" i="2"/>
  <c r="Q23" i="2"/>
  <c r="T669" i="2"/>
  <c r="S474" i="2"/>
  <c r="F280" i="2"/>
  <c r="E85" i="2"/>
  <c r="U248" i="2"/>
  <c r="T53" i="2"/>
  <c r="S217" i="2"/>
  <c r="R22" i="2"/>
  <c r="D187" i="2"/>
  <c r="O264" i="2"/>
  <c r="N69" i="2"/>
  <c r="W188" i="2"/>
  <c r="M266" i="2"/>
  <c r="L71" i="2"/>
  <c r="U155" i="2"/>
  <c r="D319" i="2"/>
  <c r="P617" i="2"/>
  <c r="E625" i="2"/>
  <c r="S625" i="2"/>
  <c r="I1013" i="2"/>
  <c r="J1014" i="2"/>
  <c r="E1013" i="2"/>
  <c r="K1013" i="2"/>
  <c r="F1012" i="2"/>
  <c r="K621" i="2"/>
  <c r="I621" i="2"/>
  <c r="W621" i="2"/>
  <c r="P1158" i="2"/>
  <c r="R766" i="2"/>
  <c r="T857" i="2"/>
  <c r="O388" i="2"/>
  <c r="G778" i="2"/>
  <c r="K388" i="2"/>
  <c r="H777" i="2"/>
  <c r="L387" i="2"/>
  <c r="W386" i="2"/>
  <c r="L1429" i="2"/>
  <c r="G1038" i="2"/>
  <c r="Q433" i="2"/>
  <c r="O433" i="2"/>
  <c r="M433" i="2"/>
  <c r="T700" i="2"/>
  <c r="S505" i="2"/>
  <c r="O700" i="2"/>
  <c r="N505" i="2"/>
  <c r="R700" i="2"/>
  <c r="Q505" i="2"/>
  <c r="E700" i="2"/>
  <c r="D505" i="2"/>
  <c r="L310" i="2"/>
  <c r="K115" i="2"/>
  <c r="F279" i="2"/>
  <c r="E84" i="2"/>
  <c r="D248" i="2"/>
  <c r="C927" i="2"/>
  <c r="I927" i="2"/>
  <c r="D926" i="2"/>
  <c r="I535" i="2"/>
  <c r="G535" i="2"/>
  <c r="U535" i="2"/>
  <c r="U502" i="2"/>
  <c r="D698" i="2"/>
  <c r="C503" i="2"/>
  <c r="N1087" i="2"/>
  <c r="M892" i="2"/>
  <c r="W697" i="2"/>
  <c r="V502" i="2"/>
  <c r="R697" i="2"/>
  <c r="Q502" i="2"/>
  <c r="U697" i="2"/>
  <c r="T502" i="2"/>
  <c r="O1086" i="2"/>
  <c r="N891" i="2"/>
  <c r="C697" i="2"/>
  <c r="W501" i="2"/>
  <c r="S696" i="2"/>
  <c r="R501" i="2"/>
  <c r="V696" i="2"/>
  <c r="U501" i="2"/>
  <c r="I696" i="2"/>
  <c r="H501" i="2"/>
  <c r="P306" i="2"/>
  <c r="O111" i="2"/>
  <c r="J275" i="2"/>
  <c r="I80" i="2"/>
  <c r="H244" i="2"/>
  <c r="S911" i="2"/>
  <c r="D912" i="2"/>
  <c r="T910" i="2"/>
  <c r="D520" i="2"/>
  <c r="W519" i="2"/>
  <c r="P520" i="2"/>
  <c r="D499" i="2"/>
  <c r="H694" i="2"/>
  <c r="G499" i="2"/>
  <c r="R1083" i="2"/>
  <c r="Q888" i="2"/>
  <c r="F694" i="2"/>
  <c r="E499" i="2"/>
  <c r="V693" i="2"/>
  <c r="U498" i="2"/>
  <c r="D694" i="2"/>
  <c r="C499" i="2"/>
  <c r="S1082" i="2"/>
  <c r="R887" i="2"/>
  <c r="G693" i="2"/>
  <c r="F498" i="2"/>
  <c r="W692" i="2"/>
  <c r="V497" i="2"/>
  <c r="E693" i="2"/>
  <c r="D498" i="2"/>
  <c r="M692" i="2"/>
  <c r="L497" i="2"/>
  <c r="T302" i="2"/>
  <c r="S107" i="2"/>
  <c r="N271" i="2"/>
  <c r="J67" i="2"/>
  <c r="S101" i="2"/>
  <c r="E369" i="2"/>
  <c r="N563" i="2"/>
  <c r="M368" i="2"/>
  <c r="U173" i="2"/>
  <c r="P337" i="2"/>
  <c r="O142" i="2"/>
  <c r="N306" i="2"/>
  <c r="M111" i="2"/>
  <c r="S375" i="2"/>
  <c r="G570" i="2"/>
  <c r="F375" i="2"/>
  <c r="N180" i="2"/>
  <c r="I344" i="2"/>
  <c r="H149" i="2"/>
  <c r="G313" i="2"/>
  <c r="F118" i="2"/>
  <c r="T374" i="2"/>
  <c r="H569" i="2"/>
  <c r="G374" i="2"/>
  <c r="O179" i="2"/>
  <c r="J343" i="2"/>
  <c r="I148" i="2"/>
  <c r="H312" i="2"/>
  <c r="G117" i="2"/>
  <c r="N281" i="2"/>
  <c r="M86" i="2"/>
  <c r="C164" i="2"/>
  <c r="L283" i="2"/>
  <c r="K88" i="2"/>
  <c r="V165" i="2"/>
  <c r="F334" i="2"/>
  <c r="I55" i="2"/>
  <c r="E712" i="2"/>
  <c r="C564" i="2"/>
  <c r="K954" i="2"/>
  <c r="O564" i="2"/>
  <c r="S1342" i="2"/>
  <c r="K952" i="2"/>
  <c r="T1341" i="2"/>
  <c r="L951" i="2"/>
  <c r="C950" i="2"/>
  <c r="G560" i="2"/>
  <c r="O950" i="2"/>
  <c r="T1094" i="2"/>
  <c r="U1095" i="2"/>
  <c r="N1006" i="2"/>
  <c r="E615" i="2"/>
  <c r="J1107" i="2"/>
  <c r="N717" i="2"/>
  <c r="K1106" i="2"/>
  <c r="O716" i="2"/>
  <c r="E716" i="2"/>
  <c r="F295" i="2"/>
  <c r="T793" i="2"/>
  <c r="O372" i="2"/>
  <c r="G762" i="2"/>
  <c r="K372" i="2"/>
  <c r="O782" i="2"/>
  <c r="D588" i="2"/>
  <c r="C393" i="2"/>
  <c r="T587" i="2"/>
  <c r="S392" i="2"/>
  <c r="W587" i="2"/>
  <c r="V392" i="2"/>
  <c r="J587" i="2"/>
  <c r="I392" i="2"/>
  <c r="Q197" i="2"/>
  <c r="P2" i="2"/>
  <c r="K166" i="2"/>
  <c r="J330" i="2"/>
  <c r="I866" i="2"/>
  <c r="R1255" i="2"/>
  <c r="J865" i="2"/>
  <c r="V863" i="2"/>
  <c r="E474" i="2"/>
  <c r="M864" i="2"/>
  <c r="E630" i="2"/>
  <c r="E390" i="2"/>
  <c r="I585" i="2"/>
  <c r="I781" i="2"/>
  <c r="S974" i="2"/>
  <c r="R779" i="2"/>
  <c r="G585" i="2"/>
  <c r="F390" i="2"/>
  <c r="W584" i="2"/>
  <c r="V389" i="2"/>
  <c r="E585" i="2"/>
  <c r="J780" i="2"/>
  <c r="T973" i="2"/>
  <c r="S778" i="2"/>
  <c r="H584" i="2"/>
  <c r="G389" i="2"/>
  <c r="C584" i="2"/>
  <c r="W388" i="2"/>
  <c r="F584" i="2"/>
  <c r="E389" i="2"/>
  <c r="N583" i="2"/>
  <c r="M388" i="2"/>
  <c r="U193" i="2"/>
  <c r="P357" i="2"/>
  <c r="O162" i="2"/>
  <c r="N326" i="2"/>
  <c r="D851" i="2"/>
  <c r="M1240" i="2"/>
  <c r="E850" i="2"/>
  <c r="Q848" i="2"/>
  <c r="U458" i="2"/>
  <c r="H849" i="2"/>
  <c r="R621" i="2"/>
  <c r="I386" i="2"/>
  <c r="M581" i="2"/>
  <c r="M777" i="2"/>
  <c r="W970" i="2"/>
  <c r="V775" i="2"/>
  <c r="K581" i="2"/>
  <c r="J386" i="2"/>
  <c r="F581" i="2"/>
  <c r="E386" i="2"/>
  <c r="I581" i="2"/>
  <c r="N776" i="2"/>
  <c r="C970" i="2"/>
  <c r="W774" i="2"/>
  <c r="L580" i="2"/>
  <c r="K385" i="2"/>
  <c r="G580" i="2"/>
  <c r="F385" i="2"/>
  <c r="J580" i="2"/>
  <c r="I385" i="2"/>
  <c r="R579" i="2"/>
  <c r="Q384" i="2"/>
  <c r="D190" i="2"/>
  <c r="T353" i="2"/>
  <c r="S158" i="2"/>
  <c r="T200" i="2"/>
  <c r="H347" i="2"/>
  <c r="T645" i="2"/>
  <c r="S450" i="2"/>
  <c r="F256" i="2"/>
  <c r="E61" i="2"/>
  <c r="U224" i="2"/>
  <c r="T29" i="2"/>
  <c r="S193" i="2"/>
  <c r="W356" i="2"/>
  <c r="M652" i="2"/>
  <c r="L457" i="2"/>
  <c r="T262" i="2"/>
  <c r="S67" i="2"/>
  <c r="N231" i="2"/>
  <c r="M36" i="2"/>
  <c r="L200" i="2"/>
  <c r="K5" i="2"/>
  <c r="N651" i="2"/>
  <c r="M456" i="2"/>
  <c r="U261" i="2"/>
  <c r="T66" i="2"/>
  <c r="O230" i="2"/>
  <c r="N35" i="2"/>
  <c r="M199" i="2"/>
  <c r="L4" i="2"/>
  <c r="S168" i="2"/>
  <c r="I246" i="2"/>
  <c r="H51" i="2"/>
  <c r="Q170" i="2"/>
  <c r="G248" i="2"/>
  <c r="F53" i="2"/>
  <c r="O137" i="2"/>
  <c r="S300" i="2"/>
  <c r="J599" i="2"/>
  <c r="G503" i="2"/>
  <c r="U503" i="2"/>
  <c r="K891" i="2"/>
  <c r="L892" i="2"/>
  <c r="G891" i="2"/>
  <c r="M891" i="2"/>
  <c r="H890" i="2"/>
  <c r="M499" i="2"/>
  <c r="K499" i="2"/>
  <c r="D500" i="2"/>
  <c r="J746" i="2"/>
  <c r="I551" i="2"/>
  <c r="E746" i="2"/>
  <c r="D551" i="2"/>
  <c r="H746" i="2"/>
  <c r="G551" i="2"/>
  <c r="M1136" i="2"/>
  <c r="L941" i="2"/>
  <c r="V746" i="2"/>
  <c r="U551" i="2"/>
  <c r="U890" i="2"/>
  <c r="Q1085" i="2"/>
  <c r="P890" i="2"/>
  <c r="E1476" i="2"/>
  <c r="D1281" i="2"/>
  <c r="R1086" i="2"/>
  <c r="Q891" i="2"/>
  <c r="R1085" i="2"/>
  <c r="Q969" i="2"/>
  <c r="W969" i="2"/>
  <c r="R968" i="2"/>
  <c r="W577" i="2"/>
  <c r="U577" i="2"/>
  <c r="N578" i="2"/>
  <c r="N513" i="2"/>
  <c r="R708" i="2"/>
  <c r="Q513" i="2"/>
  <c r="G1098" i="2"/>
  <c r="F903" i="2"/>
  <c r="P708" i="2"/>
  <c r="O513" i="2"/>
  <c r="K708" i="2"/>
  <c r="J513" i="2"/>
  <c r="N708" i="2"/>
  <c r="M513" i="2"/>
  <c r="H1097" i="2"/>
  <c r="G902" i="2"/>
  <c r="Q707" i="2"/>
  <c r="P512" i="2"/>
  <c r="L707" i="2"/>
  <c r="K512" i="2"/>
  <c r="O707" i="2"/>
  <c r="N512" i="2"/>
  <c r="W706" i="2"/>
  <c r="V511" i="2"/>
  <c r="I317" i="2"/>
  <c r="H122" i="2"/>
  <c r="C286" i="2"/>
  <c r="P759" i="2"/>
  <c r="D1149" i="2"/>
  <c r="Q758" i="2"/>
  <c r="H757" i="2"/>
  <c r="L367" i="2"/>
  <c r="T757" i="2"/>
  <c r="C576" i="2"/>
  <c r="L363" i="2"/>
  <c r="P558" i="2"/>
  <c r="P754" i="2"/>
  <c r="R1137" i="2"/>
  <c r="Q942" i="2"/>
  <c r="H1303" i="2"/>
  <c r="C1677" i="2"/>
  <c r="D1287" i="2"/>
  <c r="H1639" i="2"/>
  <c r="U1535" i="2"/>
  <c r="G1341" i="2"/>
  <c r="F1146" i="2"/>
  <c r="W1340" i="2"/>
  <c r="U1677" i="2"/>
  <c r="S1621" i="2"/>
  <c r="E1427" i="2"/>
  <c r="D1232" i="2"/>
  <c r="U1426" i="2"/>
  <c r="T1231" i="2"/>
  <c r="P1426" i="2"/>
  <c r="O1231" i="2"/>
  <c r="I1432" i="2"/>
  <c r="H1237" i="2"/>
  <c r="V1042" i="2"/>
  <c r="U847" i="2"/>
  <c r="V1041" i="2"/>
  <c r="U846" i="2"/>
  <c r="Q1041" i="2"/>
  <c r="P846" i="2"/>
  <c r="J1431" i="2"/>
  <c r="I1236" i="2"/>
  <c r="W1041" i="2"/>
  <c r="V846" i="2"/>
  <c r="W1040" i="2"/>
  <c r="E1311" i="2"/>
  <c r="I1257" i="2"/>
  <c r="O1241" i="2"/>
  <c r="R1248" i="2"/>
  <c r="W1637" i="2"/>
  <c r="I1427" i="2"/>
  <c r="H1232" i="2"/>
  <c r="D1427" i="2"/>
  <c r="C1232" i="2"/>
  <c r="T1426" i="2"/>
  <c r="S1231" i="2"/>
  <c r="U1613" i="2"/>
  <c r="S1605" i="2"/>
  <c r="E1411" i="2"/>
  <c r="D1216" i="2"/>
  <c r="U1410" i="2"/>
  <c r="T1215" i="2"/>
  <c r="P1410" i="2"/>
  <c r="O1215" i="2"/>
  <c r="I1416" i="2"/>
  <c r="H1221" i="2"/>
  <c r="V1026" i="2"/>
  <c r="U831" i="2"/>
  <c r="V1025" i="2"/>
  <c r="U830" i="2"/>
  <c r="Q1025" i="2"/>
  <c r="P830" i="2"/>
  <c r="J1415" i="2"/>
  <c r="I1220" i="2"/>
  <c r="W1025" i="2"/>
  <c r="V830" i="2"/>
  <c r="W1024" i="2"/>
  <c r="P1280" i="2"/>
  <c r="D1242" i="2"/>
  <c r="J1226" i="2"/>
  <c r="E1241" i="2"/>
  <c r="J1630" i="2"/>
  <c r="M1423" i="2"/>
  <c r="L1228" i="2"/>
  <c r="H1423" i="2"/>
  <c r="G1228" i="2"/>
  <c r="C1423" i="2"/>
  <c r="W1227" i="2"/>
  <c r="P1598" i="2"/>
  <c r="W1601" i="2"/>
  <c r="I1407" i="2"/>
  <c r="H1212" i="2"/>
  <c r="D1407" i="2"/>
  <c r="C1212" i="2"/>
  <c r="T1406" i="2"/>
  <c r="S1211" i="2"/>
  <c r="M1412" i="2"/>
  <c r="L1217" i="2"/>
  <c r="E1023" i="2"/>
  <c r="D828" i="2"/>
  <c r="E1022" i="2"/>
  <c r="D827" i="2"/>
  <c r="U1021" i="2"/>
  <c r="T826" i="2"/>
  <c r="N1411" i="2"/>
  <c r="M1216" i="2"/>
  <c r="F1022" i="2"/>
  <c r="E827" i="2"/>
  <c r="F1021" i="2"/>
  <c r="C820" i="2"/>
  <c r="T1014" i="2"/>
  <c r="S819" i="2"/>
  <c r="H1405" i="2"/>
  <c r="G1210" i="2"/>
  <c r="U1015" i="2"/>
  <c r="T820" i="2"/>
  <c r="U1014" i="2"/>
  <c r="T819" i="2"/>
  <c r="P1014" i="2"/>
  <c r="O819" i="2"/>
  <c r="I1404" i="2"/>
  <c r="H1209" i="2"/>
  <c r="V1014" i="2"/>
  <c r="U819" i="2"/>
  <c r="V1013" i="2"/>
  <c r="U818" i="2"/>
  <c r="Q1013" i="2"/>
  <c r="P818" i="2"/>
  <c r="M1012" i="2"/>
  <c r="L817" i="2"/>
  <c r="V622" i="2"/>
  <c r="U427" i="2"/>
  <c r="Q622" i="2"/>
  <c r="P427" i="2"/>
  <c r="T622" i="2"/>
  <c r="S427" i="2"/>
  <c r="D1013" i="2"/>
  <c r="C818" i="2"/>
  <c r="M623" i="2"/>
  <c r="L428" i="2"/>
  <c r="H623" i="2"/>
  <c r="H819" i="2"/>
  <c r="D1014" i="2"/>
  <c r="C819" i="2"/>
  <c r="M1404" i="2"/>
  <c r="L1209" i="2"/>
  <c r="E1015" i="2"/>
  <c r="D820" i="2"/>
  <c r="E1014" i="2"/>
  <c r="D819" i="2"/>
  <c r="U1013" i="2"/>
  <c r="T818" i="2"/>
  <c r="O1659" i="2"/>
  <c r="I1422" i="2"/>
  <c r="R1427" i="2"/>
  <c r="J1037" i="2"/>
  <c r="S1426" i="2"/>
  <c r="K1036" i="2"/>
  <c r="M1420" i="2"/>
  <c r="E1030" i="2"/>
  <c r="N1419" i="2"/>
  <c r="F1029" i="2"/>
  <c r="R1027" i="2"/>
  <c r="V637" i="2"/>
  <c r="I1028" i="2"/>
  <c r="M638" i="2"/>
  <c r="L846" i="2"/>
  <c r="U1236" i="2"/>
  <c r="M847" i="2"/>
  <c r="M846" i="2"/>
  <c r="H846" i="2"/>
  <c r="N1403" i="2"/>
  <c r="M1208" i="2"/>
  <c r="F1014" i="2"/>
  <c r="E819" i="2"/>
  <c r="F1013" i="2"/>
  <c r="E818" i="2"/>
  <c r="V1012" i="2"/>
  <c r="U817" i="2"/>
  <c r="R1011" i="2"/>
  <c r="Q816" i="2"/>
  <c r="F622" i="2"/>
  <c r="E427" i="2"/>
  <c r="V621" i="2"/>
  <c r="U426" i="2"/>
  <c r="D622" i="2"/>
  <c r="C427" i="2"/>
  <c r="I1012" i="2"/>
  <c r="H817" i="2"/>
  <c r="R622" i="2"/>
  <c r="Q427" i="2"/>
  <c r="M622" i="2"/>
  <c r="L815" i="2"/>
  <c r="H1010" i="2"/>
  <c r="G815" i="2"/>
  <c r="Q1400" i="2"/>
  <c r="P1205" i="2"/>
  <c r="I1011" i="2"/>
  <c r="H816" i="2"/>
  <c r="I1010" i="2"/>
  <c r="H815" i="2"/>
  <c r="D1010" i="2"/>
  <c r="C815" i="2"/>
  <c r="R1399" i="2"/>
  <c r="Q1204" i="2"/>
  <c r="J1010" i="2"/>
  <c r="I815" i="2"/>
  <c r="J1009" i="2"/>
  <c r="I814" i="2"/>
  <c r="E1009" i="2"/>
  <c r="D814" i="2"/>
  <c r="V1007" i="2"/>
  <c r="U812" i="2"/>
  <c r="J618" i="2"/>
  <c r="I423" i="2"/>
  <c r="E618" i="2"/>
  <c r="D423" i="2"/>
  <c r="H618" i="2"/>
  <c r="G423" i="2"/>
  <c r="M1008" i="2"/>
  <c r="L813" i="2"/>
  <c r="V618" i="2"/>
  <c r="U423" i="2"/>
  <c r="U762" i="2"/>
  <c r="Q957" i="2"/>
  <c r="O1155" i="2"/>
  <c r="E1348" i="2"/>
  <c r="D1153" i="2"/>
  <c r="R958" i="2"/>
  <c r="Q763" i="2"/>
  <c r="C848" i="2"/>
  <c r="L1237" i="2"/>
  <c r="D847" i="2"/>
  <c r="P845" i="2"/>
  <c r="T455" i="2"/>
  <c r="G846" i="2"/>
  <c r="W620" i="2"/>
  <c r="N385" i="2"/>
  <c r="R580" i="2"/>
  <c r="R776" i="2"/>
  <c r="G970" i="2"/>
  <c r="F775" i="2"/>
  <c r="P580" i="2"/>
  <c r="O385" i="2"/>
  <c r="K580" i="2"/>
  <c r="J385" i="2"/>
  <c r="N580" i="2"/>
  <c r="S775" i="2"/>
  <c r="H969" i="2"/>
  <c r="G774" i="2"/>
  <c r="Q579" i="2"/>
  <c r="P384" i="2"/>
  <c r="L579" i="2"/>
  <c r="K384" i="2"/>
  <c r="O579" i="2"/>
  <c r="N384" i="2"/>
  <c r="W578" i="2"/>
  <c r="V383" i="2"/>
  <c r="I189" i="2"/>
  <c r="D353" i="2"/>
  <c r="C158" i="2"/>
  <c r="H1417" i="2"/>
  <c r="U1026" i="2"/>
  <c r="L1025" i="2"/>
  <c r="P635" i="2"/>
  <c r="C1026" i="2"/>
  <c r="E710" i="2"/>
  <c r="M430" i="2"/>
  <c r="Q625" i="2"/>
  <c r="P430" i="2"/>
  <c r="F1015" i="2"/>
  <c r="E820" i="2"/>
  <c r="O625" i="2"/>
  <c r="N430" i="2"/>
  <c r="J625" i="2"/>
  <c r="I430" i="2"/>
  <c r="M625" i="2"/>
  <c r="L430" i="2"/>
  <c r="G1014" i="2"/>
  <c r="F819" i="2"/>
  <c r="T1610" i="2"/>
  <c r="E1410" i="2"/>
  <c r="N1415" i="2"/>
  <c r="F1025" i="2"/>
  <c r="O1414" i="2"/>
  <c r="G1024" i="2"/>
  <c r="I1408" i="2"/>
  <c r="V1017" i="2"/>
  <c r="J1407" i="2"/>
  <c r="W1016" i="2"/>
  <c r="N1015" i="2"/>
  <c r="R625" i="2"/>
  <c r="E1016" i="2"/>
  <c r="I626" i="2"/>
  <c r="J840" i="2"/>
  <c r="S1230" i="2"/>
  <c r="K841" i="2"/>
  <c r="K840" i="2"/>
  <c r="F840" i="2"/>
  <c r="M1400" i="2"/>
  <c r="L1205" i="2"/>
  <c r="E1011" i="2"/>
  <c r="D816" i="2"/>
  <c r="E1010" i="2"/>
  <c r="D815" i="2"/>
  <c r="U1009" i="2"/>
  <c r="T814" i="2"/>
  <c r="Q1008" i="2"/>
  <c r="P813" i="2"/>
  <c r="E619" i="2"/>
  <c r="D424" i="2"/>
  <c r="U618" i="2"/>
  <c r="T423" i="2"/>
  <c r="C619" i="2"/>
  <c r="W423" i="2"/>
  <c r="H1009" i="2"/>
  <c r="G814" i="2"/>
  <c r="Q619" i="2"/>
  <c r="P424" i="2"/>
  <c r="L619" i="2"/>
  <c r="K812" i="2"/>
  <c r="G1007" i="2"/>
  <c r="F812" i="2"/>
  <c r="P1397" i="2"/>
  <c r="O1202" i="2"/>
  <c r="H1008" i="2"/>
  <c r="G813" i="2"/>
  <c r="H1007" i="2"/>
  <c r="G812" i="2"/>
  <c r="C1007" i="2"/>
  <c r="W811" i="2"/>
  <c r="Q1396" i="2"/>
  <c r="P1201" i="2"/>
  <c r="I1007" i="2"/>
  <c r="H812" i="2"/>
  <c r="I1006" i="2"/>
  <c r="H811" i="2"/>
  <c r="D1006" i="2"/>
  <c r="C811" i="2"/>
  <c r="U1004" i="2"/>
  <c r="T809" i="2"/>
  <c r="I615" i="2"/>
  <c r="H420" i="2"/>
  <c r="D615" i="2"/>
  <c r="C420" i="2"/>
  <c r="G615" i="2"/>
  <c r="F420" i="2"/>
  <c r="L1005" i="2"/>
  <c r="K810" i="2"/>
  <c r="U615" i="2"/>
  <c r="T420" i="2"/>
  <c r="T759" i="2"/>
  <c r="P954" i="2"/>
  <c r="N1152" i="2"/>
  <c r="D1345" i="2"/>
  <c r="C1150" i="2"/>
  <c r="Q955" i="2"/>
  <c r="P760" i="2"/>
  <c r="T835" i="2"/>
  <c r="H1225" i="2"/>
  <c r="U834" i="2"/>
  <c r="L833" i="2"/>
  <c r="P443" i="2"/>
  <c r="C834" i="2"/>
  <c r="U614" i="2"/>
  <c r="M382" i="2"/>
  <c r="Q577" i="2"/>
  <c r="Q773" i="2"/>
  <c r="F967" i="2"/>
  <c r="E772" i="2"/>
  <c r="O577" i="2"/>
  <c r="N382" i="2"/>
  <c r="J577" i="2"/>
  <c r="I382" i="2"/>
  <c r="M577" i="2"/>
  <c r="R772" i="2"/>
  <c r="G966" i="2"/>
  <c r="F771" i="2"/>
  <c r="P576" i="2"/>
  <c r="O381" i="2"/>
  <c r="K576" i="2"/>
  <c r="J381" i="2"/>
  <c r="N576" i="2"/>
  <c r="M381" i="2"/>
  <c r="V575" i="2"/>
  <c r="U380" i="2"/>
  <c r="H186" i="2"/>
  <c r="C350" i="2"/>
  <c r="W154" i="2"/>
  <c r="D1405" i="2"/>
  <c r="Q1014" i="2"/>
  <c r="H1013" i="2"/>
  <c r="L623" i="2"/>
  <c r="T1013" i="2"/>
  <c r="C704" i="2"/>
  <c r="L427" i="2"/>
  <c r="P622" i="2"/>
  <c r="O427" i="2"/>
  <c r="E1012" i="2"/>
  <c r="D817" i="2"/>
  <c r="N622" i="2"/>
  <c r="M427" i="2"/>
  <c r="I622" i="2"/>
  <c r="H427" i="2"/>
  <c r="L622" i="2"/>
  <c r="K427" i="2"/>
  <c r="F1011" i="2"/>
  <c r="E816" i="2"/>
  <c r="D1562" i="2"/>
  <c r="V1397" i="2"/>
  <c r="J1403" i="2"/>
  <c r="W1012" i="2"/>
  <c r="K1402" i="2"/>
  <c r="C1012" i="2"/>
  <c r="E1396" i="2"/>
  <c r="R1005" i="2"/>
  <c r="F1395" i="2"/>
  <c r="S1004" i="2"/>
  <c r="J1003" i="2"/>
  <c r="N613" i="2"/>
  <c r="V1003" i="2"/>
  <c r="E614" i="2"/>
  <c r="H834" i="2"/>
  <c r="Q1224" i="2"/>
  <c r="I835" i="2"/>
  <c r="I834" i="2"/>
  <c r="D834" i="2"/>
  <c r="L1397" i="2"/>
  <c r="K1202" i="2"/>
  <c r="D1008" i="2"/>
  <c r="C813" i="2"/>
  <c r="D1007" i="2"/>
  <c r="C812" i="2"/>
  <c r="T1006" i="2"/>
  <c r="S811" i="2"/>
  <c r="P1005" i="2"/>
  <c r="O810" i="2"/>
  <c r="D616" i="2"/>
  <c r="C421" i="2"/>
  <c r="T615" i="2"/>
  <c r="S420" i="2"/>
  <c r="W615" i="2"/>
  <c r="V420" i="2"/>
  <c r="G1006" i="2"/>
  <c r="F811" i="2"/>
  <c r="P616" i="2"/>
  <c r="O421" i="2"/>
  <c r="K616" i="2"/>
  <c r="J809" i="2"/>
  <c r="F1004" i="2"/>
  <c r="E809" i="2"/>
  <c r="O1394" i="2"/>
  <c r="N1199" i="2"/>
  <c r="G1005" i="2"/>
  <c r="F810" i="2"/>
  <c r="G1004" i="2"/>
  <c r="F809" i="2"/>
  <c r="W1003" i="2"/>
  <c r="V808" i="2"/>
  <c r="P1393" i="2"/>
  <c r="O1198" i="2"/>
  <c r="H1004" i="2"/>
  <c r="G809" i="2"/>
  <c r="H1003" i="2"/>
  <c r="G808" i="2"/>
  <c r="C1003" i="2"/>
  <c r="W807" i="2"/>
  <c r="T1001" i="2"/>
  <c r="D1313" i="2"/>
  <c r="Q923" i="2"/>
  <c r="F1081" i="2"/>
  <c r="E886" i="2"/>
  <c r="V1080" i="2"/>
  <c r="U885" i="2"/>
  <c r="I1690" i="2"/>
  <c r="O1673" i="2"/>
  <c r="V1478" i="2"/>
  <c r="U1283" i="2"/>
  <c r="Q1478" i="2"/>
  <c r="P1283" i="2"/>
  <c r="L1478" i="2"/>
  <c r="K1283" i="2"/>
  <c r="E1484" i="2"/>
  <c r="D1289" i="2"/>
  <c r="R1094" i="2"/>
  <c r="Q899" i="2"/>
  <c r="R1093" i="2"/>
  <c r="Q898" i="2"/>
  <c r="M1093" i="2"/>
  <c r="L898" i="2"/>
  <c r="F1483" i="2"/>
  <c r="E1288" i="2"/>
  <c r="S1093" i="2"/>
  <c r="R898" i="2"/>
  <c r="S1092" i="2"/>
  <c r="I1568" i="2"/>
  <c r="N1464" i="2"/>
  <c r="T1448" i="2"/>
  <c r="J1448" i="2"/>
  <c r="D1601" i="2"/>
  <c r="E1479" i="2"/>
  <c r="D1284" i="2"/>
  <c r="U1478" i="2"/>
  <c r="T1283" i="2"/>
  <c r="P1478" i="2"/>
  <c r="O1283" i="2"/>
  <c r="I1626" i="2"/>
  <c r="O1657" i="2"/>
  <c r="V1462" i="2"/>
  <c r="U1267" i="2"/>
  <c r="Q1462" i="2"/>
  <c r="P1267" i="2"/>
  <c r="L1462" i="2"/>
  <c r="K1267" i="2"/>
  <c r="E1468" i="2"/>
  <c r="D1273" i="2"/>
  <c r="R1078" i="2"/>
  <c r="Q883" i="2"/>
  <c r="R1077" i="2"/>
  <c r="Q882" i="2"/>
  <c r="M1077" i="2"/>
  <c r="L882" i="2"/>
  <c r="F1467" i="2"/>
  <c r="E1272" i="2"/>
  <c r="S1077" i="2"/>
  <c r="R882" i="2"/>
  <c r="S1076" i="2"/>
  <c r="W1701" i="2"/>
  <c r="I1449" i="2"/>
  <c r="O1433" i="2"/>
  <c r="E1433" i="2"/>
  <c r="T1585" i="2"/>
  <c r="I1475" i="2"/>
  <c r="H1280" i="2"/>
  <c r="D1475" i="2"/>
  <c r="T1186" i="2"/>
  <c r="L1629" i="2"/>
  <c r="T1560" i="2"/>
  <c r="F1366" i="2"/>
  <c r="E1171" i="2"/>
  <c r="V1365" i="2"/>
  <c r="U1170" i="2"/>
  <c r="Q1365" i="2"/>
  <c r="L1186" i="2"/>
  <c r="J1371" i="2"/>
  <c r="I1176" i="2"/>
  <c r="W981" i="2"/>
  <c r="V786" i="2"/>
  <c r="W980" i="2"/>
  <c r="V785" i="2"/>
  <c r="R980" i="2"/>
  <c r="N1184" i="2"/>
  <c r="K1370" i="2"/>
  <c r="J1175" i="2"/>
  <c r="C981" i="2"/>
  <c r="W785" i="2"/>
  <c r="C980" i="2"/>
  <c r="T1403" i="2"/>
  <c r="E1716" i="2"/>
  <c r="P1387" i="2"/>
  <c r="H1840" i="2"/>
  <c r="C1561" i="2"/>
  <c r="J1366" i="2"/>
  <c r="I1171" i="2"/>
  <c r="E1366" i="2"/>
  <c r="D1171" i="2"/>
  <c r="U1365" i="2"/>
  <c r="N1768" i="2"/>
  <c r="L1597" i="2"/>
  <c r="T1544" i="2"/>
  <c r="F1350" i="2"/>
  <c r="E1155" i="2"/>
  <c r="V1349" i="2"/>
  <c r="U1154" i="2"/>
  <c r="Q1349" i="2"/>
  <c r="T1162" i="2"/>
  <c r="J1355" i="2"/>
  <c r="I1160" i="2"/>
  <c r="W965" i="2"/>
  <c r="V770" i="2"/>
  <c r="W964" i="2"/>
  <c r="V769" i="2"/>
  <c r="R964" i="2"/>
  <c r="U1161" i="2"/>
  <c r="K1354" i="2"/>
  <c r="J1159" i="2"/>
  <c r="C965" i="2"/>
  <c r="W769" i="2"/>
  <c r="C964" i="2"/>
  <c r="O1388" i="2"/>
  <c r="F1655" i="2"/>
  <c r="K1372" i="2"/>
  <c r="S1809" i="2"/>
  <c r="G1557" i="2"/>
  <c r="N1362" i="2"/>
  <c r="M1167" i="2"/>
  <c r="I1362" i="2"/>
  <c r="H1167" i="2"/>
  <c r="D1362" i="2"/>
  <c r="K1902" i="2"/>
  <c r="T1589" i="2"/>
  <c r="C1541" i="2"/>
  <c r="J1346" i="2"/>
  <c r="I1151" i="2"/>
  <c r="E1346" i="2"/>
  <c r="D1151" i="2"/>
  <c r="U1345" i="2"/>
  <c r="C1159" i="2"/>
  <c r="N1351" i="2"/>
  <c r="M1156" i="2"/>
  <c r="F962" i="2"/>
  <c r="E767" i="2"/>
  <c r="F961" i="2"/>
  <c r="E766" i="2"/>
  <c r="V960" i="2"/>
  <c r="D1158" i="2"/>
  <c r="O1350" i="2"/>
  <c r="N1155" i="2"/>
  <c r="G961" i="2"/>
  <c r="F766" i="2"/>
  <c r="G960" i="2"/>
  <c r="D759" i="2"/>
  <c r="U953" i="2"/>
  <c r="S1151" i="2"/>
  <c r="I1344" i="2"/>
  <c r="H1149" i="2"/>
  <c r="V954" i="2"/>
  <c r="U759" i="2"/>
  <c r="V953" i="2"/>
  <c r="U758" i="2"/>
  <c r="Q953" i="2"/>
  <c r="T1150" i="2"/>
  <c r="J1343" i="2"/>
  <c r="I1148" i="2"/>
  <c r="W953" i="2"/>
  <c r="V758" i="2"/>
  <c r="W952" i="2"/>
  <c r="V757" i="2"/>
  <c r="R952" i="2"/>
  <c r="D758" i="2"/>
  <c r="N951" i="2"/>
  <c r="M756" i="2"/>
  <c r="W561" i="2"/>
  <c r="V366" i="2"/>
  <c r="R561" i="2"/>
  <c r="Q366" i="2"/>
  <c r="U561" i="2"/>
  <c r="P758" i="2"/>
  <c r="E952" i="2"/>
  <c r="D757" i="2"/>
  <c r="N562" i="2"/>
  <c r="M367" i="2"/>
  <c r="I562" i="2"/>
  <c r="I758" i="2"/>
  <c r="E953" i="2"/>
  <c r="C1151" i="2"/>
  <c r="N1343" i="2"/>
  <c r="M1148" i="2"/>
  <c r="F954" i="2"/>
  <c r="E759" i="2"/>
  <c r="F953" i="2"/>
  <c r="E758" i="2"/>
  <c r="V952" i="2"/>
  <c r="Q1194" i="2"/>
  <c r="L1568" i="2"/>
  <c r="M1178" i="2"/>
  <c r="V1183" i="2"/>
  <c r="N793" i="2"/>
  <c r="W1182" i="2"/>
  <c r="M786" i="2"/>
  <c r="Q1176" i="2"/>
  <c r="I786" i="2"/>
  <c r="R1175" i="2"/>
  <c r="J785" i="2"/>
  <c r="V783" i="2"/>
  <c r="E394" i="2"/>
  <c r="M784" i="2"/>
  <c r="R785" i="2"/>
  <c r="D1505" i="2"/>
  <c r="Q1115" i="2"/>
  <c r="Q1114" i="2"/>
  <c r="L1114" i="2"/>
  <c r="D1150" i="2"/>
  <c r="O1342" i="2"/>
  <c r="N1147" i="2"/>
  <c r="G953" i="2"/>
  <c r="F758" i="2"/>
  <c r="G952" i="2"/>
  <c r="F757" i="2"/>
  <c r="W951" i="2"/>
  <c r="I757" i="2"/>
  <c r="S950" i="2"/>
  <c r="R755" i="2"/>
  <c r="G561" i="2"/>
  <c r="F366" i="2"/>
  <c r="W560" i="2"/>
  <c r="V365" i="2"/>
  <c r="E561" i="2"/>
  <c r="U757" i="2"/>
  <c r="J951" i="2"/>
  <c r="I756" i="2"/>
  <c r="S561" i="2"/>
  <c r="R366" i="2"/>
  <c r="N561" i="2"/>
  <c r="M754" i="2"/>
  <c r="I949" i="2"/>
  <c r="G1147" i="2"/>
  <c r="R1339" i="2"/>
  <c r="Q1144" i="2"/>
  <c r="J950" i="2"/>
  <c r="I755" i="2"/>
  <c r="J949" i="2"/>
  <c r="I754" i="2"/>
  <c r="E949" i="2"/>
  <c r="H1146" i="2"/>
  <c r="S1338" i="2"/>
  <c r="R1143" i="2"/>
  <c r="K949" i="2"/>
  <c r="J754" i="2"/>
  <c r="K948" i="2"/>
  <c r="J753" i="2"/>
  <c r="F948" i="2"/>
  <c r="M753" i="2"/>
  <c r="W946" i="2"/>
  <c r="V751" i="2"/>
  <c r="K557" i="2"/>
  <c r="J362" i="2"/>
  <c r="F557" i="2"/>
  <c r="E362" i="2"/>
  <c r="I557" i="2"/>
  <c r="D754" i="2"/>
  <c r="N947" i="2"/>
  <c r="M752" i="2"/>
  <c r="W557" i="2"/>
  <c r="W896" i="2"/>
  <c r="S1091" i="2"/>
  <c r="R896" i="2"/>
  <c r="G1482" i="2"/>
  <c r="F1287" i="2"/>
  <c r="T1092" i="2"/>
  <c r="S897" i="2"/>
  <c r="T1091" i="2"/>
  <c r="D994" i="2"/>
  <c r="J994" i="2"/>
  <c r="E993" i="2"/>
  <c r="J602" i="2"/>
  <c r="H602" i="2"/>
  <c r="V602" i="2"/>
  <c r="P519" i="2"/>
  <c r="T714" i="2"/>
  <c r="S519" i="2"/>
  <c r="I1104" i="2"/>
  <c r="H909" i="2"/>
  <c r="R714" i="2"/>
  <c r="Q519" i="2"/>
  <c r="M714" i="2"/>
  <c r="L519" i="2"/>
  <c r="P714" i="2"/>
  <c r="O519" i="2"/>
  <c r="J1103" i="2"/>
  <c r="I908" i="2"/>
  <c r="S713" i="2"/>
  <c r="R518" i="2"/>
  <c r="N713" i="2"/>
  <c r="M518" i="2"/>
  <c r="Q713" i="2"/>
  <c r="P518" i="2"/>
  <c r="D713" i="2"/>
  <c r="C518" i="2"/>
  <c r="K323" i="2"/>
  <c r="J128" i="2"/>
  <c r="E292" i="2"/>
  <c r="C784" i="2"/>
  <c r="L1173" i="2"/>
  <c r="D783" i="2"/>
  <c r="P781" i="2"/>
  <c r="T391" i="2"/>
  <c r="G782" i="2"/>
  <c r="G588" i="2"/>
  <c r="N369" i="2"/>
  <c r="R564" i="2"/>
  <c r="R760" i="2"/>
  <c r="G954" i="2"/>
  <c r="F759" i="2"/>
  <c r="P564" i="2"/>
  <c r="O369" i="2"/>
  <c r="K564" i="2"/>
  <c r="J369" i="2"/>
  <c r="N564" i="2"/>
  <c r="S759" i="2"/>
  <c r="H953" i="2"/>
  <c r="M1182" i="2"/>
  <c r="H1556" i="2"/>
  <c r="I1166" i="2"/>
  <c r="R1171" i="2"/>
  <c r="J781" i="2"/>
  <c r="S1170" i="2"/>
  <c r="I774" i="2"/>
  <c r="M1164" i="2"/>
  <c r="E774" i="2"/>
  <c r="N1163" i="2"/>
  <c r="F773" i="2"/>
  <c r="R771" i="2"/>
  <c r="V381" i="2"/>
  <c r="I772" i="2"/>
  <c r="N773" i="2"/>
  <c r="W1498" i="2"/>
  <c r="O1109" i="2"/>
  <c r="O1108" i="2"/>
  <c r="J1108" i="2"/>
  <c r="C1147" i="2"/>
  <c r="N1339" i="2"/>
  <c r="M1144" i="2"/>
  <c r="F950" i="2"/>
  <c r="E755" i="2"/>
  <c r="F949" i="2"/>
  <c r="E754" i="2"/>
  <c r="V948" i="2"/>
  <c r="H754" i="2"/>
  <c r="R947" i="2"/>
  <c r="Q752" i="2"/>
  <c r="F558" i="2"/>
  <c r="E363" i="2"/>
  <c r="V557" i="2"/>
  <c r="U362" i="2"/>
  <c r="D558" i="2"/>
  <c r="T754" i="2"/>
  <c r="I948" i="2"/>
  <c r="H753" i="2"/>
  <c r="R558" i="2"/>
  <c r="Q363" i="2"/>
  <c r="M558" i="2"/>
  <c r="L751" i="2"/>
  <c r="H946" i="2"/>
  <c r="F1144" i="2"/>
  <c r="Q1336" i="2"/>
  <c r="P1141" i="2"/>
  <c r="I947" i="2"/>
  <c r="H752" i="2"/>
  <c r="I946" i="2"/>
  <c r="H751" i="2"/>
  <c r="D946" i="2"/>
  <c r="G1143" i="2"/>
  <c r="R1335" i="2"/>
  <c r="Q1140" i="2"/>
  <c r="J946" i="2"/>
  <c r="I751" i="2"/>
  <c r="J945" i="2"/>
  <c r="I750" i="2"/>
  <c r="E945" i="2"/>
  <c r="W1138" i="2"/>
  <c r="V943" i="2"/>
  <c r="K749" i="2"/>
  <c r="J554" i="2"/>
  <c r="F749" i="2"/>
  <c r="E554" i="2"/>
  <c r="I749" i="2"/>
  <c r="H554" i="2"/>
  <c r="O1139" i="2"/>
  <c r="M944" i="2"/>
  <c r="W749" i="2"/>
  <c r="V554" i="2"/>
  <c r="V893" i="2"/>
  <c r="R1088" i="2"/>
  <c r="Q893" i="2"/>
  <c r="F1479" i="2"/>
  <c r="E1284" i="2"/>
  <c r="S1089" i="2"/>
  <c r="R894" i="2"/>
  <c r="S1088" i="2"/>
  <c r="U981" i="2"/>
  <c r="F982" i="2"/>
  <c r="V980" i="2"/>
  <c r="F590" i="2"/>
  <c r="D590" i="2"/>
  <c r="R590" i="2"/>
  <c r="O516" i="2"/>
  <c r="S711" i="2"/>
  <c r="R516" i="2"/>
  <c r="H1101" i="2"/>
  <c r="G906" i="2"/>
  <c r="Q711" i="2"/>
  <c r="P516" i="2"/>
  <c r="L711" i="2"/>
  <c r="K516" i="2"/>
  <c r="O711" i="2"/>
  <c r="N516" i="2"/>
  <c r="I1100" i="2"/>
  <c r="H905" i="2"/>
  <c r="R710" i="2"/>
  <c r="Q515" i="2"/>
  <c r="M710" i="2"/>
  <c r="L515" i="2"/>
  <c r="P710" i="2"/>
  <c r="O515" i="2"/>
  <c r="C710" i="2"/>
  <c r="W514" i="2"/>
  <c r="J320" i="2"/>
  <c r="I125" i="2"/>
  <c r="D289" i="2"/>
  <c r="T771" i="2"/>
  <c r="H1161" i="2"/>
  <c r="U770" i="2"/>
  <c r="L769" i="2"/>
  <c r="P379" i="2"/>
  <c r="C770" i="2"/>
  <c r="E582" i="2"/>
  <c r="M366" i="2"/>
  <c r="Q561" i="2"/>
  <c r="Q757" i="2"/>
  <c r="F951" i="2"/>
  <c r="E756" i="2"/>
  <c r="O561" i="2"/>
  <c r="N366" i="2"/>
  <c r="J561" i="2"/>
  <c r="I366" i="2"/>
  <c r="M561" i="2"/>
  <c r="R756" i="2"/>
  <c r="G950" i="2"/>
  <c r="I1170" i="2"/>
  <c r="D1544" i="2"/>
  <c r="E1154" i="2"/>
  <c r="N1159" i="2"/>
  <c r="F769" i="2"/>
  <c r="O1158" i="2"/>
  <c r="E762" i="2"/>
  <c r="I1152" i="2"/>
  <c r="V761" i="2"/>
  <c r="J1151" i="2"/>
  <c r="W760" i="2"/>
  <c r="N759" i="2"/>
  <c r="R369" i="2"/>
  <c r="E760" i="2"/>
  <c r="J761" i="2"/>
  <c r="U1492" i="2"/>
  <c r="M1103" i="2"/>
  <c r="M1102" i="2"/>
  <c r="H1102" i="2"/>
  <c r="W1143" i="2"/>
  <c r="M1336" i="2"/>
  <c r="L1141" i="2"/>
  <c r="E947" i="2"/>
  <c r="D752" i="2"/>
  <c r="E946" i="2"/>
  <c r="D751" i="2"/>
  <c r="U945" i="2"/>
  <c r="J1140" i="2"/>
  <c r="Q944" i="2"/>
  <c r="F750" i="2"/>
  <c r="E555" i="2"/>
  <c r="V749" i="2"/>
  <c r="U554" i="2"/>
  <c r="D750" i="2"/>
  <c r="C555" i="2"/>
  <c r="S751" i="2"/>
  <c r="H945" i="2"/>
  <c r="K751" i="2"/>
  <c r="Q555" i="2"/>
  <c r="R750" i="2"/>
  <c r="L555" i="2"/>
  <c r="H1138" i="2"/>
  <c r="G943" i="2"/>
  <c r="Q1528" i="2"/>
  <c r="P1333" i="2"/>
  <c r="I1139" i="2"/>
  <c r="H944" i="2"/>
  <c r="I1138" i="2"/>
  <c r="H943" i="2"/>
  <c r="D1138" i="2"/>
  <c r="C943" i="2"/>
  <c r="R1527" i="2"/>
  <c r="Q1332" i="2"/>
  <c r="J1138" i="2"/>
  <c r="I943" i="2"/>
  <c r="J1137" i="2"/>
  <c r="I942" i="2"/>
  <c r="E1137" i="2"/>
  <c r="D942" i="2"/>
  <c r="V1135" i="2"/>
  <c r="U940" i="2"/>
  <c r="F1191" i="2"/>
  <c r="F826" i="2"/>
  <c r="G1020" i="2"/>
  <c r="F825" i="2"/>
  <c r="W1019" i="2"/>
  <c r="V824" i="2"/>
  <c r="I1641" i="2"/>
  <c r="P1612" i="2"/>
  <c r="W1417" i="2"/>
  <c r="V1222" i="2"/>
  <c r="R1417" i="2"/>
  <c r="Q1222" i="2"/>
  <c r="M1417" i="2"/>
  <c r="L1222" i="2"/>
  <c r="F1423" i="2"/>
  <c r="E1228" i="2"/>
  <c r="S1033" i="2"/>
  <c r="R838" i="2"/>
  <c r="S1032" i="2"/>
  <c r="R837" i="2"/>
  <c r="N1032" i="2"/>
  <c r="M837" i="2"/>
  <c r="G1422" i="2"/>
  <c r="F1227" i="2"/>
  <c r="T1032" i="2"/>
  <c r="S837" i="2"/>
  <c r="T1031" i="2"/>
  <c r="W1237" i="2"/>
  <c r="R1220" i="2"/>
  <c r="C1205" i="2"/>
  <c r="L1230" i="2"/>
  <c r="Q1619" i="2"/>
  <c r="F1418" i="2"/>
  <c r="E1223" i="2"/>
  <c r="V1417" i="2"/>
  <c r="U1222" i="2"/>
  <c r="Q1417" i="2"/>
  <c r="P1222" i="2"/>
  <c r="I1577" i="2"/>
  <c r="P1596" i="2"/>
  <c r="W1401" i="2"/>
  <c r="V1206" i="2"/>
  <c r="R1401" i="2"/>
  <c r="Q1206" i="2"/>
  <c r="M1401" i="2"/>
  <c r="L1206" i="2"/>
  <c r="F1407" i="2"/>
  <c r="E1212" i="2"/>
  <c r="S1017" i="2"/>
  <c r="R822" i="2"/>
  <c r="S1016" i="2"/>
  <c r="R821" i="2"/>
  <c r="N1016" i="2"/>
  <c r="M821" i="2"/>
  <c r="G1406" i="2"/>
  <c r="F1211" i="2"/>
  <c r="T1016" i="2"/>
  <c r="S821" i="2"/>
  <c r="T1015" i="2"/>
  <c r="M1207" i="2"/>
  <c r="M1205" i="2"/>
  <c r="S1189" i="2"/>
  <c r="T1222" i="2"/>
  <c r="D1612" i="2"/>
  <c r="J1414" i="2"/>
  <c r="I1219" i="2"/>
  <c r="E1414" i="2"/>
  <c r="M1775" i="2"/>
  <c r="F1702" i="2"/>
  <c r="H1500" i="2"/>
  <c r="G1305" i="2"/>
  <c r="C1500" i="2"/>
  <c r="W1304" i="2"/>
  <c r="S1499" i="2"/>
  <c r="R1304" i="2"/>
  <c r="L1505" i="2"/>
  <c r="K1310" i="2"/>
  <c r="D1116" i="2"/>
  <c r="C921" i="2"/>
  <c r="D1115" i="2"/>
  <c r="C920" i="2"/>
  <c r="T1114" i="2"/>
  <c r="S919" i="2"/>
  <c r="M1504" i="2"/>
  <c r="L1309" i="2"/>
  <c r="E1115" i="2"/>
  <c r="D920" i="2"/>
  <c r="E1114" i="2"/>
  <c r="D1669" i="2"/>
  <c r="C1160" i="2"/>
  <c r="S1533" i="2"/>
  <c r="T1143" i="2"/>
  <c r="O1547" i="2"/>
  <c r="L1500" i="2"/>
  <c r="K1305" i="2"/>
  <c r="G1500" i="2"/>
  <c r="F1305" i="2"/>
  <c r="W1499" i="2"/>
  <c r="V1304" i="2"/>
  <c r="P1711" i="2"/>
  <c r="V1678" i="2"/>
  <c r="H1484" i="2"/>
  <c r="G1289" i="2"/>
  <c r="C1484" i="2"/>
  <c r="W1288" i="2"/>
  <c r="S1483" i="2"/>
  <c r="R1288" i="2"/>
  <c r="L1489" i="2"/>
  <c r="K1294" i="2"/>
  <c r="D1100" i="2"/>
  <c r="C905" i="2"/>
  <c r="D1099" i="2"/>
  <c r="C904" i="2"/>
  <c r="T1098" i="2"/>
  <c r="S903" i="2"/>
  <c r="M1488" i="2"/>
  <c r="L1293" i="2"/>
  <c r="E1099" i="2"/>
  <c r="D904" i="2"/>
  <c r="E1098" i="2"/>
  <c r="W1874" i="2"/>
  <c r="S1144" i="2"/>
  <c r="V1518" i="2"/>
  <c r="L1518" i="2"/>
  <c r="I1712" i="2"/>
  <c r="P1496" i="2"/>
  <c r="O1301" i="2"/>
  <c r="K1496" i="2"/>
  <c r="J1301" i="2"/>
  <c r="F1496" i="2"/>
  <c r="E1301" i="2"/>
  <c r="K1696" i="2"/>
  <c r="E1675" i="2"/>
  <c r="L1480" i="2"/>
  <c r="K1285" i="2"/>
  <c r="G1480" i="2"/>
  <c r="F1285" i="2"/>
  <c r="W1479" i="2"/>
  <c r="V1284" i="2"/>
  <c r="P1485" i="2"/>
  <c r="O1290" i="2"/>
  <c r="H1096" i="2"/>
  <c r="G901" i="2"/>
  <c r="H1095" i="2"/>
  <c r="G900" i="2"/>
  <c r="C1095" i="2"/>
  <c r="W899" i="2"/>
  <c r="Q1484" i="2"/>
  <c r="P1289" i="2"/>
  <c r="I1095" i="2"/>
  <c r="H900" i="2"/>
  <c r="I1094" i="2"/>
  <c r="F893" i="2"/>
  <c r="W1087" i="2"/>
  <c r="V892" i="2"/>
  <c r="K1478" i="2"/>
  <c r="J1283" i="2"/>
  <c r="C1089" i="2"/>
  <c r="W893" i="2"/>
  <c r="C1088" i="2"/>
  <c r="W892" i="2"/>
  <c r="S1087" i="2"/>
  <c r="R892" i="2"/>
  <c r="L1477" i="2"/>
  <c r="K1282" i="2"/>
  <c r="D1088" i="2"/>
  <c r="C893" i="2"/>
  <c r="D1087" i="2"/>
  <c r="C892" i="2"/>
  <c r="T1086" i="2"/>
  <c r="S891" i="2"/>
  <c r="P1085" i="2"/>
  <c r="O890" i="2"/>
  <c r="D696" i="2"/>
  <c r="C501" i="2"/>
  <c r="T695" i="2"/>
  <c r="S500" i="2"/>
  <c r="W695" i="2"/>
  <c r="V500" i="2"/>
  <c r="G1086" i="2"/>
  <c r="F891" i="2"/>
  <c r="P696" i="2"/>
  <c r="O501" i="2"/>
  <c r="K696" i="2"/>
  <c r="K892" i="2"/>
  <c r="G1087" i="2"/>
  <c r="F892" i="2"/>
  <c r="P1477" i="2"/>
  <c r="O1282" i="2"/>
  <c r="H1088" i="2"/>
  <c r="G893" i="2"/>
  <c r="H1087" i="2"/>
  <c r="G892" i="2"/>
  <c r="C1087" i="2"/>
  <c r="W891" i="2"/>
  <c r="R1340" i="2"/>
  <c r="C1325" i="2"/>
  <c r="N1324" i="2"/>
  <c r="T940" i="2"/>
  <c r="O939" i="2"/>
  <c r="U939" i="2"/>
  <c r="N932" i="2"/>
  <c r="O933" i="2"/>
  <c r="J932" i="2"/>
  <c r="P932" i="2"/>
  <c r="K931" i="2"/>
  <c r="P540" i="2"/>
  <c r="N540" i="2"/>
  <c r="G541" i="2"/>
  <c r="R992" i="2"/>
  <c r="F1383" i="2"/>
  <c r="S993" i="2"/>
  <c r="S992" i="2"/>
  <c r="N992" i="2"/>
  <c r="Q1476" i="2"/>
  <c r="P1281" i="2"/>
  <c r="I1087" i="2"/>
  <c r="H892" i="2"/>
  <c r="I1086" i="2"/>
  <c r="H891" i="2"/>
  <c r="D1086" i="2"/>
  <c r="C891" i="2"/>
  <c r="U1084" i="2"/>
  <c r="T889" i="2"/>
  <c r="I695" i="2"/>
  <c r="H500" i="2"/>
  <c r="D695" i="2"/>
  <c r="C500" i="2"/>
  <c r="G695" i="2"/>
  <c r="F500" i="2"/>
  <c r="L1085" i="2"/>
  <c r="K890" i="2"/>
  <c r="U695" i="2"/>
  <c r="T500" i="2"/>
  <c r="P695" i="2"/>
  <c r="O888" i="2"/>
  <c r="K1083" i="2"/>
  <c r="J888" i="2"/>
  <c r="T1473" i="2"/>
  <c r="S1278" i="2"/>
  <c r="L1084" i="2"/>
  <c r="K889" i="2"/>
  <c r="L1083" i="2"/>
  <c r="K888" i="2"/>
  <c r="G1083" i="2"/>
  <c r="F888" i="2"/>
  <c r="U1472" i="2"/>
  <c r="T1277" i="2"/>
  <c r="M1083" i="2"/>
  <c r="L888" i="2"/>
  <c r="M1082" i="2"/>
  <c r="L887" i="2"/>
  <c r="H1082" i="2"/>
  <c r="G887" i="2"/>
  <c r="D1081" i="2"/>
  <c r="C886" i="2"/>
  <c r="M691" i="2"/>
  <c r="L496" i="2"/>
  <c r="H691" i="2"/>
  <c r="G496" i="2"/>
  <c r="K691" i="2"/>
  <c r="J496" i="2"/>
  <c r="P1081" i="2"/>
  <c r="O886" i="2"/>
  <c r="D692" i="2"/>
  <c r="C497" i="2"/>
  <c r="C836" i="2"/>
  <c r="T1030" i="2"/>
  <c r="S835" i="2"/>
  <c r="H1421" i="2"/>
  <c r="G1226" i="2"/>
  <c r="U1031" i="2"/>
  <c r="T836" i="2"/>
  <c r="U1030" i="2"/>
  <c r="L1142" i="2"/>
  <c r="W1139" i="2"/>
  <c r="G1138" i="2"/>
  <c r="K748" i="2"/>
  <c r="S1138" i="2"/>
  <c r="K377" i="2"/>
  <c r="Q458" i="2"/>
  <c r="U653" i="2"/>
  <c r="T458" i="2"/>
  <c r="J1043" i="2"/>
  <c r="I848" i="2"/>
  <c r="S653" i="2"/>
  <c r="R458" i="2"/>
  <c r="N653" i="2"/>
  <c r="M458" i="2"/>
  <c r="Q653" i="2"/>
  <c r="P458" i="2"/>
  <c r="K1042" i="2"/>
  <c r="J847" i="2"/>
  <c r="T652" i="2"/>
  <c r="S457" i="2"/>
  <c r="O652" i="2"/>
  <c r="N457" i="2"/>
  <c r="R652" i="2"/>
  <c r="Q457" i="2"/>
  <c r="E652" i="2"/>
  <c r="D457" i="2"/>
  <c r="L262" i="2"/>
  <c r="K67" i="2"/>
  <c r="F231" i="2"/>
  <c r="D930" i="2"/>
  <c r="J930" i="2"/>
  <c r="E929" i="2"/>
  <c r="J538" i="2"/>
  <c r="H538" i="2"/>
  <c r="V538" i="2"/>
  <c r="P503" i="2"/>
  <c r="T698" i="2"/>
  <c r="S503" i="2"/>
  <c r="I1088" i="2"/>
  <c r="H893" i="2"/>
  <c r="R698" i="2"/>
  <c r="Q503" i="2"/>
  <c r="M698" i="2"/>
  <c r="L503" i="2"/>
  <c r="P698" i="2"/>
  <c r="O503" i="2"/>
  <c r="J1087" i="2"/>
  <c r="I892" i="2"/>
  <c r="N1328" i="2"/>
  <c r="T1312" i="2"/>
  <c r="J1312" i="2"/>
  <c r="P928" i="2"/>
  <c r="K927" i="2"/>
  <c r="Q927" i="2"/>
  <c r="J920" i="2"/>
  <c r="K921" i="2"/>
  <c r="F920" i="2"/>
  <c r="L920" i="2"/>
  <c r="G919" i="2"/>
  <c r="L528" i="2"/>
  <c r="J528" i="2"/>
  <c r="C529" i="2"/>
  <c r="P986" i="2"/>
  <c r="D1377" i="2"/>
  <c r="Q987" i="2"/>
  <c r="Q986" i="2"/>
  <c r="L986" i="2"/>
  <c r="P1473" i="2"/>
  <c r="O1278" i="2"/>
  <c r="H1084" i="2"/>
  <c r="G889" i="2"/>
  <c r="H1083" i="2"/>
  <c r="G888" i="2"/>
  <c r="C1083" i="2"/>
  <c r="W887" i="2"/>
  <c r="T1081" i="2"/>
  <c r="S886" i="2"/>
  <c r="H692" i="2"/>
  <c r="G497" i="2"/>
  <c r="C692" i="2"/>
  <c r="W496" i="2"/>
  <c r="F692" i="2"/>
  <c r="E497" i="2"/>
  <c r="K1082" i="2"/>
  <c r="J887" i="2"/>
  <c r="T692" i="2"/>
  <c r="S497" i="2"/>
  <c r="O692" i="2"/>
  <c r="N885" i="2"/>
  <c r="J1080" i="2"/>
  <c r="I885" i="2"/>
  <c r="S1470" i="2"/>
  <c r="R1275" i="2"/>
  <c r="K1081" i="2"/>
  <c r="J886" i="2"/>
  <c r="K1080" i="2"/>
  <c r="J885" i="2"/>
  <c r="F1080" i="2"/>
  <c r="E885" i="2"/>
  <c r="T1469" i="2"/>
  <c r="S1274" i="2"/>
  <c r="L1080" i="2"/>
  <c r="K885" i="2"/>
  <c r="L1079" i="2"/>
  <c r="K884" i="2"/>
  <c r="G1079" i="2"/>
  <c r="F884" i="2"/>
  <c r="C1078" i="2"/>
  <c r="W882" i="2"/>
  <c r="L688" i="2"/>
  <c r="K493" i="2"/>
  <c r="G688" i="2"/>
  <c r="F493" i="2"/>
  <c r="J688" i="2"/>
  <c r="I493" i="2"/>
  <c r="O1078" i="2"/>
  <c r="N883" i="2"/>
  <c r="C689" i="2"/>
  <c r="W493" i="2"/>
  <c r="W832" i="2"/>
  <c r="S1027" i="2"/>
  <c r="R832" i="2"/>
  <c r="G1418" i="2"/>
  <c r="F1223" i="2"/>
  <c r="T1028" i="2"/>
  <c r="S833" i="2"/>
  <c r="T1027" i="2"/>
  <c r="T1517" i="2"/>
  <c r="L1127" i="2"/>
  <c r="C1126" i="2"/>
  <c r="G736" i="2"/>
  <c r="O1126" i="2"/>
  <c r="I371" i="2"/>
  <c r="P455" i="2"/>
  <c r="T650" i="2"/>
  <c r="S455" i="2"/>
  <c r="I1040" i="2"/>
  <c r="H845" i="2"/>
  <c r="R650" i="2"/>
  <c r="Q455" i="2"/>
  <c r="M650" i="2"/>
  <c r="L455" i="2"/>
  <c r="P650" i="2"/>
  <c r="O455" i="2"/>
  <c r="J1039" i="2"/>
  <c r="I844" i="2"/>
  <c r="S649" i="2"/>
  <c r="R454" i="2"/>
  <c r="N649" i="2"/>
  <c r="M454" i="2"/>
  <c r="Q649" i="2"/>
  <c r="P454" i="2"/>
  <c r="D649" i="2"/>
  <c r="C454" i="2"/>
  <c r="K259" i="2"/>
  <c r="J64" i="2"/>
  <c r="E228" i="2"/>
  <c r="U917" i="2"/>
  <c r="F918" i="2"/>
  <c r="V916" i="2"/>
  <c r="F526" i="2"/>
  <c r="D526" i="2"/>
  <c r="R526" i="2"/>
  <c r="O500" i="2"/>
  <c r="S695" i="2"/>
  <c r="R500" i="2"/>
  <c r="H1085" i="2"/>
  <c r="G890" i="2"/>
  <c r="Q695" i="2"/>
  <c r="P500" i="2"/>
  <c r="L695" i="2"/>
  <c r="K500" i="2"/>
  <c r="O695" i="2"/>
  <c r="N500" i="2"/>
  <c r="I1084" i="2"/>
  <c r="H889" i="2"/>
  <c r="J1316" i="2"/>
  <c r="P1300" i="2"/>
  <c r="F1300" i="2"/>
  <c r="L916" i="2"/>
  <c r="G915" i="2"/>
  <c r="M915" i="2"/>
  <c r="F908" i="2"/>
  <c r="G909" i="2"/>
  <c r="W907" i="2"/>
  <c r="H908" i="2"/>
  <c r="C907" i="2"/>
  <c r="H516" i="2"/>
  <c r="F516" i="2"/>
  <c r="T516" i="2"/>
  <c r="N980" i="2"/>
  <c r="W1370" i="2"/>
  <c r="O981" i="2"/>
  <c r="O980" i="2"/>
  <c r="J980" i="2"/>
  <c r="O1470" i="2"/>
  <c r="N1275" i="2"/>
  <c r="G1081" i="2"/>
  <c r="F886" i="2"/>
  <c r="G1080" i="2"/>
  <c r="F885" i="2"/>
  <c r="W1079" i="2"/>
  <c r="V884" i="2"/>
  <c r="S1078" i="2"/>
  <c r="R883" i="2"/>
  <c r="G689" i="2"/>
  <c r="F494" i="2"/>
  <c r="W688" i="2"/>
  <c r="V493" i="2"/>
  <c r="E689" i="2"/>
  <c r="D494" i="2"/>
  <c r="J1079" i="2"/>
  <c r="I884" i="2"/>
  <c r="S689" i="2"/>
  <c r="R494" i="2"/>
  <c r="N689" i="2"/>
  <c r="M882" i="2"/>
  <c r="I1077" i="2"/>
  <c r="H882" i="2"/>
  <c r="R1467" i="2"/>
  <c r="Q1272" i="2"/>
  <c r="J1078" i="2"/>
  <c r="I883" i="2"/>
  <c r="J1077" i="2"/>
  <c r="I882" i="2"/>
  <c r="E1077" i="2"/>
  <c r="D882" i="2"/>
  <c r="S1466" i="2"/>
  <c r="R1271" i="2"/>
  <c r="K1077" i="2"/>
  <c r="J882" i="2"/>
  <c r="K1076" i="2"/>
  <c r="J881" i="2"/>
  <c r="F1076" i="2"/>
  <c r="E881" i="2"/>
  <c r="W1074" i="2"/>
  <c r="V879" i="2"/>
  <c r="S709" i="2"/>
  <c r="R514" i="2"/>
  <c r="N709" i="2"/>
  <c r="M514" i="2"/>
  <c r="Q709" i="2"/>
  <c r="P514" i="2"/>
  <c r="V1099" i="2"/>
  <c r="U904" i="2"/>
  <c r="J710" i="2"/>
  <c r="I515" i="2"/>
  <c r="I854" i="2"/>
  <c r="E1049" i="2"/>
  <c r="D854" i="2"/>
  <c r="N1439" i="2"/>
  <c r="M1244" i="2"/>
  <c r="F1050" i="2"/>
  <c r="E855" i="2"/>
  <c r="F1049" i="2"/>
  <c r="K823" i="2"/>
  <c r="Q823" i="2"/>
  <c r="L822" i="2"/>
  <c r="Q431" i="2"/>
  <c r="O431" i="2"/>
  <c r="H432" i="2"/>
  <c r="W476" i="2"/>
  <c r="F672" i="2"/>
  <c r="E477" i="2"/>
  <c r="P1061" i="2"/>
  <c r="O866" i="2"/>
  <c r="D672" i="2"/>
  <c r="C477" i="2"/>
  <c r="T671" i="2"/>
  <c r="S476" i="2"/>
  <c r="W671" i="2"/>
  <c r="V476" i="2"/>
  <c r="Q1060" i="2"/>
  <c r="P865" i="2"/>
  <c r="E671" i="2"/>
  <c r="D476" i="2"/>
  <c r="U670" i="2"/>
  <c r="T475" i="2"/>
  <c r="C671" i="2"/>
  <c r="W475" i="2"/>
  <c r="K670" i="2"/>
  <c r="J475" i="2"/>
  <c r="R280" i="2"/>
  <c r="Q85" i="2"/>
  <c r="L249" i="2"/>
  <c r="G1003" i="2"/>
  <c r="M1003" i="2"/>
  <c r="H1002" i="2"/>
  <c r="M611" i="2"/>
  <c r="K611" i="2"/>
  <c r="D612" i="2"/>
  <c r="V521" i="2"/>
  <c r="E717" i="2"/>
  <c r="D522" i="2"/>
  <c r="O1106" i="2"/>
  <c r="N911" i="2"/>
  <c r="C717" i="2"/>
  <c r="W521" i="2"/>
  <c r="S716" i="2"/>
  <c r="R521" i="2"/>
  <c r="V716" i="2"/>
  <c r="U521" i="2"/>
  <c r="P1105" i="2"/>
  <c r="O910" i="2"/>
  <c r="V1352" i="2"/>
  <c r="G1337" i="2"/>
  <c r="R1336" i="2"/>
  <c r="C953" i="2"/>
  <c r="S951" i="2"/>
  <c r="D952" i="2"/>
  <c r="R944" i="2"/>
  <c r="S945" i="2"/>
  <c r="N944" i="2"/>
  <c r="T944" i="2"/>
  <c r="O943" i="2"/>
  <c r="T552" i="2"/>
  <c r="R552" i="2"/>
  <c r="K553" i="2"/>
  <c r="T998" i="2"/>
  <c r="H1389" i="2"/>
  <c r="U999" i="2"/>
  <c r="U998" i="2"/>
  <c r="P998" i="2"/>
  <c r="R1479" i="2"/>
  <c r="Q1284" i="2"/>
  <c r="J1090" i="2"/>
  <c r="I895" i="2"/>
  <c r="J1089" i="2"/>
  <c r="I894" i="2"/>
  <c r="E1089" i="2"/>
  <c r="D894" i="2"/>
  <c r="V1087" i="2"/>
  <c r="U892" i="2"/>
  <c r="J698" i="2"/>
  <c r="I503" i="2"/>
  <c r="E442" i="2"/>
  <c r="M832" i="2"/>
  <c r="Q830" i="2"/>
  <c r="U1220" i="2"/>
  <c r="M830" i="2"/>
  <c r="V1219" i="2"/>
  <c r="N829" i="2"/>
  <c r="E828" i="2"/>
  <c r="I438" i="2"/>
  <c r="Q828" i="2"/>
  <c r="V972" i="2"/>
  <c r="W973" i="2"/>
  <c r="C908" i="2"/>
  <c r="L651" i="2"/>
  <c r="L985" i="2"/>
  <c r="P595" i="2"/>
  <c r="M984" i="2"/>
  <c r="Q594" i="2"/>
  <c r="G594" i="2"/>
  <c r="H173" i="2"/>
  <c r="O696" i="2"/>
  <c r="V640" i="2"/>
  <c r="T640" i="2"/>
  <c r="R640" i="2"/>
  <c r="E752" i="2"/>
  <c r="O557" i="2"/>
  <c r="N362" i="2"/>
  <c r="J557" i="2"/>
  <c r="I362" i="2"/>
  <c r="M557" i="2"/>
  <c r="L362" i="2"/>
  <c r="U556" i="2"/>
  <c r="T361" i="2"/>
  <c r="G167" i="2"/>
  <c r="W330" i="2"/>
  <c r="V135" i="2"/>
  <c r="U299" i="2"/>
  <c r="H1134" i="2"/>
  <c r="N1134" i="2"/>
  <c r="I1133" i="2"/>
  <c r="N742" i="2"/>
  <c r="L742" i="2"/>
  <c r="E743" i="2"/>
  <c r="F569" i="2"/>
  <c r="U749" i="2"/>
  <c r="T554" i="2"/>
  <c r="J1139" i="2"/>
  <c r="I944" i="2"/>
  <c r="S749" i="2"/>
  <c r="R554" i="2"/>
  <c r="N749" i="2"/>
  <c r="M554" i="2"/>
  <c r="Q749" i="2"/>
  <c r="P554" i="2"/>
  <c r="K1138" i="2"/>
  <c r="J943" i="2"/>
  <c r="T748" i="2"/>
  <c r="S553" i="2"/>
  <c r="O748" i="2"/>
  <c r="N553" i="2"/>
  <c r="R748" i="2"/>
  <c r="Q553" i="2"/>
  <c r="E748" i="2"/>
  <c r="D553" i="2"/>
  <c r="L358" i="2"/>
  <c r="K163" i="2"/>
  <c r="F327" i="2"/>
  <c r="E132" i="2"/>
  <c r="D296" i="2"/>
  <c r="C1119" i="2"/>
  <c r="I1119" i="2"/>
  <c r="D1118" i="2"/>
  <c r="I727" i="2"/>
  <c r="G727" i="2"/>
  <c r="U727" i="2"/>
  <c r="S560" i="2"/>
  <c r="D746" i="2"/>
  <c r="C551" i="2"/>
  <c r="N1135" i="2"/>
  <c r="M940" i="2"/>
  <c r="W745" i="2"/>
  <c r="V550" i="2"/>
  <c r="R745" i="2"/>
  <c r="Q550" i="2"/>
  <c r="U745" i="2"/>
  <c r="T550" i="2"/>
  <c r="O1134" i="2"/>
  <c r="N939" i="2"/>
  <c r="C745" i="2"/>
  <c r="W549" i="2"/>
  <c r="S744" i="2"/>
  <c r="R549" i="2"/>
  <c r="V744" i="2"/>
  <c r="U549" i="2"/>
  <c r="I744" i="2"/>
  <c r="H549" i="2"/>
  <c r="P354" i="2"/>
  <c r="O159" i="2"/>
  <c r="J323" i="2"/>
  <c r="I128" i="2"/>
  <c r="O153" i="2"/>
  <c r="S316" i="2"/>
  <c r="J615" i="2"/>
  <c r="I420" i="2"/>
  <c r="Q225" i="2"/>
  <c r="P30" i="2"/>
  <c r="K194" i="2"/>
  <c r="J358" i="2"/>
  <c r="I163" i="2"/>
  <c r="M326" i="2"/>
  <c r="C622" i="2"/>
  <c r="W426" i="2"/>
  <c r="J232" i="2"/>
  <c r="I37" i="2"/>
  <c r="D201" i="2"/>
  <c r="C6" i="2"/>
  <c r="W169" i="2"/>
  <c r="F333" i="2"/>
  <c r="D621" i="2"/>
  <c r="C426" i="2"/>
  <c r="K231" i="2"/>
  <c r="J36" i="2"/>
  <c r="E200" i="2"/>
  <c r="D5" i="2"/>
  <c r="C169" i="2"/>
  <c r="G332" i="2"/>
  <c r="I138" i="2"/>
  <c r="T215" i="2"/>
  <c r="S20" i="2"/>
  <c r="G140" i="2"/>
  <c r="R217" i="2"/>
  <c r="S78" i="2"/>
  <c r="E107" i="2"/>
  <c r="L374" i="2"/>
  <c r="U568" i="2"/>
  <c r="D430" i="2"/>
  <c r="R430" i="2"/>
  <c r="H818" i="2"/>
  <c r="I819" i="2"/>
  <c r="D818" i="2"/>
  <c r="J818" i="2"/>
  <c r="E817" i="2"/>
  <c r="J426" i="2"/>
  <c r="H426" i="2"/>
  <c r="V426" i="2"/>
  <c r="F1351" i="2"/>
  <c r="G860" i="2"/>
  <c r="C468" i="2"/>
  <c r="S583" i="2"/>
  <c r="Q583" i="2"/>
  <c r="O583" i="2"/>
  <c r="R582" i="2"/>
  <c r="P582" i="2"/>
  <c r="J192" i="2"/>
  <c r="D1039" i="2"/>
  <c r="G716" i="2"/>
  <c r="G1018" i="2"/>
  <c r="K628" i="2"/>
  <c r="H1017" i="2"/>
  <c r="D652" i="2"/>
  <c r="C457" i="2"/>
  <c r="T651" i="2"/>
  <c r="S456" i="2"/>
  <c r="W651" i="2"/>
  <c r="V456" i="2"/>
  <c r="J651" i="2"/>
  <c r="I456" i="2"/>
  <c r="Q261" i="2"/>
  <c r="P66" i="2"/>
  <c r="K230" i="2"/>
  <c r="J35" i="2"/>
  <c r="I199" i="2"/>
  <c r="R1511" i="2"/>
  <c r="J1121" i="2"/>
  <c r="V1119" i="2"/>
  <c r="E730" i="2"/>
  <c r="M1120" i="2"/>
  <c r="H368" i="2"/>
  <c r="E454" i="2"/>
  <c r="I649" i="2"/>
  <c r="H454" i="2"/>
  <c r="S1038" i="2"/>
  <c r="R843" i="2"/>
  <c r="G649" i="2"/>
  <c r="F454" i="2"/>
  <c r="W648" i="2"/>
  <c r="V453" i="2"/>
  <c r="E649" i="2"/>
  <c r="D454" i="2"/>
  <c r="T1037" i="2"/>
  <c r="S842" i="2"/>
  <c r="H648" i="2"/>
  <c r="G453" i="2"/>
  <c r="C648" i="2"/>
  <c r="W452" i="2"/>
  <c r="F648" i="2"/>
  <c r="E453" i="2"/>
  <c r="N647" i="2"/>
  <c r="M452" i="2"/>
  <c r="U257" i="2"/>
  <c r="T62" i="2"/>
  <c r="O226" i="2"/>
  <c r="N31" i="2"/>
  <c r="M195" i="2"/>
  <c r="M1496" i="2"/>
  <c r="E1106" i="2"/>
  <c r="Q1104" i="2"/>
  <c r="U714" i="2"/>
  <c r="H1105" i="2"/>
  <c r="R749" i="2"/>
  <c r="I450" i="2"/>
  <c r="M645" i="2"/>
  <c r="L450" i="2"/>
  <c r="W1034" i="2"/>
  <c r="V839" i="2"/>
  <c r="K645" i="2"/>
  <c r="J450" i="2"/>
  <c r="F645" i="2"/>
  <c r="E450" i="2"/>
  <c r="I645" i="2"/>
  <c r="H450" i="2"/>
  <c r="C1034" i="2"/>
  <c r="W838" i="2"/>
  <c r="L644" i="2"/>
  <c r="K449" i="2"/>
  <c r="G644" i="2"/>
  <c r="F449" i="2"/>
  <c r="J644" i="2"/>
  <c r="I449" i="2"/>
  <c r="R643" i="2"/>
  <c r="Q448" i="2"/>
  <c r="D254" i="2"/>
  <c r="C59" i="2"/>
  <c r="S222" i="2"/>
  <c r="T328" i="2"/>
  <c r="C53" i="2"/>
  <c r="T709" i="2"/>
  <c r="S514" i="2"/>
  <c r="F320" i="2"/>
  <c r="E125" i="2"/>
  <c r="U288" i="2"/>
  <c r="T93" i="2"/>
  <c r="S257" i="2"/>
  <c r="R62" i="2"/>
  <c r="M716" i="2"/>
  <c r="L521" i="2"/>
  <c r="T326" i="2"/>
  <c r="S131" i="2"/>
  <c r="N295" i="2"/>
  <c r="M100" i="2"/>
  <c r="L264" i="2"/>
  <c r="K69" i="2"/>
  <c r="N715" i="2"/>
  <c r="M520" i="2"/>
  <c r="U325" i="2"/>
  <c r="T130" i="2"/>
  <c r="O294" i="2"/>
  <c r="N99" i="2"/>
  <c r="M263" i="2"/>
  <c r="L68" i="2"/>
  <c r="S232" i="2"/>
  <c r="K32" i="2"/>
  <c r="H115" i="2"/>
  <c r="Q234" i="2"/>
  <c r="U38" i="2"/>
  <c r="F117" i="2"/>
  <c r="P236" i="2"/>
  <c r="N6" i="2"/>
  <c r="J663" i="2"/>
  <c r="W368" i="2"/>
  <c r="J759" i="2"/>
  <c r="N757" i="2"/>
  <c r="R1147" i="2"/>
  <c r="J757" i="2"/>
  <c r="S1146" i="2"/>
  <c r="K756" i="2"/>
  <c r="W754" i="2"/>
  <c r="F365" i="2"/>
  <c r="N755" i="2"/>
  <c r="S899" i="2"/>
  <c r="T900" i="2"/>
  <c r="I1005" i="2"/>
  <c r="Q522" i="2"/>
  <c r="I912" i="2"/>
  <c r="M522" i="2"/>
  <c r="J911" i="2"/>
  <c r="N521" i="2"/>
  <c r="D521" i="2"/>
  <c r="G796" i="2"/>
  <c r="C404" i="2"/>
  <c r="S567" i="2"/>
  <c r="Q567" i="2"/>
  <c r="O567" i="2"/>
  <c r="J734" i="2"/>
  <c r="I539" i="2"/>
  <c r="E734" i="2"/>
  <c r="D539" i="2"/>
  <c r="H734" i="2"/>
  <c r="G539" i="2"/>
  <c r="P733" i="2"/>
  <c r="O538" i="2"/>
  <c r="W343" i="2"/>
  <c r="V148" i="2"/>
  <c r="Q312" i="2"/>
  <c r="P117" i="2"/>
  <c r="O281" i="2"/>
  <c r="E1061" i="2"/>
  <c r="K1061" i="2"/>
  <c r="F1060" i="2"/>
  <c r="K669" i="2"/>
  <c r="I669" i="2"/>
  <c r="W669" i="2"/>
  <c r="K536" i="2"/>
  <c r="O731" i="2"/>
  <c r="N536" i="2"/>
  <c r="D1121" i="2"/>
  <c r="C926" i="2"/>
  <c r="M731" i="2"/>
  <c r="L536" i="2"/>
  <c r="H731" i="2"/>
  <c r="G536" i="2"/>
  <c r="K731" i="2"/>
  <c r="J536" i="2"/>
  <c r="E1120" i="2"/>
  <c r="D925" i="2"/>
  <c r="N730" i="2"/>
  <c r="M535" i="2"/>
  <c r="I730" i="2"/>
  <c r="H535" i="2"/>
  <c r="L730" i="2"/>
  <c r="K535" i="2"/>
  <c r="T729" i="2"/>
  <c r="S534" i="2"/>
  <c r="F340" i="2"/>
  <c r="E145" i="2"/>
  <c r="U308" i="2"/>
  <c r="T113" i="2"/>
  <c r="S277" i="2"/>
  <c r="U1045" i="2"/>
  <c r="F1046" i="2"/>
  <c r="V1044" i="2"/>
  <c r="F654" i="2"/>
  <c r="D654" i="2"/>
  <c r="R654" i="2"/>
  <c r="O532" i="2"/>
  <c r="S727" i="2"/>
  <c r="R532" i="2"/>
  <c r="H1117" i="2"/>
  <c r="G922" i="2"/>
  <c r="Q727" i="2"/>
  <c r="P532" i="2"/>
  <c r="L727" i="2"/>
  <c r="K532" i="2"/>
  <c r="O727" i="2"/>
  <c r="N532" i="2"/>
  <c r="I1116" i="2"/>
  <c r="H921" i="2"/>
  <c r="R726" i="2"/>
  <c r="Q531" i="2"/>
  <c r="M726" i="2"/>
  <c r="L531" i="2"/>
  <c r="P726" i="2"/>
  <c r="O531" i="2"/>
  <c r="C726" i="2"/>
  <c r="W530" i="2"/>
  <c r="J336" i="2"/>
  <c r="I141" i="2"/>
  <c r="D305" i="2"/>
  <c r="C110" i="2"/>
  <c r="I135" i="2"/>
  <c r="M298" i="2"/>
  <c r="D597" i="2"/>
  <c r="C402" i="2"/>
  <c r="K207" i="2"/>
  <c r="J12" i="2"/>
  <c r="E176" i="2"/>
  <c r="D340" i="2"/>
  <c r="C145" i="2"/>
  <c r="G308" i="2"/>
  <c r="R603" i="2"/>
  <c r="Q408" i="2"/>
  <c r="D214" i="2"/>
  <c r="C19" i="2"/>
  <c r="S182" i="2"/>
  <c r="R346" i="2"/>
  <c r="Q151" i="2"/>
  <c r="U314" i="2"/>
  <c r="S602" i="2"/>
  <c r="R407" i="2"/>
  <c r="E213" i="2"/>
  <c r="D18" i="2"/>
  <c r="T181" i="2"/>
  <c r="S345" i="2"/>
  <c r="R150" i="2"/>
  <c r="V313" i="2"/>
  <c r="C120" i="2"/>
  <c r="N197" i="2"/>
  <c r="M2" i="2"/>
  <c r="V121" i="2"/>
  <c r="L199" i="2"/>
  <c r="G42" i="2"/>
  <c r="T88" i="2"/>
  <c r="P745" i="2"/>
  <c r="E698" i="2"/>
  <c r="M1088" i="2"/>
  <c r="Q698" i="2"/>
  <c r="U1476" i="2"/>
  <c r="M1086" i="2"/>
  <c r="V1475" i="2"/>
  <c r="N1085" i="2"/>
  <c r="E1084" i="2"/>
  <c r="I694" i="2"/>
  <c r="Q1084" i="2"/>
  <c r="D839" i="2"/>
  <c r="O697" i="2"/>
  <c r="N502" i="2"/>
  <c r="J697" i="2"/>
  <c r="I502" i="2"/>
  <c r="M697" i="2"/>
  <c r="L502" i="2"/>
  <c r="R1087" i="2"/>
  <c r="Q892" i="2"/>
  <c r="F698" i="2"/>
  <c r="E503" i="2"/>
  <c r="E842" i="2"/>
  <c r="V1036" i="2"/>
  <c r="U841" i="2"/>
  <c r="J1427" i="2"/>
  <c r="I1232" i="2"/>
  <c r="W1037" i="2"/>
  <c r="V842" i="2"/>
  <c r="W1036" i="2"/>
  <c r="T1166" i="2"/>
  <c r="V774" i="2"/>
  <c r="D774" i="2"/>
  <c r="V382" i="2"/>
  <c r="P774" i="2"/>
  <c r="O389" i="2"/>
  <c r="S464" i="2"/>
  <c r="W659" i="2"/>
  <c r="V464" i="2"/>
  <c r="L1049" i="2"/>
  <c r="K854" i="2"/>
  <c r="U659" i="2"/>
  <c r="T464" i="2"/>
  <c r="P659" i="2"/>
  <c r="O464" i="2"/>
  <c r="S659" i="2"/>
  <c r="R464" i="2"/>
  <c r="M1048" i="2"/>
  <c r="L853" i="2"/>
  <c r="V658" i="2"/>
  <c r="U463" i="2"/>
  <c r="Q658" i="2"/>
  <c r="P463" i="2"/>
  <c r="T658" i="2"/>
  <c r="S463" i="2"/>
  <c r="G658" i="2"/>
  <c r="F463" i="2"/>
  <c r="N268" i="2"/>
  <c r="M73" i="2"/>
  <c r="H237" i="2"/>
  <c r="L954" i="2"/>
  <c r="R954" i="2"/>
  <c r="M953" i="2"/>
  <c r="R562" i="2"/>
  <c r="P562" i="2"/>
  <c r="I563" i="2"/>
  <c r="R509" i="2"/>
  <c r="V704" i="2"/>
  <c r="U509" i="2"/>
  <c r="W1088" i="2"/>
  <c r="O1579" i="2"/>
  <c r="D1498" i="2"/>
  <c r="J1482" i="2"/>
  <c r="U1481" i="2"/>
  <c r="F1639" i="2"/>
  <c r="M1487" i="2"/>
  <c r="L1292" i="2"/>
  <c r="H1487" i="2"/>
  <c r="C1199" i="2"/>
  <c r="C1678" i="2"/>
  <c r="C1573" i="2"/>
  <c r="J1378" i="2"/>
  <c r="I1183" i="2"/>
  <c r="E1378" i="2"/>
  <c r="D1183" i="2"/>
  <c r="U1377" i="2"/>
  <c r="T1182" i="2"/>
  <c r="N1383" i="2"/>
  <c r="M1188" i="2"/>
  <c r="F994" i="2"/>
  <c r="E799" i="2"/>
  <c r="F993" i="2"/>
  <c r="E798" i="2"/>
  <c r="V992" i="2"/>
  <c r="U797" i="2"/>
  <c r="O1382" i="2"/>
  <c r="N1187" i="2"/>
  <c r="G993" i="2"/>
  <c r="F798" i="2"/>
  <c r="G992" i="2"/>
  <c r="O1452" i="2"/>
  <c r="W1715" i="2"/>
  <c r="K1436" i="2"/>
  <c r="H1893" i="2"/>
  <c r="G1573" i="2"/>
  <c r="N1378" i="2"/>
  <c r="M1183" i="2"/>
  <c r="I1378" i="2"/>
  <c r="H1183" i="2"/>
  <c r="D1378" i="2"/>
  <c r="S1768" i="2"/>
  <c r="T1621" i="2"/>
  <c r="C1557" i="2"/>
  <c r="J1362" i="2"/>
  <c r="I1167" i="2"/>
  <c r="E1362" i="2"/>
  <c r="D1167" i="2"/>
  <c r="U1361" i="2"/>
  <c r="T1178" i="2"/>
  <c r="N1367" i="2"/>
  <c r="M1172" i="2"/>
  <c r="F978" i="2"/>
  <c r="E783" i="2"/>
  <c r="F977" i="2"/>
  <c r="E782" i="2"/>
  <c r="V976" i="2"/>
  <c r="V1176" i="2"/>
  <c r="O1366" i="2"/>
  <c r="N1171" i="2"/>
  <c r="G977" i="2"/>
  <c r="F782" i="2"/>
  <c r="G976" i="2"/>
  <c r="J1437" i="2"/>
  <c r="C1655" i="2"/>
  <c r="F1421" i="2"/>
  <c r="J1771" i="2"/>
  <c r="K1569" i="2"/>
  <c r="R1374" i="2"/>
  <c r="Q1179" i="2"/>
  <c r="M1374" i="2"/>
  <c r="L1179" i="2"/>
  <c r="H1374" i="2"/>
  <c r="P1902" i="2"/>
  <c r="G1614" i="2"/>
  <c r="G1553" i="2"/>
  <c r="N1358" i="2"/>
  <c r="M1163" i="2"/>
  <c r="I1358" i="2"/>
  <c r="H1163" i="2"/>
  <c r="D1358" i="2"/>
  <c r="G1171" i="2"/>
  <c r="R1363" i="2"/>
  <c r="Q1168" i="2"/>
  <c r="J974" i="2"/>
  <c r="I779" i="2"/>
  <c r="J973" i="2"/>
  <c r="I778" i="2"/>
  <c r="E973" i="2"/>
  <c r="H1170" i="2"/>
  <c r="S1362" i="2"/>
  <c r="R1167" i="2"/>
  <c r="K973" i="2"/>
  <c r="J778" i="2"/>
  <c r="K972" i="2"/>
  <c r="H771" i="2"/>
  <c r="D966" i="2"/>
  <c r="W1163" i="2"/>
  <c r="M1356" i="2"/>
  <c r="L1161" i="2"/>
  <c r="E967" i="2"/>
  <c r="D772" i="2"/>
  <c r="E966" i="2"/>
  <c r="D771" i="2"/>
  <c r="U965" i="2"/>
  <c r="C1163" i="2"/>
  <c r="N1355" i="2"/>
  <c r="M1160" i="2"/>
  <c r="F966" i="2"/>
  <c r="E771" i="2"/>
  <c r="F965" i="2"/>
  <c r="E770" i="2"/>
  <c r="V964" i="2"/>
  <c r="H770" i="2"/>
  <c r="R963" i="2"/>
  <c r="Q768" i="2"/>
  <c r="F574" i="2"/>
  <c r="E379" i="2"/>
  <c r="V573" i="2"/>
  <c r="U378" i="2"/>
  <c r="D574" i="2"/>
  <c r="T770" i="2"/>
  <c r="I964" i="2"/>
  <c r="H769" i="2"/>
  <c r="R574" i="2"/>
  <c r="Q379" i="2"/>
  <c r="M574" i="2"/>
  <c r="M770" i="2"/>
  <c r="I965" i="2"/>
  <c r="G1163" i="2"/>
  <c r="R1355" i="2"/>
  <c r="Q1160" i="2"/>
  <c r="J966" i="2"/>
  <c r="I771" i="2"/>
  <c r="J965" i="2"/>
  <c r="I770" i="2"/>
  <c r="E965" i="2"/>
  <c r="L1243" i="2"/>
  <c r="G1617" i="2"/>
  <c r="H1227" i="2"/>
  <c r="Q1232" i="2"/>
  <c r="I842" i="2"/>
  <c r="R1231" i="2"/>
  <c r="H835" i="2"/>
  <c r="L1225" i="2"/>
  <c r="D835" i="2"/>
  <c r="M1224" i="2"/>
  <c r="E834" i="2"/>
  <c r="Q832" i="2"/>
  <c r="U442" i="2"/>
  <c r="H833" i="2"/>
  <c r="M834" i="2"/>
  <c r="U1141" i="2"/>
  <c r="Q1141" i="2"/>
  <c r="D1139" i="2"/>
  <c r="T1138" i="2"/>
  <c r="H1162" i="2"/>
  <c r="S1354" i="2"/>
  <c r="R1159" i="2"/>
  <c r="K965" i="2"/>
  <c r="J770" i="2"/>
  <c r="K964" i="2"/>
  <c r="J769" i="2"/>
  <c r="F964" i="2"/>
  <c r="M769" i="2"/>
  <c r="W962" i="2"/>
  <c r="V767" i="2"/>
  <c r="K573" i="2"/>
  <c r="J378" i="2"/>
  <c r="F573" i="2"/>
  <c r="E378" i="2"/>
  <c r="I573" i="2"/>
  <c r="D770" i="2"/>
  <c r="N963" i="2"/>
  <c r="M768" i="2"/>
  <c r="W573" i="2"/>
  <c r="V378" i="2"/>
  <c r="R573" i="2"/>
  <c r="Q766" i="2"/>
  <c r="M961" i="2"/>
  <c r="K1159" i="2"/>
  <c r="V1351" i="2"/>
  <c r="U1156" i="2"/>
  <c r="N962" i="2"/>
  <c r="M767" i="2"/>
  <c r="N961" i="2"/>
  <c r="M766" i="2"/>
  <c r="I961" i="2"/>
  <c r="L1158" i="2"/>
  <c r="W1350" i="2"/>
  <c r="V1155" i="2"/>
  <c r="O961" i="2"/>
  <c r="N766" i="2"/>
  <c r="O960" i="2"/>
  <c r="N765" i="2"/>
  <c r="J960" i="2"/>
  <c r="Q765" i="2"/>
  <c r="F959" i="2"/>
  <c r="E764" i="2"/>
  <c r="O569" i="2"/>
  <c r="N374" i="2"/>
  <c r="J569" i="2"/>
  <c r="I374" i="2"/>
  <c r="M569" i="2"/>
  <c r="H766" i="2"/>
  <c r="R959" i="2"/>
  <c r="Q764" i="2"/>
  <c r="F570" i="2"/>
  <c r="F909" i="2"/>
  <c r="W1103" i="2"/>
  <c r="V908" i="2"/>
  <c r="K1494" i="2"/>
  <c r="J1299" i="2"/>
  <c r="C1105" i="2"/>
  <c r="W909" i="2"/>
  <c r="C1104" i="2"/>
  <c r="T1042" i="2"/>
  <c r="E1043" i="2"/>
  <c r="U1041" i="2"/>
  <c r="E651" i="2"/>
  <c r="C651" i="2"/>
  <c r="Q651" i="2"/>
  <c r="T531" i="2"/>
  <c r="C727" i="2"/>
  <c r="W531" i="2"/>
  <c r="M1116" i="2"/>
  <c r="L921" i="2"/>
  <c r="V726" i="2"/>
  <c r="U531" i="2"/>
  <c r="Q726" i="2"/>
  <c r="P531" i="2"/>
  <c r="T726" i="2"/>
  <c r="S531" i="2"/>
  <c r="N1115" i="2"/>
  <c r="M920" i="2"/>
  <c r="W725" i="2"/>
  <c r="V530" i="2"/>
  <c r="R725" i="2"/>
  <c r="Q530" i="2"/>
  <c r="U725" i="2"/>
  <c r="T530" i="2"/>
  <c r="H725" i="2"/>
  <c r="G530" i="2"/>
  <c r="O335" i="2"/>
  <c r="N140" i="2"/>
  <c r="I304" i="2"/>
  <c r="S832" i="2"/>
  <c r="G1222" i="2"/>
  <c r="T831" i="2"/>
  <c r="K830" i="2"/>
  <c r="O440" i="2"/>
  <c r="W830" i="2"/>
  <c r="O612" i="2"/>
  <c r="R381" i="2"/>
  <c r="V576" i="2"/>
  <c r="V772" i="2"/>
  <c r="K966" i="2"/>
  <c r="J771" i="2"/>
  <c r="T576" i="2"/>
  <c r="S381" i="2"/>
  <c r="O576" i="2"/>
  <c r="N381" i="2"/>
  <c r="R576" i="2"/>
  <c r="W771" i="2"/>
  <c r="L965" i="2"/>
  <c r="H1231" i="2"/>
  <c r="C1605" i="2"/>
  <c r="D1215" i="2"/>
  <c r="M1220" i="2"/>
  <c r="E830" i="2"/>
  <c r="N1219" i="2"/>
  <c r="D823" i="2"/>
  <c r="H1213" i="2"/>
  <c r="U822" i="2"/>
  <c r="I1212" i="2"/>
  <c r="V821" i="2"/>
  <c r="M820" i="2"/>
  <c r="Q430" i="2"/>
  <c r="D821" i="2"/>
  <c r="I822" i="2"/>
  <c r="J1523" i="2"/>
  <c r="W1133" i="2"/>
  <c r="W1132" i="2"/>
  <c r="R1132" i="2"/>
  <c r="G1159" i="2"/>
  <c r="R1351" i="2"/>
  <c r="Q1156" i="2"/>
  <c r="J962" i="2"/>
  <c r="I767" i="2"/>
  <c r="J961" i="2"/>
  <c r="I766" i="2"/>
  <c r="E961" i="2"/>
  <c r="L766" i="2"/>
  <c r="V959" i="2"/>
  <c r="U764" i="2"/>
  <c r="J570" i="2"/>
  <c r="I375" i="2"/>
  <c r="E570" i="2"/>
  <c r="D375" i="2"/>
  <c r="H570" i="2"/>
  <c r="C767" i="2"/>
  <c r="M960" i="2"/>
  <c r="L765" i="2"/>
  <c r="V570" i="2"/>
  <c r="U375" i="2"/>
  <c r="Q570" i="2"/>
  <c r="P763" i="2"/>
  <c r="L958" i="2"/>
  <c r="J1156" i="2"/>
  <c r="U1348" i="2"/>
  <c r="T1153" i="2"/>
  <c r="M959" i="2"/>
  <c r="L764" i="2"/>
  <c r="M958" i="2"/>
  <c r="L763" i="2"/>
  <c r="H958" i="2"/>
  <c r="K1155" i="2"/>
  <c r="V1347" i="2"/>
  <c r="U1152" i="2"/>
  <c r="N958" i="2"/>
  <c r="M763" i="2"/>
  <c r="N957" i="2"/>
  <c r="M762" i="2"/>
  <c r="I957" i="2"/>
  <c r="P762" i="2"/>
  <c r="E956" i="2"/>
  <c r="D761" i="2"/>
  <c r="N566" i="2"/>
  <c r="M371" i="2"/>
  <c r="I566" i="2"/>
  <c r="H371" i="2"/>
  <c r="L566" i="2"/>
  <c r="G763" i="2"/>
  <c r="Q956" i="2"/>
  <c r="P761" i="2"/>
  <c r="E567" i="2"/>
  <c r="E906" i="2"/>
  <c r="V1100" i="2"/>
  <c r="U905" i="2"/>
  <c r="J1491" i="2"/>
  <c r="I1296" i="2"/>
  <c r="W1101" i="2"/>
  <c r="V906" i="2"/>
  <c r="W1100" i="2"/>
  <c r="P1030" i="2"/>
  <c r="V1030" i="2"/>
  <c r="Q1029" i="2"/>
  <c r="V638" i="2"/>
  <c r="T638" i="2"/>
  <c r="M639" i="2"/>
  <c r="S528" i="2"/>
  <c r="W723" i="2"/>
  <c r="V528" i="2"/>
  <c r="L1113" i="2"/>
  <c r="K918" i="2"/>
  <c r="U723" i="2"/>
  <c r="T528" i="2"/>
  <c r="P723" i="2"/>
  <c r="O528" i="2"/>
  <c r="S723" i="2"/>
  <c r="R528" i="2"/>
  <c r="M1112" i="2"/>
  <c r="L917" i="2"/>
  <c r="V722" i="2"/>
  <c r="U527" i="2"/>
  <c r="Q722" i="2"/>
  <c r="P527" i="2"/>
  <c r="T722" i="2"/>
  <c r="S527" i="2"/>
  <c r="G722" i="2"/>
  <c r="F527" i="2"/>
  <c r="N332" i="2"/>
  <c r="M137" i="2"/>
  <c r="H301" i="2"/>
  <c r="O820" i="2"/>
  <c r="C1210" i="2"/>
  <c r="P819" i="2"/>
  <c r="G818" i="2"/>
  <c r="K428" i="2"/>
  <c r="S818" i="2"/>
  <c r="M606" i="2"/>
  <c r="Q378" i="2"/>
  <c r="U573" i="2"/>
  <c r="U769" i="2"/>
  <c r="J963" i="2"/>
  <c r="I768" i="2"/>
  <c r="S573" i="2"/>
  <c r="R378" i="2"/>
  <c r="N573" i="2"/>
  <c r="M378" i="2"/>
  <c r="Q573" i="2"/>
  <c r="V768" i="2"/>
  <c r="K962" i="2"/>
  <c r="D1219" i="2"/>
  <c r="T1592" i="2"/>
  <c r="U1202" i="2"/>
  <c r="I1208" i="2"/>
  <c r="V817" i="2"/>
  <c r="J1207" i="2"/>
  <c r="U810" i="2"/>
  <c r="D1201" i="2"/>
  <c r="Q810" i="2"/>
  <c r="E1200" i="2"/>
  <c r="R809" i="2"/>
  <c r="I808" i="2"/>
  <c r="M418" i="2"/>
  <c r="U808" i="2"/>
  <c r="E810" i="2"/>
  <c r="H1517" i="2"/>
  <c r="U1127" i="2"/>
  <c r="U1126" i="2"/>
  <c r="P1126" i="2"/>
  <c r="F1156" i="2"/>
  <c r="Q1348" i="2"/>
  <c r="P1153" i="2"/>
  <c r="I959" i="2"/>
  <c r="H764" i="2"/>
  <c r="I958" i="2"/>
  <c r="H763" i="2"/>
  <c r="D958" i="2"/>
  <c r="K763" i="2"/>
  <c r="U956" i="2"/>
  <c r="T761" i="2"/>
  <c r="I567" i="2"/>
  <c r="H372" i="2"/>
  <c r="D567" i="2"/>
  <c r="C372" i="2"/>
  <c r="G567" i="2"/>
  <c r="W763" i="2"/>
  <c r="L957" i="2"/>
  <c r="K762" i="2"/>
  <c r="U567" i="2"/>
  <c r="T372" i="2"/>
  <c r="P567" i="2"/>
  <c r="O760" i="2"/>
  <c r="K955" i="2"/>
  <c r="I1153" i="2"/>
  <c r="T1345" i="2"/>
  <c r="S1150" i="2"/>
  <c r="L956" i="2"/>
  <c r="K761" i="2"/>
  <c r="L955" i="2"/>
  <c r="K760" i="2"/>
  <c r="G955" i="2"/>
  <c r="J1152" i="2"/>
  <c r="U1344" i="2"/>
  <c r="T1149" i="2"/>
  <c r="M955" i="2"/>
  <c r="L760" i="2"/>
  <c r="M954" i="2"/>
  <c r="L759" i="2"/>
  <c r="H954" i="2"/>
  <c r="O759" i="2"/>
  <c r="D953" i="2"/>
  <c r="N1215" i="2"/>
  <c r="J838" i="2"/>
  <c r="K1032" i="2"/>
  <c r="J837" i="2"/>
  <c r="F1032" i="2"/>
  <c r="E837" i="2"/>
  <c r="D1690" i="2"/>
  <c r="T1624" i="2"/>
  <c r="F1430" i="2"/>
  <c r="E1235" i="2"/>
  <c r="V1429" i="2"/>
  <c r="U1234" i="2"/>
  <c r="Q1429" i="2"/>
  <c r="P1234" i="2"/>
  <c r="J1435" i="2"/>
  <c r="I1240" i="2"/>
  <c r="W1045" i="2"/>
  <c r="V850" i="2"/>
  <c r="W1044" i="2"/>
  <c r="V849" i="2"/>
  <c r="R1044" i="2"/>
  <c r="Q849" i="2"/>
  <c r="K1434" i="2"/>
  <c r="J1239" i="2"/>
  <c r="C1045" i="2"/>
  <c r="W849" i="2"/>
  <c r="C1044" i="2"/>
  <c r="M1335" i="2"/>
  <c r="M1269" i="2"/>
  <c r="S1253" i="2"/>
  <c r="T1254" i="2"/>
  <c r="D1644" i="2"/>
  <c r="J1430" i="2"/>
  <c r="I1235" i="2"/>
  <c r="E1430" i="2"/>
  <c r="D1235" i="2"/>
  <c r="U1429" i="2"/>
  <c r="T1234" i="2"/>
  <c r="D1626" i="2"/>
  <c r="T1608" i="2"/>
  <c r="F1414" i="2"/>
  <c r="E1219" i="2"/>
  <c r="V1413" i="2"/>
  <c r="U1218" i="2"/>
  <c r="Q1413" i="2"/>
  <c r="P1218" i="2"/>
  <c r="J1419" i="2"/>
  <c r="I1224" i="2"/>
  <c r="W1029" i="2"/>
  <c r="V834" i="2"/>
  <c r="W1028" i="2"/>
  <c r="V833" i="2"/>
  <c r="R1028" i="2"/>
  <c r="Q833" i="2"/>
  <c r="K1418" i="2"/>
  <c r="J1223" i="2"/>
  <c r="C1029" i="2"/>
  <c r="W833" i="2"/>
  <c r="C1028" i="2"/>
  <c r="C1305" i="2"/>
  <c r="H1254" i="2"/>
  <c r="N1238" i="2"/>
  <c r="G1247" i="2"/>
  <c r="L1636" i="2"/>
  <c r="N1426" i="2"/>
  <c r="M1231" i="2"/>
  <c r="I1426" i="2"/>
  <c r="H1824" i="2"/>
  <c r="V1531" i="2"/>
  <c r="L1512" i="2"/>
  <c r="K1317" i="2"/>
  <c r="G1512" i="2"/>
  <c r="F1317" i="2"/>
  <c r="W1511" i="2"/>
  <c r="V1316" i="2"/>
  <c r="P1517" i="2"/>
  <c r="O1322" i="2"/>
  <c r="H1128" i="2"/>
  <c r="G933" i="2"/>
  <c r="H1127" i="2"/>
  <c r="G932" i="2"/>
  <c r="C1127" i="2"/>
  <c r="W931" i="2"/>
  <c r="Q1516" i="2"/>
  <c r="P1321" i="2"/>
  <c r="I1127" i="2"/>
  <c r="H932" i="2"/>
  <c r="I1126" i="2"/>
  <c r="V1668" i="2"/>
  <c r="S1208" i="2"/>
  <c r="N1582" i="2"/>
  <c r="O1192" i="2"/>
  <c r="E1645" i="2"/>
  <c r="P1512" i="2"/>
  <c r="O1317" i="2"/>
  <c r="K1512" i="2"/>
  <c r="J1317" i="2"/>
  <c r="F1512" i="2"/>
  <c r="E1317" i="2"/>
  <c r="H1760" i="2"/>
  <c r="N1694" i="2"/>
  <c r="L1496" i="2"/>
  <c r="K1301" i="2"/>
  <c r="G1496" i="2"/>
  <c r="F1301" i="2"/>
  <c r="W1495" i="2"/>
  <c r="V1300" i="2"/>
  <c r="P1501" i="2"/>
  <c r="O1306" i="2"/>
  <c r="H1112" i="2"/>
  <c r="G917" i="2"/>
  <c r="H1111" i="2"/>
  <c r="G916" i="2"/>
  <c r="C1111" i="2"/>
  <c r="W915" i="2"/>
  <c r="Q1500" i="2"/>
  <c r="P1305" i="2"/>
  <c r="I1111" i="2"/>
  <c r="H916" i="2"/>
  <c r="I1110" i="2"/>
  <c r="W1607" i="2"/>
  <c r="N1193" i="2"/>
  <c r="I1567" i="2"/>
  <c r="J1177" i="2"/>
  <c r="P1614" i="2"/>
  <c r="T1508" i="2"/>
  <c r="S1313" i="2"/>
  <c r="O1508" i="2"/>
  <c r="N1313" i="2"/>
  <c r="J1508" i="2"/>
  <c r="I1313" i="2"/>
  <c r="C1745" i="2"/>
  <c r="I1687" i="2"/>
  <c r="P1492" i="2"/>
  <c r="O1297" i="2"/>
  <c r="K1492" i="2"/>
  <c r="J1297" i="2"/>
  <c r="F1492" i="2"/>
  <c r="E1297" i="2"/>
  <c r="T1497" i="2"/>
  <c r="S1302" i="2"/>
  <c r="L1108" i="2"/>
  <c r="K913" i="2"/>
  <c r="L1107" i="2"/>
  <c r="K912" i="2"/>
  <c r="G1107" i="2"/>
  <c r="F912" i="2"/>
  <c r="U1496" i="2"/>
  <c r="T1301" i="2"/>
  <c r="M1107" i="2"/>
  <c r="L912" i="2"/>
  <c r="M1106" i="2"/>
  <c r="J905" i="2"/>
  <c r="F1100" i="2"/>
  <c r="E905" i="2"/>
  <c r="O1490" i="2"/>
  <c r="N1295" i="2"/>
  <c r="G1101" i="2"/>
  <c r="F906" i="2"/>
  <c r="G1100" i="2"/>
  <c r="F905" i="2"/>
  <c r="W1099" i="2"/>
  <c r="V904" i="2"/>
  <c r="P1489" i="2"/>
  <c r="O1294" i="2"/>
  <c r="H1100" i="2"/>
  <c r="G905" i="2"/>
  <c r="H1099" i="2"/>
  <c r="G904" i="2"/>
  <c r="C1099" i="2"/>
  <c r="W903" i="2"/>
  <c r="T1097" i="2"/>
  <c r="S902" i="2"/>
  <c r="H708" i="2"/>
  <c r="G513" i="2"/>
  <c r="C708" i="2"/>
  <c r="W512" i="2"/>
  <c r="F708" i="2"/>
  <c r="E513" i="2"/>
  <c r="K1098" i="2"/>
  <c r="J903" i="2"/>
  <c r="T708" i="2"/>
  <c r="S513" i="2"/>
  <c r="O708" i="2"/>
  <c r="O904" i="2"/>
  <c r="K1099" i="2"/>
  <c r="J904" i="2"/>
  <c r="T1489" i="2"/>
  <c r="S1294" i="2"/>
  <c r="L1100" i="2"/>
  <c r="K905" i="2"/>
  <c r="L1099" i="2"/>
  <c r="K904" i="2"/>
  <c r="G1099" i="2"/>
  <c r="F904" i="2"/>
  <c r="M1389" i="2"/>
  <c r="S1373" i="2"/>
  <c r="I1373" i="2"/>
  <c r="O989" i="2"/>
  <c r="J988" i="2"/>
  <c r="P988" i="2"/>
  <c r="I981" i="2"/>
  <c r="J982" i="2"/>
  <c r="E981" i="2"/>
  <c r="K981" i="2"/>
  <c r="F980" i="2"/>
  <c r="K589" i="2"/>
  <c r="I589" i="2"/>
  <c r="W589" i="2"/>
  <c r="E1017" i="2"/>
  <c r="N1407" i="2"/>
  <c r="F1018" i="2"/>
  <c r="F1017" i="2"/>
  <c r="V1016" i="2"/>
  <c r="U1488" i="2"/>
  <c r="T1293" i="2"/>
  <c r="M1099" i="2"/>
  <c r="L904" i="2"/>
  <c r="M1098" i="2"/>
  <c r="L903" i="2"/>
  <c r="H1098" i="2"/>
  <c r="G903" i="2"/>
  <c r="D1097" i="2"/>
  <c r="C902" i="2"/>
  <c r="M707" i="2"/>
  <c r="L512" i="2"/>
  <c r="H707" i="2"/>
  <c r="G512" i="2"/>
  <c r="K707" i="2"/>
  <c r="J512" i="2"/>
  <c r="P1097" i="2"/>
  <c r="O902" i="2"/>
  <c r="D708" i="2"/>
  <c r="C513" i="2"/>
  <c r="T707" i="2"/>
  <c r="S900" i="2"/>
  <c r="O1095" i="2"/>
  <c r="N900" i="2"/>
  <c r="C1486" i="2"/>
  <c r="W1290" i="2"/>
  <c r="P1096" i="2"/>
  <c r="O901" i="2"/>
  <c r="P1095" i="2"/>
  <c r="O900" i="2"/>
  <c r="K1095" i="2"/>
  <c r="J900" i="2"/>
  <c r="D1485" i="2"/>
  <c r="C1290" i="2"/>
  <c r="Q1095" i="2"/>
  <c r="P900" i="2"/>
  <c r="Q1094" i="2"/>
  <c r="P899" i="2"/>
  <c r="L1094" i="2"/>
  <c r="K899" i="2"/>
  <c r="H1093" i="2"/>
  <c r="G898" i="2"/>
  <c r="Q703" i="2"/>
  <c r="P508" i="2"/>
  <c r="L703" i="2"/>
  <c r="K508" i="2"/>
  <c r="O703" i="2"/>
  <c r="N508" i="2"/>
  <c r="T1093" i="2"/>
  <c r="S898" i="2"/>
  <c r="H704" i="2"/>
  <c r="G509" i="2"/>
  <c r="G848" i="2"/>
  <c r="C1043" i="2"/>
  <c r="W847" i="2"/>
  <c r="L1433" i="2"/>
  <c r="K1238" i="2"/>
  <c r="D1044" i="2"/>
  <c r="C849" i="2"/>
  <c r="D1043" i="2"/>
  <c r="C799" i="2"/>
  <c r="I799" i="2"/>
  <c r="D798" i="2"/>
  <c r="I407" i="2"/>
  <c r="G407" i="2"/>
  <c r="U407" i="2"/>
  <c r="U470" i="2"/>
  <c r="D666" i="2"/>
  <c r="C471" i="2"/>
  <c r="N1055" i="2"/>
  <c r="M860" i="2"/>
  <c r="W665" i="2"/>
  <c r="V470" i="2"/>
  <c r="R665" i="2"/>
  <c r="Q470" i="2"/>
  <c r="U665" i="2"/>
  <c r="T470" i="2"/>
  <c r="O1054" i="2"/>
  <c r="N859" i="2"/>
  <c r="C665" i="2"/>
  <c r="W469" i="2"/>
  <c r="S664" i="2"/>
  <c r="R469" i="2"/>
  <c r="V664" i="2"/>
  <c r="U469" i="2"/>
  <c r="I664" i="2"/>
  <c r="H469" i="2"/>
  <c r="P274" i="2"/>
  <c r="O79" i="2"/>
  <c r="J243" i="2"/>
  <c r="T978" i="2"/>
  <c r="E979" i="2"/>
  <c r="U977" i="2"/>
  <c r="E587" i="2"/>
  <c r="C587" i="2"/>
  <c r="Q587" i="2"/>
  <c r="T515" i="2"/>
  <c r="C711" i="2"/>
  <c r="W515" i="2"/>
  <c r="M1100" i="2"/>
  <c r="L905" i="2"/>
  <c r="V710" i="2"/>
  <c r="U515" i="2"/>
  <c r="Q710" i="2"/>
  <c r="P515" i="2"/>
  <c r="T710" i="2"/>
  <c r="S515" i="2"/>
  <c r="N1099" i="2"/>
  <c r="M904" i="2"/>
  <c r="I1377" i="2"/>
  <c r="O1361" i="2"/>
  <c r="E1361" i="2"/>
  <c r="K977" i="2"/>
  <c r="F976" i="2"/>
  <c r="L976" i="2"/>
  <c r="E969" i="2"/>
  <c r="F970" i="2"/>
  <c r="V968" i="2"/>
  <c r="G969" i="2"/>
  <c r="W967" i="2"/>
  <c r="G577" i="2"/>
  <c r="E577" i="2"/>
  <c r="S577" i="2"/>
  <c r="C1011" i="2"/>
  <c r="L1401" i="2"/>
  <c r="D1012" i="2"/>
  <c r="D1011" i="2"/>
  <c r="T1010" i="2"/>
  <c r="T1485" i="2"/>
  <c r="S1290" i="2"/>
  <c r="L1096" i="2"/>
  <c r="K901" i="2"/>
  <c r="L1095" i="2"/>
  <c r="K900" i="2"/>
  <c r="G1095" i="2"/>
  <c r="F900" i="2"/>
  <c r="C1094" i="2"/>
  <c r="W898" i="2"/>
  <c r="L704" i="2"/>
  <c r="K509" i="2"/>
  <c r="G704" i="2"/>
  <c r="F509" i="2"/>
  <c r="J704" i="2"/>
  <c r="I509" i="2"/>
  <c r="O1094" i="2"/>
  <c r="N899" i="2"/>
  <c r="C705" i="2"/>
  <c r="W509" i="2"/>
  <c r="S704" i="2"/>
  <c r="R897" i="2"/>
  <c r="N1092" i="2"/>
  <c r="M897" i="2"/>
  <c r="W1482" i="2"/>
  <c r="V1287" i="2"/>
  <c r="O1093" i="2"/>
  <c r="N898" i="2"/>
  <c r="O1092" i="2"/>
  <c r="N897" i="2"/>
  <c r="J1092" i="2"/>
  <c r="I897" i="2"/>
  <c r="C1482" i="2"/>
  <c r="W1286" i="2"/>
  <c r="P1092" i="2"/>
  <c r="O897" i="2"/>
  <c r="P1091" i="2"/>
  <c r="O896" i="2"/>
  <c r="K1091" i="2"/>
  <c r="J896" i="2"/>
  <c r="G1090" i="2"/>
  <c r="F895" i="2"/>
  <c r="P700" i="2"/>
  <c r="O505" i="2"/>
  <c r="K700" i="2"/>
  <c r="J505" i="2"/>
  <c r="N700" i="2"/>
  <c r="M505" i="2"/>
  <c r="S1090" i="2"/>
  <c r="R895" i="2"/>
  <c r="G701" i="2"/>
  <c r="F506" i="2"/>
  <c r="F845" i="2"/>
  <c r="W1039" i="2"/>
  <c r="V844" i="2"/>
  <c r="K1430" i="2"/>
  <c r="J1235" i="2"/>
  <c r="C1041" i="2"/>
  <c r="W845" i="2"/>
  <c r="C1040" i="2"/>
  <c r="T786" i="2"/>
  <c r="E787" i="2"/>
  <c r="L786" i="2"/>
  <c r="E395" i="2"/>
  <c r="C395" i="2"/>
  <c r="Q395" i="2"/>
  <c r="T467" i="2"/>
  <c r="C663" i="2"/>
  <c r="W467" i="2"/>
  <c r="M1052" i="2"/>
  <c r="L857" i="2"/>
  <c r="V662" i="2"/>
  <c r="U467" i="2"/>
  <c r="Q662" i="2"/>
  <c r="P467" i="2"/>
  <c r="T662" i="2"/>
  <c r="S467" i="2"/>
  <c r="N1051" i="2"/>
  <c r="M856" i="2"/>
  <c r="W661" i="2"/>
  <c r="V466" i="2"/>
  <c r="R661" i="2"/>
  <c r="Q466" i="2"/>
  <c r="U661" i="2"/>
  <c r="T466" i="2"/>
  <c r="H661" i="2"/>
  <c r="G466" i="2"/>
  <c r="O271" i="2"/>
  <c r="N76" i="2"/>
  <c r="I240" i="2"/>
  <c r="P966" i="2"/>
  <c r="V966" i="2"/>
  <c r="Q965" i="2"/>
  <c r="V574" i="2"/>
  <c r="T574" i="2"/>
  <c r="M575" i="2"/>
  <c r="S512" i="2"/>
  <c r="W707" i="2"/>
  <c r="V512" i="2"/>
  <c r="L1097" i="2"/>
  <c r="K902" i="2"/>
  <c r="U707" i="2"/>
  <c r="T512" i="2"/>
  <c r="P707" i="2"/>
  <c r="O512" i="2"/>
  <c r="S707" i="2"/>
  <c r="R512" i="2"/>
  <c r="M1096" i="2"/>
  <c r="L901" i="2"/>
  <c r="E1365" i="2"/>
  <c r="K1349" i="2"/>
  <c r="V1348" i="2"/>
  <c r="G965" i="2"/>
  <c r="W963" i="2"/>
  <c r="H964" i="2"/>
  <c r="V956" i="2"/>
  <c r="W957" i="2"/>
  <c r="R956" i="2"/>
  <c r="C957" i="2"/>
  <c r="S955" i="2"/>
  <c r="C565" i="2"/>
  <c r="V564" i="2"/>
  <c r="O565" i="2"/>
  <c r="V1004" i="2"/>
  <c r="J1395" i="2"/>
  <c r="W1005" i="2"/>
  <c r="W1004" i="2"/>
  <c r="R1004" i="2"/>
  <c r="S1482" i="2"/>
  <c r="R1287" i="2"/>
  <c r="K1093" i="2"/>
  <c r="J898" i="2"/>
  <c r="K1092" i="2"/>
  <c r="J897" i="2"/>
  <c r="F1092" i="2"/>
  <c r="E897" i="2"/>
  <c r="W1090" i="2"/>
  <c r="V895" i="2"/>
  <c r="K701" i="2"/>
  <c r="J506" i="2"/>
  <c r="F701" i="2"/>
  <c r="E506" i="2"/>
  <c r="I701" i="2"/>
  <c r="H506" i="2"/>
  <c r="N1091" i="2"/>
  <c r="M896" i="2"/>
  <c r="W701" i="2"/>
  <c r="V506" i="2"/>
  <c r="R701" i="2"/>
  <c r="Q894" i="2"/>
  <c r="M1089" i="2"/>
  <c r="L894" i="2"/>
  <c r="V1479" i="2"/>
  <c r="U1284" i="2"/>
  <c r="N1090" i="2"/>
  <c r="M895" i="2"/>
  <c r="N1089" i="2"/>
  <c r="M894" i="2"/>
  <c r="I1089" i="2"/>
  <c r="H894" i="2"/>
  <c r="W1478" i="2"/>
  <c r="V1283" i="2"/>
  <c r="O1089" i="2"/>
  <c r="N894" i="2"/>
  <c r="O1088" i="2"/>
  <c r="N893" i="2"/>
  <c r="J1088" i="2"/>
  <c r="I893" i="2"/>
  <c r="F1087" i="2"/>
  <c r="E892" i="2"/>
  <c r="J1094" i="2"/>
  <c r="K777" i="2"/>
  <c r="L971" i="2"/>
  <c r="K776" i="2"/>
  <c r="G971" i="2"/>
  <c r="U1189" i="2"/>
  <c r="L1641" i="2"/>
  <c r="U1563" i="2"/>
  <c r="G1369" i="2"/>
  <c r="F1174" i="2"/>
  <c r="W1368" i="2"/>
  <c r="V1173" i="2"/>
  <c r="R1368" i="2"/>
  <c r="Q1173" i="2"/>
  <c r="K1374" i="2"/>
  <c r="J1179" i="2"/>
  <c r="C985" i="2"/>
  <c r="W789" i="2"/>
  <c r="C984" i="2"/>
  <c r="W788" i="2"/>
  <c r="S983" i="2"/>
  <c r="R788" i="2"/>
  <c r="L1373" i="2"/>
  <c r="K1178" i="2"/>
  <c r="D984" i="2"/>
  <c r="C789" i="2"/>
  <c r="D983" i="2"/>
  <c r="C1416" i="2"/>
  <c r="Q1569" i="2"/>
  <c r="T1399" i="2"/>
  <c r="T1876" i="2"/>
  <c r="D1564" i="2"/>
  <c r="K1369" i="2"/>
  <c r="J1174" i="2"/>
  <c r="F1369" i="2"/>
  <c r="E1174" i="2"/>
  <c r="V1368" i="2"/>
  <c r="I1817" i="2"/>
  <c r="N1603" i="2"/>
  <c r="U1547" i="2"/>
  <c r="G1353" i="2"/>
  <c r="F1158" i="2"/>
  <c r="W1352" i="2"/>
  <c r="V1157" i="2"/>
  <c r="R1352" i="2"/>
  <c r="U1165" i="2"/>
  <c r="K1358" i="2"/>
  <c r="J1163" i="2"/>
  <c r="C969" i="2"/>
  <c r="W773" i="2"/>
  <c r="C968" i="2"/>
  <c r="W772" i="2"/>
  <c r="S967" i="2"/>
  <c r="V1164" i="2"/>
  <c r="L1357" i="2"/>
  <c r="K1162" i="2"/>
  <c r="D968" i="2"/>
  <c r="C773" i="2"/>
  <c r="D967" i="2"/>
  <c r="S1400" i="2"/>
  <c r="V1703" i="2"/>
  <c r="O1384" i="2"/>
  <c r="F1834" i="2"/>
  <c r="H1560" i="2"/>
  <c r="O1365" i="2"/>
  <c r="N1170" i="2"/>
  <c r="J1365" i="2"/>
  <c r="O1580" i="2"/>
  <c r="F1646" i="2"/>
  <c r="M1451" i="2"/>
  <c r="L1256" i="2"/>
  <c r="H1451" i="2"/>
  <c r="G1256" i="2"/>
  <c r="C1451" i="2"/>
  <c r="W1255" i="2"/>
  <c r="Q1456" i="2"/>
  <c r="P1261" i="2"/>
  <c r="I1067" i="2"/>
  <c r="H872" i="2"/>
  <c r="I1066" i="2"/>
  <c r="H871" i="2"/>
  <c r="D1066" i="2"/>
  <c r="C871" i="2"/>
  <c r="R1455" i="2"/>
  <c r="Q1260" i="2"/>
  <c r="J1066" i="2"/>
  <c r="I871" i="2"/>
  <c r="J1065" i="2"/>
  <c r="F1506" i="2"/>
  <c r="T1354" i="2"/>
  <c r="E1339" i="2"/>
  <c r="P1338" i="2"/>
  <c r="R1686" i="2"/>
  <c r="Q1451" i="2"/>
  <c r="P1256" i="2"/>
  <c r="L1451" i="2"/>
  <c r="K1256" i="2"/>
  <c r="G1451" i="2"/>
  <c r="F1256" i="2"/>
  <c r="K1711" i="2"/>
  <c r="F1630" i="2"/>
  <c r="M1435" i="2"/>
  <c r="L1240" i="2"/>
  <c r="H1435" i="2"/>
  <c r="G1240" i="2"/>
  <c r="C1435" i="2"/>
  <c r="W1239" i="2"/>
  <c r="Q1440" i="2"/>
  <c r="P1245" i="2"/>
  <c r="I1051" i="2"/>
  <c r="H856" i="2"/>
  <c r="I1050" i="2"/>
  <c r="H855" i="2"/>
  <c r="D1050" i="2"/>
  <c r="C855" i="2"/>
  <c r="R1439" i="2"/>
  <c r="Q1244" i="2"/>
  <c r="J1050" i="2"/>
  <c r="I855" i="2"/>
  <c r="J1049" i="2"/>
  <c r="Q1475" i="2"/>
  <c r="O1339" i="2"/>
  <c r="U1323" i="2"/>
  <c r="K1323" i="2"/>
  <c r="E1679" i="2"/>
  <c r="U1447" i="2"/>
  <c r="T1252" i="2"/>
  <c r="P1447" i="2"/>
  <c r="O1252" i="2"/>
  <c r="K1447" i="2"/>
  <c r="J1252" i="2"/>
  <c r="F1696" i="2"/>
  <c r="J1626" i="2"/>
  <c r="Q1431" i="2"/>
  <c r="P1236" i="2"/>
  <c r="L1431" i="2"/>
  <c r="K1236" i="2"/>
  <c r="G1431" i="2"/>
  <c r="F1236" i="2"/>
  <c r="U1436" i="2"/>
  <c r="T1241" i="2"/>
  <c r="M1047" i="2"/>
  <c r="L852" i="2"/>
  <c r="M1046" i="2"/>
  <c r="L851" i="2"/>
  <c r="H1046" i="2"/>
  <c r="G851" i="2"/>
  <c r="V1435" i="2"/>
  <c r="U1240" i="2"/>
  <c r="N1046" i="2"/>
  <c r="M851" i="2"/>
  <c r="N1045" i="2"/>
  <c r="K844" i="2"/>
  <c r="G1039" i="2"/>
  <c r="F844" i="2"/>
  <c r="P1429" i="2"/>
  <c r="O1234" i="2"/>
  <c r="H1040" i="2"/>
  <c r="G845" i="2"/>
  <c r="H1039" i="2"/>
  <c r="G844" i="2"/>
  <c r="C1039" i="2"/>
  <c r="W843" i="2"/>
  <c r="Q1428" i="2"/>
  <c r="P1233" i="2"/>
  <c r="I1039" i="2"/>
  <c r="H844" i="2"/>
  <c r="I1038" i="2"/>
  <c r="H843" i="2"/>
  <c r="D1038" i="2"/>
  <c r="C843" i="2"/>
  <c r="U1036" i="2"/>
  <c r="T841" i="2"/>
  <c r="I647" i="2"/>
  <c r="H452" i="2"/>
  <c r="D647" i="2"/>
  <c r="C452" i="2"/>
  <c r="G647" i="2"/>
  <c r="F452" i="2"/>
  <c r="L1037" i="2"/>
  <c r="K842" i="2"/>
  <c r="U647" i="2"/>
  <c r="T452" i="2"/>
  <c r="P647" i="2"/>
  <c r="P843" i="2"/>
  <c r="L1038" i="2"/>
  <c r="K843" i="2"/>
  <c r="U1428" i="2"/>
  <c r="T1233" i="2"/>
  <c r="M1039" i="2"/>
  <c r="L844" i="2"/>
  <c r="M1038" i="2"/>
  <c r="L843" i="2"/>
  <c r="H1038" i="2"/>
  <c r="G843" i="2"/>
  <c r="C1857" i="2"/>
  <c r="T1519" i="2"/>
  <c r="H1525" i="2"/>
  <c r="U1134" i="2"/>
  <c r="I1524" i="2"/>
  <c r="V1133" i="2"/>
  <c r="C1518" i="2"/>
  <c r="P1127" i="2"/>
  <c r="D1517" i="2"/>
  <c r="Q1126" i="2"/>
  <c r="H1125" i="2"/>
  <c r="L735" i="2"/>
  <c r="T1125" i="2"/>
  <c r="C736" i="2"/>
  <c r="G895" i="2"/>
  <c r="P1285" i="2"/>
  <c r="H896" i="2"/>
  <c r="H895" i="2"/>
  <c r="C895" i="2"/>
  <c r="V1427" i="2"/>
  <c r="U1232" i="2"/>
  <c r="N1038" i="2"/>
  <c r="M843" i="2"/>
  <c r="N1037" i="2"/>
  <c r="M842" i="2"/>
  <c r="I1037" i="2"/>
  <c r="H842" i="2"/>
  <c r="E1036" i="2"/>
  <c r="D841" i="2"/>
  <c r="N646" i="2"/>
  <c r="M451" i="2"/>
  <c r="I646" i="2"/>
  <c r="H451" i="2"/>
  <c r="L646" i="2"/>
  <c r="K451" i="2"/>
  <c r="Q1036" i="2"/>
  <c r="P841" i="2"/>
  <c r="E647" i="2"/>
  <c r="D452" i="2"/>
  <c r="U646" i="2"/>
  <c r="T839" i="2"/>
  <c r="P1034" i="2"/>
  <c r="O839" i="2"/>
  <c r="D1425" i="2"/>
  <c r="C1230" i="2"/>
  <c r="Q1035" i="2"/>
  <c r="P840" i="2"/>
  <c r="Q1034" i="2"/>
  <c r="P839" i="2"/>
  <c r="L1034" i="2"/>
  <c r="K839" i="2"/>
  <c r="E1424" i="2"/>
  <c r="D1229" i="2"/>
  <c r="R1034" i="2"/>
  <c r="Q839" i="2"/>
  <c r="R1033" i="2"/>
  <c r="Q838" i="2"/>
  <c r="M1033" i="2"/>
  <c r="L838" i="2"/>
  <c r="I1032" i="2"/>
  <c r="H837" i="2"/>
  <c r="R642" i="2"/>
  <c r="Q447" i="2"/>
  <c r="M642" i="2"/>
  <c r="L447" i="2"/>
  <c r="P642" i="2"/>
  <c r="O447" i="2"/>
  <c r="U1032" i="2"/>
  <c r="T837" i="2"/>
  <c r="I643" i="2"/>
  <c r="H448" i="2"/>
  <c r="H787" i="2"/>
  <c r="D982" i="2"/>
  <c r="C787" i="2"/>
  <c r="M1372" i="2"/>
  <c r="L1177" i="2"/>
  <c r="E983" i="2"/>
  <c r="D788" i="2"/>
  <c r="N945" i="2"/>
  <c r="W1334" i="2"/>
  <c r="O944" i="2"/>
  <c r="F943" i="2"/>
  <c r="J553" i="2"/>
  <c r="R943" i="2"/>
  <c r="R669" i="2"/>
  <c r="V409" i="2"/>
  <c r="E605" i="2"/>
  <c r="D410" i="2"/>
  <c r="O994" i="2"/>
  <c r="N799" i="2"/>
  <c r="C605" i="2"/>
  <c r="W409" i="2"/>
  <c r="S604" i="2"/>
  <c r="R409" i="2"/>
  <c r="V604" i="2"/>
  <c r="U409" i="2"/>
  <c r="P993" i="2"/>
  <c r="O798" i="2"/>
  <c r="D604" i="2"/>
  <c r="C409" i="2"/>
  <c r="T603" i="2"/>
  <c r="S408" i="2"/>
  <c r="W603" i="2"/>
  <c r="V408" i="2"/>
  <c r="J603" i="2"/>
  <c r="I408" i="2"/>
  <c r="Q213" i="2"/>
  <c r="P18" i="2"/>
  <c r="K182" i="2"/>
  <c r="S1514" i="2"/>
  <c r="K1124" i="2"/>
  <c r="W1122" i="2"/>
  <c r="F733" i="2"/>
  <c r="N1123" i="2"/>
  <c r="C369" i="2"/>
  <c r="U454" i="2"/>
  <c r="D650" i="2"/>
  <c r="C455" i="2"/>
  <c r="N1039" i="2"/>
  <c r="M844" i="2"/>
  <c r="W649" i="2"/>
  <c r="V454" i="2"/>
  <c r="R649" i="2"/>
  <c r="Q454" i="2"/>
  <c r="U649" i="2"/>
  <c r="T454" i="2"/>
  <c r="O1038" i="2"/>
  <c r="N843" i="2"/>
  <c r="W1805" i="2"/>
  <c r="P1507" i="2"/>
  <c r="D1513" i="2"/>
  <c r="Q1122" i="2"/>
  <c r="E1512" i="2"/>
  <c r="R1121" i="2"/>
  <c r="T1505" i="2"/>
  <c r="L1115" i="2"/>
  <c r="U1504" i="2"/>
  <c r="M1114" i="2"/>
  <c r="D1113" i="2"/>
  <c r="H723" i="2"/>
  <c r="P1113" i="2"/>
  <c r="T723" i="2"/>
  <c r="E889" i="2"/>
  <c r="N1279" i="2"/>
  <c r="F890" i="2"/>
  <c r="F889" i="2"/>
  <c r="V888" i="2"/>
  <c r="U1424" i="2"/>
  <c r="T1229" i="2"/>
  <c r="M1035" i="2"/>
  <c r="L840" i="2"/>
  <c r="M1034" i="2"/>
  <c r="L839" i="2"/>
  <c r="H1034" i="2"/>
  <c r="G839" i="2"/>
  <c r="D1033" i="2"/>
  <c r="C838" i="2"/>
  <c r="M643" i="2"/>
  <c r="L448" i="2"/>
  <c r="H643" i="2"/>
  <c r="G448" i="2"/>
  <c r="K643" i="2"/>
  <c r="J448" i="2"/>
  <c r="P1033" i="2"/>
  <c r="O838" i="2"/>
  <c r="D644" i="2"/>
  <c r="C449" i="2"/>
  <c r="T643" i="2"/>
  <c r="S836" i="2"/>
  <c r="O1031" i="2"/>
  <c r="N836" i="2"/>
  <c r="C1422" i="2"/>
  <c r="W1226" i="2"/>
  <c r="P1032" i="2"/>
  <c r="O837" i="2"/>
  <c r="P1031" i="2"/>
  <c r="O836" i="2"/>
  <c r="K1031" i="2"/>
  <c r="J836" i="2"/>
  <c r="D1421" i="2"/>
  <c r="C1226" i="2"/>
  <c r="Q1031" i="2"/>
  <c r="P836" i="2"/>
  <c r="Q1030" i="2"/>
  <c r="P835" i="2"/>
  <c r="L1030" i="2"/>
  <c r="K835" i="2"/>
  <c r="H1029" i="2"/>
  <c r="G834" i="2"/>
  <c r="Q639" i="2"/>
  <c r="P444" i="2"/>
  <c r="L639" i="2"/>
  <c r="K444" i="2"/>
  <c r="O639" i="2"/>
  <c r="N444" i="2"/>
  <c r="T1029" i="2"/>
  <c r="S834" i="2"/>
  <c r="H640" i="2"/>
  <c r="G445" i="2"/>
  <c r="G784" i="2"/>
  <c r="C979" i="2"/>
  <c r="P1182" i="2"/>
  <c r="L1369" i="2"/>
  <c r="K1174" i="2"/>
  <c r="D980" i="2"/>
  <c r="C785" i="2"/>
  <c r="J933" i="2"/>
  <c r="S1322" i="2"/>
  <c r="K932" i="2"/>
  <c r="W930" i="2"/>
  <c r="F541" i="2"/>
  <c r="N931" i="2"/>
  <c r="P663" i="2"/>
  <c r="U406" i="2"/>
  <c r="D602" i="2"/>
  <c r="C407" i="2"/>
  <c r="N991" i="2"/>
  <c r="M796" i="2"/>
  <c r="W601" i="2"/>
  <c r="V406" i="2"/>
  <c r="R601" i="2"/>
  <c r="Q406" i="2"/>
  <c r="U601" i="2"/>
  <c r="T406" i="2"/>
  <c r="O990" i="2"/>
  <c r="N795" i="2"/>
  <c r="C601" i="2"/>
  <c r="W405" i="2"/>
  <c r="S600" i="2"/>
  <c r="R405" i="2"/>
  <c r="V600" i="2"/>
  <c r="U405" i="2"/>
  <c r="I600" i="2"/>
  <c r="H405" i="2"/>
  <c r="P210" i="2"/>
  <c r="O15" i="2"/>
  <c r="J179" i="2"/>
  <c r="O1502" i="2"/>
  <c r="G1112" i="2"/>
  <c r="S1110" i="2"/>
  <c r="W720" i="2"/>
  <c r="J1111" i="2"/>
  <c r="V362" i="2"/>
  <c r="T451" i="2"/>
  <c r="C647" i="2"/>
  <c r="W451" i="2"/>
  <c r="M1036" i="2"/>
  <c r="L841" i="2"/>
  <c r="V646" i="2"/>
  <c r="U451" i="2"/>
  <c r="Q646" i="2"/>
  <c r="P451" i="2"/>
  <c r="T646" i="2"/>
  <c r="S451" i="2"/>
  <c r="N1035" i="2"/>
  <c r="M840" i="2"/>
  <c r="G1757" i="2"/>
  <c r="L1495" i="2"/>
  <c r="U1500" i="2"/>
  <c r="M1110" i="2"/>
  <c r="V1499" i="2"/>
  <c r="N1109" i="2"/>
  <c r="P1493" i="2"/>
  <c r="H1103" i="2"/>
  <c r="Q1492" i="2"/>
  <c r="I1102" i="2"/>
  <c r="U1100" i="2"/>
  <c r="D711" i="2"/>
  <c r="L1101" i="2"/>
  <c r="P711" i="2"/>
  <c r="C883" i="2"/>
  <c r="L1273" i="2"/>
  <c r="D884" i="2"/>
  <c r="D883" i="2"/>
  <c r="T882" i="2"/>
  <c r="T1421" i="2"/>
  <c r="S1226" i="2"/>
  <c r="L1032" i="2"/>
  <c r="K837" i="2"/>
  <c r="L1031" i="2"/>
  <c r="K836" i="2"/>
  <c r="G1031" i="2"/>
  <c r="F836" i="2"/>
  <c r="C1030" i="2"/>
  <c r="W834" i="2"/>
  <c r="L640" i="2"/>
  <c r="K445" i="2"/>
  <c r="G640" i="2"/>
  <c r="F445" i="2"/>
  <c r="J640" i="2"/>
  <c r="I445" i="2"/>
  <c r="O1030" i="2"/>
  <c r="N835" i="2"/>
  <c r="C641" i="2"/>
  <c r="W445" i="2"/>
  <c r="S640" i="2"/>
  <c r="R833" i="2"/>
  <c r="N1028" i="2"/>
  <c r="M833" i="2"/>
  <c r="W1418" i="2"/>
  <c r="V1223" i="2"/>
  <c r="O1029" i="2"/>
  <c r="N834" i="2"/>
  <c r="O1028" i="2"/>
  <c r="N833" i="2"/>
  <c r="J1028" i="2"/>
  <c r="I833" i="2"/>
  <c r="C1418" i="2"/>
  <c r="W1222" i="2"/>
  <c r="P1028" i="2"/>
  <c r="O833" i="2"/>
  <c r="P1027" i="2"/>
  <c r="O832" i="2"/>
  <c r="K1027" i="2"/>
  <c r="J832" i="2"/>
  <c r="G1026" i="2"/>
  <c r="F831" i="2"/>
  <c r="C661" i="2"/>
  <c r="W465" i="2"/>
  <c r="S660" i="2"/>
  <c r="R465" i="2"/>
  <c r="V660" i="2"/>
  <c r="U465" i="2"/>
  <c r="F1051" i="2"/>
  <c r="E856" i="2"/>
  <c r="O661" i="2"/>
  <c r="N466" i="2"/>
  <c r="N805" i="2"/>
  <c r="J1000" i="2"/>
  <c r="I805" i="2"/>
  <c r="S1390" i="2"/>
  <c r="R1195" i="2"/>
  <c r="K1001" i="2"/>
  <c r="J806" i="2"/>
  <c r="K1000" i="2"/>
  <c r="E1408" i="2"/>
  <c r="R1017" i="2"/>
  <c r="I1016" i="2"/>
  <c r="M626" i="2"/>
  <c r="U1016" i="2"/>
  <c r="I706" i="2"/>
  <c r="G428" i="2"/>
  <c r="K623" i="2"/>
  <c r="J428" i="2"/>
  <c r="U1012" i="2"/>
  <c r="T817" i="2"/>
  <c r="I623" i="2"/>
  <c r="H428" i="2"/>
  <c r="D623" i="2"/>
  <c r="C428" i="2"/>
  <c r="G623" i="2"/>
  <c r="F428" i="2"/>
  <c r="V1011" i="2"/>
  <c r="U816" i="2"/>
  <c r="J622" i="2"/>
  <c r="I427" i="2"/>
  <c r="E622" i="2"/>
  <c r="D427" i="2"/>
  <c r="H622" i="2"/>
  <c r="G427" i="2"/>
  <c r="P621" i="2"/>
  <c r="O426" i="2"/>
  <c r="W231" i="2"/>
  <c r="V36" i="2"/>
  <c r="Q200" i="2"/>
  <c r="F808" i="2"/>
  <c r="L808" i="2"/>
  <c r="G807" i="2"/>
  <c r="L416" i="2"/>
  <c r="J416" i="2"/>
  <c r="C417" i="2"/>
  <c r="F473" i="2"/>
  <c r="J668" i="2"/>
  <c r="I473" i="2"/>
  <c r="T1057" i="2"/>
  <c r="S862" i="2"/>
  <c r="H668" i="2"/>
  <c r="G473" i="2"/>
  <c r="C668" i="2"/>
  <c r="W472" i="2"/>
  <c r="F668" i="2"/>
  <c r="E473" i="2"/>
  <c r="U1056" i="2"/>
  <c r="T861" i="2"/>
  <c r="I1760" i="2"/>
  <c r="F1142" i="2"/>
  <c r="U1149" i="2"/>
  <c r="W757" i="2"/>
  <c r="V1148" i="2"/>
  <c r="C757" i="2"/>
  <c r="P1142" i="2"/>
  <c r="R1140" i="2"/>
  <c r="J1529" i="2"/>
  <c r="U1138" i="2"/>
  <c r="L1137" i="2"/>
  <c r="P747" i="2"/>
  <c r="C1138" i="2"/>
  <c r="G748" i="2"/>
  <c r="I901" i="2"/>
  <c r="R1291" i="2"/>
  <c r="J902" i="2"/>
  <c r="J901" i="2"/>
  <c r="E901" i="2"/>
  <c r="W1430" i="2"/>
  <c r="V1235" i="2"/>
  <c r="O1041" i="2"/>
  <c r="N846" i="2"/>
  <c r="O1040" i="2"/>
  <c r="N845" i="2"/>
  <c r="J1040" i="2"/>
  <c r="I845" i="2"/>
  <c r="F1039" i="2"/>
  <c r="E844" i="2"/>
  <c r="O649" i="2"/>
  <c r="N454" i="2"/>
  <c r="I637" i="2"/>
  <c r="W637" i="2"/>
  <c r="M1025" i="2"/>
  <c r="N1026" i="2"/>
  <c r="I1025" i="2"/>
  <c r="O1025" i="2"/>
  <c r="J1024" i="2"/>
  <c r="O633" i="2"/>
  <c r="M633" i="2"/>
  <c r="F634" i="2"/>
  <c r="T1170" i="2"/>
  <c r="V778" i="2"/>
  <c r="O906" i="2"/>
  <c r="S400" i="2"/>
  <c r="K790" i="2"/>
  <c r="O400" i="2"/>
  <c r="L789" i="2"/>
  <c r="P399" i="2"/>
  <c r="F399" i="2"/>
  <c r="G1478" i="2"/>
  <c r="W1086" i="2"/>
  <c r="U445" i="2"/>
  <c r="S445" i="2"/>
  <c r="Q445" i="2"/>
  <c r="U703" i="2"/>
  <c r="T508" i="2"/>
  <c r="P703" i="2"/>
  <c r="O508" i="2"/>
  <c r="S703" i="2"/>
  <c r="R508" i="2"/>
  <c r="F703" i="2"/>
  <c r="E508" i="2"/>
  <c r="M313" i="2"/>
  <c r="L118" i="2"/>
  <c r="G282" i="2"/>
  <c r="F87" i="2"/>
  <c r="E251" i="2"/>
  <c r="G939" i="2"/>
  <c r="M939" i="2"/>
  <c r="H938" i="2"/>
  <c r="M547" i="2"/>
  <c r="K547" i="2"/>
  <c r="D548" i="2"/>
  <c r="V505" i="2"/>
  <c r="E701" i="2"/>
  <c r="D506" i="2"/>
  <c r="O1090" i="2"/>
  <c r="N895" i="2"/>
  <c r="C701" i="2"/>
  <c r="W505" i="2"/>
  <c r="S700" i="2"/>
  <c r="R505" i="2"/>
  <c r="V700" i="2"/>
  <c r="U505" i="2"/>
  <c r="P1089" i="2"/>
  <c r="O894" i="2"/>
  <c r="D700" i="2"/>
  <c r="C505" i="2"/>
  <c r="T699" i="2"/>
  <c r="S504" i="2"/>
  <c r="W699" i="2"/>
  <c r="V504" i="2"/>
  <c r="J699" i="2"/>
  <c r="I504" i="2"/>
  <c r="Q309" i="2"/>
  <c r="P114" i="2"/>
  <c r="K278" i="2"/>
  <c r="J83" i="2"/>
  <c r="I247" i="2"/>
  <c r="W923" i="2"/>
  <c r="H924" i="2"/>
  <c r="C923" i="2"/>
  <c r="H532" i="2"/>
  <c r="F532" i="2"/>
  <c r="T532" i="2"/>
  <c r="E502" i="2"/>
  <c r="I697" i="2"/>
  <c r="H502" i="2"/>
  <c r="S1086" i="2"/>
  <c r="R891" i="2"/>
  <c r="G697" i="2"/>
  <c r="F502" i="2"/>
  <c r="W696" i="2"/>
  <c r="V501" i="2"/>
  <c r="E697" i="2"/>
  <c r="D502" i="2"/>
  <c r="T1085" i="2"/>
  <c r="S890" i="2"/>
  <c r="H696" i="2"/>
  <c r="G501" i="2"/>
  <c r="C696" i="2"/>
  <c r="W500" i="2"/>
  <c r="F696" i="2"/>
  <c r="E501" i="2"/>
  <c r="N695" i="2"/>
  <c r="M500" i="2"/>
  <c r="U305" i="2"/>
  <c r="T110" i="2"/>
  <c r="O274" i="2"/>
  <c r="L73" i="2"/>
  <c r="T104" i="2"/>
  <c r="F372" i="2"/>
  <c r="O566" i="2"/>
  <c r="N371" i="2"/>
  <c r="V176" i="2"/>
  <c r="Q340" i="2"/>
  <c r="P145" i="2"/>
  <c r="O309" i="2"/>
  <c r="N114" i="2"/>
  <c r="T378" i="2"/>
  <c r="H573" i="2"/>
  <c r="G378" i="2"/>
  <c r="O183" i="2"/>
  <c r="J347" i="2"/>
  <c r="I152" i="2"/>
  <c r="H316" i="2"/>
  <c r="G121" i="2"/>
  <c r="U377" i="2"/>
  <c r="I572" i="2"/>
  <c r="H377" i="2"/>
  <c r="P182" i="2"/>
  <c r="K346" i="2"/>
  <c r="J151" i="2"/>
  <c r="I315" i="2"/>
  <c r="H120" i="2"/>
  <c r="O284" i="2"/>
  <c r="N89" i="2"/>
  <c r="D167" i="2"/>
  <c r="M286" i="2"/>
  <c r="L91" i="2"/>
  <c r="W168" i="2"/>
  <c r="H340" i="2"/>
  <c r="J58" i="2"/>
  <c r="F715" i="2"/>
  <c r="W624" i="2"/>
  <c r="J1015" i="2"/>
  <c r="N625" i="2"/>
  <c r="R1403" i="2"/>
  <c r="J1013" i="2"/>
  <c r="S1402" i="2"/>
  <c r="K1012" i="2"/>
  <c r="W1010" i="2"/>
  <c r="F621" i="2"/>
  <c r="N1011" i="2"/>
  <c r="V765" i="2"/>
  <c r="E1156" i="2"/>
  <c r="P1249" i="2"/>
  <c r="K858" i="2"/>
  <c r="S779" i="2"/>
  <c r="P388" i="2"/>
  <c r="T778" i="2"/>
  <c r="Q387" i="2"/>
  <c r="O387" i="2"/>
  <c r="E356" i="2"/>
  <c r="P1037" i="2"/>
  <c r="N433" i="2"/>
  <c r="F823" i="2"/>
  <c r="J433" i="2"/>
  <c r="G822" i="2"/>
  <c r="I603" i="2"/>
  <c r="H408" i="2"/>
  <c r="D603" i="2"/>
  <c r="C408" i="2"/>
  <c r="G603" i="2"/>
  <c r="F408" i="2"/>
  <c r="O602" i="2"/>
  <c r="N407" i="2"/>
  <c r="V212" i="2"/>
  <c r="U17" i="2"/>
  <c r="P181" i="2"/>
  <c r="O345" i="2"/>
  <c r="H927" i="2"/>
  <c r="Q1316" i="2"/>
  <c r="I926" i="2"/>
  <c r="U924" i="2"/>
  <c r="D535" i="2"/>
  <c r="L925" i="2"/>
  <c r="O660" i="2"/>
  <c r="J405" i="2"/>
  <c r="N600" i="2"/>
  <c r="M405" i="2"/>
  <c r="C990" i="2"/>
  <c r="W794" i="2"/>
  <c r="L600" i="2"/>
  <c r="K405" i="2"/>
  <c r="G600" i="2"/>
  <c r="F405" i="2"/>
  <c r="J600" i="2"/>
  <c r="I405" i="2"/>
  <c r="D989" i="2"/>
  <c r="C794" i="2"/>
  <c r="M599" i="2"/>
  <c r="L404" i="2"/>
  <c r="H599" i="2"/>
  <c r="G404" i="2"/>
  <c r="K599" i="2"/>
  <c r="J404" i="2"/>
  <c r="S598" i="2"/>
  <c r="R403" i="2"/>
  <c r="E209" i="2"/>
  <c r="D14" i="2"/>
  <c r="T177" i="2"/>
  <c r="S341" i="2"/>
  <c r="C912" i="2"/>
  <c r="L1301" i="2"/>
  <c r="D911" i="2"/>
  <c r="P909" i="2"/>
  <c r="T519" i="2"/>
  <c r="G910" i="2"/>
  <c r="G652" i="2"/>
  <c r="N401" i="2"/>
  <c r="R596" i="2"/>
  <c r="Q401" i="2"/>
  <c r="G986" i="2"/>
  <c r="F791" i="2"/>
  <c r="P596" i="2"/>
  <c r="O401" i="2"/>
  <c r="K596" i="2"/>
  <c r="J401" i="2"/>
  <c r="N596" i="2"/>
  <c r="M401" i="2"/>
  <c r="H985" i="2"/>
  <c r="G790" i="2"/>
  <c r="Q595" i="2"/>
  <c r="P400" i="2"/>
  <c r="L595" i="2"/>
  <c r="K400" i="2"/>
  <c r="O595" i="2"/>
  <c r="N400" i="2"/>
  <c r="W594" i="2"/>
  <c r="V399" i="2"/>
  <c r="I205" i="2"/>
  <c r="H10" i="2"/>
  <c r="C174" i="2"/>
  <c r="I231" i="2"/>
  <c r="H4" i="2"/>
  <c r="D661" i="2"/>
  <c r="C466" i="2"/>
  <c r="K271" i="2"/>
  <c r="J76" i="2"/>
  <c r="E240" i="2"/>
  <c r="D45" i="2"/>
  <c r="C209" i="2"/>
  <c r="W13" i="2"/>
  <c r="R667" i="2"/>
  <c r="Q472" i="2"/>
  <c r="D278" i="2"/>
  <c r="C83" i="2"/>
  <c r="S246" i="2"/>
  <c r="R51" i="2"/>
  <c r="Q215" i="2"/>
  <c r="P20" i="2"/>
  <c r="S666" i="2"/>
  <c r="R471" i="2"/>
  <c r="E277" i="2"/>
  <c r="D82" i="2"/>
  <c r="T245" i="2"/>
  <c r="S50" i="2"/>
  <c r="R214" i="2"/>
  <c r="Q19" i="2"/>
  <c r="C184" i="2"/>
  <c r="N261" i="2"/>
  <c r="M66" i="2"/>
  <c r="V185" i="2"/>
  <c r="L263" i="2"/>
  <c r="K68" i="2"/>
  <c r="T152" i="2"/>
  <c r="C316" i="2"/>
  <c r="O614" i="2"/>
  <c r="F564" i="2"/>
  <c r="T564" i="2"/>
  <c r="J952" i="2"/>
  <c r="K953" i="2"/>
  <c r="F952" i="2"/>
  <c r="L952" i="2"/>
  <c r="G951" i="2"/>
  <c r="L560" i="2"/>
  <c r="J560" i="2"/>
  <c r="C561" i="2"/>
  <c r="H1485" i="2"/>
  <c r="U1094" i="2"/>
  <c r="N614" i="2"/>
  <c r="U717" i="2"/>
  <c r="S717" i="2"/>
  <c r="Q717" i="2"/>
  <c r="T716" i="2"/>
  <c r="R716" i="2"/>
  <c r="L326" i="2"/>
  <c r="P1185" i="2"/>
  <c r="K794" i="2"/>
  <c r="S763" i="2"/>
  <c r="P372" i="2"/>
  <c r="T762" i="2"/>
  <c r="O685" i="2"/>
  <c r="N490" i="2"/>
  <c r="J685" i="2"/>
  <c r="I490" i="2"/>
  <c r="M685" i="2"/>
  <c r="L490" i="2"/>
  <c r="U684" i="2"/>
  <c r="T489" i="2"/>
  <c r="G295" i="2"/>
  <c r="F100" i="2"/>
  <c r="V263" i="2"/>
  <c r="U68" i="2"/>
  <c r="T232" i="2"/>
  <c r="D866" i="2"/>
  <c r="J866" i="2"/>
  <c r="E865" i="2"/>
  <c r="J474" i="2"/>
  <c r="H474" i="2"/>
  <c r="V474" i="2"/>
  <c r="P487" i="2"/>
  <c r="T682" i="2"/>
  <c r="S487" i="2"/>
  <c r="I1072" i="2"/>
  <c r="H877" i="2"/>
  <c r="R682" i="2"/>
  <c r="Q487" i="2"/>
  <c r="M682" i="2"/>
  <c r="L487" i="2"/>
  <c r="P682" i="2"/>
  <c r="O487" i="2"/>
  <c r="J1071" i="2"/>
  <c r="I876" i="2"/>
  <c r="S681" i="2"/>
  <c r="R486" i="2"/>
  <c r="N681" i="2"/>
  <c r="M486" i="2"/>
  <c r="Q681" i="2"/>
  <c r="P486" i="2"/>
  <c r="D681" i="2"/>
  <c r="C486" i="2"/>
  <c r="K291" i="2"/>
  <c r="J96" i="2"/>
  <c r="E260" i="2"/>
  <c r="D65" i="2"/>
  <c r="C229" i="2"/>
  <c r="T850" i="2"/>
  <c r="E851" i="2"/>
  <c r="U849" i="2"/>
  <c r="E459" i="2"/>
  <c r="C459" i="2"/>
  <c r="Q459" i="2"/>
  <c r="T483" i="2"/>
  <c r="C679" i="2"/>
  <c r="W483" i="2"/>
  <c r="M1068" i="2"/>
  <c r="L873" i="2"/>
  <c r="V678" i="2"/>
  <c r="U483" i="2"/>
  <c r="Q678" i="2"/>
  <c r="P483" i="2"/>
  <c r="T678" i="2"/>
  <c r="S483" i="2"/>
  <c r="N1067" i="2"/>
  <c r="M872" i="2"/>
  <c r="W677" i="2"/>
  <c r="V482" i="2"/>
  <c r="R677" i="2"/>
  <c r="Q482" i="2"/>
  <c r="U677" i="2"/>
  <c r="T482" i="2"/>
  <c r="H677" i="2"/>
  <c r="G482" i="2"/>
  <c r="O287" i="2"/>
  <c r="N92" i="2"/>
  <c r="I256" i="2"/>
  <c r="U36" i="2"/>
  <c r="N86" i="2"/>
  <c r="J743" i="2"/>
  <c r="I548" i="2"/>
  <c r="Q353" i="2"/>
  <c r="P158" i="2"/>
  <c r="K322" i="2"/>
  <c r="J127" i="2"/>
  <c r="I291" i="2"/>
  <c r="H96" i="2"/>
  <c r="C750" i="2"/>
  <c r="W554" i="2"/>
  <c r="J360" i="2"/>
  <c r="I165" i="2"/>
  <c r="D329" i="2"/>
  <c r="C134" i="2"/>
  <c r="W297" i="2"/>
  <c r="V102" i="2"/>
  <c r="D749" i="2"/>
  <c r="C554" i="2"/>
  <c r="K359" i="2"/>
  <c r="J164" i="2"/>
  <c r="E328" i="2"/>
  <c r="D133" i="2"/>
  <c r="C297" i="2"/>
  <c r="W101" i="2"/>
  <c r="I266" i="2"/>
  <c r="H71" i="2"/>
  <c r="S148" i="2"/>
  <c r="G268" i="2"/>
  <c r="F73" i="2"/>
  <c r="Q150" i="2"/>
  <c r="Q303" i="2"/>
  <c r="D40" i="2"/>
  <c r="U696" i="2"/>
  <c r="D503" i="2"/>
  <c r="L893" i="2"/>
  <c r="P891" i="2"/>
  <c r="T1281" i="2"/>
  <c r="L891" i="2"/>
  <c r="U1280" i="2"/>
  <c r="M890" i="2"/>
  <c r="D889" i="2"/>
  <c r="H499" i="2"/>
  <c r="P889" i="2"/>
  <c r="U1033" i="2"/>
  <c r="T648" i="2"/>
  <c r="S453" i="2"/>
  <c r="O648" i="2"/>
  <c r="N453" i="2"/>
  <c r="R648" i="2"/>
  <c r="Q453" i="2"/>
  <c r="W1038" i="2"/>
  <c r="V843" i="2"/>
  <c r="K649" i="2"/>
  <c r="J454" i="2"/>
  <c r="J793" i="2"/>
  <c r="F988" i="2"/>
  <c r="E793" i="2"/>
  <c r="O1378" i="2"/>
  <c r="N1183" i="2"/>
  <c r="G989" i="2"/>
  <c r="F794" i="2"/>
  <c r="V969" i="2"/>
  <c r="J1359" i="2"/>
  <c r="W968" i="2"/>
  <c r="N967" i="2"/>
  <c r="R577" i="2"/>
  <c r="E968" i="2"/>
  <c r="V681" i="2"/>
  <c r="C416" i="2"/>
  <c r="G611" i="2"/>
  <c r="F416" i="2"/>
  <c r="Q1000" i="2"/>
  <c r="P805" i="2"/>
  <c r="E611" i="2"/>
  <c r="D416" i="2"/>
  <c r="U610" i="2"/>
  <c r="T415" i="2"/>
  <c r="C611" i="2"/>
  <c r="W415" i="2"/>
  <c r="R999" i="2"/>
  <c r="Q804" i="2"/>
  <c r="F610" i="2"/>
  <c r="E415" i="2"/>
  <c r="V609" i="2"/>
  <c r="U414" i="2"/>
  <c r="D610" i="2"/>
  <c r="C415" i="2"/>
  <c r="L609" i="2"/>
  <c r="K414" i="2"/>
  <c r="S219" i="2"/>
  <c r="R24" i="2"/>
  <c r="M188" i="2"/>
  <c r="O1151" i="2"/>
  <c r="Q759" i="2"/>
  <c r="T758" i="2"/>
  <c r="Q367" i="2"/>
  <c r="K759" i="2"/>
  <c r="G381" i="2"/>
  <c r="W460" i="2"/>
  <c r="F656" i="2"/>
  <c r="E461" i="2"/>
  <c r="K1094" i="2"/>
  <c r="J899" i="2"/>
  <c r="T704" i="2"/>
  <c r="S509" i="2"/>
  <c r="O704" i="2"/>
  <c r="N509" i="2"/>
  <c r="R704" i="2"/>
  <c r="Q509" i="2"/>
  <c r="L1093" i="2"/>
  <c r="K898" i="2"/>
  <c r="F1304" i="2"/>
  <c r="L1288" i="2"/>
  <c r="W1287" i="2"/>
  <c r="H904" i="2"/>
  <c r="C903" i="2"/>
  <c r="I903" i="2"/>
  <c r="W895" i="2"/>
  <c r="C897" i="2"/>
  <c r="S895" i="2"/>
  <c r="D896" i="2"/>
  <c r="T894" i="2"/>
  <c r="D504" i="2"/>
  <c r="W503" i="2"/>
  <c r="P504" i="2"/>
  <c r="L974" i="2"/>
  <c r="U1364" i="2"/>
  <c r="M975" i="2"/>
  <c r="M974" i="2"/>
  <c r="H974" i="2"/>
  <c r="N1467" i="2"/>
  <c r="M1272" i="2"/>
  <c r="F1078" i="2"/>
  <c r="E883" i="2"/>
  <c r="F1077" i="2"/>
  <c r="E882" i="2"/>
  <c r="V1076" i="2"/>
  <c r="U881" i="2"/>
  <c r="R1075" i="2"/>
  <c r="Q880" i="2"/>
  <c r="F686" i="2"/>
  <c r="E491" i="2"/>
  <c r="J393" i="2"/>
  <c r="R783" i="2"/>
  <c r="V781" i="2"/>
  <c r="E1172" i="2"/>
  <c r="R781" i="2"/>
  <c r="F1171" i="2"/>
  <c r="S780" i="2"/>
  <c r="J779" i="2"/>
  <c r="N389" i="2"/>
  <c r="V779" i="2"/>
  <c r="F924" i="2"/>
  <c r="G925" i="2"/>
  <c r="T1102" i="2"/>
  <c r="V553" i="2"/>
  <c r="Q936" i="2"/>
  <c r="U546" i="2"/>
  <c r="R935" i="2"/>
  <c r="V545" i="2"/>
  <c r="L545" i="2"/>
  <c r="R893" i="2"/>
  <c r="N501" i="2"/>
  <c r="F592" i="2"/>
  <c r="D592" i="2"/>
  <c r="W591" i="2"/>
  <c r="L740" i="2"/>
  <c r="K545" i="2"/>
  <c r="G740" i="2"/>
  <c r="F545" i="2"/>
  <c r="J740" i="2"/>
  <c r="I545" i="2"/>
  <c r="R739" i="2"/>
  <c r="Q544" i="2"/>
  <c r="D350" i="2"/>
  <c r="C155" i="2"/>
  <c r="S318" i="2"/>
  <c r="R123" i="2"/>
  <c r="Q287" i="2"/>
  <c r="M1085" i="2"/>
  <c r="S1085" i="2"/>
  <c r="N1084" i="2"/>
  <c r="S693" i="2"/>
  <c r="Q693" i="2"/>
  <c r="J694" i="2"/>
  <c r="S544" i="2"/>
  <c r="Q737" i="2"/>
  <c r="P542" i="2"/>
  <c r="F1127" i="2"/>
  <c r="E932" i="2"/>
  <c r="O737" i="2"/>
  <c r="N542" i="2"/>
  <c r="J737" i="2"/>
  <c r="I542" i="2"/>
  <c r="M737" i="2"/>
  <c r="L542" i="2"/>
  <c r="G1126" i="2"/>
  <c r="F931" i="2"/>
  <c r="P736" i="2"/>
  <c r="O541" i="2"/>
  <c r="K736" i="2"/>
  <c r="J541" i="2"/>
  <c r="N736" i="2"/>
  <c r="M541" i="2"/>
  <c r="V735" i="2"/>
  <c r="U540" i="2"/>
  <c r="H346" i="2"/>
  <c r="G151" i="2"/>
  <c r="W314" i="2"/>
  <c r="V119" i="2"/>
  <c r="U283" i="2"/>
  <c r="H1070" i="2"/>
  <c r="N1070" i="2"/>
  <c r="I1069" i="2"/>
  <c r="N678" i="2"/>
  <c r="L678" i="2"/>
  <c r="E679" i="2"/>
  <c r="Q538" i="2"/>
  <c r="U733" i="2"/>
  <c r="T538" i="2"/>
  <c r="J1123" i="2"/>
  <c r="I928" i="2"/>
  <c r="S733" i="2"/>
  <c r="R538" i="2"/>
  <c r="N733" i="2"/>
  <c r="M538" i="2"/>
  <c r="Q733" i="2"/>
  <c r="P538" i="2"/>
  <c r="K1122" i="2"/>
  <c r="J927" i="2"/>
  <c r="T732" i="2"/>
  <c r="S537" i="2"/>
  <c r="O732" i="2"/>
  <c r="N537" i="2"/>
  <c r="R732" i="2"/>
  <c r="Q537" i="2"/>
  <c r="E732" i="2"/>
  <c r="D537" i="2"/>
  <c r="L342" i="2"/>
  <c r="K147" i="2"/>
  <c r="F311" i="2"/>
  <c r="E116" i="2"/>
  <c r="K141" i="2"/>
  <c r="O304" i="2"/>
  <c r="F603" i="2"/>
  <c r="E408" i="2"/>
  <c r="M213" i="2"/>
  <c r="L18" i="2"/>
  <c r="G182" i="2"/>
  <c r="F346" i="2"/>
  <c r="E151" i="2"/>
  <c r="I314" i="2"/>
  <c r="T609" i="2"/>
  <c r="S414" i="2"/>
  <c r="F220" i="2"/>
  <c r="E25" i="2"/>
  <c r="U188" i="2"/>
  <c r="T352" i="2"/>
  <c r="S157" i="2"/>
  <c r="W320" i="2"/>
  <c r="U608" i="2"/>
  <c r="T413" i="2"/>
  <c r="G219" i="2"/>
  <c r="F24" i="2"/>
  <c r="V187" i="2"/>
  <c r="U351" i="2"/>
  <c r="T156" i="2"/>
  <c r="C320" i="2"/>
  <c r="E126" i="2"/>
  <c r="P203" i="2"/>
  <c r="O8" i="2"/>
  <c r="C128" i="2"/>
  <c r="N205" i="2"/>
  <c r="K54" i="2"/>
  <c r="V94" i="2"/>
  <c r="H362" i="2"/>
  <c r="K381" i="2"/>
  <c r="E773" i="2"/>
  <c r="W381" i="2"/>
  <c r="L1162" i="2"/>
  <c r="N770" i="2"/>
  <c r="M1161" i="2"/>
  <c r="O769" i="2"/>
  <c r="R768" i="2"/>
  <c r="O377" i="2"/>
  <c r="I769" i="2"/>
  <c r="G912" i="2"/>
  <c r="K1302" i="2"/>
  <c r="C1055" i="2"/>
  <c r="G663" i="2"/>
  <c r="C535" i="2"/>
  <c r="V534" i="2"/>
  <c r="T534" i="2"/>
  <c r="W533" i="2"/>
  <c r="U533" i="2"/>
  <c r="O143" i="2"/>
  <c r="C844" i="2"/>
  <c r="Q618" i="2"/>
  <c r="L969" i="2"/>
  <c r="P579" i="2"/>
  <c r="M968" i="2"/>
  <c r="U639" i="2"/>
  <c r="T444" i="2"/>
  <c r="P639" i="2"/>
  <c r="O444" i="2"/>
  <c r="S639" i="2"/>
  <c r="R444" i="2"/>
  <c r="F639" i="2"/>
  <c r="E444" i="2"/>
  <c r="M249" i="2"/>
  <c r="L54" i="2"/>
  <c r="G218" i="2"/>
  <c r="F23" i="2"/>
  <c r="E187" i="2"/>
  <c r="W1462" i="2"/>
  <c r="O1072" i="2"/>
  <c r="F1071" i="2"/>
  <c r="J681" i="2"/>
  <c r="R1071" i="2"/>
  <c r="R733" i="2"/>
  <c r="V441" i="2"/>
  <c r="E637" i="2"/>
  <c r="D442" i="2"/>
  <c r="O1026" i="2"/>
  <c r="N831" i="2"/>
  <c r="C637" i="2"/>
  <c r="W441" i="2"/>
  <c r="S636" i="2"/>
  <c r="R441" i="2"/>
  <c r="V636" i="2"/>
  <c r="U441" i="2"/>
  <c r="P1025" i="2"/>
  <c r="O830" i="2"/>
  <c r="D636" i="2"/>
  <c r="C441" i="2"/>
  <c r="T635" i="2"/>
  <c r="S440" i="2"/>
  <c r="W635" i="2"/>
  <c r="V440" i="2"/>
  <c r="J635" i="2"/>
  <c r="I440" i="2"/>
  <c r="Q245" i="2"/>
  <c r="P50" i="2"/>
  <c r="K214" i="2"/>
  <c r="J19" i="2"/>
  <c r="I183" i="2"/>
  <c r="R1447" i="2"/>
  <c r="J1057" i="2"/>
  <c r="V1055" i="2"/>
  <c r="E666" i="2"/>
  <c r="M1056" i="2"/>
  <c r="J725" i="2"/>
  <c r="E438" i="2"/>
  <c r="I633" i="2"/>
  <c r="H438" i="2"/>
  <c r="S1022" i="2"/>
  <c r="R827" i="2"/>
  <c r="G633" i="2"/>
  <c r="F438" i="2"/>
  <c r="W632" i="2"/>
  <c r="V437" i="2"/>
  <c r="E633" i="2"/>
  <c r="D438" i="2"/>
  <c r="T1021" i="2"/>
  <c r="S826" i="2"/>
  <c r="H632" i="2"/>
  <c r="G437" i="2"/>
  <c r="C632" i="2"/>
  <c r="W436" i="2"/>
  <c r="F632" i="2"/>
  <c r="E437" i="2"/>
  <c r="N631" i="2"/>
  <c r="M436" i="2"/>
  <c r="U241" i="2"/>
  <c r="T46" i="2"/>
  <c r="O210" i="2"/>
  <c r="L304" i="2"/>
  <c r="T40" i="2"/>
  <c r="P697" i="2"/>
  <c r="O502" i="2"/>
  <c r="W307" i="2"/>
  <c r="V112" i="2"/>
  <c r="Q276" i="2"/>
  <c r="P81" i="2"/>
  <c r="O245" i="2"/>
  <c r="N50" i="2"/>
  <c r="I704" i="2"/>
  <c r="H509" i="2"/>
  <c r="P314" i="2"/>
  <c r="O119" i="2"/>
  <c r="J283" i="2"/>
  <c r="I88" i="2"/>
  <c r="H252" i="2"/>
  <c r="G57" i="2"/>
  <c r="J703" i="2"/>
  <c r="I508" i="2"/>
  <c r="Q313" i="2"/>
  <c r="P118" i="2"/>
  <c r="K282" i="2"/>
  <c r="J87" i="2"/>
  <c r="I251" i="2"/>
  <c r="H56" i="2"/>
  <c r="O220" i="2"/>
  <c r="C8" i="2"/>
  <c r="D103" i="2"/>
  <c r="M222" i="2"/>
  <c r="G12" i="2"/>
  <c r="W104" i="2"/>
  <c r="H212" i="2"/>
  <c r="O352" i="2"/>
  <c r="F651" i="2"/>
  <c r="L710" i="2"/>
  <c r="E711" i="2"/>
  <c r="P1098" i="2"/>
  <c r="Q1099" i="2"/>
  <c r="L1098" i="2"/>
  <c r="R1098" i="2"/>
  <c r="M1097" i="2"/>
  <c r="R706" i="2"/>
  <c r="P706" i="2"/>
  <c r="I707" i="2"/>
  <c r="C851" i="2"/>
  <c r="D852" i="2"/>
  <c r="H810" i="2"/>
  <c r="V473" i="2"/>
  <c r="N863" i="2"/>
  <c r="R473" i="2"/>
  <c r="O862" i="2"/>
  <c r="S472" i="2"/>
  <c r="I472" i="2"/>
  <c r="C991" i="2"/>
  <c r="G599" i="2"/>
  <c r="C519" i="2"/>
  <c r="V518" i="2"/>
  <c r="T518" i="2"/>
  <c r="F722" i="2"/>
  <c r="E527" i="2"/>
  <c r="V721" i="2"/>
  <c r="U526" i="2"/>
  <c r="D722" i="2"/>
  <c r="C527" i="2"/>
  <c r="L721" i="2"/>
  <c r="K526" i="2"/>
  <c r="S331" i="2"/>
  <c r="R136" i="2"/>
  <c r="M300" i="2"/>
  <c r="L105" i="2"/>
  <c r="K269" i="2"/>
  <c r="J1012" i="2"/>
  <c r="P1012" i="2"/>
  <c r="K1011" i="2"/>
  <c r="P620" i="2"/>
  <c r="N620" i="2"/>
  <c r="G621" i="2"/>
  <c r="G524" i="2"/>
  <c r="K719" i="2"/>
  <c r="J524" i="2"/>
  <c r="U1108" i="2"/>
  <c r="T913" i="2"/>
  <c r="I719" i="2"/>
  <c r="H524" i="2"/>
  <c r="D719" i="2"/>
  <c r="C524" i="2"/>
  <c r="G719" i="2"/>
  <c r="F524" i="2"/>
  <c r="V1107" i="2"/>
  <c r="U912" i="2"/>
  <c r="J718" i="2"/>
  <c r="I523" i="2"/>
  <c r="E718" i="2"/>
  <c r="D523" i="2"/>
  <c r="H718" i="2"/>
  <c r="G523" i="2"/>
  <c r="P717" i="2"/>
  <c r="O522" i="2"/>
  <c r="W327" i="2"/>
  <c r="V132" i="2"/>
  <c r="Q296" i="2"/>
  <c r="P101" i="2"/>
  <c r="O265" i="2"/>
  <c r="E997" i="2"/>
  <c r="K997" i="2"/>
  <c r="F996" i="2"/>
  <c r="K605" i="2"/>
  <c r="I605" i="2"/>
  <c r="W605" i="2"/>
  <c r="K520" i="2"/>
  <c r="O715" i="2"/>
  <c r="N520" i="2"/>
  <c r="D1105" i="2"/>
  <c r="C910" i="2"/>
  <c r="M715" i="2"/>
  <c r="L520" i="2"/>
  <c r="H715" i="2"/>
  <c r="G520" i="2"/>
  <c r="K715" i="2"/>
  <c r="J520" i="2"/>
  <c r="E1104" i="2"/>
  <c r="D909" i="2"/>
  <c r="N714" i="2"/>
  <c r="M519" i="2"/>
  <c r="I714" i="2"/>
  <c r="H519" i="2"/>
  <c r="L714" i="2"/>
  <c r="K519" i="2"/>
  <c r="T713" i="2"/>
  <c r="S518" i="2"/>
  <c r="F324" i="2"/>
  <c r="E129" i="2"/>
  <c r="U292" i="2"/>
  <c r="I112" i="2"/>
  <c r="E123" i="2"/>
  <c r="L390" i="2"/>
  <c r="U584" i="2"/>
  <c r="T389" i="2"/>
  <c r="G195" i="2"/>
  <c r="W358" i="2"/>
  <c r="V163" i="2"/>
  <c r="U327" i="2"/>
  <c r="T132" i="2"/>
  <c r="C296" i="2"/>
  <c r="N591" i="2"/>
  <c r="M396" i="2"/>
  <c r="U201" i="2"/>
  <c r="T6" i="2"/>
  <c r="O170" i="2"/>
  <c r="N334" i="2"/>
  <c r="M139" i="2"/>
  <c r="Q302" i="2"/>
  <c r="O590" i="2"/>
  <c r="N395" i="2"/>
  <c r="V200" i="2"/>
  <c r="U5" i="2"/>
  <c r="P169" i="2"/>
  <c r="O333" i="2"/>
  <c r="N138" i="2"/>
  <c r="R301" i="2"/>
  <c r="T107" i="2"/>
  <c r="J185" i="2"/>
  <c r="D19" i="2"/>
  <c r="R109" i="2"/>
  <c r="H187" i="2"/>
  <c r="T17" i="2"/>
  <c r="P76" i="2"/>
  <c r="L733" i="2"/>
  <c r="J649" i="2"/>
  <c r="R1039" i="2"/>
  <c r="V649" i="2"/>
  <c r="E1428" i="2"/>
  <c r="R1037" i="2"/>
  <c r="F1427" i="2"/>
  <c r="S1036" i="2"/>
  <c r="J1035" i="2"/>
  <c r="N645" i="2"/>
  <c r="V1035" i="2"/>
  <c r="I790" i="2"/>
  <c r="K685" i="2"/>
  <c r="J490" i="2"/>
  <c r="F685" i="2"/>
  <c r="E490" i="2"/>
  <c r="I685" i="2"/>
  <c r="H490" i="2"/>
  <c r="N1075" i="2"/>
  <c r="M880" i="2"/>
  <c r="W685" i="2"/>
  <c r="V490" i="2"/>
  <c r="V829" i="2"/>
  <c r="R1024" i="2"/>
  <c r="Q829" i="2"/>
  <c r="F1415" i="2"/>
  <c r="E1220" i="2"/>
  <c r="S1025" i="2"/>
  <c r="R830" i="2"/>
  <c r="S1024" i="2"/>
  <c r="P1505" i="2"/>
  <c r="H1115" i="2"/>
  <c r="T1113" i="2"/>
  <c r="C724" i="2"/>
  <c r="K1114" i="2"/>
  <c r="G365" i="2"/>
  <c r="O452" i="2"/>
  <c r="S647" i="2"/>
  <c r="R452" i="2"/>
  <c r="H1037" i="2"/>
  <c r="G842" i="2"/>
  <c r="Q647" i="2"/>
  <c r="P452" i="2"/>
  <c r="L647" i="2"/>
  <c r="K452" i="2"/>
  <c r="O647" i="2"/>
  <c r="N452" i="2"/>
  <c r="I1036" i="2"/>
  <c r="H841" i="2"/>
  <c r="R646" i="2"/>
  <c r="Q451" i="2"/>
  <c r="M646" i="2"/>
  <c r="L451" i="2"/>
  <c r="P646" i="2"/>
  <c r="O451" i="2"/>
  <c r="C646" i="2"/>
  <c r="W450" i="2"/>
  <c r="J256" i="2"/>
  <c r="I61" i="2"/>
  <c r="D225" i="2"/>
  <c r="Q905" i="2"/>
  <c r="W905" i="2"/>
  <c r="R904" i="2"/>
  <c r="W513" i="2"/>
  <c r="U513" i="2"/>
  <c r="N514" i="2"/>
  <c r="N497" i="2"/>
  <c r="R692" i="2"/>
  <c r="Q497" i="2"/>
  <c r="G1082" i="2"/>
  <c r="F887" i="2"/>
  <c r="P692" i="2"/>
  <c r="O497" i="2"/>
  <c r="K692" i="2"/>
  <c r="J497" i="2"/>
  <c r="N692" i="2"/>
  <c r="M497" i="2"/>
  <c r="H1081" i="2"/>
  <c r="G886" i="2"/>
  <c r="K1255" i="2"/>
  <c r="Q1239" i="2"/>
  <c r="G1239" i="2"/>
  <c r="M855" i="2"/>
  <c r="H854" i="2"/>
  <c r="N854" i="2"/>
  <c r="G847" i="2"/>
  <c r="H848" i="2"/>
  <c r="C847" i="2"/>
  <c r="I847" i="2"/>
  <c r="D846" i="2"/>
  <c r="I455" i="2"/>
  <c r="G455" i="2"/>
  <c r="U455" i="2"/>
  <c r="D950" i="2"/>
  <c r="M1340" i="2"/>
  <c r="E951" i="2"/>
  <c r="E950" i="2"/>
  <c r="U949" i="2"/>
  <c r="J1455" i="2"/>
  <c r="I1260" i="2"/>
  <c r="W1065" i="2"/>
  <c r="V870" i="2"/>
  <c r="W1064" i="2"/>
  <c r="V869" i="2"/>
  <c r="R1064" i="2"/>
  <c r="Q869" i="2"/>
  <c r="N1063" i="2"/>
  <c r="M868" i="2"/>
  <c r="W673" i="2"/>
  <c r="V478" i="2"/>
  <c r="T734" i="2"/>
  <c r="M735" i="2"/>
  <c r="C1123" i="2"/>
  <c r="D1124" i="2"/>
  <c r="T1122" i="2"/>
  <c r="E1123" i="2"/>
  <c r="U1121" i="2"/>
  <c r="E731" i="2"/>
  <c r="C731" i="2"/>
  <c r="Q731" i="2"/>
  <c r="K875" i="2"/>
  <c r="L876" i="2"/>
  <c r="S907" i="2"/>
  <c r="I498" i="2"/>
  <c r="V887" i="2"/>
  <c r="E498" i="2"/>
  <c r="W886" i="2"/>
  <c r="F497" i="2"/>
  <c r="Q496" i="2"/>
  <c r="N1088" i="2"/>
  <c r="R696" i="2"/>
  <c r="K543" i="2"/>
  <c r="I543" i="2"/>
  <c r="G543" i="2"/>
  <c r="H728" i="2"/>
  <c r="G533" i="2"/>
  <c r="C728" i="2"/>
  <c r="W532" i="2"/>
  <c r="F728" i="2"/>
  <c r="E533" i="2"/>
  <c r="N727" i="2"/>
  <c r="M532" i="2"/>
  <c r="U337" i="2"/>
  <c r="T142" i="2"/>
  <c r="O306" i="2"/>
  <c r="N111" i="2"/>
  <c r="M275" i="2"/>
  <c r="R1036" i="2"/>
  <c r="C1037" i="2"/>
  <c r="S1035" i="2"/>
  <c r="C645" i="2"/>
  <c r="V644" i="2"/>
  <c r="O645" i="2"/>
  <c r="I530" i="2"/>
  <c r="M725" i="2"/>
  <c r="L530" i="2"/>
  <c r="W1114" i="2"/>
  <c r="V919" i="2"/>
  <c r="K725" i="2"/>
  <c r="J530" i="2"/>
  <c r="F725" i="2"/>
  <c r="E530" i="2"/>
  <c r="I725" i="2"/>
  <c r="H530" i="2"/>
  <c r="C1114" i="2"/>
  <c r="W918" i="2"/>
  <c r="L724" i="2"/>
  <c r="K529" i="2"/>
  <c r="G724" i="2"/>
  <c r="F529" i="2"/>
  <c r="J724" i="2"/>
  <c r="I529" i="2"/>
  <c r="R723" i="2"/>
  <c r="Q528" i="2"/>
  <c r="D334" i="2"/>
  <c r="C139" i="2"/>
  <c r="S302" i="2"/>
  <c r="R107" i="2"/>
  <c r="Q271" i="2"/>
  <c r="M1021" i="2"/>
  <c r="S1021" i="2"/>
  <c r="N1020" i="2"/>
  <c r="S629" i="2"/>
  <c r="Q629" i="2"/>
  <c r="J630" i="2"/>
  <c r="M526" i="2"/>
  <c r="Q721" i="2"/>
  <c r="P526" i="2"/>
  <c r="F1111" i="2"/>
  <c r="E916" i="2"/>
  <c r="O721" i="2"/>
  <c r="N526" i="2"/>
  <c r="J721" i="2"/>
  <c r="I526" i="2"/>
  <c r="M721" i="2"/>
  <c r="L526" i="2"/>
  <c r="G1110" i="2"/>
  <c r="F915" i="2"/>
  <c r="P720" i="2"/>
  <c r="O525" i="2"/>
  <c r="K720" i="2"/>
  <c r="J525" i="2"/>
  <c r="N720" i="2"/>
  <c r="M525" i="2"/>
  <c r="V719" i="2"/>
  <c r="U524" i="2"/>
  <c r="H330" i="2"/>
  <c r="G135" i="2"/>
  <c r="W298" i="2"/>
  <c r="Q136" i="2"/>
  <c r="G129" i="2"/>
  <c r="K292" i="2"/>
  <c r="W590" i="2"/>
  <c r="V395" i="2"/>
  <c r="I201" i="2"/>
  <c r="H6" i="2"/>
  <c r="C170" i="2"/>
  <c r="W333" i="2"/>
  <c r="V138" i="2"/>
  <c r="E302" i="2"/>
  <c r="P597" i="2"/>
  <c r="O402" i="2"/>
  <c r="W207" i="2"/>
  <c r="V12" i="2"/>
  <c r="Q176" i="2"/>
  <c r="P340" i="2"/>
  <c r="O145" i="2"/>
  <c r="S308" i="2"/>
  <c r="Q596" i="2"/>
  <c r="P401" i="2"/>
  <c r="C207" i="2"/>
  <c r="W11" i="2"/>
  <c r="R175" i="2"/>
  <c r="Q339" i="2"/>
  <c r="P144" i="2"/>
  <c r="T307" i="2"/>
  <c r="V113" i="2"/>
  <c r="L191" i="2"/>
  <c r="M30" i="2"/>
  <c r="T115" i="2"/>
  <c r="J193" i="2"/>
  <c r="C30" i="2"/>
  <c r="R82" i="2"/>
  <c r="N739" i="2"/>
  <c r="M722" i="2"/>
  <c r="U1112" i="2"/>
  <c r="D723" i="2"/>
  <c r="H1501" i="2"/>
  <c r="U1110" i="2"/>
  <c r="I1500" i="2"/>
  <c r="V1109" i="2"/>
  <c r="M1108" i="2"/>
  <c r="Q718" i="2"/>
  <c r="D1109" i="2"/>
  <c r="L863" i="2"/>
  <c r="P1253" i="2"/>
  <c r="W859" i="2"/>
  <c r="F468" i="2"/>
  <c r="H486" i="2"/>
  <c r="F486" i="2"/>
  <c r="D486" i="2"/>
  <c r="G485" i="2"/>
  <c r="E485" i="2"/>
  <c r="T94" i="2"/>
  <c r="T1038" i="2"/>
  <c r="D531" i="2"/>
  <c r="Q920" i="2"/>
  <c r="U530" i="2"/>
  <c r="R919" i="2"/>
  <c r="Q627" i="2"/>
  <c r="P432" i="2"/>
  <c r="L627" i="2"/>
  <c r="K432" i="2"/>
  <c r="O627" i="2"/>
  <c r="N432" i="2"/>
  <c r="W626" i="2"/>
  <c r="V431" i="2"/>
  <c r="I237" i="2"/>
  <c r="H42" i="2"/>
  <c r="C206" i="2"/>
  <c r="W10" i="2"/>
  <c r="V174" i="2"/>
  <c r="G1414" i="2"/>
  <c r="T1023" i="2"/>
  <c r="K1022" i="2"/>
  <c r="O632" i="2"/>
  <c r="W1022" i="2"/>
  <c r="J709" i="2"/>
  <c r="R429" i="2"/>
  <c r="V624" i="2"/>
  <c r="U429" i="2"/>
  <c r="K1014" i="2"/>
  <c r="J819" i="2"/>
  <c r="T624" i="2"/>
  <c r="S429" i="2"/>
  <c r="O624" i="2"/>
  <c r="N429" i="2"/>
  <c r="R624" i="2"/>
  <c r="Q429" i="2"/>
  <c r="L1013" i="2"/>
  <c r="K818" i="2"/>
  <c r="U623" i="2"/>
  <c r="T428" i="2"/>
  <c r="P623" i="2"/>
  <c r="O428" i="2"/>
  <c r="S623" i="2"/>
  <c r="R428" i="2"/>
  <c r="F623" i="2"/>
  <c r="E428" i="2"/>
  <c r="M233" i="2"/>
  <c r="L38" i="2"/>
  <c r="G202" i="2"/>
  <c r="F7" i="2"/>
  <c r="E171" i="2"/>
  <c r="W1398" i="2"/>
  <c r="O1008" i="2"/>
  <c r="F1007" i="2"/>
  <c r="J617" i="2"/>
  <c r="R1007" i="2"/>
  <c r="W700" i="2"/>
  <c r="V425" i="2"/>
  <c r="E621" i="2"/>
  <c r="D426" i="2"/>
  <c r="O1010" i="2"/>
  <c r="N815" i="2"/>
  <c r="C621" i="2"/>
  <c r="W425" i="2"/>
  <c r="S620" i="2"/>
  <c r="R425" i="2"/>
  <c r="V620" i="2"/>
  <c r="U425" i="2"/>
  <c r="P1009" i="2"/>
  <c r="O814" i="2"/>
  <c r="D620" i="2"/>
  <c r="C425" i="2"/>
  <c r="T619" i="2"/>
  <c r="S424" i="2"/>
  <c r="W619" i="2"/>
  <c r="V424" i="2"/>
  <c r="J619" i="2"/>
  <c r="I424" i="2"/>
  <c r="Q229" i="2"/>
  <c r="P34" i="2"/>
  <c r="K198" i="2"/>
  <c r="D280" i="2"/>
  <c r="P28" i="2"/>
  <c r="L685" i="2"/>
  <c r="K490" i="2"/>
  <c r="S295" i="2"/>
  <c r="R100" i="2"/>
  <c r="M264" i="2"/>
  <c r="L69" i="2"/>
  <c r="K233" i="2"/>
  <c r="J38" i="2"/>
  <c r="E692" i="2"/>
  <c r="D497" i="2"/>
  <c r="L302" i="2"/>
  <c r="K107" i="2"/>
  <c r="F271" i="2"/>
  <c r="E76" i="2"/>
  <c r="D240" i="2"/>
  <c r="C45" i="2"/>
  <c r="F691" i="2"/>
  <c r="E496" i="2"/>
  <c r="M301" i="2"/>
  <c r="L106" i="2"/>
  <c r="G270" i="2"/>
  <c r="F75" i="2"/>
  <c r="E239" i="2"/>
  <c r="D44" i="2"/>
  <c r="K208" i="2"/>
  <c r="V285" i="2"/>
  <c r="U90" i="2"/>
  <c r="I210" i="2"/>
  <c r="T287" i="2"/>
  <c r="S92" i="2"/>
  <c r="U187" i="2"/>
  <c r="K340" i="2"/>
  <c r="W638" i="2"/>
  <c r="Q661" i="2"/>
  <c r="J662" i="2"/>
  <c r="U1049" i="2"/>
  <c r="V1050" i="2"/>
  <c r="Q1049" i="2"/>
  <c r="W1049" i="2"/>
  <c r="R1048" i="2"/>
  <c r="W657" i="2"/>
  <c r="U657" i="2"/>
  <c r="N658" i="2"/>
  <c r="H802" i="2"/>
  <c r="I803" i="2"/>
  <c r="E1004" i="2"/>
  <c r="F425" i="2"/>
  <c r="S814" i="2"/>
  <c r="W424" i="2"/>
  <c r="T813" i="2"/>
  <c r="C424" i="2"/>
  <c r="N423" i="2"/>
  <c r="W795" i="2"/>
  <c r="F404" i="2"/>
  <c r="H470" i="2"/>
  <c r="F470" i="2"/>
  <c r="D470" i="2"/>
  <c r="W709" i="2"/>
  <c r="V514" i="2"/>
  <c r="R709" i="2"/>
  <c r="Q514" i="2"/>
  <c r="U709" i="2"/>
  <c r="T514" i="2"/>
  <c r="H709" i="2"/>
  <c r="G514" i="2"/>
  <c r="O319" i="2"/>
  <c r="N124" i="2"/>
  <c r="I288" i="2"/>
  <c r="H93" i="2"/>
  <c r="G257" i="2"/>
  <c r="O963" i="2"/>
  <c r="U963" i="2"/>
  <c r="P962" i="2"/>
  <c r="U571" i="2"/>
  <c r="S571" i="2"/>
  <c r="L572" i="2"/>
  <c r="C512" i="2"/>
  <c r="G707" i="2"/>
  <c r="F512" i="2"/>
  <c r="Q1096" i="2"/>
  <c r="P901" i="2"/>
  <c r="E707" i="2"/>
  <c r="D512" i="2"/>
  <c r="U706" i="2"/>
  <c r="T511" i="2"/>
  <c r="C707" i="2"/>
  <c r="W511" i="2"/>
  <c r="R1095" i="2"/>
  <c r="Q900" i="2"/>
  <c r="F706" i="2"/>
  <c r="E511" i="2"/>
  <c r="V705" i="2"/>
  <c r="U510" i="2"/>
  <c r="D706" i="2"/>
  <c r="C511" i="2"/>
  <c r="L705" i="2"/>
  <c r="K510" i="2"/>
  <c r="S315" i="2"/>
  <c r="R120" i="2"/>
  <c r="M284" i="2"/>
  <c r="L89" i="2"/>
  <c r="K253" i="2"/>
  <c r="J948" i="2"/>
  <c r="P948" i="2"/>
  <c r="K947" i="2"/>
  <c r="P556" i="2"/>
  <c r="N556" i="2"/>
  <c r="G557" i="2"/>
  <c r="G508" i="2"/>
  <c r="K703" i="2"/>
  <c r="J508" i="2"/>
  <c r="U1092" i="2"/>
  <c r="T897" i="2"/>
  <c r="I703" i="2"/>
  <c r="H508" i="2"/>
  <c r="D703" i="2"/>
  <c r="C508" i="2"/>
  <c r="G703" i="2"/>
  <c r="F508" i="2"/>
  <c r="V1091" i="2"/>
  <c r="U896" i="2"/>
  <c r="J702" i="2"/>
  <c r="I507" i="2"/>
  <c r="E702" i="2"/>
  <c r="D507" i="2"/>
  <c r="H702" i="2"/>
  <c r="G507" i="2"/>
  <c r="P701" i="2"/>
  <c r="O506" i="2"/>
  <c r="W311" i="2"/>
  <c r="V116" i="2"/>
  <c r="Q280" i="2"/>
  <c r="P85" i="2"/>
  <c r="V110" i="2"/>
  <c r="H378" i="2"/>
  <c r="Q572" i="2"/>
  <c r="P377" i="2"/>
  <c r="C183" i="2"/>
  <c r="S346" i="2"/>
  <c r="R151" i="2"/>
  <c r="Q315" i="2"/>
  <c r="P120" i="2"/>
  <c r="V384" i="2"/>
  <c r="J579" i="2"/>
  <c r="I384" i="2"/>
  <c r="Q189" i="2"/>
  <c r="L353" i="2"/>
  <c r="K158" i="2"/>
  <c r="J322" i="2"/>
  <c r="I127" i="2"/>
  <c r="W383" i="2"/>
  <c r="K578" i="2"/>
  <c r="J383" i="2"/>
  <c r="R188" i="2"/>
  <c r="M352" i="2"/>
  <c r="L157" i="2"/>
  <c r="K321" i="2"/>
  <c r="J126" i="2"/>
  <c r="Q290" i="2"/>
  <c r="P95" i="2"/>
  <c r="F173" i="2"/>
  <c r="W292" i="2"/>
  <c r="N97" i="2"/>
  <c r="D175" i="2"/>
  <c r="L352" i="2"/>
  <c r="L64" i="2"/>
  <c r="H721" i="2"/>
  <c r="O600" i="2"/>
  <c r="W990" i="2"/>
  <c r="F601" i="2"/>
  <c r="J1379" i="2"/>
  <c r="W988" i="2"/>
  <c r="K1378" i="2"/>
  <c r="C988" i="2"/>
  <c r="O986" i="2"/>
  <c r="S596" i="2"/>
  <c r="F987" i="2"/>
  <c r="K1131" i="2"/>
  <c r="L624" i="2"/>
  <c r="K429" i="2"/>
  <c r="G624" i="2"/>
  <c r="F429" i="2"/>
  <c r="J624" i="2"/>
  <c r="I429" i="2"/>
  <c r="O1014" i="2"/>
  <c r="N819" i="2"/>
  <c r="C625" i="2"/>
  <c r="W429" i="2"/>
  <c r="W768" i="2"/>
  <c r="S963" i="2"/>
  <c r="Q1161" i="2"/>
  <c r="G1354" i="2"/>
  <c r="F1159" i="2"/>
  <c r="T964" i="2"/>
  <c r="S769" i="2"/>
  <c r="K872" i="2"/>
  <c r="T1261" i="2"/>
  <c r="L871" i="2"/>
  <c r="C870" i="2"/>
  <c r="G480" i="2"/>
  <c r="O870" i="2"/>
  <c r="F633" i="2"/>
  <c r="P391" i="2"/>
  <c r="T586" i="2"/>
  <c r="T782" i="2"/>
  <c r="I976" i="2"/>
  <c r="H781" i="2"/>
  <c r="R586" i="2"/>
  <c r="Q391" i="2"/>
  <c r="M586" i="2"/>
  <c r="L391" i="2"/>
  <c r="P586" i="2"/>
  <c r="U781" i="2"/>
  <c r="J975" i="2"/>
  <c r="I780" i="2"/>
  <c r="S585" i="2"/>
  <c r="R390" i="2"/>
  <c r="N585" i="2"/>
  <c r="M390" i="2"/>
  <c r="Q585" i="2"/>
  <c r="P390" i="2"/>
  <c r="D585" i="2"/>
  <c r="C390" i="2"/>
  <c r="K195" i="2"/>
  <c r="F359" i="2"/>
  <c r="E164" i="2"/>
  <c r="P1441" i="2"/>
  <c r="H1051" i="2"/>
  <c r="T1049" i="2"/>
  <c r="C660" i="2"/>
  <c r="K1050" i="2"/>
  <c r="I722" i="2"/>
  <c r="O436" i="2"/>
  <c r="S631" i="2"/>
  <c r="R436" i="2"/>
  <c r="H1021" i="2"/>
  <c r="G826" i="2"/>
  <c r="Q631" i="2"/>
  <c r="P436" i="2"/>
  <c r="L631" i="2"/>
  <c r="K436" i="2"/>
  <c r="O631" i="2"/>
  <c r="N436" i="2"/>
  <c r="I1020" i="2"/>
  <c r="H825" i="2"/>
  <c r="M1708" i="2"/>
  <c r="R1385" i="2"/>
  <c r="F1391" i="2"/>
  <c r="S1000" i="2"/>
  <c r="G1390" i="2"/>
  <c r="T999" i="2"/>
  <c r="V1383" i="2"/>
  <c r="N993" i="2"/>
  <c r="W1382" i="2"/>
  <c r="O992" i="2"/>
  <c r="F991" i="2"/>
  <c r="J601" i="2"/>
  <c r="R991" i="2"/>
  <c r="V601" i="2"/>
  <c r="F828" i="2"/>
  <c r="O1218" i="2"/>
  <c r="G829" i="2"/>
  <c r="G828" i="2"/>
  <c r="W827" i="2"/>
  <c r="K1394" i="2"/>
  <c r="J1199" i="2"/>
  <c r="C1005" i="2"/>
  <c r="W809" i="2"/>
  <c r="C1004" i="2"/>
  <c r="W808" i="2"/>
  <c r="S1003" i="2"/>
  <c r="R808" i="2"/>
  <c r="O1002" i="2"/>
  <c r="N807" i="2"/>
  <c r="C613" i="2"/>
  <c r="W417" i="2"/>
  <c r="C491" i="2"/>
  <c r="Q491" i="2"/>
  <c r="G879" i="2"/>
  <c r="H880" i="2"/>
  <c r="C879" i="2"/>
  <c r="I879" i="2"/>
  <c r="D878" i="2"/>
  <c r="I487" i="2"/>
  <c r="G487" i="2"/>
  <c r="U487" i="2"/>
  <c r="E1412" i="2"/>
  <c r="R1021" i="2"/>
  <c r="T711" i="2"/>
  <c r="R644" i="2"/>
  <c r="P644" i="2"/>
  <c r="N644" i="2"/>
  <c r="Q643" i="2"/>
  <c r="O643" i="2"/>
  <c r="I253" i="2"/>
  <c r="S893" i="2"/>
  <c r="J502" i="2"/>
  <c r="F1079" i="2"/>
  <c r="J689" i="2"/>
  <c r="G1078" i="2"/>
  <c r="I667" i="2"/>
  <c r="H472" i="2"/>
  <c r="D667" i="2"/>
  <c r="C472" i="2"/>
  <c r="G667" i="2"/>
  <c r="F472" i="2"/>
  <c r="O666" i="2"/>
  <c r="N471" i="2"/>
  <c r="V276" i="2"/>
  <c r="U81" i="2"/>
  <c r="P245" i="2"/>
  <c r="O50" i="2"/>
  <c r="N214" i="2"/>
  <c r="V792" i="2"/>
  <c r="G793" i="2"/>
  <c r="W791" i="2"/>
  <c r="G401" i="2"/>
  <c r="E401" i="2"/>
  <c r="S401" i="2"/>
  <c r="J469" i="2"/>
  <c r="N664" i="2"/>
  <c r="M469" i="2"/>
  <c r="C1054" i="2"/>
  <c r="W858" i="2"/>
  <c r="L664" i="2"/>
  <c r="K469" i="2"/>
  <c r="G664" i="2"/>
  <c r="F469" i="2"/>
  <c r="J664" i="2"/>
  <c r="I469" i="2"/>
  <c r="D1053" i="2"/>
  <c r="C858" i="2"/>
  <c r="M663" i="2"/>
  <c r="L468" i="2"/>
  <c r="H663" i="2"/>
  <c r="G468" i="2"/>
  <c r="K663" i="2"/>
  <c r="J468" i="2"/>
  <c r="S662" i="2"/>
  <c r="R467" i="2"/>
  <c r="E273" i="2"/>
  <c r="D78" i="2"/>
  <c r="T241" i="2"/>
  <c r="S46" i="2"/>
  <c r="R210" i="2"/>
  <c r="U1169" i="2"/>
  <c r="W777" i="2"/>
  <c r="E777" i="2"/>
  <c r="W385" i="2"/>
  <c r="Q777" i="2"/>
  <c r="J390" i="2"/>
  <c r="N465" i="2"/>
  <c r="R660" i="2"/>
  <c r="Q465" i="2"/>
  <c r="G1050" i="2"/>
  <c r="F855" i="2"/>
  <c r="P660" i="2"/>
  <c r="O465" i="2"/>
  <c r="K660" i="2"/>
  <c r="J465" i="2"/>
  <c r="N660" i="2"/>
  <c r="M465" i="2"/>
  <c r="H1049" i="2"/>
  <c r="G854" i="2"/>
  <c r="Q659" i="2"/>
  <c r="P464" i="2"/>
  <c r="L659" i="2"/>
  <c r="K464" i="2"/>
  <c r="O659" i="2"/>
  <c r="N464" i="2"/>
  <c r="W658" i="2"/>
  <c r="V463" i="2"/>
  <c r="I269" i="2"/>
  <c r="H74" i="2"/>
  <c r="C238" i="2"/>
  <c r="I359" i="2"/>
  <c r="H68" i="2"/>
  <c r="D725" i="2"/>
  <c r="C530" i="2"/>
  <c r="K335" i="2"/>
  <c r="J140" i="2"/>
  <c r="E304" i="2"/>
  <c r="D109" i="2"/>
  <c r="C273" i="2"/>
  <c r="W77" i="2"/>
  <c r="R731" i="2"/>
  <c r="Q536" i="2"/>
  <c r="D342" i="2"/>
  <c r="C147" i="2"/>
  <c r="S310" i="2"/>
  <c r="R115" i="2"/>
  <c r="Q279" i="2"/>
  <c r="P84" i="2"/>
  <c r="S730" i="2"/>
  <c r="R535" i="2"/>
  <c r="E341" i="2"/>
  <c r="D146" i="2"/>
  <c r="T309" i="2"/>
  <c r="S114" i="2"/>
  <c r="R278" i="2"/>
  <c r="Q83" i="2"/>
  <c r="C248" i="2"/>
  <c r="W52" i="2"/>
  <c r="M130" i="2"/>
  <c r="V249" i="2"/>
  <c r="U54" i="2"/>
  <c r="K132" i="2"/>
  <c r="E267" i="2"/>
  <c r="S21" i="2"/>
  <c r="O678" i="2"/>
  <c r="Q478" i="2"/>
  <c r="D869" i="2"/>
  <c r="H867" i="2"/>
  <c r="L1257" i="2"/>
  <c r="D867" i="2"/>
  <c r="M1256" i="2"/>
  <c r="E866" i="2"/>
  <c r="Q864" i="2"/>
  <c r="U474" i="2"/>
  <c r="H865" i="2"/>
  <c r="M1009" i="2"/>
  <c r="N1010" i="2"/>
  <c r="I1054" i="2"/>
  <c r="O724" i="2"/>
  <c r="C1022" i="2"/>
  <c r="G632" i="2"/>
  <c r="D1021" i="2"/>
  <c r="H631" i="2"/>
  <c r="S630" i="2"/>
  <c r="T209" i="2"/>
  <c r="C453" i="2"/>
  <c r="M677" i="2"/>
  <c r="K677" i="2"/>
  <c r="I677" i="2"/>
  <c r="H761" i="2"/>
  <c r="R566" i="2"/>
  <c r="Q371" i="2"/>
  <c r="M566" i="2"/>
  <c r="L371" i="2"/>
  <c r="P566" i="2"/>
  <c r="O371" i="2"/>
  <c r="C566" i="2"/>
  <c r="W370" i="2"/>
  <c r="J176" i="2"/>
  <c r="E340" i="2"/>
  <c r="D145" i="2"/>
  <c r="C309" i="2"/>
  <c r="W780" i="2"/>
  <c r="K1170" i="2"/>
  <c r="C780" i="2"/>
  <c r="O778" i="2"/>
  <c r="S388" i="2"/>
  <c r="F779" i="2"/>
  <c r="L587" i="2"/>
  <c r="S368" i="2"/>
  <c r="W563" i="2"/>
  <c r="W759" i="2"/>
  <c r="L953" i="2"/>
  <c r="K758" i="2"/>
  <c r="U563" i="2"/>
  <c r="T368" i="2"/>
  <c r="P563" i="2"/>
  <c r="O368" i="2"/>
  <c r="S563" i="2"/>
  <c r="C759" i="2"/>
  <c r="M952" i="2"/>
  <c r="L757" i="2"/>
  <c r="V562" i="2"/>
  <c r="U367" i="2"/>
  <c r="Q562" i="2"/>
  <c r="P367" i="2"/>
  <c r="T562" i="2"/>
  <c r="S367" i="2"/>
  <c r="G562" i="2"/>
  <c r="F367" i="2"/>
  <c r="N172" i="2"/>
  <c r="I336" i="2"/>
  <c r="H141" i="2"/>
  <c r="G305" i="2"/>
  <c r="R765" i="2"/>
  <c r="F1155" i="2"/>
  <c r="S764" i="2"/>
  <c r="J763" i="2"/>
  <c r="N373" i="2"/>
  <c r="V763" i="2"/>
  <c r="D579" i="2"/>
  <c r="W364" i="2"/>
  <c r="F560" i="2"/>
  <c r="F756" i="2"/>
  <c r="P949" i="2"/>
  <c r="O754" i="2"/>
  <c r="D560" i="2"/>
  <c r="C365" i="2"/>
  <c r="T559" i="2"/>
  <c r="S364" i="2"/>
  <c r="W559" i="2"/>
  <c r="G755" i="2"/>
  <c r="Q948" i="2"/>
  <c r="P753" i="2"/>
  <c r="E559" i="2"/>
  <c r="D364" i="2"/>
  <c r="U558" i="2"/>
  <c r="T363" i="2"/>
  <c r="C559" i="2"/>
  <c r="W363" i="2"/>
  <c r="K558" i="2"/>
  <c r="J363" i="2"/>
  <c r="R168" i="2"/>
  <c r="M332" i="2"/>
  <c r="L137" i="2"/>
  <c r="R162" i="2"/>
  <c r="V325" i="2"/>
  <c r="M624" i="2"/>
  <c r="L429" i="2"/>
  <c r="T234" i="2"/>
  <c r="S39" i="2"/>
  <c r="N203" i="2"/>
  <c r="M8" i="2"/>
  <c r="L172" i="2"/>
  <c r="P335" i="2"/>
  <c r="F631" i="2"/>
  <c r="E436" i="2"/>
  <c r="M241" i="2"/>
  <c r="L46" i="2"/>
  <c r="G210" i="2"/>
  <c r="F15" i="2"/>
  <c r="E179" i="2"/>
  <c r="I342" i="2"/>
  <c r="G630" i="2"/>
  <c r="F435" i="2"/>
  <c r="N240" i="2"/>
  <c r="M45" i="2"/>
  <c r="H209" i="2"/>
  <c r="G14" i="2"/>
  <c r="F178" i="2"/>
  <c r="J341" i="2"/>
  <c r="L147" i="2"/>
  <c r="W224" i="2"/>
  <c r="V29" i="2"/>
  <c r="J149" i="2"/>
  <c r="U226" i="2"/>
  <c r="D97" i="2"/>
  <c r="H116" i="2"/>
  <c r="O383" i="2"/>
  <c r="C578" i="2"/>
  <c r="U417" i="2"/>
  <c r="N418" i="2"/>
  <c r="D806" i="2"/>
  <c r="E807" i="2"/>
  <c r="U805" i="2"/>
  <c r="F806" i="2"/>
  <c r="V804" i="2"/>
  <c r="F414" i="2"/>
  <c r="D414" i="2"/>
  <c r="R414" i="2"/>
  <c r="W1338" i="2"/>
  <c r="L811" i="2"/>
  <c r="H419" i="2"/>
  <c r="O571" i="2"/>
  <c r="M571" i="2"/>
  <c r="K571" i="2"/>
  <c r="N570" i="2"/>
  <c r="L570" i="2"/>
  <c r="F180" i="2"/>
  <c r="I990" i="2"/>
  <c r="T691" i="2"/>
  <c r="C1006" i="2"/>
  <c r="G616" i="2"/>
  <c r="D1005" i="2"/>
  <c r="C649" i="2"/>
  <c r="W453" i="2"/>
  <c r="S648" i="2"/>
  <c r="R453" i="2"/>
  <c r="V648" i="2"/>
  <c r="U453" i="2"/>
  <c r="I648" i="2"/>
  <c r="H453" i="2"/>
  <c r="P258" i="2"/>
  <c r="O63" i="2"/>
  <c r="J227" i="2"/>
  <c r="I32" i="2"/>
  <c r="H196" i="2"/>
  <c r="N1499" i="2"/>
  <c r="F1109" i="2"/>
  <c r="R1107" i="2"/>
  <c r="V717" i="2"/>
  <c r="I1108" i="2"/>
  <c r="F362" i="2"/>
  <c r="D451" i="2"/>
  <c r="H646" i="2"/>
  <c r="G451" i="2"/>
  <c r="R1035" i="2"/>
  <c r="Q840" i="2"/>
  <c r="F646" i="2"/>
  <c r="E451" i="2"/>
  <c r="V645" i="2"/>
  <c r="U450" i="2"/>
  <c r="D646" i="2"/>
  <c r="C451" i="2"/>
  <c r="S1034" i="2"/>
  <c r="R839" i="2"/>
  <c r="G645" i="2"/>
  <c r="F450" i="2"/>
  <c r="W644" i="2"/>
  <c r="V449" i="2"/>
  <c r="E645" i="2"/>
  <c r="D450" i="2"/>
  <c r="M644" i="2"/>
  <c r="L449" i="2"/>
  <c r="T254" i="2"/>
  <c r="S59" i="2"/>
  <c r="N223" i="2"/>
  <c r="M28" i="2"/>
  <c r="L192" i="2"/>
  <c r="I1484" i="2"/>
  <c r="V1093" i="2"/>
  <c r="M1092" i="2"/>
  <c r="Q702" i="2"/>
  <c r="D1093" i="2"/>
  <c r="P743" i="2"/>
  <c r="H447" i="2"/>
  <c r="L642" i="2"/>
  <c r="K447" i="2"/>
  <c r="V1031" i="2"/>
  <c r="U836" i="2"/>
  <c r="J642" i="2"/>
  <c r="I447" i="2"/>
  <c r="E642" i="2"/>
  <c r="D447" i="2"/>
  <c r="H642" i="2"/>
  <c r="G447" i="2"/>
  <c r="W1030" i="2"/>
  <c r="V835" i="2"/>
  <c r="K641" i="2"/>
  <c r="J446" i="2"/>
  <c r="F641" i="2"/>
  <c r="E446" i="2"/>
  <c r="I641" i="2"/>
  <c r="H446" i="2"/>
  <c r="Q640" i="2"/>
  <c r="P445" i="2"/>
  <c r="C251" i="2"/>
  <c r="W55" i="2"/>
  <c r="R219" i="2"/>
  <c r="R322" i="2"/>
  <c r="W49" i="2"/>
  <c r="S706" i="2"/>
  <c r="R511" i="2"/>
  <c r="E317" i="2"/>
  <c r="D122" i="2"/>
  <c r="T285" i="2"/>
  <c r="S90" i="2"/>
  <c r="R254" i="2"/>
  <c r="Q59" i="2"/>
  <c r="L713" i="2"/>
  <c r="K518" i="2"/>
  <c r="S323" i="2"/>
  <c r="R128" i="2"/>
  <c r="M292" i="2"/>
  <c r="L97" i="2"/>
  <c r="K261" i="2"/>
  <c r="J66" i="2"/>
  <c r="M712" i="2"/>
  <c r="L517" i="2"/>
  <c r="T322" i="2"/>
  <c r="S127" i="2"/>
  <c r="N291" i="2"/>
  <c r="M96" i="2"/>
  <c r="L260" i="2"/>
  <c r="K65" i="2"/>
  <c r="R229" i="2"/>
  <c r="D27" i="2"/>
  <c r="G112" i="2"/>
  <c r="P231" i="2"/>
  <c r="C32" i="2"/>
  <c r="E114" i="2"/>
  <c r="N230" i="2"/>
  <c r="M3" i="2"/>
  <c r="I660" i="2"/>
  <c r="C747" i="2"/>
  <c r="Q747" i="2"/>
  <c r="G1135" i="2"/>
  <c r="H1136" i="2"/>
  <c r="C1135" i="2"/>
  <c r="I1135" i="2"/>
  <c r="D1134" i="2"/>
  <c r="I743" i="2"/>
  <c r="G743" i="2"/>
  <c r="U743" i="2"/>
  <c r="J936" i="2"/>
  <c r="K937" i="2"/>
  <c r="R761" i="2"/>
  <c r="I578" i="2"/>
  <c r="U948" i="2"/>
  <c r="D559" i="2"/>
  <c r="V947" i="2"/>
  <c r="E558" i="2"/>
  <c r="P557" i="2"/>
  <c r="M942" i="2"/>
  <c r="I550" i="2"/>
  <c r="J604" i="2"/>
  <c r="H604" i="2"/>
  <c r="F604" i="2"/>
  <c r="M743" i="2"/>
  <c r="L548" i="2"/>
  <c r="H743" i="2"/>
  <c r="G548" i="2"/>
  <c r="K743" i="2"/>
  <c r="J548" i="2"/>
  <c r="S742" i="2"/>
  <c r="R547" i="2"/>
  <c r="E353" i="2"/>
  <c r="D158" i="2"/>
  <c r="T321" i="2"/>
  <c r="S126" i="2"/>
  <c r="R290" i="2"/>
  <c r="Q1097" i="2"/>
  <c r="W1097" i="2"/>
  <c r="R1096" i="2"/>
  <c r="W705" i="2"/>
  <c r="U705" i="2"/>
  <c r="N706" i="2"/>
  <c r="U550" i="2"/>
  <c r="R740" i="2"/>
  <c r="Q545" i="2"/>
  <c r="G1130" i="2"/>
  <c r="F935" i="2"/>
  <c r="P740" i="2"/>
  <c r="O545" i="2"/>
  <c r="K740" i="2"/>
  <c r="J545" i="2"/>
  <c r="N740" i="2"/>
  <c r="M545" i="2"/>
  <c r="H1129" i="2"/>
  <c r="G934" i="2"/>
  <c r="Q739" i="2"/>
  <c r="P544" i="2"/>
  <c r="L739" i="2"/>
  <c r="K544" i="2"/>
  <c r="O739" i="2"/>
  <c r="N544" i="2"/>
  <c r="W738" i="2"/>
  <c r="V543" i="2"/>
  <c r="I349" i="2"/>
  <c r="H154" i="2"/>
  <c r="C318" i="2"/>
  <c r="W122" i="2"/>
  <c r="V286" i="2"/>
  <c r="L1082" i="2"/>
  <c r="R1082" i="2"/>
  <c r="M1081" i="2"/>
  <c r="R690" i="2"/>
  <c r="P690" i="2"/>
  <c r="I691" i="2"/>
  <c r="M542" i="2"/>
  <c r="V736" i="2"/>
  <c r="U541" i="2"/>
  <c r="K1126" i="2"/>
  <c r="J931" i="2"/>
  <c r="T736" i="2"/>
  <c r="S541" i="2"/>
  <c r="O736" i="2"/>
  <c r="N541" i="2"/>
  <c r="R736" i="2"/>
  <c r="Q541" i="2"/>
  <c r="L1125" i="2"/>
  <c r="K930" i="2"/>
  <c r="U735" i="2"/>
  <c r="T540" i="2"/>
  <c r="P735" i="2"/>
  <c r="O540" i="2"/>
  <c r="S735" i="2"/>
  <c r="R540" i="2"/>
  <c r="F735" i="2"/>
  <c r="E540" i="2"/>
  <c r="M345" i="2"/>
  <c r="L150" i="2"/>
  <c r="G314" i="2"/>
  <c r="F119" i="2"/>
  <c r="L144" i="2"/>
  <c r="P307" i="2"/>
  <c r="G606" i="2"/>
  <c r="F411" i="2"/>
  <c r="N216" i="2"/>
  <c r="M21" i="2"/>
  <c r="H185" i="2"/>
  <c r="G349" i="2"/>
  <c r="F154" i="2"/>
  <c r="J317" i="2"/>
  <c r="U612" i="2"/>
  <c r="T417" i="2"/>
  <c r="G223" i="2"/>
  <c r="F28" i="2"/>
  <c r="V191" i="2"/>
  <c r="U355" i="2"/>
  <c r="T160" i="2"/>
  <c r="C324" i="2"/>
  <c r="V611" i="2"/>
  <c r="U416" i="2"/>
  <c r="H222" i="2"/>
  <c r="G27" i="2"/>
  <c r="W190" i="2"/>
  <c r="V354" i="2"/>
  <c r="U159" i="2"/>
  <c r="D323" i="2"/>
  <c r="F129" i="2"/>
  <c r="Q206" i="2"/>
  <c r="F25" i="2"/>
  <c r="H657" i="2"/>
  <c r="F395" i="2"/>
  <c r="N200" i="2"/>
  <c r="M5" i="2"/>
  <c r="H169" i="2"/>
  <c r="G333" i="2"/>
  <c r="F138" i="2"/>
  <c r="J301" i="2"/>
  <c r="U596" i="2"/>
  <c r="T401" i="2"/>
  <c r="G207" i="2"/>
  <c r="F12" i="2"/>
  <c r="V175" i="2"/>
  <c r="U339" i="2"/>
  <c r="T144" i="2"/>
  <c r="C308" i="2"/>
  <c r="V595" i="2"/>
  <c r="U400" i="2"/>
  <c r="H206" i="2"/>
  <c r="G11" i="2"/>
  <c r="W174" i="2"/>
  <c r="V338" i="2"/>
  <c r="U143" i="2"/>
  <c r="D307" i="2"/>
  <c r="F113" i="2"/>
  <c r="Q190" i="2"/>
  <c r="W28" i="2"/>
  <c r="D115" i="2"/>
  <c r="O192" i="2"/>
  <c r="R27" i="2"/>
  <c r="W81" i="2"/>
  <c r="S738" i="2"/>
  <c r="R543" i="2"/>
  <c r="E349" i="2"/>
  <c r="D154" i="2"/>
  <c r="T317" i="2"/>
  <c r="S122" i="2"/>
  <c r="R286" i="2"/>
  <c r="Q91" i="2"/>
  <c r="L745" i="2"/>
  <c r="K550" i="2"/>
  <c r="S355" i="2"/>
  <c r="R160" i="2"/>
  <c r="M324" i="2"/>
  <c r="L129" i="2"/>
  <c r="K293" i="2"/>
  <c r="J98" i="2"/>
  <c r="M744" i="2"/>
  <c r="L549" i="2"/>
  <c r="T354" i="2"/>
  <c r="S159" i="2"/>
  <c r="N323" i="2"/>
  <c r="M128" i="2"/>
  <c r="L292" i="2"/>
  <c r="K97" i="2"/>
  <c r="R261" i="2"/>
  <c r="Q66" i="2"/>
  <c r="G144" i="2"/>
  <c r="P263" i="2"/>
  <c r="O68" i="2"/>
  <c r="E146" i="2"/>
  <c r="W26" i="2"/>
  <c r="G81" i="2"/>
  <c r="C738" i="2"/>
  <c r="W542" i="2"/>
  <c r="J348" i="2"/>
  <c r="I153" i="2"/>
  <c r="D317" i="2"/>
  <c r="C122" i="2"/>
  <c r="W285" i="2"/>
  <c r="V90" i="2"/>
  <c r="Q744" i="2"/>
  <c r="P549" i="2"/>
  <c r="C355" i="2"/>
  <c r="W159" i="2"/>
  <c r="R323" i="2"/>
  <c r="Q128" i="2"/>
  <c r="P292" i="2"/>
  <c r="O97" i="2"/>
  <c r="R743" i="2"/>
  <c r="Q548" i="2"/>
  <c r="D354" i="2"/>
  <c r="C159" i="2"/>
  <c r="S322" i="2"/>
  <c r="R127" i="2"/>
  <c r="Q291" i="2"/>
  <c r="P96" i="2"/>
  <c r="W260" i="2"/>
  <c r="V65" i="2"/>
  <c r="L143" i="2"/>
  <c r="U262" i="2"/>
  <c r="T67" i="2"/>
  <c r="J145" i="2"/>
  <c r="E34" i="2"/>
  <c r="H28" i="2"/>
  <c r="T381" i="2"/>
  <c r="E168" i="2"/>
  <c r="S336" i="2"/>
  <c r="P160" i="2"/>
  <c r="J73" i="2"/>
  <c r="C40" i="2"/>
  <c r="U98" i="2"/>
  <c r="K538" i="2"/>
  <c r="S343" i="2"/>
  <c r="R148" i="2"/>
  <c r="M312" i="2"/>
  <c r="L117" i="2"/>
  <c r="K281" i="2"/>
  <c r="J86" i="2"/>
  <c r="E740" i="2"/>
  <c r="D545" i="2"/>
  <c r="L350" i="2"/>
  <c r="K155" i="2"/>
  <c r="F319" i="2"/>
  <c r="E124" i="2"/>
  <c r="D288" i="2"/>
  <c r="C93" i="2"/>
  <c r="F739" i="2"/>
  <c r="E544" i="2"/>
  <c r="M349" i="2"/>
  <c r="L154" i="2"/>
  <c r="G318" i="2"/>
  <c r="F123" i="2"/>
  <c r="E287" i="2"/>
  <c r="D92" i="2"/>
  <c r="K256" i="2"/>
  <c r="J61" i="2"/>
  <c r="U138" i="2"/>
  <c r="I258" i="2"/>
  <c r="H63" i="2"/>
  <c r="S140" i="2"/>
  <c r="E283" i="2"/>
  <c r="F30" i="2"/>
  <c r="W686" i="2"/>
  <c r="V491" i="2"/>
  <c r="I297" i="2"/>
  <c r="H102" i="2"/>
  <c r="C266" i="2"/>
  <c r="W70" i="2"/>
  <c r="V234" i="2"/>
  <c r="U39" i="2"/>
  <c r="P693" i="2"/>
  <c r="O498" i="2"/>
  <c r="W303" i="2"/>
  <c r="V108" i="2"/>
  <c r="Q272" i="2"/>
  <c r="P77" i="2"/>
  <c r="O241" i="2"/>
  <c r="N46" i="2"/>
  <c r="Q692" i="2"/>
  <c r="P497" i="2"/>
  <c r="C303" i="2"/>
  <c r="W107" i="2"/>
  <c r="R271" i="2"/>
  <c r="Q76" i="2"/>
  <c r="P240" i="2"/>
  <c r="O45" i="2"/>
  <c r="V209" i="2"/>
  <c r="L287" i="2"/>
  <c r="K92" i="2"/>
  <c r="T211" i="2"/>
  <c r="J289" i="2"/>
  <c r="I94" i="2"/>
  <c r="J282" i="2"/>
  <c r="K29" i="2"/>
  <c r="G686" i="2"/>
  <c r="F491" i="2"/>
  <c r="N296" i="2"/>
  <c r="M101" i="2"/>
  <c r="H265" i="2"/>
  <c r="G70" i="2"/>
  <c r="F234" i="2"/>
  <c r="E39" i="2"/>
  <c r="U692" i="2"/>
  <c r="T497" i="2"/>
  <c r="G303" i="2"/>
  <c r="F108" i="2"/>
  <c r="V271" i="2"/>
  <c r="U76" i="2"/>
  <c r="T240" i="2"/>
  <c r="S45" i="2"/>
  <c r="V691" i="2"/>
  <c r="U496" i="2"/>
  <c r="H302" i="2"/>
  <c r="G107" i="2"/>
  <c r="W270" i="2"/>
  <c r="V75" i="2"/>
  <c r="U239" i="2"/>
  <c r="T44" i="2"/>
  <c r="F209" i="2"/>
  <c r="Q286" i="2"/>
  <c r="P91" i="2"/>
  <c r="D211" i="2"/>
  <c r="O288" i="2"/>
  <c r="N93" i="2"/>
  <c r="P19" i="2"/>
  <c r="N491" i="2"/>
  <c r="P265" i="2"/>
  <c r="M39" i="2"/>
  <c r="K220" i="2"/>
  <c r="S144" i="2"/>
  <c r="G296" i="2"/>
  <c r="N387" i="2"/>
  <c r="C33" i="2"/>
  <c r="R491" i="2"/>
  <c r="D102" i="2"/>
  <c r="O58" i="2"/>
  <c r="M27" i="2"/>
  <c r="C442" i="2"/>
  <c r="S15" i="2"/>
  <c r="S233" i="2"/>
  <c r="O44" i="2"/>
  <c r="H95" i="2"/>
  <c r="S84" i="2"/>
  <c r="Q175" i="2"/>
  <c r="O486" i="2"/>
  <c r="W291" i="2"/>
  <c r="V96" i="2"/>
  <c r="Q260" i="2"/>
  <c r="P65" i="2"/>
  <c r="O229" i="2"/>
  <c r="N34" i="2"/>
  <c r="I688" i="2"/>
  <c r="H493" i="2"/>
  <c r="P298" i="2"/>
  <c r="O103" i="2"/>
  <c r="J267" i="2"/>
  <c r="I72" i="2"/>
  <c r="H236" i="2"/>
  <c r="G41" i="2"/>
  <c r="J687" i="2"/>
  <c r="I492" i="2"/>
  <c r="Q297" i="2"/>
  <c r="P102" i="2"/>
  <c r="K266" i="2"/>
  <c r="J71" i="2"/>
  <c r="I235" i="2"/>
  <c r="H40" i="2"/>
  <c r="O204" i="2"/>
  <c r="E282" i="2"/>
  <c r="D87" i="2"/>
  <c r="M206" i="2"/>
  <c r="C284" i="2"/>
  <c r="W88" i="2"/>
  <c r="M179" i="2"/>
  <c r="O336" i="2"/>
  <c r="F635" i="2"/>
  <c r="E440" i="2"/>
  <c r="M245" i="2"/>
  <c r="L50" i="2"/>
  <c r="G214" i="2"/>
  <c r="F19" i="2"/>
  <c r="E183" i="2"/>
  <c r="I346" i="2"/>
  <c r="T641" i="2"/>
  <c r="S446" i="2"/>
  <c r="F252" i="2"/>
  <c r="E57" i="2"/>
  <c r="U220" i="2"/>
  <c r="T25" i="2"/>
  <c r="S189" i="2"/>
  <c r="W352" i="2"/>
  <c r="U640" i="2"/>
  <c r="T445" i="2"/>
  <c r="G251" i="2"/>
  <c r="F56" i="2"/>
  <c r="V219" i="2"/>
  <c r="U24" i="2"/>
  <c r="T188" i="2"/>
  <c r="C352" i="2"/>
  <c r="E158" i="2"/>
  <c r="P235" i="2"/>
  <c r="O40" i="2"/>
  <c r="C160" i="2"/>
  <c r="N237" i="2"/>
  <c r="M42" i="2"/>
  <c r="R178" i="2"/>
  <c r="T335" i="2"/>
  <c r="K634" i="2"/>
  <c r="J439" i="2"/>
  <c r="R244" i="2"/>
  <c r="Q49" i="2"/>
  <c r="L213" i="2"/>
  <c r="K18" i="2"/>
  <c r="J182" i="2"/>
  <c r="N345" i="2"/>
  <c r="D641" i="2"/>
  <c r="C446" i="2"/>
  <c r="K251" i="2"/>
  <c r="J56" i="2"/>
  <c r="E220" i="2"/>
  <c r="D25" i="2"/>
  <c r="C189" i="2"/>
  <c r="G352" i="2"/>
  <c r="E640" i="2"/>
  <c r="D445" i="2"/>
  <c r="L250" i="2"/>
  <c r="K55" i="2"/>
  <c r="F219" i="2"/>
  <c r="E24" i="2"/>
  <c r="D188" i="2"/>
  <c r="H351" i="2"/>
  <c r="J157" i="2"/>
  <c r="U234" i="2"/>
  <c r="T39" i="2"/>
  <c r="H159" i="2"/>
  <c r="S236" i="2"/>
  <c r="R41" i="2"/>
  <c r="D43" i="2"/>
  <c r="I321" i="2"/>
  <c r="G46" i="2"/>
  <c r="T203" i="2"/>
  <c r="I86" i="2"/>
  <c r="H283" i="2"/>
  <c r="H27" i="2"/>
  <c r="G145" i="2"/>
  <c r="D741" i="2"/>
  <c r="C327" i="2"/>
  <c r="C71" i="2"/>
  <c r="S234" i="2"/>
  <c r="R39" i="2"/>
  <c r="E167" i="2"/>
  <c r="T625" i="2"/>
  <c r="F236" i="2"/>
  <c r="Q192" i="2"/>
  <c r="O161" i="2"/>
  <c r="U624" i="2"/>
  <c r="G235" i="2"/>
  <c r="R191" i="2"/>
  <c r="N26" i="2"/>
  <c r="I134" i="2"/>
  <c r="S172" i="2"/>
  <c r="H143" i="2"/>
  <c r="M377" i="2"/>
  <c r="O422" i="2"/>
  <c r="W227" i="2"/>
  <c r="V32" i="2"/>
  <c r="Q196" i="2"/>
  <c r="T360" i="2"/>
  <c r="O165" i="2"/>
  <c r="S328" i="2"/>
  <c r="I624" i="2"/>
  <c r="H429" i="2"/>
  <c r="P234" i="2"/>
  <c r="O39" i="2"/>
  <c r="J203" i="2"/>
  <c r="I8" i="2"/>
  <c r="H172" i="2"/>
  <c r="L335" i="2"/>
  <c r="J623" i="2"/>
  <c r="I428" i="2"/>
  <c r="Q233" i="2"/>
  <c r="P38" i="2"/>
  <c r="K202" i="2"/>
  <c r="J7" i="2"/>
  <c r="I171" i="2"/>
  <c r="M334" i="2"/>
  <c r="O140" i="2"/>
  <c r="E218" i="2"/>
  <c r="D23" i="2"/>
  <c r="M142" i="2"/>
  <c r="C220" i="2"/>
  <c r="O82" i="2"/>
  <c r="K109" i="2"/>
  <c r="R376" i="2"/>
  <c r="F571" i="2"/>
  <c r="E376" i="2"/>
  <c r="M181" i="2"/>
  <c r="H345" i="2"/>
  <c r="G150" i="2"/>
  <c r="F314" i="2"/>
  <c r="E119" i="2"/>
  <c r="K383" i="2"/>
  <c r="T577" i="2"/>
  <c r="S382" i="2"/>
  <c r="F188" i="2"/>
  <c r="V351" i="2"/>
  <c r="U156" i="2"/>
  <c r="T320" i="2"/>
  <c r="S125" i="2"/>
  <c r="Q1083" i="2"/>
  <c r="S957" i="2"/>
  <c r="J566" i="2"/>
  <c r="F1095" i="2"/>
  <c r="J705" i="2"/>
  <c r="G1094" i="2"/>
  <c r="K704" i="2"/>
  <c r="V703" i="2"/>
  <c r="W282" i="2"/>
  <c r="O745" i="2"/>
  <c r="C751" i="2"/>
  <c r="T750" i="2"/>
  <c r="P750" i="2"/>
  <c r="N779" i="2"/>
  <c r="C585" i="2"/>
  <c r="W389" i="2"/>
  <c r="S584" i="2"/>
  <c r="R389" i="2"/>
  <c r="V584" i="2"/>
  <c r="U389" i="2"/>
  <c r="I584" i="2"/>
  <c r="H389" i="2"/>
  <c r="P194" i="2"/>
  <c r="K358" i="2"/>
  <c r="J163" i="2"/>
  <c r="I327" i="2"/>
  <c r="E854" i="2"/>
  <c r="N1243" i="2"/>
  <c r="F853" i="2"/>
  <c r="R851" i="2"/>
  <c r="V461" i="2"/>
  <c r="I852" i="2"/>
  <c r="C624" i="2"/>
  <c r="D387" i="2"/>
  <c r="H582" i="2"/>
  <c r="H778" i="2"/>
  <c r="R971" i="2"/>
  <c r="Q776" i="2"/>
  <c r="F582" i="2"/>
  <c r="E387" i="2"/>
  <c r="V581" i="2"/>
  <c r="U386" i="2"/>
  <c r="D582" i="2"/>
  <c r="I777" i="2"/>
  <c r="S970" i="2"/>
  <c r="R775" i="2"/>
  <c r="G581" i="2"/>
  <c r="F386" i="2"/>
  <c r="W580" i="2"/>
  <c r="V385" i="2"/>
  <c r="E581" i="2"/>
  <c r="D386" i="2"/>
  <c r="M580" i="2"/>
  <c r="L385" i="2"/>
  <c r="T190" i="2"/>
  <c r="O354" i="2"/>
  <c r="N159" i="2"/>
  <c r="M323" i="2"/>
  <c r="U838" i="2"/>
  <c r="I1228" i="2"/>
  <c r="V837" i="2"/>
  <c r="M836" i="2"/>
  <c r="Q446" i="2"/>
  <c r="D837" i="2"/>
  <c r="P615" i="2"/>
  <c r="H383" i="2"/>
  <c r="L578" i="2"/>
  <c r="L774" i="2"/>
  <c r="V967" i="2"/>
  <c r="U772" i="2"/>
  <c r="J578" i="2"/>
  <c r="I383" i="2"/>
  <c r="P1045" i="2"/>
  <c r="O850" i="2"/>
  <c r="D656" i="2"/>
  <c r="C461" i="2"/>
  <c r="T655" i="2"/>
  <c r="S460" i="2"/>
  <c r="W655" i="2"/>
  <c r="V460" i="2"/>
  <c r="Q1044" i="2"/>
  <c r="P849" i="2"/>
  <c r="O1708" i="2"/>
  <c r="H1483" i="2"/>
  <c r="Q1488" i="2"/>
  <c r="I1098" i="2"/>
  <c r="R1487" i="2"/>
  <c r="J1097" i="2"/>
  <c r="L1481" i="2"/>
  <c r="D1091" i="2"/>
  <c r="M1480" i="2"/>
  <c r="E1090" i="2"/>
  <c r="Q1088" i="2"/>
  <c r="U698" i="2"/>
  <c r="H1089" i="2"/>
  <c r="L699" i="2"/>
  <c r="V876" i="2"/>
  <c r="J1267" i="2"/>
  <c r="W877" i="2"/>
  <c r="W876" i="2"/>
  <c r="R876" i="2"/>
  <c r="S1418" i="2"/>
  <c r="R1223" i="2"/>
  <c r="K1029" i="2"/>
  <c r="J834" i="2"/>
  <c r="K1028" i="2"/>
  <c r="J833" i="2"/>
  <c r="F1028" i="2"/>
  <c r="E833" i="2"/>
  <c r="W1026" i="2"/>
  <c r="V831" i="2"/>
  <c r="K637" i="2"/>
  <c r="J442" i="2"/>
  <c r="N588" i="2"/>
  <c r="G589" i="2"/>
  <c r="R976" i="2"/>
  <c r="S977" i="2"/>
  <c r="N976" i="2"/>
  <c r="T976" i="2"/>
  <c r="O975" i="2"/>
  <c r="T584" i="2"/>
  <c r="R584" i="2"/>
  <c r="K585" i="2"/>
  <c r="P1509" i="2"/>
  <c r="H1119" i="2"/>
  <c r="D712" i="2"/>
  <c r="H742" i="2"/>
  <c r="F742" i="2"/>
  <c r="D742" i="2"/>
  <c r="G741" i="2"/>
  <c r="E741" i="2"/>
  <c r="T350" i="2"/>
  <c r="F1283" i="2"/>
  <c r="V891" i="2"/>
  <c r="E397" i="2"/>
  <c r="C397" i="2"/>
  <c r="V396" i="2"/>
  <c r="Q691" i="2"/>
  <c r="P496" i="2"/>
  <c r="L691" i="2"/>
  <c r="K496" i="2"/>
  <c r="O691" i="2"/>
  <c r="N496" i="2"/>
  <c r="W690" i="2"/>
  <c r="V495" i="2"/>
  <c r="I301" i="2"/>
  <c r="H106" i="2"/>
  <c r="C270" i="2"/>
  <c r="W74" i="2"/>
  <c r="V238" i="2"/>
  <c r="L890" i="2"/>
  <c r="R890" i="2"/>
  <c r="M889" i="2"/>
  <c r="R498" i="2"/>
  <c r="P498" i="2"/>
  <c r="I499" i="2"/>
  <c r="R493" i="2"/>
  <c r="V688" i="2"/>
  <c r="U493" i="2"/>
  <c r="K1078" i="2"/>
  <c r="J883" i="2"/>
  <c r="T688" i="2"/>
  <c r="S493" i="2"/>
  <c r="O688" i="2"/>
  <c r="N493" i="2"/>
  <c r="R688" i="2"/>
  <c r="Q493" i="2"/>
  <c r="L1077" i="2"/>
  <c r="K882" i="2"/>
  <c r="U687" i="2"/>
  <c r="T492" i="2"/>
  <c r="P687" i="2"/>
  <c r="O492" i="2"/>
  <c r="S687" i="2"/>
  <c r="R492" i="2"/>
  <c r="F687" i="2"/>
  <c r="E492" i="2"/>
  <c r="M297" i="2"/>
  <c r="L102" i="2"/>
  <c r="G266" i="2"/>
  <c r="F71" i="2"/>
  <c r="E235" i="2"/>
  <c r="G875" i="2"/>
  <c r="M875" i="2"/>
  <c r="H874" i="2"/>
  <c r="M483" i="2"/>
  <c r="K483" i="2"/>
  <c r="D484" i="2"/>
  <c r="V489" i="2"/>
  <c r="E685" i="2"/>
  <c r="D490" i="2"/>
  <c r="O1074" i="2"/>
  <c r="N879" i="2"/>
  <c r="C685" i="2"/>
  <c r="W489" i="2"/>
  <c r="S684" i="2"/>
  <c r="R489" i="2"/>
  <c r="V684" i="2"/>
  <c r="U489" i="2"/>
  <c r="P1073" i="2"/>
  <c r="O878" i="2"/>
  <c r="D684" i="2"/>
  <c r="C489" i="2"/>
  <c r="T683" i="2"/>
  <c r="S488" i="2"/>
  <c r="W683" i="2"/>
  <c r="V488" i="2"/>
  <c r="J683" i="2"/>
  <c r="I488" i="2"/>
  <c r="Q293" i="2"/>
  <c r="P98" i="2"/>
  <c r="K262" i="2"/>
  <c r="D49" i="2"/>
  <c r="P92" i="2"/>
  <c r="L749" i="2"/>
  <c r="K554" i="2"/>
  <c r="S359" i="2"/>
  <c r="R164" i="2"/>
  <c r="M328" i="2"/>
  <c r="L133" i="2"/>
  <c r="K297" i="2"/>
  <c r="J102" i="2"/>
  <c r="P366" i="2"/>
  <c r="D561" i="2"/>
  <c r="C366" i="2"/>
  <c r="K171" i="2"/>
  <c r="F335" i="2"/>
  <c r="E140" i="2"/>
  <c r="D304" i="2"/>
  <c r="C109" i="2"/>
  <c r="Q365" i="2"/>
  <c r="E560" i="2"/>
  <c r="D365" i="2"/>
  <c r="L170" i="2"/>
  <c r="G334" i="2"/>
  <c r="F139" i="2"/>
  <c r="E303" i="2"/>
  <c r="D108" i="2"/>
  <c r="K272" i="2"/>
  <c r="J77" i="2"/>
  <c r="U154" i="2"/>
  <c r="I274" i="2"/>
  <c r="H79" i="2"/>
  <c r="S156" i="2"/>
  <c r="U315" i="2"/>
  <c r="F46" i="2"/>
  <c r="W702" i="2"/>
  <c r="G576" i="2"/>
  <c r="O966" i="2"/>
  <c r="S576" i="2"/>
  <c r="W1354" i="2"/>
  <c r="O964" i="2"/>
  <c r="C1354" i="2"/>
  <c r="P963" i="2"/>
  <c r="G962" i="2"/>
  <c r="K572" i="2"/>
  <c r="S962" i="2"/>
  <c r="C1107" i="2"/>
  <c r="D1108" i="2"/>
  <c r="I1055" i="2"/>
  <c r="U663" i="2"/>
  <c r="N1119" i="2"/>
  <c r="R729" i="2"/>
  <c r="O1118" i="2"/>
  <c r="S728" i="2"/>
  <c r="I728" i="2"/>
  <c r="J307" i="2"/>
  <c r="O842" i="2"/>
  <c r="S384" i="2"/>
  <c r="K774" i="2"/>
  <c r="O384" i="2"/>
  <c r="P785" i="2"/>
  <c r="E591" i="2"/>
  <c r="D396" i="2"/>
  <c r="U590" i="2"/>
  <c r="T395" i="2"/>
  <c r="C591" i="2"/>
  <c r="W395" i="2"/>
  <c r="K590" i="2"/>
  <c r="J395" i="2"/>
  <c r="R200" i="2"/>
  <c r="Q5" i="2"/>
  <c r="L169" i="2"/>
  <c r="K333" i="2"/>
  <c r="M878" i="2"/>
  <c r="V1267" i="2"/>
  <c r="N877" i="2"/>
  <c r="E876" i="2"/>
  <c r="I486" i="2"/>
  <c r="Q876" i="2"/>
  <c r="G636" i="2"/>
  <c r="F393" i="2"/>
  <c r="J588" i="2"/>
  <c r="J784" i="2"/>
  <c r="T977" i="2"/>
  <c r="S782" i="2"/>
  <c r="H588" i="2"/>
  <c r="G393" i="2"/>
  <c r="C588" i="2"/>
  <c r="W392" i="2"/>
  <c r="F588" i="2"/>
  <c r="K783" i="2"/>
  <c r="U976" i="2"/>
  <c r="T781" i="2"/>
  <c r="I587" i="2"/>
  <c r="H392" i="2"/>
  <c r="D587" i="2"/>
  <c r="C392" i="2"/>
  <c r="G587" i="2"/>
  <c r="F392" i="2"/>
  <c r="O586" i="2"/>
  <c r="N391" i="2"/>
  <c r="V196" i="2"/>
  <c r="V360" i="2"/>
  <c r="P165" i="2"/>
  <c r="O329" i="2"/>
  <c r="H863" i="2"/>
  <c r="Q1252" i="2"/>
  <c r="I862" i="2"/>
  <c r="U860" i="2"/>
  <c r="D471" i="2"/>
  <c r="L861" i="2"/>
  <c r="T627" i="2"/>
  <c r="J389" i="2"/>
  <c r="N584" i="2"/>
  <c r="N780" i="2"/>
  <c r="C974" i="2"/>
  <c r="W778" i="2"/>
  <c r="L584" i="2"/>
  <c r="K389" i="2"/>
  <c r="G584" i="2"/>
  <c r="F389" i="2"/>
  <c r="J584" i="2"/>
  <c r="O779" i="2"/>
  <c r="D973" i="2"/>
  <c r="C778" i="2"/>
  <c r="M583" i="2"/>
  <c r="L388" i="2"/>
  <c r="H583" i="2"/>
  <c r="G388" i="2"/>
  <c r="K583" i="2"/>
  <c r="J388" i="2"/>
  <c r="S582" i="2"/>
  <c r="R387" i="2"/>
  <c r="E193" i="2"/>
  <c r="U356" i="2"/>
  <c r="T161" i="2"/>
  <c r="V206" i="2"/>
  <c r="I350" i="2"/>
  <c r="U648" i="2"/>
  <c r="T453" i="2"/>
  <c r="G259" i="2"/>
  <c r="F64" i="2"/>
  <c r="V227" i="2"/>
  <c r="U32" i="2"/>
  <c r="T196" i="2"/>
  <c r="C360" i="2"/>
  <c r="N655" i="2"/>
  <c r="M460" i="2"/>
  <c r="U265" i="2"/>
  <c r="T70" i="2"/>
  <c r="O234" i="2"/>
  <c r="N39" i="2"/>
  <c r="M203" i="2"/>
  <c r="L8" i="2"/>
  <c r="O654" i="2"/>
  <c r="N459" i="2"/>
  <c r="V264" i="2"/>
  <c r="U69" i="2"/>
  <c r="P233" i="2"/>
  <c r="O38" i="2"/>
  <c r="N202" i="2"/>
  <c r="M7" i="2"/>
  <c r="T171" i="2"/>
  <c r="J249" i="2"/>
  <c r="I54" i="2"/>
  <c r="R173" i="2"/>
  <c r="H251" i="2"/>
  <c r="G56" i="2"/>
  <c r="P140" i="2"/>
  <c r="T303" i="2"/>
  <c r="K602" i="2"/>
  <c r="K515" i="2"/>
  <c r="D516" i="2"/>
  <c r="O903" i="2"/>
  <c r="P904" i="2"/>
  <c r="K903" i="2"/>
  <c r="Q903" i="2"/>
  <c r="L902" i="2"/>
  <c r="Q511" i="2"/>
  <c r="O511" i="2"/>
  <c r="H512" i="2"/>
  <c r="M1436" i="2"/>
  <c r="E1046" i="2"/>
  <c r="M419" i="2"/>
  <c r="E669" i="2"/>
  <c r="C669" i="2"/>
  <c r="V668" i="2"/>
  <c r="D668" i="2"/>
  <c r="W667" i="2"/>
  <c r="Q277" i="2"/>
  <c r="I991" i="2"/>
  <c r="U599" i="2"/>
  <c r="N1103" i="2"/>
  <c r="R713" i="2"/>
  <c r="O1102" i="2"/>
  <c r="K673" i="2"/>
  <c r="J478" i="2"/>
  <c r="F673" i="2"/>
  <c r="E478" i="2"/>
  <c r="I673" i="2"/>
  <c r="H478" i="2"/>
  <c r="Q672" i="2"/>
  <c r="P477" i="2"/>
  <c r="C283" i="2"/>
  <c r="W87" i="2"/>
  <c r="R251" i="2"/>
  <c r="Q56" i="2"/>
  <c r="P220" i="2"/>
  <c r="I817" i="2"/>
  <c r="O817" i="2"/>
  <c r="J816" i="2"/>
  <c r="O425" i="2"/>
  <c r="M425" i="2"/>
  <c r="F426" i="2"/>
  <c r="L475" i="2"/>
  <c r="P670" i="2"/>
  <c r="O475" i="2"/>
  <c r="E1060" i="2"/>
  <c r="D865" i="2"/>
  <c r="N670" i="2"/>
  <c r="M475" i="2"/>
  <c r="I670" i="2"/>
  <c r="H475" i="2"/>
  <c r="L670" i="2"/>
  <c r="K475" i="2"/>
  <c r="F1059" i="2"/>
  <c r="E864" i="2"/>
  <c r="O669" i="2"/>
  <c r="N474" i="2"/>
  <c r="J669" i="2"/>
  <c r="I474" i="2"/>
  <c r="M669" i="2"/>
  <c r="L474" i="2"/>
  <c r="U668" i="2"/>
  <c r="T473" i="2"/>
  <c r="G279" i="2"/>
  <c r="F84" i="2"/>
  <c r="V247" i="2"/>
  <c r="U52" i="2"/>
  <c r="T216" i="2"/>
  <c r="D802" i="2"/>
  <c r="J802" i="2"/>
  <c r="E801" i="2"/>
  <c r="J410" i="2"/>
  <c r="H410" i="2"/>
  <c r="V410" i="2"/>
  <c r="P471" i="2"/>
  <c r="T666" i="2"/>
  <c r="S471" i="2"/>
  <c r="I1056" i="2"/>
  <c r="H861" i="2"/>
  <c r="R666" i="2"/>
  <c r="Q471" i="2"/>
  <c r="M666" i="2"/>
  <c r="L471" i="2"/>
  <c r="P666" i="2"/>
  <c r="O471" i="2"/>
  <c r="J1055" i="2"/>
  <c r="I860" i="2"/>
  <c r="S665" i="2"/>
  <c r="R470" i="2"/>
  <c r="N665" i="2"/>
  <c r="M470" i="2"/>
  <c r="Q665" i="2"/>
  <c r="P470" i="2"/>
  <c r="D665" i="2"/>
  <c r="C470" i="2"/>
  <c r="K275" i="2"/>
  <c r="J80" i="2"/>
  <c r="E244" i="2"/>
  <c r="M12" i="2"/>
  <c r="J74" i="2"/>
  <c r="F731" i="2"/>
  <c r="E536" i="2"/>
  <c r="M341" i="2"/>
  <c r="L146" i="2"/>
  <c r="G310" i="2"/>
  <c r="F115" i="2"/>
  <c r="E279" i="2"/>
  <c r="D84" i="2"/>
  <c r="T737" i="2"/>
  <c r="S542" i="2"/>
  <c r="F348" i="2"/>
  <c r="E153" i="2"/>
  <c r="U316" i="2"/>
  <c r="T121" i="2"/>
  <c r="S285" i="2"/>
  <c r="R90" i="2"/>
  <c r="U736" i="2"/>
  <c r="T541" i="2"/>
  <c r="G347" i="2"/>
  <c r="F152" i="2"/>
  <c r="V315" i="2"/>
  <c r="U120" i="2"/>
  <c r="T284" i="2"/>
  <c r="S89" i="2"/>
  <c r="E254" i="2"/>
  <c r="D59" i="2"/>
  <c r="O136" i="2"/>
  <c r="C256" i="2"/>
  <c r="W60" i="2"/>
  <c r="M138" i="2"/>
  <c r="I279" i="2"/>
  <c r="U27" i="2"/>
  <c r="Q684" i="2"/>
  <c r="I454" i="2"/>
  <c r="Q844" i="2"/>
  <c r="U842" i="2"/>
  <c r="D1233" i="2"/>
  <c r="Q842" i="2"/>
  <c r="E1232" i="2"/>
  <c r="R841" i="2"/>
  <c r="I840" i="2"/>
  <c r="M450" i="2"/>
  <c r="U840" i="2"/>
  <c r="E985" i="2"/>
  <c r="P636" i="2"/>
  <c r="O441" i="2"/>
  <c r="K636" i="2"/>
  <c r="J441" i="2"/>
  <c r="N636" i="2"/>
  <c r="M441" i="2"/>
  <c r="S1026" i="2"/>
  <c r="R831" i="2"/>
  <c r="G637" i="2"/>
  <c r="F442" i="2"/>
  <c r="F781" i="2"/>
  <c r="W975" i="2"/>
  <c r="N1176" i="2"/>
  <c r="K1366" i="2"/>
  <c r="J1171" i="2"/>
  <c r="C977" i="2"/>
  <c r="W781" i="2"/>
  <c r="F921" i="2"/>
  <c r="O1310" i="2"/>
  <c r="G920" i="2"/>
  <c r="S918" i="2"/>
  <c r="W528" i="2"/>
  <c r="J919" i="2"/>
  <c r="N657" i="2"/>
  <c r="T403" i="2"/>
  <c r="C599" i="2"/>
  <c r="W403" i="2"/>
  <c r="M988" i="2"/>
  <c r="L793" i="2"/>
  <c r="V598" i="2"/>
  <c r="U403" i="2"/>
  <c r="Q598" i="2"/>
  <c r="P403" i="2"/>
  <c r="T598" i="2"/>
  <c r="S403" i="2"/>
  <c r="N987" i="2"/>
  <c r="M792" i="2"/>
  <c r="W597" i="2"/>
  <c r="V402" i="2"/>
  <c r="R597" i="2"/>
  <c r="Q402" i="2"/>
  <c r="U597" i="2"/>
  <c r="T402" i="2"/>
  <c r="H597" i="2"/>
  <c r="G402" i="2"/>
  <c r="O207" i="2"/>
  <c r="N12" i="2"/>
  <c r="I176" i="2"/>
  <c r="K1490" i="2"/>
  <c r="C1100" i="2"/>
  <c r="O1098" i="2"/>
  <c r="S708" i="2"/>
  <c r="F1099" i="2"/>
  <c r="Q746" i="2"/>
  <c r="S448" i="2"/>
  <c r="W643" i="2"/>
  <c r="V448" i="2"/>
  <c r="L1033" i="2"/>
  <c r="K838" i="2"/>
  <c r="U643" i="2"/>
  <c r="T448" i="2"/>
  <c r="P643" i="2"/>
  <c r="O448" i="2"/>
  <c r="S643" i="2"/>
  <c r="R448" i="2"/>
  <c r="M1032" i="2"/>
  <c r="L837" i="2"/>
  <c r="J1708" i="2"/>
  <c r="M1434" i="2"/>
  <c r="V1439" i="2"/>
  <c r="N1049" i="2"/>
  <c r="W1438" i="2"/>
  <c r="O1048" i="2"/>
  <c r="Q1432" i="2"/>
  <c r="I1042" i="2"/>
  <c r="R1431" i="2"/>
  <c r="J1041" i="2"/>
  <c r="V1039" i="2"/>
  <c r="E650" i="2"/>
  <c r="M1040" i="2"/>
  <c r="Q650" i="2"/>
  <c r="N852" i="2"/>
  <c r="W1242" i="2"/>
  <c r="O853" i="2"/>
  <c r="O852" i="2"/>
  <c r="J852" i="2"/>
  <c r="O1406" i="2"/>
  <c r="N1211" i="2"/>
  <c r="G1017" i="2"/>
  <c r="F822" i="2"/>
  <c r="G1016" i="2"/>
  <c r="F821" i="2"/>
  <c r="W1015" i="2"/>
  <c r="V820" i="2"/>
  <c r="S1014" i="2"/>
  <c r="R819" i="2"/>
  <c r="G625" i="2"/>
  <c r="F430" i="2"/>
  <c r="S539" i="2"/>
  <c r="L540" i="2"/>
  <c r="W927" i="2"/>
  <c r="C929" i="2"/>
  <c r="S927" i="2"/>
  <c r="D928" i="2"/>
  <c r="T926" i="2"/>
  <c r="D536" i="2"/>
  <c r="W535" i="2"/>
  <c r="P536" i="2"/>
  <c r="U1460" i="2"/>
  <c r="M1070" i="2"/>
  <c r="C517" i="2"/>
  <c r="M693" i="2"/>
  <c r="K693" i="2"/>
  <c r="I693" i="2"/>
  <c r="L692" i="2"/>
  <c r="J692" i="2"/>
  <c r="D302" i="2"/>
  <c r="T1088" i="2"/>
  <c r="K697" i="2"/>
  <c r="V1127" i="2"/>
  <c r="E738" i="2"/>
  <c r="W1126" i="2"/>
  <c r="M679" i="2"/>
  <c r="L484" i="2"/>
  <c r="H679" i="2"/>
  <c r="G484" i="2"/>
  <c r="K679" i="2"/>
  <c r="J484" i="2"/>
  <c r="S678" i="2"/>
  <c r="R483" i="2"/>
  <c r="E289" i="2"/>
  <c r="D94" i="2"/>
  <c r="T257" i="2"/>
  <c r="S62" i="2"/>
  <c r="R226" i="2"/>
  <c r="Q841" i="2"/>
  <c r="W841" i="2"/>
  <c r="R840" i="2"/>
  <c r="W449" i="2"/>
  <c r="U449" i="2"/>
  <c r="N450" i="2"/>
  <c r="N481" i="2"/>
  <c r="R676" i="2"/>
  <c r="Q481" i="2"/>
  <c r="G1066" i="2"/>
  <c r="F871" i="2"/>
  <c r="P676" i="2"/>
  <c r="O481" i="2"/>
  <c r="K676" i="2"/>
  <c r="J481" i="2"/>
  <c r="N676" i="2"/>
  <c r="M481" i="2"/>
  <c r="H1065" i="2"/>
  <c r="G870" i="2"/>
  <c r="Q675" i="2"/>
  <c r="P480" i="2"/>
  <c r="L675" i="2"/>
  <c r="K480" i="2"/>
  <c r="O675" i="2"/>
  <c r="N480" i="2"/>
  <c r="W674" i="2"/>
  <c r="V479" i="2"/>
  <c r="I285" i="2"/>
  <c r="H90" i="2"/>
  <c r="C254" i="2"/>
  <c r="W58" i="2"/>
  <c r="V222" i="2"/>
  <c r="L826" i="2"/>
  <c r="R826" i="2"/>
  <c r="M825" i="2"/>
  <c r="R434" i="2"/>
  <c r="P434" i="2"/>
  <c r="I435" i="2"/>
  <c r="R477" i="2"/>
  <c r="V672" i="2"/>
  <c r="U477" i="2"/>
  <c r="K1062" i="2"/>
  <c r="J867" i="2"/>
  <c r="T672" i="2"/>
  <c r="S477" i="2"/>
  <c r="O672" i="2"/>
  <c r="N477" i="2"/>
  <c r="R672" i="2"/>
  <c r="Q477" i="2"/>
  <c r="L1061" i="2"/>
  <c r="K866" i="2"/>
  <c r="U671" i="2"/>
  <c r="T476" i="2"/>
  <c r="P671" i="2"/>
  <c r="O476" i="2"/>
  <c r="S671" i="2"/>
  <c r="R476" i="2"/>
  <c r="F671" i="2"/>
  <c r="E476" i="2"/>
  <c r="M281" i="2"/>
  <c r="L86" i="2"/>
  <c r="G250" i="2"/>
  <c r="Q24" i="2"/>
  <c r="L80" i="2"/>
  <c r="H737" i="2"/>
  <c r="G542" i="2"/>
  <c r="O347" i="2"/>
  <c r="N152" i="2"/>
  <c r="I316" i="2"/>
  <c r="H121" i="2"/>
  <c r="G285" i="2"/>
  <c r="F90" i="2"/>
  <c r="V743" i="2"/>
  <c r="U548" i="2"/>
  <c r="H354" i="2"/>
  <c r="G159" i="2"/>
  <c r="W322" i="2"/>
  <c r="V127" i="2"/>
  <c r="U291" i="2"/>
  <c r="T96" i="2"/>
  <c r="W742" i="2"/>
  <c r="V547" i="2"/>
  <c r="I353" i="2"/>
  <c r="H158" i="2"/>
  <c r="C322" i="2"/>
  <c r="W126" i="2"/>
  <c r="V290" i="2"/>
  <c r="U95" i="2"/>
  <c r="G260" i="2"/>
  <c r="F65" i="2"/>
  <c r="Q142" i="2"/>
  <c r="E262" i="2"/>
  <c r="D67" i="2"/>
  <c r="O144" i="2"/>
  <c r="M291" i="2"/>
  <c r="W33" i="2"/>
  <c r="S690" i="2"/>
  <c r="L527" i="2"/>
  <c r="T917" i="2"/>
  <c r="C916" i="2"/>
  <c r="G1306" i="2"/>
  <c r="T915" i="2"/>
  <c r="H1305" i="2"/>
  <c r="U914" i="2"/>
  <c r="L913" i="2"/>
  <c r="P523" i="2"/>
  <c r="C914" i="2"/>
  <c r="H1058" i="2"/>
  <c r="I1059" i="2"/>
  <c r="H860" i="2"/>
  <c r="T468" i="2"/>
  <c r="S1070" i="2"/>
  <c r="W680" i="2"/>
  <c r="T1069" i="2"/>
  <c r="C680" i="2"/>
  <c r="N679" i="2"/>
  <c r="O258" i="2"/>
  <c r="D648" i="2"/>
  <c r="H726" i="2"/>
  <c r="F726" i="2"/>
  <c r="D726" i="2"/>
  <c r="L773" i="2"/>
  <c r="V578" i="2"/>
  <c r="U383" i="2"/>
  <c r="Q578" i="2"/>
  <c r="P383" i="2"/>
  <c r="T578" i="2"/>
  <c r="S383" i="2"/>
  <c r="G578" i="2"/>
  <c r="F383" i="2"/>
  <c r="N188" i="2"/>
  <c r="I352" i="2"/>
  <c r="H157" i="2"/>
  <c r="G321" i="2"/>
  <c r="R829" i="2"/>
  <c r="F1219" i="2"/>
  <c r="S828" i="2"/>
  <c r="J827" i="2"/>
  <c r="N437" i="2"/>
  <c r="V827" i="2"/>
  <c r="T611" i="2"/>
  <c r="W380" i="2"/>
  <c r="F576" i="2"/>
  <c r="F772" i="2"/>
  <c r="P965" i="2"/>
  <c r="O770" i="2"/>
  <c r="D576" i="2"/>
  <c r="C381" i="2"/>
  <c r="T575" i="2"/>
  <c r="S380" i="2"/>
  <c r="W575" i="2"/>
  <c r="G771" i="2"/>
  <c r="Q964" i="2"/>
  <c r="P769" i="2"/>
  <c r="E575" i="2"/>
  <c r="D380" i="2"/>
  <c r="U574" i="2"/>
  <c r="T379" i="2"/>
  <c r="C575" i="2"/>
  <c r="W379" i="2"/>
  <c r="K574" i="2"/>
  <c r="J379" i="2"/>
  <c r="R184" i="2"/>
  <c r="M348" i="2"/>
  <c r="L153" i="2"/>
  <c r="K317" i="2"/>
  <c r="M814" i="2"/>
  <c r="V1203" i="2"/>
  <c r="N813" i="2"/>
  <c r="E812" i="2"/>
  <c r="I422" i="2"/>
  <c r="Q812" i="2"/>
  <c r="L603" i="2"/>
  <c r="F377" i="2"/>
  <c r="J572" i="2"/>
  <c r="J768" i="2"/>
  <c r="T961" i="2"/>
  <c r="S766" i="2"/>
  <c r="H572" i="2"/>
  <c r="G377" i="2"/>
  <c r="C572" i="2"/>
  <c r="W376" i="2"/>
  <c r="F572" i="2"/>
  <c r="K767" i="2"/>
  <c r="U960" i="2"/>
  <c r="T765" i="2"/>
  <c r="I571" i="2"/>
  <c r="H376" i="2"/>
  <c r="D571" i="2"/>
  <c r="C376" i="2"/>
  <c r="G571" i="2"/>
  <c r="F376" i="2"/>
  <c r="O570" i="2"/>
  <c r="N375" i="2"/>
  <c r="V180" i="2"/>
  <c r="Q344" i="2"/>
  <c r="P149" i="2"/>
  <c r="N182" i="2"/>
  <c r="E338" i="2"/>
  <c r="Q636" i="2"/>
  <c r="P441" i="2"/>
  <c r="C247" i="2"/>
  <c r="W51" i="2"/>
  <c r="R215" i="2"/>
  <c r="Q20" i="2"/>
  <c r="P184" i="2"/>
  <c r="T347" i="2"/>
  <c r="J643" i="2"/>
  <c r="I448" i="2"/>
  <c r="Q253" i="2"/>
  <c r="P58" i="2"/>
  <c r="K222" i="2"/>
  <c r="J27" i="2"/>
  <c r="I191" i="2"/>
  <c r="M354" i="2"/>
  <c r="K642" i="2"/>
  <c r="J447" i="2"/>
  <c r="R252" i="2"/>
  <c r="Q57" i="2"/>
  <c r="L221" i="2"/>
  <c r="K26" i="2"/>
  <c r="J190" i="2"/>
  <c r="N353" i="2"/>
  <c r="P159" i="2"/>
  <c r="F237" i="2"/>
  <c r="E42" i="2"/>
  <c r="N161" i="2"/>
  <c r="D239" i="2"/>
  <c r="P133" i="2"/>
  <c r="L128" i="2"/>
  <c r="P291" i="2"/>
  <c r="G590" i="2"/>
  <c r="P466" i="2"/>
  <c r="I467" i="2"/>
  <c r="T854" i="2"/>
  <c r="U855" i="2"/>
  <c r="P854" i="2"/>
  <c r="V854" i="2"/>
  <c r="Q853" i="2"/>
  <c r="V462" i="2"/>
  <c r="T462" i="2"/>
  <c r="M463" i="2"/>
  <c r="R1387" i="2"/>
  <c r="J997" i="2"/>
  <c r="I614" i="2"/>
  <c r="J620" i="2"/>
  <c r="H620" i="2"/>
  <c r="F620" i="2"/>
  <c r="I619" i="2"/>
  <c r="G619" i="2"/>
  <c r="V228" i="2"/>
  <c r="H796" i="2"/>
  <c r="T404" i="2"/>
  <c r="S1054" i="2"/>
  <c r="W664" i="2"/>
  <c r="T1053" i="2"/>
  <c r="G661" i="2"/>
  <c r="F466" i="2"/>
  <c r="W660" i="2"/>
  <c r="V465" i="2"/>
  <c r="E661" i="2"/>
  <c r="D466" i="2"/>
  <c r="M660" i="2"/>
  <c r="L465" i="2"/>
  <c r="T270" i="2"/>
  <c r="S75" i="2"/>
  <c r="N239" i="2"/>
  <c r="M44" i="2"/>
  <c r="L208" i="2"/>
  <c r="R1160" i="2"/>
  <c r="T768" i="2"/>
  <c r="W767" i="2"/>
  <c r="T376" i="2"/>
  <c r="N768" i="2"/>
  <c r="N386" i="2"/>
  <c r="H463" i="2"/>
  <c r="L658" i="2"/>
  <c r="K463" i="2"/>
  <c r="V1047" i="2"/>
  <c r="U852" i="2"/>
  <c r="J658" i="2"/>
  <c r="I463" i="2"/>
  <c r="E658" i="2"/>
  <c r="D463" i="2"/>
  <c r="H658" i="2"/>
  <c r="G463" i="2"/>
  <c r="W1046" i="2"/>
  <c r="V851" i="2"/>
  <c r="K657" i="2"/>
  <c r="J462" i="2"/>
  <c r="F657" i="2"/>
  <c r="E462" i="2"/>
  <c r="I657" i="2"/>
  <c r="H462" i="2"/>
  <c r="Q656" i="2"/>
  <c r="P461" i="2"/>
  <c r="C267" i="2"/>
  <c r="W71" i="2"/>
  <c r="R235" i="2"/>
  <c r="Q40" i="2"/>
  <c r="P204" i="2"/>
  <c r="M1145" i="2"/>
  <c r="O753" i="2"/>
  <c r="R752" i="2"/>
  <c r="O361" i="2"/>
  <c r="I753" i="2"/>
  <c r="F378" i="2"/>
  <c r="L459" i="2"/>
  <c r="P654" i="2"/>
  <c r="O459" i="2"/>
  <c r="E1044" i="2"/>
  <c r="D849" i="2"/>
  <c r="N654" i="2"/>
  <c r="M459" i="2"/>
  <c r="I654" i="2"/>
  <c r="H459" i="2"/>
  <c r="L654" i="2"/>
  <c r="K459" i="2"/>
  <c r="F1043" i="2"/>
  <c r="E848" i="2"/>
  <c r="O653" i="2"/>
  <c r="N458" i="2"/>
  <c r="J653" i="2"/>
  <c r="I458" i="2"/>
  <c r="M653" i="2"/>
  <c r="L458" i="2"/>
  <c r="U652" i="2"/>
  <c r="T457" i="2"/>
  <c r="G263" i="2"/>
  <c r="F68" i="2"/>
  <c r="V231" i="2"/>
  <c r="E347" i="2"/>
  <c r="F62" i="2"/>
  <c r="W718" i="2"/>
  <c r="V523" i="2"/>
  <c r="I329" i="2"/>
  <c r="H134" i="2"/>
  <c r="C298" i="2"/>
  <c r="W102" i="2"/>
  <c r="V266" i="2"/>
  <c r="U71" i="2"/>
  <c r="P725" i="2"/>
  <c r="O530" i="2"/>
  <c r="W335" i="2"/>
  <c r="V140" i="2"/>
  <c r="Q304" i="2"/>
  <c r="P109" i="2"/>
  <c r="O273" i="2"/>
  <c r="N78" i="2"/>
  <c r="Q724" i="2"/>
  <c r="P529" i="2"/>
  <c r="C335" i="2"/>
  <c r="W139" i="2"/>
  <c r="R303" i="2"/>
  <c r="Q108" i="2"/>
  <c r="P272" i="2"/>
  <c r="O77" i="2"/>
  <c r="V241" i="2"/>
  <c r="U46" i="2"/>
  <c r="K124" i="2"/>
  <c r="T243" i="2"/>
  <c r="S48" i="2"/>
  <c r="I126" i="2"/>
  <c r="V254" i="2"/>
  <c r="Q15" i="2"/>
  <c r="M672" i="2"/>
  <c r="N405" i="2"/>
  <c r="V795" i="2"/>
  <c r="E794" i="2"/>
  <c r="I1184" i="2"/>
  <c r="V793" i="2"/>
  <c r="J1183" i="2"/>
  <c r="W792" i="2"/>
  <c r="N791" i="2"/>
  <c r="R401" i="2"/>
  <c r="E792" i="2"/>
  <c r="G770" i="2"/>
  <c r="Q575" i="2"/>
  <c r="P380" i="2"/>
  <c r="L575" i="2"/>
  <c r="K380" i="2"/>
  <c r="O575" i="2"/>
  <c r="J772" i="2"/>
  <c r="T965" i="2"/>
  <c r="S770" i="2"/>
  <c r="H576" i="2"/>
  <c r="H915" i="2"/>
  <c r="D1110" i="2"/>
  <c r="C915" i="2"/>
  <c r="M1500" i="2"/>
  <c r="L1305" i="2"/>
  <c r="E1111" i="2"/>
  <c r="D916" i="2"/>
  <c r="E1110" i="2"/>
  <c r="G1067" i="2"/>
  <c r="M1067" i="2"/>
  <c r="H1066" i="2"/>
  <c r="M675" i="2"/>
  <c r="K675" i="2"/>
  <c r="D676" i="2"/>
  <c r="V537" i="2"/>
  <c r="E733" i="2"/>
  <c r="D538" i="2"/>
  <c r="O1122" i="2"/>
  <c r="N927" i="2"/>
  <c r="C733" i="2"/>
  <c r="W537" i="2"/>
  <c r="S732" i="2"/>
  <c r="R537" i="2"/>
  <c r="V732" i="2"/>
  <c r="U537" i="2"/>
  <c r="P1121" i="2"/>
  <c r="O926" i="2"/>
  <c r="D732" i="2"/>
  <c r="C537" i="2"/>
  <c r="T731" i="2"/>
  <c r="S536" i="2"/>
  <c r="W731" i="2"/>
  <c r="V536" i="2"/>
  <c r="J731" i="2"/>
  <c r="I536" i="2"/>
  <c r="Q341" i="2"/>
  <c r="P146" i="2"/>
  <c r="K310" i="2"/>
  <c r="F857" i="2"/>
  <c r="O1246" i="2"/>
  <c r="G856" i="2"/>
  <c r="S854" i="2"/>
  <c r="W464" i="2"/>
  <c r="J855" i="2"/>
  <c r="S624" i="2"/>
  <c r="T387" i="2"/>
  <c r="C583" i="2"/>
  <c r="C779" i="2"/>
  <c r="M972" i="2"/>
  <c r="L777" i="2"/>
  <c r="V582" i="2"/>
  <c r="U387" i="2"/>
  <c r="Q582" i="2"/>
  <c r="P387" i="2"/>
  <c r="T582" i="2"/>
  <c r="D778" i="2"/>
  <c r="N971" i="2"/>
  <c r="U1206" i="2"/>
  <c r="P1580" i="2"/>
  <c r="Q1190" i="2"/>
  <c r="E1196" i="2"/>
  <c r="R805" i="2"/>
  <c r="F1195" i="2"/>
  <c r="Q798" i="2"/>
  <c r="U1188" i="2"/>
  <c r="M798" i="2"/>
  <c r="V1187" i="2"/>
  <c r="N797" i="2"/>
  <c r="E796" i="2"/>
  <c r="I406" i="2"/>
  <c r="Q796" i="2"/>
  <c r="V797" i="2"/>
  <c r="F1511" i="2"/>
  <c r="S1121" i="2"/>
  <c r="S1120" i="2"/>
  <c r="N1120" i="2"/>
  <c r="E1153" i="2"/>
  <c r="P1345" i="2"/>
  <c r="O1150" i="2"/>
  <c r="H956" i="2"/>
  <c r="G761" i="2"/>
  <c r="H955" i="2"/>
  <c r="G760" i="2"/>
  <c r="C955" i="2"/>
  <c r="J760" i="2"/>
  <c r="T953" i="2"/>
  <c r="S758" i="2"/>
  <c r="H564" i="2"/>
  <c r="V685" i="2"/>
  <c r="I1076" i="2"/>
  <c r="M686" i="2"/>
  <c r="Q1464" i="2"/>
  <c r="I1074" i="2"/>
  <c r="R1463" i="2"/>
  <c r="J1073" i="2"/>
  <c r="V1071" i="2"/>
  <c r="E682" i="2"/>
  <c r="M1072" i="2"/>
  <c r="U826" i="2"/>
  <c r="D1217" i="2"/>
  <c r="L1493" i="2"/>
  <c r="G1102" i="2"/>
  <c r="Q449" i="2"/>
  <c r="O449" i="2"/>
  <c r="M449" i="2"/>
  <c r="P448" i="2"/>
  <c r="N448" i="2"/>
  <c r="H58" i="2"/>
  <c r="N892" i="2"/>
  <c r="M494" i="2"/>
  <c r="E884" i="2"/>
  <c r="I494" i="2"/>
  <c r="F883" i="2"/>
  <c r="N618" i="2"/>
  <c r="M423" i="2"/>
  <c r="I618" i="2"/>
  <c r="H423" i="2"/>
  <c r="L618" i="2"/>
  <c r="K423" i="2"/>
  <c r="T617" i="2"/>
  <c r="S422" i="2"/>
  <c r="F228" i="2"/>
  <c r="E33" i="2"/>
  <c r="U196" i="2"/>
  <c r="N2" i="2"/>
  <c r="G988" i="2"/>
  <c r="P1377" i="2"/>
  <c r="H987" i="2"/>
  <c r="T985" i="2"/>
  <c r="C596" i="2"/>
  <c r="K986" i="2"/>
  <c r="D691" i="2"/>
  <c r="O420" i="2"/>
  <c r="S615" i="2"/>
  <c r="R420" i="2"/>
  <c r="H1005" i="2"/>
  <c r="G810" i="2"/>
  <c r="Q615" i="2"/>
  <c r="P420" i="2"/>
  <c r="L615" i="2"/>
  <c r="K420" i="2"/>
  <c r="O615" i="2"/>
  <c r="N420" i="2"/>
  <c r="I1004" i="2"/>
  <c r="H809" i="2"/>
  <c r="R614" i="2"/>
  <c r="Q419" i="2"/>
  <c r="M614" i="2"/>
  <c r="L419" i="2"/>
  <c r="P614" i="2"/>
  <c r="O419" i="2"/>
  <c r="C614" i="2"/>
  <c r="W418" i="2"/>
  <c r="J224" i="2"/>
  <c r="I29" i="2"/>
  <c r="D193" i="2"/>
  <c r="C357" i="2"/>
  <c r="W972" i="2"/>
  <c r="K1362" i="2"/>
  <c r="C972" i="2"/>
  <c r="O970" i="2"/>
  <c r="S580" i="2"/>
  <c r="F971" i="2"/>
  <c r="Q682" i="2"/>
  <c r="S416" i="2"/>
  <c r="W611" i="2"/>
  <c r="V416" i="2"/>
  <c r="L1001" i="2"/>
  <c r="K806" i="2"/>
  <c r="U611" i="2"/>
  <c r="T416" i="2"/>
  <c r="P611" i="2"/>
  <c r="O416" i="2"/>
  <c r="S611" i="2"/>
  <c r="R416" i="2"/>
  <c r="M1000" i="2"/>
  <c r="L805" i="2"/>
  <c r="V610" i="2"/>
  <c r="U415" i="2"/>
  <c r="Q610" i="2"/>
  <c r="P415" i="2"/>
  <c r="T610" i="2"/>
  <c r="S415" i="2"/>
  <c r="G610" i="2"/>
  <c r="F415" i="2"/>
  <c r="N220" i="2"/>
  <c r="M25" i="2"/>
  <c r="H189" i="2"/>
  <c r="S261" i="2"/>
  <c r="M19" i="2"/>
  <c r="I676" i="2"/>
  <c r="H481" i="2"/>
  <c r="P286" i="2"/>
  <c r="O91" i="2"/>
  <c r="J255" i="2"/>
  <c r="I60" i="2"/>
  <c r="H224" i="2"/>
  <c r="G29" i="2"/>
  <c r="W682" i="2"/>
  <c r="V487" i="2"/>
  <c r="I293" i="2"/>
  <c r="H98" i="2"/>
  <c r="C262" i="2"/>
  <c r="W66" i="2"/>
  <c r="V230" i="2"/>
  <c r="U35" i="2"/>
  <c r="C682" i="2"/>
  <c r="W486" i="2"/>
  <c r="J292" i="2"/>
  <c r="I97" i="2"/>
  <c r="D261" i="2"/>
  <c r="C66" i="2"/>
  <c r="W229" i="2"/>
  <c r="V34" i="2"/>
  <c r="H199" i="2"/>
  <c r="S276" i="2"/>
  <c r="R81" i="2"/>
  <c r="F201" i="2"/>
  <c r="Q278" i="2"/>
  <c r="P83" i="2"/>
  <c r="O169" i="2"/>
  <c r="H331" i="2"/>
  <c r="T629" i="2"/>
  <c r="U673" i="2"/>
  <c r="N674" i="2"/>
  <c r="D1062" i="2"/>
  <c r="E1063" i="2"/>
  <c r="U1061" i="2"/>
  <c r="F1062" i="2"/>
  <c r="V1060" i="2"/>
  <c r="F670" i="2"/>
  <c r="D670" i="2"/>
  <c r="R670" i="2"/>
  <c r="L814" i="2"/>
  <c r="M815" i="2"/>
  <c r="U1052" i="2"/>
  <c r="J437" i="2"/>
  <c r="W826" i="2"/>
  <c r="F437" i="2"/>
  <c r="C826" i="2"/>
  <c r="G436" i="2"/>
  <c r="R435" i="2"/>
  <c r="R844" i="2"/>
  <c r="V452" i="2"/>
  <c r="L482" i="2"/>
  <c r="J482" i="2"/>
  <c r="H482" i="2"/>
  <c r="C713" i="2"/>
  <c r="W517" i="2"/>
  <c r="S712" i="2"/>
  <c r="R517" i="2"/>
  <c r="V712" i="2"/>
  <c r="U517" i="2"/>
  <c r="I712" i="2"/>
  <c r="H517" i="2"/>
  <c r="P322" i="2"/>
  <c r="O127" i="2"/>
  <c r="J291" i="2"/>
  <c r="I96" i="2"/>
  <c r="H260" i="2"/>
  <c r="S975" i="2"/>
  <c r="D976" i="2"/>
  <c r="T974" i="2"/>
  <c r="D584" i="2"/>
  <c r="W583" i="2"/>
  <c r="P584" i="2"/>
  <c r="D515" i="2"/>
  <c r="H710" i="2"/>
  <c r="G515" i="2"/>
  <c r="R1099" i="2"/>
  <c r="Q904" i="2"/>
  <c r="F710" i="2"/>
  <c r="E515" i="2"/>
  <c r="V709" i="2"/>
  <c r="U514" i="2"/>
  <c r="D710" i="2"/>
  <c r="C515" i="2"/>
  <c r="S1098" i="2"/>
  <c r="R903" i="2"/>
  <c r="G709" i="2"/>
  <c r="F514" i="2"/>
  <c r="W708" i="2"/>
  <c r="V513" i="2"/>
  <c r="E709" i="2"/>
  <c r="D514" i="2"/>
  <c r="M708" i="2"/>
  <c r="L513" i="2"/>
  <c r="T318" i="2"/>
  <c r="S123" i="2"/>
  <c r="N287" i="2"/>
  <c r="M92" i="2"/>
  <c r="L256" i="2"/>
  <c r="N960" i="2"/>
  <c r="T960" i="2"/>
  <c r="O959" i="2"/>
  <c r="T568" i="2"/>
  <c r="R568" i="2"/>
  <c r="K569" i="2"/>
  <c r="H511" i="2"/>
  <c r="L706" i="2"/>
  <c r="K511" i="2"/>
  <c r="V1095" i="2"/>
  <c r="U900" i="2"/>
  <c r="J706" i="2"/>
  <c r="I511" i="2"/>
  <c r="E706" i="2"/>
  <c r="D511" i="2"/>
  <c r="H706" i="2"/>
  <c r="G511" i="2"/>
  <c r="W1094" i="2"/>
  <c r="V899" i="2"/>
  <c r="K705" i="2"/>
  <c r="J510" i="2"/>
  <c r="F705" i="2"/>
  <c r="E510" i="2"/>
  <c r="I705" i="2"/>
  <c r="H510" i="2"/>
  <c r="Q704" i="2"/>
  <c r="P509" i="2"/>
  <c r="C315" i="2"/>
  <c r="W119" i="2"/>
  <c r="R283" i="2"/>
  <c r="R91" i="2"/>
  <c r="W113" i="2"/>
  <c r="I381" i="2"/>
  <c r="R575" i="2"/>
  <c r="Q380" i="2"/>
  <c r="D186" i="2"/>
  <c r="T349" i="2"/>
  <c r="S154" i="2"/>
  <c r="R318" i="2"/>
  <c r="Q123" i="2"/>
  <c r="W387" i="2"/>
  <c r="K582" i="2"/>
  <c r="J387" i="2"/>
  <c r="R192" i="2"/>
  <c r="M356" i="2"/>
  <c r="L161" i="2"/>
  <c r="K325" i="2"/>
  <c r="J130" i="2"/>
  <c r="C387" i="2"/>
  <c r="L581" i="2"/>
  <c r="K386" i="2"/>
  <c r="S191" i="2"/>
  <c r="N355" i="2"/>
  <c r="M160" i="2"/>
  <c r="L324" i="2"/>
  <c r="K129" i="2"/>
  <c r="D295" i="2"/>
  <c r="Q98" i="2"/>
  <c r="G176" i="2"/>
  <c r="Q2" i="2"/>
  <c r="O100" i="2"/>
  <c r="E178" i="2"/>
  <c r="N358" i="2"/>
  <c r="M67" i="2"/>
  <c r="I724" i="2"/>
  <c r="S612" i="2"/>
  <c r="F1003" i="2"/>
  <c r="J613" i="2"/>
  <c r="N1391" i="2"/>
  <c r="F1001" i="2"/>
  <c r="O1390" i="2"/>
  <c r="G1000" i="2"/>
  <c r="S998" i="2"/>
  <c r="W608" i="2"/>
  <c r="J999" i="2"/>
  <c r="R753" i="2"/>
  <c r="V1143" i="2"/>
  <c r="U1200" i="2"/>
  <c r="P809" i="2"/>
  <c r="O767" i="2"/>
  <c r="L376" i="2"/>
  <c r="P766" i="2"/>
  <c r="M375" i="2"/>
  <c r="K375" i="2"/>
  <c r="V343" i="2"/>
  <c r="U988" i="2"/>
  <c r="J421" i="2"/>
  <c r="W810" i="2"/>
  <c r="F421" i="2"/>
  <c r="C810" i="2"/>
  <c r="H600" i="2"/>
  <c r="G405" i="2"/>
  <c r="C600" i="2"/>
  <c r="W404" i="2"/>
  <c r="F600" i="2"/>
  <c r="E405" i="2"/>
  <c r="N599" i="2"/>
  <c r="M404" i="2"/>
  <c r="U209" i="2"/>
  <c r="T14" i="2"/>
  <c r="O178" i="2"/>
  <c r="N342" i="2"/>
  <c r="D915" i="2"/>
  <c r="M1304" i="2"/>
  <c r="E914" i="2"/>
  <c r="Q912" i="2"/>
  <c r="U522" i="2"/>
  <c r="H913" i="2"/>
  <c r="M654" i="2"/>
  <c r="I402" i="2"/>
  <c r="M597" i="2"/>
  <c r="L402" i="2"/>
  <c r="W986" i="2"/>
  <c r="V791" i="2"/>
  <c r="K597" i="2"/>
  <c r="J402" i="2"/>
  <c r="F597" i="2"/>
  <c r="E402" i="2"/>
  <c r="I597" i="2"/>
  <c r="H402" i="2"/>
  <c r="C986" i="2"/>
  <c r="W790" i="2"/>
  <c r="L596" i="2"/>
  <c r="K401" i="2"/>
  <c r="G596" i="2"/>
  <c r="F401" i="2"/>
  <c r="J596" i="2"/>
  <c r="I401" i="2"/>
  <c r="R595" i="2"/>
  <c r="Q400" i="2"/>
  <c r="D206" i="2"/>
  <c r="C11" i="2"/>
  <c r="S174" i="2"/>
  <c r="R338" i="2"/>
  <c r="T899" i="2"/>
  <c r="H1289" i="2"/>
  <c r="U898" i="2"/>
  <c r="L897" i="2"/>
  <c r="P507" i="2"/>
  <c r="C898" i="2"/>
  <c r="E646" i="2"/>
  <c r="M398" i="2"/>
  <c r="Q593" i="2"/>
  <c r="P398" i="2"/>
  <c r="F983" i="2"/>
  <c r="E788" i="2"/>
  <c r="O593" i="2"/>
  <c r="N398" i="2"/>
  <c r="J593" i="2"/>
  <c r="I398" i="2"/>
  <c r="M593" i="2"/>
  <c r="L398" i="2"/>
  <c r="G982" i="2"/>
  <c r="F787" i="2"/>
  <c r="P592" i="2"/>
  <c r="O397" i="2"/>
  <c r="K592" i="2"/>
  <c r="J397" i="2"/>
  <c r="N592" i="2"/>
  <c r="M397" i="2"/>
  <c r="V591" i="2"/>
  <c r="U396" i="2"/>
  <c r="H202" i="2"/>
  <c r="G7" i="2"/>
  <c r="W170" i="2"/>
  <c r="G225" i="2"/>
  <c r="L359" i="2"/>
  <c r="C658" i="2"/>
  <c r="W462" i="2"/>
  <c r="J268" i="2"/>
  <c r="I73" i="2"/>
  <c r="D237" i="2"/>
  <c r="C42" i="2"/>
  <c r="W205" i="2"/>
  <c r="V10" i="2"/>
  <c r="Q664" i="2"/>
  <c r="P469" i="2"/>
  <c r="C275" i="2"/>
  <c r="W79" i="2"/>
  <c r="R243" i="2"/>
  <c r="Q48" i="2"/>
  <c r="P212" i="2"/>
  <c r="O17" i="2"/>
  <c r="R663" i="2"/>
  <c r="Q468" i="2"/>
  <c r="D274" i="2"/>
  <c r="C79" i="2"/>
  <c r="S242" i="2"/>
  <c r="R47" i="2"/>
  <c r="Q211" i="2"/>
  <c r="P16" i="2"/>
  <c r="W180" i="2"/>
  <c r="M258" i="2"/>
  <c r="L63" i="2"/>
  <c r="U182" i="2"/>
  <c r="K260" i="2"/>
  <c r="J65" i="2"/>
  <c r="S149" i="2"/>
  <c r="W312" i="2"/>
  <c r="N611" i="2"/>
  <c r="W551" i="2"/>
  <c r="P552" i="2"/>
  <c r="F940" i="2"/>
  <c r="G941" i="2"/>
  <c r="W939" i="2"/>
  <c r="H940" i="2"/>
  <c r="C939" i="2"/>
  <c r="H548" i="2"/>
  <c r="F548" i="2"/>
  <c r="T548" i="2"/>
  <c r="T1521" i="2"/>
  <c r="L1131" i="2"/>
  <c r="I760" i="2"/>
  <c r="G364" i="2"/>
  <c r="T753" i="2"/>
  <c r="C364" i="2"/>
  <c r="U752" i="2"/>
  <c r="D363" i="2"/>
  <c r="O362" i="2"/>
  <c r="V1331" i="2"/>
  <c r="Q940" i="2"/>
  <c r="I409" i="2"/>
  <c r="G409" i="2"/>
  <c r="E409" i="2"/>
  <c r="R694" i="2"/>
  <c r="Q499" i="2"/>
  <c r="M694" i="2"/>
  <c r="L499" i="2"/>
  <c r="P694" i="2"/>
  <c r="O499" i="2"/>
  <c r="C694" i="2"/>
  <c r="W498" i="2"/>
  <c r="J304" i="2"/>
  <c r="I109" i="2"/>
  <c r="D273" i="2"/>
  <c r="C78" i="2"/>
  <c r="W241" i="2"/>
  <c r="P902" i="2"/>
  <c r="V902" i="2"/>
  <c r="Q901" i="2"/>
  <c r="V510" i="2"/>
  <c r="T510" i="2"/>
  <c r="M511" i="2"/>
  <c r="S496" i="2"/>
  <c r="W691" i="2"/>
  <c r="V496" i="2"/>
  <c r="L1081" i="2"/>
  <c r="K886" i="2"/>
  <c r="U691" i="2"/>
  <c r="T496" i="2"/>
  <c r="P691" i="2"/>
  <c r="O496" i="2"/>
  <c r="S691" i="2"/>
  <c r="R496" i="2"/>
  <c r="M1080" i="2"/>
  <c r="L885" i="2"/>
  <c r="V690" i="2"/>
  <c r="U495" i="2"/>
  <c r="Q690" i="2"/>
  <c r="P495" i="2"/>
  <c r="T690" i="2"/>
  <c r="S495" i="2"/>
  <c r="G690" i="2"/>
  <c r="F495" i="2"/>
  <c r="N300" i="2"/>
  <c r="M105" i="2"/>
  <c r="H269" i="2"/>
  <c r="G74" i="2"/>
  <c r="F238" i="2"/>
  <c r="K887" i="2"/>
  <c r="Q887" i="2"/>
  <c r="L886" i="2"/>
  <c r="Q495" i="2"/>
  <c r="O495" i="2"/>
  <c r="H496" i="2"/>
  <c r="W492" i="2"/>
  <c r="F688" i="2"/>
  <c r="E493" i="2"/>
  <c r="P1077" i="2"/>
  <c r="O882" i="2"/>
  <c r="D688" i="2"/>
  <c r="C493" i="2"/>
  <c r="T687" i="2"/>
  <c r="S492" i="2"/>
  <c r="W687" i="2"/>
  <c r="V492" i="2"/>
  <c r="Q1076" i="2"/>
  <c r="P881" i="2"/>
  <c r="E687" i="2"/>
  <c r="D492" i="2"/>
  <c r="U686" i="2"/>
  <c r="T491" i="2"/>
  <c r="C687" i="2"/>
  <c r="W491" i="2"/>
  <c r="K686" i="2"/>
  <c r="J491" i="2"/>
  <c r="R296" i="2"/>
  <c r="Q101" i="2"/>
  <c r="L265" i="2"/>
  <c r="F55" i="2"/>
  <c r="Q95" i="2"/>
  <c r="C363" i="2"/>
  <c r="L557" i="2"/>
  <c r="K362" i="2"/>
  <c r="S167" i="2"/>
  <c r="N331" i="2"/>
  <c r="M136" i="2"/>
  <c r="L300" i="2"/>
  <c r="K105" i="2"/>
  <c r="Q369" i="2"/>
  <c r="E564" i="2"/>
  <c r="D369" i="2"/>
  <c r="L174" i="2"/>
  <c r="G338" i="2"/>
  <c r="F143" i="2"/>
  <c r="E307" i="2"/>
  <c r="D112" i="2"/>
  <c r="R368" i="2"/>
  <c r="F563" i="2"/>
  <c r="E368" i="2"/>
  <c r="M173" i="2"/>
  <c r="H337" i="2"/>
  <c r="G142" i="2"/>
  <c r="F306" i="2"/>
  <c r="E111" i="2"/>
  <c r="L275" i="2"/>
  <c r="K80" i="2"/>
  <c r="V157" i="2"/>
  <c r="D111" i="2"/>
  <c r="L541" i="2"/>
  <c r="T346" i="2"/>
  <c r="S151" i="2"/>
  <c r="N315" i="2"/>
  <c r="M120" i="2"/>
  <c r="L284" i="2"/>
  <c r="K89" i="2"/>
  <c r="F743" i="2"/>
  <c r="E548" i="2"/>
  <c r="M353" i="2"/>
  <c r="L158" i="2"/>
  <c r="G322" i="2"/>
  <c r="F127" i="2"/>
  <c r="E291" i="2"/>
  <c r="D96" i="2"/>
  <c r="G742" i="2"/>
  <c r="F547" i="2"/>
  <c r="N352" i="2"/>
  <c r="M157" i="2"/>
  <c r="H321" i="2"/>
  <c r="G126" i="2"/>
  <c r="F290" i="2"/>
  <c r="E95" i="2"/>
  <c r="L259" i="2"/>
  <c r="K64" i="2"/>
  <c r="V141" i="2"/>
  <c r="J261" i="2"/>
  <c r="I66" i="2"/>
  <c r="T143" i="2"/>
  <c r="G289" i="2"/>
  <c r="G33" i="2"/>
  <c r="C690" i="2"/>
  <c r="W494" i="2"/>
  <c r="J300" i="2"/>
  <c r="I105" i="2"/>
  <c r="D269" i="2"/>
  <c r="C74" i="2"/>
  <c r="W237" i="2"/>
  <c r="V42" i="2"/>
  <c r="Q696" i="2"/>
  <c r="P501" i="2"/>
  <c r="C307" i="2"/>
  <c r="W111" i="2"/>
  <c r="R275" i="2"/>
  <c r="Q80" i="2"/>
  <c r="P244" i="2"/>
  <c r="O49" i="2"/>
  <c r="R695" i="2"/>
  <c r="Q500" i="2"/>
  <c r="D306" i="2"/>
  <c r="C111" i="2"/>
  <c r="S274" i="2"/>
  <c r="R79" i="2"/>
  <c r="Q243" i="2"/>
  <c r="P48" i="2"/>
  <c r="W212" i="2"/>
  <c r="M290" i="2"/>
  <c r="L95" i="2"/>
  <c r="U214" i="2"/>
  <c r="S292" i="2"/>
  <c r="J97" i="2"/>
  <c r="L288" i="2"/>
  <c r="L32" i="2"/>
  <c r="H689" i="2"/>
  <c r="G494" i="2"/>
  <c r="O299" i="2"/>
  <c r="N104" i="2"/>
  <c r="I268" i="2"/>
  <c r="H73" i="2"/>
  <c r="G237" i="2"/>
  <c r="F42" i="2"/>
  <c r="V695" i="2"/>
  <c r="U500" i="2"/>
  <c r="H306" i="2"/>
  <c r="G111" i="2"/>
  <c r="W274" i="2"/>
  <c r="V79" i="2"/>
  <c r="U243" i="2"/>
  <c r="T48" i="2"/>
  <c r="W694" i="2"/>
  <c r="V499" i="2"/>
  <c r="I305" i="2"/>
  <c r="H110" i="2"/>
  <c r="C274" i="2"/>
  <c r="W78" i="2"/>
  <c r="V242" i="2"/>
  <c r="U47" i="2"/>
  <c r="G212" i="2"/>
  <c r="R289" i="2"/>
  <c r="Q94" i="2"/>
  <c r="E214" i="2"/>
  <c r="T291" i="2"/>
  <c r="O96" i="2"/>
  <c r="R25" i="2"/>
  <c r="L382" i="2"/>
  <c r="W235" i="2"/>
  <c r="T21" i="2"/>
  <c r="O478" i="2"/>
  <c r="P311" i="2"/>
  <c r="F217" i="2"/>
  <c r="W96" i="2"/>
  <c r="D200" i="2"/>
  <c r="P489" i="2"/>
  <c r="C295" i="2"/>
  <c r="W99" i="2"/>
  <c r="R263" i="2"/>
  <c r="Q68" i="2"/>
  <c r="P232" i="2"/>
  <c r="O37" i="2"/>
  <c r="J691" i="2"/>
  <c r="I496" i="2"/>
  <c r="Q301" i="2"/>
  <c r="P106" i="2"/>
  <c r="K270" i="2"/>
  <c r="J75" i="2"/>
  <c r="I239" i="2"/>
  <c r="H44" i="2"/>
  <c r="K690" i="2"/>
  <c r="J495" i="2"/>
  <c r="R300" i="2"/>
  <c r="Q105" i="2"/>
  <c r="L269" i="2"/>
  <c r="K74" i="2"/>
  <c r="J238" i="2"/>
  <c r="I43" i="2"/>
  <c r="P207" i="2"/>
  <c r="F285" i="2"/>
  <c r="E90" i="2"/>
  <c r="N209" i="2"/>
  <c r="D287" i="2"/>
  <c r="C92" i="2"/>
  <c r="O185" i="2"/>
  <c r="P339" i="2"/>
  <c r="G638" i="2"/>
  <c r="F443" i="2"/>
  <c r="N248" i="2"/>
  <c r="M53" i="2"/>
  <c r="H217" i="2"/>
  <c r="G22" i="2"/>
  <c r="F186" i="2"/>
  <c r="J349" i="2"/>
  <c r="U644" i="2"/>
  <c r="T449" i="2"/>
  <c r="G255" i="2"/>
  <c r="F60" i="2"/>
  <c r="V223" i="2"/>
  <c r="U28" i="2"/>
  <c r="T192" i="2"/>
  <c r="C356" i="2"/>
  <c r="V643" i="2"/>
  <c r="U448" i="2"/>
  <c r="H254" i="2"/>
  <c r="G59" i="2"/>
  <c r="W222" i="2"/>
  <c r="V27" i="2"/>
  <c r="U191" i="2"/>
  <c r="D355" i="2"/>
  <c r="F161" i="2"/>
  <c r="Q238" i="2"/>
  <c r="P43" i="2"/>
  <c r="D163" i="2"/>
  <c r="O240" i="2"/>
  <c r="N45" i="2"/>
  <c r="T184" i="2"/>
  <c r="U338" i="2"/>
  <c r="L637" i="2"/>
  <c r="K442" i="2"/>
  <c r="S247" i="2"/>
  <c r="R52" i="2"/>
  <c r="M216" i="2"/>
  <c r="L21" i="2"/>
  <c r="K185" i="2"/>
  <c r="O348" i="2"/>
  <c r="E644" i="2"/>
  <c r="D449" i="2"/>
  <c r="L254" i="2"/>
  <c r="K59" i="2"/>
  <c r="F223" i="2"/>
  <c r="E28" i="2"/>
  <c r="D192" i="2"/>
  <c r="H355" i="2"/>
  <c r="F643" i="2"/>
  <c r="E448" i="2"/>
  <c r="M253" i="2"/>
  <c r="L58" i="2"/>
  <c r="G222" i="2"/>
  <c r="F27" i="2"/>
  <c r="E191" i="2"/>
  <c r="I354" i="2"/>
  <c r="K160" i="2"/>
  <c r="V237" i="2"/>
  <c r="U42" i="2"/>
  <c r="I162" i="2"/>
  <c r="T239" i="2"/>
  <c r="S44" i="2"/>
  <c r="Q6" i="2"/>
  <c r="M333" i="2"/>
  <c r="F107" i="2"/>
  <c r="K240" i="2"/>
  <c r="U122" i="2"/>
  <c r="H47" i="2"/>
  <c r="N643" i="2"/>
  <c r="L290" i="2"/>
  <c r="T394" i="2"/>
  <c r="G394" i="2"/>
  <c r="F351" i="2"/>
  <c r="U307" i="2"/>
  <c r="M369" i="2"/>
  <c r="V344" i="2"/>
  <c r="U264" i="2"/>
  <c r="Q99" i="2"/>
  <c r="D183" i="2"/>
  <c r="N221" i="2"/>
  <c r="G204" i="2"/>
  <c r="I334" i="2"/>
  <c r="T437" i="2"/>
  <c r="G243" i="2"/>
  <c r="F48" i="2"/>
  <c r="V211" i="2"/>
  <c r="U16" i="2"/>
  <c r="T180" i="2"/>
  <c r="C344" i="2"/>
  <c r="N639" i="2"/>
  <c r="M444" i="2"/>
  <c r="U249" i="2"/>
  <c r="T54" i="2"/>
  <c r="O218" i="2"/>
  <c r="N23" i="2"/>
  <c r="M187" i="2"/>
  <c r="Q350" i="2"/>
  <c r="O638" i="2"/>
  <c r="N443" i="2"/>
  <c r="V248" i="2"/>
  <c r="U53" i="2"/>
  <c r="P217" i="2"/>
  <c r="O22" i="2"/>
  <c r="N186" i="2"/>
  <c r="R349" i="2"/>
  <c r="T155" i="2"/>
  <c r="J233" i="2"/>
  <c r="I38" i="2"/>
  <c r="R157" i="2"/>
  <c r="H235" i="2"/>
  <c r="K118" i="2"/>
  <c r="P124" i="2"/>
  <c r="W391" i="2"/>
  <c r="K586" i="2"/>
  <c r="J391" i="2"/>
  <c r="R196" i="2"/>
  <c r="N360" i="2"/>
  <c r="L165" i="2"/>
  <c r="K329" i="2"/>
  <c r="J134" i="2"/>
  <c r="N297" i="2"/>
  <c r="D593" i="2"/>
  <c r="C398" i="2"/>
  <c r="K203" i="2"/>
  <c r="J8" i="2"/>
  <c r="E172" i="2"/>
  <c r="D336" i="2"/>
  <c r="C141" i="2"/>
  <c r="G304" i="2"/>
  <c r="E592" i="2"/>
  <c r="D397" i="2"/>
  <c r="L202" i="2"/>
  <c r="K7" i="2"/>
  <c r="F171" i="2"/>
  <c r="E335" i="2"/>
  <c r="D140" i="2"/>
  <c r="H303" i="2"/>
  <c r="J109" i="2"/>
  <c r="U186" i="2"/>
  <c r="J21" i="2"/>
  <c r="H111" i="2"/>
  <c r="S188" i="2"/>
  <c r="J115" i="2"/>
  <c r="U123" i="2"/>
  <c r="G391" i="2"/>
  <c r="P585" i="2"/>
  <c r="O390" i="2"/>
  <c r="W195" i="2"/>
  <c r="R359" i="2"/>
  <c r="Q164" i="2"/>
  <c r="P328" i="2"/>
  <c r="O133" i="2"/>
  <c r="S296" i="2"/>
  <c r="I592" i="2"/>
  <c r="H397" i="2"/>
  <c r="P202" i="2"/>
  <c r="O7" i="2"/>
  <c r="J171" i="2"/>
  <c r="I335" i="2"/>
  <c r="H140" i="2"/>
  <c r="L303" i="2"/>
  <c r="J591" i="2"/>
  <c r="I396" i="2"/>
  <c r="Q201" i="2"/>
  <c r="P6" i="2"/>
  <c r="K170" i="2"/>
  <c r="J334" i="2"/>
  <c r="I139" i="2"/>
  <c r="M302" i="2"/>
  <c r="O108" i="2"/>
  <c r="E186" i="2"/>
  <c r="T19" i="2"/>
  <c r="M110" i="2"/>
  <c r="C188" i="2"/>
  <c r="S28" i="2"/>
  <c r="P394" i="2"/>
  <c r="T162" i="2"/>
  <c r="V258" i="2"/>
  <c r="E94" i="2"/>
  <c r="C16" i="2"/>
  <c r="N173" i="2"/>
  <c r="T81" i="2"/>
  <c r="Q47" i="2"/>
  <c r="R655" i="2"/>
  <c r="M229" i="2"/>
  <c r="H22" i="2"/>
  <c r="C186" i="2"/>
  <c r="W349" i="2"/>
  <c r="S81" i="2"/>
  <c r="I528" i="2"/>
  <c r="P138" i="2"/>
  <c r="J107" i="2"/>
  <c r="D64" i="2"/>
  <c r="N539" i="2"/>
  <c r="U149" i="2"/>
  <c r="P57" i="2"/>
  <c r="T251" i="2"/>
  <c r="M14" i="2"/>
  <c r="Q38" i="2"/>
  <c r="S220" i="2"/>
  <c r="V571" i="2"/>
  <c r="T373" i="2"/>
  <c r="G179" i="2"/>
  <c r="W342" i="2"/>
  <c r="V147" i="2"/>
  <c r="U311" i="2"/>
  <c r="T116" i="2"/>
  <c r="E381" i="2"/>
  <c r="N575" i="2"/>
  <c r="M380" i="2"/>
  <c r="U185" i="2"/>
  <c r="P349" i="2"/>
  <c r="O154" i="2"/>
  <c r="N318" i="2"/>
  <c r="M123" i="2"/>
  <c r="F380" i="2"/>
  <c r="O574" i="2"/>
  <c r="N379" i="2"/>
  <c r="V184" i="2"/>
  <c r="Q348" i="2"/>
  <c r="P153" i="2"/>
  <c r="O317" i="2"/>
  <c r="N122" i="2"/>
  <c r="U286" i="2"/>
  <c r="T91" i="2"/>
  <c r="J169" i="2"/>
  <c r="S288" i="2"/>
  <c r="R93" i="2"/>
  <c r="H171" i="2"/>
  <c r="D344" i="2"/>
  <c r="P60" i="2"/>
  <c r="L717" i="2"/>
  <c r="K522" i="2"/>
  <c r="S327" i="2"/>
  <c r="R132" i="2"/>
  <c r="M296" i="2"/>
  <c r="L101" i="2"/>
  <c r="K265" i="2"/>
  <c r="J70" i="2"/>
  <c r="E724" i="2"/>
  <c r="D529" i="2"/>
  <c r="L334" i="2"/>
  <c r="K139" i="2"/>
  <c r="F303" i="2"/>
  <c r="E108" i="2"/>
  <c r="D272" i="2"/>
  <c r="O887" i="2"/>
  <c r="P888" i="2"/>
  <c r="N956" i="2"/>
  <c r="M510" i="2"/>
  <c r="E900" i="2"/>
  <c r="I510" i="2"/>
  <c r="F899" i="2"/>
  <c r="J509" i="2"/>
  <c r="U508" i="2"/>
  <c r="I1137" i="2"/>
  <c r="M745" i="2"/>
  <c r="O555" i="2"/>
  <c r="M555" i="2"/>
  <c r="K555" i="2"/>
  <c r="I731" i="2"/>
  <c r="H536" i="2"/>
  <c r="D731" i="2"/>
  <c r="C536" i="2"/>
  <c r="G731" i="2"/>
  <c r="F536" i="2"/>
  <c r="O730" i="2"/>
  <c r="N535" i="2"/>
  <c r="V340" i="2"/>
  <c r="U145" i="2"/>
  <c r="P309" i="2"/>
  <c r="O114" i="2"/>
  <c r="N278" i="2"/>
  <c r="V1048" i="2"/>
  <c r="G1049" i="2"/>
  <c r="W1047" i="2"/>
  <c r="G657" i="2"/>
  <c r="E657" i="2"/>
  <c r="S657" i="2"/>
  <c r="J533" i="2"/>
  <c r="N728" i="2"/>
  <c r="M533" i="2"/>
  <c r="C1118" i="2"/>
  <c r="W922" i="2"/>
  <c r="L728" i="2"/>
  <c r="K533" i="2"/>
  <c r="G728" i="2"/>
  <c r="F533" i="2"/>
  <c r="J728" i="2"/>
  <c r="I533" i="2"/>
  <c r="D1117" i="2"/>
  <c r="C922" i="2"/>
  <c r="M727" i="2"/>
  <c r="L532" i="2"/>
  <c r="H727" i="2"/>
  <c r="G532" i="2"/>
  <c r="K727" i="2"/>
  <c r="J532" i="2"/>
  <c r="S726" i="2"/>
  <c r="R531" i="2"/>
  <c r="E337" i="2"/>
  <c r="D142" i="2"/>
  <c r="T305" i="2"/>
  <c r="S110" i="2"/>
  <c r="R274" i="2"/>
  <c r="Q1033" i="2"/>
  <c r="W1033" i="2"/>
  <c r="R1032" i="2"/>
  <c r="W641" i="2"/>
  <c r="U641" i="2"/>
  <c r="N642" i="2"/>
  <c r="N529" i="2"/>
  <c r="R724" i="2"/>
  <c r="Q529" i="2"/>
  <c r="G1114" i="2"/>
  <c r="F919" i="2"/>
  <c r="P724" i="2"/>
  <c r="O529" i="2"/>
  <c r="K724" i="2"/>
  <c r="U996" i="2"/>
  <c r="T801" i="2"/>
  <c r="I607" i="2"/>
  <c r="H412" i="2"/>
  <c r="D607" i="2"/>
  <c r="C412" i="2"/>
  <c r="G607" i="2"/>
  <c r="F412" i="2"/>
  <c r="V995" i="2"/>
  <c r="U800" i="2"/>
  <c r="F1678" i="2"/>
  <c r="G1288" i="2"/>
  <c r="P1293" i="2"/>
  <c r="H903" i="2"/>
  <c r="Q1292" i="2"/>
  <c r="G896" i="2"/>
  <c r="K1286" i="2"/>
  <c r="C896" i="2"/>
  <c r="L1285" i="2"/>
  <c r="D895" i="2"/>
  <c r="P893" i="2"/>
  <c r="T503" i="2"/>
  <c r="G894" i="2"/>
  <c r="L895" i="2"/>
  <c r="M1173" i="2"/>
  <c r="T1169" i="2"/>
  <c r="L780" i="2"/>
  <c r="L779" i="2"/>
  <c r="S1183" i="2"/>
  <c r="C1370" i="2"/>
  <c r="W1174" i="2"/>
  <c r="P980" i="2"/>
  <c r="O785" i="2"/>
  <c r="P979" i="2"/>
  <c r="O784" i="2"/>
  <c r="K979" i="2"/>
  <c r="R784" i="2"/>
  <c r="G978" i="2"/>
  <c r="F783" i="2"/>
  <c r="P588" i="2"/>
  <c r="O393" i="2"/>
  <c r="I785" i="2"/>
  <c r="F394" i="2"/>
  <c r="D1178" i="2"/>
  <c r="R782" i="2"/>
  <c r="F1176" i="2"/>
  <c r="S781" i="2"/>
  <c r="V780" i="2"/>
  <c r="S389" i="2"/>
  <c r="M781" i="2"/>
  <c r="F925" i="2"/>
  <c r="O1314" i="2"/>
  <c r="S1103" i="2"/>
  <c r="W711" i="2"/>
  <c r="G547" i="2"/>
  <c r="E547" i="2"/>
  <c r="C547" i="2"/>
  <c r="F546" i="2"/>
  <c r="D546" i="2"/>
  <c r="S155" i="2"/>
  <c r="S892" i="2"/>
  <c r="D643" i="2"/>
  <c r="P981" i="2"/>
  <c r="T591" i="2"/>
  <c r="Q980" i="2"/>
  <c r="V642" i="2"/>
  <c r="U447" i="2"/>
  <c r="Q642" i="2"/>
  <c r="P447" i="2"/>
  <c r="T642" i="2"/>
  <c r="S447" i="2"/>
  <c r="G642" i="2"/>
  <c r="F447" i="2"/>
  <c r="N252" i="2"/>
  <c r="M57" i="2"/>
  <c r="H221" i="2"/>
  <c r="G26" i="2"/>
  <c r="F190" i="2"/>
  <c r="F1475" i="2"/>
  <c r="S1084" i="2"/>
  <c r="J1083" i="2"/>
  <c r="N693" i="2"/>
  <c r="V1083" i="2"/>
  <c r="T739" i="2"/>
  <c r="W444" i="2"/>
  <c r="F640" i="2"/>
  <c r="E445" i="2"/>
  <c r="P1029" i="2"/>
  <c r="O834" i="2"/>
  <c r="D640" i="2"/>
  <c r="C445" i="2"/>
  <c r="T639" i="2"/>
  <c r="S444" i="2"/>
  <c r="W639" i="2"/>
  <c r="V444" i="2"/>
  <c r="Q1028" i="2"/>
  <c r="P833" i="2"/>
  <c r="E639" i="2"/>
  <c r="D444" i="2"/>
  <c r="U638" i="2"/>
  <c r="T443" i="2"/>
  <c r="C639" i="2"/>
  <c r="W443" i="2"/>
  <c r="K638" i="2"/>
  <c r="J443" i="2"/>
  <c r="R248" i="2"/>
  <c r="Q53" i="2"/>
  <c r="L217" i="2"/>
  <c r="K22" i="2"/>
  <c r="J186" i="2"/>
  <c r="V1459" i="2"/>
  <c r="N1069" i="2"/>
  <c r="E1068" i="2"/>
  <c r="I678" i="2"/>
  <c r="Q1068" i="2"/>
  <c r="L731" i="2"/>
  <c r="F441" i="2"/>
  <c r="J636" i="2"/>
  <c r="I441" i="2"/>
  <c r="T1025" i="2"/>
  <c r="S830" i="2"/>
  <c r="H636" i="2"/>
  <c r="G441" i="2"/>
  <c r="C636" i="2"/>
  <c r="W440" i="2"/>
  <c r="F636" i="2"/>
  <c r="E441" i="2"/>
  <c r="U1024" i="2"/>
  <c r="T829" i="2"/>
  <c r="I635" i="2"/>
  <c r="H440" i="2"/>
  <c r="D635" i="2"/>
  <c r="C440" i="2"/>
  <c r="G635" i="2"/>
  <c r="F440" i="2"/>
  <c r="O634" i="2"/>
  <c r="N439" i="2"/>
  <c r="V244" i="2"/>
  <c r="U49" i="2"/>
  <c r="P213" i="2"/>
  <c r="N310" i="2"/>
  <c r="U43" i="2"/>
  <c r="Q700" i="2"/>
  <c r="P505" i="2"/>
  <c r="C311" i="2"/>
  <c r="W115" i="2"/>
  <c r="R279" i="2"/>
  <c r="Q84" i="2"/>
  <c r="P248" i="2"/>
  <c r="O53" i="2"/>
  <c r="J707" i="2"/>
  <c r="I512" i="2"/>
  <c r="Q317" i="2"/>
  <c r="P122" i="2"/>
  <c r="K286" i="2"/>
  <c r="J91" i="2"/>
  <c r="I255" i="2"/>
  <c r="H60" i="2"/>
  <c r="K706" i="2"/>
  <c r="J511" i="2"/>
  <c r="R316" i="2"/>
  <c r="Q121" i="2"/>
  <c r="L285" i="2"/>
  <c r="K90" i="2"/>
  <c r="J254" i="2"/>
  <c r="I59" i="2"/>
  <c r="P223" i="2"/>
  <c r="E14" i="2"/>
  <c r="E106" i="2"/>
  <c r="N225" i="2"/>
  <c r="I18" i="2"/>
  <c r="C108" i="2"/>
  <c r="J218" i="2"/>
  <c r="P355" i="2"/>
  <c r="G654" i="2"/>
  <c r="F381" i="2"/>
  <c r="N771" i="2"/>
  <c r="R769" i="2"/>
  <c r="V1159" i="2"/>
  <c r="N769" i="2"/>
  <c r="W1158" i="2"/>
  <c r="O768" i="2"/>
  <c r="F767" i="2"/>
  <c r="J377" i="2"/>
  <c r="R767" i="2"/>
  <c r="W911" i="2"/>
  <c r="C913" i="2"/>
  <c r="D1054" i="2"/>
  <c r="U534" i="2"/>
  <c r="M924" i="2"/>
  <c r="Q534" i="2"/>
  <c r="N923" i="2"/>
  <c r="R533" i="2"/>
  <c r="H533" i="2"/>
  <c r="W844" i="2"/>
  <c r="S452" i="2"/>
  <c r="W579" i="2"/>
  <c r="U579" i="2"/>
  <c r="S579" i="2"/>
  <c r="K737" i="2"/>
  <c r="J542" i="2"/>
  <c r="F737" i="2"/>
  <c r="E542" i="2"/>
  <c r="I737" i="2"/>
  <c r="H542" i="2"/>
  <c r="Q736" i="2"/>
  <c r="P541" i="2"/>
  <c r="C347" i="2"/>
  <c r="W151" i="2"/>
  <c r="R315" i="2"/>
  <c r="Q120" i="2"/>
  <c r="P284" i="2"/>
  <c r="I1073" i="2"/>
  <c r="O1073" i="2"/>
  <c r="J1072" i="2"/>
  <c r="O681" i="2"/>
  <c r="M681" i="2"/>
  <c r="F682" i="2"/>
  <c r="L539" i="2"/>
  <c r="P734" i="2"/>
  <c r="O539" i="2"/>
  <c r="E1124" i="2"/>
  <c r="D929" i="2"/>
  <c r="N734" i="2"/>
  <c r="M539" i="2"/>
  <c r="I734" i="2"/>
  <c r="H539" i="2"/>
  <c r="L734" i="2"/>
  <c r="K539" i="2"/>
  <c r="F1123" i="2"/>
  <c r="E928" i="2"/>
  <c r="O733" i="2"/>
  <c r="N538" i="2"/>
  <c r="J733" i="2"/>
  <c r="I538" i="2"/>
  <c r="M733" i="2"/>
  <c r="L538" i="2"/>
  <c r="U732" i="2"/>
  <c r="T537" i="2"/>
  <c r="G343" i="2"/>
  <c r="F148" i="2"/>
  <c r="V311" i="2"/>
  <c r="U116" i="2"/>
  <c r="T280" i="2"/>
  <c r="D1058" i="2"/>
  <c r="J1058" i="2"/>
  <c r="E1057" i="2"/>
  <c r="J666" i="2"/>
  <c r="H666" i="2"/>
  <c r="V666" i="2"/>
  <c r="P535" i="2"/>
  <c r="T730" i="2"/>
  <c r="S535" i="2"/>
  <c r="I1120" i="2"/>
  <c r="H925" i="2"/>
  <c r="R730" i="2"/>
  <c r="Q535" i="2"/>
  <c r="M730" i="2"/>
  <c r="L535" i="2"/>
  <c r="P730" i="2"/>
  <c r="O535" i="2"/>
  <c r="J1119" i="2"/>
  <c r="I924" i="2"/>
  <c r="S729" i="2"/>
  <c r="R534" i="2"/>
  <c r="N729" i="2"/>
  <c r="M534" i="2"/>
  <c r="Q729" i="2"/>
  <c r="P534" i="2"/>
  <c r="D729" i="2"/>
  <c r="C534" i="2"/>
  <c r="K339" i="2"/>
  <c r="J144" i="2"/>
  <c r="E308" i="2"/>
  <c r="D113" i="2"/>
  <c r="J138" i="2"/>
  <c r="N301" i="2"/>
  <c r="E600" i="2"/>
  <c r="D405" i="2"/>
  <c r="L210" i="2"/>
  <c r="K15" i="2"/>
  <c r="F179" i="2"/>
  <c r="E343" i="2"/>
  <c r="D148" i="2"/>
  <c r="H311" i="2"/>
  <c r="S606" i="2"/>
  <c r="R411" i="2"/>
  <c r="E217" i="2"/>
  <c r="D22" i="2"/>
  <c r="T185" i="2"/>
  <c r="S349" i="2"/>
  <c r="R154" i="2"/>
  <c r="V317" i="2"/>
  <c r="T605" i="2"/>
  <c r="S410" i="2"/>
  <c r="F216" i="2"/>
  <c r="E21" i="2"/>
  <c r="U184" i="2"/>
  <c r="T348" i="2"/>
  <c r="S153" i="2"/>
  <c r="W316" i="2"/>
  <c r="D123" i="2"/>
  <c r="O200" i="2"/>
  <c r="N5" i="2"/>
  <c r="W124" i="2"/>
  <c r="M202" i="2"/>
  <c r="I48" i="2"/>
  <c r="U91" i="2"/>
  <c r="Q748" i="2"/>
  <c r="I710" i="2"/>
  <c r="Q1100" i="2"/>
  <c r="U710" i="2"/>
  <c r="D1489" i="2"/>
  <c r="Q1098" i="2"/>
  <c r="E1488" i="2"/>
  <c r="R1097" i="2"/>
  <c r="I1096" i="2"/>
  <c r="M706" i="2"/>
  <c r="U1096" i="2"/>
  <c r="H851" i="2"/>
  <c r="L1241" i="2"/>
  <c r="G811" i="2"/>
  <c r="K419" i="2"/>
  <c r="D474" i="2"/>
  <c r="W473" i="2"/>
  <c r="U473" i="2"/>
  <c r="C473" i="2"/>
  <c r="V472" i="2"/>
  <c r="P82" i="2"/>
  <c r="D990" i="2"/>
  <c r="U518" i="2"/>
  <c r="M908" i="2"/>
  <c r="Q518" i="2"/>
  <c r="N907" i="2"/>
  <c r="P624" i="2"/>
  <c r="O429" i="2"/>
  <c r="K624" i="2"/>
  <c r="J429" i="2"/>
  <c r="N624" i="2"/>
  <c r="M429" i="2"/>
  <c r="V623" i="2"/>
  <c r="U428" i="2"/>
  <c r="H234" i="2"/>
  <c r="G39" i="2"/>
  <c r="W202" i="2"/>
  <c r="V7" i="2"/>
  <c r="U171" i="2"/>
  <c r="C1402" i="2"/>
  <c r="P1011" i="2"/>
  <c r="G1010" i="2"/>
  <c r="K620" i="2"/>
  <c r="S1010" i="2"/>
  <c r="H703" i="2"/>
  <c r="Q426" i="2"/>
  <c r="U621" i="2"/>
  <c r="T426" i="2"/>
  <c r="J1011" i="2"/>
  <c r="I816" i="2"/>
  <c r="S621" i="2"/>
  <c r="R426" i="2"/>
  <c r="N621" i="2"/>
  <c r="M426" i="2"/>
  <c r="Q621" i="2"/>
  <c r="P426" i="2"/>
  <c r="K1010" i="2"/>
  <c r="J815" i="2"/>
  <c r="T620" i="2"/>
  <c r="S425" i="2"/>
  <c r="O620" i="2"/>
  <c r="N425" i="2"/>
  <c r="R620" i="2"/>
  <c r="Q425" i="2"/>
  <c r="E620" i="2"/>
  <c r="D425" i="2"/>
  <c r="L230" i="2"/>
  <c r="K35" i="2"/>
  <c r="F199" i="2"/>
  <c r="E4" i="2"/>
  <c r="D168" i="2"/>
  <c r="S1386" i="2"/>
  <c r="K996" i="2"/>
  <c r="W994" i="2"/>
  <c r="F605" i="2"/>
  <c r="N995" i="2"/>
  <c r="U694" i="2"/>
  <c r="U422" i="2"/>
  <c r="D618" i="2"/>
  <c r="C423" i="2"/>
  <c r="N1007" i="2"/>
  <c r="M812" i="2"/>
  <c r="W617" i="2"/>
  <c r="V422" i="2"/>
  <c r="R617" i="2"/>
  <c r="Q422" i="2"/>
  <c r="U617" i="2"/>
  <c r="T422" i="2"/>
  <c r="O1006" i="2"/>
  <c r="N811" i="2"/>
  <c r="C617" i="2"/>
  <c r="W421" i="2"/>
  <c r="S616" i="2"/>
  <c r="R421" i="2"/>
  <c r="V616" i="2"/>
  <c r="U421" i="2"/>
  <c r="I616" i="2"/>
  <c r="H421" i="2"/>
  <c r="P226" i="2"/>
  <c r="O31" i="2"/>
  <c r="J195" i="2"/>
  <c r="W273" i="2"/>
  <c r="O25" i="2"/>
  <c r="K682" i="2"/>
  <c r="J487" i="2"/>
  <c r="R292" i="2"/>
  <c r="Q97" i="2"/>
  <c r="L261" i="2"/>
  <c r="K66" i="2"/>
  <c r="J230" i="2"/>
  <c r="I35" i="2"/>
  <c r="D689" i="2"/>
  <c r="C494" i="2"/>
  <c r="K299" i="2"/>
  <c r="J104" i="2"/>
  <c r="E268" i="2"/>
  <c r="D73" i="2"/>
  <c r="C237" i="2"/>
  <c r="W41" i="2"/>
  <c r="E688" i="2"/>
  <c r="D493" i="2"/>
  <c r="L298" i="2"/>
  <c r="K103" i="2"/>
  <c r="F267" i="2"/>
  <c r="E72" i="2"/>
  <c r="D236" i="2"/>
  <c r="C41" i="2"/>
  <c r="J205" i="2"/>
  <c r="U282" i="2"/>
  <c r="T87" i="2"/>
  <c r="H207" i="2"/>
  <c r="S284" i="2"/>
  <c r="R89" i="2"/>
  <c r="S181" i="2"/>
  <c r="J337" i="2"/>
  <c r="V635" i="2"/>
  <c r="M649" i="2"/>
  <c r="F650" i="2"/>
  <c r="Q1037" i="2"/>
  <c r="R1038" i="2"/>
  <c r="M1037" i="2"/>
  <c r="S1037" i="2"/>
  <c r="N1036" i="2"/>
  <c r="S645" i="2"/>
  <c r="Q645" i="2"/>
  <c r="J646" i="2"/>
  <c r="K782" i="2"/>
  <c r="U587" i="2"/>
  <c r="T392" i="2"/>
  <c r="P587" i="2"/>
  <c r="O392" i="2"/>
  <c r="S587" i="2"/>
  <c r="N784" i="2"/>
  <c r="C978" i="2"/>
  <c r="W782" i="2"/>
  <c r="L588" i="2"/>
  <c r="H931" i="2"/>
  <c r="H1122" i="2"/>
  <c r="G927" i="2"/>
  <c r="Q1512" i="2"/>
  <c r="P1317" i="2"/>
  <c r="I1123" i="2"/>
  <c r="H928" i="2"/>
  <c r="I1122" i="2"/>
  <c r="W1115" i="2"/>
  <c r="H1116" i="2"/>
  <c r="C1115" i="2"/>
  <c r="H724" i="2"/>
  <c r="F724" i="2"/>
  <c r="T724" i="2"/>
  <c r="C560" i="2"/>
  <c r="I745" i="2"/>
  <c r="H550" i="2"/>
  <c r="S1134" i="2"/>
  <c r="R939" i="2"/>
  <c r="G745" i="2"/>
  <c r="F550" i="2"/>
  <c r="W744" i="2"/>
  <c r="V549" i="2"/>
  <c r="E745" i="2"/>
  <c r="D550" i="2"/>
  <c r="T1133" i="2"/>
  <c r="S938" i="2"/>
  <c r="H744" i="2"/>
  <c r="G549" i="2"/>
  <c r="C744" i="2"/>
  <c r="W548" i="2"/>
  <c r="F744" i="2"/>
  <c r="E549" i="2"/>
  <c r="N743" i="2"/>
  <c r="M548" i="2"/>
  <c r="U353" i="2"/>
  <c r="T158" i="2"/>
  <c r="O322" i="2"/>
  <c r="V905" i="2"/>
  <c r="J1295" i="2"/>
  <c r="W904" i="2"/>
  <c r="N903" i="2"/>
  <c r="R513" i="2"/>
  <c r="E904" i="2"/>
  <c r="F649" i="2"/>
  <c r="C400" i="2"/>
  <c r="G595" i="2"/>
  <c r="F400" i="2"/>
  <c r="Q984" i="2"/>
  <c r="P789" i="2"/>
  <c r="E595" i="2"/>
  <c r="D400" i="2"/>
  <c r="U594" i="2"/>
  <c r="T399" i="2"/>
  <c r="C595" i="2"/>
  <c r="W399" i="2"/>
  <c r="R983" i="2"/>
  <c r="P1255" i="2"/>
  <c r="K1629" i="2"/>
  <c r="L1239" i="2"/>
  <c r="U1244" i="2"/>
  <c r="M854" i="2"/>
  <c r="V1243" i="2"/>
  <c r="L847" i="2"/>
  <c r="P1237" i="2"/>
  <c r="H847" i="2"/>
  <c r="Q1236" i="2"/>
  <c r="I846" i="2"/>
  <c r="U844" i="2"/>
  <c r="D455" i="2"/>
  <c r="L845" i="2"/>
  <c r="Q846" i="2"/>
  <c r="W1147" i="2"/>
  <c r="L1145" i="2"/>
  <c r="D756" i="2"/>
  <c r="D755" i="2"/>
  <c r="I1165" i="2"/>
  <c r="T1357" i="2"/>
  <c r="S1162" i="2"/>
  <c r="L968" i="2"/>
  <c r="K773" i="2"/>
  <c r="L967" i="2"/>
  <c r="K772" i="2"/>
  <c r="G967" i="2"/>
  <c r="N772" i="2"/>
  <c r="C966" i="2"/>
  <c r="W770" i="2"/>
  <c r="L576" i="2"/>
  <c r="Q734" i="2"/>
  <c r="D1125" i="2"/>
  <c r="H735" i="2"/>
  <c r="L1513" i="2"/>
  <c r="D1123" i="2"/>
  <c r="M1512" i="2"/>
  <c r="E1122" i="2"/>
  <c r="Q1120" i="2"/>
  <c r="U730" i="2"/>
  <c r="H1121" i="2"/>
  <c r="P875" i="2"/>
  <c r="T1265" i="2"/>
  <c r="R908" i="2"/>
  <c r="V516" i="2"/>
  <c r="L498" i="2"/>
  <c r="J498" i="2"/>
  <c r="H498" i="2"/>
  <c r="K497" i="2"/>
  <c r="I497" i="2"/>
  <c r="C107" i="2"/>
  <c r="O1087" i="2"/>
  <c r="N545" i="2"/>
  <c r="U932" i="2"/>
  <c r="D543" i="2"/>
  <c r="V931" i="2"/>
  <c r="R630" i="2"/>
  <c r="Q435" i="2"/>
  <c r="M630" i="2"/>
  <c r="L435" i="2"/>
  <c r="P630" i="2"/>
  <c r="O435" i="2"/>
  <c r="C630" i="2"/>
  <c r="W434" i="2"/>
  <c r="J240" i="2"/>
  <c r="I45" i="2"/>
  <c r="D209" i="2"/>
  <c r="C14" i="2"/>
  <c r="W177" i="2"/>
  <c r="K1426" i="2"/>
  <c r="C1036" i="2"/>
  <c r="O1034" i="2"/>
  <c r="S644" i="2"/>
  <c r="F1035" i="2"/>
  <c r="L715" i="2"/>
  <c r="S432" i="2"/>
  <c r="W627" i="2"/>
  <c r="V432" i="2"/>
  <c r="L1017" i="2"/>
  <c r="K822" i="2"/>
  <c r="U627" i="2"/>
  <c r="T432" i="2"/>
  <c r="P627" i="2"/>
  <c r="O432" i="2"/>
  <c r="S627" i="2"/>
  <c r="R432" i="2"/>
  <c r="M1016" i="2"/>
  <c r="L821" i="2"/>
  <c r="V626" i="2"/>
  <c r="U431" i="2"/>
  <c r="Q626" i="2"/>
  <c r="P431" i="2"/>
  <c r="T626" i="2"/>
  <c r="S431" i="2"/>
  <c r="G626" i="2"/>
  <c r="F431" i="2"/>
  <c r="N236" i="2"/>
  <c r="M41" i="2"/>
  <c r="H205" i="2"/>
  <c r="G10" i="2"/>
  <c r="F174" i="2"/>
  <c r="F1411" i="2"/>
  <c r="S1020" i="2"/>
  <c r="J1019" i="2"/>
  <c r="N629" i="2"/>
  <c r="V1019" i="2"/>
  <c r="D707" i="2"/>
  <c r="W428" i="2"/>
  <c r="F624" i="2"/>
  <c r="E429" i="2"/>
  <c r="P1013" i="2"/>
  <c r="O818" i="2"/>
  <c r="D624" i="2"/>
  <c r="C429" i="2"/>
  <c r="T623" i="2"/>
  <c r="S428" i="2"/>
  <c r="W623" i="2"/>
  <c r="V428" i="2"/>
  <c r="Q1012" i="2"/>
  <c r="P817" i="2"/>
  <c r="E623" i="2"/>
  <c r="D428" i="2"/>
  <c r="U622" i="2"/>
  <c r="T427" i="2"/>
  <c r="C623" i="2"/>
  <c r="W427" i="2"/>
  <c r="K622" i="2"/>
  <c r="J427" i="2"/>
  <c r="R232" i="2"/>
  <c r="Q37" i="2"/>
  <c r="L201" i="2"/>
  <c r="F286" i="2"/>
  <c r="Q31" i="2"/>
  <c r="M688" i="2"/>
  <c r="L493" i="2"/>
  <c r="T298" i="2"/>
  <c r="S103" i="2"/>
  <c r="N267" i="2"/>
  <c r="M72" i="2"/>
  <c r="L236" i="2"/>
  <c r="K41" i="2"/>
  <c r="F695" i="2"/>
  <c r="E500" i="2"/>
  <c r="M305" i="2"/>
  <c r="L110" i="2"/>
  <c r="G274" i="2"/>
  <c r="F79" i="2"/>
  <c r="E243" i="2"/>
  <c r="D48" i="2"/>
  <c r="G694" i="2"/>
  <c r="F499" i="2"/>
  <c r="N304" i="2"/>
  <c r="M109" i="2"/>
  <c r="H273" i="2"/>
  <c r="G78" i="2"/>
  <c r="F242" i="2"/>
  <c r="E47" i="2"/>
  <c r="L211" i="2"/>
  <c r="W288" i="2"/>
  <c r="V93" i="2"/>
  <c r="J213" i="2"/>
  <c r="U290" i="2"/>
  <c r="T95" i="2"/>
  <c r="W193" i="2"/>
  <c r="L343" i="2"/>
  <c r="C642" i="2"/>
  <c r="P722" i="2"/>
  <c r="I723" i="2"/>
  <c r="T1110" i="2"/>
  <c r="U1111" i="2"/>
  <c r="P1110" i="2"/>
  <c r="V1110" i="2"/>
  <c r="Q1109" i="2"/>
  <c r="V718" i="2"/>
  <c r="T718" i="2"/>
  <c r="M719" i="2"/>
  <c r="G863" i="2"/>
  <c r="H864" i="2"/>
  <c r="C859" i="2"/>
  <c r="E486" i="2"/>
  <c r="R875" i="2"/>
  <c r="V485" i="2"/>
  <c r="S874" i="2"/>
  <c r="W484" i="2"/>
  <c r="M484" i="2"/>
  <c r="S1039" i="2"/>
  <c r="W647" i="2"/>
  <c r="G531" i="2"/>
  <c r="E531" i="2"/>
  <c r="C531" i="2"/>
  <c r="G725" i="2"/>
  <c r="F530" i="2"/>
  <c r="W724" i="2"/>
  <c r="V529" i="2"/>
  <c r="E725" i="2"/>
  <c r="D530" i="2"/>
  <c r="M724" i="2"/>
  <c r="L529" i="2"/>
  <c r="T334" i="2"/>
  <c r="S139" i="2"/>
  <c r="N303" i="2"/>
  <c r="M108" i="2"/>
  <c r="L272" i="2"/>
  <c r="N1024" i="2"/>
  <c r="T1024" i="2"/>
  <c r="O1023" i="2"/>
  <c r="T632" i="2"/>
  <c r="R632" i="2"/>
  <c r="K633" i="2"/>
  <c r="H527" i="2"/>
  <c r="L722" i="2"/>
  <c r="K527" i="2"/>
  <c r="V1111" i="2"/>
  <c r="U916" i="2"/>
  <c r="J722" i="2"/>
  <c r="I527" i="2"/>
  <c r="E722" i="2"/>
  <c r="D527" i="2"/>
  <c r="H722" i="2"/>
  <c r="G527" i="2"/>
  <c r="W1110" i="2"/>
  <c r="V915" i="2"/>
  <c r="K721" i="2"/>
  <c r="J526" i="2"/>
  <c r="F721" i="2"/>
  <c r="E526" i="2"/>
  <c r="I721" i="2"/>
  <c r="H526" i="2"/>
  <c r="Q720" i="2"/>
  <c r="P525" i="2"/>
  <c r="C331" i="2"/>
  <c r="W135" i="2"/>
  <c r="R299" i="2"/>
  <c r="Q104" i="2"/>
  <c r="P268" i="2"/>
  <c r="I1009" i="2"/>
  <c r="O1009" i="2"/>
  <c r="J1008" i="2"/>
  <c r="O617" i="2"/>
  <c r="M617" i="2"/>
  <c r="F618" i="2"/>
  <c r="L523" i="2"/>
  <c r="P718" i="2"/>
  <c r="O523" i="2"/>
  <c r="E1108" i="2"/>
  <c r="D913" i="2"/>
  <c r="N718" i="2"/>
  <c r="M523" i="2"/>
  <c r="I718" i="2"/>
  <c r="H523" i="2"/>
  <c r="L718" i="2"/>
  <c r="K523" i="2"/>
  <c r="F1107" i="2"/>
  <c r="E912" i="2"/>
  <c r="O717" i="2"/>
  <c r="N522" i="2"/>
  <c r="J717" i="2"/>
  <c r="I522" i="2"/>
  <c r="M717" i="2"/>
  <c r="L522" i="2"/>
  <c r="U716" i="2"/>
  <c r="T521" i="2"/>
  <c r="G327" i="2"/>
  <c r="F132" i="2"/>
  <c r="V295" i="2"/>
  <c r="M124" i="2"/>
  <c r="F126" i="2"/>
  <c r="M393" i="2"/>
  <c r="V587" i="2"/>
  <c r="U392" i="2"/>
  <c r="H198" i="2"/>
  <c r="G3" i="2"/>
  <c r="W166" i="2"/>
  <c r="V330" i="2"/>
  <c r="U135" i="2"/>
  <c r="D299" i="2"/>
  <c r="O594" i="2"/>
  <c r="N399" i="2"/>
  <c r="V204" i="2"/>
  <c r="U9" i="2"/>
  <c r="P173" i="2"/>
  <c r="O337" i="2"/>
  <c r="N142" i="2"/>
  <c r="R305" i="2"/>
  <c r="P593" i="2"/>
  <c r="O398" i="2"/>
  <c r="W203" i="2"/>
  <c r="V8" i="2"/>
  <c r="Q172" i="2"/>
  <c r="P336" i="2"/>
  <c r="O141" i="2"/>
  <c r="S304" i="2"/>
  <c r="U110" i="2"/>
  <c r="K188" i="2"/>
  <c r="K24" i="2"/>
  <c r="S112" i="2"/>
  <c r="I190" i="2"/>
  <c r="V23" i="2"/>
  <c r="Q79" i="2"/>
  <c r="M736" i="2"/>
  <c r="N661" i="2"/>
  <c r="V1051" i="2"/>
  <c r="E662" i="2"/>
  <c r="I1440" i="2"/>
  <c r="V1049" i="2"/>
  <c r="J1439" i="2"/>
  <c r="W1048" i="2"/>
  <c r="N1047" i="2"/>
  <c r="R657" i="2"/>
  <c r="E1048" i="2"/>
  <c r="M802" i="2"/>
  <c r="Q1192" i="2"/>
  <c r="V1395" i="2"/>
  <c r="Q1004" i="2"/>
  <c r="I425" i="2"/>
  <c r="G425" i="2"/>
  <c r="E425" i="2"/>
  <c r="H424" i="2"/>
  <c r="F424" i="2"/>
  <c r="U33" i="2"/>
  <c r="C795" i="2"/>
  <c r="E470" i="2"/>
  <c r="R859" i="2"/>
  <c r="V469" i="2"/>
  <c r="S858" i="2"/>
  <c r="L612" i="2"/>
  <c r="K417" i="2"/>
  <c r="G612" i="2"/>
  <c r="F417" i="2"/>
  <c r="J612" i="2"/>
  <c r="I417" i="2"/>
  <c r="R611" i="2"/>
  <c r="Q416" i="2"/>
  <c r="D222" i="2"/>
  <c r="C27" i="2"/>
  <c r="S190" i="2"/>
  <c r="R354" i="2"/>
  <c r="T963" i="2"/>
  <c r="H1353" i="2"/>
  <c r="U962" i="2"/>
  <c r="L961" i="2"/>
  <c r="P571" i="2"/>
  <c r="C962" i="2"/>
  <c r="U678" i="2"/>
  <c r="M414" i="2"/>
  <c r="Q609" i="2"/>
  <c r="P414" i="2"/>
  <c r="F999" i="2"/>
  <c r="E804" i="2"/>
  <c r="O609" i="2"/>
  <c r="N414" i="2"/>
  <c r="J609" i="2"/>
  <c r="I414" i="2"/>
  <c r="M609" i="2"/>
  <c r="L414" i="2"/>
  <c r="G998" i="2"/>
  <c r="F803" i="2"/>
  <c r="P608" i="2"/>
  <c r="O413" i="2"/>
  <c r="K608" i="2"/>
  <c r="J413" i="2"/>
  <c r="N608" i="2"/>
  <c r="M413" i="2"/>
  <c r="V607" i="2"/>
  <c r="U412" i="2"/>
  <c r="H218" i="2"/>
  <c r="G23" i="2"/>
  <c r="W186" i="2"/>
  <c r="V350" i="2"/>
  <c r="O948" i="2"/>
  <c r="C1338" i="2"/>
  <c r="P947" i="2"/>
  <c r="G946" i="2"/>
  <c r="K556" i="2"/>
  <c r="S946" i="2"/>
  <c r="M670" i="2"/>
  <c r="Q410" i="2"/>
  <c r="U605" i="2"/>
  <c r="T410" i="2"/>
  <c r="J995" i="2"/>
  <c r="I800" i="2"/>
  <c r="S605" i="2"/>
  <c r="R410" i="2"/>
  <c r="N605" i="2"/>
  <c r="M410" i="2"/>
  <c r="Q605" i="2"/>
  <c r="P410" i="2"/>
  <c r="K994" i="2"/>
  <c r="J799" i="2"/>
  <c r="T604" i="2"/>
  <c r="S409" i="2"/>
  <c r="O604" i="2"/>
  <c r="N409" i="2"/>
  <c r="R604" i="2"/>
  <c r="Q409" i="2"/>
  <c r="E604" i="2"/>
  <c r="D409" i="2"/>
  <c r="L214" i="2"/>
  <c r="K19" i="2"/>
  <c r="F183" i="2"/>
  <c r="O249" i="2"/>
  <c r="K13" i="2"/>
  <c r="G670" i="2"/>
  <c r="F475" i="2"/>
  <c r="N280" i="2"/>
  <c r="M85" i="2"/>
  <c r="H249" i="2"/>
  <c r="G54" i="2"/>
  <c r="F218" i="2"/>
  <c r="E23" i="2"/>
  <c r="U676" i="2"/>
  <c r="T481" i="2"/>
  <c r="G287" i="2"/>
  <c r="F92" i="2"/>
  <c r="V255" i="2"/>
  <c r="U60" i="2"/>
  <c r="T224" i="2"/>
  <c r="S29" i="2"/>
  <c r="V675" i="2"/>
  <c r="U480" i="2"/>
  <c r="H286" i="2"/>
  <c r="G91" i="2"/>
  <c r="W254" i="2"/>
  <c r="V59" i="2"/>
  <c r="U223" i="2"/>
  <c r="T28" i="2"/>
  <c r="F193" i="2"/>
  <c r="Q270" i="2"/>
  <c r="P75" i="2"/>
  <c r="D195" i="2"/>
  <c r="O272" i="2"/>
  <c r="N77" i="2"/>
  <c r="W161" i="2"/>
  <c r="F325" i="2"/>
  <c r="R623" i="2"/>
  <c r="R600" i="2"/>
  <c r="K601" i="2"/>
  <c r="V988" i="2"/>
  <c r="W989" i="2"/>
  <c r="R988" i="2"/>
  <c r="C989" i="2"/>
  <c r="S987" i="2"/>
  <c r="C597" i="2"/>
  <c r="V596" i="2"/>
  <c r="O597" i="2"/>
  <c r="W721" i="2"/>
  <c r="V526" i="2"/>
  <c r="R721" i="2"/>
  <c r="Q526" i="2"/>
  <c r="U721" i="2"/>
  <c r="T526" i="2"/>
  <c r="E1112" i="2"/>
  <c r="D917" i="2"/>
  <c r="N722" i="2"/>
  <c r="M527" i="2"/>
  <c r="M866" i="2"/>
  <c r="I1061" i="2"/>
  <c r="H866" i="2"/>
  <c r="R1451" i="2"/>
  <c r="Q1256" i="2"/>
  <c r="J1062" i="2"/>
  <c r="I867" i="2"/>
  <c r="J1061" i="2"/>
  <c r="F872" i="2"/>
  <c r="L872" i="2"/>
  <c r="G871" i="2"/>
  <c r="L480" i="2"/>
  <c r="J480" i="2"/>
  <c r="C481" i="2"/>
  <c r="F489" i="2"/>
  <c r="J684" i="2"/>
  <c r="I489" i="2"/>
  <c r="T1073" i="2"/>
  <c r="S878" i="2"/>
  <c r="H684" i="2"/>
  <c r="G489" i="2"/>
  <c r="C684" i="2"/>
  <c r="W488" i="2"/>
  <c r="F684" i="2"/>
  <c r="E489" i="2"/>
  <c r="U1072" i="2"/>
  <c r="T877" i="2"/>
  <c r="I683" i="2"/>
  <c r="H488" i="2"/>
  <c r="D683" i="2"/>
  <c r="C488" i="2"/>
  <c r="G683" i="2"/>
  <c r="F488" i="2"/>
  <c r="O682" i="2"/>
  <c r="N487" i="2"/>
  <c r="V292" i="2"/>
  <c r="U97" i="2"/>
  <c r="P261" i="2"/>
  <c r="W1051" i="2"/>
  <c r="H1052" i="2"/>
  <c r="C1051" i="2"/>
  <c r="H660" i="2"/>
  <c r="F660" i="2"/>
  <c r="T660" i="2"/>
  <c r="E534" i="2"/>
  <c r="I729" i="2"/>
  <c r="H534" i="2"/>
  <c r="S1118" i="2"/>
  <c r="R923" i="2"/>
  <c r="G729" i="2"/>
  <c r="F534" i="2"/>
  <c r="W728" i="2"/>
  <c r="V533" i="2"/>
  <c r="E729" i="2"/>
  <c r="D534" i="2"/>
  <c r="T1117" i="2"/>
  <c r="S922" i="2"/>
  <c r="Q1401" i="2"/>
  <c r="W1385" i="2"/>
  <c r="M1385" i="2"/>
  <c r="S1001" i="2"/>
  <c r="N1000" i="2"/>
  <c r="T1000" i="2"/>
  <c r="M993" i="2"/>
  <c r="N994" i="2"/>
  <c r="I993" i="2"/>
  <c r="O993" i="2"/>
  <c r="J992" i="2"/>
  <c r="O601" i="2"/>
  <c r="M601" i="2"/>
  <c r="F602" i="2"/>
  <c r="G1023" i="2"/>
  <c r="P1413" i="2"/>
  <c r="H1024" i="2"/>
  <c r="H1023" i="2"/>
  <c r="C1023" i="2"/>
  <c r="V1491" i="2"/>
  <c r="U1296" i="2"/>
  <c r="N1102" i="2"/>
  <c r="M907" i="2"/>
  <c r="N1101" i="2"/>
  <c r="M906" i="2"/>
  <c r="I1101" i="2"/>
  <c r="H906" i="2"/>
  <c r="E1100" i="2"/>
  <c r="D905" i="2"/>
  <c r="N710" i="2"/>
  <c r="M515" i="2"/>
  <c r="U490" i="2"/>
  <c r="H881" i="2"/>
  <c r="L879" i="2"/>
  <c r="P1269" i="2"/>
  <c r="H879" i="2"/>
  <c r="Q1268" i="2"/>
  <c r="I878" i="2"/>
  <c r="U876" i="2"/>
  <c r="D487" i="2"/>
  <c r="L877" i="2"/>
  <c r="Q1021" i="2"/>
  <c r="R1022" i="2"/>
  <c r="D1103" i="2"/>
  <c r="W748" i="2"/>
  <c r="G1034" i="2"/>
  <c r="K644" i="2"/>
  <c r="H1033" i="2"/>
  <c r="L643" i="2"/>
  <c r="W642" i="2"/>
  <c r="C222" i="2"/>
  <c r="S501" i="2"/>
  <c r="Q689" i="2"/>
  <c r="O689" i="2"/>
  <c r="M689" i="2"/>
  <c r="I764" i="2"/>
  <c r="S569" i="2"/>
  <c r="R374" i="2"/>
  <c r="N569" i="2"/>
  <c r="M374" i="2"/>
  <c r="Q569" i="2"/>
  <c r="P374" i="2"/>
  <c r="D569" i="2"/>
  <c r="C374" i="2"/>
  <c r="K179" i="2"/>
  <c r="F343" i="2"/>
  <c r="E148" i="2"/>
  <c r="D312" i="2"/>
  <c r="F793" i="2"/>
  <c r="O1182" i="2"/>
  <c r="G792" i="2"/>
  <c r="S790" i="2"/>
  <c r="W400" i="2"/>
  <c r="J791" i="2"/>
  <c r="N593" i="2"/>
  <c r="T371" i="2"/>
  <c r="C567" i="2"/>
  <c r="C763" i="2"/>
  <c r="M956" i="2"/>
  <c r="L761" i="2"/>
  <c r="V566" i="2"/>
  <c r="U371" i="2"/>
  <c r="Q566" i="2"/>
  <c r="P371" i="2"/>
  <c r="T566" i="2"/>
  <c r="D762" i="2"/>
  <c r="N955" i="2"/>
  <c r="M760" i="2"/>
  <c r="W565" i="2"/>
  <c r="V370" i="2"/>
  <c r="R565" i="2"/>
  <c r="Q370" i="2"/>
  <c r="U565" i="2"/>
  <c r="T370" i="2"/>
  <c r="H565" i="2"/>
  <c r="G370" i="2"/>
  <c r="O175" i="2"/>
  <c r="J339" i="2"/>
  <c r="I144" i="2"/>
  <c r="H308" i="2"/>
  <c r="V777" i="2"/>
  <c r="J1167" i="2"/>
  <c r="W776" i="2"/>
  <c r="N775" i="2"/>
  <c r="R385" i="2"/>
  <c r="E776" i="2"/>
  <c r="F585" i="2"/>
  <c r="C368" i="2"/>
  <c r="G563" i="2"/>
  <c r="G759" i="2"/>
  <c r="Q952" i="2"/>
  <c r="P757" i="2"/>
  <c r="E563" i="2"/>
  <c r="D368" i="2"/>
  <c r="U562" i="2"/>
  <c r="T367" i="2"/>
  <c r="C563" i="2"/>
  <c r="H758" i="2"/>
  <c r="R951" i="2"/>
  <c r="Q756" i="2"/>
  <c r="F562" i="2"/>
  <c r="E367" i="2"/>
  <c r="V561" i="2"/>
  <c r="U366" i="2"/>
  <c r="D562" i="2"/>
  <c r="C367" i="2"/>
  <c r="L561" i="2"/>
  <c r="K366" i="2"/>
  <c r="S171" i="2"/>
  <c r="N335" i="2"/>
  <c r="M140" i="2"/>
  <c r="S165" i="2"/>
  <c r="W328" i="2"/>
  <c r="N627" i="2"/>
  <c r="M432" i="2"/>
  <c r="U237" i="2"/>
  <c r="T42" i="2"/>
  <c r="O206" i="2"/>
  <c r="N11" i="2"/>
  <c r="M175" i="2"/>
  <c r="Q338" i="2"/>
  <c r="G634" i="2"/>
  <c r="F439" i="2"/>
  <c r="N244" i="2"/>
  <c r="M49" i="2"/>
  <c r="H213" i="2"/>
  <c r="G18" i="2"/>
  <c r="F182" i="2"/>
  <c r="J345" i="2"/>
  <c r="H633" i="2"/>
  <c r="G438" i="2"/>
  <c r="O243" i="2"/>
  <c r="N48" i="2"/>
  <c r="I212" i="2"/>
  <c r="H17" i="2"/>
  <c r="G181" i="2"/>
  <c r="K344" i="2"/>
  <c r="M150" i="2"/>
  <c r="C228" i="2"/>
  <c r="W32" i="2"/>
  <c r="K152" i="2"/>
  <c r="V229" i="2"/>
  <c r="F103" i="2"/>
  <c r="I119" i="2"/>
  <c r="P386" i="2"/>
  <c r="D581" i="2"/>
  <c r="T478" i="2"/>
  <c r="M479" i="2"/>
  <c r="C867" i="2"/>
  <c r="D868" i="2"/>
  <c r="T866" i="2"/>
  <c r="E867" i="2"/>
  <c r="U865" i="2"/>
  <c r="E475" i="2"/>
  <c r="C475" i="2"/>
  <c r="Q475" i="2"/>
  <c r="V1399" i="2"/>
  <c r="N1009" i="2"/>
  <c r="D663" i="2"/>
  <c r="N632" i="2"/>
  <c r="L632" i="2"/>
  <c r="J632" i="2"/>
  <c r="M631" i="2"/>
  <c r="K631" i="2"/>
  <c r="E241" i="2"/>
  <c r="C845" i="2"/>
  <c r="O453" i="2"/>
  <c r="W1066" i="2"/>
  <c r="F677" i="2"/>
  <c r="C1066" i="2"/>
  <c r="H664" i="2"/>
  <c r="G469" i="2"/>
  <c r="C664" i="2"/>
  <c r="W468" i="2"/>
  <c r="F664" i="2"/>
  <c r="E469" i="2"/>
  <c r="N663" i="2"/>
  <c r="M468" i="2"/>
  <c r="U273" i="2"/>
  <c r="T78" i="2"/>
  <c r="O242" i="2"/>
  <c r="N47" i="2"/>
  <c r="M211" i="2"/>
  <c r="P1174" i="2"/>
  <c r="C781" i="2"/>
  <c r="F780" i="2"/>
  <c r="C389" i="2"/>
  <c r="R780" i="2"/>
  <c r="P392" i="2"/>
  <c r="I466" i="2"/>
  <c r="M661" i="2"/>
  <c r="L466" i="2"/>
  <c r="W1050" i="2"/>
  <c r="V855" i="2"/>
  <c r="K661" i="2"/>
  <c r="J466" i="2"/>
  <c r="F661" i="2"/>
  <c r="E466" i="2"/>
  <c r="I661" i="2"/>
  <c r="H466" i="2"/>
  <c r="C1050" i="2"/>
  <c r="W854" i="2"/>
  <c r="L660" i="2"/>
  <c r="K465" i="2"/>
  <c r="G660" i="2"/>
  <c r="F465" i="2"/>
  <c r="J660" i="2"/>
  <c r="I465" i="2"/>
  <c r="R659" i="2"/>
  <c r="Q464" i="2"/>
  <c r="D270" i="2"/>
  <c r="C75" i="2"/>
  <c r="S238" i="2"/>
  <c r="R43" i="2"/>
  <c r="Q207" i="2"/>
  <c r="Q1157" i="2"/>
  <c r="S765" i="2"/>
  <c r="V764" i="2"/>
  <c r="S373" i="2"/>
  <c r="M765" i="2"/>
  <c r="H384" i="2"/>
  <c r="M462" i="2"/>
  <c r="Q657" i="2"/>
  <c r="P462" i="2"/>
  <c r="F1047" i="2"/>
  <c r="E852" i="2"/>
  <c r="O657" i="2"/>
  <c r="N462" i="2"/>
  <c r="J657" i="2"/>
  <c r="I462" i="2"/>
  <c r="M657" i="2"/>
  <c r="L462" i="2"/>
  <c r="G1046" i="2"/>
  <c r="F851" i="2"/>
  <c r="P656" i="2"/>
  <c r="O461" i="2"/>
  <c r="K656" i="2"/>
  <c r="J461" i="2"/>
  <c r="N656" i="2"/>
  <c r="M461" i="2"/>
  <c r="V655" i="2"/>
  <c r="U460" i="2"/>
  <c r="H266" i="2"/>
  <c r="G71" i="2"/>
  <c r="W234" i="2"/>
  <c r="G353" i="2"/>
  <c r="G65" i="2"/>
  <c r="C722" i="2"/>
  <c r="W526" i="2"/>
  <c r="J332" i="2"/>
  <c r="I137" i="2"/>
  <c r="D301" i="2"/>
  <c r="C106" i="2"/>
  <c r="W269" i="2"/>
  <c r="V74" i="2"/>
  <c r="Q728" i="2"/>
  <c r="P533" i="2"/>
  <c r="C339" i="2"/>
  <c r="W143" i="2"/>
  <c r="R307" i="2"/>
  <c r="Q112" i="2"/>
  <c r="P276" i="2"/>
  <c r="O81" i="2"/>
  <c r="R727" i="2"/>
  <c r="Q532" i="2"/>
  <c r="D338" i="2"/>
  <c r="C143" i="2"/>
  <c r="S306" i="2"/>
  <c r="R111" i="2"/>
  <c r="Q275" i="2"/>
  <c r="P80" i="2"/>
  <c r="W244" i="2"/>
  <c r="V49" i="2"/>
  <c r="L127" i="2"/>
  <c r="U246" i="2"/>
  <c r="T51" i="2"/>
  <c r="J129" i="2"/>
  <c r="C261" i="2"/>
  <c r="R18" i="2"/>
  <c r="N675" i="2"/>
  <c r="R417" i="2"/>
  <c r="E808" i="2"/>
  <c r="I806" i="2"/>
  <c r="M1196" i="2"/>
  <c r="E806" i="2"/>
  <c r="N1195" i="2"/>
  <c r="F805" i="2"/>
  <c r="R803" i="2"/>
  <c r="V413" i="2"/>
  <c r="I804" i="2"/>
  <c r="N948" i="2"/>
  <c r="O949" i="2"/>
  <c r="M810" i="2"/>
  <c r="Q602" i="2"/>
  <c r="D961" i="2"/>
  <c r="H571" i="2"/>
  <c r="E960" i="2"/>
  <c r="I570" i="2"/>
  <c r="T569" i="2"/>
  <c r="H991" i="2"/>
  <c r="D599" i="2"/>
  <c r="N616" i="2"/>
  <c r="L616" i="2"/>
  <c r="J616" i="2"/>
  <c r="N746" i="2"/>
  <c r="M551" i="2"/>
  <c r="I746" i="2"/>
  <c r="H551" i="2"/>
  <c r="L746" i="2"/>
  <c r="K551" i="2"/>
  <c r="T745" i="2"/>
  <c r="S550" i="2"/>
  <c r="F356" i="2"/>
  <c r="E161" i="2"/>
  <c r="U324" i="2"/>
  <c r="T129" i="2"/>
  <c r="S293" i="2"/>
  <c r="U1109" i="2"/>
  <c r="F1110" i="2"/>
  <c r="V1108" i="2"/>
  <c r="F718" i="2"/>
  <c r="D718" i="2"/>
  <c r="R718" i="2"/>
  <c r="W556" i="2"/>
  <c r="S743" i="2"/>
  <c r="R548" i="2"/>
  <c r="H1133" i="2"/>
  <c r="G938" i="2"/>
  <c r="Q743" i="2"/>
  <c r="P548" i="2"/>
  <c r="L743" i="2"/>
  <c r="K548" i="2"/>
  <c r="O743" i="2"/>
  <c r="N548" i="2"/>
  <c r="I1132" i="2"/>
  <c r="H937" i="2"/>
  <c r="R742" i="2"/>
  <c r="Q547" i="2"/>
  <c r="M742" i="2"/>
  <c r="L547" i="2"/>
  <c r="P742" i="2"/>
  <c r="O547" i="2"/>
  <c r="C742" i="2"/>
  <c r="W546" i="2"/>
  <c r="J352" i="2"/>
  <c r="I157" i="2"/>
  <c r="D321" i="2"/>
  <c r="C126" i="2"/>
  <c r="W289" i="2"/>
  <c r="P1094" i="2"/>
  <c r="V1094" i="2"/>
  <c r="Q1093" i="2"/>
  <c r="V702" i="2"/>
  <c r="T702" i="2"/>
  <c r="M703" i="2"/>
  <c r="O548" i="2"/>
  <c r="W739" i="2"/>
  <c r="V544" i="2"/>
  <c r="L1129" i="2"/>
  <c r="K934" i="2"/>
  <c r="U739" i="2"/>
  <c r="T544" i="2"/>
  <c r="P739" i="2"/>
  <c r="O544" i="2"/>
  <c r="S739" i="2"/>
  <c r="R544" i="2"/>
  <c r="M1128" i="2"/>
  <c r="L933" i="2"/>
  <c r="V738" i="2"/>
  <c r="U543" i="2"/>
  <c r="Q738" i="2"/>
  <c r="P543" i="2"/>
  <c r="T738" i="2"/>
  <c r="S543" i="2"/>
  <c r="G738" i="2"/>
  <c r="F543" i="2"/>
  <c r="N348" i="2"/>
  <c r="M153" i="2"/>
  <c r="H317" i="2"/>
  <c r="G122" i="2"/>
  <c r="M147" i="2"/>
  <c r="Q310" i="2"/>
  <c r="H609" i="2"/>
  <c r="G414" i="2"/>
  <c r="O219" i="2"/>
  <c r="N24" i="2"/>
  <c r="I188" i="2"/>
  <c r="H352" i="2"/>
  <c r="G157" i="2"/>
  <c r="K320" i="2"/>
  <c r="V615" i="2"/>
  <c r="U420" i="2"/>
  <c r="H226" i="2"/>
  <c r="G31" i="2"/>
  <c r="W194" i="2"/>
  <c r="V358" i="2"/>
  <c r="U163" i="2"/>
  <c r="D327" i="2"/>
  <c r="W614" i="2"/>
  <c r="V419" i="2"/>
  <c r="I225" i="2"/>
  <c r="H30" i="2"/>
  <c r="C194" i="2"/>
  <c r="W357" i="2"/>
  <c r="V162" i="2"/>
  <c r="E326" i="2"/>
  <c r="G132" i="2"/>
  <c r="R209" i="2"/>
  <c r="Q14" i="2"/>
  <c r="E134" i="2"/>
  <c r="P211" i="2"/>
  <c r="O66" i="2"/>
  <c r="C101" i="2"/>
  <c r="J368" i="2"/>
  <c r="U746" i="2"/>
  <c r="H1137" i="2"/>
  <c r="L747" i="2"/>
  <c r="P1525" i="2"/>
  <c r="H1135" i="2"/>
  <c r="Q1524" i="2"/>
  <c r="I1134" i="2"/>
  <c r="U1132" i="2"/>
  <c r="D743" i="2"/>
  <c r="L1133" i="2"/>
  <c r="T887" i="2"/>
  <c r="S1326" i="2"/>
  <c r="Q762" i="2"/>
  <c r="M370" i="2"/>
  <c r="K559" i="2"/>
  <c r="I559" i="2"/>
  <c r="G559" i="2"/>
  <c r="J558" i="2"/>
  <c r="H558" i="2"/>
  <c r="W167" i="2"/>
  <c r="N941" i="2"/>
  <c r="L667" i="2"/>
  <c r="T993" i="2"/>
  <c r="C604" i="2"/>
  <c r="U992" i="2"/>
  <c r="W645" i="2"/>
  <c r="V450" i="2"/>
  <c r="R645" i="2"/>
  <c r="Q450" i="2"/>
  <c r="U645" i="2"/>
  <c r="T450" i="2"/>
  <c r="H645" i="2"/>
  <c r="G450" i="2"/>
  <c r="O255" i="2"/>
  <c r="N60" i="2"/>
  <c r="I224" i="2"/>
  <c r="H29" i="2"/>
  <c r="G193" i="2"/>
  <c r="J1487" i="2"/>
  <c r="W1096" i="2"/>
  <c r="N1095" i="2"/>
  <c r="R705" i="2"/>
  <c r="E1096" i="2"/>
  <c r="V745" i="2"/>
  <c r="C448" i="2"/>
  <c r="G643" i="2"/>
  <c r="F448" i="2"/>
  <c r="Q1032" i="2"/>
  <c r="P837" i="2"/>
  <c r="E643" i="2"/>
  <c r="D448" i="2"/>
  <c r="U642" i="2"/>
  <c r="T447" i="2"/>
  <c r="C643" i="2"/>
  <c r="W447" i="2"/>
  <c r="R1031" i="2"/>
  <c r="Q836" i="2"/>
  <c r="F642" i="2"/>
  <c r="E447" i="2"/>
  <c r="V641" i="2"/>
  <c r="U446" i="2"/>
  <c r="D642" i="2"/>
  <c r="C447" i="2"/>
  <c r="L641" i="2"/>
  <c r="K446" i="2"/>
  <c r="S251" i="2"/>
  <c r="R56" i="2"/>
  <c r="M220" i="2"/>
  <c r="L25" i="2"/>
  <c r="K189" i="2"/>
  <c r="E1472" i="2"/>
  <c r="R1081" i="2"/>
  <c r="I1080" i="2"/>
  <c r="M690" i="2"/>
  <c r="U1080" i="2"/>
  <c r="N737" i="2"/>
  <c r="G444" i="2"/>
  <c r="K639" i="2"/>
  <c r="J444" i="2"/>
  <c r="U1028" i="2"/>
  <c r="T833" i="2"/>
  <c r="I639" i="2"/>
  <c r="H444" i="2"/>
  <c r="D639" i="2"/>
  <c r="C444" i="2"/>
  <c r="G639" i="2"/>
  <c r="F444" i="2"/>
  <c r="V1027" i="2"/>
  <c r="U832" i="2"/>
  <c r="J638" i="2"/>
  <c r="I443" i="2"/>
  <c r="E638" i="2"/>
  <c r="D443" i="2"/>
  <c r="H638" i="2"/>
  <c r="G443" i="2"/>
  <c r="P637" i="2"/>
  <c r="O442" i="2"/>
  <c r="W247" i="2"/>
  <c r="V52" i="2"/>
  <c r="Q216" i="2"/>
  <c r="P316" i="2"/>
  <c r="V46" i="2"/>
  <c r="R703" i="2"/>
  <c r="Q508" i="2"/>
  <c r="D314" i="2"/>
  <c r="C119" i="2"/>
  <c r="S282" i="2"/>
  <c r="R87" i="2"/>
  <c r="Q251" i="2"/>
  <c r="P56" i="2"/>
  <c r="K710" i="2"/>
  <c r="J515" i="2"/>
  <c r="R320" i="2"/>
  <c r="Q125" i="2"/>
  <c r="L289" i="2"/>
  <c r="K94" i="2"/>
  <c r="J258" i="2"/>
  <c r="I63" i="2"/>
  <c r="L709" i="2"/>
  <c r="K514" i="2"/>
  <c r="S319" i="2"/>
  <c r="R124" i="2"/>
  <c r="M288" i="2"/>
  <c r="L93" i="2"/>
  <c r="K257" i="2"/>
  <c r="J62" i="2"/>
  <c r="Q226" i="2"/>
  <c r="G20" i="2"/>
  <c r="F109" i="2"/>
  <c r="L224" i="2"/>
  <c r="Q492" i="2"/>
  <c r="D298" i="2"/>
  <c r="C103" i="2"/>
  <c r="S266" i="2"/>
  <c r="R71" i="2"/>
  <c r="Q235" i="2"/>
  <c r="P40" i="2"/>
  <c r="K694" i="2"/>
  <c r="J499" i="2"/>
  <c r="R304" i="2"/>
  <c r="Q109" i="2"/>
  <c r="L273" i="2"/>
  <c r="K78" i="2"/>
  <c r="J242" i="2"/>
  <c r="I47" i="2"/>
  <c r="L693" i="2"/>
  <c r="K498" i="2"/>
  <c r="S303" i="2"/>
  <c r="R108" i="2"/>
  <c r="M272" i="2"/>
  <c r="L77" i="2"/>
  <c r="K241" i="2"/>
  <c r="J46" i="2"/>
  <c r="Q210" i="2"/>
  <c r="G288" i="2"/>
  <c r="F93" i="2"/>
  <c r="O212" i="2"/>
  <c r="E290" i="2"/>
  <c r="D95" i="2"/>
  <c r="Q191" i="2"/>
  <c r="Q342" i="2"/>
  <c r="H641" i="2"/>
  <c r="G446" i="2"/>
  <c r="O251" i="2"/>
  <c r="N56" i="2"/>
  <c r="I220" i="2"/>
  <c r="H25" i="2"/>
  <c r="G189" i="2"/>
  <c r="K352" i="2"/>
  <c r="V647" i="2"/>
  <c r="U452" i="2"/>
  <c r="H258" i="2"/>
  <c r="G63" i="2"/>
  <c r="W226" i="2"/>
  <c r="V31" i="2"/>
  <c r="U195" i="2"/>
  <c r="D359" i="2"/>
  <c r="W646" i="2"/>
  <c r="V451" i="2"/>
  <c r="I257" i="2"/>
  <c r="H62" i="2"/>
  <c r="C226" i="2"/>
  <c r="W30" i="2"/>
  <c r="V194" i="2"/>
  <c r="E358" i="2"/>
  <c r="G164" i="2"/>
  <c r="R241" i="2"/>
  <c r="Q46" i="2"/>
  <c r="E166" i="2"/>
  <c r="P243" i="2"/>
  <c r="O48" i="2"/>
  <c r="V190" i="2"/>
  <c r="V341" i="2"/>
  <c r="M640" i="2"/>
  <c r="L445" i="2"/>
  <c r="T250" i="2"/>
  <c r="S55" i="2"/>
  <c r="N219" i="2"/>
  <c r="M24" i="2"/>
  <c r="L188" i="2"/>
  <c r="P351" i="2"/>
  <c r="F647" i="2"/>
  <c r="E452" i="2"/>
  <c r="M257" i="2"/>
  <c r="L62" i="2"/>
  <c r="G226" i="2"/>
  <c r="F31" i="2"/>
  <c r="E195" i="2"/>
  <c r="I358" i="2"/>
  <c r="G646" i="2"/>
  <c r="F451" i="2"/>
  <c r="N256" i="2"/>
  <c r="M61" i="2"/>
  <c r="H225" i="2"/>
  <c r="G30" i="2"/>
  <c r="F194" i="2"/>
  <c r="J357" i="2"/>
  <c r="L163" i="2"/>
  <c r="W240" i="2"/>
  <c r="V45" i="2"/>
  <c r="J165" i="2"/>
  <c r="U242" i="2"/>
  <c r="T47" i="2"/>
  <c r="S12" i="2"/>
  <c r="T637" i="2"/>
  <c r="Q89" i="2"/>
  <c r="R246" i="2"/>
  <c r="F155" i="2"/>
  <c r="I154" i="2"/>
  <c r="Q26" i="2"/>
  <c r="K216" i="2"/>
  <c r="M346" i="2"/>
  <c r="U440" i="2"/>
  <c r="H246" i="2"/>
  <c r="G51" i="2"/>
  <c r="W214" i="2"/>
  <c r="V19" i="2"/>
  <c r="U183" i="2"/>
  <c r="D347" i="2"/>
  <c r="O642" i="2"/>
  <c r="N447" i="2"/>
  <c r="V252" i="2"/>
  <c r="U57" i="2"/>
  <c r="P221" i="2"/>
  <c r="O26" i="2"/>
  <c r="N190" i="2"/>
  <c r="R353" i="2"/>
  <c r="P641" i="2"/>
  <c r="O446" i="2"/>
  <c r="W251" i="2"/>
  <c r="V56" i="2"/>
  <c r="Q220" i="2"/>
  <c r="P25" i="2"/>
  <c r="O189" i="2"/>
  <c r="S352" i="2"/>
  <c r="U158" i="2"/>
  <c r="K236" i="2"/>
  <c r="J41" i="2"/>
  <c r="S160" i="2"/>
  <c r="I238" i="2"/>
  <c r="O130" i="2"/>
  <c r="Q127" i="2"/>
  <c r="G395" i="2"/>
  <c r="L589" i="2"/>
  <c r="K394" i="2"/>
  <c r="S199" i="2"/>
  <c r="R4" i="2"/>
  <c r="M168" i="2"/>
  <c r="L332" i="2"/>
  <c r="K137" i="2"/>
  <c r="O300" i="2"/>
  <c r="E596" i="2"/>
  <c r="D401" i="2"/>
  <c r="L206" i="2"/>
  <c r="K11" i="2"/>
  <c r="F175" i="2"/>
  <c r="E339" i="2"/>
  <c r="D144" i="2"/>
  <c r="H307" i="2"/>
  <c r="F595" i="2"/>
  <c r="E400" i="2"/>
  <c r="M205" i="2"/>
  <c r="L10" i="2"/>
  <c r="G174" i="2"/>
  <c r="F338" i="2"/>
  <c r="E143" i="2"/>
  <c r="I306" i="2"/>
  <c r="K112" i="2"/>
  <c r="V189" i="2"/>
  <c r="L27" i="2"/>
  <c r="I114" i="2"/>
  <c r="T191" i="2"/>
  <c r="N127" i="2"/>
  <c r="V126" i="2"/>
  <c r="H394" i="2"/>
  <c r="Q588" i="2"/>
  <c r="P393" i="2"/>
  <c r="C199" i="2"/>
  <c r="W3" i="2"/>
  <c r="R167" i="2"/>
  <c r="Q331" i="2"/>
  <c r="P136" i="2"/>
  <c r="T299" i="2"/>
  <c r="J595" i="2"/>
  <c r="I400" i="2"/>
  <c r="Q205" i="2"/>
  <c r="P10" i="2"/>
  <c r="K174" i="2"/>
  <c r="J338" i="2"/>
  <c r="I143" i="2"/>
  <c r="M306" i="2"/>
  <c r="K594" i="2"/>
  <c r="J399" i="2"/>
  <c r="R204" i="2"/>
  <c r="Q9" i="2"/>
  <c r="L173" i="2"/>
  <c r="K337" i="2"/>
  <c r="J142" i="2"/>
  <c r="N305" i="2"/>
  <c r="P111" i="2"/>
  <c r="F189" i="2"/>
  <c r="V25" i="2"/>
  <c r="N113" i="2"/>
  <c r="D191" i="2"/>
  <c r="U34" i="2"/>
  <c r="J313" i="2"/>
  <c r="G187" i="2"/>
  <c r="L356" i="2"/>
  <c r="D155" i="2"/>
  <c r="J25" i="2"/>
  <c r="I222" i="2"/>
  <c r="C546" i="2"/>
  <c r="C289" i="2"/>
  <c r="S686" i="2"/>
  <c r="E297" i="2"/>
  <c r="P253" i="2"/>
  <c r="N222" i="2"/>
  <c r="L661" i="2"/>
  <c r="K247" i="2"/>
  <c r="W142" i="2"/>
  <c r="C336" i="2"/>
  <c r="W48" i="2"/>
  <c r="L87" i="2"/>
  <c r="R281" i="2"/>
  <c r="U632" i="2"/>
  <c r="D389" i="2"/>
  <c r="L194" i="2"/>
  <c r="G358" i="2"/>
  <c r="F163" i="2"/>
  <c r="E327" i="2"/>
  <c r="D132" i="2"/>
  <c r="H295" i="2"/>
  <c r="S590" i="2"/>
  <c r="R395" i="2"/>
  <c r="E201" i="2"/>
  <c r="D6" i="2"/>
  <c r="T169" i="2"/>
  <c r="S333" i="2"/>
  <c r="R138" i="2"/>
  <c r="V301" i="2"/>
  <c r="T589" i="2"/>
  <c r="S394" i="2"/>
  <c r="F200" i="2"/>
  <c r="E5" i="2"/>
  <c r="U168" i="2"/>
  <c r="T332" i="2"/>
  <c r="S137" i="2"/>
  <c r="W300" i="2"/>
  <c r="D107" i="2"/>
  <c r="O184" i="2"/>
  <c r="N17" i="2"/>
  <c r="W108" i="2"/>
  <c r="M186" i="2"/>
  <c r="N15" i="2"/>
  <c r="U75" i="2"/>
  <c r="Q732" i="2"/>
  <c r="P537" i="2"/>
  <c r="C343" i="2"/>
  <c r="W147" i="2"/>
  <c r="R311" i="2"/>
  <c r="Q116" i="2"/>
  <c r="P280" i="2"/>
  <c r="O85" i="2"/>
  <c r="J739" i="2"/>
  <c r="I544" i="2"/>
  <c r="Q349" i="2"/>
  <c r="P154" i="2"/>
  <c r="K318" i="2"/>
  <c r="J123" i="2"/>
  <c r="I287" i="2"/>
  <c r="H92" i="2"/>
  <c r="K738" i="2"/>
  <c r="J543" i="2"/>
  <c r="R348" i="2"/>
  <c r="Q153" i="2"/>
  <c r="L317" i="2"/>
  <c r="K122" i="2"/>
  <c r="J286" i="2"/>
  <c r="I91" i="2"/>
  <c r="P255" i="2"/>
  <c r="O60" i="2"/>
  <c r="E138" i="2"/>
  <c r="N257" i="2"/>
  <c r="M62" i="2"/>
  <c r="C140" i="2"/>
  <c r="S14" i="2"/>
  <c r="E75" i="2"/>
  <c r="V731" i="2"/>
  <c r="U536" i="2"/>
  <c r="H342" i="2"/>
  <c r="G147" i="2"/>
  <c r="W310" i="2"/>
  <c r="V115" i="2"/>
  <c r="U279" i="2"/>
  <c r="T84" i="2"/>
  <c r="O738" i="2"/>
  <c r="N543" i="2"/>
  <c r="V348" i="2"/>
  <c r="U153" i="2"/>
  <c r="P317" i="2"/>
  <c r="O122" i="2"/>
  <c r="N286" i="2"/>
  <c r="M91" i="2"/>
  <c r="P737" i="2"/>
  <c r="O542" i="2"/>
  <c r="W347" i="2"/>
  <c r="V152" i="2"/>
  <c r="Q316" i="2"/>
  <c r="P121" i="2"/>
  <c r="O285" i="2"/>
  <c r="N90" i="2"/>
  <c r="U254" i="2"/>
  <c r="T59" i="2"/>
  <c r="J137" i="2"/>
  <c r="S256" i="2"/>
  <c r="R61" i="2"/>
  <c r="H139" i="2"/>
  <c r="V21" i="2"/>
  <c r="P625" i="2"/>
  <c r="N16" i="2"/>
  <c r="L100" i="2"/>
  <c r="J281" i="2"/>
  <c r="R205" i="2"/>
  <c r="S124" i="2"/>
  <c r="I343" i="2"/>
  <c r="F357" i="2"/>
  <c r="G558" i="2"/>
  <c r="N168" i="2"/>
  <c r="I332" i="2"/>
  <c r="H137" i="2"/>
  <c r="G301" i="2"/>
  <c r="I330" i="2"/>
  <c r="S430" i="2"/>
  <c r="E41" i="2"/>
  <c r="T9" i="2"/>
  <c r="S324" i="2"/>
  <c r="T429" i="2"/>
  <c r="J52" i="2"/>
  <c r="N282" i="2"/>
  <c r="V129" i="2"/>
  <c r="O180" i="2"/>
  <c r="T31" i="2"/>
  <c r="U84" i="2"/>
  <c r="E520" i="2"/>
  <c r="M325" i="2"/>
  <c r="L130" i="2"/>
  <c r="G294" i="2"/>
  <c r="F99" i="2"/>
  <c r="E263" i="2"/>
  <c r="D68" i="2"/>
  <c r="T721" i="2"/>
  <c r="S526" i="2"/>
  <c r="F332" i="2"/>
  <c r="E137" i="2"/>
  <c r="U300" i="2"/>
  <c r="T105" i="2"/>
  <c r="S269" i="2"/>
  <c r="R74" i="2"/>
  <c r="U720" i="2"/>
  <c r="T525" i="2"/>
  <c r="G331" i="2"/>
  <c r="F136" i="2"/>
  <c r="V299" i="2"/>
  <c r="U104" i="2"/>
  <c r="T268" i="2"/>
  <c r="S73" i="2"/>
  <c r="E238" i="2"/>
  <c r="I42" i="2"/>
  <c r="O120" i="2"/>
  <c r="C240" i="2"/>
  <c r="W44" i="2"/>
  <c r="M122" i="2"/>
  <c r="N246" i="2"/>
  <c r="U11" i="2"/>
  <c r="Q668" i="2"/>
  <c r="P473" i="2"/>
  <c r="C279" i="2"/>
  <c r="W83" i="2"/>
  <c r="R247" i="2"/>
  <c r="Q52" i="2"/>
  <c r="P216" i="2"/>
  <c r="O21" i="2"/>
  <c r="J675" i="2"/>
  <c r="I480" i="2"/>
  <c r="Q285" i="2"/>
  <c r="P90" i="2"/>
  <c r="K254" i="2"/>
  <c r="J59" i="2"/>
  <c r="I223" i="2"/>
  <c r="D1473" i="2"/>
  <c r="Q1082" i="2"/>
  <c r="S565" i="2"/>
  <c r="Q705" i="2"/>
  <c r="O705" i="2"/>
  <c r="M705" i="2"/>
  <c r="P704" i="2"/>
  <c r="N704" i="2"/>
  <c r="H314" i="2"/>
  <c r="O1137" i="2"/>
  <c r="F746" i="2"/>
  <c r="O751" i="2"/>
  <c r="J750" i="2"/>
  <c r="F1139" i="2"/>
  <c r="N682" i="2"/>
  <c r="M487" i="2"/>
  <c r="I682" i="2"/>
  <c r="H487" i="2"/>
  <c r="L682" i="2"/>
  <c r="K487" i="2"/>
  <c r="T681" i="2"/>
  <c r="S486" i="2"/>
  <c r="F292" i="2"/>
  <c r="E97" i="2"/>
  <c r="U260" i="2"/>
  <c r="T65" i="2"/>
  <c r="S229" i="2"/>
  <c r="U853" i="2"/>
  <c r="F854" i="2"/>
  <c r="V852" i="2"/>
  <c r="F462" i="2"/>
  <c r="D462" i="2"/>
  <c r="R462" i="2"/>
  <c r="O484" i="2"/>
  <c r="S679" i="2"/>
  <c r="R484" i="2"/>
  <c r="H1069" i="2"/>
  <c r="G874" i="2"/>
  <c r="Q679" i="2"/>
  <c r="P484" i="2"/>
  <c r="L679" i="2"/>
  <c r="K484" i="2"/>
  <c r="O679" i="2"/>
  <c r="N484" i="2"/>
  <c r="I1068" i="2"/>
  <c r="H873" i="2"/>
  <c r="R678" i="2"/>
  <c r="Q483" i="2"/>
  <c r="M678" i="2"/>
  <c r="L483" i="2"/>
  <c r="P678" i="2"/>
  <c r="O483" i="2"/>
  <c r="C678" i="2"/>
  <c r="W482" i="2"/>
  <c r="J288" i="2"/>
  <c r="I93" i="2"/>
  <c r="D257" i="2"/>
  <c r="C62" i="2"/>
  <c r="W225" i="2"/>
  <c r="P838" i="2"/>
  <c r="V838" i="2"/>
  <c r="Q837" i="2"/>
  <c r="V446" i="2"/>
  <c r="T446" i="2"/>
  <c r="M447" i="2"/>
  <c r="S480" i="2"/>
  <c r="W675" i="2"/>
  <c r="V480" i="2"/>
  <c r="L1065" i="2"/>
  <c r="K870" i="2"/>
  <c r="U675" i="2"/>
  <c r="T480" i="2"/>
  <c r="E948" i="2"/>
  <c r="D753" i="2"/>
  <c r="N558" i="2"/>
  <c r="M363" i="2"/>
  <c r="I558" i="2"/>
  <c r="H363" i="2"/>
  <c r="L558" i="2"/>
  <c r="Q753" i="2"/>
  <c r="F947" i="2"/>
  <c r="G1499" i="2"/>
  <c r="M1483" i="2"/>
  <c r="C1483" i="2"/>
  <c r="I1099" i="2"/>
  <c r="D1098" i="2"/>
  <c r="J1098" i="2"/>
  <c r="C1091" i="2"/>
  <c r="D1092" i="2"/>
  <c r="T1090" i="2"/>
  <c r="E1091" i="2"/>
  <c r="U1089" i="2"/>
  <c r="E699" i="2"/>
  <c r="C699" i="2"/>
  <c r="Q699" i="2"/>
  <c r="H1090" i="2"/>
  <c r="K1462" i="2"/>
  <c r="C1073" i="2"/>
  <c r="C1072" i="2"/>
  <c r="S1071" i="2"/>
  <c r="I1516" i="2"/>
  <c r="H1321" i="2"/>
  <c r="V1126" i="2"/>
  <c r="U931" i="2"/>
  <c r="V1125" i="2"/>
  <c r="U930" i="2"/>
  <c r="Q1125" i="2"/>
  <c r="P930" i="2"/>
  <c r="M1124" i="2"/>
  <c r="L929" i="2"/>
  <c r="V734" i="2"/>
  <c r="U539" i="2"/>
  <c r="K588" i="2"/>
  <c r="S978" i="2"/>
  <c r="W588" i="2"/>
  <c r="F1367" i="2"/>
  <c r="S976" i="2"/>
  <c r="G1366" i="2"/>
  <c r="T975" i="2"/>
  <c r="K974" i="2"/>
  <c r="O584" i="2"/>
  <c r="W974" i="2"/>
  <c r="G1119" i="2"/>
  <c r="H1120" i="2"/>
  <c r="D1104" i="2"/>
  <c r="P712" i="2"/>
  <c r="R1131" i="2"/>
  <c r="V741" i="2"/>
  <c r="S1130" i="2"/>
  <c r="W740" i="2"/>
  <c r="M740" i="2"/>
  <c r="N319" i="2"/>
  <c r="J891" i="2"/>
  <c r="W396" i="2"/>
  <c r="O786" i="2"/>
  <c r="S396" i="2"/>
  <c r="Q788" i="2"/>
  <c r="F594" i="2"/>
  <c r="E399" i="2"/>
  <c r="V593" i="2"/>
  <c r="U398" i="2"/>
  <c r="D594" i="2"/>
  <c r="C399" i="2"/>
  <c r="L593" i="2"/>
  <c r="K398" i="2"/>
  <c r="S203" i="2"/>
  <c r="R8" i="2"/>
  <c r="M172" i="2"/>
  <c r="L336" i="2"/>
  <c r="Q890" i="2"/>
  <c r="E1280" i="2"/>
  <c r="R889" i="2"/>
  <c r="I888" i="2"/>
  <c r="M498" i="2"/>
  <c r="U888" i="2"/>
  <c r="I642" i="2"/>
  <c r="G396" i="2"/>
  <c r="K591" i="2"/>
  <c r="J396" i="2"/>
  <c r="U980" i="2"/>
  <c r="T785" i="2"/>
  <c r="I591" i="2"/>
  <c r="H396" i="2"/>
  <c r="D591" i="2"/>
  <c r="C396" i="2"/>
  <c r="G591" i="2"/>
  <c r="F396" i="2"/>
  <c r="V979" i="2"/>
  <c r="U784" i="2"/>
  <c r="J590" i="2"/>
  <c r="I395" i="2"/>
  <c r="E590" i="2"/>
  <c r="D395" i="2"/>
  <c r="H590" i="2"/>
  <c r="K395" i="2"/>
  <c r="P589" i="2"/>
  <c r="O394" i="2"/>
  <c r="W199" i="2"/>
  <c r="V4" i="2"/>
  <c r="Q168" i="2"/>
  <c r="P332" i="2"/>
  <c r="L875" i="2"/>
  <c r="U1264" i="2"/>
  <c r="M874" i="2"/>
  <c r="D873" i="2"/>
  <c r="H483" i="2"/>
  <c r="P873" i="2"/>
  <c r="V633" i="2"/>
  <c r="K392" i="2"/>
  <c r="O587" i="2"/>
  <c r="O783" i="2"/>
  <c r="D977" i="2"/>
  <c r="C782" i="2"/>
  <c r="M587" i="2"/>
  <c r="L392" i="2"/>
  <c r="H587" i="2"/>
  <c r="G392" i="2"/>
  <c r="K587" i="2"/>
  <c r="P782" i="2"/>
  <c r="E976" i="2"/>
  <c r="D781" i="2"/>
  <c r="N586" i="2"/>
  <c r="M391" i="2"/>
  <c r="I586" i="2"/>
  <c r="H391" i="2"/>
  <c r="L586" i="2"/>
  <c r="K391" i="2"/>
  <c r="T585" i="2"/>
  <c r="S390" i="2"/>
  <c r="F196" i="2"/>
  <c r="V359" i="2"/>
  <c r="U164" i="2"/>
  <c r="C213" i="2"/>
  <c r="J353" i="2"/>
  <c r="V651" i="2"/>
  <c r="U456" i="2"/>
  <c r="H262" i="2"/>
  <c r="G67" i="2"/>
  <c r="W230" i="2"/>
  <c r="V35" i="2"/>
  <c r="U199" i="2"/>
  <c r="T4" i="2"/>
  <c r="O658" i="2"/>
  <c r="N463" i="2"/>
  <c r="V268" i="2"/>
  <c r="U73" i="2"/>
  <c r="P237" i="2"/>
  <c r="O42" i="2"/>
  <c r="N206" i="2"/>
  <c r="M11" i="2"/>
  <c r="P657" i="2"/>
  <c r="O462" i="2"/>
  <c r="W267" i="2"/>
  <c r="V72" i="2"/>
  <c r="Q236" i="2"/>
  <c r="P41" i="2"/>
  <c r="O205" i="2"/>
  <c r="N10" i="2"/>
  <c r="U174" i="2"/>
  <c r="K252" i="2"/>
  <c r="J57" i="2"/>
  <c r="S176" i="2"/>
  <c r="I254" i="2"/>
  <c r="H59" i="2"/>
  <c r="Q143" i="2"/>
  <c r="U306" i="2"/>
  <c r="L605" i="2"/>
  <c r="J576" i="2"/>
  <c r="C577" i="2"/>
  <c r="N964" i="2"/>
  <c r="O965" i="2"/>
  <c r="J964" i="2"/>
  <c r="P964" i="2"/>
  <c r="K963" i="2"/>
  <c r="P572" i="2"/>
  <c r="N572" i="2"/>
  <c r="G573" i="2"/>
  <c r="L1497" i="2"/>
  <c r="D1107" i="2"/>
  <c r="I663" i="2"/>
  <c r="D730" i="2"/>
  <c r="W729" i="2"/>
  <c r="U729" i="2"/>
  <c r="C729" i="2"/>
  <c r="V728" i="2"/>
  <c r="P338" i="2"/>
  <c r="K1234" i="2"/>
  <c r="F843" i="2"/>
  <c r="W775" i="2"/>
  <c r="T384" i="2"/>
  <c r="C775" i="2"/>
  <c r="P688" i="2"/>
  <c r="O493" i="2"/>
  <c r="K688" i="2"/>
  <c r="J493" i="2"/>
  <c r="N688" i="2"/>
  <c r="M493" i="2"/>
  <c r="V687" i="2"/>
  <c r="U492" i="2"/>
  <c r="H298" i="2"/>
  <c r="G103" i="2"/>
  <c r="W266" i="2"/>
  <c r="V71" i="2"/>
  <c r="U235" i="2"/>
  <c r="H878" i="2"/>
  <c r="N878" i="2"/>
  <c r="I877" i="2"/>
  <c r="N486" i="2"/>
  <c r="L486" i="2"/>
  <c r="E487" i="2"/>
  <c r="Q490" i="2"/>
  <c r="U685" i="2"/>
  <c r="T490" i="2"/>
  <c r="J1075" i="2"/>
  <c r="I880" i="2"/>
  <c r="S685" i="2"/>
  <c r="R490" i="2"/>
  <c r="N685" i="2"/>
  <c r="M490" i="2"/>
  <c r="Q685" i="2"/>
  <c r="P490" i="2"/>
  <c r="K1074" i="2"/>
  <c r="J879" i="2"/>
  <c r="T684" i="2"/>
  <c r="S489" i="2"/>
  <c r="O684" i="2"/>
  <c r="N489" i="2"/>
  <c r="R684" i="2"/>
  <c r="Q489" i="2"/>
  <c r="E684" i="2"/>
  <c r="D489" i="2"/>
  <c r="L294" i="2"/>
  <c r="K99" i="2"/>
  <c r="F263" i="2"/>
  <c r="E68" i="2"/>
  <c r="D232" i="2"/>
  <c r="C863" i="2"/>
  <c r="I863" i="2"/>
  <c r="D862" i="2"/>
  <c r="I471" i="2"/>
  <c r="G471" i="2"/>
  <c r="U471" i="2"/>
  <c r="U486" i="2"/>
  <c r="D682" i="2"/>
  <c r="C487" i="2"/>
  <c r="N1071" i="2"/>
  <c r="M876" i="2"/>
  <c r="W681" i="2"/>
  <c r="V486" i="2"/>
  <c r="R681" i="2"/>
  <c r="Q486" i="2"/>
  <c r="U681" i="2"/>
  <c r="T486" i="2"/>
  <c r="O1070" i="2"/>
  <c r="N875" i="2"/>
  <c r="C681" i="2"/>
  <c r="W485" i="2"/>
  <c r="S680" i="2"/>
  <c r="R485" i="2"/>
  <c r="V680" i="2"/>
  <c r="U485" i="2"/>
  <c r="I680" i="2"/>
  <c r="H485" i="2"/>
  <c r="P290" i="2"/>
  <c r="O95" i="2"/>
  <c r="J259" i="2"/>
  <c r="W42" i="2"/>
  <c r="O89" i="2"/>
  <c r="K746" i="2"/>
  <c r="J551" i="2"/>
  <c r="R356" i="2"/>
  <c r="Q161" i="2"/>
  <c r="L325" i="2"/>
  <c r="K130" i="2"/>
  <c r="J294" i="2"/>
  <c r="I99" i="2"/>
  <c r="O363" i="2"/>
  <c r="C558" i="2"/>
  <c r="W362" i="2"/>
  <c r="J168" i="2"/>
  <c r="E332" i="2"/>
  <c r="D137" i="2"/>
  <c r="C301" i="2"/>
  <c r="W105" i="2"/>
  <c r="P362" i="2"/>
  <c r="D557" i="2"/>
  <c r="C362" i="2"/>
  <c r="K167" i="2"/>
  <c r="F331" i="2"/>
  <c r="E136" i="2"/>
  <c r="D300" i="2"/>
  <c r="C105" i="2"/>
  <c r="J269" i="2"/>
  <c r="I74" i="2"/>
  <c r="T151" i="2"/>
  <c r="H271" i="2"/>
  <c r="G76" i="2"/>
  <c r="R153" i="2"/>
  <c r="S309" i="2"/>
  <c r="E43" i="2"/>
  <c r="V699" i="2"/>
  <c r="H515" i="2"/>
  <c r="P905" i="2"/>
  <c r="T903" i="2"/>
  <c r="C1294" i="2"/>
  <c r="P903" i="2"/>
  <c r="D1293" i="2"/>
  <c r="Q902" i="2"/>
  <c r="H901" i="2"/>
  <c r="L511" i="2"/>
  <c r="T901" i="2"/>
  <c r="D1046" i="2"/>
  <c r="E1047" i="2"/>
  <c r="M811" i="2"/>
  <c r="D420" i="2"/>
  <c r="O1058" i="2"/>
  <c r="S668" i="2"/>
  <c r="P1057" i="2"/>
  <c r="T667" i="2"/>
  <c r="J667" i="2"/>
  <c r="K246" i="2"/>
  <c r="I599" i="2"/>
  <c r="D714" i="2"/>
  <c r="W713" i="2"/>
  <c r="U713" i="2"/>
  <c r="K770" i="2"/>
  <c r="U575" i="2"/>
  <c r="T380" i="2"/>
  <c r="P575" i="2"/>
  <c r="O380" i="2"/>
  <c r="S575" i="2"/>
  <c r="R380" i="2"/>
  <c r="F575" i="2"/>
  <c r="E380" i="2"/>
  <c r="M185" i="2"/>
  <c r="H349" i="2"/>
  <c r="G154" i="2"/>
  <c r="F318" i="2"/>
  <c r="N817" i="2"/>
  <c r="W1206" i="2"/>
  <c r="O816" i="2"/>
  <c r="F815" i="2"/>
  <c r="J425" i="2"/>
  <c r="R815" i="2"/>
  <c r="R605" i="2"/>
  <c r="V377" i="2"/>
  <c r="E573" i="2"/>
  <c r="E769" i="2"/>
  <c r="O962" i="2"/>
  <c r="N767" i="2"/>
  <c r="C573" i="2"/>
  <c r="W377" i="2"/>
  <c r="S572" i="2"/>
  <c r="R377" i="2"/>
  <c r="V572" i="2"/>
  <c r="F768" i="2"/>
  <c r="P961" i="2"/>
  <c r="O766" i="2"/>
  <c r="D572" i="2"/>
  <c r="C377" i="2"/>
  <c r="T571" i="2"/>
  <c r="S376" i="2"/>
  <c r="W571" i="2"/>
  <c r="V376" i="2"/>
  <c r="J571" i="2"/>
  <c r="I376" i="2"/>
  <c r="Q181" i="2"/>
  <c r="L345" i="2"/>
  <c r="K150" i="2"/>
  <c r="J314" i="2"/>
  <c r="I802" i="2"/>
  <c r="R1191" i="2"/>
  <c r="J801" i="2"/>
  <c r="V799" i="2"/>
  <c r="E410" i="2"/>
  <c r="M800" i="2"/>
  <c r="J597" i="2"/>
  <c r="E374" i="2"/>
  <c r="I569" i="2"/>
  <c r="I765" i="2"/>
  <c r="S958" i="2"/>
  <c r="R763" i="2"/>
  <c r="G569" i="2"/>
  <c r="F374" i="2"/>
  <c r="W568" i="2"/>
  <c r="V373" i="2"/>
  <c r="E569" i="2"/>
  <c r="J764" i="2"/>
  <c r="T957" i="2"/>
  <c r="S762" i="2"/>
  <c r="H568" i="2"/>
  <c r="G373" i="2"/>
  <c r="C568" i="2"/>
  <c r="W372" i="2"/>
  <c r="F568" i="2"/>
  <c r="E373" i="2"/>
  <c r="N567" i="2"/>
  <c r="M372" i="2"/>
  <c r="U177" i="2"/>
  <c r="P341" i="2"/>
  <c r="O146" i="2"/>
  <c r="L176" i="2"/>
  <c r="D335" i="2"/>
  <c r="P633" i="2"/>
  <c r="O438" i="2"/>
  <c r="W243" i="2"/>
  <c r="V48" i="2"/>
  <c r="Q212" i="2"/>
  <c r="P17" i="2"/>
  <c r="O181" i="2"/>
  <c r="S344" i="2"/>
  <c r="I640" i="2"/>
  <c r="H445" i="2"/>
  <c r="P250" i="2"/>
  <c r="O55" i="2"/>
  <c r="J219" i="2"/>
  <c r="I24" i="2"/>
  <c r="H188" i="2"/>
  <c r="L351" i="2"/>
  <c r="J639" i="2"/>
  <c r="I444" i="2"/>
  <c r="Q249" i="2"/>
  <c r="P54" i="2"/>
  <c r="K218" i="2"/>
  <c r="J23" i="2"/>
  <c r="I187" i="2"/>
  <c r="M350" i="2"/>
  <c r="O156" i="2"/>
  <c r="E234" i="2"/>
  <c r="D39" i="2"/>
  <c r="M158" i="2"/>
  <c r="C236" i="2"/>
  <c r="L121" i="2"/>
  <c r="K125" i="2"/>
  <c r="R392" i="2"/>
  <c r="F587" i="2"/>
  <c r="L454" i="2"/>
  <c r="E455" i="2"/>
  <c r="P842" i="2"/>
  <c r="Q843" i="2"/>
  <c r="L842" i="2"/>
  <c r="R842" i="2"/>
  <c r="M841" i="2"/>
  <c r="R450" i="2"/>
  <c r="P450" i="2"/>
  <c r="I451" i="2"/>
  <c r="F734" i="2"/>
  <c r="E539" i="2"/>
  <c r="V733" i="2"/>
  <c r="U538" i="2"/>
  <c r="D734" i="2"/>
  <c r="C539" i="2"/>
  <c r="I1124" i="2"/>
  <c r="H929" i="2"/>
  <c r="R734" i="2"/>
  <c r="Q539" i="2"/>
  <c r="Q878" i="2"/>
  <c r="M1073" i="2"/>
  <c r="L878" i="2"/>
  <c r="V1463" i="2"/>
  <c r="U1268" i="2"/>
  <c r="N1074" i="2"/>
  <c r="M879" i="2"/>
  <c r="N1073" i="2"/>
  <c r="V920" i="2"/>
  <c r="G921" i="2"/>
  <c r="W919" i="2"/>
  <c r="G529" i="2"/>
  <c r="E529" i="2"/>
  <c r="S529" i="2"/>
  <c r="J501" i="2"/>
  <c r="N696" i="2"/>
  <c r="M501" i="2"/>
  <c r="C1086" i="2"/>
  <c r="W890" i="2"/>
  <c r="L696" i="2"/>
  <c r="K501" i="2"/>
  <c r="G696" i="2"/>
  <c r="F501" i="2"/>
  <c r="J696" i="2"/>
  <c r="I501" i="2"/>
  <c r="D1085" i="2"/>
  <c r="C890" i="2"/>
  <c r="M695" i="2"/>
  <c r="L500" i="2"/>
  <c r="H695" i="2"/>
  <c r="G500" i="2"/>
  <c r="K695" i="2"/>
  <c r="J500" i="2"/>
  <c r="S694" i="2"/>
  <c r="R499" i="2"/>
  <c r="E305" i="2"/>
  <c r="D110" i="2"/>
  <c r="T273" i="2"/>
  <c r="R1100" i="2"/>
  <c r="C1101" i="2"/>
  <c r="S1099" i="2"/>
  <c r="C709" i="2"/>
  <c r="V708" i="2"/>
  <c r="O709" i="2"/>
  <c r="P551" i="2"/>
  <c r="M741" i="2"/>
  <c r="L546" i="2"/>
  <c r="W1130" i="2"/>
  <c r="V935" i="2"/>
  <c r="K741" i="2"/>
  <c r="J546" i="2"/>
  <c r="F741" i="2"/>
  <c r="E546" i="2"/>
  <c r="I741" i="2"/>
  <c r="H546" i="2"/>
  <c r="C1130" i="2"/>
  <c r="W934" i="2"/>
  <c r="L1450" i="2"/>
  <c r="R1434" i="2"/>
  <c r="H1434" i="2"/>
  <c r="N1050" i="2"/>
  <c r="I1049" i="2"/>
  <c r="O1049" i="2"/>
  <c r="H1042" i="2"/>
  <c r="I1043" i="2"/>
  <c r="D1042" i="2"/>
  <c r="J1042" i="2"/>
  <c r="E1041" i="2"/>
  <c r="J650" i="2"/>
  <c r="H650" i="2"/>
  <c r="V650" i="2"/>
  <c r="O1047" i="2"/>
  <c r="C1438" i="2"/>
  <c r="P1048" i="2"/>
  <c r="P1047" i="2"/>
  <c r="K1047" i="2"/>
  <c r="E1504" i="2"/>
  <c r="D1309" i="2"/>
  <c r="R1114" i="2"/>
  <c r="Q919" i="2"/>
  <c r="R1113" i="2"/>
  <c r="Q918" i="2"/>
  <c r="M1113" i="2"/>
  <c r="L918" i="2"/>
  <c r="I1112" i="2"/>
  <c r="H917" i="2"/>
  <c r="R722" i="2"/>
  <c r="Q527" i="2"/>
  <c r="P539" i="2"/>
  <c r="C930" i="2"/>
  <c r="S932" i="2"/>
  <c r="K1318" i="2"/>
  <c r="C928" i="2"/>
  <c r="L1317" i="2"/>
  <c r="D927" i="2"/>
  <c r="P925" i="2"/>
  <c r="T535" i="2"/>
  <c r="G926" i="2"/>
  <c r="L1070" i="2"/>
  <c r="M1071" i="2"/>
  <c r="C909" i="2"/>
  <c r="O517" i="2"/>
  <c r="W1082" i="2"/>
  <c r="F693" i="2"/>
  <c r="C1082" i="2"/>
  <c r="G692" i="2"/>
  <c r="R691" i="2"/>
  <c r="S270" i="2"/>
  <c r="T696" i="2"/>
  <c r="L738" i="2"/>
  <c r="J738" i="2"/>
  <c r="H738" i="2"/>
  <c r="M776" i="2"/>
  <c r="W581" i="2"/>
  <c r="V386" i="2"/>
  <c r="R581" i="2"/>
  <c r="Q386" i="2"/>
  <c r="U581" i="2"/>
  <c r="T386" i="2"/>
  <c r="H581" i="2"/>
  <c r="G386" i="2"/>
  <c r="O191" i="2"/>
  <c r="J355" i="2"/>
  <c r="I160" i="2"/>
  <c r="H324" i="2"/>
  <c r="V841" i="2"/>
  <c r="J1231" i="2"/>
  <c r="W840" i="2"/>
  <c r="N839" i="2"/>
  <c r="R449" i="2"/>
  <c r="E840" i="2"/>
  <c r="V617" i="2"/>
  <c r="C384" i="2"/>
  <c r="G579" i="2"/>
  <c r="G775" i="2"/>
  <c r="Q968" i="2"/>
  <c r="P773" i="2"/>
  <c r="E579" i="2"/>
  <c r="D384" i="2"/>
  <c r="U578" i="2"/>
  <c r="T383" i="2"/>
  <c r="C579" i="2"/>
  <c r="H774" i="2"/>
  <c r="R967" i="2"/>
  <c r="Q772" i="2"/>
  <c r="F578" i="2"/>
  <c r="E383" i="2"/>
  <c r="V577" i="2"/>
  <c r="U382" i="2"/>
  <c r="D578" i="2"/>
  <c r="C383" i="2"/>
  <c r="L577" i="2"/>
  <c r="K382" i="2"/>
  <c r="S187" i="2"/>
  <c r="N351" i="2"/>
  <c r="M156" i="2"/>
  <c r="L320" i="2"/>
  <c r="Q826" i="2"/>
  <c r="E1216" i="2"/>
  <c r="R825" i="2"/>
  <c r="I824" i="2"/>
  <c r="M434" i="2"/>
  <c r="U824" i="2"/>
  <c r="N609" i="2"/>
  <c r="G380" i="2"/>
  <c r="K575" i="2"/>
  <c r="K771" i="2"/>
  <c r="U964" i="2"/>
  <c r="T769" i="2"/>
  <c r="I575" i="2"/>
  <c r="H380" i="2"/>
  <c r="D575" i="2"/>
  <c r="C380" i="2"/>
  <c r="G575" i="2"/>
  <c r="L770" i="2"/>
  <c r="V963" i="2"/>
  <c r="U768" i="2"/>
  <c r="J574" i="2"/>
  <c r="I379" i="2"/>
  <c r="E574" i="2"/>
  <c r="D379" i="2"/>
  <c r="H574" i="2"/>
  <c r="G379" i="2"/>
  <c r="P573" i="2"/>
  <c r="O378" i="2"/>
  <c r="W183" i="2"/>
  <c r="R347" i="2"/>
  <c r="Q152" i="2"/>
  <c r="P188" i="2"/>
  <c r="F341" i="2"/>
  <c r="R639" i="2"/>
  <c r="Q444" i="2"/>
  <c r="D250" i="2"/>
  <c r="C55" i="2"/>
  <c r="S218" i="2"/>
  <c r="R23" i="2"/>
  <c r="Q187" i="2"/>
  <c r="U350" i="2"/>
  <c r="K646" i="2"/>
  <c r="J451" i="2"/>
  <c r="R256" i="2"/>
  <c r="Q61" i="2"/>
  <c r="L225" i="2"/>
  <c r="K30" i="2"/>
  <c r="J194" i="2"/>
  <c r="N357" i="2"/>
  <c r="L645" i="2"/>
  <c r="K450" i="2"/>
  <c r="S255" i="2"/>
  <c r="R60" i="2"/>
  <c r="M224" i="2"/>
  <c r="L29" i="2"/>
  <c r="K193" i="2"/>
  <c r="O356" i="2"/>
  <c r="Q162" i="2"/>
  <c r="G240" i="2"/>
  <c r="F45" i="2"/>
  <c r="O164" i="2"/>
  <c r="E242" i="2"/>
  <c r="T145" i="2"/>
  <c r="M131" i="2"/>
  <c r="Q294" i="2"/>
  <c r="H593" i="2"/>
  <c r="O527" i="2"/>
  <c r="H528" i="2"/>
  <c r="S915" i="2"/>
  <c r="T916" i="2"/>
  <c r="O915" i="2"/>
  <c r="U915" i="2"/>
  <c r="P914" i="2"/>
  <c r="U523" i="2"/>
  <c r="S523" i="2"/>
  <c r="L524" i="2"/>
  <c r="Q1448" i="2"/>
  <c r="I1058" i="2"/>
  <c r="H468" i="2"/>
  <c r="I681" i="2"/>
  <c r="G681" i="2"/>
  <c r="E681" i="2"/>
  <c r="H680" i="2"/>
  <c r="F680" i="2"/>
  <c r="U289" i="2"/>
  <c r="D1040" i="2"/>
  <c r="P648" i="2"/>
  <c r="R1115" i="2"/>
  <c r="V725" i="2"/>
  <c r="S1114" i="2"/>
  <c r="L676" i="2"/>
  <c r="K481" i="2"/>
  <c r="G676" i="2"/>
  <c r="F481" i="2"/>
  <c r="J676" i="2"/>
  <c r="I481" i="2"/>
  <c r="R675" i="2"/>
  <c r="Q480" i="2"/>
  <c r="D286" i="2"/>
  <c r="C91" i="2"/>
  <c r="S254" i="2"/>
  <c r="R59" i="2"/>
  <c r="Q223" i="2"/>
  <c r="M829" i="2"/>
  <c r="S829" i="2"/>
  <c r="N828" i="2"/>
  <c r="S437" i="2"/>
  <c r="Q437" i="2"/>
  <c r="J438" i="2"/>
  <c r="M478" i="2"/>
  <c r="Q673" i="2"/>
  <c r="P478" i="2"/>
  <c r="F1063" i="2"/>
  <c r="E868" i="2"/>
  <c r="O673" i="2"/>
  <c r="N478" i="2"/>
  <c r="J673" i="2"/>
  <c r="I478" i="2"/>
  <c r="M673" i="2"/>
  <c r="L478" i="2"/>
  <c r="G1062" i="2"/>
  <c r="F867" i="2"/>
  <c r="P672" i="2"/>
  <c r="O477" i="2"/>
  <c r="K672" i="2"/>
  <c r="J477" i="2"/>
  <c r="N672" i="2"/>
  <c r="M477" i="2"/>
  <c r="V671" i="2"/>
  <c r="U476" i="2"/>
  <c r="H282" i="2"/>
  <c r="G87" i="2"/>
  <c r="W250" i="2"/>
  <c r="V55" i="2"/>
  <c r="U219" i="2"/>
  <c r="H814" i="2"/>
  <c r="N814" i="2"/>
  <c r="I813" i="2"/>
  <c r="N422" i="2"/>
  <c r="L422" i="2"/>
  <c r="E423" i="2"/>
  <c r="Q474" i="2"/>
  <c r="U669" i="2"/>
  <c r="T474" i="2"/>
  <c r="J1059" i="2"/>
  <c r="I864" i="2"/>
  <c r="S669" i="2"/>
  <c r="R474" i="2"/>
  <c r="N669" i="2"/>
  <c r="M474" i="2"/>
  <c r="Q669" i="2"/>
  <c r="P474" i="2"/>
  <c r="K1058" i="2"/>
  <c r="J863" i="2"/>
  <c r="T668" i="2"/>
  <c r="S473" i="2"/>
  <c r="O668" i="2"/>
  <c r="N473" i="2"/>
  <c r="R668" i="2"/>
  <c r="Q473" i="2"/>
  <c r="E668" i="2"/>
  <c r="D473" i="2"/>
  <c r="L278" i="2"/>
  <c r="K83" i="2"/>
  <c r="F247" i="2"/>
  <c r="O18" i="2"/>
  <c r="K77" i="2"/>
  <c r="G734" i="2"/>
  <c r="F539" i="2"/>
  <c r="N344" i="2"/>
  <c r="M149" i="2"/>
  <c r="H313" i="2"/>
  <c r="G118" i="2"/>
  <c r="F282" i="2"/>
  <c r="E87" i="2"/>
  <c r="U740" i="2"/>
  <c r="T545" i="2"/>
  <c r="G351" i="2"/>
  <c r="F156" i="2"/>
  <c r="V319" i="2"/>
  <c r="U124" i="2"/>
  <c r="T288" i="2"/>
  <c r="S93" i="2"/>
  <c r="V739" i="2"/>
  <c r="U544" i="2"/>
  <c r="H350" i="2"/>
  <c r="G155" i="2"/>
  <c r="W318" i="2"/>
  <c r="V123" i="2"/>
  <c r="U287" i="2"/>
  <c r="T92" i="2"/>
  <c r="F257" i="2"/>
  <c r="E62" i="2"/>
  <c r="P139" i="2"/>
  <c r="D259" i="2"/>
  <c r="C64" i="2"/>
  <c r="N141" i="2"/>
  <c r="K285" i="2"/>
  <c r="V30" i="2"/>
  <c r="R687" i="2"/>
  <c r="M466" i="2"/>
  <c r="U856" i="2"/>
  <c r="D855" i="2"/>
  <c r="H1245" i="2"/>
  <c r="U854" i="2"/>
  <c r="I1244" i="2"/>
  <c r="V853" i="2"/>
  <c r="M852" i="2"/>
  <c r="Q462" i="2"/>
  <c r="D853" i="2"/>
  <c r="I997" i="2"/>
  <c r="J998" i="2"/>
  <c r="N1005" i="2"/>
  <c r="G700" i="2"/>
  <c r="T1009" i="2"/>
  <c r="C620" i="2"/>
  <c r="U1008" i="2"/>
  <c r="D619" i="2"/>
  <c r="O618" i="2"/>
  <c r="P197" i="2"/>
  <c r="H404" i="2"/>
  <c r="I665" i="2"/>
  <c r="G665" i="2"/>
  <c r="E665" i="2"/>
  <c r="G758" i="2"/>
  <c r="Q563" i="2"/>
  <c r="P368" i="2"/>
  <c r="L563" i="2"/>
  <c r="K368" i="2"/>
  <c r="O563" i="2"/>
  <c r="N368" i="2"/>
  <c r="W562" i="2"/>
  <c r="V367" i="2"/>
  <c r="I173" i="2"/>
  <c r="D337" i="2"/>
  <c r="C142" i="2"/>
  <c r="W305" i="2"/>
  <c r="S768" i="2"/>
  <c r="G1158" i="2"/>
  <c r="T767" i="2"/>
  <c r="K766" i="2"/>
  <c r="O376" i="2"/>
  <c r="W766" i="2"/>
  <c r="J581" i="2"/>
  <c r="R365" i="2"/>
  <c r="V560" i="2"/>
  <c r="V756" i="2"/>
  <c r="K950" i="2"/>
  <c r="J755" i="2"/>
  <c r="T560" i="2"/>
  <c r="S365" i="2"/>
  <c r="O560" i="2"/>
  <c r="N365" i="2"/>
  <c r="R560" i="2"/>
  <c r="W755" i="2"/>
  <c r="L949" i="2"/>
  <c r="K754" i="2"/>
  <c r="U559" i="2"/>
  <c r="T364" i="2"/>
  <c r="P559" i="2"/>
  <c r="O364" i="2"/>
  <c r="S559" i="2"/>
  <c r="R364" i="2"/>
  <c r="F559" i="2"/>
  <c r="E364" i="2"/>
  <c r="M169" i="2"/>
  <c r="H333" i="2"/>
  <c r="G138" i="2"/>
  <c r="F302" i="2"/>
  <c r="N753" i="2"/>
  <c r="W1142" i="2"/>
  <c r="O752" i="2"/>
  <c r="F751" i="2"/>
  <c r="J361" i="2"/>
  <c r="R751" i="2"/>
  <c r="W572" i="2"/>
  <c r="V361" i="2"/>
  <c r="E557" i="2"/>
  <c r="E753" i="2"/>
  <c r="O946" i="2"/>
  <c r="N751" i="2"/>
  <c r="C557" i="2"/>
  <c r="W361" i="2"/>
  <c r="S556" i="2"/>
  <c r="R361" i="2"/>
  <c r="V556" i="2"/>
  <c r="F752" i="2"/>
  <c r="P945" i="2"/>
  <c r="O750" i="2"/>
  <c r="D556" i="2"/>
  <c r="C361" i="2"/>
  <c r="T555" i="2"/>
  <c r="S360" i="2"/>
  <c r="W555" i="2"/>
  <c r="N750" i="2"/>
  <c r="J555" i="2"/>
  <c r="E361" i="2"/>
  <c r="Q165" i="2"/>
  <c r="L329" i="2"/>
  <c r="K134" i="2"/>
  <c r="Q159" i="2"/>
  <c r="U322" i="2"/>
  <c r="L621" i="2"/>
  <c r="K426" i="2"/>
  <c r="S231" i="2"/>
  <c r="R36" i="2"/>
  <c r="M200" i="2"/>
  <c r="L5" i="2"/>
  <c r="K169" i="2"/>
  <c r="O332" i="2"/>
  <c r="E628" i="2"/>
  <c r="D433" i="2"/>
  <c r="L238" i="2"/>
  <c r="K43" i="2"/>
  <c r="F207" i="2"/>
  <c r="E12" i="2"/>
  <c r="D176" i="2"/>
  <c r="H339" i="2"/>
  <c r="F627" i="2"/>
  <c r="E432" i="2"/>
  <c r="M237" i="2"/>
  <c r="L42" i="2"/>
  <c r="G206" i="2"/>
  <c r="F11" i="2"/>
  <c r="E175" i="2"/>
  <c r="I338" i="2"/>
  <c r="K144" i="2"/>
  <c r="V221" i="2"/>
  <c r="U26" i="2"/>
  <c r="I146" i="2"/>
  <c r="T223" i="2"/>
  <c r="W90" i="2"/>
  <c r="G113" i="2"/>
  <c r="N380" i="2"/>
  <c r="W574" i="2"/>
  <c r="Q405" i="2"/>
  <c r="J406" i="2"/>
  <c r="U793" i="2"/>
  <c r="V794" i="2"/>
  <c r="Q793" i="2"/>
  <c r="W793" i="2"/>
  <c r="R792" i="2"/>
  <c r="W401" i="2"/>
  <c r="U401" i="2"/>
  <c r="N402" i="2"/>
  <c r="G673" i="2"/>
  <c r="F478" i="2"/>
  <c r="W672" i="2"/>
  <c r="V477" i="2"/>
  <c r="E673" i="2"/>
  <c r="D478" i="2"/>
  <c r="J1063" i="2"/>
  <c r="I868" i="2"/>
  <c r="S673" i="2"/>
  <c r="R478" i="2"/>
  <c r="R817" i="2"/>
  <c r="N1012" i="2"/>
  <c r="M817" i="2"/>
  <c r="W1402" i="2"/>
  <c r="V1207" i="2"/>
  <c r="O1013" i="2"/>
  <c r="N818" i="2"/>
  <c r="O1012" i="2"/>
  <c r="U1456" i="2"/>
  <c r="M1066" i="2"/>
  <c r="D1065" i="2"/>
  <c r="H675" i="2"/>
  <c r="P1065" i="2"/>
  <c r="Q730" i="2"/>
  <c r="K440" i="2"/>
  <c r="O635" i="2"/>
  <c r="N440" i="2"/>
  <c r="D1025" i="2"/>
  <c r="C830" i="2"/>
  <c r="M635" i="2"/>
  <c r="L440" i="2"/>
  <c r="H635" i="2"/>
  <c r="G440" i="2"/>
  <c r="K635" i="2"/>
  <c r="J440" i="2"/>
  <c r="E1024" i="2"/>
  <c r="D829" i="2"/>
  <c r="N634" i="2"/>
  <c r="M439" i="2"/>
  <c r="I634" i="2"/>
  <c r="H439" i="2"/>
  <c r="L634" i="2"/>
  <c r="K439" i="2"/>
  <c r="T633" i="2"/>
  <c r="S438" i="2"/>
  <c r="F244" i="2"/>
  <c r="E49" i="2"/>
  <c r="U212" i="2"/>
  <c r="V856" i="2"/>
  <c r="G857" i="2"/>
  <c r="W855" i="2"/>
  <c r="G465" i="2"/>
  <c r="E465" i="2"/>
  <c r="S465" i="2"/>
  <c r="J485" i="2"/>
  <c r="N680" i="2"/>
  <c r="M485" i="2"/>
  <c r="C1070" i="2"/>
  <c r="W874" i="2"/>
  <c r="L680" i="2"/>
  <c r="K485" i="2"/>
  <c r="G680" i="2"/>
  <c r="F485" i="2"/>
  <c r="J680" i="2"/>
  <c r="I485" i="2"/>
  <c r="D1069" i="2"/>
  <c r="C874" i="2"/>
  <c r="P1206" i="2"/>
  <c r="V1190" i="2"/>
  <c r="L1190" i="2"/>
  <c r="R806" i="2"/>
  <c r="M805" i="2"/>
  <c r="S805" i="2"/>
  <c r="L798" i="2"/>
  <c r="M799" i="2"/>
  <c r="H798" i="2"/>
  <c r="N798" i="2"/>
  <c r="I797" i="2"/>
  <c r="N406" i="2"/>
  <c r="L406" i="2"/>
  <c r="E407" i="2"/>
  <c r="Q925" i="2"/>
  <c r="E1316" i="2"/>
  <c r="R926" i="2"/>
  <c r="R925" i="2"/>
  <c r="M925" i="2"/>
  <c r="F1443" i="2"/>
  <c r="E1248" i="2"/>
  <c r="S1053" i="2"/>
  <c r="R858" i="2"/>
  <c r="S1052" i="2"/>
  <c r="R857" i="2"/>
  <c r="N1052" i="2"/>
  <c r="M857" i="2"/>
  <c r="J1051" i="2"/>
  <c r="I856" i="2"/>
  <c r="S661" i="2"/>
  <c r="R466" i="2"/>
  <c r="D686" i="2"/>
  <c r="R686" i="2"/>
  <c r="H1074" i="2"/>
  <c r="I1075" i="2"/>
  <c r="D1074" i="2"/>
  <c r="J1074" i="2"/>
  <c r="E1073" i="2"/>
  <c r="J682" i="2"/>
  <c r="H682" i="2"/>
  <c r="V682" i="2"/>
  <c r="P826" i="2"/>
  <c r="Q827" i="2"/>
  <c r="P1101" i="2"/>
  <c r="N449" i="2"/>
  <c r="F839" i="2"/>
  <c r="J449" i="2"/>
  <c r="G838" i="2"/>
  <c r="K448" i="2"/>
  <c r="V447" i="2"/>
  <c r="M893" i="2"/>
  <c r="Q501" i="2"/>
  <c r="P494" i="2"/>
  <c r="N494" i="2"/>
  <c r="L494" i="2"/>
  <c r="D716" i="2"/>
  <c r="C521" i="2"/>
  <c r="T715" i="2"/>
  <c r="S520" i="2"/>
  <c r="W715" i="2"/>
  <c r="V520" i="2"/>
  <c r="J715" i="2"/>
  <c r="I520" i="2"/>
  <c r="Q325" i="2"/>
  <c r="P130" i="2"/>
  <c r="K294" i="2"/>
  <c r="J99" i="2"/>
  <c r="I263" i="2"/>
  <c r="W987" i="2"/>
  <c r="H988" i="2"/>
  <c r="C987" i="2"/>
  <c r="H596" i="2"/>
  <c r="F596" i="2"/>
  <c r="T596" i="2"/>
  <c r="E518" i="2"/>
  <c r="I713" i="2"/>
  <c r="H518" i="2"/>
  <c r="S1102" i="2"/>
  <c r="R907" i="2"/>
  <c r="G713" i="2"/>
  <c r="F518" i="2"/>
  <c r="W712" i="2"/>
  <c r="V517" i="2"/>
  <c r="E713" i="2"/>
  <c r="D518" i="2"/>
  <c r="T1101" i="2"/>
  <c r="S906" i="2"/>
  <c r="H712" i="2"/>
  <c r="G517" i="2"/>
  <c r="C712" i="2"/>
  <c r="W516" i="2"/>
  <c r="F712" i="2"/>
  <c r="E517" i="2"/>
  <c r="N711" i="2"/>
  <c r="M516" i="2"/>
  <c r="U321" i="2"/>
  <c r="T126" i="2"/>
  <c r="O290" i="2"/>
  <c r="N95" i="2"/>
  <c r="M259" i="2"/>
  <c r="R972" i="2"/>
  <c r="C973" i="2"/>
  <c r="S971" i="2"/>
  <c r="C581" i="2"/>
  <c r="V580" i="2"/>
  <c r="O581" i="2"/>
  <c r="I514" i="2"/>
  <c r="M709" i="2"/>
  <c r="L514" i="2"/>
  <c r="W1098" i="2"/>
  <c r="V903" i="2"/>
  <c r="K709" i="2"/>
  <c r="J514" i="2"/>
  <c r="F709" i="2"/>
  <c r="E514" i="2"/>
  <c r="I709" i="2"/>
  <c r="H514" i="2"/>
  <c r="C1098" i="2"/>
  <c r="W902" i="2"/>
  <c r="L708" i="2"/>
  <c r="K513" i="2"/>
  <c r="G708" i="2"/>
  <c r="F513" i="2"/>
  <c r="J708" i="2"/>
  <c r="I513" i="2"/>
  <c r="R707" i="2"/>
  <c r="Q512" i="2"/>
  <c r="D318" i="2"/>
  <c r="C123" i="2"/>
  <c r="S286" i="2"/>
  <c r="T97" i="2"/>
  <c r="C117" i="2"/>
  <c r="J384" i="2"/>
  <c r="S578" i="2"/>
  <c r="R383" i="2"/>
  <c r="E189" i="2"/>
  <c r="U352" i="2"/>
  <c r="T157" i="2"/>
  <c r="S321" i="2"/>
  <c r="R126" i="2"/>
  <c r="C391" i="2"/>
  <c r="L585" i="2"/>
  <c r="K390" i="2"/>
  <c r="S195" i="2"/>
  <c r="N359" i="2"/>
  <c r="M164" i="2"/>
  <c r="L328" i="2"/>
  <c r="K133" i="2"/>
  <c r="D390" i="2"/>
  <c r="M584" i="2"/>
  <c r="L389" i="2"/>
  <c r="T194" i="2"/>
  <c r="O358" i="2"/>
  <c r="N163" i="2"/>
  <c r="M327" i="2"/>
  <c r="L132" i="2"/>
  <c r="P295" i="2"/>
  <c r="R101" i="2"/>
  <c r="H179" i="2"/>
  <c r="U6" i="2"/>
  <c r="P103" i="2"/>
  <c r="F181" i="2"/>
  <c r="P5" i="2"/>
  <c r="N70" i="2"/>
  <c r="J727" i="2"/>
  <c r="R673" i="2"/>
  <c r="E1064" i="2"/>
  <c r="I674" i="2"/>
  <c r="M1452" i="2"/>
  <c r="E1062" i="2"/>
  <c r="N1451" i="2"/>
  <c r="F1061" i="2"/>
  <c r="R1059" i="2"/>
  <c r="V669" i="2"/>
  <c r="I1060" i="2"/>
  <c r="Q814" i="2"/>
  <c r="U1204" i="2"/>
  <c r="Q1444" i="2"/>
  <c r="L1053" i="2"/>
  <c r="M437" i="2"/>
  <c r="K437" i="2"/>
  <c r="I437" i="2"/>
  <c r="L436" i="2"/>
  <c r="J436" i="2"/>
  <c r="D46" i="2"/>
  <c r="S843" i="2"/>
  <c r="I482" i="2"/>
  <c r="V871" i="2"/>
  <c r="E482" i="2"/>
  <c r="W870" i="2"/>
  <c r="M615" i="2"/>
  <c r="L420" i="2"/>
  <c r="H615" i="2"/>
  <c r="G420" i="2"/>
  <c r="K615" i="2"/>
  <c r="J420" i="2"/>
  <c r="S614" i="2"/>
  <c r="R419" i="2"/>
  <c r="E225" i="2"/>
  <c r="D30" i="2"/>
  <c r="T193" i="2"/>
  <c r="S357" i="2"/>
  <c r="C976" i="2"/>
  <c r="L1365" i="2"/>
  <c r="D975" i="2"/>
  <c r="P973" i="2"/>
  <c r="T583" i="2"/>
  <c r="G974" i="2"/>
  <c r="W684" i="2"/>
  <c r="N417" i="2"/>
  <c r="R612" i="2"/>
  <c r="Q417" i="2"/>
  <c r="G1002" i="2"/>
  <c r="F807" i="2"/>
  <c r="P612" i="2"/>
  <c r="O417" i="2"/>
  <c r="K612" i="2"/>
  <c r="J417" i="2"/>
  <c r="N612" i="2"/>
  <c r="M417" i="2"/>
  <c r="H1001" i="2"/>
  <c r="G806" i="2"/>
  <c r="Q611" i="2"/>
  <c r="P416" i="2"/>
  <c r="L611" i="2"/>
  <c r="K416" i="2"/>
  <c r="O611" i="2"/>
  <c r="N416" i="2"/>
  <c r="W610" i="2"/>
  <c r="V415" i="2"/>
  <c r="I221" i="2"/>
  <c r="H26" i="2"/>
  <c r="C190" i="2"/>
  <c r="W353" i="2"/>
  <c r="S960" i="2"/>
  <c r="G1350" i="2"/>
  <c r="T959" i="2"/>
  <c r="K958" i="2"/>
  <c r="O568" i="2"/>
  <c r="W958" i="2"/>
  <c r="O676" i="2"/>
  <c r="R413" i="2"/>
  <c r="V608" i="2"/>
  <c r="U413" i="2"/>
  <c r="K998" i="2"/>
  <c r="J803" i="2"/>
  <c r="T608" i="2"/>
  <c r="S413" i="2"/>
  <c r="O608" i="2"/>
  <c r="N413" i="2"/>
  <c r="R608" i="2"/>
  <c r="Q413" i="2"/>
  <c r="L997" i="2"/>
  <c r="K802" i="2"/>
  <c r="U607" i="2"/>
  <c r="T412" i="2"/>
  <c r="P607" i="2"/>
  <c r="O412" i="2"/>
  <c r="S607" i="2"/>
  <c r="R412" i="2"/>
  <c r="F607" i="2"/>
  <c r="E412" i="2"/>
  <c r="M217" i="2"/>
  <c r="L22" i="2"/>
  <c r="G186" i="2"/>
  <c r="Q255" i="2"/>
  <c r="L16" i="2"/>
  <c r="H673" i="2"/>
  <c r="G478" i="2"/>
  <c r="O283" i="2"/>
  <c r="N88" i="2"/>
  <c r="I252" i="2"/>
  <c r="H57" i="2"/>
  <c r="G221" i="2"/>
  <c r="F26" i="2"/>
  <c r="V679" i="2"/>
  <c r="U484" i="2"/>
  <c r="H290" i="2"/>
  <c r="G95" i="2"/>
  <c r="W258" i="2"/>
  <c r="V63" i="2"/>
  <c r="U227" i="2"/>
  <c r="T32" i="2"/>
  <c r="W678" i="2"/>
  <c r="V483" i="2"/>
  <c r="I289" i="2"/>
  <c r="H94" i="2"/>
  <c r="C258" i="2"/>
  <c r="W62" i="2"/>
  <c r="V226" i="2"/>
  <c r="U31" i="2"/>
  <c r="G196" i="2"/>
  <c r="R273" i="2"/>
  <c r="Q78" i="2"/>
  <c r="E198" i="2"/>
  <c r="P275" i="2"/>
  <c r="O80" i="2"/>
  <c r="C165" i="2"/>
  <c r="G328" i="2"/>
  <c r="S626" i="2"/>
  <c r="V612" i="2"/>
  <c r="O613" i="2"/>
  <c r="E1001" i="2"/>
  <c r="F1002" i="2"/>
  <c r="V1000" i="2"/>
  <c r="G1001" i="2"/>
  <c r="W999" i="2"/>
  <c r="G609" i="2"/>
  <c r="E609" i="2"/>
  <c r="S609" i="2"/>
  <c r="L1146" i="2"/>
  <c r="N754" i="2"/>
  <c r="D809" i="2"/>
  <c r="K376" i="2"/>
  <c r="C766" i="2"/>
  <c r="G376" i="2"/>
  <c r="D765" i="2"/>
  <c r="H375" i="2"/>
  <c r="S374" i="2"/>
  <c r="Q1380" i="2"/>
  <c r="L989" i="2"/>
  <c r="M421" i="2"/>
  <c r="K421" i="2"/>
  <c r="I421" i="2"/>
  <c r="S697" i="2"/>
  <c r="R502" i="2"/>
  <c r="N697" i="2"/>
  <c r="M502" i="2"/>
  <c r="Q697" i="2"/>
  <c r="P502" i="2"/>
  <c r="D697" i="2"/>
  <c r="C502" i="2"/>
  <c r="K307" i="2"/>
  <c r="J112" i="2"/>
  <c r="E276" i="2"/>
  <c r="D81" i="2"/>
  <c r="C245" i="2"/>
  <c r="T914" i="2"/>
  <c r="E915" i="2"/>
  <c r="U913" i="2"/>
  <c r="E523" i="2"/>
  <c r="C523" i="2"/>
  <c r="Q523" i="2"/>
  <c r="T499" i="2"/>
  <c r="C695" i="2"/>
  <c r="W499" i="2"/>
  <c r="M1084" i="2"/>
  <c r="L889" i="2"/>
  <c r="V694" i="2"/>
  <c r="U499" i="2"/>
  <c r="Q694" i="2"/>
  <c r="P499" i="2"/>
  <c r="T694" i="2"/>
  <c r="S499" i="2"/>
  <c r="N1083" i="2"/>
  <c r="M888" i="2"/>
  <c r="W693" i="2"/>
  <c r="V498" i="2"/>
  <c r="R693" i="2"/>
  <c r="Q498" i="2"/>
  <c r="U693" i="2"/>
  <c r="T498" i="2"/>
  <c r="H693" i="2"/>
  <c r="G498" i="2"/>
  <c r="O303" i="2"/>
  <c r="N108" i="2"/>
  <c r="I272" i="2"/>
  <c r="H77" i="2"/>
  <c r="G241" i="2"/>
  <c r="O899" i="2"/>
  <c r="U899" i="2"/>
  <c r="P898" i="2"/>
  <c r="U507" i="2"/>
  <c r="S507" i="2"/>
  <c r="L508" i="2"/>
  <c r="C496" i="2"/>
  <c r="G691" i="2"/>
  <c r="F496" i="2"/>
  <c r="Q1080" i="2"/>
  <c r="P885" i="2"/>
  <c r="E691" i="2"/>
  <c r="D496" i="2"/>
  <c r="U690" i="2"/>
  <c r="T495" i="2"/>
  <c r="C691" i="2"/>
  <c r="W495" i="2"/>
  <c r="R1079" i="2"/>
  <c r="Q884" i="2"/>
  <c r="F690" i="2"/>
  <c r="E495" i="2"/>
  <c r="V689" i="2"/>
  <c r="U494" i="2"/>
  <c r="D690" i="2"/>
  <c r="C495" i="2"/>
  <c r="L689" i="2"/>
  <c r="K494" i="2"/>
  <c r="S299" i="2"/>
  <c r="R104" i="2"/>
  <c r="M268" i="2"/>
  <c r="H61" i="2"/>
  <c r="R98" i="2"/>
  <c r="D366" i="2"/>
  <c r="M560" i="2"/>
  <c r="L365" i="2"/>
  <c r="T170" i="2"/>
  <c r="O334" i="2"/>
  <c r="N139" i="2"/>
  <c r="M303" i="2"/>
  <c r="L108" i="2"/>
  <c r="R372" i="2"/>
  <c r="F567" i="2"/>
  <c r="E372" i="2"/>
  <c r="M177" i="2"/>
  <c r="H341" i="2"/>
  <c r="G146" i="2"/>
  <c r="F310" i="2"/>
  <c r="E115" i="2"/>
  <c r="S371" i="2"/>
  <c r="G566" i="2"/>
  <c r="F371" i="2"/>
  <c r="N176" i="2"/>
  <c r="I340" i="2"/>
  <c r="H145" i="2"/>
  <c r="G309" i="2"/>
  <c r="F114" i="2"/>
  <c r="M278" i="2"/>
  <c r="L83" i="2"/>
  <c r="W160" i="2"/>
  <c r="K280" i="2"/>
  <c r="J85" i="2"/>
  <c r="U162" i="2"/>
  <c r="D328" i="2"/>
  <c r="H52" i="2"/>
  <c r="D709" i="2"/>
  <c r="T551" i="2"/>
  <c r="G942" i="2"/>
  <c r="K552" i="2"/>
  <c r="O1330" i="2"/>
  <c r="G940" i="2"/>
  <c r="P1329" i="2"/>
  <c r="H939" i="2"/>
  <c r="T937" i="2"/>
  <c r="C548" i="2"/>
  <c r="K938" i="2"/>
  <c r="P1082" i="2"/>
  <c r="L1132" i="2"/>
  <c r="E1152" i="2"/>
  <c r="U760" i="2"/>
  <c r="K755" i="2"/>
  <c r="H364" i="2"/>
  <c r="L754" i="2"/>
  <c r="I363" i="2"/>
  <c r="G363" i="2"/>
  <c r="R331" i="2"/>
  <c r="E940" i="2"/>
  <c r="F409" i="2"/>
  <c r="S798" i="2"/>
  <c r="W408" i="2"/>
  <c r="T797" i="2"/>
  <c r="G597" i="2"/>
  <c r="F402" i="2"/>
  <c r="W596" i="2"/>
  <c r="V401" i="2"/>
  <c r="E597" i="2"/>
  <c r="D402" i="2"/>
  <c r="M596" i="2"/>
  <c r="L401" i="2"/>
  <c r="T206" i="2"/>
  <c r="S11" i="2"/>
  <c r="N175" i="2"/>
  <c r="M339" i="2"/>
  <c r="U902" i="2"/>
  <c r="I1292" i="2"/>
  <c r="V901" i="2"/>
  <c r="M900" i="2"/>
  <c r="Q510" i="2"/>
  <c r="D901" i="2"/>
  <c r="K648" i="2"/>
  <c r="H399" i="2"/>
  <c r="L594" i="2"/>
  <c r="K399" i="2"/>
  <c r="V983" i="2"/>
  <c r="U788" i="2"/>
  <c r="J594" i="2"/>
  <c r="I399" i="2"/>
  <c r="E594" i="2"/>
  <c r="D399" i="2"/>
  <c r="H594" i="2"/>
  <c r="G399" i="2"/>
  <c r="W982" i="2"/>
  <c r="V787" i="2"/>
  <c r="K593" i="2"/>
  <c r="J398" i="2"/>
  <c r="F593" i="2"/>
  <c r="E398" i="2"/>
  <c r="I593" i="2"/>
  <c r="H398" i="2"/>
  <c r="Q592" i="2"/>
  <c r="P397" i="2"/>
  <c r="C203" i="2"/>
  <c r="W7" i="2"/>
  <c r="R171" i="2"/>
  <c r="Q335" i="2"/>
  <c r="P887" i="2"/>
  <c r="D1277" i="2"/>
  <c r="Q886" i="2"/>
  <c r="H885" i="2"/>
  <c r="L495" i="2"/>
  <c r="T885" i="2"/>
  <c r="C640" i="2"/>
  <c r="L395" i="2"/>
  <c r="P590" i="2"/>
  <c r="O395" i="2"/>
  <c r="E980" i="2"/>
  <c r="D785" i="2"/>
  <c r="N590" i="2"/>
  <c r="M395" i="2"/>
  <c r="I590" i="2"/>
  <c r="H395" i="2"/>
  <c r="L590" i="2"/>
  <c r="Q785" i="2"/>
  <c r="F979" i="2"/>
  <c r="E784" i="2"/>
  <c r="O589" i="2"/>
  <c r="N394" i="2"/>
  <c r="J589" i="2"/>
  <c r="I394" i="2"/>
  <c r="M589" i="2"/>
  <c r="L394" i="2"/>
  <c r="U588" i="2"/>
  <c r="T393" i="2"/>
  <c r="G199" i="2"/>
  <c r="F4" i="2"/>
  <c r="V167" i="2"/>
  <c r="E219" i="2"/>
  <c r="K356" i="2"/>
  <c r="W654" i="2"/>
  <c r="V459" i="2"/>
  <c r="I265" i="2"/>
  <c r="H70" i="2"/>
  <c r="C234" i="2"/>
  <c r="W38" i="2"/>
  <c r="V202" i="2"/>
  <c r="U7" i="2"/>
  <c r="P661" i="2"/>
  <c r="O466" i="2"/>
  <c r="W271" i="2"/>
  <c r="V76" i="2"/>
  <c r="Q240" i="2"/>
  <c r="P45" i="2"/>
  <c r="O209" i="2"/>
  <c r="N14" i="2"/>
  <c r="Q660" i="2"/>
  <c r="P465" i="2"/>
  <c r="C271" i="2"/>
  <c r="W75" i="2"/>
  <c r="R239" i="2"/>
  <c r="Q44" i="2"/>
  <c r="P208" i="2"/>
  <c r="O13" i="2"/>
  <c r="V177" i="2"/>
  <c r="L255" i="2"/>
  <c r="O228" i="2"/>
  <c r="Q358" i="2"/>
  <c r="V443" i="2"/>
  <c r="I249" i="2"/>
  <c r="H54" i="2"/>
  <c r="C218" i="2"/>
  <c r="W22" i="2"/>
  <c r="V186" i="2"/>
  <c r="E350" i="2"/>
  <c r="P645" i="2"/>
  <c r="O450" i="2"/>
  <c r="W255" i="2"/>
  <c r="V60" i="2"/>
  <c r="Q224" i="2"/>
  <c r="P29" i="2"/>
  <c r="O193" i="2"/>
  <c r="S356" i="2"/>
  <c r="Q644" i="2"/>
  <c r="P449" i="2"/>
  <c r="C255" i="2"/>
  <c r="W59" i="2"/>
  <c r="R223" i="2"/>
  <c r="Q28" i="2"/>
  <c r="P192" i="2"/>
  <c r="T355" i="2"/>
  <c r="V161" i="2"/>
  <c r="L239" i="2"/>
  <c r="K44" i="2"/>
  <c r="T163" i="2"/>
  <c r="J241" i="2"/>
  <c r="S142" i="2"/>
  <c r="R130" i="2"/>
  <c r="V293" i="2"/>
  <c r="M592" i="2"/>
  <c r="L397" i="2"/>
  <c r="T202" i="2"/>
  <c r="S7" i="2"/>
  <c r="N171" i="2"/>
  <c r="M335" i="2"/>
  <c r="L140" i="2"/>
  <c r="P303" i="2"/>
  <c r="F599" i="2"/>
  <c r="E404" i="2"/>
  <c r="M209" i="2"/>
  <c r="L14" i="2"/>
  <c r="G178" i="2"/>
  <c r="F342" i="2"/>
  <c r="E147" i="2"/>
  <c r="I310" i="2"/>
  <c r="G598" i="2"/>
  <c r="F403" i="2"/>
  <c r="N208" i="2"/>
  <c r="M13" i="2"/>
  <c r="H177" i="2"/>
  <c r="G341" i="2"/>
  <c r="F146" i="2"/>
  <c r="J309" i="2"/>
  <c r="L115" i="2"/>
  <c r="W192" i="2"/>
  <c r="S32" i="2"/>
  <c r="J117" i="2"/>
  <c r="U194" i="2"/>
  <c r="R139" i="2"/>
  <c r="W129" i="2"/>
  <c r="F293" i="2"/>
  <c r="R591" i="2"/>
  <c r="Q396" i="2"/>
  <c r="D202" i="2"/>
  <c r="C7" i="2"/>
  <c r="S170" i="2"/>
  <c r="R334" i="2"/>
  <c r="Q139" i="2"/>
  <c r="U302" i="2"/>
  <c r="K598" i="2"/>
  <c r="J403" i="2"/>
  <c r="R208" i="2"/>
  <c r="Q13" i="2"/>
  <c r="L177" i="2"/>
  <c r="K341" i="2"/>
  <c r="J146" i="2"/>
  <c r="N309" i="2"/>
  <c r="L597" i="2"/>
  <c r="K402" i="2"/>
  <c r="S207" i="2"/>
  <c r="R12" i="2"/>
  <c r="M176" i="2"/>
  <c r="L340" i="2"/>
  <c r="K145" i="2"/>
  <c r="O308" i="2"/>
  <c r="Q114" i="2"/>
  <c r="G192" i="2"/>
  <c r="H31" i="2"/>
  <c r="O116" i="2"/>
  <c r="E194" i="2"/>
  <c r="W40" i="2"/>
  <c r="C77" i="2"/>
  <c r="R503" i="2"/>
  <c r="K314" i="2"/>
  <c r="T124" i="2"/>
  <c r="M343" i="2"/>
  <c r="C244" i="2"/>
  <c r="K148" i="2"/>
  <c r="T295" i="2"/>
  <c r="D645" i="2"/>
  <c r="E392" i="2"/>
  <c r="M197" i="2"/>
  <c r="L2" i="2"/>
  <c r="G166" i="2"/>
  <c r="F330" i="2"/>
  <c r="E135" i="2"/>
  <c r="I298" i="2"/>
  <c r="T593" i="2"/>
  <c r="S398" i="2"/>
  <c r="F204" i="2"/>
  <c r="E9" i="2"/>
  <c r="U172" i="2"/>
  <c r="T336" i="2"/>
  <c r="S141" i="2"/>
  <c r="W304" i="2"/>
  <c r="U592" i="2"/>
  <c r="T397" i="2"/>
  <c r="G203" i="2"/>
  <c r="F8" i="2"/>
  <c r="V171" i="2"/>
  <c r="U335" i="2"/>
  <c r="T140" i="2"/>
  <c r="C304" i="2"/>
  <c r="E110" i="2"/>
  <c r="P187" i="2"/>
  <c r="U22" i="2"/>
  <c r="C112" i="2"/>
  <c r="N189" i="2"/>
  <c r="P21" i="2"/>
  <c r="V78" i="2"/>
  <c r="R735" i="2"/>
  <c r="Q540" i="2"/>
  <c r="D346" i="2"/>
  <c r="C151" i="2"/>
  <c r="S314" i="2"/>
  <c r="R119" i="2"/>
  <c r="Q283" i="2"/>
  <c r="P88" i="2"/>
  <c r="K742" i="2"/>
  <c r="J547" i="2"/>
  <c r="R352" i="2"/>
  <c r="Q157" i="2"/>
  <c r="L321" i="2"/>
  <c r="K126" i="2"/>
  <c r="J290" i="2"/>
  <c r="I95" i="2"/>
  <c r="L741" i="2"/>
  <c r="K546" i="2"/>
  <c r="S351" i="2"/>
  <c r="R156" i="2"/>
  <c r="M320" i="2"/>
  <c r="L125" i="2"/>
  <c r="K289" i="2"/>
  <c r="J94" i="2"/>
  <c r="Q258" i="2"/>
  <c r="P63" i="2"/>
  <c r="F141" i="2"/>
  <c r="O260" i="2"/>
  <c r="N65" i="2"/>
  <c r="D143" i="2"/>
  <c r="U20" i="2"/>
  <c r="F78" i="2"/>
  <c r="W734" i="2"/>
  <c r="V539" i="2"/>
  <c r="I345" i="2"/>
  <c r="H150" i="2"/>
  <c r="C314" i="2"/>
  <c r="W118" i="2"/>
  <c r="V282" i="2"/>
  <c r="U87" i="2"/>
  <c r="P741" i="2"/>
  <c r="O546" i="2"/>
  <c r="W351" i="2"/>
  <c r="V156" i="2"/>
  <c r="Q320" i="2"/>
  <c r="P125" i="2"/>
  <c r="O289" i="2"/>
  <c r="N94" i="2"/>
  <c r="Q740" i="2"/>
  <c r="P545" i="2"/>
  <c r="C351" i="2"/>
  <c r="W155" i="2"/>
  <c r="R319" i="2"/>
  <c r="Q124" i="2"/>
  <c r="P288" i="2"/>
  <c r="O93" i="2"/>
  <c r="V257" i="2"/>
  <c r="U62" i="2"/>
  <c r="K140" i="2"/>
  <c r="T259" i="2"/>
  <c r="S64" i="2"/>
  <c r="I142" i="2"/>
  <c r="C28" i="2"/>
  <c r="C650" i="2"/>
  <c r="V40" i="2"/>
  <c r="W197" i="2"/>
  <c r="J45" i="2"/>
  <c r="I242" i="2"/>
  <c r="C133" i="2"/>
  <c r="U472" i="2"/>
  <c r="N130" i="2"/>
  <c r="H589" i="2"/>
  <c r="O199" i="2"/>
  <c r="E156" i="2"/>
  <c r="C125" i="2"/>
  <c r="R551" i="2"/>
  <c r="Q137" i="2"/>
  <c r="U8" i="2"/>
  <c r="Q178" i="2"/>
  <c r="J229" i="2"/>
  <c r="G40" i="2"/>
  <c r="Q86" i="2"/>
  <c r="J535" i="2"/>
  <c r="R340" i="2"/>
  <c r="Q145" i="2"/>
  <c r="L309" i="2"/>
  <c r="K114" i="2"/>
  <c r="J278" i="2"/>
  <c r="I83" i="2"/>
  <c r="D737" i="2"/>
  <c r="C542" i="2"/>
  <c r="K347" i="2"/>
  <c r="J152" i="2"/>
  <c r="E316" i="2"/>
  <c r="D121" i="2"/>
  <c r="C285" i="2"/>
  <c r="W89" i="2"/>
  <c r="E736" i="2"/>
  <c r="D541" i="2"/>
  <c r="L346" i="2"/>
  <c r="K151" i="2"/>
  <c r="F315" i="2"/>
  <c r="E120" i="2"/>
  <c r="D284" i="2"/>
  <c r="C89" i="2"/>
  <c r="J253" i="2"/>
  <c r="I58" i="2"/>
  <c r="T135" i="2"/>
  <c r="H255" i="2"/>
  <c r="G60" i="2"/>
  <c r="R137" i="2"/>
  <c r="C277" i="2"/>
  <c r="E27" i="2"/>
  <c r="V683" i="2"/>
  <c r="U488" i="2"/>
  <c r="H294" i="2"/>
  <c r="G99" i="2"/>
  <c r="W262" i="2"/>
  <c r="V67" i="2"/>
  <c r="U231" i="2"/>
  <c r="T36" i="2"/>
  <c r="O690" i="2"/>
  <c r="N495" i="2"/>
  <c r="V300" i="2"/>
  <c r="U105" i="2"/>
  <c r="P269" i="2"/>
  <c r="O74" i="2"/>
  <c r="N238" i="2"/>
  <c r="M43" i="2"/>
  <c r="P689" i="2"/>
  <c r="O494" i="2"/>
  <c r="W299" i="2"/>
  <c r="V104" i="2"/>
  <c r="Q268" i="2"/>
  <c r="P73" i="2"/>
  <c r="O237" i="2"/>
  <c r="N42" i="2"/>
  <c r="U206" i="2"/>
  <c r="K284" i="2"/>
  <c r="J89" i="2"/>
  <c r="S208" i="2"/>
  <c r="I286" i="2"/>
  <c r="H91" i="2"/>
  <c r="H276" i="2"/>
  <c r="J26" i="2"/>
  <c r="F683" i="2"/>
  <c r="E488" i="2"/>
  <c r="M293" i="2"/>
  <c r="L98" i="2"/>
  <c r="G262" i="2"/>
  <c r="F67" i="2"/>
  <c r="E231" i="2"/>
  <c r="D36" i="2"/>
  <c r="T689" i="2"/>
  <c r="S494" i="2"/>
  <c r="F300" i="2"/>
  <c r="E105" i="2"/>
  <c r="U268" i="2"/>
  <c r="T73" i="2"/>
  <c r="S237" i="2"/>
  <c r="R42" i="2"/>
  <c r="U688" i="2"/>
  <c r="T493" i="2"/>
  <c r="G299" i="2"/>
  <c r="F104" i="2"/>
  <c r="V267" i="2"/>
  <c r="U72" i="2"/>
  <c r="T236" i="2"/>
  <c r="S41" i="2"/>
  <c r="E206" i="2"/>
  <c r="P283" i="2"/>
  <c r="O88" i="2"/>
  <c r="C208" i="2"/>
  <c r="N285" i="2"/>
  <c r="M90" i="2"/>
  <c r="N13" i="2"/>
  <c r="J479" i="2"/>
  <c r="U216" i="2"/>
  <c r="O324" i="2"/>
  <c r="T183" i="2"/>
  <c r="G108" i="2"/>
  <c r="C76" i="2"/>
  <c r="S245" i="2"/>
  <c r="K308" i="2"/>
  <c r="E424" i="2"/>
  <c r="S119" i="2"/>
  <c r="N283" i="2"/>
  <c r="M88" i="2"/>
  <c r="H240" i="2"/>
  <c r="J723" i="2"/>
  <c r="Q333" i="2"/>
  <c r="G290" i="2"/>
  <c r="E259" i="2"/>
  <c r="K722" i="2"/>
  <c r="R332" i="2"/>
  <c r="L301" i="2"/>
  <c r="L148" i="2"/>
  <c r="K268" i="2"/>
  <c r="M46" i="2"/>
  <c r="T23" i="2"/>
  <c r="F110" i="2"/>
  <c r="J471" i="2"/>
  <c r="R276" i="2"/>
  <c r="Q81" i="2"/>
  <c r="L245" i="2"/>
  <c r="K50" i="2"/>
  <c r="J214" i="2"/>
  <c r="I19" i="2"/>
  <c r="D673" i="2"/>
  <c r="C478" i="2"/>
  <c r="K283" i="2"/>
  <c r="J88" i="2"/>
  <c r="E252" i="2"/>
  <c r="D57" i="2"/>
  <c r="C221" i="2"/>
  <c r="W25" i="2"/>
  <c r="E672" i="2"/>
  <c r="D477" i="2"/>
  <c r="L282" i="2"/>
  <c r="K87" i="2"/>
  <c r="F251" i="2"/>
  <c r="E56" i="2"/>
  <c r="D220" i="2"/>
  <c r="C25" i="2"/>
  <c r="J189" i="2"/>
  <c r="U266" i="2"/>
  <c r="T71" i="2"/>
  <c r="H191" i="2"/>
  <c r="S268" i="2"/>
  <c r="R73" i="2"/>
  <c r="F158" i="2"/>
  <c r="J321" i="2"/>
  <c r="V619" i="2"/>
  <c r="U424" i="2"/>
  <c r="H230" i="2"/>
  <c r="G35" i="2"/>
  <c r="W198" i="2"/>
  <c r="V3" i="2"/>
  <c r="U167" i="2"/>
  <c r="D331" i="2"/>
  <c r="O626" i="2"/>
  <c r="N431" i="2"/>
  <c r="V236" i="2"/>
  <c r="U41" i="2"/>
  <c r="P205" i="2"/>
  <c r="O10" i="2"/>
  <c r="N174" i="2"/>
  <c r="C1278" i="2"/>
  <c r="M957" i="2"/>
  <c r="Q565" i="2"/>
  <c r="P510" i="2"/>
  <c r="N510" i="2"/>
  <c r="L510" i="2"/>
  <c r="O509" i="2"/>
  <c r="M509" i="2"/>
  <c r="G119" i="2"/>
  <c r="J1136" i="2"/>
  <c r="V569" i="2"/>
  <c r="D945" i="2"/>
  <c r="H555" i="2"/>
  <c r="E944" i="2"/>
  <c r="S633" i="2"/>
  <c r="R438" i="2"/>
  <c r="N633" i="2"/>
  <c r="M438" i="2"/>
  <c r="Q633" i="2"/>
  <c r="P438" i="2"/>
  <c r="D633" i="2"/>
  <c r="C438" i="2"/>
  <c r="K243" i="2"/>
  <c r="J48" i="2"/>
  <c r="E212" i="2"/>
  <c r="D17" i="2"/>
  <c r="C181" i="2"/>
  <c r="O1438" i="2"/>
  <c r="G1048" i="2"/>
  <c r="S1046" i="2"/>
  <c r="W656" i="2"/>
  <c r="J1047" i="2"/>
  <c r="N721" i="2"/>
  <c r="T435" i="2"/>
  <c r="C631" i="2"/>
  <c r="W435" i="2"/>
  <c r="M1020" i="2"/>
  <c r="L825" i="2"/>
  <c r="V630" i="2"/>
  <c r="U435" i="2"/>
  <c r="Q630" i="2"/>
  <c r="P435" i="2"/>
  <c r="T630" i="2"/>
  <c r="S435" i="2"/>
  <c r="N1019" i="2"/>
  <c r="M824" i="2"/>
  <c r="W629" i="2"/>
  <c r="V434" i="2"/>
  <c r="R629" i="2"/>
  <c r="Q434" i="2"/>
  <c r="U629" i="2"/>
  <c r="T434" i="2"/>
  <c r="H629" i="2"/>
  <c r="G434" i="2"/>
  <c r="O239" i="2"/>
  <c r="N44" i="2"/>
  <c r="I208" i="2"/>
  <c r="H13" i="2"/>
  <c r="G177" i="2"/>
  <c r="J1423" i="2"/>
  <c r="W1032" i="2"/>
  <c r="N1031" i="2"/>
  <c r="R641" i="2"/>
  <c r="E1032" i="2"/>
  <c r="F713" i="2"/>
  <c r="C432" i="2"/>
  <c r="G627" i="2"/>
  <c r="F432" i="2"/>
  <c r="Q1016" i="2"/>
  <c r="P821" i="2"/>
  <c r="E627" i="2"/>
  <c r="D432" i="2"/>
  <c r="J529" i="2"/>
  <c r="N724" i="2"/>
  <c r="M529" i="2"/>
  <c r="H1113" i="2"/>
  <c r="G918" i="2"/>
  <c r="Q723" i="2"/>
  <c r="P528" i="2"/>
  <c r="L723" i="2"/>
  <c r="K528" i="2"/>
  <c r="O723" i="2"/>
  <c r="N528" i="2"/>
  <c r="W722" i="2"/>
  <c r="V527" i="2"/>
  <c r="I333" i="2"/>
  <c r="H138" i="2"/>
  <c r="C302" i="2"/>
  <c r="U148" i="2"/>
  <c r="H132" i="2"/>
  <c r="L295" i="2"/>
  <c r="C594" i="2"/>
  <c r="W398" i="2"/>
  <c r="J204" i="2"/>
  <c r="I9" i="2"/>
  <c r="D173" i="2"/>
  <c r="C337" i="2"/>
  <c r="W141" i="2"/>
  <c r="F305" i="2"/>
  <c r="Q600" i="2"/>
  <c r="P405" i="2"/>
  <c r="C211" i="2"/>
  <c r="W15" i="2"/>
  <c r="R179" i="2"/>
  <c r="Q343" i="2"/>
  <c r="P148" i="2"/>
  <c r="T311" i="2"/>
  <c r="R599" i="2"/>
  <c r="Q404" i="2"/>
  <c r="D210" i="2"/>
  <c r="C15" i="2"/>
  <c r="S178" i="2"/>
  <c r="R342" i="2"/>
  <c r="Q147" i="2"/>
  <c r="U310" i="2"/>
  <c r="W116" i="2"/>
  <c r="M194" i="2"/>
  <c r="J257" i="2"/>
  <c r="M608" i="2"/>
  <c r="W382" i="2"/>
  <c r="J188" i="2"/>
  <c r="E352" i="2"/>
  <c r="D157" i="2"/>
  <c r="C321" i="2"/>
  <c r="W125" i="2"/>
  <c r="H390" i="2"/>
  <c r="Q584" i="2"/>
  <c r="P389" i="2"/>
  <c r="C195" i="2"/>
  <c r="S358" i="2"/>
  <c r="R163" i="2"/>
  <c r="Q327" i="2"/>
  <c r="P132" i="2"/>
  <c r="I389" i="2"/>
  <c r="R583" i="2"/>
  <c r="Q388" i="2"/>
  <c r="D194" i="2"/>
  <c r="T357" i="2"/>
  <c r="S162" i="2"/>
  <c r="R326" i="2"/>
  <c r="Q131" i="2"/>
  <c r="U294" i="2"/>
  <c r="W100" i="2"/>
  <c r="M178" i="2"/>
  <c r="J5" i="2"/>
  <c r="U102" i="2"/>
  <c r="K180" i="2"/>
  <c r="J3" i="2"/>
  <c r="S69" i="2"/>
  <c r="O726" i="2"/>
  <c r="N531" i="2"/>
  <c r="V336" i="2"/>
  <c r="U141" i="2"/>
  <c r="P305" i="2"/>
  <c r="O110" i="2"/>
  <c r="N274" i="2"/>
  <c r="M79" i="2"/>
  <c r="H733" i="2"/>
  <c r="G538" i="2"/>
  <c r="O343" i="2"/>
  <c r="N148" i="2"/>
  <c r="I312" i="2"/>
  <c r="H117" i="2"/>
  <c r="G281" i="2"/>
  <c r="F86" i="2"/>
  <c r="I732" i="2"/>
  <c r="H537" i="2"/>
  <c r="P342" i="2"/>
  <c r="O147" i="2"/>
  <c r="J311" i="2"/>
  <c r="I116" i="2"/>
  <c r="H280" i="2"/>
  <c r="G85" i="2"/>
  <c r="N249" i="2"/>
  <c r="M54" i="2"/>
  <c r="C132" i="2"/>
  <c r="L251" i="2"/>
  <c r="K56" i="2"/>
  <c r="V133" i="2"/>
  <c r="O2" i="2"/>
  <c r="C69" i="2"/>
  <c r="T725" i="2"/>
  <c r="S530" i="2"/>
  <c r="F336" i="2"/>
  <c r="E141" i="2"/>
  <c r="U304" i="2"/>
  <c r="T109" i="2"/>
  <c r="S273" i="2"/>
  <c r="R78" i="2"/>
  <c r="M732" i="2"/>
  <c r="L537" i="2"/>
  <c r="T342" i="2"/>
  <c r="S147" i="2"/>
  <c r="N311" i="2"/>
  <c r="M116" i="2"/>
  <c r="L280" i="2"/>
  <c r="K85" i="2"/>
  <c r="N731" i="2"/>
  <c r="M536" i="2"/>
  <c r="U341" i="2"/>
  <c r="T146" i="2"/>
  <c r="O310" i="2"/>
  <c r="N115" i="2"/>
  <c r="M279" i="2"/>
  <c r="L84" i="2"/>
  <c r="S248" i="2"/>
  <c r="R53" i="2"/>
  <c r="H131" i="2"/>
  <c r="Q250" i="2"/>
  <c r="P55" i="2"/>
  <c r="F133" i="2"/>
  <c r="R9" i="2"/>
  <c r="D16" i="2"/>
  <c r="Q345" i="2"/>
  <c r="N131" i="2"/>
  <c r="G300" i="2"/>
  <c r="U111" i="2"/>
  <c r="S36" i="2"/>
  <c r="T15" i="2"/>
  <c r="E50" i="2"/>
  <c r="G526" i="2"/>
  <c r="O331" i="2"/>
  <c r="N136" i="2"/>
  <c r="I300" i="2"/>
  <c r="H105" i="2"/>
  <c r="G269" i="2"/>
  <c r="F74" i="2"/>
  <c r="V727" i="2"/>
  <c r="U532" i="2"/>
  <c r="H338" i="2"/>
  <c r="G143" i="2"/>
  <c r="W306" i="2"/>
  <c r="V111" i="2"/>
  <c r="U275" i="2"/>
  <c r="T80" i="2"/>
  <c r="W726" i="2"/>
  <c r="V531" i="2"/>
  <c r="I337" i="2"/>
  <c r="H142" i="2"/>
  <c r="C306" i="2"/>
  <c r="W110" i="2"/>
  <c r="V274" i="2"/>
  <c r="U79" i="2"/>
  <c r="G244" i="2"/>
  <c r="F49" i="2"/>
  <c r="Q126" i="2"/>
  <c r="E246" i="2"/>
  <c r="D51" i="2"/>
  <c r="O128" i="2"/>
  <c r="R258" i="2"/>
  <c r="W17" i="2"/>
  <c r="S674" i="2"/>
  <c r="R479" i="2"/>
  <c r="E285" i="2"/>
  <c r="D90" i="2"/>
  <c r="T253" i="2"/>
  <c r="S58" i="2"/>
  <c r="R222" i="2"/>
  <c r="Q27" i="2"/>
  <c r="L681" i="2"/>
  <c r="K486" i="2"/>
  <c r="S291" i="2"/>
  <c r="R96" i="2"/>
  <c r="M260" i="2"/>
  <c r="L65" i="2"/>
  <c r="K229" i="2"/>
  <c r="J34" i="2"/>
  <c r="M680" i="2"/>
  <c r="L485" i="2"/>
  <c r="T290" i="2"/>
  <c r="S95" i="2"/>
  <c r="N259" i="2"/>
  <c r="M64" i="2"/>
  <c r="L228" i="2"/>
  <c r="K33" i="2"/>
  <c r="R197" i="2"/>
  <c r="H275" i="2"/>
  <c r="G80" i="2"/>
  <c r="P199" i="2"/>
  <c r="F277" i="2"/>
  <c r="E82" i="2"/>
  <c r="W257" i="2"/>
  <c r="G17" i="2"/>
  <c r="C674" i="2"/>
  <c r="W478" i="2"/>
  <c r="J284" i="2"/>
  <c r="I89" i="2"/>
  <c r="D253" i="2"/>
  <c r="C58" i="2"/>
  <c r="W221" i="2"/>
  <c r="V26" i="2"/>
  <c r="Q680" i="2"/>
  <c r="P485" i="2"/>
  <c r="C291" i="2"/>
  <c r="W95" i="2"/>
  <c r="R259" i="2"/>
  <c r="Q64" i="2"/>
  <c r="P228" i="2"/>
  <c r="O33" i="2"/>
  <c r="R679" i="2"/>
  <c r="Q484" i="2"/>
  <c r="D290" i="2"/>
  <c r="C95" i="2"/>
  <c r="S258" i="2"/>
  <c r="R63" i="2"/>
  <c r="Q227" i="2"/>
  <c r="P32" i="2"/>
  <c r="W196" i="2"/>
  <c r="M274" i="2"/>
  <c r="L79" i="2"/>
  <c r="U198" i="2"/>
  <c r="K276" i="2"/>
  <c r="J81" i="2"/>
  <c r="W36" i="2"/>
  <c r="W454" i="2"/>
  <c r="D229" i="2"/>
  <c r="W348" i="2"/>
  <c r="C196" i="2"/>
  <c r="K120" i="2"/>
  <c r="U728" i="2"/>
  <c r="K351" i="2"/>
  <c r="P8" i="2"/>
  <c r="J467" i="2"/>
  <c r="Q77" i="2"/>
  <c r="G34" i="2"/>
  <c r="E3" i="2"/>
  <c r="P417" i="2"/>
  <c r="G350" i="2"/>
  <c r="G197" i="2"/>
  <c r="O280" i="2"/>
  <c r="Q58" i="2"/>
  <c r="C36" i="2"/>
  <c r="J122" i="2"/>
  <c r="K474" i="2"/>
  <c r="S279" i="2"/>
  <c r="R84" i="2"/>
  <c r="M248" i="2"/>
  <c r="L53" i="2"/>
  <c r="K217" i="2"/>
  <c r="J22" i="2"/>
  <c r="E676" i="2"/>
  <c r="D481" i="2"/>
  <c r="L286" i="2"/>
  <c r="K91" i="2"/>
  <c r="F255" i="2"/>
  <c r="E60" i="2"/>
  <c r="D224" i="2"/>
  <c r="C29" i="2"/>
  <c r="F675" i="2"/>
  <c r="E480" i="2"/>
  <c r="M285" i="2"/>
  <c r="L90" i="2"/>
  <c r="G254" i="2"/>
  <c r="F59" i="2"/>
  <c r="E223" i="2"/>
  <c r="D28" i="2"/>
  <c r="K192" i="2"/>
  <c r="V269" i="2"/>
  <c r="U74" i="2"/>
  <c r="I194" i="2"/>
  <c r="T271" i="2"/>
  <c r="S76" i="2"/>
  <c r="G161" i="2"/>
  <c r="K324" i="2"/>
  <c r="W622" i="2"/>
  <c r="V427" i="2"/>
  <c r="I233" i="2"/>
  <c r="H38" i="2"/>
  <c r="C202" i="2"/>
  <c r="W6" i="2"/>
  <c r="V170" i="2"/>
  <c r="E334" i="2"/>
  <c r="P629" i="2"/>
  <c r="O434" i="2"/>
  <c r="W239" i="2"/>
  <c r="V44" i="2"/>
  <c r="Q208" i="2"/>
  <c r="P13" i="2"/>
  <c r="O177" i="2"/>
  <c r="S340" i="2"/>
  <c r="Q628" i="2"/>
  <c r="P433" i="2"/>
  <c r="C239" i="2"/>
  <c r="W43" i="2"/>
  <c r="R207" i="2"/>
  <c r="Q12" i="2"/>
  <c r="P176" i="2"/>
  <c r="T339" i="2"/>
  <c r="V145" i="2"/>
  <c r="L223" i="2"/>
  <c r="K28" i="2"/>
  <c r="T147" i="2"/>
  <c r="J225" i="2"/>
  <c r="I30" i="2"/>
  <c r="L160" i="2"/>
  <c r="P323" i="2"/>
  <c r="G622" i="2"/>
  <c r="F427" i="2"/>
  <c r="N232" i="2"/>
  <c r="M37" i="2"/>
  <c r="H201" i="2"/>
  <c r="G6" i="2"/>
  <c r="F170" i="2"/>
  <c r="J333" i="2"/>
  <c r="U628" i="2"/>
  <c r="T433" i="2"/>
  <c r="G239" i="2"/>
  <c r="F44" i="2"/>
  <c r="V207" i="2"/>
  <c r="U12" i="2"/>
  <c r="T176" i="2"/>
  <c r="C340" i="2"/>
  <c r="V627" i="2"/>
  <c r="U432" i="2"/>
  <c r="H238" i="2"/>
  <c r="G43" i="2"/>
  <c r="W206" i="2"/>
  <c r="V11" i="2"/>
  <c r="U175" i="2"/>
  <c r="D339" i="2"/>
  <c r="F145" i="2"/>
  <c r="Q222" i="2"/>
  <c r="P27" i="2"/>
  <c r="D147" i="2"/>
  <c r="O224" i="2"/>
  <c r="N29" i="2"/>
  <c r="V17" i="2"/>
  <c r="R284" i="2"/>
  <c r="P9" i="2"/>
  <c r="L179" i="2"/>
  <c r="V61" i="2"/>
  <c r="U258" i="2"/>
  <c r="D15" i="2"/>
  <c r="T120" i="2"/>
  <c r="Q716" i="2"/>
  <c r="P302" i="2"/>
  <c r="T58" i="2"/>
  <c r="O222" i="2"/>
  <c r="N27" i="2"/>
  <c r="R142" i="2"/>
  <c r="L601" i="2"/>
  <c r="S211" i="2"/>
  <c r="I168" i="2"/>
  <c r="G137" i="2"/>
  <c r="M600" i="2"/>
  <c r="C223" i="2"/>
  <c r="N179" i="2"/>
  <c r="G348" i="2"/>
  <c r="R97" i="2"/>
  <c r="G136" i="2"/>
  <c r="M94" i="2"/>
  <c r="G718" i="2"/>
  <c r="K410" i="2"/>
  <c r="S215" i="2"/>
  <c r="R20" i="2"/>
  <c r="M184" i="2"/>
  <c r="L348" i="2"/>
  <c r="K153" i="2"/>
  <c r="O316" i="2"/>
  <c r="E612" i="2"/>
  <c r="D417" i="2"/>
  <c r="L222" i="2"/>
  <c r="K27" i="2"/>
  <c r="F191" i="2"/>
  <c r="E355" i="2"/>
  <c r="D160" i="2"/>
  <c r="H323" i="2"/>
  <c r="F611" i="2"/>
  <c r="E416" i="2"/>
  <c r="M221" i="2"/>
  <c r="L26" i="2"/>
  <c r="G190" i="2"/>
  <c r="F354" i="2"/>
  <c r="E159" i="2"/>
  <c r="I322" i="2"/>
  <c r="K128" i="2"/>
  <c r="V205" i="2"/>
  <c r="U10" i="2"/>
  <c r="I130" i="2"/>
  <c r="T207" i="2"/>
  <c r="G58" i="2"/>
  <c r="G97" i="2"/>
  <c r="N364" i="2"/>
  <c r="W558" i="2"/>
  <c r="V363" i="2"/>
  <c r="I169" i="2"/>
  <c r="D333" i="2"/>
  <c r="C138" i="2"/>
  <c r="W301" i="2"/>
  <c r="V106" i="2"/>
  <c r="G371" i="2"/>
  <c r="P565" i="2"/>
  <c r="O370" i="2"/>
  <c r="W175" i="2"/>
  <c r="R339" i="2"/>
  <c r="Q144" i="2"/>
  <c r="P308" i="2"/>
  <c r="T838" i="2"/>
  <c r="U839" i="2"/>
  <c r="U761" i="2"/>
  <c r="R461" i="2"/>
  <c r="J851" i="2"/>
  <c r="N461" i="2"/>
  <c r="K850" i="2"/>
  <c r="O460" i="2"/>
  <c r="E460" i="2"/>
  <c r="H942" i="2"/>
  <c r="L550" i="2"/>
  <c r="T506" i="2"/>
  <c r="R506" i="2"/>
  <c r="P506" i="2"/>
  <c r="E719" i="2"/>
  <c r="D524" i="2"/>
  <c r="U718" i="2"/>
  <c r="T523" i="2"/>
  <c r="C719" i="2"/>
  <c r="W523" i="2"/>
  <c r="K718" i="2"/>
  <c r="J523" i="2"/>
  <c r="R328" i="2"/>
  <c r="Q133" i="2"/>
  <c r="L297" i="2"/>
  <c r="K102" i="2"/>
  <c r="J266" i="2"/>
  <c r="F1000" i="2"/>
  <c r="L1000" i="2"/>
  <c r="G999" i="2"/>
  <c r="L608" i="2"/>
  <c r="J608" i="2"/>
  <c r="C609" i="2"/>
  <c r="F521" i="2"/>
  <c r="J716" i="2"/>
  <c r="I521" i="2"/>
  <c r="T1105" i="2"/>
  <c r="S910" i="2"/>
  <c r="H716" i="2"/>
  <c r="G521" i="2"/>
  <c r="C716" i="2"/>
  <c r="W520" i="2"/>
  <c r="F716" i="2"/>
  <c r="E521" i="2"/>
  <c r="U1104" i="2"/>
  <c r="T909" i="2"/>
  <c r="I715" i="2"/>
  <c r="H520" i="2"/>
  <c r="D715" i="2"/>
  <c r="C520" i="2"/>
  <c r="G715" i="2"/>
  <c r="F520" i="2"/>
  <c r="O714" i="2"/>
  <c r="N519" i="2"/>
  <c r="V324" i="2"/>
  <c r="U129" i="2"/>
  <c r="P293" i="2"/>
  <c r="O98" i="2"/>
  <c r="N262" i="2"/>
  <c r="V984" i="2"/>
  <c r="G985" i="2"/>
  <c r="W983" i="2"/>
  <c r="G593" i="2"/>
  <c r="E593" i="2"/>
  <c r="S593" i="2"/>
  <c r="J517" i="2"/>
  <c r="N712" i="2"/>
  <c r="M517" i="2"/>
  <c r="C1102" i="2"/>
  <c r="W906" i="2"/>
  <c r="L712" i="2"/>
  <c r="K517" i="2"/>
  <c r="G712" i="2"/>
  <c r="F517" i="2"/>
  <c r="J712" i="2"/>
  <c r="I517" i="2"/>
  <c r="D1101" i="2"/>
  <c r="C906" i="2"/>
  <c r="M711" i="2"/>
  <c r="L516" i="2"/>
  <c r="H711" i="2"/>
  <c r="G516" i="2"/>
  <c r="K711" i="2"/>
  <c r="J516" i="2"/>
  <c r="S710" i="2"/>
  <c r="R515" i="2"/>
  <c r="E321" i="2"/>
  <c r="D126" i="2"/>
  <c r="T289" i="2"/>
  <c r="V103" i="2"/>
  <c r="D120" i="2"/>
  <c r="K387" i="2"/>
  <c r="T581" i="2"/>
  <c r="S386" i="2"/>
  <c r="F192" i="2"/>
  <c r="V355" i="2"/>
  <c r="U160" i="2"/>
  <c r="T324" i="2"/>
  <c r="S129" i="2"/>
  <c r="D394" i="2"/>
  <c r="M588" i="2"/>
  <c r="L393" i="2"/>
  <c r="T198" i="2"/>
  <c r="S3" i="2"/>
  <c r="N167" i="2"/>
  <c r="M331" i="2"/>
  <c r="L136" i="2"/>
  <c r="E393" i="2"/>
  <c r="N587" i="2"/>
  <c r="M392" i="2"/>
  <c r="U197" i="2"/>
  <c r="T2" i="2"/>
  <c r="O166" i="2"/>
  <c r="N330" i="2"/>
  <c r="M135" i="2"/>
  <c r="Q298" i="2"/>
  <c r="S104" i="2"/>
  <c r="I182" i="2"/>
  <c r="O208" i="2"/>
  <c r="T565" i="2"/>
  <c r="S370" i="2"/>
  <c r="F176" i="2"/>
  <c r="V339" i="2"/>
  <c r="U144" i="2"/>
  <c r="T308" i="2"/>
  <c r="S113" i="2"/>
  <c r="D378" i="2"/>
  <c r="M572" i="2"/>
  <c r="L377" i="2"/>
  <c r="T182" i="2"/>
  <c r="O346" i="2"/>
  <c r="N151" i="2"/>
  <c r="M315" i="2"/>
  <c r="L120" i="2"/>
  <c r="E377" i="2"/>
  <c r="N571" i="2"/>
  <c r="M376" i="2"/>
  <c r="U181" i="2"/>
  <c r="P345" i="2"/>
  <c r="O150" i="2"/>
  <c r="N314" i="2"/>
  <c r="M119" i="2"/>
  <c r="T283" i="2"/>
  <c r="S88" i="2"/>
  <c r="I166" i="2"/>
  <c r="R285" i="2"/>
  <c r="Q90" i="2"/>
  <c r="G168" i="2"/>
  <c r="W337" i="2"/>
  <c r="O57" i="2"/>
  <c r="K714" i="2"/>
  <c r="J519" i="2"/>
  <c r="R324" i="2"/>
  <c r="Q129" i="2"/>
  <c r="L293" i="2"/>
  <c r="K98" i="2"/>
  <c r="J262" i="2"/>
  <c r="I67" i="2"/>
  <c r="D721" i="2"/>
  <c r="C526" i="2"/>
  <c r="K331" i="2"/>
  <c r="J136" i="2"/>
  <c r="E300" i="2"/>
  <c r="D105" i="2"/>
  <c r="C269" i="2"/>
  <c r="W73" i="2"/>
  <c r="E720" i="2"/>
  <c r="D525" i="2"/>
  <c r="L330" i="2"/>
  <c r="K135" i="2"/>
  <c r="F299" i="2"/>
  <c r="E104" i="2"/>
  <c r="D268" i="2"/>
  <c r="C73" i="2"/>
  <c r="J237" i="2"/>
  <c r="N41" i="2"/>
  <c r="T119" i="2"/>
  <c r="H239" i="2"/>
  <c r="G44" i="2"/>
  <c r="R121" i="2"/>
  <c r="G337" i="2"/>
  <c r="T56" i="2"/>
  <c r="P713" i="2"/>
  <c r="O518" i="2"/>
  <c r="W323" i="2"/>
  <c r="V128" i="2"/>
  <c r="Q292" i="2"/>
  <c r="P97" i="2"/>
  <c r="O261" i="2"/>
  <c r="N66" i="2"/>
  <c r="I720" i="2"/>
  <c r="H525" i="2"/>
  <c r="P330" i="2"/>
  <c r="O135" i="2"/>
  <c r="J299" i="2"/>
  <c r="I104" i="2"/>
  <c r="H268" i="2"/>
  <c r="G73" i="2"/>
  <c r="J719" i="2"/>
  <c r="I524" i="2"/>
  <c r="Q329" i="2"/>
  <c r="P134" i="2"/>
  <c r="K298" i="2"/>
  <c r="J103" i="2"/>
  <c r="I267" i="2"/>
  <c r="H72" i="2"/>
  <c r="O236" i="2"/>
  <c r="S40" i="2"/>
  <c r="D119" i="2"/>
  <c r="M238" i="2"/>
  <c r="L43" i="2"/>
  <c r="W120" i="2"/>
  <c r="I26" i="2"/>
  <c r="U3" i="2"/>
  <c r="E309" i="2"/>
  <c r="W94" i="2"/>
  <c r="S264" i="2"/>
  <c r="E63" i="2"/>
  <c r="O36" i="2"/>
  <c r="L7" i="2"/>
  <c r="E36" i="2"/>
  <c r="C514" i="2"/>
  <c r="K319" i="2"/>
  <c r="J124" i="2"/>
  <c r="E288" i="2"/>
  <c r="D93" i="2"/>
  <c r="C257" i="2"/>
  <c r="W61" i="2"/>
  <c r="R715" i="2"/>
  <c r="Q520" i="2"/>
  <c r="D326" i="2"/>
  <c r="C131" i="2"/>
  <c r="S294" i="2"/>
  <c r="R99" i="2"/>
  <c r="Q263" i="2"/>
  <c r="P68" i="2"/>
  <c r="S714" i="2"/>
  <c r="R519" i="2"/>
  <c r="E325" i="2"/>
  <c r="D130" i="2"/>
  <c r="T293" i="2"/>
  <c r="S98" i="2"/>
  <c r="R262" i="2"/>
  <c r="Q67" i="2"/>
  <c r="C232" i="2"/>
  <c r="U30" i="2"/>
  <c r="M114" i="2"/>
  <c r="V233" i="2"/>
  <c r="J37" i="2"/>
  <c r="K116" i="2"/>
  <c r="J234" i="2"/>
  <c r="S5" i="2"/>
  <c r="O662" i="2"/>
  <c r="N467" i="2"/>
  <c r="V272" i="2"/>
  <c r="U77" i="2"/>
  <c r="P241" i="2"/>
  <c r="O46" i="2"/>
  <c r="N210" i="2"/>
  <c r="M15" i="2"/>
  <c r="H669" i="2"/>
  <c r="G474" i="2"/>
  <c r="O279" i="2"/>
  <c r="N84" i="2"/>
  <c r="I248" i="2"/>
  <c r="H53" i="2"/>
  <c r="G217" i="2"/>
  <c r="F22" i="2"/>
  <c r="I668" i="2"/>
  <c r="H473" i="2"/>
  <c r="P278" i="2"/>
  <c r="O83" i="2"/>
  <c r="J247" i="2"/>
  <c r="I52" i="2"/>
  <c r="H216" i="2"/>
  <c r="G21" i="2"/>
  <c r="N185" i="2"/>
  <c r="D263" i="2"/>
  <c r="C68" i="2"/>
  <c r="L187" i="2"/>
  <c r="W264" i="2"/>
  <c r="V69" i="2"/>
  <c r="O233" i="2"/>
  <c r="C5" i="2"/>
  <c r="T661" i="2"/>
  <c r="S466" i="2"/>
  <c r="F272" i="2"/>
  <c r="E77" i="2"/>
  <c r="U240" i="2"/>
  <c r="T45" i="2"/>
  <c r="S209" i="2"/>
  <c r="R14" i="2"/>
  <c r="M668" i="2"/>
  <c r="L473" i="2"/>
  <c r="T278" i="2"/>
  <c r="S83" i="2"/>
  <c r="N247" i="2"/>
  <c r="M52" i="2"/>
  <c r="L216" i="2"/>
  <c r="K21" i="2"/>
  <c r="N667" i="2"/>
  <c r="M472" i="2"/>
  <c r="U277" i="2"/>
  <c r="T82" i="2"/>
  <c r="O246" i="2"/>
  <c r="N51" i="2"/>
  <c r="M215" i="2"/>
  <c r="L20" i="2"/>
  <c r="S184" i="2"/>
  <c r="I262" i="2"/>
  <c r="H67" i="2"/>
  <c r="Q186" i="2"/>
  <c r="G264" i="2"/>
  <c r="F69" i="2"/>
  <c r="J13" i="2"/>
  <c r="G406" i="2"/>
  <c r="M192" i="2"/>
  <c r="K312" i="2"/>
  <c r="P171" i="2"/>
  <c r="C96" i="2"/>
  <c r="I692" i="2"/>
  <c r="G339" i="2"/>
  <c r="M342" i="2"/>
  <c r="W442" i="2"/>
  <c r="I53" i="2"/>
  <c r="P356" i="2"/>
  <c r="W336" i="2"/>
  <c r="H393" i="2"/>
  <c r="P313" i="2"/>
  <c r="T172" i="2"/>
  <c r="G256" i="2"/>
  <c r="U298" i="2"/>
  <c r="W12" i="2"/>
  <c r="O73" i="2"/>
  <c r="G462" i="2"/>
  <c r="O267" i="2"/>
  <c r="N72" i="2"/>
  <c r="I236" i="2"/>
  <c r="H41" i="2"/>
  <c r="G205" i="2"/>
  <c r="F10" i="2"/>
  <c r="V663" i="2"/>
  <c r="U468" i="2"/>
  <c r="H274" i="2"/>
  <c r="G79" i="2"/>
  <c r="W242" i="2"/>
  <c r="V47" i="2"/>
  <c r="U211" i="2"/>
  <c r="T16" i="2"/>
  <c r="W662" i="2"/>
  <c r="V467" i="2"/>
  <c r="I273" i="2"/>
  <c r="H78" i="2"/>
  <c r="C242" i="2"/>
  <c r="W46" i="2"/>
  <c r="V210" i="2"/>
  <c r="U15" i="2"/>
  <c r="G180" i="2"/>
  <c r="R257" i="2"/>
  <c r="Q62" i="2"/>
  <c r="E182" i="2"/>
  <c r="P259" i="2"/>
  <c r="O64" i="2"/>
  <c r="C149" i="2"/>
  <c r="G312" i="2"/>
  <c r="S610" i="2"/>
  <c r="R415" i="2"/>
  <c r="E221" i="2"/>
  <c r="D26" i="2"/>
  <c r="T189" i="2"/>
  <c r="S353" i="2"/>
  <c r="R158" i="2"/>
  <c r="V321" i="2"/>
  <c r="L617" i="2"/>
  <c r="K422" i="2"/>
  <c r="S227" i="2"/>
  <c r="R32" i="2"/>
  <c r="M196" i="2"/>
  <c r="L360" i="2"/>
  <c r="K165" i="2"/>
  <c r="O328" i="2"/>
  <c r="M616" i="2"/>
  <c r="L421" i="2"/>
  <c r="T226" i="2"/>
  <c r="S31" i="2"/>
  <c r="N195" i="2"/>
  <c r="M359" i="2"/>
  <c r="L164" i="2"/>
  <c r="P327" i="2"/>
  <c r="R133" i="2"/>
  <c r="H211" i="2"/>
  <c r="G16" i="2"/>
  <c r="P135" i="2"/>
  <c r="F213" i="2"/>
  <c r="E18" i="2"/>
  <c r="H148" i="2"/>
  <c r="L311" i="2"/>
  <c r="C610" i="2"/>
  <c r="W414" i="2"/>
  <c r="J220" i="2"/>
  <c r="I25" i="2"/>
  <c r="D189" i="2"/>
  <c r="C353" i="2"/>
  <c r="W157" i="2"/>
  <c r="F321" i="2"/>
  <c r="Q616" i="2"/>
  <c r="P421" i="2"/>
  <c r="C227" i="2"/>
  <c r="W31" i="2"/>
  <c r="R195" i="2"/>
  <c r="Q359" i="2"/>
  <c r="P164" i="2"/>
  <c r="T327" i="2"/>
  <c r="R615" i="2"/>
  <c r="Q420" i="2"/>
  <c r="D226" i="2"/>
  <c r="C31" i="2"/>
  <c r="S194" i="2"/>
  <c r="R358" i="2"/>
  <c r="Q163" i="2"/>
  <c r="U326" i="2"/>
  <c r="W132" i="2"/>
  <c r="M210" i="2"/>
  <c r="L15" i="2"/>
  <c r="U134" i="2"/>
  <c r="K212" i="2"/>
  <c r="J17" i="2"/>
  <c r="O113" i="2"/>
  <c r="F248" i="2"/>
  <c r="D332" i="2"/>
  <c r="U142" i="2"/>
  <c r="N37" i="2"/>
  <c r="M234" i="2"/>
  <c r="U2" i="2"/>
  <c r="L96" i="2"/>
  <c r="M704" i="2"/>
  <c r="H278" i="2"/>
  <c r="P46" i="2"/>
  <c r="K210" i="2"/>
  <c r="J15" i="2"/>
  <c r="J118" i="2"/>
  <c r="D577" i="2"/>
  <c r="K187" i="2"/>
  <c r="V143" i="2"/>
  <c r="T112" i="2"/>
  <c r="E576" i="2"/>
  <c r="P198" i="2"/>
  <c r="S130" i="2"/>
  <c r="T323" i="2"/>
  <c r="F61" i="2"/>
  <c r="P99" i="2"/>
  <c r="R45" i="2"/>
  <c r="L669" i="2"/>
  <c r="G398" i="2"/>
  <c r="O203" i="2"/>
  <c r="N8" i="2"/>
  <c r="I172" i="2"/>
  <c r="H336" i="2"/>
  <c r="G141" i="2"/>
  <c r="K304" i="2"/>
  <c r="V599" i="2"/>
  <c r="U404" i="2"/>
  <c r="H210" i="2"/>
  <c r="G15" i="2"/>
  <c r="W178" i="2"/>
  <c r="V342" i="2"/>
  <c r="U147" i="2"/>
  <c r="D311" i="2"/>
  <c r="W598" i="2"/>
  <c r="V403" i="2"/>
  <c r="I209" i="2"/>
  <c r="H14" i="2"/>
  <c r="C178" i="2"/>
  <c r="W341" i="2"/>
  <c r="V146" i="2"/>
  <c r="E310" i="2"/>
  <c r="G116" i="2"/>
  <c r="R193" i="2"/>
  <c r="I34" i="2"/>
  <c r="E118" i="2"/>
  <c r="P195" i="2"/>
  <c r="T33" i="2"/>
  <c r="C85" i="2"/>
  <c r="T741" i="2"/>
  <c r="S546" i="2"/>
  <c r="F352" i="2"/>
  <c r="E157" i="2"/>
  <c r="U320" i="2"/>
  <c r="T125" i="2"/>
  <c r="S289" i="2"/>
  <c r="R94" i="2"/>
  <c r="M748" i="2"/>
  <c r="L553" i="2"/>
  <c r="T358" i="2"/>
  <c r="S163" i="2"/>
  <c r="N327" i="2"/>
  <c r="M132" i="2"/>
  <c r="L296" i="2"/>
  <c r="D790" i="2"/>
  <c r="E791" i="2"/>
  <c r="J955" i="2"/>
  <c r="W412" i="2"/>
  <c r="O802" i="2"/>
  <c r="S412" i="2"/>
  <c r="P801" i="2"/>
  <c r="T411" i="2"/>
  <c r="J411" i="2"/>
  <c r="W1526" i="2"/>
  <c r="R1135" i="2"/>
  <c r="D458" i="2"/>
  <c r="W457" i="2"/>
  <c r="U457" i="2"/>
  <c r="V706" i="2"/>
  <c r="U511" i="2"/>
  <c r="Q706" i="2"/>
  <c r="P511" i="2"/>
  <c r="T706" i="2"/>
  <c r="S511" i="2"/>
  <c r="G706" i="2"/>
  <c r="F511" i="2"/>
  <c r="N316" i="2"/>
  <c r="M121" i="2"/>
  <c r="H285" i="2"/>
  <c r="G90" i="2"/>
  <c r="F254" i="2"/>
  <c r="K951" i="2"/>
  <c r="Q951" i="2"/>
  <c r="L950" i="2"/>
  <c r="Q559" i="2"/>
  <c r="O559" i="2"/>
  <c r="H560" i="2"/>
  <c r="W508" i="2"/>
  <c r="F704" i="2"/>
  <c r="E509" i="2"/>
  <c r="P1093" i="2"/>
  <c r="O898" i="2"/>
  <c r="D704" i="2"/>
  <c r="C509" i="2"/>
  <c r="T703" i="2"/>
  <c r="S508" i="2"/>
  <c r="W703" i="2"/>
  <c r="V508" i="2"/>
  <c r="Q1092" i="2"/>
  <c r="P897" i="2"/>
  <c r="E703" i="2"/>
  <c r="D508" i="2"/>
  <c r="U702" i="2"/>
  <c r="T507" i="2"/>
  <c r="C703" i="2"/>
  <c r="W507" i="2"/>
  <c r="K702" i="2"/>
  <c r="J507" i="2"/>
  <c r="R312" i="2"/>
  <c r="Q117" i="2"/>
  <c r="L281" i="2"/>
  <c r="K86" i="2"/>
  <c r="J250" i="2"/>
  <c r="F936" i="2"/>
  <c r="L936" i="2"/>
  <c r="G935" i="2"/>
  <c r="L544" i="2"/>
  <c r="J544" i="2"/>
  <c r="C545" i="2"/>
  <c r="F505" i="2"/>
  <c r="J700" i="2"/>
  <c r="I505" i="2"/>
  <c r="T1089" i="2"/>
  <c r="S894" i="2"/>
  <c r="H700" i="2"/>
  <c r="G505" i="2"/>
  <c r="C700" i="2"/>
  <c r="W504" i="2"/>
  <c r="F700" i="2"/>
  <c r="E505" i="2"/>
  <c r="U1088" i="2"/>
  <c r="T893" i="2"/>
  <c r="I699" i="2"/>
  <c r="H504" i="2"/>
  <c r="D699" i="2"/>
  <c r="C504" i="2"/>
  <c r="G699" i="2"/>
  <c r="F504" i="2"/>
  <c r="O698" i="2"/>
  <c r="N503" i="2"/>
  <c r="V308" i="2"/>
  <c r="U113" i="2"/>
  <c r="P277" i="2"/>
  <c r="N79" i="2"/>
  <c r="U107" i="2"/>
  <c r="G375" i="2"/>
  <c r="P569" i="2"/>
  <c r="O374" i="2"/>
  <c r="W179" i="2"/>
  <c r="R343" i="2"/>
  <c r="Q148" i="2"/>
  <c r="P312" i="2"/>
  <c r="O117" i="2"/>
  <c r="U381" i="2"/>
  <c r="I576" i="2"/>
  <c r="H381" i="2"/>
  <c r="P186" i="2"/>
  <c r="K350" i="2"/>
  <c r="J155" i="2"/>
  <c r="I319" i="2"/>
  <c r="H124" i="2"/>
  <c r="V380" i="2"/>
  <c r="J575" i="2"/>
  <c r="I380" i="2"/>
  <c r="Q185" i="2"/>
  <c r="L349" i="2"/>
  <c r="K154" i="2"/>
  <c r="J318" i="2"/>
  <c r="I123" i="2"/>
  <c r="P287" i="2"/>
  <c r="O92" i="2"/>
  <c r="E170" i="2"/>
  <c r="T159" i="2"/>
  <c r="P553" i="2"/>
  <c r="C359" i="2"/>
  <c r="W163" i="2"/>
  <c r="R327" i="2"/>
  <c r="Q132" i="2"/>
  <c r="P296" i="2"/>
  <c r="O101" i="2"/>
  <c r="U365" i="2"/>
  <c r="I560" i="2"/>
  <c r="H365" i="2"/>
  <c r="P170" i="2"/>
  <c r="K334" i="2"/>
  <c r="J139" i="2"/>
  <c r="I303" i="2"/>
  <c r="H108" i="2"/>
  <c r="V364" i="2"/>
  <c r="J559" i="2"/>
  <c r="I364" i="2"/>
  <c r="Q169" i="2"/>
  <c r="L333" i="2"/>
  <c r="K138" i="2"/>
  <c r="J302" i="2"/>
  <c r="I107" i="2"/>
  <c r="P271" i="2"/>
  <c r="O76" i="2"/>
  <c r="E154" i="2"/>
  <c r="N273" i="2"/>
  <c r="M78" i="2"/>
  <c r="C156" i="2"/>
  <c r="O313" i="2"/>
  <c r="K45" i="2"/>
  <c r="G702" i="2"/>
  <c r="F507" i="2"/>
  <c r="N312" i="2"/>
  <c r="M117" i="2"/>
  <c r="H281" i="2"/>
  <c r="G86" i="2"/>
  <c r="F250" i="2"/>
  <c r="E55" i="2"/>
  <c r="U708" i="2"/>
  <c r="T513" i="2"/>
  <c r="G319" i="2"/>
  <c r="F124" i="2"/>
  <c r="V287" i="2"/>
  <c r="U92" i="2"/>
  <c r="T256" i="2"/>
  <c r="S61" i="2"/>
  <c r="V707" i="2"/>
  <c r="U512" i="2"/>
  <c r="H318" i="2"/>
  <c r="G123" i="2"/>
  <c r="W286" i="2"/>
  <c r="V91" i="2"/>
  <c r="U255" i="2"/>
  <c r="T60" i="2"/>
  <c r="F225" i="2"/>
  <c r="F17" i="2"/>
  <c r="P107" i="2"/>
  <c r="D227" i="2"/>
  <c r="E22" i="2"/>
  <c r="N109" i="2"/>
  <c r="T312" i="2"/>
  <c r="P44" i="2"/>
  <c r="L701" i="2"/>
  <c r="K506" i="2"/>
  <c r="S311" i="2"/>
  <c r="R116" i="2"/>
  <c r="M280" i="2"/>
  <c r="L85" i="2"/>
  <c r="K249" i="2"/>
  <c r="J54" i="2"/>
  <c r="E708" i="2"/>
  <c r="D513" i="2"/>
  <c r="L318" i="2"/>
  <c r="K123" i="2"/>
  <c r="F287" i="2"/>
  <c r="E92" i="2"/>
  <c r="D256" i="2"/>
  <c r="C61" i="2"/>
  <c r="F707" i="2"/>
  <c r="E512" i="2"/>
  <c r="M317" i="2"/>
  <c r="L122" i="2"/>
  <c r="G286" i="2"/>
  <c r="F91" i="2"/>
  <c r="E255" i="2"/>
  <c r="D60" i="2"/>
  <c r="K224" i="2"/>
  <c r="P15" i="2"/>
  <c r="U106" i="2"/>
  <c r="I226" i="2"/>
  <c r="O20" i="2"/>
  <c r="S108" i="2"/>
  <c r="D2" i="2"/>
  <c r="N325" i="2"/>
  <c r="N272" i="2"/>
  <c r="O70" i="2"/>
  <c r="R16" i="2"/>
  <c r="K360" i="2"/>
  <c r="R253" i="2"/>
  <c r="U18" i="2"/>
  <c r="O297" i="2"/>
  <c r="T501" i="2"/>
  <c r="G307" i="2"/>
  <c r="F112" i="2"/>
  <c r="V275" i="2"/>
  <c r="U80" i="2"/>
  <c r="T244" i="2"/>
  <c r="S49" i="2"/>
  <c r="N703" i="2"/>
  <c r="M508" i="2"/>
  <c r="U313" i="2"/>
  <c r="T118" i="2"/>
  <c r="O282" i="2"/>
  <c r="N87" i="2"/>
  <c r="M251" i="2"/>
  <c r="L56" i="2"/>
  <c r="O702" i="2"/>
  <c r="N507" i="2"/>
  <c r="V312" i="2"/>
  <c r="U117" i="2"/>
  <c r="P281" i="2"/>
  <c r="O86" i="2"/>
  <c r="N250" i="2"/>
  <c r="M55" i="2"/>
  <c r="T219" i="2"/>
  <c r="M6" i="2"/>
  <c r="I102" i="2"/>
  <c r="R221" i="2"/>
  <c r="Q10" i="2"/>
  <c r="G104" i="2"/>
  <c r="W209" i="2"/>
  <c r="T351" i="2"/>
  <c r="K650" i="2"/>
  <c r="J455" i="2"/>
  <c r="R260" i="2"/>
  <c r="Q65" i="2"/>
  <c r="L229" i="2"/>
  <c r="K34" i="2"/>
  <c r="J198" i="2"/>
  <c r="I3" i="2"/>
  <c r="D657" i="2"/>
  <c r="C462" i="2"/>
  <c r="K267" i="2"/>
  <c r="J72" i="2"/>
  <c r="E236" i="2"/>
  <c r="D41" i="2"/>
  <c r="C205" i="2"/>
  <c r="W9" i="2"/>
  <c r="E656" i="2"/>
  <c r="D461" i="2"/>
  <c r="L266" i="2"/>
  <c r="K71" i="2"/>
  <c r="F235" i="2"/>
  <c r="E40" i="2"/>
  <c r="D204" i="2"/>
  <c r="C9" i="2"/>
  <c r="J173" i="2"/>
  <c r="U250" i="2"/>
  <c r="T55" i="2"/>
  <c r="H175" i="2"/>
  <c r="S252" i="2"/>
  <c r="R57" i="2"/>
  <c r="G209" i="2"/>
  <c r="D351" i="2"/>
  <c r="P649" i="2"/>
  <c r="O454" i="2"/>
  <c r="W259" i="2"/>
  <c r="V64" i="2"/>
  <c r="Q228" i="2"/>
  <c r="P33" i="2"/>
  <c r="O197" i="2"/>
  <c r="J2" i="2"/>
  <c r="I656" i="2"/>
  <c r="H461" i="2"/>
  <c r="P266" i="2"/>
  <c r="O71" i="2"/>
  <c r="J235" i="2"/>
  <c r="I40" i="2"/>
  <c r="H204" i="2"/>
  <c r="G9" i="2"/>
  <c r="J655" i="2"/>
  <c r="I460" i="2"/>
  <c r="Q265" i="2"/>
  <c r="P70" i="2"/>
  <c r="K234" i="2"/>
  <c r="J39" i="2"/>
  <c r="I203" i="2"/>
  <c r="H8" i="2"/>
  <c r="O172" i="2"/>
  <c r="E250" i="2"/>
  <c r="D55" i="2"/>
  <c r="M174" i="2"/>
  <c r="C252" i="2"/>
  <c r="W56" i="2"/>
  <c r="D31" i="2"/>
  <c r="P369" i="2"/>
  <c r="R143" i="2"/>
  <c r="W276" i="2"/>
  <c r="H147" i="2"/>
  <c r="T83" i="2"/>
  <c r="V667" i="2"/>
  <c r="T314" i="2"/>
  <c r="E318" i="2"/>
  <c r="O418" i="2"/>
  <c r="V28" i="2"/>
  <c r="H332" i="2"/>
  <c r="O312" i="2"/>
  <c r="U368" i="2"/>
  <c r="H289" i="2"/>
  <c r="H136" i="2"/>
  <c r="P219" i="2"/>
  <c r="V245" i="2"/>
  <c r="W252" i="2"/>
  <c r="T24" i="2"/>
  <c r="C450" i="2"/>
  <c r="K255" i="2"/>
  <c r="J60" i="2"/>
  <c r="E224" i="2"/>
  <c r="D29" i="2"/>
  <c r="C193" i="2"/>
  <c r="G356" i="2"/>
  <c r="R651" i="2"/>
  <c r="Q456" i="2"/>
  <c r="D262" i="2"/>
  <c r="C67" i="2"/>
  <c r="S230" i="2"/>
  <c r="R35" i="2"/>
  <c r="Q199" i="2"/>
  <c r="P4" i="2"/>
  <c r="S650" i="2"/>
  <c r="R455" i="2"/>
  <c r="E261" i="2"/>
  <c r="D66" i="2"/>
  <c r="T229" i="2"/>
  <c r="S34" i="2"/>
  <c r="R198" i="2"/>
  <c r="Q3" i="2"/>
  <c r="C168" i="2"/>
  <c r="N245" i="2"/>
  <c r="M50" i="2"/>
  <c r="V169" i="2"/>
  <c r="L247" i="2"/>
  <c r="K52" i="2"/>
  <c r="T136" i="2"/>
  <c r="C300" i="2"/>
  <c r="O598" i="2"/>
  <c r="N403" i="2"/>
  <c r="V208" i="2"/>
  <c r="U13" i="2"/>
  <c r="P177" i="2"/>
  <c r="O341" i="2"/>
  <c r="N146" i="2"/>
  <c r="R309" i="2"/>
  <c r="H605" i="2"/>
  <c r="G410" i="2"/>
  <c r="O215" i="2"/>
  <c r="N20" i="2"/>
  <c r="I184" i="2"/>
  <c r="H348" i="2"/>
  <c r="G153" i="2"/>
  <c r="K316" i="2"/>
  <c r="I604" i="2"/>
  <c r="H409" i="2"/>
  <c r="P214" i="2"/>
  <c r="O19" i="2"/>
  <c r="J183" i="2"/>
  <c r="I347" i="2"/>
  <c r="H152" i="2"/>
  <c r="L315" i="2"/>
  <c r="N121" i="2"/>
  <c r="D199" i="2"/>
  <c r="C4" i="2"/>
  <c r="L123" i="2"/>
  <c r="W200" i="2"/>
  <c r="V5" i="2"/>
  <c r="D136" i="2"/>
  <c r="H299" i="2"/>
  <c r="T597" i="2"/>
  <c r="S402" i="2"/>
  <c r="F208" i="2"/>
  <c r="E13" i="2"/>
  <c r="U176" i="2"/>
  <c r="T340" i="2"/>
  <c r="S145" i="2"/>
  <c r="W308" i="2"/>
  <c r="M604" i="2"/>
  <c r="L409" i="2"/>
  <c r="T214" i="2"/>
  <c r="S19" i="2"/>
  <c r="N183" i="2"/>
  <c r="M347" i="2"/>
  <c r="L152" i="2"/>
  <c r="P315" i="2"/>
  <c r="N603" i="2"/>
  <c r="M408" i="2"/>
  <c r="U213" i="2"/>
  <c r="T18" i="2"/>
  <c r="O182" i="2"/>
  <c r="N346" i="2"/>
  <c r="M151" i="2"/>
  <c r="Q314" i="2"/>
  <c r="S120" i="2"/>
  <c r="I198" i="2"/>
  <c r="H3" i="2"/>
  <c r="Q122" i="2"/>
  <c r="G200" i="2"/>
  <c r="F5" i="2"/>
  <c r="V349" i="2"/>
  <c r="K199" i="2"/>
  <c r="M295" i="2"/>
  <c r="M118" i="2"/>
  <c r="F13" i="2"/>
  <c r="V197" i="2"/>
  <c r="G106" i="2"/>
  <c r="H84" i="2"/>
  <c r="E680" i="2"/>
  <c r="U253" i="2"/>
  <c r="L34" i="2"/>
  <c r="G198" i="2"/>
  <c r="F3" i="2"/>
  <c r="W93" i="2"/>
  <c r="Q552" i="2"/>
  <c r="C163" i="2"/>
  <c r="R131" i="2"/>
  <c r="L88" i="2"/>
  <c r="V563" i="2"/>
  <c r="H174" i="2"/>
  <c r="G94" i="2"/>
  <c r="K288" i="2"/>
  <c r="O24" i="2"/>
  <c r="H75" i="2"/>
  <c r="N269" i="2"/>
  <c r="Q620" i="2"/>
  <c r="C386" i="2"/>
  <c r="K191" i="2"/>
  <c r="F355" i="2"/>
  <c r="E160" i="2"/>
  <c r="D324" i="2"/>
  <c r="C129" i="2"/>
  <c r="I393" i="2"/>
  <c r="R587" i="2"/>
  <c r="Q392" i="2"/>
  <c r="D198" i="2"/>
  <c r="C3" i="2"/>
  <c r="S166" i="2"/>
  <c r="R330" i="2"/>
  <c r="Q135" i="2"/>
  <c r="J392" i="2"/>
  <c r="S586" i="2"/>
  <c r="R391" i="2"/>
  <c r="E197" i="2"/>
  <c r="F2" i="2"/>
  <c r="T165" i="2"/>
  <c r="S329" i="2"/>
  <c r="R134" i="2"/>
  <c r="V297" i="2"/>
  <c r="C104" i="2"/>
  <c r="N181" i="2"/>
  <c r="L11" i="2"/>
  <c r="V105" i="2"/>
  <c r="L183" i="2"/>
  <c r="L9" i="2"/>
  <c r="T72" i="2"/>
  <c r="P729" i="2"/>
  <c r="O534" i="2"/>
  <c r="W339" i="2"/>
  <c r="V144" i="2"/>
  <c r="Q308" i="2"/>
  <c r="P113" i="2"/>
  <c r="O277" i="2"/>
  <c r="N82" i="2"/>
  <c r="I736" i="2"/>
  <c r="H541" i="2"/>
  <c r="P346" i="2"/>
  <c r="O151" i="2"/>
  <c r="J315" i="2"/>
  <c r="I120" i="2"/>
  <c r="H284" i="2"/>
  <c r="P675" i="2"/>
  <c r="O480" i="2"/>
  <c r="S675" i="2"/>
  <c r="R480" i="2"/>
  <c r="M1064" i="2"/>
  <c r="L869" i="2"/>
  <c r="V674" i="2"/>
  <c r="U479" i="2"/>
  <c r="Q674" i="2"/>
  <c r="P479" i="2"/>
  <c r="T674" i="2"/>
  <c r="S479" i="2"/>
  <c r="G674" i="2"/>
  <c r="F479" i="2"/>
  <c r="N284" i="2"/>
  <c r="M89" i="2"/>
  <c r="H253" i="2"/>
  <c r="S30" i="2"/>
  <c r="M83" i="2"/>
  <c r="I740" i="2"/>
  <c r="H545" i="2"/>
  <c r="P350" i="2"/>
  <c r="O155" i="2"/>
  <c r="J319" i="2"/>
  <c r="I124" i="2"/>
  <c r="H288" i="2"/>
  <c r="G93" i="2"/>
  <c r="W746" i="2"/>
  <c r="V551" i="2"/>
  <c r="I357" i="2"/>
  <c r="H162" i="2"/>
  <c r="C326" i="2"/>
  <c r="W130" i="2"/>
  <c r="V294" i="2"/>
  <c r="U99" i="2"/>
  <c r="C746" i="2"/>
  <c r="W550" i="2"/>
  <c r="J356" i="2"/>
  <c r="I161" i="2"/>
  <c r="D325" i="2"/>
  <c r="C130" i="2"/>
  <c r="W293" i="2"/>
  <c r="V98" i="2"/>
  <c r="H263" i="2"/>
  <c r="G68" i="2"/>
  <c r="R145" i="2"/>
  <c r="I62" i="2"/>
  <c r="H529" i="2"/>
  <c r="P334" i="2"/>
  <c r="O139" i="2"/>
  <c r="J303" i="2"/>
  <c r="I108" i="2"/>
  <c r="H272" i="2"/>
  <c r="G77" i="2"/>
  <c r="W730" i="2"/>
  <c r="V535" i="2"/>
  <c r="I341" i="2"/>
  <c r="H146" i="2"/>
  <c r="C310" i="2"/>
  <c r="W114" i="2"/>
  <c r="V278" i="2"/>
  <c r="U83" i="2"/>
  <c r="C730" i="2"/>
  <c r="W534" i="2"/>
  <c r="J340" i="2"/>
  <c r="I145" i="2"/>
  <c r="D309" i="2"/>
  <c r="C114" i="2"/>
  <c r="W277" i="2"/>
  <c r="V82" i="2"/>
  <c r="H247" i="2"/>
  <c r="G52" i="2"/>
  <c r="R129" i="2"/>
  <c r="F249" i="2"/>
  <c r="E54" i="2"/>
  <c r="P131" i="2"/>
  <c r="T264" i="2"/>
  <c r="C21" i="2"/>
  <c r="T677" i="2"/>
  <c r="S482" i="2"/>
  <c r="F288" i="2"/>
  <c r="E93" i="2"/>
  <c r="U256" i="2"/>
  <c r="T61" i="2"/>
  <c r="S225" i="2"/>
  <c r="R30" i="2"/>
  <c r="M684" i="2"/>
  <c r="L489" i="2"/>
  <c r="T294" i="2"/>
  <c r="S99" i="2"/>
  <c r="N263" i="2"/>
  <c r="M68" i="2"/>
  <c r="L232" i="2"/>
  <c r="K37" i="2"/>
  <c r="N683" i="2"/>
  <c r="M488" i="2"/>
  <c r="U293" i="2"/>
  <c r="T98" i="2"/>
  <c r="O262" i="2"/>
  <c r="N67" i="2"/>
  <c r="M231" i="2"/>
  <c r="L36" i="2"/>
  <c r="S200" i="2"/>
  <c r="I278" i="2"/>
  <c r="H83" i="2"/>
  <c r="Q202" i="2"/>
  <c r="G280" i="2"/>
  <c r="F85" i="2"/>
  <c r="D264" i="2"/>
  <c r="H20" i="2"/>
  <c r="D677" i="2"/>
  <c r="C482" i="2"/>
  <c r="K287" i="2"/>
  <c r="J92" i="2"/>
  <c r="E256" i="2"/>
  <c r="D61" i="2"/>
  <c r="C225" i="2"/>
  <c r="W29" i="2"/>
  <c r="R683" i="2"/>
  <c r="Q488" i="2"/>
  <c r="D294" i="2"/>
  <c r="C99" i="2"/>
  <c r="S262" i="2"/>
  <c r="R67" i="2"/>
  <c r="Q231" i="2"/>
  <c r="P36" i="2"/>
  <c r="S682" i="2"/>
  <c r="R487" i="2"/>
  <c r="E293" i="2"/>
  <c r="D98" i="2"/>
  <c r="T261" i="2"/>
  <c r="S66" i="2"/>
  <c r="R230" i="2"/>
  <c r="Q35" i="2"/>
  <c r="C200" i="2"/>
  <c r="N277" i="2"/>
  <c r="M82" i="2"/>
  <c r="V201" i="2"/>
  <c r="L279" i="2"/>
  <c r="K84" i="2"/>
  <c r="E2" i="2"/>
  <c r="J735" i="2"/>
  <c r="O211" i="2"/>
  <c r="H344" i="2"/>
  <c r="I113" i="2"/>
  <c r="C264" i="2"/>
  <c r="K168" i="2"/>
  <c r="G48" i="2"/>
  <c r="N134" i="2"/>
  <c r="L477" i="2"/>
  <c r="T282" i="2"/>
  <c r="S87" i="2"/>
  <c r="N251" i="2"/>
  <c r="M56" i="2"/>
  <c r="L220" i="2"/>
  <c r="K25" i="2"/>
  <c r="F679" i="2"/>
  <c r="E484" i="2"/>
  <c r="M289" i="2"/>
  <c r="L94" i="2"/>
  <c r="G258" i="2"/>
  <c r="F63" i="2"/>
  <c r="E227" i="2"/>
  <c r="D32" i="2"/>
  <c r="G678" i="2"/>
  <c r="F483" i="2"/>
  <c r="N288" i="2"/>
  <c r="M93" i="2"/>
  <c r="H257" i="2"/>
  <c r="G62" i="2"/>
  <c r="F226" i="2"/>
  <c r="E31" i="2"/>
  <c r="L195" i="2"/>
  <c r="W272" i="2"/>
  <c r="V77" i="2"/>
  <c r="J197" i="2"/>
  <c r="U274" i="2"/>
  <c r="T79" i="2"/>
  <c r="H164" i="2"/>
  <c r="L327" i="2"/>
  <c r="C626" i="2"/>
  <c r="W430" i="2"/>
  <c r="J236" i="2"/>
  <c r="I41" i="2"/>
  <c r="D205" i="2"/>
  <c r="C10" i="2"/>
  <c r="W173" i="2"/>
  <c r="F337" i="2"/>
  <c r="Q632" i="2"/>
  <c r="P437" i="2"/>
  <c r="C243" i="2"/>
  <c r="W47" i="2"/>
  <c r="R211" i="2"/>
  <c r="Q16" i="2"/>
  <c r="P180" i="2"/>
  <c r="T343" i="2"/>
  <c r="R631" i="2"/>
  <c r="Q436" i="2"/>
  <c r="D242" i="2"/>
  <c r="C47" i="2"/>
  <c r="S210" i="2"/>
  <c r="R15" i="2"/>
  <c r="Q179" i="2"/>
  <c r="U342" i="2"/>
  <c r="W148" i="2"/>
  <c r="M226" i="2"/>
  <c r="L31" i="2"/>
  <c r="U150" i="2"/>
  <c r="K228" i="2"/>
  <c r="J33" i="2"/>
  <c r="M163" i="2"/>
  <c r="Q326" i="2"/>
  <c r="H625" i="2"/>
  <c r="G430" i="2"/>
  <c r="O235" i="2"/>
  <c r="N40" i="2"/>
  <c r="I204" i="2"/>
  <c r="H9" i="2"/>
  <c r="G173" i="2"/>
  <c r="K336" i="2"/>
  <c r="V631" i="2"/>
  <c r="U436" i="2"/>
  <c r="H242" i="2"/>
  <c r="G47" i="2"/>
  <c r="W210" i="2"/>
  <c r="V15" i="2"/>
  <c r="U179" i="2"/>
  <c r="D343" i="2"/>
  <c r="W630" i="2"/>
  <c r="V435" i="2"/>
  <c r="I241" i="2"/>
  <c r="H46" i="2"/>
  <c r="C210" i="2"/>
  <c r="W14" i="2"/>
  <c r="V178" i="2"/>
  <c r="E342" i="2"/>
  <c r="G148" i="2"/>
  <c r="R225" i="2"/>
  <c r="Q30" i="2"/>
  <c r="E150" i="2"/>
  <c r="P227" i="2"/>
  <c r="O32" i="2"/>
  <c r="C24" i="2"/>
  <c r="V296" i="2"/>
  <c r="S82" i="2"/>
  <c r="C216" i="2"/>
  <c r="M98" i="2"/>
  <c r="I2" i="2"/>
  <c r="F619" i="2"/>
  <c r="D266" i="2"/>
  <c r="L370" i="2"/>
  <c r="T369" i="2"/>
  <c r="S326" i="2"/>
  <c r="Q295" i="2"/>
  <c r="O734" i="2"/>
  <c r="N320" i="2"/>
  <c r="M240" i="2"/>
  <c r="I75" i="2"/>
  <c r="M146" i="2"/>
  <c r="F197" i="2"/>
  <c r="L155" i="2"/>
  <c r="Q389" i="2"/>
  <c r="P425" i="2"/>
  <c r="C231" i="2"/>
  <c r="W35" i="2"/>
  <c r="R199" i="2"/>
  <c r="Q4" i="2"/>
  <c r="P168" i="2"/>
  <c r="T331" i="2"/>
  <c r="J627" i="2"/>
  <c r="I432" i="2"/>
  <c r="Q237" i="2"/>
  <c r="P42" i="2"/>
  <c r="K206" i="2"/>
  <c r="J11" i="2"/>
  <c r="I175" i="2"/>
  <c r="M338" i="2"/>
  <c r="K626" i="2"/>
  <c r="J431" i="2"/>
  <c r="R236" i="2"/>
  <c r="Q41" i="2"/>
  <c r="L205" i="2"/>
  <c r="K10" i="2"/>
  <c r="J174" i="2"/>
  <c r="N337" i="2"/>
  <c r="P143" i="2"/>
  <c r="F221" i="2"/>
  <c r="E26" i="2"/>
  <c r="N145" i="2"/>
  <c r="D223" i="2"/>
  <c r="Q88" i="2"/>
  <c r="L112" i="2"/>
  <c r="S379" i="2"/>
  <c r="G574" i="2"/>
  <c r="F379" i="2"/>
  <c r="N184" i="2"/>
  <c r="I348" i="2"/>
  <c r="H153" i="2"/>
  <c r="G317" i="2"/>
  <c r="F122" i="2"/>
  <c r="L386" i="2"/>
  <c r="U580" i="2"/>
  <c r="T385" i="2"/>
  <c r="G191" i="2"/>
  <c r="W354" i="2"/>
  <c r="V159" i="2"/>
  <c r="U323" i="2"/>
  <c r="T128" i="2"/>
  <c r="M385" i="2"/>
  <c r="V579" i="2"/>
  <c r="U384" i="2"/>
  <c r="H190" i="2"/>
  <c r="C354" i="2"/>
  <c r="W158" i="2"/>
  <c r="V322" i="2"/>
  <c r="U127" i="2"/>
  <c r="O292" i="2"/>
  <c r="F97" i="2"/>
  <c r="Q174" i="2"/>
  <c r="O296" i="2"/>
  <c r="D99" i="2"/>
  <c r="O176" i="2"/>
  <c r="V87" i="2"/>
  <c r="Q111" i="2"/>
  <c r="C379" i="2"/>
  <c r="L573" i="2"/>
  <c r="K378" i="2"/>
  <c r="S183" i="2"/>
  <c r="N347" i="2"/>
  <c r="M152" i="2"/>
  <c r="L316" i="2"/>
  <c r="K121" i="2"/>
  <c r="Q385" i="2"/>
  <c r="E580" i="2"/>
  <c r="D385" i="2"/>
  <c r="L190" i="2"/>
  <c r="G354" i="2"/>
  <c r="F159" i="2"/>
  <c r="E323" i="2"/>
  <c r="D128" i="2"/>
  <c r="R384" i="2"/>
  <c r="F579" i="2"/>
  <c r="E384" i="2"/>
  <c r="M189" i="2"/>
  <c r="H353" i="2"/>
  <c r="G158" i="2"/>
  <c r="F322" i="2"/>
  <c r="E127" i="2"/>
  <c r="L291" i="2"/>
  <c r="K96" i="2"/>
  <c r="V173" i="2"/>
  <c r="E294" i="2"/>
  <c r="I98" i="2"/>
  <c r="T175" i="2"/>
  <c r="K4" i="2"/>
  <c r="N747" i="2"/>
  <c r="H126" i="2"/>
  <c r="J222" i="2"/>
  <c r="R69" i="2"/>
  <c r="U278" i="2"/>
  <c r="J161" i="2"/>
  <c r="L57" i="2"/>
  <c r="M35" i="2"/>
  <c r="J631" i="2"/>
  <c r="E205" i="2"/>
  <c r="D10" i="2"/>
  <c r="T173" i="2"/>
  <c r="S337" i="2"/>
  <c r="K57" i="2"/>
  <c r="V503" i="2"/>
  <c r="H114" i="2"/>
  <c r="W82" i="2"/>
  <c r="Q39" i="2"/>
  <c r="F515" i="2"/>
  <c r="M125" i="2"/>
  <c r="H33" i="2"/>
  <c r="L227" i="2"/>
  <c r="E278" i="2"/>
  <c r="D47" i="2"/>
  <c r="C172" i="2"/>
  <c r="Q556" i="2"/>
  <c r="P361" i="2"/>
  <c r="C167" i="2"/>
  <c r="S330" i="2"/>
  <c r="R135" i="2"/>
  <c r="Q299" i="2"/>
  <c r="P104" i="2"/>
  <c r="V368" i="2"/>
  <c r="J563" i="2"/>
  <c r="I368" i="2"/>
  <c r="Q173" i="2"/>
  <c r="L337" i="2"/>
  <c r="K142" i="2"/>
  <c r="J306" i="2"/>
  <c r="I111" i="2"/>
  <c r="W367" i="2"/>
  <c r="K562" i="2"/>
  <c r="J367" i="2"/>
  <c r="R172" i="2"/>
  <c r="M336" i="2"/>
  <c r="L141" i="2"/>
  <c r="K305" i="2"/>
  <c r="J110" i="2"/>
  <c r="Q274" i="2"/>
  <c r="P79" i="2"/>
  <c r="F157" i="2"/>
  <c r="O276" i="2"/>
  <c r="N81" i="2"/>
  <c r="D159" i="2"/>
  <c r="Q319" i="2"/>
  <c r="L48" i="2"/>
  <c r="H705" i="2"/>
  <c r="G510" i="2"/>
  <c r="O315" i="2"/>
  <c r="N120" i="2"/>
  <c r="I284" i="2"/>
  <c r="H89" i="2"/>
  <c r="G253" i="2"/>
  <c r="F58" i="2"/>
  <c r="V711" i="2"/>
  <c r="U516" i="2"/>
  <c r="H322" i="2"/>
  <c r="G127" i="2"/>
  <c r="W290" i="2"/>
  <c r="V95" i="2"/>
  <c r="U259" i="2"/>
  <c r="I1424" i="2"/>
  <c r="V1033" i="2"/>
  <c r="R370" i="2"/>
  <c r="V656" i="2"/>
  <c r="T656" i="2"/>
  <c r="R656" i="2"/>
  <c r="U655" i="2"/>
  <c r="S655" i="2"/>
  <c r="M265" i="2"/>
  <c r="N942" i="2"/>
  <c r="E551" i="2"/>
  <c r="J1091" i="2"/>
  <c r="N701" i="2"/>
  <c r="K1090" i="2"/>
  <c r="J670" i="2"/>
  <c r="I475" i="2"/>
  <c r="E670" i="2"/>
  <c r="D475" i="2"/>
  <c r="H670" i="2"/>
  <c r="G475" i="2"/>
  <c r="P669" i="2"/>
  <c r="O474" i="2"/>
  <c r="W279" i="2"/>
  <c r="V84" i="2"/>
  <c r="Q248" i="2"/>
  <c r="P53" i="2"/>
  <c r="O217" i="2"/>
  <c r="E805" i="2"/>
  <c r="K805" i="2"/>
  <c r="F804" i="2"/>
  <c r="K413" i="2"/>
  <c r="I413" i="2"/>
  <c r="W413" i="2"/>
  <c r="K472" i="2"/>
  <c r="O667" i="2"/>
  <c r="N472" i="2"/>
  <c r="D1057" i="2"/>
  <c r="C862" i="2"/>
  <c r="M667" i="2"/>
  <c r="L472" i="2"/>
  <c r="H667" i="2"/>
  <c r="G472" i="2"/>
  <c r="K667" i="2"/>
  <c r="J472" i="2"/>
  <c r="E1056" i="2"/>
  <c r="D861" i="2"/>
  <c r="N666" i="2"/>
  <c r="M471" i="2"/>
  <c r="I666" i="2"/>
  <c r="H471" i="2"/>
  <c r="L666" i="2"/>
  <c r="K471" i="2"/>
  <c r="T665" i="2"/>
  <c r="S470" i="2"/>
  <c r="F276" i="2"/>
  <c r="E81" i="2"/>
  <c r="U244" i="2"/>
  <c r="T49" i="2"/>
  <c r="S213" i="2"/>
  <c r="U789" i="2"/>
  <c r="F790" i="2"/>
  <c r="V788" i="2"/>
  <c r="F398" i="2"/>
  <c r="D398" i="2"/>
  <c r="R398" i="2"/>
  <c r="O468" i="2"/>
  <c r="S663" i="2"/>
  <c r="R468" i="2"/>
  <c r="H1053" i="2"/>
  <c r="G858" i="2"/>
  <c r="Q663" i="2"/>
  <c r="P468" i="2"/>
  <c r="L663" i="2"/>
  <c r="K468" i="2"/>
  <c r="O663" i="2"/>
  <c r="N468" i="2"/>
  <c r="I1052" i="2"/>
  <c r="H857" i="2"/>
  <c r="R662" i="2"/>
  <c r="Q467" i="2"/>
  <c r="M662" i="2"/>
  <c r="L467" i="2"/>
  <c r="P662" i="2"/>
  <c r="O467" i="2"/>
  <c r="C662" i="2"/>
  <c r="W466" i="2"/>
  <c r="J272" i="2"/>
  <c r="I77" i="2"/>
  <c r="D241" i="2"/>
  <c r="K6" i="2"/>
  <c r="I71" i="2"/>
  <c r="E728" i="2"/>
  <c r="D533" i="2"/>
  <c r="L338" i="2"/>
  <c r="K143" i="2"/>
  <c r="F307" i="2"/>
  <c r="E112" i="2"/>
  <c r="D276" i="2"/>
  <c r="C81" i="2"/>
  <c r="S734" i="2"/>
  <c r="R539" i="2"/>
  <c r="E345" i="2"/>
  <c r="D150" i="2"/>
  <c r="T313" i="2"/>
  <c r="S118" i="2"/>
  <c r="R282" i="2"/>
  <c r="Q87" i="2"/>
  <c r="T733" i="2"/>
  <c r="S538" i="2"/>
  <c r="F344" i="2"/>
  <c r="E149" i="2"/>
  <c r="U312" i="2"/>
  <c r="T117" i="2"/>
  <c r="S281" i="2"/>
  <c r="R86" i="2"/>
  <c r="D251" i="2"/>
  <c r="C56" i="2"/>
  <c r="N133" i="2"/>
  <c r="M60" i="2"/>
  <c r="D517" i="2"/>
  <c r="L322" i="2"/>
  <c r="K127" i="2"/>
  <c r="F291" i="2"/>
  <c r="E96" i="2"/>
  <c r="D260" i="2"/>
  <c r="C65" i="2"/>
  <c r="S718" i="2"/>
  <c r="R523" i="2"/>
  <c r="E329" i="2"/>
  <c r="D134" i="2"/>
  <c r="T297" i="2"/>
  <c r="S102" i="2"/>
  <c r="R266" i="2"/>
  <c r="Q71" i="2"/>
  <c r="T717" i="2"/>
  <c r="S522" i="2"/>
  <c r="F328" i="2"/>
  <c r="E133" i="2"/>
  <c r="U296" i="2"/>
  <c r="T101" i="2"/>
  <c r="S265" i="2"/>
  <c r="R70" i="2"/>
  <c r="D235" i="2"/>
  <c r="R37" i="2"/>
  <c r="N117" i="2"/>
  <c r="W236" i="2"/>
  <c r="V41" i="2"/>
  <c r="L119" i="2"/>
  <c r="L240" i="2"/>
  <c r="T8" i="2"/>
  <c r="P665" i="2"/>
  <c r="O470" i="2"/>
  <c r="W275" i="2"/>
  <c r="V80" i="2"/>
  <c r="Q244" i="2"/>
  <c r="P49" i="2"/>
  <c r="O213" i="2"/>
  <c r="N18" i="2"/>
  <c r="I672" i="2"/>
  <c r="H477" i="2"/>
  <c r="P282" i="2"/>
  <c r="O87" i="2"/>
  <c r="J251" i="2"/>
  <c r="I56" i="2"/>
  <c r="H220" i="2"/>
  <c r="G25" i="2"/>
  <c r="J671" i="2"/>
  <c r="I476" i="2"/>
  <c r="Q281" i="2"/>
  <c r="P86" i="2"/>
  <c r="K250" i="2"/>
  <c r="J55" i="2"/>
  <c r="I219" i="2"/>
  <c r="H24" i="2"/>
  <c r="O188" i="2"/>
  <c r="E266" i="2"/>
  <c r="D71" i="2"/>
  <c r="M190" i="2"/>
  <c r="C268" i="2"/>
  <c r="W72" i="2"/>
  <c r="Q239" i="2"/>
  <c r="D8" i="2"/>
  <c r="U664" i="2"/>
  <c r="T469" i="2"/>
  <c r="G275" i="2"/>
  <c r="F80" i="2"/>
  <c r="V243" i="2"/>
  <c r="U48" i="2"/>
  <c r="T212" i="2"/>
  <c r="S17" i="2"/>
  <c r="N671" i="2"/>
  <c r="M476" i="2"/>
  <c r="U281" i="2"/>
  <c r="T86" i="2"/>
  <c r="O250" i="2"/>
  <c r="N55" i="2"/>
  <c r="M219" i="2"/>
  <c r="L24" i="2"/>
  <c r="O670" i="2"/>
  <c r="N475" i="2"/>
  <c r="V280" i="2"/>
  <c r="U85" i="2"/>
  <c r="P249" i="2"/>
  <c r="O54" i="2"/>
  <c r="N218" i="2"/>
  <c r="M23" i="2"/>
  <c r="T187" i="2"/>
  <c r="J265" i="2"/>
  <c r="I70" i="2"/>
  <c r="R189" i="2"/>
  <c r="H267" i="2"/>
  <c r="G72" i="2"/>
  <c r="L19" i="2"/>
  <c r="W710" i="2"/>
  <c r="C175" i="2"/>
  <c r="U319" i="2"/>
  <c r="T325" i="2"/>
  <c r="H215" i="2"/>
  <c r="T131" i="2"/>
  <c r="D35" i="2"/>
  <c r="S85" i="2"/>
  <c r="H465" i="2"/>
  <c r="P270" i="2"/>
  <c r="O75" i="2"/>
  <c r="J239" i="2"/>
  <c r="I44" i="2"/>
  <c r="H208" i="2"/>
  <c r="G13" i="2"/>
  <c r="W666" i="2"/>
  <c r="V471" i="2"/>
  <c r="I277" i="2"/>
  <c r="H82" i="2"/>
  <c r="C246" i="2"/>
  <c r="W50" i="2"/>
  <c r="V214" i="2"/>
  <c r="U19" i="2"/>
  <c r="C666" i="2"/>
  <c r="W470" i="2"/>
  <c r="J276" i="2"/>
  <c r="I81" i="2"/>
  <c r="D245" i="2"/>
  <c r="C50" i="2"/>
  <c r="W213" i="2"/>
  <c r="V18" i="2"/>
  <c r="H183" i="2"/>
  <c r="S260" i="2"/>
  <c r="R65" i="2"/>
  <c r="F185" i="2"/>
  <c r="Q262" i="2"/>
  <c r="P67" i="2"/>
  <c r="D152" i="2"/>
  <c r="H315" i="2"/>
  <c r="T613" i="2"/>
  <c r="S418" i="2"/>
  <c r="F224" i="2"/>
  <c r="E29" i="2"/>
  <c r="U192" i="2"/>
  <c r="T356" i="2"/>
  <c r="S161" i="2"/>
  <c r="W324" i="2"/>
  <c r="M620" i="2"/>
  <c r="L425" i="2"/>
  <c r="T230" i="2"/>
  <c r="S35" i="2"/>
  <c r="N199" i="2"/>
  <c r="M4" i="2"/>
  <c r="L168" i="2"/>
  <c r="P331" i="2"/>
  <c r="N619" i="2"/>
  <c r="M424" i="2"/>
  <c r="U229" i="2"/>
  <c r="T34" i="2"/>
  <c r="O198" i="2"/>
  <c r="N3" i="2"/>
  <c r="M167" i="2"/>
  <c r="Q330" i="2"/>
  <c r="S136" i="2"/>
  <c r="I214" i="2"/>
  <c r="H19" i="2"/>
  <c r="Q138" i="2"/>
  <c r="G216" i="2"/>
  <c r="F21" i="2"/>
  <c r="I151" i="2"/>
  <c r="M314" i="2"/>
  <c r="D613" i="2"/>
  <c r="C418" i="2"/>
  <c r="K223" i="2"/>
  <c r="J28" i="2"/>
  <c r="E192" i="2"/>
  <c r="D356" i="2"/>
  <c r="C161" i="2"/>
  <c r="G324" i="2"/>
  <c r="R619" i="2"/>
  <c r="Q424" i="2"/>
  <c r="D230" i="2"/>
  <c r="C35" i="2"/>
  <c r="S198" i="2"/>
  <c r="R3" i="2"/>
  <c r="Q167" i="2"/>
  <c r="U330" i="2"/>
  <c r="S618" i="2"/>
  <c r="R423" i="2"/>
  <c r="E229" i="2"/>
  <c r="D34" i="2"/>
  <c r="T197" i="2"/>
  <c r="S2" i="2"/>
  <c r="R166" i="2"/>
  <c r="V329" i="2"/>
  <c r="C136" i="2"/>
  <c r="N213" i="2"/>
  <c r="M18" i="2"/>
  <c r="V137" i="2"/>
  <c r="L215" i="2"/>
  <c r="K20" i="2"/>
  <c r="K101" i="2"/>
  <c r="J260" i="2"/>
  <c r="K58" i="2"/>
  <c r="P191" i="2"/>
  <c r="E74" i="2"/>
  <c r="D271" i="2"/>
  <c r="S594" i="2"/>
  <c r="Q241" i="2"/>
  <c r="N735" i="2"/>
  <c r="U345" i="2"/>
  <c r="K302" i="2"/>
  <c r="I271" i="2"/>
  <c r="G710" i="2"/>
  <c r="F296" i="2"/>
  <c r="V203" i="2"/>
  <c r="R38" i="2"/>
  <c r="V109" i="2"/>
  <c r="O160" i="2"/>
  <c r="Q106" i="2"/>
  <c r="K730" i="2"/>
  <c r="L413" i="2"/>
  <c r="T218" i="2"/>
  <c r="S23" i="2"/>
  <c r="N187" i="2"/>
  <c r="M351" i="2"/>
  <c r="L156" i="2"/>
  <c r="P319" i="2"/>
  <c r="F615" i="2"/>
  <c r="E420" i="2"/>
  <c r="M225" i="2"/>
  <c r="L30" i="2"/>
  <c r="G194" i="2"/>
  <c r="F358" i="2"/>
  <c r="E163" i="2"/>
  <c r="I326" i="2"/>
  <c r="G614" i="2"/>
  <c r="F419" i="2"/>
  <c r="N224" i="2"/>
  <c r="M29" i="2"/>
  <c r="H193" i="2"/>
  <c r="G357" i="2"/>
  <c r="F162" i="2"/>
  <c r="J325" i="2"/>
  <c r="L131" i="2"/>
  <c r="W208" i="2"/>
  <c r="V13" i="2"/>
  <c r="J133" i="2"/>
  <c r="U210" i="2"/>
  <c r="I64" i="2"/>
  <c r="H100" i="2"/>
  <c r="O367" i="2"/>
  <c r="C562" i="2"/>
  <c r="W366" i="2"/>
  <c r="J172" i="2"/>
  <c r="E336" i="2"/>
  <c r="D141" i="2"/>
  <c r="C305" i="2"/>
  <c r="W109" i="2"/>
  <c r="H374" i="2"/>
  <c r="Q568" i="2"/>
  <c r="P373" i="2"/>
  <c r="C179" i="2"/>
  <c r="S342" i="2"/>
  <c r="R147" i="2"/>
  <c r="Q311" i="2"/>
  <c r="P116" i="2"/>
  <c r="I373" i="2"/>
  <c r="R567" i="2"/>
  <c r="Q372" i="2"/>
  <c r="D178" i="2"/>
  <c r="T341" i="2"/>
  <c r="S146" i="2"/>
  <c r="R310" i="2"/>
  <c r="Q115" i="2"/>
  <c r="C280" i="2"/>
  <c r="W84" i="2"/>
  <c r="M162" i="2"/>
  <c r="V281" i="2"/>
  <c r="U86" i="2"/>
  <c r="K164" i="2"/>
  <c r="N63" i="2"/>
  <c r="M99" i="2"/>
  <c r="T366" i="2"/>
  <c r="H561" i="2"/>
  <c r="G366" i="2"/>
  <c r="O171" i="2"/>
  <c r="J335" i="2"/>
  <c r="I140" i="2"/>
  <c r="H304" i="2"/>
  <c r="G109" i="2"/>
  <c r="M373" i="2"/>
  <c r="V567" i="2"/>
  <c r="U372" i="2"/>
  <c r="H178" i="2"/>
  <c r="C342" i="2"/>
  <c r="W146" i="2"/>
  <c r="V310" i="2"/>
  <c r="U115" i="2"/>
  <c r="N372" i="2"/>
  <c r="W566" i="2"/>
  <c r="V371" i="2"/>
  <c r="I177" i="2"/>
  <c r="D341" i="2"/>
  <c r="C146" i="2"/>
  <c r="W309" i="2"/>
  <c r="V114" i="2"/>
  <c r="H279" i="2"/>
  <c r="G84" i="2"/>
  <c r="R161" i="2"/>
  <c r="F281" i="2"/>
  <c r="E86" i="2"/>
  <c r="P163" i="2"/>
  <c r="M22" i="2"/>
  <c r="S698" i="2"/>
  <c r="U101" i="2"/>
  <c r="O173" i="2"/>
  <c r="N57" i="2"/>
  <c r="M254" i="2"/>
  <c r="F149" i="2"/>
  <c r="D33" i="2"/>
  <c r="I23" i="2"/>
  <c r="W606" i="2"/>
  <c r="V192" i="2"/>
  <c r="Q356" i="2"/>
  <c r="P161" i="2"/>
  <c r="O325" i="2"/>
  <c r="T20" i="2"/>
  <c r="N479" i="2"/>
  <c r="U89" i="2"/>
  <c r="K46" i="2"/>
  <c r="I15" i="2"/>
  <c r="S490" i="2"/>
  <c r="V88" i="2"/>
  <c r="Q355" i="2"/>
  <c r="U190" i="2"/>
  <c r="N241" i="2"/>
  <c r="K16" i="2"/>
  <c r="H123" i="2"/>
  <c r="M544" i="2"/>
  <c r="U349" i="2"/>
  <c r="T154" i="2"/>
  <c r="O318" i="2"/>
  <c r="N123" i="2"/>
  <c r="M287" i="2"/>
  <c r="L92" i="2"/>
  <c r="G746" i="2"/>
  <c r="F551" i="2"/>
  <c r="N356" i="2"/>
  <c r="M161" i="2"/>
  <c r="H325" i="2"/>
  <c r="G130" i="2"/>
  <c r="F294" i="2"/>
  <c r="E99" i="2"/>
  <c r="H745" i="2"/>
  <c r="G550" i="2"/>
  <c r="O355" i="2"/>
  <c r="N160" i="2"/>
  <c r="I324" i="2"/>
  <c r="H129" i="2"/>
  <c r="G293" i="2"/>
  <c r="F98" i="2"/>
  <c r="M262" i="2"/>
  <c r="L67" i="2"/>
  <c r="W144" i="2"/>
  <c r="K264" i="2"/>
  <c r="J69" i="2"/>
  <c r="U146" i="2"/>
  <c r="I295" i="2"/>
  <c r="H36" i="2"/>
  <c r="D693" i="2"/>
  <c r="C498" i="2"/>
  <c r="K303" i="2"/>
  <c r="J108" i="2"/>
  <c r="E272" i="2"/>
  <c r="D77" i="2"/>
  <c r="C241" i="2"/>
  <c r="W45" i="2"/>
  <c r="R699" i="2"/>
  <c r="Q504" i="2"/>
  <c r="D310" i="2"/>
  <c r="C115" i="2"/>
  <c r="S278" i="2"/>
  <c r="R83" i="2"/>
  <c r="Q247" i="2"/>
  <c r="N1375" i="2"/>
  <c r="R957" i="2"/>
  <c r="N565" i="2"/>
  <c r="F608" i="2"/>
  <c r="D608" i="2"/>
  <c r="W607" i="2"/>
  <c r="E607" i="2"/>
  <c r="C607" i="2"/>
  <c r="R216" i="2"/>
  <c r="O1136" i="2"/>
  <c r="E375" i="2"/>
  <c r="O1042" i="2"/>
  <c r="S652" i="2"/>
  <c r="P1041" i="2"/>
  <c r="F658" i="2"/>
  <c r="E463" i="2"/>
  <c r="V657" i="2"/>
  <c r="U462" i="2"/>
  <c r="D658" i="2"/>
  <c r="C463" i="2"/>
  <c r="L657" i="2"/>
  <c r="K462" i="2"/>
  <c r="S267" i="2"/>
  <c r="R72" i="2"/>
  <c r="M236" i="2"/>
  <c r="L41" i="2"/>
  <c r="K205" i="2"/>
  <c r="N1148" i="2"/>
  <c r="P756" i="2"/>
  <c r="S755" i="2"/>
  <c r="P364" i="2"/>
  <c r="J756" i="2"/>
  <c r="L380" i="2"/>
  <c r="G460" i="2"/>
  <c r="K655" i="2"/>
  <c r="J460" i="2"/>
  <c r="U1044" i="2"/>
  <c r="T849" i="2"/>
  <c r="I655" i="2"/>
  <c r="H460" i="2"/>
  <c r="D655" i="2"/>
  <c r="C460" i="2"/>
  <c r="G655" i="2"/>
  <c r="F460" i="2"/>
  <c r="V1043" i="2"/>
  <c r="U848" i="2"/>
  <c r="J654" i="2"/>
  <c r="I459" i="2"/>
  <c r="E654" i="2"/>
  <c r="D459" i="2"/>
  <c r="H654" i="2"/>
  <c r="G459" i="2"/>
  <c r="P653" i="2"/>
  <c r="O458" i="2"/>
  <c r="W263" i="2"/>
  <c r="V68" i="2"/>
  <c r="Q232" i="2"/>
  <c r="P37" i="2"/>
  <c r="O201" i="2"/>
  <c r="U1520" i="2"/>
  <c r="M1130" i="2"/>
  <c r="D1129" i="2"/>
  <c r="H739" i="2"/>
  <c r="P1129" i="2"/>
  <c r="D372" i="2"/>
  <c r="K456" i="2"/>
  <c r="O651" i="2"/>
  <c r="N456" i="2"/>
  <c r="D1041" i="2"/>
  <c r="C846" i="2"/>
  <c r="M651" i="2"/>
  <c r="L456" i="2"/>
  <c r="H651" i="2"/>
  <c r="G456" i="2"/>
  <c r="K651" i="2"/>
  <c r="J456" i="2"/>
  <c r="E1040" i="2"/>
  <c r="D845" i="2"/>
  <c r="N650" i="2"/>
  <c r="M455" i="2"/>
  <c r="I650" i="2"/>
  <c r="H455" i="2"/>
  <c r="L650" i="2"/>
  <c r="K455" i="2"/>
  <c r="T649" i="2"/>
  <c r="S454" i="2"/>
  <c r="F260" i="2"/>
  <c r="E65" i="2"/>
  <c r="U228" i="2"/>
  <c r="C341" i="2"/>
  <c r="E59" i="2"/>
  <c r="V715" i="2"/>
  <c r="U520" i="2"/>
  <c r="H326" i="2"/>
  <c r="G131" i="2"/>
  <c r="W294" i="2"/>
  <c r="V99" i="2"/>
  <c r="U263" i="2"/>
  <c r="T68" i="2"/>
  <c r="O722" i="2"/>
  <c r="N527" i="2"/>
  <c r="V332" i="2"/>
  <c r="U137" i="2"/>
  <c r="P301" i="2"/>
  <c r="O106" i="2"/>
  <c r="N270" i="2"/>
  <c r="M75" i="2"/>
  <c r="P721" i="2"/>
  <c r="O526" i="2"/>
  <c r="W331" i="2"/>
  <c r="V136" i="2"/>
  <c r="Q300" i="2"/>
  <c r="P105" i="2"/>
  <c r="O269" i="2"/>
  <c r="N74" i="2"/>
  <c r="U238" i="2"/>
  <c r="T43" i="2"/>
  <c r="J121" i="2"/>
  <c r="W321" i="2"/>
  <c r="U504" i="2"/>
  <c r="H310" i="2"/>
  <c r="G115" i="2"/>
  <c r="W278" i="2"/>
  <c r="V83" i="2"/>
  <c r="U247" i="2"/>
  <c r="T52" i="2"/>
  <c r="O706" i="2"/>
  <c r="N511" i="2"/>
  <c r="V316" i="2"/>
  <c r="U121" i="2"/>
  <c r="P285" i="2"/>
  <c r="O90" i="2"/>
  <c r="N254" i="2"/>
  <c r="M59" i="2"/>
  <c r="P705" i="2"/>
  <c r="O510" i="2"/>
  <c r="W315" i="2"/>
  <c r="V120" i="2"/>
  <c r="Q284" i="2"/>
  <c r="P89" i="2"/>
  <c r="O253" i="2"/>
  <c r="N58" i="2"/>
  <c r="U222" i="2"/>
  <c r="O12" i="2"/>
  <c r="J105" i="2"/>
  <c r="S224" i="2"/>
  <c r="S16" i="2"/>
  <c r="H107" i="2"/>
  <c r="D216" i="2"/>
  <c r="U354" i="2"/>
  <c r="L653" i="2"/>
  <c r="K458" i="2"/>
  <c r="S263" i="2"/>
  <c r="R68" i="2"/>
  <c r="M232" i="2"/>
  <c r="L37" i="2"/>
  <c r="K201" i="2"/>
  <c r="J6" i="2"/>
  <c r="E660" i="2"/>
  <c r="D465" i="2"/>
  <c r="L270" i="2"/>
  <c r="K75" i="2"/>
  <c r="F239" i="2"/>
  <c r="E44" i="2"/>
  <c r="D208" i="2"/>
  <c r="C13" i="2"/>
  <c r="F659" i="2"/>
  <c r="E464" i="2"/>
  <c r="M269" i="2"/>
  <c r="L74" i="2"/>
  <c r="G238" i="2"/>
  <c r="F43" i="2"/>
  <c r="E207" i="2"/>
  <c r="D12" i="2"/>
  <c r="K176" i="2"/>
  <c r="V253" i="2"/>
  <c r="U58" i="2"/>
  <c r="I178" i="2"/>
  <c r="T255" i="2"/>
  <c r="S60" i="2"/>
  <c r="I215" i="2"/>
  <c r="E354" i="2"/>
  <c r="Q652" i="2"/>
  <c r="P457" i="2"/>
  <c r="C263" i="2"/>
  <c r="W67" i="2"/>
  <c r="R231" i="2"/>
  <c r="Q36" i="2"/>
  <c r="P200" i="2"/>
  <c r="O5" i="2"/>
  <c r="J659" i="2"/>
  <c r="I464" i="2"/>
  <c r="Q269" i="2"/>
  <c r="P74" i="2"/>
  <c r="K238" i="2"/>
  <c r="J43" i="2"/>
  <c r="I207" i="2"/>
  <c r="H12" i="2"/>
  <c r="K658" i="2"/>
  <c r="J463" i="2"/>
  <c r="R268" i="2"/>
  <c r="Q73" i="2"/>
  <c r="L237" i="2"/>
  <c r="K42" i="2"/>
  <c r="J206" i="2"/>
  <c r="I11" i="2"/>
  <c r="P175" i="2"/>
  <c r="F253" i="2"/>
  <c r="E58" i="2"/>
  <c r="N177" i="2"/>
  <c r="D255" i="2"/>
  <c r="C60" i="2"/>
  <c r="F37" i="2"/>
  <c r="K674" i="2"/>
  <c r="L138" i="2"/>
  <c r="I283" i="2"/>
  <c r="I228" i="2"/>
  <c r="D203" i="2"/>
  <c r="U70" i="2"/>
  <c r="F265" i="2"/>
  <c r="C37" i="2"/>
  <c r="D453" i="2"/>
  <c r="L258" i="2"/>
  <c r="K63" i="2"/>
  <c r="F227" i="2"/>
  <c r="E32" i="2"/>
  <c r="D196" i="2"/>
  <c r="H359" i="2"/>
  <c r="S654" i="2"/>
  <c r="R459" i="2"/>
  <c r="E265" i="2"/>
  <c r="D70" i="2"/>
  <c r="T233" i="2"/>
  <c r="S38" i="2"/>
  <c r="R202" i="2"/>
  <c r="Q7" i="2"/>
  <c r="T653" i="2"/>
  <c r="S458" i="2"/>
  <c r="F264" i="2"/>
  <c r="E69" i="2"/>
  <c r="U232" i="2"/>
  <c r="T37" i="2"/>
  <c r="S201" i="2"/>
  <c r="R6" i="2"/>
  <c r="D171" i="2"/>
  <c r="O248" i="2"/>
  <c r="N53" i="2"/>
  <c r="W172" i="2"/>
  <c r="M250" i="2"/>
  <c r="L55" i="2"/>
  <c r="U139" i="2"/>
  <c r="D303" i="2"/>
  <c r="P601" i="2"/>
  <c r="O406" i="2"/>
  <c r="W211" i="2"/>
  <c r="V16" i="2"/>
  <c r="Q180" i="2"/>
  <c r="P344" i="2"/>
  <c r="O149" i="2"/>
  <c r="S312" i="2"/>
  <c r="I608" i="2"/>
  <c r="H413" i="2"/>
  <c r="P218" i="2"/>
  <c r="O23" i="2"/>
  <c r="J187" i="2"/>
  <c r="I351" i="2"/>
  <c r="H156" i="2"/>
  <c r="L319" i="2"/>
  <c r="J607" i="2"/>
  <c r="I412" i="2"/>
  <c r="Q217" i="2"/>
  <c r="P22" i="2"/>
  <c r="K186" i="2"/>
  <c r="J350" i="2"/>
  <c r="I155" i="2"/>
  <c r="M318" i="2"/>
  <c r="O124" i="2"/>
  <c r="E202" i="2"/>
  <c r="D7" i="2"/>
  <c r="M126" i="2"/>
  <c r="C204" i="2"/>
  <c r="W8" i="2"/>
  <c r="E139" i="2"/>
  <c r="I302" i="2"/>
  <c r="U600" i="2"/>
  <c r="T405" i="2"/>
  <c r="G211" i="2"/>
  <c r="F16" i="2"/>
  <c r="V179" i="2"/>
  <c r="U343" i="2"/>
  <c r="T148" i="2"/>
  <c r="C312" i="2"/>
  <c r="N607" i="2"/>
  <c r="M412" i="2"/>
  <c r="U217" i="2"/>
  <c r="T22" i="2"/>
  <c r="O186" i="2"/>
  <c r="N350" i="2"/>
  <c r="M155" i="2"/>
  <c r="Q318" i="2"/>
  <c r="O606" i="2"/>
  <c r="N411" i="2"/>
  <c r="V216" i="2"/>
  <c r="U21" i="2"/>
  <c r="P185" i="2"/>
  <c r="O349" i="2"/>
  <c r="N154" i="2"/>
  <c r="R317" i="2"/>
  <c r="T123" i="2"/>
  <c r="J201" i="2"/>
  <c r="I6" i="2"/>
  <c r="R125" i="2"/>
  <c r="H203" i="2"/>
  <c r="G8" i="2"/>
  <c r="R337" i="2"/>
  <c r="S223" i="2"/>
  <c r="C34" i="2"/>
  <c r="H167" i="2"/>
  <c r="R49" i="2"/>
  <c r="Q246" i="2"/>
  <c r="K570" i="2"/>
  <c r="I217" i="2"/>
  <c r="F711" i="2"/>
  <c r="M321" i="2"/>
  <c r="C278" i="2"/>
  <c r="V246" i="2"/>
  <c r="T685" i="2"/>
  <c r="S271" i="2"/>
  <c r="J167" i="2"/>
  <c r="J14" i="2"/>
  <c r="N85" i="2"/>
  <c r="C124" i="2"/>
  <c r="V57" i="2"/>
  <c r="P681" i="2"/>
  <c r="H401" i="2"/>
  <c r="P206" i="2"/>
  <c r="O11" i="2"/>
  <c r="J175" i="2"/>
  <c r="I339" i="2"/>
  <c r="H144" i="2"/>
  <c r="L307" i="2"/>
  <c r="W602" i="2"/>
  <c r="V407" i="2"/>
  <c r="I213" i="2"/>
  <c r="H18" i="2"/>
  <c r="C182" i="2"/>
  <c r="W345" i="2"/>
  <c r="V150" i="2"/>
  <c r="E314" i="2"/>
  <c r="C602" i="2"/>
  <c r="W406" i="2"/>
  <c r="J212" i="2"/>
  <c r="I17" i="2"/>
  <c r="D181" i="2"/>
  <c r="C345" i="2"/>
  <c r="W149" i="2"/>
  <c r="F313" i="2"/>
  <c r="H119" i="2"/>
  <c r="S196" i="2"/>
  <c r="F41" i="2"/>
  <c r="F121" i="2"/>
  <c r="Q198" i="2"/>
  <c r="V39" i="2"/>
  <c r="D88" i="2"/>
  <c r="U744" i="2"/>
  <c r="T549" i="2"/>
  <c r="G355" i="2"/>
  <c r="F160" i="2"/>
  <c r="V323" i="2"/>
  <c r="U128" i="2"/>
  <c r="T292" i="2"/>
  <c r="S97" i="2"/>
  <c r="D362" i="2"/>
  <c r="M556" i="2"/>
  <c r="L361" i="2"/>
  <c r="T166" i="2"/>
  <c r="O330" i="2"/>
  <c r="N135" i="2"/>
  <c r="M299" i="2"/>
  <c r="L104" i="2"/>
  <c r="V750" i="2"/>
  <c r="N555" i="2"/>
  <c r="M360" i="2"/>
  <c r="U165" i="2"/>
  <c r="P329" i="2"/>
  <c r="O134" i="2"/>
  <c r="N298" i="2"/>
  <c r="M103" i="2"/>
  <c r="T267" i="2"/>
  <c r="S72" i="2"/>
  <c r="I150" i="2"/>
  <c r="R269" i="2"/>
  <c r="Q74" i="2"/>
  <c r="G152" i="2"/>
  <c r="F39" i="2"/>
  <c r="I87" i="2"/>
  <c r="E744" i="2"/>
  <c r="D549" i="2"/>
  <c r="L354" i="2"/>
  <c r="K159" i="2"/>
  <c r="F323" i="2"/>
  <c r="E128" i="2"/>
  <c r="D292" i="2"/>
  <c r="C97" i="2"/>
  <c r="I361" i="2"/>
  <c r="R555" i="2"/>
  <c r="Q360" i="2"/>
  <c r="D166" i="2"/>
  <c r="T329" i="2"/>
  <c r="S134" i="2"/>
  <c r="R298" i="2"/>
  <c r="Q103" i="2"/>
  <c r="T749" i="2"/>
  <c r="S554" i="2"/>
  <c r="F360" i="2"/>
  <c r="E165" i="2"/>
  <c r="U328" i="2"/>
  <c r="T133" i="2"/>
  <c r="S297" i="2"/>
  <c r="R102" i="2"/>
  <c r="D267" i="2"/>
  <c r="C72" i="2"/>
  <c r="N149" i="2"/>
  <c r="W268" i="2"/>
  <c r="V73" i="2"/>
  <c r="L151" i="2"/>
  <c r="I46" i="2"/>
  <c r="G662" i="2"/>
  <c r="I65" i="2"/>
  <c r="C137" i="2"/>
  <c r="H23" i="2"/>
  <c r="E230" i="2"/>
  <c r="W136" i="2"/>
  <c r="Q8" i="2"/>
  <c r="E11" i="2"/>
  <c r="O582" i="2"/>
  <c r="R180" i="2"/>
  <c r="M344" i="2"/>
  <c r="L149" i="2"/>
  <c r="K313" i="2"/>
  <c r="Q354" i="2"/>
  <c r="F455" i="2"/>
  <c r="M65" i="2"/>
  <c r="C22" i="2"/>
  <c r="F349" i="2"/>
  <c r="G454" i="2"/>
  <c r="R76" i="2"/>
  <c r="E319" i="2"/>
  <c r="M166" i="2"/>
  <c r="W204" i="2"/>
  <c r="F33" i="2"/>
  <c r="M74" i="2"/>
  <c r="I532" i="2"/>
  <c r="Q337" i="2"/>
  <c r="P142" i="2"/>
  <c r="K306" i="2"/>
  <c r="J111" i="2"/>
  <c r="I275" i="2"/>
  <c r="H80" i="2"/>
  <c r="C734" i="2"/>
  <c r="W538" i="2"/>
  <c r="J344" i="2"/>
  <c r="I149" i="2"/>
  <c r="D313" i="2"/>
  <c r="C118" i="2"/>
  <c r="W281" i="2"/>
  <c r="V86" i="2"/>
  <c r="D733" i="2"/>
  <c r="C538" i="2"/>
  <c r="K343" i="2"/>
  <c r="J148" i="2"/>
  <c r="E312" i="2"/>
  <c r="D117" i="2"/>
  <c r="C281" i="2"/>
  <c r="W85" i="2"/>
  <c r="I250" i="2"/>
  <c r="H55" i="2"/>
  <c r="S132" i="2"/>
  <c r="G252" i="2"/>
  <c r="F57" i="2"/>
  <c r="Q134" i="2"/>
  <c r="V270" i="2"/>
  <c r="D24" i="2"/>
  <c r="U680" i="2"/>
  <c r="T485" i="2"/>
  <c r="G291" i="2"/>
  <c r="F96" i="2"/>
  <c r="V259" i="2"/>
  <c r="U64" i="2"/>
  <c r="T228" i="2"/>
  <c r="S33" i="2"/>
  <c r="N687" i="2"/>
  <c r="M492" i="2"/>
  <c r="U297" i="2"/>
  <c r="T102" i="2"/>
  <c r="O266" i="2"/>
  <c r="N71" i="2"/>
  <c r="M235" i="2"/>
  <c r="U626" i="2"/>
  <c r="T431" i="2"/>
  <c r="C627" i="2"/>
  <c r="W431" i="2"/>
  <c r="R1015" i="2"/>
  <c r="Q820" i="2"/>
  <c r="F626" i="2"/>
  <c r="E431" i="2"/>
  <c r="V625" i="2"/>
  <c r="U430" i="2"/>
  <c r="D626" i="2"/>
  <c r="C431" i="2"/>
  <c r="L625" i="2"/>
  <c r="K430" i="2"/>
  <c r="S235" i="2"/>
  <c r="R40" i="2"/>
  <c r="M204" i="2"/>
  <c r="H292" i="2"/>
  <c r="R34" i="2"/>
  <c r="N691" i="2"/>
  <c r="M496" i="2"/>
  <c r="U301" i="2"/>
  <c r="T106" i="2"/>
  <c r="O270" i="2"/>
  <c r="N75" i="2"/>
  <c r="M239" i="2"/>
  <c r="L44" i="2"/>
  <c r="G698" i="2"/>
  <c r="F503" i="2"/>
  <c r="N308" i="2"/>
  <c r="M113" i="2"/>
  <c r="H277" i="2"/>
  <c r="G82" i="2"/>
  <c r="F246" i="2"/>
  <c r="E51" i="2"/>
  <c r="H697" i="2"/>
  <c r="G502" i="2"/>
  <c r="O307" i="2"/>
  <c r="N112" i="2"/>
  <c r="I276" i="2"/>
  <c r="H81" i="2"/>
  <c r="G245" i="2"/>
  <c r="F50" i="2"/>
  <c r="M214" i="2"/>
  <c r="G292" i="2"/>
  <c r="K60" i="2"/>
  <c r="R146" i="2"/>
  <c r="M480" i="2"/>
  <c r="U285" i="2"/>
  <c r="T90" i="2"/>
  <c r="O254" i="2"/>
  <c r="N59" i="2"/>
  <c r="M223" i="2"/>
  <c r="L28" i="2"/>
  <c r="G682" i="2"/>
  <c r="F487" i="2"/>
  <c r="N292" i="2"/>
  <c r="M97" i="2"/>
  <c r="H261" i="2"/>
  <c r="G66" i="2"/>
  <c r="F230" i="2"/>
  <c r="E35" i="2"/>
  <c r="H681" i="2"/>
  <c r="G486" i="2"/>
  <c r="O291" i="2"/>
  <c r="N96" i="2"/>
  <c r="I260" i="2"/>
  <c r="H65" i="2"/>
  <c r="G229" i="2"/>
  <c r="F34" i="2"/>
  <c r="M198" i="2"/>
  <c r="C276" i="2"/>
  <c r="W80" i="2"/>
  <c r="K200" i="2"/>
  <c r="V277" i="2"/>
  <c r="U82" i="2"/>
  <c r="I167" i="2"/>
  <c r="M330" i="2"/>
  <c r="D629" i="2"/>
  <c r="C434" i="2"/>
  <c r="K239" i="2"/>
  <c r="J44" i="2"/>
  <c r="E208" i="2"/>
  <c r="D13" i="2"/>
  <c r="C177" i="2"/>
  <c r="G340" i="2"/>
  <c r="R635" i="2"/>
  <c r="Q440" i="2"/>
  <c r="D246" i="2"/>
  <c r="C51" i="2"/>
  <c r="S214" i="2"/>
  <c r="R19" i="2"/>
  <c r="Q183" i="2"/>
  <c r="U346" i="2"/>
  <c r="S634" i="2"/>
  <c r="R439" i="2"/>
  <c r="E245" i="2"/>
  <c r="D50" i="2"/>
  <c r="T213" i="2"/>
  <c r="S18" i="2"/>
  <c r="R182" i="2"/>
  <c r="V345" i="2"/>
  <c r="C152" i="2"/>
  <c r="N229" i="2"/>
  <c r="M34" i="2"/>
  <c r="V153" i="2"/>
  <c r="L231" i="2"/>
  <c r="K36" i="2"/>
  <c r="N166" i="2"/>
  <c r="R329" i="2"/>
  <c r="I628" i="2"/>
  <c r="H433" i="2"/>
  <c r="P238" i="2"/>
  <c r="O43" i="2"/>
  <c r="J207" i="2"/>
  <c r="I12" i="2"/>
  <c r="H176" i="2"/>
  <c r="L339" i="2"/>
  <c r="W634" i="2"/>
  <c r="V439" i="2"/>
  <c r="I245" i="2"/>
  <c r="H50" i="2"/>
  <c r="C214" i="2"/>
  <c r="W18" i="2"/>
  <c r="V182" i="2"/>
  <c r="E346" i="2"/>
  <c r="C634" i="2"/>
  <c r="W438" i="2"/>
  <c r="J244" i="2"/>
  <c r="I49" i="2"/>
  <c r="D213" i="2"/>
  <c r="C18" i="2"/>
  <c r="W181" i="2"/>
  <c r="F345" i="2"/>
  <c r="H151" i="2"/>
  <c r="S228" i="2"/>
  <c r="R33" i="2"/>
  <c r="F153" i="2"/>
  <c r="Q230" i="2"/>
  <c r="P35" i="2"/>
  <c r="E30" i="2"/>
  <c r="H601" i="2"/>
  <c r="E53" i="2"/>
  <c r="F210" i="2"/>
  <c r="K106" i="2"/>
  <c r="R117" i="2"/>
  <c r="I270" i="2"/>
  <c r="P167" i="2"/>
  <c r="R297" i="2"/>
  <c r="Q428" i="2"/>
  <c r="D234" i="2"/>
  <c r="C39" i="2"/>
  <c r="S202" i="2"/>
  <c r="R7" i="2"/>
  <c r="Q171" i="2"/>
  <c r="U334" i="2"/>
  <c r="K630" i="2"/>
  <c r="J435" i="2"/>
  <c r="R240" i="2"/>
  <c r="Q45" i="2"/>
  <c r="L209" i="2"/>
  <c r="K14" i="2"/>
  <c r="J178" i="2"/>
  <c r="N341" i="2"/>
  <c r="L629" i="2"/>
  <c r="K434" i="2"/>
  <c r="S239" i="2"/>
  <c r="R44" i="2"/>
  <c r="M208" i="2"/>
  <c r="L13" i="2"/>
  <c r="K177" i="2"/>
  <c r="O340" i="2"/>
  <c r="Q146" i="2"/>
  <c r="G224" i="2"/>
  <c r="F29" i="2"/>
  <c r="O148" i="2"/>
  <c r="E226" i="2"/>
  <c r="S94" i="2"/>
  <c r="M115" i="2"/>
  <c r="T382" i="2"/>
  <c r="H577" i="2"/>
  <c r="G382" i="2"/>
  <c r="O187" i="2"/>
  <c r="J351" i="2"/>
  <c r="I156" i="2"/>
  <c r="H320" i="2"/>
  <c r="G125" i="2"/>
  <c r="M389" i="2"/>
  <c r="V583" i="2"/>
  <c r="U388" i="2"/>
  <c r="H194" i="2"/>
  <c r="C358" i="2"/>
  <c r="W162" i="2"/>
  <c r="V326" i="2"/>
  <c r="U131" i="2"/>
  <c r="N388" i="2"/>
  <c r="W582" i="2"/>
  <c r="V387" i="2"/>
  <c r="I193" i="2"/>
  <c r="D357" i="2"/>
  <c r="C162" i="2"/>
  <c r="W325" i="2"/>
  <c r="V130" i="2"/>
  <c r="F301" i="2"/>
  <c r="G100" i="2"/>
  <c r="R177" i="2"/>
  <c r="O4" i="2"/>
  <c r="E102" i="2"/>
  <c r="P179" i="2"/>
  <c r="C94" i="2"/>
  <c r="R114" i="2"/>
  <c r="D382" i="2"/>
  <c r="M576" i="2"/>
  <c r="L381" i="2"/>
  <c r="T186" i="2"/>
  <c r="O350" i="2"/>
  <c r="N155" i="2"/>
  <c r="M319" i="2"/>
  <c r="L124" i="2"/>
  <c r="R388" i="2"/>
  <c r="F583" i="2"/>
  <c r="E388" i="2"/>
  <c r="M193" i="2"/>
  <c r="H357" i="2"/>
  <c r="G162" i="2"/>
  <c r="F326" i="2"/>
  <c r="E131" i="2"/>
  <c r="S387" i="2"/>
  <c r="G582" i="2"/>
  <c r="F387" i="2"/>
  <c r="N192" i="2"/>
  <c r="I356" i="2"/>
  <c r="H161" i="2"/>
  <c r="G325" i="2"/>
  <c r="F130" i="2"/>
  <c r="E298" i="2"/>
  <c r="L99" i="2"/>
  <c r="W176" i="2"/>
  <c r="D3" i="2"/>
  <c r="J101" i="2"/>
  <c r="U178" i="2"/>
  <c r="M10" i="2"/>
  <c r="H370" i="2"/>
  <c r="P150" i="2"/>
  <c r="Q307" i="2"/>
  <c r="Q130" i="2"/>
  <c r="E38" i="2"/>
  <c r="E210" i="2"/>
  <c r="P521" i="2"/>
  <c r="Q203" i="2"/>
  <c r="K662" i="2"/>
  <c r="R272" i="2"/>
  <c r="H229" i="2"/>
  <c r="F198" i="2"/>
  <c r="D637" i="2"/>
  <c r="T210" i="2"/>
  <c r="O118" i="2"/>
  <c r="L299" i="2"/>
  <c r="K12" i="2"/>
  <c r="U50" i="2"/>
  <c r="W232" i="2"/>
  <c r="E584" i="2"/>
  <c r="U376" i="2"/>
  <c r="H182" i="2"/>
  <c r="C346" i="2"/>
  <c r="W150" i="2"/>
  <c r="V314" i="2"/>
  <c r="U119" i="2"/>
  <c r="F384" i="2"/>
  <c r="O578" i="2"/>
  <c r="N383" i="2"/>
  <c r="V188" i="2"/>
  <c r="Q352" i="2"/>
  <c r="P157" i="2"/>
  <c r="O321" i="2"/>
  <c r="N126" i="2"/>
  <c r="G383" i="2"/>
  <c r="P577" i="2"/>
  <c r="O382" i="2"/>
  <c r="W187" i="2"/>
  <c r="R351" i="2"/>
  <c r="Q156" i="2"/>
  <c r="P320" i="2"/>
  <c r="O125" i="2"/>
  <c r="V289" i="2"/>
  <c r="U94" i="2"/>
  <c r="K172" i="2"/>
  <c r="C292" i="2"/>
  <c r="S96" i="2"/>
  <c r="I174" i="2"/>
  <c r="F350" i="2"/>
  <c r="Q63" i="2"/>
  <c r="M720" i="2"/>
  <c r="L525" i="2"/>
  <c r="T330" i="2"/>
  <c r="S135" i="2"/>
  <c r="N299" i="2"/>
  <c r="M104" i="2"/>
  <c r="L268" i="2"/>
  <c r="K73" i="2"/>
  <c r="F727" i="2"/>
  <c r="E532" i="2"/>
  <c r="M337" i="2"/>
  <c r="L142" i="2"/>
  <c r="G306" i="2"/>
  <c r="F111" i="2"/>
  <c r="E275" i="2"/>
  <c r="D80" i="2"/>
  <c r="G726" i="2"/>
  <c r="F531" i="2"/>
  <c r="N336" i="2"/>
  <c r="M141" i="2"/>
  <c r="H305" i="2"/>
  <c r="G110" i="2"/>
  <c r="F274" i="2"/>
  <c r="E79" i="2"/>
  <c r="L243" i="2"/>
  <c r="K48" i="2"/>
  <c r="V125" i="2"/>
  <c r="J245" i="2"/>
  <c r="I50" i="2"/>
  <c r="T127" i="2"/>
  <c r="K349" i="2"/>
  <c r="V62" i="2"/>
  <c r="R719" i="2"/>
  <c r="Q524" i="2"/>
  <c r="D330" i="2"/>
  <c r="C135" i="2"/>
  <c r="S298" i="2"/>
  <c r="R103" i="2"/>
  <c r="Q267" i="2"/>
  <c r="P72" i="2"/>
  <c r="K726" i="2"/>
  <c r="J531" i="2"/>
  <c r="R336" i="2"/>
  <c r="Q141" i="2"/>
  <c r="L305" i="2"/>
  <c r="K110" i="2"/>
  <c r="J274" i="2"/>
  <c r="I79" i="2"/>
  <c r="L725" i="2"/>
  <c r="K530" i="2"/>
  <c r="S335" i="2"/>
  <c r="R140" i="2"/>
  <c r="M304" i="2"/>
  <c r="L109" i="2"/>
  <c r="K273" i="2"/>
  <c r="J78" i="2"/>
  <c r="Q242" i="2"/>
  <c r="P47" i="2"/>
  <c r="F125" i="2"/>
  <c r="O244" i="2"/>
  <c r="N49" i="2"/>
  <c r="D127" i="2"/>
  <c r="M38" i="2"/>
  <c r="D589" i="2"/>
  <c r="O326" i="2"/>
  <c r="U63" i="2"/>
  <c r="W256" i="2"/>
  <c r="J181" i="2"/>
  <c r="O112" i="2"/>
  <c r="V318" i="2"/>
  <c r="W344" i="2"/>
  <c r="T533" i="2"/>
  <c r="J156" i="2"/>
  <c r="E320" i="2"/>
  <c r="D125" i="2"/>
  <c r="T276" i="2"/>
  <c r="V305" i="2"/>
  <c r="K406" i="2"/>
  <c r="N4" i="2"/>
  <c r="L344" i="2"/>
  <c r="U393" i="2"/>
  <c r="L405" i="2"/>
  <c r="W27" i="2"/>
  <c r="J270" i="2"/>
  <c r="J93" i="2"/>
  <c r="C144" i="2"/>
  <c r="H43" i="2"/>
  <c r="J346" i="2"/>
  <c r="V507" i="2"/>
  <c r="I313" i="2"/>
  <c r="H118" i="2"/>
  <c r="C282" i="2"/>
  <c r="W86" i="2"/>
  <c r="V250" i="2"/>
  <c r="U55" i="2"/>
  <c r="P709" i="2"/>
  <c r="O514" i="2"/>
  <c r="W319" i="2"/>
  <c r="V124" i="2"/>
  <c r="Q288" i="2"/>
  <c r="P93" i="2"/>
  <c r="O257" i="2"/>
  <c r="N62" i="2"/>
  <c r="Q708" i="2"/>
  <c r="P513" i="2"/>
  <c r="C319" i="2"/>
  <c r="W123" i="2"/>
  <c r="R287" i="2"/>
  <c r="Q92" i="2"/>
  <c r="P256" i="2"/>
  <c r="O61" i="2"/>
  <c r="V225" i="2"/>
  <c r="Q18" i="2"/>
  <c r="K108" i="2"/>
  <c r="T227" i="2"/>
  <c r="P23" i="2"/>
  <c r="I110" i="2"/>
  <c r="F222" i="2"/>
  <c r="V357" i="2"/>
  <c r="M656" i="2"/>
  <c r="L461" i="2"/>
  <c r="T266" i="2"/>
  <c r="S71" i="2"/>
  <c r="N235" i="2"/>
  <c r="M40" i="2"/>
  <c r="L204" i="2"/>
  <c r="K9" i="2"/>
  <c r="F663" i="2"/>
  <c r="E468" i="2"/>
  <c r="M273" i="2"/>
  <c r="L78" i="2"/>
  <c r="G242" i="2"/>
  <c r="F47" i="2"/>
  <c r="E211" i="2"/>
  <c r="H1229" i="2"/>
  <c r="P1154" i="2"/>
  <c r="L762" i="2"/>
  <c r="U461" i="2"/>
  <c r="S461" i="2"/>
  <c r="Q461" i="2"/>
  <c r="T460" i="2"/>
  <c r="R460" i="2"/>
  <c r="L70" i="2"/>
  <c r="I941" i="2"/>
  <c r="Q506" i="2"/>
  <c r="I896" i="2"/>
  <c r="M506" i="2"/>
  <c r="J895" i="2"/>
  <c r="O621" i="2"/>
  <c r="N426" i="2"/>
  <c r="J621" i="2"/>
  <c r="I426" i="2"/>
  <c r="M621" i="2"/>
  <c r="L426" i="2"/>
  <c r="U620" i="2"/>
  <c r="T425" i="2"/>
  <c r="G231" i="2"/>
  <c r="F36" i="2"/>
  <c r="V199" i="2"/>
  <c r="U4" i="2"/>
  <c r="T168" i="2"/>
  <c r="T1389" i="2"/>
  <c r="L999" i="2"/>
  <c r="C998" i="2"/>
  <c r="G608" i="2"/>
  <c r="O998" i="2"/>
  <c r="F697" i="2"/>
  <c r="P423" i="2"/>
  <c r="T618" i="2"/>
  <c r="S423" i="2"/>
  <c r="I1008" i="2"/>
  <c r="H813" i="2"/>
  <c r="R618" i="2"/>
  <c r="Q423" i="2"/>
  <c r="M618" i="2"/>
  <c r="L423" i="2"/>
  <c r="P618" i="2"/>
  <c r="O423" i="2"/>
  <c r="J1007" i="2"/>
  <c r="I812" i="2"/>
  <c r="S617" i="2"/>
  <c r="R422" i="2"/>
  <c r="N617" i="2"/>
  <c r="M422" i="2"/>
  <c r="Q617" i="2"/>
  <c r="P422" i="2"/>
  <c r="D617" i="2"/>
  <c r="C422" i="2"/>
  <c r="K227" i="2"/>
  <c r="J32" i="2"/>
  <c r="E196" i="2"/>
  <c r="D360" i="2"/>
  <c r="F985" i="2"/>
  <c r="O1374" i="2"/>
  <c r="G984" i="2"/>
  <c r="S982" i="2"/>
  <c r="W592" i="2"/>
  <c r="J983" i="2"/>
  <c r="S688" i="2"/>
  <c r="T419" i="2"/>
  <c r="C615" i="2"/>
  <c r="W419" i="2"/>
  <c r="M1004" i="2"/>
  <c r="L809" i="2"/>
  <c r="V614" i="2"/>
  <c r="U419" i="2"/>
  <c r="Q614" i="2"/>
  <c r="P419" i="2"/>
  <c r="T614" i="2"/>
  <c r="S419" i="2"/>
  <c r="N1003" i="2"/>
  <c r="M808" i="2"/>
  <c r="W613" i="2"/>
  <c r="V418" i="2"/>
  <c r="R613" i="2"/>
  <c r="Q418" i="2"/>
  <c r="U613" i="2"/>
  <c r="T418" i="2"/>
  <c r="H613" i="2"/>
  <c r="G418" i="2"/>
  <c r="O223" i="2"/>
  <c r="N28" i="2"/>
  <c r="I192" i="2"/>
  <c r="U267" i="2"/>
  <c r="N22" i="2"/>
  <c r="J679" i="2"/>
  <c r="I484" i="2"/>
  <c r="Q289" i="2"/>
  <c r="P94" i="2"/>
  <c r="K258" i="2"/>
  <c r="J63" i="2"/>
  <c r="I227" i="2"/>
  <c r="H32" i="2"/>
  <c r="C686" i="2"/>
  <c r="W490" i="2"/>
  <c r="J296" i="2"/>
  <c r="I101" i="2"/>
  <c r="D265" i="2"/>
  <c r="C70" i="2"/>
  <c r="W233" i="2"/>
  <c r="V38" i="2"/>
  <c r="D685" i="2"/>
  <c r="C490" i="2"/>
  <c r="K295" i="2"/>
  <c r="J100" i="2"/>
  <c r="E264" i="2"/>
  <c r="D69" i="2"/>
  <c r="C233" i="2"/>
  <c r="W37" i="2"/>
  <c r="I202" i="2"/>
  <c r="T279" i="2"/>
  <c r="P11" i="2"/>
  <c r="W97" i="2"/>
  <c r="I468" i="2"/>
  <c r="Q273" i="2"/>
  <c r="P78" i="2"/>
  <c r="K242" i="2"/>
  <c r="J47" i="2"/>
  <c r="I211" i="2"/>
  <c r="H16" i="2"/>
  <c r="C670" i="2"/>
  <c r="W474" i="2"/>
  <c r="J280" i="2"/>
  <c r="I85" i="2"/>
  <c r="D249" i="2"/>
  <c r="C54" i="2"/>
  <c r="W217" i="2"/>
  <c r="V22" i="2"/>
  <c r="D669" i="2"/>
  <c r="C474" i="2"/>
  <c r="K279" i="2"/>
  <c r="J84" i="2"/>
  <c r="E248" i="2"/>
  <c r="D53" i="2"/>
  <c r="C217" i="2"/>
  <c r="W21" i="2"/>
  <c r="I186" i="2"/>
  <c r="T263" i="2"/>
  <c r="S68" i="2"/>
  <c r="G188" i="2"/>
  <c r="R265" i="2"/>
  <c r="Q70" i="2"/>
  <c r="E155" i="2"/>
  <c r="I318" i="2"/>
  <c r="U616" i="2"/>
  <c r="T421" i="2"/>
  <c r="G227" i="2"/>
  <c r="F32" i="2"/>
  <c r="V195" i="2"/>
  <c r="U359" i="2"/>
  <c r="T164" i="2"/>
  <c r="C328" i="2"/>
  <c r="N623" i="2"/>
  <c r="M428" i="2"/>
  <c r="U233" i="2"/>
  <c r="T38" i="2"/>
  <c r="O202" i="2"/>
  <c r="N7" i="2"/>
  <c r="M171" i="2"/>
  <c r="Q334" i="2"/>
  <c r="O622" i="2"/>
  <c r="N427" i="2"/>
  <c r="V232" i="2"/>
  <c r="U37" i="2"/>
  <c r="P201" i="2"/>
  <c r="O6" i="2"/>
  <c r="N170" i="2"/>
  <c r="R333" i="2"/>
  <c r="T139" i="2"/>
  <c r="J217" i="2"/>
  <c r="I22" i="2"/>
  <c r="R141" i="2"/>
  <c r="H219" i="2"/>
  <c r="G24" i="2"/>
  <c r="J154" i="2"/>
  <c r="N317" i="2"/>
  <c r="E616" i="2"/>
  <c r="D421" i="2"/>
  <c r="L226" i="2"/>
  <c r="K31" i="2"/>
  <c r="F195" i="2"/>
  <c r="E359" i="2"/>
  <c r="D164" i="2"/>
  <c r="H327" i="2"/>
  <c r="S622" i="2"/>
  <c r="R427" i="2"/>
  <c r="E233" i="2"/>
  <c r="D38" i="2"/>
  <c r="T201" i="2"/>
  <c r="S6" i="2"/>
  <c r="R170" i="2"/>
  <c r="V333" i="2"/>
  <c r="T621" i="2"/>
  <c r="S426" i="2"/>
  <c r="F232" i="2"/>
  <c r="E37" i="2"/>
  <c r="U200" i="2"/>
  <c r="T5" i="2"/>
  <c r="S169" i="2"/>
  <c r="W332" i="2"/>
  <c r="D139" i="2"/>
  <c r="O216" i="2"/>
  <c r="N21" i="2"/>
  <c r="W140" i="2"/>
  <c r="M218" i="2"/>
  <c r="L23" i="2"/>
  <c r="R5" i="2"/>
  <c r="U576" i="2"/>
  <c r="R28" i="2"/>
  <c r="S185" i="2"/>
  <c r="T69" i="2"/>
  <c r="F81" i="2"/>
  <c r="R233" i="2"/>
  <c r="U118" i="2"/>
  <c r="O742" i="2"/>
  <c r="M416" i="2"/>
  <c r="U221" i="2"/>
  <c r="T26" i="2"/>
  <c r="O190" i="2"/>
  <c r="N354" i="2"/>
  <c r="M159" i="2"/>
  <c r="Q322" i="2"/>
  <c r="G618" i="2"/>
  <c r="F423" i="2"/>
  <c r="N228" i="2"/>
  <c r="M33" i="2"/>
  <c r="H197" i="2"/>
  <c r="G2" i="2"/>
  <c r="F166" i="2"/>
  <c r="J329" i="2"/>
  <c r="H617" i="2"/>
  <c r="G422" i="2"/>
  <c r="O227" i="2"/>
  <c r="N32" i="2"/>
  <c r="I196" i="2"/>
  <c r="H360" i="2"/>
  <c r="G165" i="2"/>
  <c r="K328" i="2"/>
  <c r="M134" i="2"/>
  <c r="C212" i="2"/>
  <c r="W16" i="2"/>
  <c r="K136" i="2"/>
  <c r="V213" i="2"/>
  <c r="K70" i="2"/>
  <c r="I103" i="2"/>
  <c r="P370" i="2"/>
  <c r="D565" i="2"/>
  <c r="C370" i="2"/>
  <c r="K175" i="2"/>
  <c r="F339" i="2"/>
  <c r="E144" i="2"/>
  <c r="D308" i="2"/>
  <c r="C113" i="2"/>
  <c r="I377" i="2"/>
  <c r="R571" i="2"/>
  <c r="Q376" i="2"/>
  <c r="D182" i="2"/>
  <c r="T345" i="2"/>
  <c r="S150" i="2"/>
  <c r="R314" i="2"/>
  <c r="Q119" i="2"/>
  <c r="J376" i="2"/>
  <c r="S570" i="2"/>
  <c r="R375" i="2"/>
  <c r="E181" i="2"/>
  <c r="U344" i="2"/>
  <c r="T149" i="2"/>
  <c r="S313" i="2"/>
  <c r="R118" i="2"/>
  <c r="D283" i="2"/>
  <c r="C88" i="2"/>
  <c r="N165" i="2"/>
  <c r="W284" i="2"/>
  <c r="V89" i="2"/>
  <c r="L167" i="2"/>
  <c r="P69" i="2"/>
  <c r="N102" i="2"/>
  <c r="U369" i="2"/>
  <c r="I564" i="2"/>
  <c r="H369" i="2"/>
  <c r="P174" i="2"/>
  <c r="K338" i="2"/>
  <c r="J143" i="2"/>
  <c r="I307" i="2"/>
  <c r="H112" i="2"/>
  <c r="N376" i="2"/>
  <c r="W570" i="2"/>
  <c r="V375" i="2"/>
  <c r="I181" i="2"/>
  <c r="D345" i="2"/>
  <c r="C150" i="2"/>
  <c r="W313" i="2"/>
  <c r="V118" i="2"/>
  <c r="O375" i="2"/>
  <c r="C570" i="2"/>
  <c r="W374" i="2"/>
  <c r="J180" i="2"/>
  <c r="E344" i="2"/>
  <c r="D149" i="2"/>
  <c r="C313" i="2"/>
  <c r="W117" i="2"/>
  <c r="I282" i="2"/>
  <c r="H87" i="2"/>
  <c r="S164" i="2"/>
  <c r="G284" i="2"/>
  <c r="F89" i="2"/>
  <c r="Q166" i="2"/>
  <c r="T27" i="2"/>
  <c r="F723" i="2"/>
  <c r="D114" i="2"/>
  <c r="E271" i="2"/>
  <c r="I106" i="2"/>
  <c r="D291" i="2"/>
  <c r="R185" i="2"/>
  <c r="L509" i="2"/>
  <c r="I179" i="2"/>
  <c r="C638" i="2"/>
  <c r="J248" i="2"/>
  <c r="U204" i="2"/>
  <c r="S173" i="2"/>
  <c r="Q612" i="2"/>
  <c r="L186" i="2"/>
  <c r="C82" i="2"/>
  <c r="G276" i="2"/>
  <c r="I290" i="2"/>
  <c r="I14" i="2"/>
  <c r="G184" i="2"/>
  <c r="R559" i="2"/>
  <c r="Q364" i="2"/>
  <c r="D170" i="2"/>
  <c r="T333" i="2"/>
  <c r="S138" i="2"/>
  <c r="R302" i="2"/>
  <c r="Q107" i="2"/>
  <c r="W371" i="2"/>
  <c r="K566" i="2"/>
  <c r="J371" i="2"/>
  <c r="R176" i="2"/>
  <c r="M340" i="2"/>
  <c r="L145" i="2"/>
  <c r="K309" i="2"/>
  <c r="J114" i="2"/>
  <c r="C371" i="2"/>
  <c r="L565" i="2"/>
  <c r="K370" i="2"/>
  <c r="S175" i="2"/>
  <c r="N339" i="2"/>
  <c r="M144" i="2"/>
  <c r="L308" i="2"/>
  <c r="K113" i="2"/>
  <c r="R277" i="2"/>
  <c r="Q82" i="2"/>
  <c r="G160" i="2"/>
  <c r="P279" i="2"/>
  <c r="O84" i="2"/>
  <c r="E162" i="2"/>
  <c r="S325" i="2"/>
  <c r="M51" i="2"/>
  <c r="I708" i="2"/>
  <c r="H513" i="2"/>
  <c r="P318" i="2"/>
  <c r="O123" i="2"/>
  <c r="J287" i="2"/>
  <c r="I92" i="2"/>
  <c r="H256" i="2"/>
  <c r="G61" i="2"/>
  <c r="W714" i="2"/>
  <c r="V519" i="2"/>
  <c r="I325" i="2"/>
  <c r="H130" i="2"/>
  <c r="C294" i="2"/>
  <c r="W98" i="2"/>
  <c r="V262" i="2"/>
  <c r="U67" i="2"/>
  <c r="C714" i="2"/>
  <c r="W518" i="2"/>
  <c r="J324" i="2"/>
  <c r="I129" i="2"/>
  <c r="D293" i="2"/>
  <c r="C98" i="2"/>
  <c r="W261" i="2"/>
  <c r="V66" i="2"/>
  <c r="H231" i="2"/>
  <c r="J29" i="2"/>
  <c r="R113" i="2"/>
  <c r="F233" i="2"/>
  <c r="T35" i="2"/>
  <c r="P115" i="2"/>
  <c r="C325" i="2"/>
  <c r="R50" i="2"/>
  <c r="N707" i="2"/>
  <c r="M512" i="2"/>
  <c r="U317" i="2"/>
  <c r="T122" i="2"/>
  <c r="O286" i="2"/>
  <c r="N91" i="2"/>
  <c r="M255" i="2"/>
  <c r="L60" i="2"/>
  <c r="G714" i="2"/>
  <c r="F519" i="2"/>
  <c r="N324" i="2"/>
  <c r="M129" i="2"/>
  <c r="H293" i="2"/>
  <c r="G98" i="2"/>
  <c r="F262" i="2"/>
  <c r="E67" i="2"/>
  <c r="H713" i="2"/>
  <c r="G518" i="2"/>
  <c r="O323" i="2"/>
  <c r="N128" i="2"/>
  <c r="I292" i="2"/>
  <c r="H97" i="2"/>
  <c r="G261" i="2"/>
  <c r="F66" i="2"/>
  <c r="M230" i="2"/>
  <c r="O28" i="2"/>
  <c r="W112" i="2"/>
  <c r="K232" i="2"/>
  <c r="N33" i="2"/>
  <c r="U114" i="2"/>
  <c r="U14" i="2"/>
  <c r="M552" i="2"/>
  <c r="C290" i="2"/>
  <c r="I27" i="2"/>
  <c r="O232" i="2"/>
  <c r="W156" i="2"/>
  <c r="K100" i="2"/>
  <c r="N294" i="2"/>
  <c r="S332" i="2"/>
  <c r="D485" i="2"/>
  <c r="F144" i="2"/>
  <c r="V307" i="2"/>
  <c r="U112" i="2"/>
  <c r="P264" i="2"/>
  <c r="P382" i="2"/>
  <c r="C382" i="2"/>
  <c r="W338" i="2"/>
  <c r="D320" i="2"/>
  <c r="Q381" i="2"/>
  <c r="D381" i="2"/>
  <c r="O3" i="2"/>
  <c r="O221" i="2"/>
  <c r="W68" i="2"/>
  <c r="P119" i="2"/>
  <c r="T11" i="2"/>
  <c r="T248" i="2"/>
  <c r="R495" i="2"/>
  <c r="E301" i="2"/>
  <c r="D106" i="2"/>
  <c r="T269" i="2"/>
  <c r="S74" i="2"/>
  <c r="R238" i="2"/>
  <c r="Q43" i="2"/>
  <c r="L697" i="2"/>
  <c r="K502" i="2"/>
  <c r="S307" i="2"/>
  <c r="R112" i="2"/>
  <c r="M276" i="2"/>
  <c r="L81" i="2"/>
  <c r="K245" i="2"/>
  <c r="J50" i="2"/>
  <c r="M696" i="2"/>
  <c r="L501" i="2"/>
  <c r="T306" i="2"/>
  <c r="S111" i="2"/>
  <c r="N275" i="2"/>
  <c r="M80" i="2"/>
  <c r="L244" i="2"/>
  <c r="K49" i="2"/>
  <c r="R213" i="2"/>
  <c r="H291" i="2"/>
  <c r="G96" i="2"/>
  <c r="P215" i="2"/>
  <c r="R293" i="2"/>
  <c r="E98" i="2"/>
  <c r="S197" i="2"/>
  <c r="R345" i="2"/>
  <c r="I644" i="2"/>
  <c r="H449" i="2"/>
  <c r="P254" i="2"/>
  <c r="O59" i="2"/>
  <c r="J223" i="2"/>
  <c r="I28" i="2"/>
  <c r="H192" i="2"/>
  <c r="L355" i="2"/>
  <c r="W650" i="2"/>
  <c r="V455" i="2"/>
  <c r="I261" i="2"/>
  <c r="H66" i="2"/>
  <c r="C230" i="2"/>
  <c r="W34" i="2"/>
  <c r="V198" i="2"/>
  <c r="M1180" i="2"/>
  <c r="F1347" i="2"/>
  <c r="V955" i="2"/>
  <c r="E413" i="2"/>
  <c r="C413" i="2"/>
  <c r="V412" i="2"/>
  <c r="D412" i="2"/>
  <c r="W411" i="2"/>
  <c r="Q21" i="2"/>
  <c r="F1135" i="2"/>
  <c r="V457" i="2"/>
  <c r="N847" i="2"/>
  <c r="R457" i="2"/>
  <c r="O846" i="2"/>
  <c r="K609" i="2"/>
  <c r="J414" i="2"/>
  <c r="F609" i="2"/>
  <c r="E414" i="2"/>
  <c r="I609" i="2"/>
  <c r="H414" i="2"/>
  <c r="Q608" i="2"/>
  <c r="P413" i="2"/>
  <c r="C219" i="2"/>
  <c r="W23" i="2"/>
  <c r="R187" i="2"/>
  <c r="Q351" i="2"/>
  <c r="P951" i="2"/>
  <c r="D1341" i="2"/>
  <c r="Q950" i="2"/>
  <c r="H949" i="2"/>
  <c r="L559" i="2"/>
  <c r="T949" i="2"/>
  <c r="S672" i="2"/>
  <c r="L411" i="2"/>
  <c r="P606" i="2"/>
  <c r="O411" i="2"/>
  <c r="E996" i="2"/>
  <c r="D801" i="2"/>
  <c r="N606" i="2"/>
  <c r="M411" i="2"/>
  <c r="I606" i="2"/>
  <c r="H411" i="2"/>
  <c r="L606" i="2"/>
  <c r="K411" i="2"/>
  <c r="F995" i="2"/>
  <c r="E800" i="2"/>
  <c r="O605" i="2"/>
  <c r="N410" i="2"/>
  <c r="J605" i="2"/>
  <c r="I410" i="2"/>
  <c r="M605" i="2"/>
  <c r="L410" i="2"/>
  <c r="U604" i="2"/>
  <c r="T409" i="2"/>
  <c r="G215" i="2"/>
  <c r="F20" i="2"/>
  <c r="V183" i="2"/>
  <c r="U347" i="2"/>
  <c r="K936" i="2"/>
  <c r="T1325" i="2"/>
  <c r="L935" i="2"/>
  <c r="C934" i="2"/>
  <c r="G544" i="2"/>
  <c r="O934" i="2"/>
  <c r="K664" i="2"/>
  <c r="P407" i="2"/>
  <c r="T602" i="2"/>
  <c r="S407" i="2"/>
  <c r="I992" i="2"/>
  <c r="H797" i="2"/>
  <c r="R602" i="2"/>
  <c r="Q407" i="2"/>
  <c r="M602" i="2"/>
  <c r="L407" i="2"/>
  <c r="P602" i="2"/>
  <c r="O407" i="2"/>
  <c r="J991" i="2"/>
  <c r="I796" i="2"/>
  <c r="S601" i="2"/>
  <c r="R406" i="2"/>
  <c r="N601" i="2"/>
  <c r="M406" i="2"/>
  <c r="Q601" i="2"/>
  <c r="P406" i="2"/>
  <c r="D601" i="2"/>
  <c r="C406" i="2"/>
  <c r="K211" i="2"/>
  <c r="J16" i="2"/>
  <c r="E180" i="2"/>
  <c r="M243" i="2"/>
  <c r="J10" i="2"/>
  <c r="F667" i="2"/>
  <c r="E472" i="2"/>
  <c r="M277" i="2"/>
  <c r="L82" i="2"/>
  <c r="G246" i="2"/>
  <c r="F51" i="2"/>
  <c r="E215" i="2"/>
  <c r="D20" i="2"/>
  <c r="T673" i="2"/>
  <c r="S478" i="2"/>
  <c r="F284" i="2"/>
  <c r="E89" i="2"/>
  <c r="U252" i="2"/>
  <c r="T57" i="2"/>
  <c r="S221" i="2"/>
  <c r="R26" i="2"/>
  <c r="U672" i="2"/>
  <c r="T477" i="2"/>
  <c r="G283" i="2"/>
  <c r="F88" i="2"/>
  <c r="V251" i="2"/>
  <c r="U56" i="2"/>
  <c r="T220" i="2"/>
  <c r="S25" i="2"/>
  <c r="E190" i="2"/>
  <c r="P267" i="2"/>
  <c r="J277" i="2"/>
  <c r="G49" i="2"/>
  <c r="E456" i="2"/>
  <c r="M261" i="2"/>
  <c r="L66" i="2"/>
  <c r="G230" i="2"/>
  <c r="F35" i="2"/>
  <c r="E199" i="2"/>
  <c r="D4" i="2"/>
  <c r="T657" i="2"/>
  <c r="S462" i="2"/>
  <c r="F268" i="2"/>
  <c r="E73" i="2"/>
  <c r="U236" i="2"/>
  <c r="T41" i="2"/>
  <c r="S205" i="2"/>
  <c r="R10" i="2"/>
  <c r="U656" i="2"/>
  <c r="T461" i="2"/>
  <c r="G267" i="2"/>
  <c r="F72" i="2"/>
  <c r="V235" i="2"/>
  <c r="U40" i="2"/>
  <c r="T204" i="2"/>
  <c r="S9" i="2"/>
  <c r="E174" i="2"/>
  <c r="P251" i="2"/>
  <c r="O56" i="2"/>
  <c r="C176" i="2"/>
  <c r="N253" i="2"/>
  <c r="M58" i="2"/>
  <c r="V142" i="2"/>
  <c r="E306" i="2"/>
  <c r="Q604" i="2"/>
  <c r="P409" i="2"/>
  <c r="C215" i="2"/>
  <c r="W19" i="2"/>
  <c r="R183" i="2"/>
  <c r="Q347" i="2"/>
  <c r="P152" i="2"/>
  <c r="T315" i="2"/>
  <c r="J611" i="2"/>
  <c r="I416" i="2"/>
  <c r="Q221" i="2"/>
  <c r="P26" i="2"/>
  <c r="K190" i="2"/>
  <c r="J354" i="2"/>
  <c r="I159" i="2"/>
  <c r="M322" i="2"/>
  <c r="K610" i="2"/>
  <c r="J415" i="2"/>
  <c r="R220" i="2"/>
  <c r="Q25" i="2"/>
  <c r="L189" i="2"/>
  <c r="K353" i="2"/>
  <c r="J158" i="2"/>
  <c r="N321" i="2"/>
  <c r="P127" i="2"/>
  <c r="F205" i="2"/>
  <c r="E10" i="2"/>
  <c r="N129" i="2"/>
  <c r="D207" i="2"/>
  <c r="C12" i="2"/>
  <c r="F142" i="2"/>
  <c r="J305" i="2"/>
  <c r="V603" i="2"/>
  <c r="U408" i="2"/>
  <c r="H214" i="2"/>
  <c r="G19" i="2"/>
  <c r="W182" i="2"/>
  <c r="V346" i="2"/>
  <c r="U151" i="2"/>
  <c r="D315" i="2"/>
  <c r="O610" i="2"/>
  <c r="N415" i="2"/>
  <c r="V220" i="2"/>
  <c r="U25" i="2"/>
  <c r="P189" i="2"/>
  <c r="O353" i="2"/>
  <c r="N158" i="2"/>
  <c r="R321" i="2"/>
  <c r="P609" i="2"/>
  <c r="O414" i="2"/>
  <c r="W219" i="2"/>
  <c r="V24" i="2"/>
  <c r="Q188" i="2"/>
  <c r="P352" i="2"/>
  <c r="O157" i="2"/>
  <c r="S320" i="2"/>
  <c r="U126" i="2"/>
  <c r="K204" i="2"/>
  <c r="J9" i="2"/>
  <c r="S128" i="2"/>
  <c r="I206" i="2"/>
  <c r="H11" i="2"/>
  <c r="G89" i="2"/>
  <c r="I540" i="2"/>
  <c r="W350" i="2"/>
  <c r="G149" i="2"/>
  <c r="D21" i="2"/>
  <c r="J293" i="2"/>
  <c r="W184" i="2"/>
  <c r="E70" i="2"/>
  <c r="T693" i="2"/>
  <c r="I404" i="2"/>
  <c r="Q209" i="2"/>
  <c r="P14" i="2"/>
  <c r="K178" i="2"/>
  <c r="J342" i="2"/>
  <c r="I147" i="2"/>
  <c r="M310" i="2"/>
  <c r="C606" i="2"/>
  <c r="W410" i="2"/>
  <c r="J216" i="2"/>
  <c r="I21" i="2"/>
  <c r="D185" i="2"/>
  <c r="C349" i="2"/>
  <c r="W153" i="2"/>
  <c r="F317" i="2"/>
  <c r="D605" i="2"/>
  <c r="C410" i="2"/>
  <c r="K215" i="2"/>
  <c r="J20" i="2"/>
  <c r="E184" i="2"/>
  <c r="D348" i="2"/>
  <c r="C153" i="2"/>
  <c r="G316" i="2"/>
  <c r="I122" i="2"/>
  <c r="T199" i="2"/>
  <c r="S4" i="2"/>
  <c r="G124" i="2"/>
  <c r="R201" i="2"/>
  <c r="C46" i="2"/>
  <c r="E91" i="2"/>
  <c r="V747" i="2"/>
  <c r="U552" i="2"/>
  <c r="H358" i="2"/>
  <c r="G163" i="2"/>
  <c r="W326" i="2"/>
  <c r="V131" i="2"/>
  <c r="U295" i="2"/>
  <c r="T100" i="2"/>
  <c r="E365" i="2"/>
  <c r="N559" i="2"/>
  <c r="M364" i="2"/>
  <c r="U169" i="2"/>
  <c r="P333" i="2"/>
  <c r="O138" i="2"/>
  <c r="N302" i="2"/>
  <c r="M107" i="2"/>
  <c r="F364" i="2"/>
  <c r="O558" i="2"/>
  <c r="N363" i="2"/>
  <c r="V168" i="2"/>
  <c r="Q332" i="2"/>
  <c r="P137" i="2"/>
  <c r="O301" i="2"/>
  <c r="N106" i="2"/>
  <c r="U270" i="2"/>
  <c r="T75" i="2"/>
  <c r="J153" i="2"/>
  <c r="S272" i="2"/>
  <c r="R77" i="2"/>
  <c r="H155" i="2"/>
  <c r="H45" i="2"/>
  <c r="J90" i="2"/>
  <c r="F747" i="2"/>
  <c r="E552" i="2"/>
  <c r="M357" i="2"/>
  <c r="L162" i="2"/>
  <c r="G326" i="2"/>
  <c r="F131" i="2"/>
  <c r="E295" i="2"/>
  <c r="D100" i="2"/>
  <c r="J364" i="2"/>
  <c r="S558" i="2"/>
  <c r="R363" i="2"/>
  <c r="E169" i="2"/>
  <c r="U332" i="2"/>
  <c r="T137" i="2"/>
  <c r="S301" i="2"/>
  <c r="R106" i="2"/>
  <c r="K363" i="2"/>
  <c r="T557" i="2"/>
  <c r="S362" i="2"/>
  <c r="F168" i="2"/>
  <c r="V331" i="2"/>
  <c r="U136" i="2"/>
  <c r="T300" i="2"/>
  <c r="S105" i="2"/>
  <c r="E270" i="2"/>
  <c r="D75" i="2"/>
  <c r="O152" i="2"/>
  <c r="C272" i="2"/>
  <c r="W76" i="2"/>
  <c r="M154" i="2"/>
  <c r="G4" i="2"/>
  <c r="O686" i="2"/>
  <c r="M77" i="2"/>
  <c r="N234" i="2"/>
  <c r="V81" i="2"/>
  <c r="Q266" i="2"/>
  <c r="C197" i="2"/>
  <c r="H497" i="2"/>
  <c r="V154" i="2"/>
  <c r="P613" i="2"/>
  <c r="W223" i="2"/>
  <c r="M180" i="2"/>
  <c r="K149" i="2"/>
  <c r="I588" i="2"/>
  <c r="D162" i="2"/>
  <c r="L45" i="2"/>
  <c r="P239" i="2"/>
  <c r="V265" i="2"/>
  <c r="Q22" i="2"/>
  <c r="L135" i="2"/>
  <c r="N547" i="2"/>
  <c r="V352" i="2"/>
  <c r="U157" i="2"/>
  <c r="P321" i="2"/>
  <c r="O126" i="2"/>
  <c r="N290" i="2"/>
  <c r="M95" i="2"/>
  <c r="H749" i="2"/>
  <c r="G554" i="2"/>
  <c r="O359" i="2"/>
  <c r="N164" i="2"/>
  <c r="I328" i="2"/>
  <c r="H133" i="2"/>
  <c r="G297" i="2"/>
  <c r="F102" i="2"/>
  <c r="I748" i="2"/>
  <c r="H553" i="2"/>
  <c r="P358" i="2"/>
  <c r="O163" i="2"/>
  <c r="J327" i="2"/>
  <c r="I132" i="2"/>
  <c r="H296" i="2"/>
  <c r="G101" i="2"/>
  <c r="N265" i="2"/>
  <c r="M70" i="2"/>
  <c r="C148" i="2"/>
  <c r="L267" i="2"/>
  <c r="K72" i="2"/>
  <c r="V149" i="2"/>
  <c r="K301" i="2"/>
  <c r="I39" i="2"/>
  <c r="E696" i="2"/>
  <c r="D501" i="2"/>
  <c r="L306" i="2"/>
  <c r="K111" i="2"/>
  <c r="F275" i="2"/>
  <c r="E80" i="2"/>
  <c r="D244" i="2"/>
  <c r="C49" i="2"/>
  <c r="S702" i="2"/>
  <c r="R507" i="2"/>
  <c r="E313" i="2"/>
  <c r="D118" i="2"/>
  <c r="T281" i="2"/>
  <c r="S86" i="2"/>
  <c r="R250" i="2"/>
  <c r="Q55" i="2"/>
  <c r="T701" i="2"/>
  <c r="S506" i="2"/>
  <c r="F312" i="2"/>
  <c r="E117" i="2"/>
  <c r="U280" i="2"/>
  <c r="T85" i="2"/>
  <c r="S249" i="2"/>
  <c r="R54" i="2"/>
  <c r="D219" i="2"/>
  <c r="W4" i="2"/>
  <c r="N101" i="2"/>
  <c r="W220" i="2"/>
  <c r="F9" i="2"/>
  <c r="L103" i="2"/>
  <c r="P300" i="2"/>
  <c r="N38" i="2"/>
  <c r="J695" i="2"/>
  <c r="I500" i="2"/>
  <c r="Q305" i="2"/>
  <c r="P110" i="2"/>
  <c r="K274" i="2"/>
  <c r="J79" i="2"/>
  <c r="I243" i="2"/>
  <c r="H48" i="2"/>
  <c r="C702" i="2"/>
  <c r="W506" i="2"/>
  <c r="J312" i="2"/>
  <c r="I117" i="2"/>
  <c r="D281" i="2"/>
  <c r="C86" i="2"/>
  <c r="W249" i="2"/>
  <c r="V54" i="2"/>
  <c r="D701" i="2"/>
  <c r="C506" i="2"/>
  <c r="K311" i="2"/>
  <c r="J116" i="2"/>
  <c r="E280" i="2"/>
  <c r="D85" i="2"/>
  <c r="C249" i="2"/>
  <c r="W53" i="2"/>
  <c r="I218" i="2"/>
  <c r="L3" i="2"/>
  <c r="S100" i="2"/>
  <c r="G220" i="2"/>
  <c r="P7" i="2"/>
  <c r="Q102" i="2"/>
  <c r="V37" i="2"/>
  <c r="V515" i="2"/>
  <c r="L253" i="2"/>
  <c r="V2" i="2"/>
  <c r="G208" i="2"/>
  <c r="O132" i="2"/>
  <c r="G88" i="2"/>
  <c r="F270" i="2"/>
  <c r="O320" i="2"/>
  <c r="Q460" i="2"/>
  <c r="W131" i="2"/>
  <c r="R295" i="2"/>
  <c r="Q100" i="2"/>
  <c r="L252" i="2"/>
  <c r="R747" i="2"/>
  <c r="D358" i="2"/>
  <c r="O314" i="2"/>
  <c r="M283" i="2"/>
  <c r="S746" i="2"/>
  <c r="E357" i="2"/>
  <c r="C338" i="2"/>
  <c r="C185" i="2"/>
  <c r="R21" i="2"/>
  <c r="D83" i="2"/>
  <c r="O72" i="2"/>
  <c r="V158" i="2"/>
  <c r="N483" i="2"/>
  <c r="V288" i="2"/>
  <c r="U93" i="2"/>
  <c r="P257" i="2"/>
  <c r="O62" i="2"/>
  <c r="N226" i="2"/>
  <c r="M31" i="2"/>
  <c r="H685" i="2"/>
  <c r="G490" i="2"/>
  <c r="O295" i="2"/>
  <c r="N100" i="2"/>
  <c r="I264" i="2"/>
  <c r="H69" i="2"/>
  <c r="G233" i="2"/>
  <c r="F38" i="2"/>
  <c r="I684" i="2"/>
  <c r="H489" i="2"/>
  <c r="P294" i="2"/>
  <c r="O99" i="2"/>
  <c r="J263" i="2"/>
  <c r="I68" i="2"/>
  <c r="H232" i="2"/>
  <c r="G37" i="2"/>
  <c r="N201" i="2"/>
  <c r="D279" i="2"/>
  <c r="C84" i="2"/>
  <c r="L203" i="2"/>
  <c r="W280" i="2"/>
  <c r="V85" i="2"/>
  <c r="K173" i="2"/>
  <c r="N333" i="2"/>
  <c r="E632" i="2"/>
  <c r="D437" i="2"/>
  <c r="L242" i="2"/>
  <c r="K47" i="2"/>
  <c r="F211" i="2"/>
  <c r="E16" i="2"/>
  <c r="D180" i="2"/>
  <c r="H343" i="2"/>
  <c r="S638" i="2"/>
  <c r="R443" i="2"/>
  <c r="E249" i="2"/>
  <c r="D54" i="2"/>
  <c r="T217" i="2"/>
  <c r="S22" i="2"/>
  <c r="R186" i="2"/>
  <c r="E578" i="2"/>
  <c r="D383" i="2"/>
  <c r="H578" i="2"/>
  <c r="M773" i="2"/>
  <c r="W966" i="2"/>
  <c r="V771" i="2"/>
  <c r="K577" i="2"/>
  <c r="J382" i="2"/>
  <c r="F577" i="2"/>
  <c r="E382" i="2"/>
  <c r="I577" i="2"/>
  <c r="H382" i="2"/>
  <c r="Q576" i="2"/>
  <c r="P381" i="2"/>
  <c r="C187" i="2"/>
  <c r="S350" i="2"/>
  <c r="R155" i="2"/>
  <c r="R194" i="2"/>
  <c r="G344" i="2"/>
  <c r="S642" i="2"/>
  <c r="R447" i="2"/>
  <c r="E253" i="2"/>
  <c r="D58" i="2"/>
  <c r="T221" i="2"/>
  <c r="S26" i="2"/>
  <c r="R190" i="2"/>
  <c r="V353" i="2"/>
  <c r="L649" i="2"/>
  <c r="K454" i="2"/>
  <c r="S259" i="2"/>
  <c r="R64" i="2"/>
  <c r="M228" i="2"/>
  <c r="L33" i="2"/>
  <c r="K197" i="2"/>
  <c r="R360" i="2"/>
  <c r="M648" i="2"/>
  <c r="L453" i="2"/>
  <c r="T258" i="2"/>
  <c r="S63" i="2"/>
  <c r="N227" i="2"/>
  <c r="M32" i="2"/>
  <c r="L196" i="2"/>
  <c r="P359" i="2"/>
  <c r="R165" i="2"/>
  <c r="H243" i="2"/>
  <c r="T179" i="2"/>
  <c r="V309" i="2"/>
  <c r="R431" i="2"/>
  <c r="E237" i="2"/>
  <c r="D42" i="2"/>
  <c r="T205" i="2"/>
  <c r="S10" i="2"/>
  <c r="R174" i="2"/>
  <c r="V337" i="2"/>
  <c r="L633" i="2"/>
  <c r="K438" i="2"/>
  <c r="S243" i="2"/>
  <c r="R48" i="2"/>
  <c r="M212" i="2"/>
  <c r="L17" i="2"/>
  <c r="K181" i="2"/>
  <c r="O344" i="2"/>
  <c r="M632" i="2"/>
  <c r="L437" i="2"/>
  <c r="T242" i="2"/>
  <c r="S47" i="2"/>
  <c r="N211" i="2"/>
  <c r="M16" i="2"/>
  <c r="L180" i="2"/>
  <c r="P343" i="2"/>
  <c r="R149" i="2"/>
  <c r="H227" i="2"/>
  <c r="G32" i="2"/>
  <c r="P151" i="2"/>
  <c r="F229" i="2"/>
  <c r="U100" i="2"/>
  <c r="N118" i="2"/>
  <c r="U385" i="2"/>
  <c r="I580" i="2"/>
  <c r="H385" i="2"/>
  <c r="P190" i="2"/>
  <c r="K354" i="2"/>
  <c r="J159" i="2"/>
  <c r="I323" i="2"/>
  <c r="H128" i="2"/>
  <c r="N392" i="2"/>
  <c r="W586" i="2"/>
  <c r="V391" i="2"/>
  <c r="I197" i="2"/>
  <c r="H2" i="2"/>
  <c r="C166" i="2"/>
  <c r="W329" i="2"/>
  <c r="V134" i="2"/>
  <c r="O391" i="2"/>
  <c r="C586" i="2"/>
  <c r="W390" i="2"/>
  <c r="J196" i="2"/>
  <c r="E360" i="2"/>
  <c r="D165" i="2"/>
  <c r="C329" i="2"/>
  <c r="W133" i="2"/>
  <c r="F297" i="2"/>
  <c r="H103" i="2"/>
  <c r="S180" i="2"/>
  <c r="V9" i="2"/>
  <c r="F105" i="2"/>
  <c r="Q182" i="2"/>
  <c r="E100" i="2"/>
  <c r="S117" i="2"/>
  <c r="E385" i="2"/>
  <c r="N579" i="2"/>
  <c r="M384" i="2"/>
  <c r="U189" i="2"/>
  <c r="P353" i="2"/>
  <c r="O158" i="2"/>
  <c r="N322" i="2"/>
  <c r="M127" i="2"/>
  <c r="S391" i="2"/>
  <c r="G586" i="2"/>
  <c r="F391" i="2"/>
  <c r="N196" i="2"/>
  <c r="I360" i="2"/>
  <c r="H165" i="2"/>
  <c r="G329" i="2"/>
  <c r="F134" i="2"/>
  <c r="T390" i="2"/>
  <c r="H585" i="2"/>
  <c r="G390" i="2"/>
  <c r="O195" i="2"/>
  <c r="J359" i="2"/>
  <c r="I164" i="2"/>
  <c r="H328" i="2"/>
  <c r="G133" i="2"/>
  <c r="K296" i="2"/>
  <c r="M102" i="2"/>
  <c r="C180" i="2"/>
  <c r="K8" i="2"/>
  <c r="K104" i="2"/>
  <c r="V181" i="2"/>
  <c r="O16" i="2"/>
  <c r="T64" i="2"/>
  <c r="F467" i="2"/>
  <c r="T277" i="2"/>
  <c r="H88" i="2"/>
  <c r="V306" i="2"/>
  <c r="L207" i="2"/>
  <c r="T111" i="2"/>
  <c r="F245" i="2"/>
  <c r="I596" i="2"/>
  <c r="V379" i="2"/>
  <c r="I185" i="2"/>
  <c r="D349" i="2"/>
  <c r="C154" i="2"/>
  <c r="W317" i="2"/>
  <c r="V122" i="2"/>
  <c r="G387" i="2"/>
  <c r="P581" i="2"/>
  <c r="O386" i="2"/>
  <c r="W191" i="2"/>
  <c r="R355" i="2"/>
  <c r="Q160" i="2"/>
  <c r="P324" i="2"/>
  <c r="O129" i="2"/>
  <c r="H386" i="2"/>
  <c r="Q580" i="2"/>
  <c r="P385" i="2"/>
  <c r="C191" i="2"/>
  <c r="S354" i="2"/>
  <c r="R159" i="2"/>
  <c r="Q323" i="2"/>
  <c r="P128" i="2"/>
  <c r="N293" i="2"/>
  <c r="V97" i="2"/>
  <c r="L175" i="2"/>
  <c r="P299" i="2"/>
  <c r="T99" i="2"/>
  <c r="J177" i="2"/>
  <c r="H356" i="2"/>
  <c r="R66" i="2"/>
  <c r="N723" i="2"/>
  <c r="M528" i="2"/>
  <c r="U333" i="2"/>
  <c r="T138" i="2"/>
  <c r="O302" i="2"/>
  <c r="N107" i="2"/>
  <c r="M271" i="2"/>
  <c r="L76" i="2"/>
  <c r="G730" i="2"/>
  <c r="F535" i="2"/>
  <c r="N340" i="2"/>
  <c r="M145" i="2"/>
  <c r="H309" i="2"/>
  <c r="G114" i="2"/>
  <c r="F278" i="2"/>
  <c r="E83" i="2"/>
  <c r="H729" i="2"/>
  <c r="G534" i="2"/>
  <c r="O339" i="2"/>
  <c r="N144" i="2"/>
  <c r="I308" i="2"/>
  <c r="H113" i="2"/>
  <c r="G277" i="2"/>
  <c r="F82" i="2"/>
  <c r="M246" i="2"/>
  <c r="L51" i="2"/>
  <c r="W128" i="2"/>
  <c r="K248" i="2"/>
  <c r="J53" i="2"/>
  <c r="U130" i="2"/>
  <c r="M355" i="2"/>
  <c r="W65" i="2"/>
  <c r="S722" i="2"/>
  <c r="R527" i="2"/>
  <c r="E333" i="2"/>
  <c r="D138" i="2"/>
  <c r="T301" i="2"/>
  <c r="S106" i="2"/>
  <c r="R270" i="2"/>
  <c r="Q75" i="2"/>
  <c r="L729" i="2"/>
  <c r="K534" i="2"/>
  <c r="S339" i="2"/>
  <c r="R144" i="2"/>
  <c r="M308" i="2"/>
  <c r="L113" i="2"/>
  <c r="K277" i="2"/>
  <c r="J82" i="2"/>
  <c r="M728" i="2"/>
  <c r="L533" i="2"/>
  <c r="T338" i="2"/>
  <c r="S143" i="2"/>
  <c r="N307" i="2"/>
  <c r="M112" i="2"/>
  <c r="L276" i="2"/>
  <c r="K81" i="2"/>
  <c r="R245" i="2"/>
  <c r="Q50" i="2"/>
  <c r="G128" i="2"/>
  <c r="P247" i="2"/>
  <c r="O52" i="2"/>
  <c r="E130" i="2"/>
  <c r="P3" i="2"/>
  <c r="L613" i="2"/>
  <c r="J4" i="2"/>
  <c r="K161" i="2"/>
  <c r="I294" i="2"/>
  <c r="V217" i="2"/>
  <c r="P108" i="2"/>
  <c r="M448" i="2"/>
  <c r="F106" i="2"/>
  <c r="U564" i="2"/>
  <c r="G175" i="2"/>
  <c r="N119" i="2"/>
  <c r="P100" i="2"/>
  <c r="J527" i="2"/>
  <c r="E101" i="2"/>
  <c r="I331" i="2"/>
  <c r="E142" i="2"/>
  <c r="S192" i="2"/>
  <c r="S8" i="2"/>
  <c r="H109" i="2"/>
  <c r="F523" i="2"/>
  <c r="N328" i="2"/>
  <c r="M133" i="2"/>
  <c r="H297" i="2"/>
  <c r="G102" i="2"/>
  <c r="F266" i="2"/>
  <c r="E71" i="2"/>
  <c r="U724" i="2"/>
  <c r="T529" i="2"/>
  <c r="G335" i="2"/>
  <c r="F140" i="2"/>
  <c r="V303" i="2"/>
  <c r="U108" i="2"/>
  <c r="T272" i="2"/>
  <c r="S77" i="2"/>
  <c r="V723" i="2"/>
  <c r="U528" i="2"/>
  <c r="H334" i="2"/>
  <c r="G139" i="2"/>
  <c r="W302" i="2"/>
  <c r="V107" i="2"/>
  <c r="U271" i="2"/>
  <c r="T76" i="2"/>
  <c r="F241" i="2"/>
  <c r="E46" i="2"/>
  <c r="P123" i="2"/>
  <c r="D243" i="2"/>
  <c r="C48" i="2"/>
  <c r="N125" i="2"/>
  <c r="P252" i="2"/>
  <c r="V14" i="2"/>
  <c r="R671" i="2"/>
  <c r="Q476" i="2"/>
  <c r="D282" i="2"/>
  <c r="C87" i="2"/>
  <c r="S250" i="2"/>
  <c r="R55" i="2"/>
  <c r="Q219" i="2"/>
  <c r="P24" i="2"/>
  <c r="K678" i="2"/>
  <c r="J483" i="2"/>
  <c r="R288" i="2"/>
  <c r="Q93" i="2"/>
  <c r="L257" i="2"/>
  <c r="K62" i="2"/>
  <c r="J226" i="2"/>
  <c r="I31" i="2"/>
  <c r="L677" i="2"/>
  <c r="K482" i="2"/>
  <c r="S287" i="2"/>
  <c r="R92" i="2"/>
  <c r="M256" i="2"/>
  <c r="L61" i="2"/>
  <c r="K225" i="2"/>
  <c r="J30" i="2"/>
  <c r="Q194" i="2"/>
  <c r="G272" i="2"/>
  <c r="F77" i="2"/>
  <c r="O196" i="2"/>
  <c r="E274" i="2"/>
  <c r="D79" i="2"/>
  <c r="U251" i="2"/>
  <c r="F14" i="2"/>
  <c r="W670" i="2"/>
  <c r="V475" i="2"/>
  <c r="I281" i="2"/>
  <c r="H86" i="2"/>
  <c r="C250" i="2"/>
  <c r="W54" i="2"/>
  <c r="V218" i="2"/>
  <c r="U23" i="2"/>
  <c r="P677" i="2"/>
  <c r="O482" i="2"/>
  <c r="W287" i="2"/>
  <c r="V92" i="2"/>
  <c r="Q256" i="2"/>
  <c r="P61" i="2"/>
  <c r="O225" i="2"/>
  <c r="N30" i="2"/>
  <c r="Q676" i="2"/>
  <c r="P481" i="2"/>
  <c r="C287" i="2"/>
  <c r="W91" i="2"/>
  <c r="R255" i="2"/>
  <c r="Q60" i="2"/>
  <c r="P224" i="2"/>
  <c r="O29" i="2"/>
  <c r="V193" i="2"/>
  <c r="L271" i="2"/>
  <c r="K76" i="2"/>
  <c r="T195" i="2"/>
  <c r="J273" i="2"/>
  <c r="I78" i="2"/>
  <c r="P31" i="2"/>
  <c r="O430" i="2"/>
  <c r="I180" i="2"/>
  <c r="F289" i="2"/>
  <c r="L159" i="2"/>
  <c r="P71" i="2"/>
  <c r="T63" i="2"/>
  <c r="K221" i="2"/>
  <c r="F388" i="2"/>
  <c r="R399" i="2"/>
  <c r="O107" i="2"/>
  <c r="J271" i="2"/>
  <c r="I76" i="2"/>
  <c r="D228" i="2"/>
  <c r="W698" i="2"/>
  <c r="I309" i="2"/>
  <c r="T265" i="2"/>
  <c r="R234" i="2"/>
  <c r="C698" i="2"/>
  <c r="J308" i="2"/>
  <c r="D277" i="2"/>
  <c r="D124" i="2"/>
  <c r="T231" i="2"/>
  <c r="M282" i="2"/>
  <c r="N289" i="2"/>
  <c r="K61" i="2"/>
  <c r="F459" i="2"/>
  <c r="N264" i="2"/>
  <c r="M69" i="2"/>
  <c r="H233" i="2"/>
  <c r="G38" i="2"/>
  <c r="F202" i="2"/>
  <c r="E7" i="2"/>
  <c r="U660" i="2"/>
  <c r="T465" i="2"/>
  <c r="G271" i="2"/>
  <c r="F76" i="2"/>
  <c r="V239" i="2"/>
  <c r="U44" i="2"/>
  <c r="T208" i="2"/>
  <c r="S13" i="2"/>
  <c r="V659" i="2"/>
  <c r="U464" i="2"/>
  <c r="H270" i="2"/>
  <c r="G75" i="2"/>
  <c r="W238" i="2"/>
  <c r="V43" i="2"/>
  <c r="U207" i="2"/>
  <c r="T12" i="2"/>
  <c r="F177" i="2"/>
  <c r="Q254" i="2"/>
  <c r="P59" i="2"/>
  <c r="D179" i="2"/>
  <c r="O256" i="2"/>
  <c r="N61" i="2"/>
  <c r="W145" i="2"/>
  <c r="F309" i="2"/>
  <c r="R607" i="2"/>
  <c r="Q412" i="2"/>
  <c r="D218" i="2"/>
  <c r="C23" i="2"/>
  <c r="S186" i="2"/>
  <c r="R350" i="2"/>
  <c r="Q155" i="2"/>
  <c r="U318" i="2"/>
  <c r="K614" i="2"/>
  <c r="J419" i="2"/>
  <c r="R224" i="2"/>
  <c r="Q29" i="2"/>
  <c r="L193" i="2"/>
  <c r="K357" i="2"/>
  <c r="J162" i="2"/>
  <c r="V1034" i="2"/>
  <c r="R762" i="2"/>
  <c r="M383" i="2"/>
  <c r="K1046" i="2"/>
  <c r="O656" i="2"/>
  <c r="L1045" i="2"/>
  <c r="P655" i="2"/>
  <c r="F655" i="2"/>
  <c r="G234" i="2"/>
  <c r="N550" i="2"/>
  <c r="U701" i="2"/>
  <c r="S701" i="2"/>
  <c r="Q701" i="2"/>
  <c r="J767" i="2"/>
  <c r="T572" i="2"/>
  <c r="S377" i="2"/>
  <c r="O572" i="2"/>
  <c r="N377" i="2"/>
  <c r="R572" i="2"/>
  <c r="Q377" i="2"/>
  <c r="E572" i="2"/>
  <c r="D377" i="2"/>
  <c r="L182" i="2"/>
  <c r="G346" i="2"/>
  <c r="F151" i="2"/>
  <c r="E315" i="2"/>
  <c r="J805" i="2"/>
  <c r="S1194" i="2"/>
  <c r="K804" i="2"/>
  <c r="W802" i="2"/>
  <c r="F413" i="2"/>
  <c r="N803" i="2"/>
  <c r="P599" i="2"/>
  <c r="U374" i="2"/>
  <c r="D570" i="2"/>
  <c r="D766" i="2"/>
  <c r="N959" i="2"/>
  <c r="M764" i="2"/>
  <c r="W569" i="2"/>
  <c r="V374" i="2"/>
  <c r="R569" i="2"/>
  <c r="Q374" i="2"/>
  <c r="U569" i="2"/>
  <c r="E765" i="2"/>
  <c r="O958" i="2"/>
  <c r="N763" i="2"/>
  <c r="C569" i="2"/>
  <c r="W373" i="2"/>
  <c r="S568" i="2"/>
  <c r="R373" i="2"/>
  <c r="V568" i="2"/>
  <c r="U373" i="2"/>
  <c r="I568" i="2"/>
  <c r="H373" i="2"/>
  <c r="P178" i="2"/>
  <c r="K342" i="2"/>
  <c r="J147" i="2"/>
  <c r="I311" i="2"/>
  <c r="E790" i="2"/>
  <c r="N1179" i="2"/>
  <c r="F789" i="2"/>
  <c r="R787" i="2"/>
  <c r="V397" i="2"/>
  <c r="I788" i="2"/>
  <c r="H591" i="2"/>
  <c r="D371" i="2"/>
  <c r="H566" i="2"/>
  <c r="H762" i="2"/>
  <c r="R955" i="2"/>
  <c r="Q760" i="2"/>
  <c r="F566" i="2"/>
  <c r="E371" i="2"/>
  <c r="V565" i="2"/>
  <c r="U370" i="2"/>
  <c r="D566" i="2"/>
  <c r="I761" i="2"/>
  <c r="S954" i="2"/>
  <c r="R759" i="2"/>
  <c r="G565" i="2"/>
  <c r="F370" i="2"/>
  <c r="W564" i="2"/>
  <c r="V369" i="2"/>
  <c r="E565" i="2"/>
  <c r="D370" i="2"/>
  <c r="M564" i="2"/>
  <c r="L369" i="2"/>
  <c r="T174" i="2"/>
  <c r="O338" i="2"/>
  <c r="N143" i="2"/>
  <c r="J170" i="2"/>
  <c r="C332" i="2"/>
  <c r="O630" i="2"/>
  <c r="N435" i="2"/>
  <c r="V240" i="2"/>
  <c r="U45" i="2"/>
  <c r="P209" i="2"/>
  <c r="O14" i="2"/>
  <c r="N178" i="2"/>
  <c r="R341" i="2"/>
  <c r="H637" i="2"/>
  <c r="G442" i="2"/>
  <c r="O247" i="2"/>
  <c r="N52" i="2"/>
  <c r="I216" i="2"/>
  <c r="H21" i="2"/>
  <c r="G185" i="2"/>
  <c r="K348" i="2"/>
  <c r="I636" i="2"/>
  <c r="H441" i="2"/>
  <c r="P246" i="2"/>
  <c r="O51" i="2"/>
  <c r="J215" i="2"/>
  <c r="I20" i="2"/>
  <c r="H184" i="2"/>
  <c r="L347" i="2"/>
  <c r="N153" i="2"/>
  <c r="D231" i="2"/>
  <c r="D131" i="2"/>
  <c r="I365" i="2"/>
  <c r="N419" i="2"/>
  <c r="V224" i="2"/>
  <c r="U29" i="2"/>
  <c r="P193" i="2"/>
  <c r="O357" i="2"/>
  <c r="N162" i="2"/>
  <c r="R325" i="2"/>
  <c r="H621" i="2"/>
  <c r="G426" i="2"/>
  <c r="O231" i="2"/>
  <c r="N36" i="2"/>
  <c r="I200" i="2"/>
  <c r="H5" i="2"/>
  <c r="G169" i="2"/>
  <c r="K332" i="2"/>
  <c r="I620" i="2"/>
  <c r="H425" i="2"/>
  <c r="P230" i="2"/>
  <c r="O35" i="2"/>
  <c r="J199" i="2"/>
  <c r="I4" i="2"/>
  <c r="H168" i="2"/>
  <c r="L331" i="2"/>
  <c r="N137" i="2"/>
  <c r="D215" i="2"/>
  <c r="C20" i="2"/>
  <c r="L139" i="2"/>
  <c r="W216" i="2"/>
  <c r="M76" i="2"/>
  <c r="J106" i="2"/>
  <c r="Q373" i="2"/>
  <c r="E568" i="2"/>
  <c r="D373" i="2"/>
  <c r="L178" i="2"/>
  <c r="G342" i="2"/>
  <c r="F147" i="2"/>
  <c r="E311" i="2"/>
  <c r="D116" i="2"/>
  <c r="J380" i="2"/>
  <c r="S574" i="2"/>
  <c r="R379" i="2"/>
  <c r="E185" i="2"/>
  <c r="U348" i="2"/>
  <c r="T153" i="2"/>
  <c r="S317" i="2"/>
  <c r="R122" i="2"/>
  <c r="K379" i="2"/>
  <c r="T573" i="2"/>
  <c r="S378" i="2"/>
  <c r="F184" i="2"/>
  <c r="V347" i="2"/>
  <c r="U152" i="2"/>
  <c r="T316" i="2"/>
  <c r="S121" i="2"/>
  <c r="E286" i="2"/>
  <c r="D91" i="2"/>
  <c r="O168" i="2"/>
  <c r="C288" i="2"/>
  <c r="W92" i="2"/>
  <c r="M170" i="2"/>
  <c r="R75" i="2"/>
  <c r="O105" i="2"/>
  <c r="V372" i="2"/>
  <c r="J567" i="2"/>
  <c r="I372" i="2"/>
  <c r="Q177" i="2"/>
  <c r="L341" i="2"/>
  <c r="K146" i="2"/>
  <c r="J310" i="2"/>
  <c r="I115" i="2"/>
  <c r="O379" i="2"/>
  <c r="C574" i="2"/>
  <c r="W378" i="2"/>
  <c r="J184" i="2"/>
  <c r="E348" i="2"/>
  <c r="D153" i="2"/>
  <c r="C317" i="2"/>
  <c r="W121" i="2"/>
  <c r="P378" i="2"/>
  <c r="D573" i="2"/>
  <c r="C378" i="2"/>
  <c r="K183" i="2"/>
  <c r="F347" i="2"/>
  <c r="E152" i="2"/>
  <c r="D316" i="2"/>
  <c r="C121" i="2"/>
  <c r="J285" i="2"/>
  <c r="I90" i="2"/>
  <c r="T167" i="2"/>
  <c r="H287" i="2"/>
  <c r="G92" i="2"/>
  <c r="R169" i="2"/>
  <c r="V33" i="2"/>
  <c r="P52" i="2"/>
  <c r="S442" i="2"/>
  <c r="H241" i="2"/>
  <c r="Q51" i="2"/>
  <c r="W245" i="2"/>
  <c r="U170" i="2"/>
  <c r="D63" i="2"/>
  <c r="K196" i="2"/>
  <c r="S562" i="2"/>
  <c r="R367" i="2"/>
  <c r="E173" i="2"/>
  <c r="U336" i="2"/>
  <c r="T141" i="2"/>
  <c r="S305" i="2"/>
  <c r="R110" i="2"/>
  <c r="C375" i="2"/>
  <c r="L569" i="2"/>
  <c r="K374" i="2"/>
  <c r="S179" i="2"/>
  <c r="N343" i="2"/>
  <c r="M148" i="2"/>
  <c r="L312" i="2"/>
  <c r="K117" i="2"/>
  <c r="D374" i="2"/>
  <c r="M568" i="2"/>
  <c r="L373" i="2"/>
  <c r="T178" i="2"/>
  <c r="O342" i="2"/>
  <c r="N147" i="2"/>
  <c r="M311" i="2"/>
  <c r="L116" i="2"/>
  <c r="S280" i="2"/>
  <c r="R85" i="2"/>
  <c r="H163" i="2"/>
  <c r="Q282" i="2"/>
  <c r="P87" i="2"/>
  <c r="F165" i="2"/>
  <c r="U331" i="2"/>
  <c r="N54" i="2"/>
  <c r="J711" i="2"/>
  <c r="I516" i="2"/>
  <c r="Q321" i="2"/>
  <c r="P126" i="2"/>
  <c r="K290" i="2"/>
  <c r="J95" i="2"/>
  <c r="I259" i="2"/>
  <c r="H64" i="2"/>
  <c r="C718" i="2"/>
  <c r="W522" i="2"/>
  <c r="J328" i="2"/>
  <c r="I133" i="2"/>
  <c r="D297" i="2"/>
  <c r="C102" i="2"/>
  <c r="W265" i="2"/>
  <c r="V70" i="2"/>
  <c r="D717" i="2"/>
  <c r="C522" i="2"/>
  <c r="K327" i="2"/>
  <c r="J132" i="2"/>
  <c r="E296" i="2"/>
  <c r="D101" i="2"/>
  <c r="C265" i="2"/>
  <c r="W69" i="2"/>
  <c r="I234" i="2"/>
  <c r="G36" i="2"/>
  <c r="S116" i="2"/>
  <c r="G236" i="2"/>
  <c r="K40" i="2"/>
  <c r="Q118" i="2"/>
  <c r="E331" i="2"/>
  <c r="S53" i="2"/>
  <c r="O710" i="2"/>
  <c r="N515" i="2"/>
  <c r="V320" i="2"/>
  <c r="U125" i="2"/>
  <c r="P289" i="2"/>
  <c r="O94" i="2"/>
  <c r="N258" i="2"/>
  <c r="M63" i="2"/>
  <c r="H717" i="2"/>
  <c r="G522" i="2"/>
  <c r="O327" i="2"/>
  <c r="N132" i="2"/>
  <c r="I296" i="2"/>
  <c r="H101" i="2"/>
  <c r="G265" i="2"/>
  <c r="F70" i="2"/>
  <c r="I716" i="2"/>
  <c r="H521" i="2"/>
  <c r="P326" i="2"/>
  <c r="O131" i="2"/>
  <c r="J295" i="2"/>
  <c r="I100" i="2"/>
  <c r="H264" i="2"/>
  <c r="G69" i="2"/>
  <c r="N233" i="2"/>
  <c r="Q34" i="2"/>
  <c r="C116" i="2"/>
  <c r="L235" i="2"/>
  <c r="P39" i="2"/>
  <c r="V117" i="2"/>
  <c r="W20" i="2"/>
  <c r="Q564" i="2"/>
  <c r="S338" i="2"/>
  <c r="P112" i="2"/>
  <c r="F269" i="2"/>
  <c r="N193" i="2"/>
  <c r="D72" i="2"/>
  <c r="I436" i="2"/>
  <c r="O69" i="2"/>
  <c r="M540" i="2"/>
  <c r="T150" i="2"/>
  <c r="F95" i="2"/>
  <c r="H76" i="2"/>
  <c r="W502" i="2"/>
  <c r="N64" i="2"/>
  <c r="R294" i="2"/>
  <c r="N105" i="2"/>
  <c r="G156" i="2"/>
  <c r="N25" i="2"/>
  <c r="R11" i="2"/>
  <c r="W510" i="2"/>
  <c r="J316" i="2"/>
  <c r="I121" i="2"/>
  <c r="D285" i="2"/>
  <c r="C90" i="2"/>
  <c r="W253" i="2"/>
  <c r="V58" i="2"/>
  <c r="Q712" i="2"/>
  <c r="P517" i="2"/>
  <c r="C323" i="2"/>
  <c r="W127" i="2"/>
  <c r="R291" i="2"/>
  <c r="Q96" i="2"/>
  <c r="P260" i="2"/>
  <c r="O65" i="2"/>
  <c r="R711" i="2"/>
  <c r="Q516" i="2"/>
  <c r="D322" i="2"/>
  <c r="C127" i="2"/>
  <c r="S290" i="2"/>
  <c r="R95" i="2"/>
  <c r="Q259" i="2"/>
  <c r="P64" i="2"/>
  <c r="W228" i="2"/>
  <c r="S24" i="2"/>
  <c r="L111" i="2"/>
  <c r="U230" i="2"/>
  <c r="R29" i="2"/>
  <c r="J113" i="2"/>
  <c r="H228" i="2"/>
  <c r="R2" i="2"/>
  <c r="N659" i="2"/>
  <c r="M464" i="2"/>
  <c r="U269" i="2"/>
  <c r="T74" i="2"/>
  <c r="O238" i="2"/>
  <c r="N43" i="2"/>
  <c r="M207" i="2"/>
  <c r="L12" i="2"/>
  <c r="G666" i="2"/>
  <c r="F471" i="2"/>
  <c r="N276" i="2"/>
  <c r="M81" i="2"/>
  <c r="H245" i="2"/>
  <c r="G50" i="2"/>
  <c r="F214" i="2"/>
  <c r="E19" i="2"/>
  <c r="H665" i="2"/>
  <c r="G470" i="2"/>
  <c r="O275" i="2"/>
  <c r="N80" i="2"/>
  <c r="I244" i="2"/>
  <c r="H49" i="2"/>
  <c r="G213" i="2"/>
  <c r="F18" i="2"/>
  <c r="M182" i="2"/>
  <c r="C260" i="2"/>
  <c r="W64" i="2"/>
  <c r="K184" i="2"/>
  <c r="V261" i="2"/>
  <c r="U66" i="2"/>
  <c r="M227" i="2"/>
  <c r="G360" i="2"/>
  <c r="S658" i="2"/>
  <c r="R463" i="2"/>
  <c r="E269" i="2"/>
  <c r="D74" i="2"/>
  <c r="T237" i="2"/>
  <c r="S42" i="2"/>
  <c r="R206" i="2"/>
  <c r="Q11" i="2"/>
  <c r="L665" i="2"/>
  <c r="K470" i="2"/>
  <c r="S275" i="2"/>
  <c r="R80" i="2"/>
  <c r="M244" i="2"/>
  <c r="L49" i="2"/>
  <c r="K213" i="2"/>
  <c r="J18" i="2"/>
  <c r="M664" i="2"/>
  <c r="L469" i="2"/>
  <c r="T274" i="2"/>
  <c r="S79" i="2"/>
  <c r="N243" i="2"/>
  <c r="M48" i="2"/>
  <c r="L212" i="2"/>
  <c r="K17" i="2"/>
  <c r="R181" i="2"/>
  <c r="H259" i="2"/>
  <c r="G64" i="2"/>
  <c r="P183" i="2"/>
  <c r="F261" i="2"/>
  <c r="E66" i="2"/>
  <c r="H7" i="2"/>
  <c r="C394" i="2"/>
  <c r="V155" i="2"/>
  <c r="O252" i="2"/>
  <c r="D135" i="2"/>
  <c r="L59" i="2"/>
  <c r="P51" i="2"/>
  <c r="P172" i="2"/>
  <c r="W375" i="2"/>
  <c r="J375" i="2"/>
  <c r="K95" i="2"/>
  <c r="F259" i="2"/>
  <c r="E64" i="2"/>
  <c r="U215" i="2"/>
  <c r="O674" i="2"/>
  <c r="V284" i="2"/>
  <c r="L241" i="2"/>
  <c r="J210" i="2"/>
  <c r="P673" i="2"/>
  <c r="W283" i="2"/>
  <c r="Q252" i="2"/>
  <c r="M87" i="2"/>
  <c r="H195" i="2"/>
  <c r="E258" i="2"/>
  <c r="S240" i="2"/>
  <c r="P12" i="2"/>
  <c r="W446" i="2"/>
  <c r="J252" i="2"/>
  <c r="I57" i="2"/>
  <c r="D221" i="2"/>
  <c r="C26" i="2"/>
  <c r="W189" i="2"/>
  <c r="F353" i="2"/>
  <c r="Q648" i="2"/>
  <c r="P453" i="2"/>
  <c r="C259" i="2"/>
  <c r="W63" i="2"/>
  <c r="R227" i="2"/>
  <c r="Q32" i="2"/>
  <c r="P196" i="2"/>
  <c r="T359" i="2"/>
  <c r="R647" i="2"/>
  <c r="Q452" i="2"/>
  <c r="D258" i="2"/>
  <c r="C63" i="2"/>
  <c r="S226" i="2"/>
  <c r="R31" i="2"/>
  <c r="Q195" i="2"/>
  <c r="U358" i="2"/>
  <c r="W164" i="2"/>
  <c r="M242" i="2"/>
  <c r="L47" i="2"/>
  <c r="U166" i="2"/>
  <c r="K244" i="2"/>
  <c r="J49" i="2"/>
  <c r="S133" i="2"/>
  <c r="W296" i="2"/>
  <c r="N595" i="2"/>
  <c r="M400" i="2"/>
  <c r="U205" i="2"/>
  <c r="T10" i="2"/>
  <c r="O174" i="2"/>
  <c r="N338" i="2"/>
  <c r="M143" i="2"/>
  <c r="Q306" i="2"/>
  <c r="G602" i="2"/>
  <c r="F407" i="2"/>
  <c r="N212" i="2"/>
  <c r="M17" i="2"/>
  <c r="H181" i="2"/>
  <c r="G345" i="2"/>
  <c r="F150" i="2"/>
  <c r="F986" i="2"/>
  <c r="S956" i="2"/>
  <c r="T675" i="2"/>
  <c r="P997" i="2"/>
  <c r="T607" i="2"/>
  <c r="Q996" i="2"/>
  <c r="U606" i="2"/>
  <c r="K606" i="2"/>
  <c r="L185" i="2"/>
  <c r="J745" i="2"/>
  <c r="E653" i="2"/>
  <c r="C653" i="2"/>
  <c r="V652" i="2"/>
  <c r="F755" i="2"/>
  <c r="P560" i="2"/>
  <c r="O365" i="2"/>
  <c r="K560" i="2"/>
  <c r="J365" i="2"/>
  <c r="N560" i="2"/>
  <c r="M365" i="2"/>
  <c r="V559" i="2"/>
  <c r="U364" i="2"/>
  <c r="H170" i="2"/>
  <c r="C334" i="2"/>
  <c r="W138" i="2"/>
  <c r="V302" i="2"/>
  <c r="O756" i="2"/>
  <c r="C1146" i="2"/>
  <c r="P755" i="2"/>
  <c r="G754" i="2"/>
  <c r="K364" i="2"/>
  <c r="S754" i="2"/>
  <c r="H575" i="2"/>
  <c r="Q362" i="2"/>
  <c r="U557" i="2"/>
  <c r="U753" i="2"/>
  <c r="J947" i="2"/>
  <c r="I752" i="2"/>
  <c r="S557" i="2"/>
  <c r="R362" i="2"/>
  <c r="N557" i="2"/>
  <c r="M362" i="2"/>
  <c r="Q557" i="2"/>
  <c r="V752" i="2"/>
  <c r="K946" i="2"/>
  <c r="J751" i="2"/>
  <c r="T556" i="2"/>
  <c r="S361" i="2"/>
  <c r="O556" i="2"/>
  <c r="N361" i="2"/>
  <c r="R556" i="2"/>
  <c r="Q361" i="2"/>
  <c r="E556" i="2"/>
  <c r="D361" i="2"/>
  <c r="L166" i="2"/>
  <c r="G330" i="2"/>
  <c r="F135" i="2"/>
  <c r="E299" i="2"/>
  <c r="G1131" i="2"/>
  <c r="M1131" i="2"/>
  <c r="H1130" i="2"/>
  <c r="M739" i="2"/>
  <c r="K739" i="2"/>
  <c r="D740" i="2"/>
  <c r="U566" i="2"/>
  <c r="E749" i="2"/>
  <c r="D554" i="2"/>
  <c r="O1138" i="2"/>
  <c r="N943" i="2"/>
  <c r="C749" i="2"/>
  <c r="W553" i="2"/>
  <c r="S748" i="2"/>
  <c r="R553" i="2"/>
  <c r="V748" i="2"/>
  <c r="U553" i="2"/>
  <c r="P1137" i="2"/>
  <c r="O942" i="2"/>
  <c r="D748" i="2"/>
  <c r="C553" i="2"/>
  <c r="T747" i="2"/>
  <c r="S552" i="2"/>
  <c r="W747" i="2"/>
  <c r="V552" i="2"/>
  <c r="J747" i="2"/>
  <c r="I552" i="2"/>
  <c r="Q357" i="2"/>
  <c r="P162" i="2"/>
  <c r="K326" i="2"/>
  <c r="J131" i="2"/>
  <c r="P156" i="2"/>
  <c r="T319" i="2"/>
  <c r="K618" i="2"/>
  <c r="J423" i="2"/>
  <c r="R228" i="2"/>
  <c r="Q33" i="2"/>
  <c r="L197" i="2"/>
  <c r="K2" i="2"/>
  <c r="J166" i="2"/>
  <c r="N329" i="2"/>
  <c r="D625" i="2"/>
  <c r="C430" i="2"/>
  <c r="K235" i="2"/>
  <c r="J40" i="2"/>
  <c r="E204" i="2"/>
  <c r="D9" i="2"/>
  <c r="C173" i="2"/>
  <c r="G336" i="2"/>
  <c r="E624" i="2"/>
  <c r="D429" i="2"/>
  <c r="L234" i="2"/>
  <c r="K39" i="2"/>
  <c r="F203" i="2"/>
  <c r="E8" i="2"/>
  <c r="D172" i="2"/>
  <c r="H335" i="2"/>
  <c r="J141" i="2"/>
  <c r="U218" i="2"/>
  <c r="I82" i="2"/>
  <c r="C706" i="2"/>
  <c r="J407" i="2"/>
  <c r="R212" i="2"/>
  <c r="Q17" i="2"/>
  <c r="L181" i="2"/>
  <c r="K345" i="2"/>
  <c r="J150" i="2"/>
  <c r="N313" i="2"/>
  <c r="D609" i="2"/>
  <c r="C414" i="2"/>
  <c r="K219" i="2"/>
  <c r="J24" i="2"/>
  <c r="E188" i="2"/>
  <c r="D352" i="2"/>
  <c r="C157" i="2"/>
  <c r="G320" i="2"/>
  <c r="E608" i="2"/>
  <c r="D413" i="2"/>
  <c r="L218" i="2"/>
  <c r="K23" i="2"/>
  <c r="F187" i="2"/>
  <c r="E351" i="2"/>
  <c r="D156" i="2"/>
  <c r="H319" i="2"/>
  <c r="J125" i="2"/>
  <c r="U202" i="2"/>
  <c r="T7" i="2"/>
  <c r="H127" i="2"/>
  <c r="S204" i="2"/>
  <c r="E52" i="2"/>
  <c r="F94" i="2"/>
  <c r="M361" i="2"/>
  <c r="V555" i="2"/>
  <c r="U360" i="2"/>
  <c r="H166" i="2"/>
  <c r="C330" i="2"/>
  <c r="W134" i="2"/>
  <c r="V298" i="2"/>
  <c r="U103" i="2"/>
  <c r="F368" i="2"/>
  <c r="O562" i="2"/>
  <c r="N367" i="2"/>
  <c r="V172" i="2"/>
  <c r="Q336" i="2"/>
  <c r="P141" i="2"/>
  <c r="O305" i="2"/>
  <c r="N110" i="2"/>
  <c r="G367" i="2"/>
  <c r="P561" i="2"/>
  <c r="O366" i="2"/>
  <c r="W171" i="2"/>
  <c r="R335" i="2"/>
  <c r="Q140" i="2"/>
  <c r="P304" i="2"/>
  <c r="O109" i="2"/>
  <c r="V273" i="2"/>
  <c r="U78" i="2"/>
  <c r="K156" i="2"/>
  <c r="T275" i="2"/>
  <c r="S80" i="2"/>
  <c r="I158" i="2"/>
  <c r="J51" i="2"/>
  <c r="K93" i="2"/>
  <c r="G750" i="2"/>
  <c r="F555" i="2"/>
  <c r="P360" i="2"/>
  <c r="M165" i="2"/>
  <c r="H329" i="2"/>
  <c r="G134" i="2"/>
  <c r="F298" i="2"/>
  <c r="E103" i="2"/>
  <c r="K367" i="2"/>
  <c r="T561" i="2"/>
  <c r="S366" i="2"/>
  <c r="F172" i="2"/>
  <c r="V335" i="2"/>
  <c r="U140" i="2"/>
  <c r="T304" i="2"/>
  <c r="S109" i="2"/>
  <c r="L366" i="2"/>
  <c r="U560" i="2"/>
  <c r="T365" i="2"/>
  <c r="G171" i="2"/>
  <c r="W334" i="2"/>
  <c r="V139" i="2"/>
  <c r="U303" i="2"/>
  <c r="T108" i="2"/>
  <c r="F273" i="2"/>
  <c r="E78" i="2"/>
  <c r="P155" i="2"/>
  <c r="D275" i="2"/>
  <c r="C80" i="2"/>
  <c r="N157" i="2"/>
  <c r="I10" i="2"/>
  <c r="L40" i="2"/>
  <c r="K418" i="2"/>
  <c r="Q204" i="2"/>
  <c r="E15" i="2"/>
  <c r="K209" i="2"/>
  <c r="E122" i="2"/>
  <c r="M26" i="2"/>
  <c r="P147" i="2"/>
  <c r="O550" i="2"/>
  <c r="W355" i="2"/>
  <c r="V160" i="2"/>
  <c r="Q324" i="2"/>
  <c r="P129" i="2"/>
  <c r="O293" i="2"/>
  <c r="N98" i="2"/>
  <c r="T362" i="2"/>
  <c r="H557" i="2"/>
  <c r="G362" i="2"/>
  <c r="O167" i="2"/>
  <c r="J331" i="2"/>
  <c r="I136" i="2"/>
  <c r="H300" i="2"/>
  <c r="G105" i="2"/>
  <c r="U361" i="2"/>
  <c r="I556" i="2"/>
  <c r="H361" i="2"/>
  <c r="P166" i="2"/>
  <c r="K330" i="2"/>
  <c r="J135" i="2"/>
  <c r="I299" i="2"/>
  <c r="H104" i="2"/>
  <c r="O268" i="2"/>
  <c r="N73" i="2"/>
  <c r="D151" i="2"/>
  <c r="M270" i="2"/>
  <c r="L75" i="2"/>
  <c r="W152" i="2"/>
  <c r="M307" i="2"/>
  <c r="J42" i="2"/>
  <c r="F699" i="2"/>
  <c r="E504" i="2"/>
  <c r="M309" i="2"/>
  <c r="L114" i="2"/>
  <c r="G278" i="2"/>
  <c r="F83" i="2"/>
  <c r="E247" i="2"/>
  <c r="D52" i="2"/>
  <c r="T705" i="2"/>
  <c r="S510" i="2"/>
  <c r="F316" i="2"/>
  <c r="E121" i="2"/>
  <c r="U284" i="2"/>
  <c r="T89" i="2"/>
  <c r="S253" i="2"/>
  <c r="R58" i="2"/>
  <c r="U704" i="2"/>
  <c r="T509" i="2"/>
  <c r="G315" i="2"/>
  <c r="F120" i="2"/>
  <c r="V283" i="2"/>
  <c r="U88" i="2"/>
  <c r="T252" i="2"/>
  <c r="S57" i="2"/>
  <c r="E222" i="2"/>
  <c r="D11" i="2"/>
  <c r="O104" i="2"/>
  <c r="C224" i="2"/>
  <c r="H15" i="2"/>
  <c r="M106" i="2"/>
  <c r="R306" i="2"/>
  <c r="O41" i="2"/>
  <c r="K698" i="2"/>
  <c r="J503" i="2"/>
  <c r="R308" i="2"/>
  <c r="Q113" i="2"/>
  <c r="L277" i="2"/>
  <c r="K82" i="2"/>
  <c r="J246" i="2"/>
  <c r="I51" i="2"/>
  <c r="D705" i="2"/>
  <c r="C510" i="2"/>
  <c r="K315" i="2"/>
  <c r="J120" i="2"/>
  <c r="E284" i="2"/>
  <c r="D89" i="2"/>
  <c r="C253" i="2"/>
  <c r="W57" i="2"/>
  <c r="E704" i="2"/>
  <c r="D509" i="2"/>
  <c r="L314" i="2"/>
  <c r="K119" i="2"/>
  <c r="F283" i="2"/>
  <c r="E88" i="2"/>
  <c r="D252" i="2"/>
  <c r="C57" i="2"/>
  <c r="J221" i="2"/>
  <c r="N9" i="2"/>
  <c r="T103" i="2"/>
  <c r="H223" i="2"/>
  <c r="R13" i="2"/>
  <c r="R105" i="2"/>
  <c r="C44" i="2"/>
  <c r="E528" i="2"/>
  <c r="G302" i="2"/>
  <c r="D76" i="2"/>
  <c r="S244" i="2"/>
  <c r="F169" i="2"/>
  <c r="U59" i="2"/>
  <c r="V411" i="2"/>
  <c r="G45" i="2"/>
  <c r="E516" i="2"/>
  <c r="L126" i="2"/>
  <c r="S70" i="2"/>
  <c r="U51" i="2"/>
  <c r="K466" i="2"/>
  <c r="F40" i="2"/>
  <c r="F258" i="2"/>
  <c r="S56" i="2"/>
  <c r="L107" i="2"/>
  <c r="L35" i="2"/>
  <c r="G273" i="2"/>
  <c r="S498" i="2"/>
  <c r="F304" i="2"/>
  <c r="E109" i="2"/>
  <c r="U272" i="2"/>
  <c r="T77" i="2"/>
  <c r="S241" i="2"/>
  <c r="R46" i="2"/>
  <c r="M700" i="2"/>
  <c r="L505" i="2"/>
  <c r="T310" i="2"/>
  <c r="S115" i="2"/>
  <c r="N279" i="2"/>
  <c r="M84" i="2"/>
  <c r="L248" i="2"/>
  <c r="K53" i="2"/>
  <c r="N699" i="2"/>
  <c r="M504" i="2"/>
  <c r="U309" i="2"/>
  <c r="T114" i="2"/>
  <c r="O278" i="2"/>
  <c r="N83" i="2"/>
  <c r="M247" i="2"/>
  <c r="L52" i="2"/>
  <c r="S216" i="2"/>
  <c r="J297" i="2"/>
  <c r="H99" i="2"/>
  <c r="Q218" i="2"/>
  <c r="T3" i="2"/>
  <c r="F101" i="2"/>
  <c r="U203" i="2"/>
  <c r="S348" i="2"/>
  <c r="J647" i="2"/>
  <c r="I452" i="2"/>
  <c r="Q257" i="2"/>
  <c r="P62" i="2"/>
  <c r="K226" i="2"/>
  <c r="J31" i="2"/>
  <c r="I195" i="2"/>
  <c r="M358" i="2"/>
  <c r="C654" i="2"/>
  <c r="W458" i="2"/>
  <c r="J264" i="2"/>
  <c r="I69" i="2"/>
  <c r="D233" i="2"/>
  <c r="C38" i="2"/>
  <c r="W201" i="2"/>
  <c r="V6" i="2"/>
  <c r="D653" i="2"/>
  <c r="C458" i="2"/>
  <c r="K263" i="2"/>
  <c r="J68" i="2"/>
  <c r="E232" i="2"/>
  <c r="D37" i="2"/>
  <c r="C201" i="2"/>
  <c r="W5" i="2"/>
  <c r="I170" i="2"/>
  <c r="T247" i="2"/>
  <c r="S52" i="2"/>
  <c r="G172" i="2"/>
  <c r="R249" i="2"/>
  <c r="Q54" i="2"/>
  <c r="E203" i="2"/>
  <c r="C348" i="2"/>
  <c r="O646" i="2"/>
  <c r="N451" i="2"/>
  <c r="V256" i="2"/>
  <c r="U61" i="2"/>
  <c r="P225" i="2"/>
  <c r="O30" i="2"/>
  <c r="N194" i="2"/>
  <c r="R357" i="2"/>
  <c r="H653" i="2"/>
  <c r="G458" i="2"/>
  <c r="O263" i="2"/>
  <c r="N68" i="2"/>
  <c r="I232" i="2"/>
  <c r="H37" i="2"/>
  <c r="G201" i="2"/>
  <c r="F6" i="2"/>
  <c r="I652" i="2"/>
  <c r="H457" i="2"/>
  <c r="P262" i="2"/>
  <c r="O67" i="2"/>
  <c r="J231" i="2"/>
  <c r="I36" i="2"/>
  <c r="H200" i="2"/>
  <c r="G5" i="2"/>
  <c r="N169" i="2"/>
  <c r="D247" i="2"/>
  <c r="C52" i="2"/>
  <c r="L171" i="2"/>
  <c r="W248" i="2"/>
  <c r="V53" i="2"/>
  <c r="W24" i="2"/>
  <c r="U357" i="2"/>
  <c r="J119" i="2"/>
  <c r="G228" i="2"/>
  <c r="Q110" i="2"/>
  <c r="G28" i="2"/>
  <c r="L39" i="2"/>
  <c r="K157" i="2"/>
  <c r="S363" i="2"/>
  <c r="F363" i="2"/>
  <c r="G83" i="2"/>
  <c r="W246" i="2"/>
  <c r="V51" i="2"/>
  <c r="M191" i="2"/>
  <c r="G650" i="2"/>
  <c r="N260" i="2"/>
  <c r="D217" i="2"/>
  <c r="W185" i="2"/>
  <c r="H649" i="2"/>
  <c r="O259" i="2"/>
  <c r="E216" i="2"/>
  <c r="V50" i="2"/>
  <c r="Q158" i="2"/>
  <c r="J209" i="2"/>
  <c r="C192" i="2"/>
  <c r="E322" i="2"/>
  <c r="S434" i="2"/>
  <c r="F240" i="2"/>
  <c r="E45" i="2"/>
  <c r="U208" i="2"/>
  <c r="T13" i="2"/>
  <c r="S177" i="2"/>
  <c r="W340" i="2"/>
  <c r="M636" i="2"/>
  <c r="L441" i="2"/>
  <c r="T246" i="2"/>
  <c r="S51" i="2"/>
  <c r="N215" i="2"/>
  <c r="M20" i="2"/>
  <c r="L184" i="2"/>
  <c r="P347" i="2"/>
  <c r="N635" i="2"/>
  <c r="M440" i="2"/>
  <c r="U245" i="2"/>
  <c r="T50" i="2"/>
  <c r="O214" i="2"/>
  <c r="N19" i="2"/>
  <c r="M183" i="2"/>
  <c r="Q346" i="2"/>
  <c r="S152" i="2"/>
  <c r="I230" i="2"/>
  <c r="H35" i="2"/>
  <c r="Q154" i="2"/>
  <c r="G232" i="2"/>
  <c r="W106" i="2"/>
  <c r="O121" i="2"/>
  <c r="V388" i="2"/>
  <c r="J583" i="2"/>
  <c r="I388" i="2"/>
  <c r="Q193" i="2"/>
  <c r="L357" i="2"/>
  <c r="K162" i="2"/>
  <c r="J326" i="2"/>
  <c r="I131" i="2"/>
  <c r="M294" i="2"/>
  <c r="C590" i="2"/>
  <c r="W394" i="2"/>
  <c r="J200" i="2"/>
  <c r="I5" i="2"/>
  <c r="D169" i="2"/>
  <c r="C333" i="2"/>
  <c r="W137" i="2"/>
</calcChain>
</file>

<file path=xl/sharedStrings.xml><?xml version="1.0" encoding="utf-8"?>
<sst xmlns="http://schemas.openxmlformats.org/spreadsheetml/2006/main" count="6018" uniqueCount="5839">
  <si>
    <t>Activo</t>
  </si>
  <si>
    <t>Activo Circulante</t>
  </si>
  <si>
    <t>Efectivo</t>
  </si>
  <si>
    <t>Bancos/Tesorería</t>
  </si>
  <si>
    <t>Almacenes</t>
  </si>
  <si>
    <t>Total Activos Circulantes</t>
  </si>
  <si>
    <t>Activo No Circulante</t>
  </si>
  <si>
    <t>Terrenos</t>
  </si>
  <si>
    <t>Bienes Muebles</t>
  </si>
  <si>
    <t>Activos Intangibles</t>
  </si>
  <si>
    <t>Activos Diferidos</t>
  </si>
  <si>
    <t>Total de Activos</t>
  </si>
  <si>
    <t>Pasivo</t>
  </si>
  <si>
    <t>Pasivo Circulante</t>
  </si>
  <si>
    <t>Títulos y Valores a Corto Plazo</t>
  </si>
  <si>
    <t>Otros Pasivos a Corto Plazo</t>
  </si>
  <si>
    <t>Provisiones a Corto Plazo</t>
  </si>
  <si>
    <t>Total de Pasivos Circulantes</t>
  </si>
  <si>
    <t>Pasivo No Circulante</t>
  </si>
  <si>
    <t>Cuentas por Pagar a Largo Plazo</t>
  </si>
  <si>
    <t>Documentos por Pagar a Largo Plazo</t>
  </si>
  <si>
    <t>Deuda Pública a Largo Plazo</t>
  </si>
  <si>
    <t>Pasivos Diferidos a Largo Plazo</t>
  </si>
  <si>
    <t>Provisiones a Largo Plazo</t>
  </si>
  <si>
    <t>Total de Pasivos no Circulantes</t>
  </si>
  <si>
    <t>Total de Pasivo</t>
  </si>
  <si>
    <t>Hacienda Pública/Patrimonio</t>
  </si>
  <si>
    <t>Aportaciones</t>
  </si>
  <si>
    <t>Hacienda Pública/Patrimonio Contribuido</t>
  </si>
  <si>
    <t>Donaciones de Capital</t>
  </si>
  <si>
    <t>Actualizaciones de la Hacienda Pública/ Patrimonio</t>
  </si>
  <si>
    <t>Revalúos</t>
  </si>
  <si>
    <t>Reservas</t>
  </si>
  <si>
    <t>Hacienda Pública/Patrimonio Generado</t>
  </si>
  <si>
    <t>Resultados de Ejercicios Anteriores</t>
  </si>
  <si>
    <t>Rectificaciones de Resultados de Ejercicios Anteriores</t>
  </si>
  <si>
    <t>Total Hacienda Pública /Patrimonio</t>
  </si>
  <si>
    <t>Total de Pasivo y Hacienda Pública/Patrimonio</t>
  </si>
  <si>
    <t>Estado de Situación Financiera</t>
  </si>
  <si>
    <t>(En pesos)</t>
  </si>
  <si>
    <t>GOBIERNO DEL ESTADO DE SONORA</t>
  </si>
  <si>
    <t>Cuenta de mayor</t>
  </si>
  <si>
    <t/>
  </si>
  <si>
    <t>Total Debito Actual</t>
  </si>
  <si>
    <t>Total Credito Actual</t>
  </si>
  <si>
    <t>Saldo Actual</t>
  </si>
  <si>
    <t>Saldo Dic</t>
  </si>
  <si>
    <t>Total Debito Anterior</t>
  </si>
  <si>
    <t>Total Credito Anterior</t>
  </si>
  <si>
    <t>Saldo Anterior</t>
  </si>
  <si>
    <t>Saldo DicA</t>
  </si>
  <si>
    <t>Estados Financieros</t>
  </si>
  <si>
    <t>GSON</t>
  </si>
  <si>
    <t>Balance General</t>
  </si>
  <si>
    <t>GSONA</t>
  </si>
  <si>
    <t>GSON1</t>
  </si>
  <si>
    <t>GSON11</t>
  </si>
  <si>
    <t>Efectivo y Equivalen</t>
  </si>
  <si>
    <t>GSON111</t>
  </si>
  <si>
    <t>GSON1111</t>
  </si>
  <si>
    <t>GSON1112</t>
  </si>
  <si>
    <t>GSON/1112010012</t>
  </si>
  <si>
    <t>GSON/1112030012</t>
  </si>
  <si>
    <t>GSON/1112030013</t>
  </si>
  <si>
    <t>GSON/1112030032</t>
  </si>
  <si>
    <t>GSON/1112030033</t>
  </si>
  <si>
    <t>GSON/1112080010</t>
  </si>
  <si>
    <t>GSON/1112080011</t>
  </si>
  <si>
    <t>GSON/1112080013</t>
  </si>
  <si>
    <t>Derechos a Recibir B</t>
  </si>
  <si>
    <t>GSON113</t>
  </si>
  <si>
    <t>Anticipo a Prov X Ad</t>
  </si>
  <si>
    <t>GSON1131</t>
  </si>
  <si>
    <t>Activo NO Circulante</t>
  </si>
  <si>
    <t>GSON12</t>
  </si>
  <si>
    <t>Bienes Inmuebles, In</t>
  </si>
  <si>
    <t>GSON123</t>
  </si>
  <si>
    <t>GSON1231</t>
  </si>
  <si>
    <t>Construcciones en Pr</t>
  </si>
  <si>
    <t>GSON1236</t>
  </si>
  <si>
    <t>GSON/1236262201</t>
  </si>
  <si>
    <t>GSON124</t>
  </si>
  <si>
    <t>Mobiliario y Equipo</t>
  </si>
  <si>
    <t>GSON1241</t>
  </si>
  <si>
    <t>GSON/1241151101</t>
  </si>
  <si>
    <t>GSON1244</t>
  </si>
  <si>
    <t>GSON/1244154101</t>
  </si>
  <si>
    <t>Otros Activos no Cir</t>
  </si>
  <si>
    <t>GSON129</t>
  </si>
  <si>
    <t>Pasivo y Capital</t>
  </si>
  <si>
    <t>GSON2-3</t>
  </si>
  <si>
    <t>GSON2</t>
  </si>
  <si>
    <t>GSON21</t>
  </si>
  <si>
    <t>Cuentas por Pagar a</t>
  </si>
  <si>
    <t>GSON211</t>
  </si>
  <si>
    <t>Proveedores x Pagar</t>
  </si>
  <si>
    <t>GSON2112</t>
  </si>
  <si>
    <t>Retenciones y Contri</t>
  </si>
  <si>
    <t>GSON2117</t>
  </si>
  <si>
    <t>Hacienda Pública/Pat</t>
  </si>
  <si>
    <t>GSON3</t>
  </si>
  <si>
    <t>GSON31</t>
  </si>
  <si>
    <t>Estado de Resultados</t>
  </si>
  <si>
    <t>GSON4-5</t>
  </si>
  <si>
    <t>Gastos y Otros Pérdi</t>
  </si>
  <si>
    <t>GSON5</t>
  </si>
  <si>
    <t>Gastos de Funcionami</t>
  </si>
  <si>
    <t>GSON51</t>
  </si>
  <si>
    <t>Materiales y Suminis</t>
  </si>
  <si>
    <t>GSON512</t>
  </si>
  <si>
    <t>Materiales d'Admon,E</t>
  </si>
  <si>
    <t>GSON5121</t>
  </si>
  <si>
    <t>Otros Gastos y Pérdi</t>
  </si>
  <si>
    <t>GSON55</t>
  </si>
  <si>
    <t>Otros Gastos</t>
  </si>
  <si>
    <t>GSON559</t>
  </si>
  <si>
    <t>Otros Gastos Varios</t>
  </si>
  <si>
    <t>GSON5599</t>
  </si>
  <si>
    <t>Cuentas de Orden Con</t>
  </si>
  <si>
    <t>GSON7</t>
  </si>
  <si>
    <t>Bienes en Concesiona</t>
  </si>
  <si>
    <t>GSON76</t>
  </si>
  <si>
    <t>CONTRATO COMODATO BI</t>
  </si>
  <si>
    <t>Cuentas de Orden Pre</t>
  </si>
  <si>
    <t>GSON8</t>
  </si>
  <si>
    <t>Ley de Egresos</t>
  </si>
  <si>
    <t>GSON82</t>
  </si>
  <si>
    <t>GSON/8210000000</t>
  </si>
  <si>
    <t>GSON/8220000000</t>
  </si>
  <si>
    <t>GSON/8230000000</t>
  </si>
  <si>
    <t>GSON/8240000000</t>
  </si>
  <si>
    <t>GSON/8250000000</t>
  </si>
  <si>
    <t>GSON/8250000001</t>
  </si>
  <si>
    <t>GSON/8260000000</t>
  </si>
  <si>
    <t>GSON/8270000000</t>
  </si>
  <si>
    <t>Resultado por Posición Monetaria</t>
  </si>
  <si>
    <t>Resultado por Tenencia de Activos no Monetarios</t>
  </si>
  <si>
    <t>S Act - S Ant</t>
  </si>
  <si>
    <t>S Ant - S Act</t>
  </si>
  <si>
    <t>ORA</t>
  </si>
  <si>
    <t>APA</t>
  </si>
  <si>
    <t>ORP</t>
  </si>
  <si>
    <t>APP</t>
  </si>
  <si>
    <t>BJ 02 INGRESOS</t>
  </si>
  <si>
    <t>GSON/1112020021</t>
  </si>
  <si>
    <t>GSON/1112030011</t>
  </si>
  <si>
    <t>GSON/1112030021</t>
  </si>
  <si>
    <t>GSON/1112030031</t>
  </si>
  <si>
    <t>SA 37 EGRESOS TR</t>
  </si>
  <si>
    <t>GSON/1112150373</t>
  </si>
  <si>
    <t>Edificios no Habitac</t>
  </si>
  <si>
    <t>GSON1233</t>
  </si>
  <si>
    <t>Estimación por Pérdida o Deterioro de Activos Circulantes</t>
  </si>
  <si>
    <t>Derechos a Recibir Efectivo o Equivalentes a Largo Plazo</t>
  </si>
  <si>
    <t>Estimación por Pérdida o Deterioro de Activos no Circulantes</t>
  </si>
  <si>
    <t>Total de Activos No Circulantes</t>
  </si>
  <si>
    <t>Fondos y Bienes de Terceros en Garantía y/o en Administración a Largo Plazo</t>
  </si>
  <si>
    <t>Resultados del Ejercicio (Ahorro/ Desahorro)</t>
  </si>
  <si>
    <t>Exceso o Insuficiencia en la Actualización de la Hacienda
Pública/Patrimonio</t>
  </si>
  <si>
    <t>CAJA CHICA 1</t>
  </si>
  <si>
    <t>GSON/1111300001</t>
  </si>
  <si>
    <t>GSON/1112030010</t>
  </si>
  <si>
    <t>GSON/1112030015</t>
  </si>
  <si>
    <t>GSON/1112030020</t>
  </si>
  <si>
    <t>GSON/1112030023</t>
  </si>
  <si>
    <t>GSON/1112030030</t>
  </si>
  <si>
    <t>GSON/1112030231</t>
  </si>
  <si>
    <t>BC 51 SALDO CTA BAN</t>
  </si>
  <si>
    <t>GSON/1112030510</t>
  </si>
  <si>
    <t>BC 51 INGRESOS</t>
  </si>
  <si>
    <t>GSON/1112030511</t>
  </si>
  <si>
    <t>BC 51 EGRESOS TR</t>
  </si>
  <si>
    <t>GSON/1112030513</t>
  </si>
  <si>
    <t>GSON/1112030514</t>
  </si>
  <si>
    <t>BC 59 SALDO CTA BAN</t>
  </si>
  <si>
    <t>GSON/1112030590</t>
  </si>
  <si>
    <t>BC 59 INGRESOS</t>
  </si>
  <si>
    <t>GSON/1112030591</t>
  </si>
  <si>
    <t>BC 59 EGRESOS TR</t>
  </si>
  <si>
    <t>GSON/1112030593</t>
  </si>
  <si>
    <t>GSON/1112030594</t>
  </si>
  <si>
    <t>BC 62 SALDO CTA BAN</t>
  </si>
  <si>
    <t>GSON/1112030620</t>
  </si>
  <si>
    <t>BC 62 INGRESOS</t>
  </si>
  <si>
    <t>GSON/1112030621</t>
  </si>
  <si>
    <t>BC 63 SALDO CTA BAN</t>
  </si>
  <si>
    <t>GSON/1112030630</t>
  </si>
  <si>
    <t>BC 63 INGRESOS</t>
  </si>
  <si>
    <t>GSON/1112030631</t>
  </si>
  <si>
    <t>BC 63 EGRESOS TR</t>
  </si>
  <si>
    <t>GSON/1112030633</t>
  </si>
  <si>
    <t>GSON/1112030634</t>
  </si>
  <si>
    <t>BC 64 SALDO CTA BAN</t>
  </si>
  <si>
    <t>GSON/1112030640</t>
  </si>
  <si>
    <t>BC 64 INGRESOS</t>
  </si>
  <si>
    <t>GSON/1112030641</t>
  </si>
  <si>
    <t>BC 64 EGRESOS TR</t>
  </si>
  <si>
    <t>GSON/1112030643</t>
  </si>
  <si>
    <t>GSON/1112030644</t>
  </si>
  <si>
    <t>BC 65 SALDO CTA BAN</t>
  </si>
  <si>
    <t>GSON/1112030650</t>
  </si>
  <si>
    <t>BC 65 INGRESOS</t>
  </si>
  <si>
    <t>GSON/1112030651</t>
  </si>
  <si>
    <t>BC 65 EGRESOS TR</t>
  </si>
  <si>
    <t>GSON/1112030653</t>
  </si>
  <si>
    <t>GSON/1112030654</t>
  </si>
  <si>
    <t>BC 67 SALDO CTA BAN</t>
  </si>
  <si>
    <t>GSON/1112030670</t>
  </si>
  <si>
    <t>BC 67 INGRESOS</t>
  </si>
  <si>
    <t>GSON/1112030671</t>
  </si>
  <si>
    <t>BC 69 SALDO CTA BAN</t>
  </si>
  <si>
    <t>GSON/1112030690</t>
  </si>
  <si>
    <t>BC 69 INGRESOS</t>
  </si>
  <si>
    <t>GSON/1112030691</t>
  </si>
  <si>
    <t>BC 70 SALDO CTA BAN</t>
  </si>
  <si>
    <t>GSON/1112030700</t>
  </si>
  <si>
    <t>BC 70 INGRESOS</t>
  </si>
  <si>
    <t>GSON/1112030701</t>
  </si>
  <si>
    <t>BR 01 EGRESOS TR</t>
  </si>
  <si>
    <t>GSON/1112070013</t>
  </si>
  <si>
    <t>GSON/1112080012</t>
  </si>
  <si>
    <t>GSON/1112080060</t>
  </si>
  <si>
    <t>GSON/1112080061</t>
  </si>
  <si>
    <t>BX 17  SALDO CTA BAN</t>
  </si>
  <si>
    <t>GSON/1112080170</t>
  </si>
  <si>
    <t>BX 17  INGRESOS</t>
  </si>
  <si>
    <t>GSON/1112080171</t>
  </si>
  <si>
    <t>BX 17  EGRESOS TR</t>
  </si>
  <si>
    <t>GSON/1112080173</t>
  </si>
  <si>
    <t>GSON/1112080174</t>
  </si>
  <si>
    <t>BX 18  SALDO CTA BAN</t>
  </si>
  <si>
    <t>GSON/1112080180</t>
  </si>
  <si>
    <t>BX 18  INGRESOS</t>
  </si>
  <si>
    <t>GSON/1112080181</t>
  </si>
  <si>
    <t>BX 18  EGRESOS TR</t>
  </si>
  <si>
    <t>GSON/1112080183</t>
  </si>
  <si>
    <t>BX 19  SALDO CTA BAN</t>
  </si>
  <si>
    <t>GSON/1112080190</t>
  </si>
  <si>
    <t>BX 19  EGRESOS TR</t>
  </si>
  <si>
    <t>GSON/1112080193</t>
  </si>
  <si>
    <t>BX 20  SALDO CTA BAN</t>
  </si>
  <si>
    <t>GSON/1112080200</t>
  </si>
  <si>
    <t>BX 20  INGRESOS</t>
  </si>
  <si>
    <t>GSON/1112080201</t>
  </si>
  <si>
    <t>BX 20  EGRESOS TR</t>
  </si>
  <si>
    <t>GSON/1112080203</t>
  </si>
  <si>
    <t>BX 21  SALDO CTA BAN</t>
  </si>
  <si>
    <t>GSON/1112080210</t>
  </si>
  <si>
    <t>BX 21  INGRESOS</t>
  </si>
  <si>
    <t>GSON/1112080211</t>
  </si>
  <si>
    <t>BX 22  SALDO CTA BAN</t>
  </si>
  <si>
    <t>GSON/1112080220</t>
  </si>
  <si>
    <t>BX 22  EGRESOS TR</t>
  </si>
  <si>
    <t>GSON/1112080223</t>
  </si>
  <si>
    <t>BX 23  SALDO CTA BAN</t>
  </si>
  <si>
    <t>GSON/1112080230</t>
  </si>
  <si>
    <t>BX 23  EGRESOS TR</t>
  </si>
  <si>
    <t>GSON/1112080233</t>
  </si>
  <si>
    <t>BX 24  SALDO CTA BAN</t>
  </si>
  <si>
    <t>GSON/1112080240</t>
  </si>
  <si>
    <t>BX 24  EGRESOS TR</t>
  </si>
  <si>
    <t>GSON/1112080243</t>
  </si>
  <si>
    <t>BX 25  SALDO CTA BAN</t>
  </si>
  <si>
    <t>GSON/1112080250</t>
  </si>
  <si>
    <t>BX 25  INGRESOS</t>
  </si>
  <si>
    <t>GSON/1112080251</t>
  </si>
  <si>
    <t>BX 25  EGRESOS TR</t>
  </si>
  <si>
    <t>GSON/1112080253</t>
  </si>
  <si>
    <t>BX 26  SALDO CTA BAN</t>
  </si>
  <si>
    <t>GSON/1112080260</t>
  </si>
  <si>
    <t>BX 26  INGRESOS</t>
  </si>
  <si>
    <t>GSON/1112080261</t>
  </si>
  <si>
    <t>BX 26  EGRESOS TR</t>
  </si>
  <si>
    <t>GSON/1112080263</t>
  </si>
  <si>
    <t>BX 27  SALDO CTA BAN</t>
  </si>
  <si>
    <t>GSON/1112080270</t>
  </si>
  <si>
    <t>BX 27  EGRESOS TR</t>
  </si>
  <si>
    <t>GSON/1112080273</t>
  </si>
  <si>
    <t>BX 28  SALDO CTA BAN</t>
  </si>
  <si>
    <t>GSON/1112080280</t>
  </si>
  <si>
    <t>BX 28  EGRESOS TR</t>
  </si>
  <si>
    <t>GSON/1112080283</t>
  </si>
  <si>
    <t>BX 29  SALDO CTA BAN</t>
  </si>
  <si>
    <t>GSON/1112080290</t>
  </si>
  <si>
    <t>BX 29  EGRESOS TR</t>
  </si>
  <si>
    <t>GSON/1112080293</t>
  </si>
  <si>
    <t>BX 30  SALDO CTA BAN</t>
  </si>
  <si>
    <t>GSON/1112080300</t>
  </si>
  <si>
    <t>BX 30  INGRESOS</t>
  </si>
  <si>
    <t>GSON/1112080301</t>
  </si>
  <si>
    <t>BX 30  EGRESOS TR</t>
  </si>
  <si>
    <t>GSON/1112080303</t>
  </si>
  <si>
    <t>GSON/1112110010</t>
  </si>
  <si>
    <t>GSON/1112110011</t>
  </si>
  <si>
    <t>GSON/1112110013</t>
  </si>
  <si>
    <t>GSON/1112110014</t>
  </si>
  <si>
    <t>SA 37 SALDO CTA BAN</t>
  </si>
  <si>
    <t>GSON/1112150370</t>
  </si>
  <si>
    <t>SA 37 INGRESOS</t>
  </si>
  <si>
    <t>GSON/1112150371</t>
  </si>
  <si>
    <t>GSON/1112150372</t>
  </si>
  <si>
    <t>SA 46 SALDO CTA BAN</t>
  </si>
  <si>
    <t>GSON/1112150460</t>
  </si>
  <si>
    <t>GSON/1112150462</t>
  </si>
  <si>
    <t>SA 68 SALDO CTA BAN</t>
  </si>
  <si>
    <t>GSON/1112150680</t>
  </si>
  <si>
    <t>SA 68 INGRESOS</t>
  </si>
  <si>
    <t>GSON/1112150681</t>
  </si>
  <si>
    <t>SA 68 EGRESOS TR</t>
  </si>
  <si>
    <t>GSON/1112150683</t>
  </si>
  <si>
    <t>GSON/1112150684</t>
  </si>
  <si>
    <t>SA 69 SALDO CTA BAN</t>
  </si>
  <si>
    <t>GSON/1112150690</t>
  </si>
  <si>
    <t>SA 69 INGRESOS</t>
  </si>
  <si>
    <t>GSON/1112150691</t>
  </si>
  <si>
    <t>SA 69 EGRESOS TR</t>
  </si>
  <si>
    <t>GSON/1112150693</t>
  </si>
  <si>
    <t>GSON/1112150694</t>
  </si>
  <si>
    <t>SA 71 SALDO CTA BAN</t>
  </si>
  <si>
    <t>GSON/1112150710</t>
  </si>
  <si>
    <t>SA 71 INGRESOS</t>
  </si>
  <si>
    <t>GSON/1112150711</t>
  </si>
  <si>
    <t>SA 74 SALDO CTA BAN</t>
  </si>
  <si>
    <t>GSON/1112150740</t>
  </si>
  <si>
    <t>SA 74 INGRESOS</t>
  </si>
  <si>
    <t>GSON/1112150741</t>
  </si>
  <si>
    <t>GSON/1112150744</t>
  </si>
  <si>
    <t>GSON/1131100001</t>
  </si>
  <si>
    <t>GSON115</t>
  </si>
  <si>
    <t>Almacén de Materiale</t>
  </si>
  <si>
    <t>GSON1151</t>
  </si>
  <si>
    <t>GSON/1151100021</t>
  </si>
  <si>
    <t>GSON/1231158101</t>
  </si>
  <si>
    <t>GSON/1233158301</t>
  </si>
  <si>
    <t>GSON1235</t>
  </si>
  <si>
    <t>GSON/1236562501</t>
  </si>
  <si>
    <t>GSON1242</t>
  </si>
  <si>
    <t>EQPOS Y APARATOS</t>
  </si>
  <si>
    <t>GSON/1242152101</t>
  </si>
  <si>
    <t>Vehículos y Equipo d</t>
  </si>
  <si>
    <t>GSON125</t>
  </si>
  <si>
    <t>Software</t>
  </si>
  <si>
    <t>GSON1251</t>
  </si>
  <si>
    <t>SOFTWARE</t>
  </si>
  <si>
    <t>GSON/1251159101</t>
  </si>
  <si>
    <t>GSON/2112100001</t>
  </si>
  <si>
    <t>Participaciones y Ap</t>
  </si>
  <si>
    <t>GSON2114</t>
  </si>
  <si>
    <t>GSON/2114100001</t>
  </si>
  <si>
    <t>RET ISR HONORARIOS</t>
  </si>
  <si>
    <t>GSON/2117110001</t>
  </si>
  <si>
    <t>GSON/2117110002</t>
  </si>
  <si>
    <t>RETENCION IVA</t>
  </si>
  <si>
    <t>GSON/2117110004</t>
  </si>
  <si>
    <t>RETENCION 5 AL MILLA</t>
  </si>
  <si>
    <t>GSON/2117410001</t>
  </si>
  <si>
    <t>RETENCION 2 AL MILLA</t>
  </si>
  <si>
    <t>GSON/2117410002</t>
  </si>
  <si>
    <t>RETENCION ICIC</t>
  </si>
  <si>
    <t>GSON/2117420001</t>
  </si>
  <si>
    <t>GSON/2117420002</t>
  </si>
  <si>
    <t>RETENCION CECOP</t>
  </si>
  <si>
    <t>GSON/2117420003</t>
  </si>
  <si>
    <t>RETENCION FIE</t>
  </si>
  <si>
    <t>GSON/2117420004</t>
  </si>
  <si>
    <t>Documentos por Pagar</t>
  </si>
  <si>
    <t>GSON212</t>
  </si>
  <si>
    <t>Documentos Comercial</t>
  </si>
  <si>
    <t>GSON2121</t>
  </si>
  <si>
    <t>GSON/2121100001</t>
  </si>
  <si>
    <t>Fondos y Bienes de T</t>
  </si>
  <si>
    <t>GSON216</t>
  </si>
  <si>
    <t>Fondos en Administra</t>
  </si>
  <si>
    <t>GSON2162</t>
  </si>
  <si>
    <t>GSON/2162100008</t>
  </si>
  <si>
    <t>Otros Pasivos a Cort</t>
  </si>
  <si>
    <t>GSON219</t>
  </si>
  <si>
    <t>Otros Pasivos Circul</t>
  </si>
  <si>
    <t>GSON2199</t>
  </si>
  <si>
    <t>Pasivo NO Circulante</t>
  </si>
  <si>
    <t>GSON22</t>
  </si>
  <si>
    <t>GSON/5121211011</t>
  </si>
  <si>
    <t>GSON/5121212011</t>
  </si>
  <si>
    <t>GSON/5121216011</t>
  </si>
  <si>
    <t>Materiales y Artic d</t>
  </si>
  <si>
    <t>GSON5124</t>
  </si>
  <si>
    <t>Combustibles, Lubric</t>
  </si>
  <si>
    <t>GSON5126</t>
  </si>
  <si>
    <t>COMBUSTIBLES</t>
  </si>
  <si>
    <t>GSON/5126261011</t>
  </si>
  <si>
    <t>Servicios Generales</t>
  </si>
  <si>
    <t>GSON513</t>
  </si>
  <si>
    <t>Servicios Básicos</t>
  </si>
  <si>
    <t>GSON5131</t>
  </si>
  <si>
    <t>GSON/5131311011</t>
  </si>
  <si>
    <t>GSON/5131315011</t>
  </si>
  <si>
    <t>Servicios de Arrenda</t>
  </si>
  <si>
    <t>GSON5132</t>
  </si>
  <si>
    <t>GSON/5132322011</t>
  </si>
  <si>
    <t>Serv d'Inst, Rep, Mt</t>
  </si>
  <si>
    <t>GSON5135</t>
  </si>
  <si>
    <t>Serv de Traslado y V</t>
  </si>
  <si>
    <t>GSON5137</t>
  </si>
  <si>
    <t>GSON/5599109992</t>
  </si>
  <si>
    <t>Inversión Pública</t>
  </si>
  <si>
    <t>GSON/7630100001</t>
  </si>
  <si>
    <t>GSON/7640100001</t>
  </si>
  <si>
    <t>Resultado total</t>
  </si>
  <si>
    <t>GSON/1111100000</t>
  </si>
  <si>
    <t>CAJA CHICA 2</t>
  </si>
  <si>
    <t>GSON/1111300002</t>
  </si>
  <si>
    <t>AF 01 INGRESOS</t>
  </si>
  <si>
    <t>GSON/1112010011</t>
  </si>
  <si>
    <t>AF 02 SALDO CTA BAN</t>
  </si>
  <si>
    <t>GSON/1112010020</t>
  </si>
  <si>
    <t>GSON/1112030041</t>
  </si>
  <si>
    <t>GSON/1112030043</t>
  </si>
  <si>
    <t>GSON/1112030491</t>
  </si>
  <si>
    <t>BN 67 INGRESOS</t>
  </si>
  <si>
    <t>GSON/1112060671</t>
  </si>
  <si>
    <t>BN 76 INGRESOS</t>
  </si>
  <si>
    <t>GSON/1112060761</t>
  </si>
  <si>
    <t>GSON/1112080031</t>
  </si>
  <si>
    <t>GSON/1112080033</t>
  </si>
  <si>
    <t>GSON/1112080050</t>
  </si>
  <si>
    <t>GSON/1112080051</t>
  </si>
  <si>
    <t>GSON/1112110020</t>
  </si>
  <si>
    <t>HS 02   INGRESOS</t>
  </si>
  <si>
    <t>GSON/1112110021</t>
  </si>
  <si>
    <t>HS 23   INGRESOS</t>
  </si>
  <si>
    <t>GSON/1112110231</t>
  </si>
  <si>
    <t>IB 02   INGRESOS</t>
  </si>
  <si>
    <t>GSON/1112120021</t>
  </si>
  <si>
    <t>SA 67 INGRESOS</t>
  </si>
  <si>
    <t>GSON/1112150671</t>
  </si>
  <si>
    <t>GSON/1112990012</t>
  </si>
  <si>
    <t>Inversiones Temporal</t>
  </si>
  <si>
    <t>GSON1114</t>
  </si>
  <si>
    <t>GSON/1114100001</t>
  </si>
  <si>
    <t>Fondos con Afectació</t>
  </si>
  <si>
    <t>GSON1115</t>
  </si>
  <si>
    <t>FDO RESERVA FINAN</t>
  </si>
  <si>
    <t>GSON/1115100001</t>
  </si>
  <si>
    <t>Derechos a Recibir E</t>
  </si>
  <si>
    <t>GSON112</t>
  </si>
  <si>
    <t>Cuentas por Cobrar a</t>
  </si>
  <si>
    <t>GSON1122</t>
  </si>
  <si>
    <t>PARTICIPACIONES</t>
  </si>
  <si>
    <t>GSON/1122300081</t>
  </si>
  <si>
    <t>Deudores Diversos po</t>
  </si>
  <si>
    <t>GSON1123</t>
  </si>
  <si>
    <t>GSON/1123100001</t>
  </si>
  <si>
    <t>Ingresos por Recuper</t>
  </si>
  <si>
    <t>GSON1124</t>
  </si>
  <si>
    <t>GSON/1124100013</t>
  </si>
  <si>
    <t>IPR ACCESORIOS</t>
  </si>
  <si>
    <t>GSON/1124100017</t>
  </si>
  <si>
    <t>GSON/1124100018</t>
  </si>
  <si>
    <t>GSON/1124100019</t>
  </si>
  <si>
    <t>GSON/1124100041</t>
  </si>
  <si>
    <t>GSON/1124100043</t>
  </si>
  <si>
    <t>GSON/1124100045</t>
  </si>
  <si>
    <t>GSON/1124100061</t>
  </si>
  <si>
    <t>GSON/1124100069</t>
  </si>
  <si>
    <t>Infraestrucutra</t>
  </si>
  <si>
    <t>GSON1234</t>
  </si>
  <si>
    <t>GSON/1235161102</t>
  </si>
  <si>
    <t>Depreciación, Deteri</t>
  </si>
  <si>
    <t>GSON126</t>
  </si>
  <si>
    <t>Depreciación Acumula</t>
  </si>
  <si>
    <t>GSON1263</t>
  </si>
  <si>
    <t>GSON/1263100001</t>
  </si>
  <si>
    <t>Bienes en Comodato</t>
  </si>
  <si>
    <t>GSON1293</t>
  </si>
  <si>
    <t>GSON/1293100001</t>
  </si>
  <si>
    <t>Servicios Personales</t>
  </si>
  <si>
    <t>GSON2111</t>
  </si>
  <si>
    <t>GSON/2111100001</t>
  </si>
  <si>
    <t>Int, Com y otr Gtos</t>
  </si>
  <si>
    <t>GSON2116</t>
  </si>
  <si>
    <t>GSON/2116100001</t>
  </si>
  <si>
    <t>RETENCION ISPT</t>
  </si>
  <si>
    <t>GSON/2117110005</t>
  </si>
  <si>
    <t>GSON/2117310001</t>
  </si>
  <si>
    <t>RET FDO PENS Y JUBS</t>
  </si>
  <si>
    <t>GSON/2117310002</t>
  </si>
  <si>
    <t>PENSION ALIMENTICIA</t>
  </si>
  <si>
    <t>GSON/2121100002</t>
  </si>
  <si>
    <t>Otros Documentos x P</t>
  </si>
  <si>
    <t>GSON2129</t>
  </si>
  <si>
    <t>DOC AMORT DEUDA CP</t>
  </si>
  <si>
    <t>Porción a Corto Plaz</t>
  </si>
  <si>
    <t>GSON213</t>
  </si>
  <si>
    <t>Porción a CP de la D</t>
  </si>
  <si>
    <t>GSON2131</t>
  </si>
  <si>
    <t>Porc a CP de Tít y V</t>
  </si>
  <si>
    <t>GSON21311</t>
  </si>
  <si>
    <t>GSON/2131100001</t>
  </si>
  <si>
    <t>GSON/2131100002</t>
  </si>
  <si>
    <t>Hacienda Pública / P</t>
  </si>
  <si>
    <t>GSON32</t>
  </si>
  <si>
    <t>Resultados de Ejerci</t>
  </si>
  <si>
    <t>GSON322</t>
  </si>
  <si>
    <t>GSON/3220000001</t>
  </si>
  <si>
    <t>GSON/3220000002</t>
  </si>
  <si>
    <t>GSON/3220000011</t>
  </si>
  <si>
    <t>Ingresos y Otros Ben</t>
  </si>
  <si>
    <t>GSON4</t>
  </si>
  <si>
    <t>Ingresos de Gestión</t>
  </si>
  <si>
    <t>GSON41</t>
  </si>
  <si>
    <t>Impuestos</t>
  </si>
  <si>
    <t>GSON411</t>
  </si>
  <si>
    <t>Impuestos Sobre los</t>
  </si>
  <si>
    <t>GSON4111</t>
  </si>
  <si>
    <t>GSON/4111110101</t>
  </si>
  <si>
    <t>Impuestos Sobre la P</t>
  </si>
  <si>
    <t>GSON4113</t>
  </si>
  <si>
    <t>IMP TRASL DOM BIEN M</t>
  </si>
  <si>
    <t>GSON/4113130101</t>
  </si>
  <si>
    <t>Accesorios de Impues</t>
  </si>
  <si>
    <t>GSON4117</t>
  </si>
  <si>
    <t>RECARGOS  IMPUESTOS</t>
  </si>
  <si>
    <t>GSON/4117170101</t>
  </si>
  <si>
    <t>Otros Impuestos</t>
  </si>
  <si>
    <t>GSON4119</t>
  </si>
  <si>
    <t>GSON/4119180101</t>
  </si>
  <si>
    <t>GSON/4119180201</t>
  </si>
  <si>
    <t>GSON/4119180301</t>
  </si>
  <si>
    <t>Derechos</t>
  </si>
  <si>
    <t>GSON414</t>
  </si>
  <si>
    <t>Der x uso, Goce, Apr</t>
  </si>
  <si>
    <t>GSON4141</t>
  </si>
  <si>
    <t>GSON/4141410101</t>
  </si>
  <si>
    <t>GSON/4141410201</t>
  </si>
  <si>
    <t>Derechos por Prestac</t>
  </si>
  <si>
    <t>GSON4143</t>
  </si>
  <si>
    <t>EX LIC VTA BEB CON A</t>
  </si>
  <si>
    <t>GSON/4143430201</t>
  </si>
  <si>
    <t>SERVICIOS  GANADERÍA</t>
  </si>
  <si>
    <t>GSON/4143430301</t>
  </si>
  <si>
    <t>GSON/4143430401</t>
  </si>
  <si>
    <t>LEY DE AC INFORM PÚB</t>
  </si>
  <si>
    <t>GSON/4143430402</t>
  </si>
  <si>
    <t>GSON/4143430501</t>
  </si>
  <si>
    <t>GSON/4143430601</t>
  </si>
  <si>
    <t>GSON/4143430701</t>
  </si>
  <si>
    <t>GSON/4143430702</t>
  </si>
  <si>
    <t>GSON/4143430801</t>
  </si>
  <si>
    <t>GSON/4143430802</t>
  </si>
  <si>
    <t>GSON/4143430803</t>
  </si>
  <si>
    <t>GSON/4143430805</t>
  </si>
  <si>
    <t>GSON/4143431101</t>
  </si>
  <si>
    <t>SERVICIOS  CEDES</t>
  </si>
  <si>
    <t>GSON/4143431203</t>
  </si>
  <si>
    <t>GSON/4143431205</t>
  </si>
  <si>
    <t>Accesorios de Derech</t>
  </si>
  <si>
    <t>GSON4144</t>
  </si>
  <si>
    <t>RECARGOS DE DERECHOS</t>
  </si>
  <si>
    <t>GSON/4144450101</t>
  </si>
  <si>
    <t>Productos de Tipo Co</t>
  </si>
  <si>
    <t>GSON415</t>
  </si>
  <si>
    <t>Prod Der uso y Apr b</t>
  </si>
  <si>
    <t>GSON4151</t>
  </si>
  <si>
    <t>GSON/4151510201</t>
  </si>
  <si>
    <t>Aprovechamientos de</t>
  </si>
  <si>
    <t>GSON416</t>
  </si>
  <si>
    <t>Accesorios de Aprove</t>
  </si>
  <si>
    <t>GSON4168</t>
  </si>
  <si>
    <t>GSON/4168610801</t>
  </si>
  <si>
    <t>Ing no Compren Frac</t>
  </si>
  <si>
    <t>GSON419</t>
  </si>
  <si>
    <t>Imp no Comp e'Frac L</t>
  </si>
  <si>
    <t>GSON4191</t>
  </si>
  <si>
    <t>GSON/4191190101</t>
  </si>
  <si>
    <t>Cont Mej,Der,Prod y</t>
  </si>
  <si>
    <t>GSON4192</t>
  </si>
  <si>
    <t>GSON/4192690101</t>
  </si>
  <si>
    <t>Partic, Agrup, Trans</t>
  </si>
  <si>
    <t>GSON42</t>
  </si>
  <si>
    <t>GSON421</t>
  </si>
  <si>
    <t>Participaciones</t>
  </si>
  <si>
    <t>GSON4211</t>
  </si>
  <si>
    <t>GSON/4211810101</t>
  </si>
  <si>
    <t>GSON511</t>
  </si>
  <si>
    <t>Remuneraciones al Pe</t>
  </si>
  <si>
    <t>GSON5112</t>
  </si>
  <si>
    <t>HONORARIOS</t>
  </si>
  <si>
    <t>GSON/5112121011</t>
  </si>
  <si>
    <t>GSON/5121214011</t>
  </si>
  <si>
    <t>Servicios Prof, Cien</t>
  </si>
  <si>
    <t>GSON5133</t>
  </si>
  <si>
    <t>Transf, Asigna, Subs</t>
  </si>
  <si>
    <t>GSON52</t>
  </si>
  <si>
    <t>Transferencias Inter</t>
  </si>
  <si>
    <t>GSON521</t>
  </si>
  <si>
    <t>GSON53</t>
  </si>
  <si>
    <t>GSON531</t>
  </si>
  <si>
    <t>Interes, Comisiones</t>
  </si>
  <si>
    <t>GSON54</t>
  </si>
  <si>
    <t>Intereses de la Deud</t>
  </si>
  <si>
    <t>GSON541</t>
  </si>
  <si>
    <t>GSON5411</t>
  </si>
  <si>
    <t>GSON/5411921013</t>
  </si>
  <si>
    <t>GSON/5411921014</t>
  </si>
  <si>
    <t>Comisiones de la Deu</t>
  </si>
  <si>
    <t>GSON542</t>
  </si>
  <si>
    <t>Comisones de la Deud</t>
  </si>
  <si>
    <t>GSON5421</t>
  </si>
  <si>
    <t>GSON/5421931013</t>
  </si>
  <si>
    <t>Gastos de la Deuda P</t>
  </si>
  <si>
    <t>GSON543</t>
  </si>
  <si>
    <t>Gasto de la Deuda Pú</t>
  </si>
  <si>
    <t>GSON5431</t>
  </si>
  <si>
    <t>GSON/5431941013</t>
  </si>
  <si>
    <t>Ley de Ingresos</t>
  </si>
  <si>
    <t>GSON81</t>
  </si>
  <si>
    <t>GSON/8120000000</t>
  </si>
  <si>
    <t>GSON/8140000000</t>
  </si>
  <si>
    <t>GSON/8140000001</t>
  </si>
  <si>
    <t>GSON/8150000000</t>
  </si>
  <si>
    <t>GSON/8260000001</t>
  </si>
  <si>
    <t>No asignado Cuenta de mayor(s)</t>
  </si>
  <si>
    <t>BC 71 SALDO CTA BAN</t>
  </si>
  <si>
    <t>GSON/1112030710</t>
  </si>
  <si>
    <t>BC 71 INGRESOS</t>
  </si>
  <si>
    <t>GSON/1112030711</t>
  </si>
  <si>
    <t>GSON/1112060011</t>
  </si>
  <si>
    <t>HS 24   INGRESOS</t>
  </si>
  <si>
    <t>GSON/1112110241</t>
  </si>
  <si>
    <t>GSON/1124100015</t>
  </si>
  <si>
    <t>GSON/4113130401</t>
  </si>
  <si>
    <t>Impuestos Sobre Nómi</t>
  </si>
  <si>
    <t>GSON4115</t>
  </si>
  <si>
    <t>ISRTP</t>
  </si>
  <si>
    <t>GSON/4115150101</t>
  </si>
  <si>
    <t>SERVICIOS ORDINARIOS</t>
  </si>
  <si>
    <t>GSON/4143431001</t>
  </si>
  <si>
    <t>GSON/4143431204</t>
  </si>
  <si>
    <t>GSON/4143431301</t>
  </si>
  <si>
    <t>GSON/4143431401</t>
  </si>
  <si>
    <t>GSON/4143431501</t>
  </si>
  <si>
    <t>GSON/5411921023</t>
  </si>
  <si>
    <t>CAJA CHICA 3</t>
  </si>
  <si>
    <t>GSON/1111300003</t>
  </si>
  <si>
    <t>GSON/1112030091</t>
  </si>
  <si>
    <t>GSON/1112030171</t>
  </si>
  <si>
    <t>GSON/1112030251</t>
  </si>
  <si>
    <t>GSON/1112030281</t>
  </si>
  <si>
    <t>GSON/1112030900</t>
  </si>
  <si>
    <t>GSON/1112030901</t>
  </si>
  <si>
    <t>BN 05 SALDO CTA BAN</t>
  </si>
  <si>
    <t>GSON/1112060050</t>
  </si>
  <si>
    <t>BN 05 INGRESOS</t>
  </si>
  <si>
    <t>GSON/1112060051</t>
  </si>
  <si>
    <t>BN 05 EGRESOS TR</t>
  </si>
  <si>
    <t>GSON/1112060053</t>
  </si>
  <si>
    <t>GSON/1112060054</t>
  </si>
  <si>
    <t>BN 05 INT GANADOS</t>
  </si>
  <si>
    <t>GSON/1112060055</t>
  </si>
  <si>
    <t>BN 33 INGRESOS</t>
  </si>
  <si>
    <t>GSON/1112060331</t>
  </si>
  <si>
    <t>GSON/1112070012</t>
  </si>
  <si>
    <t>GSON/1112080030</t>
  </si>
  <si>
    <t>GSON/1112080081</t>
  </si>
  <si>
    <t>GSON/1112110012</t>
  </si>
  <si>
    <t>SC 01 EGRESOS TR</t>
  </si>
  <si>
    <t>GSON/1112160013</t>
  </si>
  <si>
    <t>Otros Efectivos y Eq</t>
  </si>
  <si>
    <t>GSON1119</t>
  </si>
  <si>
    <t>GSON/1119100002</t>
  </si>
  <si>
    <t>CONVENIOS</t>
  </si>
  <si>
    <t>GSON/1122300083</t>
  </si>
  <si>
    <t>GSON/1122300093</t>
  </si>
  <si>
    <t>TR&amp;M FALTANTE CAJERO</t>
  </si>
  <si>
    <t>GSON/1123200001</t>
  </si>
  <si>
    <t>GSON/1124100011</t>
  </si>
  <si>
    <t>GSON/1124100052</t>
  </si>
  <si>
    <t>GSON/2112100002</t>
  </si>
  <si>
    <t>PROV DEVENGADO CP</t>
  </si>
  <si>
    <t>GSON/2112100003</t>
  </si>
  <si>
    <t>GSON/2162200006</t>
  </si>
  <si>
    <t>GSON/2162200007</t>
  </si>
  <si>
    <t>GSON/2162200008</t>
  </si>
  <si>
    <t>GSON/2162200009</t>
  </si>
  <si>
    <t>GSON/2162200013</t>
  </si>
  <si>
    <t>GSON/2199100001</t>
  </si>
  <si>
    <t>Deuda Pública a LP</t>
  </si>
  <si>
    <t>GSON223</t>
  </si>
  <si>
    <t>Préstamos de Deuda P</t>
  </si>
  <si>
    <t>GSON2233</t>
  </si>
  <si>
    <t>PRESTAMOS DEUD INT</t>
  </si>
  <si>
    <t>GSON/2233100001</t>
  </si>
  <si>
    <t>IGCIPS</t>
  </si>
  <si>
    <t>GSON/4113130201</t>
  </si>
  <si>
    <t>REV LIC VTA B CON AL</t>
  </si>
  <si>
    <t>GSON/4143430202</t>
  </si>
  <si>
    <t>GSON/4143430203</t>
  </si>
  <si>
    <t>GSON/4143430204</t>
  </si>
  <si>
    <t>GSON/4143430804</t>
  </si>
  <si>
    <t>GSON/4143430901</t>
  </si>
  <si>
    <t>GSON/4143430902</t>
  </si>
  <si>
    <t>GSON/4143430904</t>
  </si>
  <si>
    <t>SERVICIOS URGENTES</t>
  </si>
  <si>
    <t>GSON/4143431002</t>
  </si>
  <si>
    <t>SERVICIO CATASTRAL</t>
  </si>
  <si>
    <t>GSON/4143431201</t>
  </si>
  <si>
    <t>OTROS SERVICIOS</t>
  </si>
  <si>
    <t>GSON/4143431701</t>
  </si>
  <si>
    <t>Incentivos Derivados</t>
  </si>
  <si>
    <t>GSON4161</t>
  </si>
  <si>
    <t>GSON/4161610104</t>
  </si>
  <si>
    <t>GSON/4161610109</t>
  </si>
  <si>
    <t>GSON4212</t>
  </si>
  <si>
    <t>GSON/4212820102</t>
  </si>
  <si>
    <t>Convenios</t>
  </si>
  <si>
    <t>GSON4213</t>
  </si>
  <si>
    <t>GSON/4213830101</t>
  </si>
  <si>
    <t>Transferencias, Asig</t>
  </si>
  <si>
    <t>GSON422</t>
  </si>
  <si>
    <t>Subsidios y Subvenci</t>
  </si>
  <si>
    <t>GSON4223</t>
  </si>
  <si>
    <t>Otros Ingresos y Ben</t>
  </si>
  <si>
    <t>GSON43</t>
  </si>
  <si>
    <t>GSON439</t>
  </si>
  <si>
    <t>GSON4399</t>
  </si>
  <si>
    <t>GSON/4399520101</t>
  </si>
  <si>
    <t>Servicios Fin, Banca</t>
  </si>
  <si>
    <t>GSON5134</t>
  </si>
  <si>
    <t>GSON/5134341011</t>
  </si>
  <si>
    <t>GSON/8130000000</t>
  </si>
  <si>
    <t>Saldo Anterior-1</t>
  </si>
  <si>
    <t>S Ant - S Ant-1</t>
  </si>
  <si>
    <t>S Ant-1 - S Ant</t>
  </si>
  <si>
    <t>ORA Ant</t>
  </si>
  <si>
    <t>APA Ant</t>
  </si>
  <si>
    <t>ORP Ant</t>
  </si>
  <si>
    <t>APP Ant</t>
  </si>
  <si>
    <t>GSON/1111100002</t>
  </si>
  <si>
    <t>AF 01 SALDO CTA BAN</t>
  </si>
  <si>
    <t>GSON/1112010010</t>
  </si>
  <si>
    <t>BJ 01 SALDO CTA BAN</t>
  </si>
  <si>
    <t>GSON/1112020010</t>
  </si>
  <si>
    <t>BJ 03 SALDO CTA BAN</t>
  </si>
  <si>
    <t>GSON/1112020030</t>
  </si>
  <si>
    <t>BJ 03 INGRESOS</t>
  </si>
  <si>
    <t>GSON/1112020031</t>
  </si>
  <si>
    <t>GSON/1112020032</t>
  </si>
  <si>
    <t>BJ 03 EGRESOS TR</t>
  </si>
  <si>
    <t>GSON/1112020033</t>
  </si>
  <si>
    <t>GSON/1112020034</t>
  </si>
  <si>
    <t>GSON/1112030014</t>
  </si>
  <si>
    <t>GSON/1112030025</t>
  </si>
  <si>
    <t>GSON/1112030034</t>
  </si>
  <si>
    <t>GSON/1112030035</t>
  </si>
  <si>
    <t>GSON/1112030040</t>
  </si>
  <si>
    <t>GSON/1112030060</t>
  </si>
  <si>
    <t>GSON/1112030061</t>
  </si>
  <si>
    <t>GSON/1112030070</t>
  </si>
  <si>
    <t>GSON/1112030071</t>
  </si>
  <si>
    <t>GSON/1112030080</t>
  </si>
  <si>
    <t>GSON/1112030081</t>
  </si>
  <si>
    <t>GSON/1112030090</t>
  </si>
  <si>
    <t>GSON/1112030100</t>
  </si>
  <si>
    <t>GSON/1112030101</t>
  </si>
  <si>
    <t>GSON/1112030120</t>
  </si>
  <si>
    <t>GSON/1112030121</t>
  </si>
  <si>
    <t>BC 14 SALDO CTA BAN</t>
  </si>
  <si>
    <t>GSON/1112030140</t>
  </si>
  <si>
    <t>GSON/1112030141</t>
  </si>
  <si>
    <t>GSON/1112030170</t>
  </si>
  <si>
    <t>GSON/1112030174</t>
  </si>
  <si>
    <t>GSON/1112030180</t>
  </si>
  <si>
    <t>GSON/1112030181</t>
  </si>
  <si>
    <t>GSON/1112030203</t>
  </si>
  <si>
    <t>GSON/1112030230</t>
  </si>
  <si>
    <t>GSON/1112030240</t>
  </si>
  <si>
    <t>GSON/1112030241</t>
  </si>
  <si>
    <t>GSON/1112030250</t>
  </si>
  <si>
    <t>GSON/1112030280</t>
  </si>
  <si>
    <t>GSON/1112030290</t>
  </si>
  <si>
    <t>GSON/1112030291</t>
  </si>
  <si>
    <t>GSON/1112030300</t>
  </si>
  <si>
    <t>GSON/1112030301</t>
  </si>
  <si>
    <t>GSON/1112030310</t>
  </si>
  <si>
    <t>GSON/1112030311</t>
  </si>
  <si>
    <t>GSON/1112030320</t>
  </si>
  <si>
    <t>GSON/1112030321</t>
  </si>
  <si>
    <t>GSON/1112030340</t>
  </si>
  <si>
    <t>GSON/1112030341</t>
  </si>
  <si>
    <t>GSON/1112030350</t>
  </si>
  <si>
    <t>GSON/1112030351</t>
  </si>
  <si>
    <t>GSON/1112030370</t>
  </si>
  <si>
    <t>GSON/1112030371</t>
  </si>
  <si>
    <t>GSON/1112030380</t>
  </si>
  <si>
    <t>GSON/1112030381</t>
  </si>
  <si>
    <t>GSON/1112030390</t>
  </si>
  <si>
    <t>GSON/1112030391</t>
  </si>
  <si>
    <t>GSON/1112030490</t>
  </si>
  <si>
    <t>GSON/1112030492</t>
  </si>
  <si>
    <t>GSON/1112030493</t>
  </si>
  <si>
    <t>GSON/1112030494</t>
  </si>
  <si>
    <t>GSON/1112030500</t>
  </si>
  <si>
    <t>GSON/1112030501</t>
  </si>
  <si>
    <t>GSON/1112030503</t>
  </si>
  <si>
    <t>GSON/1112030504</t>
  </si>
  <si>
    <t>BC 51 IVA Y COMISION</t>
  </si>
  <si>
    <t>BC 52 SALDO CTA BAN</t>
  </si>
  <si>
    <t>GSON/1112030520</t>
  </si>
  <si>
    <t>BC 52 INGRESOS</t>
  </si>
  <si>
    <t>GSON/1112030521</t>
  </si>
  <si>
    <t>BC 52 EGRESOS TR</t>
  </si>
  <si>
    <t>GSON/1112030523</t>
  </si>
  <si>
    <t>BC 52 IVA Y COMISION</t>
  </si>
  <si>
    <t>GSON/1112030524</t>
  </si>
  <si>
    <t>BC 53 SALDO CTA BAN</t>
  </si>
  <si>
    <t>GSON/1112030530</t>
  </si>
  <si>
    <t>BC 53 INGRESOS</t>
  </si>
  <si>
    <t>GSON/1112030531</t>
  </si>
  <si>
    <t>BC 53 EGRESOS TR</t>
  </si>
  <si>
    <t>GSON/1112030533</t>
  </si>
  <si>
    <t>BC 53 IVA Y COMISION</t>
  </si>
  <si>
    <t>GSON/1112030534</t>
  </si>
  <si>
    <t>BC 55 SALDO CTA BAN</t>
  </si>
  <si>
    <t>GSON/1112030550</t>
  </si>
  <si>
    <t>BC 55 INGRESOS</t>
  </si>
  <si>
    <t>GSON/1112030551</t>
  </si>
  <si>
    <t>BC 55 IVA Y COMISION</t>
  </si>
  <si>
    <t>GSON/1112030554</t>
  </si>
  <si>
    <t>BC 56 SALDO CTA BAN</t>
  </si>
  <si>
    <t>GSON/1112030560</t>
  </si>
  <si>
    <t>BC 56 INGRESOS</t>
  </si>
  <si>
    <t>GSON/1112030561</t>
  </si>
  <si>
    <t>BC 56 EGRESOS CHEQUE</t>
  </si>
  <si>
    <t>GSON/1112030562</t>
  </si>
  <si>
    <t>BC 56 IVA Y COMISION</t>
  </si>
  <si>
    <t>GSON/1112030564</t>
  </si>
  <si>
    <t>BC 57 SALDO CTA BAN</t>
  </si>
  <si>
    <t>GSON/1112030570</t>
  </si>
  <si>
    <t>BC 57 INGRESOS</t>
  </si>
  <si>
    <t>GSON/1112030571</t>
  </si>
  <si>
    <t>BC 58 SALDO CTA BAN</t>
  </si>
  <si>
    <t>GSON/1112030580</t>
  </si>
  <si>
    <t>BC 58 INGRESOS</t>
  </si>
  <si>
    <t>GSON/1112030581</t>
  </si>
  <si>
    <t>BC 58 EGRESOS TR</t>
  </si>
  <si>
    <t>GSON/1112030583</t>
  </si>
  <si>
    <t>GSON/1112030584</t>
  </si>
  <si>
    <t>BC 60 SALDO CTA BAN</t>
  </si>
  <si>
    <t>GSON/1112030600</t>
  </si>
  <si>
    <t>BC 60 INGRESOS</t>
  </si>
  <si>
    <t>GSON/1112030601</t>
  </si>
  <si>
    <t>GSON/1112030604</t>
  </si>
  <si>
    <t>BC 61 SALDO CTA BAN</t>
  </si>
  <si>
    <t>GSON/1112030610</t>
  </si>
  <si>
    <t>BC 61 INGRESOS</t>
  </si>
  <si>
    <t>GSON/1112030611</t>
  </si>
  <si>
    <t>GSON/1112030614</t>
  </si>
  <si>
    <t>BC 66 SALDO CTA BAN</t>
  </si>
  <si>
    <t>GSON/1112030660</t>
  </si>
  <si>
    <t>BC 66 INGRESOS</t>
  </si>
  <si>
    <t>GSON/1112030661</t>
  </si>
  <si>
    <t>BC 67 EGRESOS TR</t>
  </si>
  <si>
    <t>GSON/1112030673</t>
  </si>
  <si>
    <t>GSON/1112030674</t>
  </si>
  <si>
    <t>BC 68 SALDO CTA BAN</t>
  </si>
  <si>
    <t>GSON/1112030680</t>
  </si>
  <si>
    <t>BC 68 INGRESOS</t>
  </si>
  <si>
    <t>GSON/1112030681</t>
  </si>
  <si>
    <t>BC 70 EGRESOS TR</t>
  </si>
  <si>
    <t>GSON/1112030703</t>
  </si>
  <si>
    <t>BC 72 SALDO CTA BAN</t>
  </si>
  <si>
    <t>GSON/1112030720</t>
  </si>
  <si>
    <t>BC 72 INGRESOS</t>
  </si>
  <si>
    <t>GSON/1112030721</t>
  </si>
  <si>
    <t>BC 73 SALDO CTA BAN</t>
  </si>
  <si>
    <t>GSON/1112030730</t>
  </si>
  <si>
    <t>BC 73 INGRESOS</t>
  </si>
  <si>
    <t>GSON/1112030731</t>
  </si>
  <si>
    <t>BC 74 SALDO CTA BAN</t>
  </si>
  <si>
    <t>GSON/1112030740</t>
  </si>
  <si>
    <t>BC 74 INGRESOS</t>
  </si>
  <si>
    <t>GSON/1112030741</t>
  </si>
  <si>
    <t>BC 75 SALDO CTA BAN</t>
  </si>
  <si>
    <t>GSON/1112030750</t>
  </si>
  <si>
    <t>BC 75 INGRESOS</t>
  </si>
  <si>
    <t>GSON/1112030751</t>
  </si>
  <si>
    <t>BC 76 SALDO CTA BAN</t>
  </si>
  <si>
    <t>GSON/1112030760</t>
  </si>
  <si>
    <t>BC 76 INGRESOS</t>
  </si>
  <si>
    <t>GSON/1112030761</t>
  </si>
  <si>
    <t>BC 77 SALDO CTA BAN</t>
  </si>
  <si>
    <t>GSON/1112030770</t>
  </si>
  <si>
    <t>BC 77 INGRESOS</t>
  </si>
  <si>
    <t>GSON/1112030771</t>
  </si>
  <si>
    <t>BC 78 SALDO CTA BAN</t>
  </si>
  <si>
    <t>GSON/1112030780</t>
  </si>
  <si>
    <t>BC 78 INGRESOS</t>
  </si>
  <si>
    <t>GSON/1112030781</t>
  </si>
  <si>
    <t>BC 80 SALDO CTA BAN</t>
  </si>
  <si>
    <t>GSON/1112030800</t>
  </si>
  <si>
    <t>BC 80 INGRESOS</t>
  </si>
  <si>
    <t>GSON/1112030801</t>
  </si>
  <si>
    <t>BC 82 SALDO CTA BAN</t>
  </si>
  <si>
    <t>GSON/1112030820</t>
  </si>
  <si>
    <t>BC 82 INGRESOS</t>
  </si>
  <si>
    <t>GSON/1112030821</t>
  </si>
  <si>
    <t>GSON/1112030824</t>
  </si>
  <si>
    <t>BC 84 SALDO CTA BAN</t>
  </si>
  <si>
    <t>GSON/1112030840</t>
  </si>
  <si>
    <t>BC 84 INGRESOS</t>
  </si>
  <si>
    <t>GSON/1112030841</t>
  </si>
  <si>
    <t>BC 85 SALDO CTA BAN</t>
  </si>
  <si>
    <t>GSON/1112030850</t>
  </si>
  <si>
    <t>BC 85 INGRESOS</t>
  </si>
  <si>
    <t>GSON/1112030851</t>
  </si>
  <si>
    <t>GSON/1112030910</t>
  </si>
  <si>
    <t>GSON/1112030911</t>
  </si>
  <si>
    <t>GSON/1112030923</t>
  </si>
  <si>
    <t>GSON/1112030930</t>
  </si>
  <si>
    <t>GSON/1112030931</t>
  </si>
  <si>
    <t>GSON/1112030940</t>
  </si>
  <si>
    <t>GSON/1112030941</t>
  </si>
  <si>
    <t>GSON/1112030944</t>
  </si>
  <si>
    <t>GSON/1112030960</t>
  </si>
  <si>
    <t>GSON/1112030961</t>
  </si>
  <si>
    <t>BC 97 SALDO CTA BAN</t>
  </si>
  <si>
    <t>GSON/1112030970</t>
  </si>
  <si>
    <t>BC 97 INGRESOS</t>
  </si>
  <si>
    <t>GSON/1112030971</t>
  </si>
  <si>
    <t>GSON/1112030974</t>
  </si>
  <si>
    <t>BC 98 SALDO CTA BAN</t>
  </si>
  <si>
    <t>GSON/1112030980</t>
  </si>
  <si>
    <t>BC 98 INGRESOS</t>
  </si>
  <si>
    <t>GSON/1112030981</t>
  </si>
  <si>
    <t>GSON/1112030984</t>
  </si>
  <si>
    <t>BC 100 SALDO CTA BAN</t>
  </si>
  <si>
    <t>GSON/1112031000</t>
  </si>
  <si>
    <t>BC 100 INGRESOS</t>
  </si>
  <si>
    <t>GSON/1112031001</t>
  </si>
  <si>
    <t>BC 101 SALDO CTA BAN</t>
  </si>
  <si>
    <t>GSON/1112031010</t>
  </si>
  <si>
    <t>BC 101 INGRESOS</t>
  </si>
  <si>
    <t>GSON/1112031011</t>
  </si>
  <si>
    <t>BJ 01 INGRESOS</t>
  </si>
  <si>
    <t>GSON/1112060010</t>
  </si>
  <si>
    <t>GSON/1112060013</t>
  </si>
  <si>
    <t>GSON/1112060014</t>
  </si>
  <si>
    <t>GSON/1112060015</t>
  </si>
  <si>
    <t>BN 02 INGRESOS</t>
  </si>
  <si>
    <t>GSON/1112060021</t>
  </si>
  <si>
    <t>BN 02 EGRESOS TR</t>
  </si>
  <si>
    <t>GSON/1112060023</t>
  </si>
  <si>
    <t>BN 17 SALDO CTA BAN</t>
  </si>
  <si>
    <t>GSON/1112060170</t>
  </si>
  <si>
    <t>BN 17 INGRESOS</t>
  </si>
  <si>
    <t>GSON/1112060171</t>
  </si>
  <si>
    <t>BN 17 EGRESOS TR</t>
  </si>
  <si>
    <t>GSON/1112060173</t>
  </si>
  <si>
    <t>GSON/1112060174</t>
  </si>
  <si>
    <t>BN 17 INT GANADOS</t>
  </si>
  <si>
    <t>GSON/1112060175</t>
  </si>
  <si>
    <t>BN 20 EGRESOS TR</t>
  </si>
  <si>
    <t>GSON/1112060203</t>
  </si>
  <si>
    <t>BN 45 SALDO CTA BAN</t>
  </si>
  <si>
    <t>GSON/1112060450</t>
  </si>
  <si>
    <t>GSON/1112060452</t>
  </si>
  <si>
    <t>BN 67 SALDO CTA BAN</t>
  </si>
  <si>
    <t>GSON/1112060670</t>
  </si>
  <si>
    <t>GSON/1112060672</t>
  </si>
  <si>
    <t>BN 67 EGRESOS TR</t>
  </si>
  <si>
    <t>GSON/1112060673</t>
  </si>
  <si>
    <t>GSON/1112060674</t>
  </si>
  <si>
    <t>BN 67 INT GANADOS</t>
  </si>
  <si>
    <t>GSON/1112060675</t>
  </si>
  <si>
    <t>BN 70 SALDO CTA BAN</t>
  </si>
  <si>
    <t>GSON/1112060700</t>
  </si>
  <si>
    <t>BN 70 INGRESOS</t>
  </si>
  <si>
    <t>GSON/1112060701</t>
  </si>
  <si>
    <t>BN 81 INGRESOS</t>
  </si>
  <si>
    <t>GSON/1112060811</t>
  </si>
  <si>
    <t>BR 01 SALDO CTA BAN</t>
  </si>
  <si>
    <t>GSON/1112070010</t>
  </si>
  <si>
    <t>BR 01 INGRESOS</t>
  </si>
  <si>
    <t>GSON/1112070011</t>
  </si>
  <si>
    <t>BR 01 INT GANADOS</t>
  </si>
  <si>
    <t>GSON/1112070015</t>
  </si>
  <si>
    <t>BR 02 SALDO CTA BAN</t>
  </si>
  <si>
    <t>GSON/1112070020</t>
  </si>
  <si>
    <t>BR 02 INT GANADOS</t>
  </si>
  <si>
    <t>GSON/1112070025</t>
  </si>
  <si>
    <t>BR 03 SALDO CTA BAN</t>
  </si>
  <si>
    <t>GSON/1112070030</t>
  </si>
  <si>
    <t>BR 03 INT GANADOS</t>
  </si>
  <si>
    <t>GSON/1112070035</t>
  </si>
  <si>
    <t>BR 04 SALDO CTA BAN</t>
  </si>
  <si>
    <t>GSON/1112070040</t>
  </si>
  <si>
    <t>BR 04 INT GANADOS</t>
  </si>
  <si>
    <t>GSON/1112070045</t>
  </si>
  <si>
    <t>BR 05 SALDO CTA BAN</t>
  </si>
  <si>
    <t>GSON/1112070050</t>
  </si>
  <si>
    <t>BR 05 INT GANADOS</t>
  </si>
  <si>
    <t>GSON/1112070055</t>
  </si>
  <si>
    <t>BR 06 SALDO CTA BAN</t>
  </si>
  <si>
    <t>GSON/1112070060</t>
  </si>
  <si>
    <t>BR 06 INT GANADOS</t>
  </si>
  <si>
    <t>GSON/1112070065</t>
  </si>
  <si>
    <t>BR 07 SALDO CTA BAN</t>
  </si>
  <si>
    <t>GSON/1112070070</t>
  </si>
  <si>
    <t>BR 07 INT GANADOS</t>
  </si>
  <si>
    <t>GSON/1112070075</t>
  </si>
  <si>
    <t>BR 08 SALDO CTA BAN</t>
  </si>
  <si>
    <t>GSON/1112070080</t>
  </si>
  <si>
    <t>BR 08 INT GANADOS</t>
  </si>
  <si>
    <t>GSON/1112070085</t>
  </si>
  <si>
    <t>BR 09 SALDO CTA BAN</t>
  </si>
  <si>
    <t>GSON/1112070090</t>
  </si>
  <si>
    <t>BR 09 INT GANADOS</t>
  </si>
  <si>
    <t>GSON/1112070095</t>
  </si>
  <si>
    <t>BR 10 SALDO CTA BAN</t>
  </si>
  <si>
    <t>GSON/1112070100</t>
  </si>
  <si>
    <t>BR 10 INT GANADOS</t>
  </si>
  <si>
    <t>GSON/1112070105</t>
  </si>
  <si>
    <t>BR 11 SALDO CTA BAN</t>
  </si>
  <si>
    <t>GSON/1112070110</t>
  </si>
  <si>
    <t>BR 11 INT GANADOS</t>
  </si>
  <si>
    <t>GSON/1112070115</t>
  </si>
  <si>
    <t>BR 12 SALDO CTA BAN</t>
  </si>
  <si>
    <t>GSON/1112070120</t>
  </si>
  <si>
    <t>BR 12 INT GANADOS</t>
  </si>
  <si>
    <t>GSON/1112070125</t>
  </si>
  <si>
    <t>BR 13 SALDO CTA BAN</t>
  </si>
  <si>
    <t>GSON/1112070130</t>
  </si>
  <si>
    <t>BR 13 INT GANADOS</t>
  </si>
  <si>
    <t>GSON/1112070135</t>
  </si>
  <si>
    <t>BR 14 SALDO CTA BAN</t>
  </si>
  <si>
    <t>GSON/1112070140</t>
  </si>
  <si>
    <t>GSON/1112070142</t>
  </si>
  <si>
    <t>BR 14 INT GANADOS</t>
  </si>
  <si>
    <t>GSON/1112070145</t>
  </si>
  <si>
    <t>BR 16 SALDO CTA BAN</t>
  </si>
  <si>
    <t>GSON/1112070160</t>
  </si>
  <si>
    <t>BR 16 INT GANADOS</t>
  </si>
  <si>
    <t>GSON/1112070165</t>
  </si>
  <si>
    <t>BR 17 SALDO CTA BAN</t>
  </si>
  <si>
    <t>GSON/1112070170</t>
  </si>
  <si>
    <t>GSON/1112070174</t>
  </si>
  <si>
    <t>BR 17 INT GANADOS</t>
  </si>
  <si>
    <t>GSON/1112070175</t>
  </si>
  <si>
    <t>BR 18 SALDO CTA BAN</t>
  </si>
  <si>
    <t>GSON/1112070180</t>
  </si>
  <si>
    <t>BR 18 INT GANADOS</t>
  </si>
  <si>
    <t>GSON/1112070185</t>
  </si>
  <si>
    <t>BR 19 SALDO CTA BAN</t>
  </si>
  <si>
    <t>GSON/1112070190</t>
  </si>
  <si>
    <t>GSON/1112070194</t>
  </si>
  <si>
    <t>BR 19 INT GANADOS</t>
  </si>
  <si>
    <t>GSON/1112070195</t>
  </si>
  <si>
    <t>BR 23 SALDO CTA BAN</t>
  </si>
  <si>
    <t>GSON/1112070200</t>
  </si>
  <si>
    <t>BR 23 INT GANADOS</t>
  </si>
  <si>
    <t>GSON/1112070205</t>
  </si>
  <si>
    <t>BR 24 SALDO CTA BAN</t>
  </si>
  <si>
    <t>GSON/1112070210</t>
  </si>
  <si>
    <t>BR 24 INT GANADOS</t>
  </si>
  <si>
    <t>GSON/1112070215</t>
  </si>
  <si>
    <t>BR 25 SALDO CTA BAN</t>
  </si>
  <si>
    <t>GSON/1112070250</t>
  </si>
  <si>
    <t>BR 25 INT GANADOS</t>
  </si>
  <si>
    <t>GSON/1112070255</t>
  </si>
  <si>
    <t>BR 26 SALDO CTA BAN</t>
  </si>
  <si>
    <t>GSON/1112070260</t>
  </si>
  <si>
    <t>BR 26 INT GANADOS</t>
  </si>
  <si>
    <t>GSON/1112070265</t>
  </si>
  <si>
    <t>GSON/1112080015</t>
  </si>
  <si>
    <t>GSON/1112080053</t>
  </si>
  <si>
    <t>GSON/1112080055</t>
  </si>
  <si>
    <t>BX 33  INGRESOS</t>
  </si>
  <si>
    <t>GSON/1112080331</t>
  </si>
  <si>
    <t>BX 34  INGRESOS</t>
  </si>
  <si>
    <t>GSON/1112080341</t>
  </si>
  <si>
    <t>BX 36  INGRESOS</t>
  </si>
  <si>
    <t>GSON/1112080361</t>
  </si>
  <si>
    <t>BX 37  INGRESOS</t>
  </si>
  <si>
    <t>GSON/1112080371</t>
  </si>
  <si>
    <t>BX 38  INGRESOS</t>
  </si>
  <si>
    <t>GSON/1112080381</t>
  </si>
  <si>
    <t>BX 41  INGRESOS</t>
  </si>
  <si>
    <t>GSON/1112080411</t>
  </si>
  <si>
    <t>BX 42  INGRESOS</t>
  </si>
  <si>
    <t>GSON/1112080421</t>
  </si>
  <si>
    <t>BX 44  INGRESOS</t>
  </si>
  <si>
    <t>GSON/1112080441</t>
  </si>
  <si>
    <t>GSON/1112110015</t>
  </si>
  <si>
    <t>GSON/1112110024</t>
  </si>
  <si>
    <t>GSON/1112110030</t>
  </si>
  <si>
    <t>HS 03   INGRESOS</t>
  </si>
  <si>
    <t>GSON/1112110031</t>
  </si>
  <si>
    <t>HS 03   EGRESOS TR</t>
  </si>
  <si>
    <t>GSON/1112110033</t>
  </si>
  <si>
    <t>GSON/1112110034</t>
  </si>
  <si>
    <t>GSON/1112110060</t>
  </si>
  <si>
    <t>GSON/1112110062</t>
  </si>
  <si>
    <t>GSON/1112110064</t>
  </si>
  <si>
    <t>GSON/1112110070</t>
  </si>
  <si>
    <t>GSON/1112110074</t>
  </si>
  <si>
    <t>GSON/1112110080</t>
  </si>
  <si>
    <t>GSON/1112110084</t>
  </si>
  <si>
    <t>GSON/1112110090</t>
  </si>
  <si>
    <t>HS 09   INT GANADOS</t>
  </si>
  <si>
    <t>GSON/1112110095</t>
  </si>
  <si>
    <t>GSON/1112110100</t>
  </si>
  <si>
    <t>HS 10   INT GANADOS</t>
  </si>
  <si>
    <t>GSON/1112110105</t>
  </si>
  <si>
    <t>GSON/1112110210</t>
  </si>
  <si>
    <t>HS 21   INGRESOS</t>
  </si>
  <si>
    <t>GSON/1112110211</t>
  </si>
  <si>
    <t>GSON/1112110220</t>
  </si>
  <si>
    <t>HS 22   INGRESOS</t>
  </si>
  <si>
    <t>GSON/1112110221</t>
  </si>
  <si>
    <t>HS 22   EGRESOS TR</t>
  </si>
  <si>
    <t>GSON/1112110223</t>
  </si>
  <si>
    <t>GSON/1112110224</t>
  </si>
  <si>
    <t>GSON/1112110230</t>
  </si>
  <si>
    <t>HS 23   EGRESOS TR</t>
  </si>
  <si>
    <t>GSON/1112110233</t>
  </si>
  <si>
    <t>GSON/1112110234</t>
  </si>
  <si>
    <t>GSON/1112110240</t>
  </si>
  <si>
    <t>HS 24   EGRESOS TR</t>
  </si>
  <si>
    <t>GSON/1112110243</t>
  </si>
  <si>
    <t>GSON/1112110244</t>
  </si>
  <si>
    <t>GSON/1112110250</t>
  </si>
  <si>
    <t>HS 25   EGRESOS TR</t>
  </si>
  <si>
    <t>GSON/1112110253</t>
  </si>
  <si>
    <t>GSON/1112110260</t>
  </si>
  <si>
    <t>HS 26   EGRESOS TR</t>
  </si>
  <si>
    <t>GSON/1112110263</t>
  </si>
  <si>
    <t>GSON/1112130010</t>
  </si>
  <si>
    <t>IN 01   INGRESOS</t>
  </si>
  <si>
    <t>GSON/1112130011</t>
  </si>
  <si>
    <t>IN 01   EGRESOS TR</t>
  </si>
  <si>
    <t>GSON/1112130013</t>
  </si>
  <si>
    <t>GSON/1112130050</t>
  </si>
  <si>
    <t>IN 05   INGRESOS</t>
  </si>
  <si>
    <t>GSON/1112130051</t>
  </si>
  <si>
    <t>IN 05   EGRESOS TR</t>
  </si>
  <si>
    <t>GSON/1112130053</t>
  </si>
  <si>
    <t>IX 01 EGRESOS TR</t>
  </si>
  <si>
    <t>GSON/1112140013</t>
  </si>
  <si>
    <t>SA 03 SALDO CTA BAN</t>
  </si>
  <si>
    <t>GSON/1112150030</t>
  </si>
  <si>
    <t>SA 03 INGRESOS</t>
  </si>
  <si>
    <t>GSON/1112150031</t>
  </si>
  <si>
    <t>SA 03 EGRESOS TR</t>
  </si>
  <si>
    <t>GSON/1112150033</t>
  </si>
  <si>
    <t>SA 05 INGRESOS</t>
  </si>
  <si>
    <t>GSON/1112150051</t>
  </si>
  <si>
    <t>SA 66 SALDO CTA BAN</t>
  </si>
  <si>
    <t>GSON/1112150660</t>
  </si>
  <si>
    <t>SA 66 INGRESOS</t>
  </si>
  <si>
    <t>GSON/1112150661</t>
  </si>
  <si>
    <t>SA 67 SALDO CTA BAN</t>
  </si>
  <si>
    <t>GSON/1112150670</t>
  </si>
  <si>
    <t>SA 67 EGRESOS TR</t>
  </si>
  <si>
    <t>GSON/1112150673</t>
  </si>
  <si>
    <t>GSON/1112150674</t>
  </si>
  <si>
    <t>SA 75 SALDO CTA BAN</t>
  </si>
  <si>
    <t>GSON/1112150750</t>
  </si>
  <si>
    <t>GSON/1112150754</t>
  </si>
  <si>
    <t>SA 76 SALDO CTA BAN</t>
  </si>
  <si>
    <t>GSON/1112150760</t>
  </si>
  <si>
    <t>SA 76 INGRESOS</t>
  </si>
  <si>
    <t>GSON/1112150761</t>
  </si>
  <si>
    <t>SA 77 INGRESOS</t>
  </si>
  <si>
    <t>GSON/1112150771</t>
  </si>
  <si>
    <t>SA 78 SALDO CTA BAN</t>
  </si>
  <si>
    <t>GSON/1112150780</t>
  </si>
  <si>
    <t>SA 78 INGRESOS</t>
  </si>
  <si>
    <t>GSON/1112150781</t>
  </si>
  <si>
    <t>GSON/1112150784</t>
  </si>
  <si>
    <t>SA 80 INGRESOS</t>
  </si>
  <si>
    <t>GSON/1112150801</t>
  </si>
  <si>
    <t>SA100 SLDO CTA BAN</t>
  </si>
  <si>
    <t>GSON/1112151000</t>
  </si>
  <si>
    <t>SA100 INGRESOS</t>
  </si>
  <si>
    <t>GSON/1112151001</t>
  </si>
  <si>
    <t>SA102 SLDO CTA BAN</t>
  </si>
  <si>
    <t>GSON/1112151020</t>
  </si>
  <si>
    <t>SA102 INGRESOS</t>
  </si>
  <si>
    <t>GSON/1112151021</t>
  </si>
  <si>
    <t>GSON/1112151024</t>
  </si>
  <si>
    <t>SC 02 EGRESOS TR</t>
  </si>
  <si>
    <t>GSON/1112160023</t>
  </si>
  <si>
    <t>SC 11 SALDO CTA BAN</t>
  </si>
  <si>
    <t>GSON/1112160110</t>
  </si>
  <si>
    <t>SC 11 INGRESOS</t>
  </si>
  <si>
    <t>GSON/1112160111</t>
  </si>
  <si>
    <t>VX 01 INGRESOS</t>
  </si>
  <si>
    <t>GSON/1112170011</t>
  </si>
  <si>
    <t>NOM VIRTUAL EGRESOS</t>
  </si>
  <si>
    <t>INVERSIONES TEMPORAL</t>
  </si>
  <si>
    <t>Depósitos de Fondos</t>
  </si>
  <si>
    <t>GSON1116</t>
  </si>
  <si>
    <t>BC108 SLDO CTA BAN</t>
  </si>
  <si>
    <t>GSON/1116031080</t>
  </si>
  <si>
    <t>BC108 INGRESOS</t>
  </si>
  <si>
    <t>GSON/1116031081</t>
  </si>
  <si>
    <t>BC108 EGRESOS TR</t>
  </si>
  <si>
    <t>GSON/1116031083</t>
  </si>
  <si>
    <t>SA 01 SALDO CTA BAN</t>
  </si>
  <si>
    <t>GSON/1116150010</t>
  </si>
  <si>
    <t>SA 01 INGRESOS</t>
  </si>
  <si>
    <t>GSON/1116150011</t>
  </si>
  <si>
    <t>SA 44 SALDO CTA BAN</t>
  </si>
  <si>
    <t>GSON/1116150440</t>
  </si>
  <si>
    <t>SA 44 INGRESOS</t>
  </si>
  <si>
    <t>GSON/1116150441</t>
  </si>
  <si>
    <t>OTROS EFECTIVOS Y EQ</t>
  </si>
  <si>
    <t>GSON/1119100001</t>
  </si>
  <si>
    <t>OTROS INGS NO PPTAL</t>
  </si>
  <si>
    <t>SUBSIDIOS Y SUBVENC</t>
  </si>
  <si>
    <t>DEUDOR DIVS X COBRAR</t>
  </si>
  <si>
    <t>DEUDOR DIVS SALDO</t>
  </si>
  <si>
    <t>GSON/1123100006</t>
  </si>
  <si>
    <t>IMPTO SOBRE INGRESOS</t>
  </si>
  <si>
    <t>IMPTO PRODUCC CONSUM</t>
  </si>
  <si>
    <t>IMPTO NOMINA ASIMILA</t>
  </si>
  <si>
    <t>ACCESORIOS</t>
  </si>
  <si>
    <t>OTROS IMPUESTOS</t>
  </si>
  <si>
    <t>IMPTO NO COMPR EFAP</t>
  </si>
  <si>
    <t>IPR DER BIEN DOM PUB</t>
  </si>
  <si>
    <t>IPR DER PRES SERV</t>
  </si>
  <si>
    <t>IPR PRODUCTOS TC</t>
  </si>
  <si>
    <t>GSON/1124100051</t>
  </si>
  <si>
    <t>IPR PRODUCTOS  CAPIT</t>
  </si>
  <si>
    <t>IPR APROVECHAMIENTO</t>
  </si>
  <si>
    <t>IPR APROV NO COMPR</t>
  </si>
  <si>
    <t>Deudores por Anticip</t>
  </si>
  <si>
    <t>GSON1125</t>
  </si>
  <si>
    <t>FDO ROTATORIO SLDO</t>
  </si>
  <si>
    <t>GSON/1125100001</t>
  </si>
  <si>
    <t>ANT PR BIENES Y PS</t>
  </si>
  <si>
    <t>ANT PROVEEDORES SDO</t>
  </si>
  <si>
    <t>GSON/1131100002</t>
  </si>
  <si>
    <t>Anticipo a Contratis</t>
  </si>
  <si>
    <t>GSON1134</t>
  </si>
  <si>
    <t>ANT CONTRATISTAS</t>
  </si>
  <si>
    <t>GSON/1134100001</t>
  </si>
  <si>
    <t>ANT CONTRATISTAS SDO</t>
  </si>
  <si>
    <t>GSON/1134100002</t>
  </si>
  <si>
    <t>Otros Derch a Recibi</t>
  </si>
  <si>
    <t>GSON1139</t>
  </si>
  <si>
    <t>ANT DEP GARAN SLDO</t>
  </si>
  <si>
    <t>MTLS ADMON EMI DCTOS</t>
  </si>
  <si>
    <t>GSON122</t>
  </si>
  <si>
    <t>Otros Derech a Rec E</t>
  </si>
  <si>
    <t>GSON1229</t>
  </si>
  <si>
    <t>GSON/1229100002</t>
  </si>
  <si>
    <t>TERRENOS</t>
  </si>
  <si>
    <t>Viviendas</t>
  </si>
  <si>
    <t>GSON1232</t>
  </si>
  <si>
    <t>VIVIENDAS SALDO</t>
  </si>
  <si>
    <t>GSON/1232158200</t>
  </si>
  <si>
    <t>EDIF NO HABITAC SLDO</t>
  </si>
  <si>
    <t>GSON/1233158300</t>
  </si>
  <si>
    <t>EDIFIC NO HABITACION</t>
  </si>
  <si>
    <t>INFRA CARRETERA SLDO</t>
  </si>
  <si>
    <t>GSON/1234100000</t>
  </si>
  <si>
    <t>EDIF HABIT PROC SDO</t>
  </si>
  <si>
    <t>GSON/1235161100</t>
  </si>
  <si>
    <t>EHP REMOD Y MEJORAM</t>
  </si>
  <si>
    <t>GSON/1235161101</t>
  </si>
  <si>
    <t>EHP CONST Y AMPLIAC</t>
  </si>
  <si>
    <t>EDIF NO HAB PROC SDO</t>
  </si>
  <si>
    <t>GSON/1235261200</t>
  </si>
  <si>
    <t>ABAST AGUA PETRO SDO</t>
  </si>
  <si>
    <t>GSON/1235361300</t>
  </si>
  <si>
    <t>DIVISION TERRENOS SL</t>
  </si>
  <si>
    <t>GSON/1235461400</t>
  </si>
  <si>
    <t>OBRAS DE CABEZA</t>
  </si>
  <si>
    <t>GSON/1235461407</t>
  </si>
  <si>
    <t>INDIRECTOS DIVS TERR</t>
  </si>
  <si>
    <t>GSON/1235461424</t>
  </si>
  <si>
    <t>VIAS COMUNICAC SDO</t>
  </si>
  <si>
    <t>GSON/1235561500</t>
  </si>
  <si>
    <t>OTRAS CONSTR SLD</t>
  </si>
  <si>
    <t>GSON/1235661600</t>
  </si>
  <si>
    <t>BP EDIF NO HABIT SLD</t>
  </si>
  <si>
    <t>GSON/1236262200</t>
  </si>
  <si>
    <t>BP CONSTRUCCION</t>
  </si>
  <si>
    <t>BP CONSTR VIAS SLDO</t>
  </si>
  <si>
    <t>GSON/1236562500</t>
  </si>
  <si>
    <t>BP RECONSTRUCCIÓN</t>
  </si>
  <si>
    <t>GSON/1236562503</t>
  </si>
  <si>
    <t>BP OTRAS CONSTR SLDO</t>
  </si>
  <si>
    <t>GSON/1236662600</t>
  </si>
  <si>
    <t>BP TRAB ACABADOS SDO</t>
  </si>
  <si>
    <t>GSON/1236962900</t>
  </si>
  <si>
    <t>Otros Bienes Inmuebl</t>
  </si>
  <si>
    <t>GSON1239</t>
  </si>
  <si>
    <t>OTROS B INMUEB SLDO</t>
  </si>
  <si>
    <t>GSON/1239158900</t>
  </si>
  <si>
    <t>MUEBLES OFNA SLDO</t>
  </si>
  <si>
    <t>GSON/1241151100</t>
  </si>
  <si>
    <t>MUEBLES OFNA Y ESTAN</t>
  </si>
  <si>
    <t>MUEBLE EX OFNA Y EST</t>
  </si>
  <si>
    <t>GSON/1241251201</t>
  </si>
  <si>
    <t>EQ COMPUTO SLDO</t>
  </si>
  <si>
    <t>GSON/1241351500</t>
  </si>
  <si>
    <t>EQ COMPUTO Y TECNOL</t>
  </si>
  <si>
    <t>GSON/1241351501</t>
  </si>
  <si>
    <t>OTROS MOB SLDO</t>
  </si>
  <si>
    <t>GSON/1241951900</t>
  </si>
  <si>
    <t>EQ DE ADMON</t>
  </si>
  <si>
    <t>GSON/1241951901</t>
  </si>
  <si>
    <t>MOB Y EQ ESCUELA LAB</t>
  </si>
  <si>
    <t>GSON/1241951902</t>
  </si>
  <si>
    <t>EQ Y APARATOS SLDO</t>
  </si>
  <si>
    <t>GSON/1242152100</t>
  </si>
  <si>
    <t>CAMARAS FOTOGR SLD</t>
  </si>
  <si>
    <t>GSON/1242352300</t>
  </si>
  <si>
    <t>CAMARA FOTO Y VIDEO</t>
  </si>
  <si>
    <t>GSON/1242352301</t>
  </si>
  <si>
    <t>OTRO MOB Y EQ SLDO</t>
  </si>
  <si>
    <t>GSON/1242952900</t>
  </si>
  <si>
    <t>Equipo e Instrumenta</t>
  </si>
  <si>
    <t>GSON1243</t>
  </si>
  <si>
    <t>EQ MEDICO Y LAB SLDO</t>
  </si>
  <si>
    <t>GSON/1243153100</t>
  </si>
  <si>
    <t>EQ MEDICO Y LABORAT</t>
  </si>
  <si>
    <t>GSON/1243153101</t>
  </si>
  <si>
    <t>INSTR MEDICO SLDO</t>
  </si>
  <si>
    <t>GSON/1243253200</t>
  </si>
  <si>
    <t>AUTO Y EQ TERR SDO</t>
  </si>
  <si>
    <t>GSON/1244154100</t>
  </si>
  <si>
    <t>AUTO Y EQ TERRESTRE</t>
  </si>
  <si>
    <t>CARROC Y REMOL SLDO</t>
  </si>
  <si>
    <t>GSON/1244254200</t>
  </si>
  <si>
    <t>Maquinaria, Otros Eq</t>
  </si>
  <si>
    <t>GSON1246</t>
  </si>
  <si>
    <t>MAQ Y EQ AGRO SLDO</t>
  </si>
  <si>
    <t>GSON/1246156100</t>
  </si>
  <si>
    <t>MAQ Y EQ INDUST SLDO</t>
  </si>
  <si>
    <t>GSON/1246256200</t>
  </si>
  <si>
    <t>MAQ Y EQ CONS SLDO</t>
  </si>
  <si>
    <t>GSON/1246356300</t>
  </si>
  <si>
    <t>MAQ Y EQ CONSTRUCC</t>
  </si>
  <si>
    <t>GSON/1246356301</t>
  </si>
  <si>
    <t>SIST AC CALEF SLDO</t>
  </si>
  <si>
    <t>GSON/1246456400</t>
  </si>
  <si>
    <t>SIST AC CALEF CAP</t>
  </si>
  <si>
    <t>GSON/1246456401</t>
  </si>
  <si>
    <t>GSON/1246556500</t>
  </si>
  <si>
    <t>GSON/1246556501</t>
  </si>
  <si>
    <t>EQ GENERACION  SLDO</t>
  </si>
  <si>
    <t>GSON/1246656600</t>
  </si>
  <si>
    <t>EQ GENERACION ELECTR</t>
  </si>
  <si>
    <t>GSON/1246656601</t>
  </si>
  <si>
    <t>HERRAMIENTAS SLDO</t>
  </si>
  <si>
    <t>GSON/1246756700</t>
  </si>
  <si>
    <t>OTROS EQUIPOS SLD</t>
  </si>
  <si>
    <t>GSON/1246956900</t>
  </si>
  <si>
    <t>Colecciones, Obras d</t>
  </si>
  <si>
    <t>GSON1247</t>
  </si>
  <si>
    <t>BIENES ARTISTI SLDO</t>
  </si>
  <si>
    <t>GSON/1247151300</t>
  </si>
  <si>
    <t>BIENES ARTISTICOS</t>
  </si>
  <si>
    <t>GSON/1247151301</t>
  </si>
  <si>
    <t>Activos Biológicos</t>
  </si>
  <si>
    <t>GSON1248</t>
  </si>
  <si>
    <t>SOFTWARE SLDO</t>
  </si>
  <si>
    <t>GSON/1251159100</t>
  </si>
  <si>
    <t>Licencias</t>
  </si>
  <si>
    <t>GSON1254</t>
  </si>
  <si>
    <t>Licencias Informátic</t>
  </si>
  <si>
    <t>GSON12541</t>
  </si>
  <si>
    <t>LICENCIAS INFO SLDO</t>
  </si>
  <si>
    <t>GSON/1254159700</t>
  </si>
  <si>
    <t>GSON1261</t>
  </si>
  <si>
    <t>DEPN BIENES INMUEBLE</t>
  </si>
  <si>
    <t>GSON/1261100001</t>
  </si>
  <si>
    <t>GSON1262</t>
  </si>
  <si>
    <t>DEPN INFRAESTRUCTURA</t>
  </si>
  <si>
    <t>GSON/1262100001</t>
  </si>
  <si>
    <t>DEPN BIENES MUEBLES</t>
  </si>
  <si>
    <t>Deterioro Acumulado</t>
  </si>
  <si>
    <t>GSON1264</t>
  </si>
  <si>
    <t>DETER ACTIVOS BIOLOG</t>
  </si>
  <si>
    <t>GSON/1264100001</t>
  </si>
  <si>
    <t>Amortización Acumula</t>
  </si>
  <si>
    <t>GSON1265</t>
  </si>
  <si>
    <t>AMORT INTANGIBLES</t>
  </si>
  <si>
    <t>GSON/1265100001</t>
  </si>
  <si>
    <t>GSON127</t>
  </si>
  <si>
    <t>Estudios, Formulació</t>
  </si>
  <si>
    <t>GSON1271</t>
  </si>
  <si>
    <t>EST Y PROYECTO SDO</t>
  </si>
  <si>
    <t>GSON/1271163000</t>
  </si>
  <si>
    <t>BIENES EN COMODATO</t>
  </si>
  <si>
    <t>SERVICIO PERSONAL CP</t>
  </si>
  <si>
    <t>SERV PERSONAL SLDO</t>
  </si>
  <si>
    <t>GSON/2111100004</t>
  </si>
  <si>
    <t>PROVEEDORES CP</t>
  </si>
  <si>
    <t>FUNCIONARIOS CP</t>
  </si>
  <si>
    <t>CONTRATISTA DEVENGO</t>
  </si>
  <si>
    <t>GSON/2113100002</t>
  </si>
  <si>
    <t>Contratistas por Obr</t>
  </si>
  <si>
    <t>GSON2113</t>
  </si>
  <si>
    <t>CONTRATISTAS CP</t>
  </si>
  <si>
    <t>GSON/2113100001</t>
  </si>
  <si>
    <t>PART Y APORT CP</t>
  </si>
  <si>
    <t>INT COMISION Y OTROS</t>
  </si>
  <si>
    <t>RET ISR ARRENDAMTO</t>
  </si>
  <si>
    <t>RET SISTEMA SEG SOC</t>
  </si>
  <si>
    <t>APORT SIST SEG SOC</t>
  </si>
  <si>
    <t>GSON/2117310003</t>
  </si>
  <si>
    <t>RET NOMINA EMPLEADOS</t>
  </si>
  <si>
    <t>GSON/2117320001</t>
  </si>
  <si>
    <t>RET NOM MAGISTERIO</t>
  </si>
  <si>
    <t>GSON/2117320002</t>
  </si>
  <si>
    <t>AJUSTES SEGURO VIDA</t>
  </si>
  <si>
    <t>GSON/2117320004</t>
  </si>
  <si>
    <t>GSON/2117320007</t>
  </si>
  <si>
    <t>RET UNISON Y CONTRAL</t>
  </si>
  <si>
    <t>RETEN UNIVERSAL</t>
  </si>
  <si>
    <t>GSON/2117420008</t>
  </si>
  <si>
    <t>Devoluciones de la L</t>
  </si>
  <si>
    <t>GSON2118</t>
  </si>
  <si>
    <t>DEV LEYING UNICA VEZ</t>
  </si>
  <si>
    <t>GSON/2118100003</t>
  </si>
  <si>
    <t>Otras Cuentas por Pa</t>
  </si>
  <si>
    <t>GSON2119</t>
  </si>
  <si>
    <t>APORT ISSSTESON ORG</t>
  </si>
  <si>
    <t>GSON/2119900008</t>
  </si>
  <si>
    <t>APORT PEN Y JUB ORG</t>
  </si>
  <si>
    <t>GSON/2119900009</t>
  </si>
  <si>
    <t>RET ISSSTESON PODER</t>
  </si>
  <si>
    <t>GSON/2119900022</t>
  </si>
  <si>
    <t>DOC X PAG ESTATAL CP</t>
  </si>
  <si>
    <t>GSON/2121100004</t>
  </si>
  <si>
    <t>PORC CP DEUDA ESTAT</t>
  </si>
  <si>
    <t>PORC CP DEUDA FED</t>
  </si>
  <si>
    <t>APORT VOLUNTARIA</t>
  </si>
  <si>
    <t>TR&amp;M APORT BOMBEROS</t>
  </si>
  <si>
    <t>TR&amp;M APORTACION DIF</t>
  </si>
  <si>
    <t>TR&amp;M APORT CRUZ ROJA</t>
  </si>
  <si>
    <t>TR&amp;M APORT CUL Y JUV</t>
  </si>
  <si>
    <t>TR&amp;M OTROS INGRESOS</t>
  </si>
  <si>
    <t>TR&amp;M RETENCIONES</t>
  </si>
  <si>
    <t>GSON/2162200018</t>
  </si>
  <si>
    <t>SOBRANTE CAJA RECAUD</t>
  </si>
  <si>
    <t>RESUL DEL EJERCICIO</t>
  </si>
  <si>
    <t>GSON/3210000001</t>
  </si>
  <si>
    <t>RES EJER ANTERIORES</t>
  </si>
  <si>
    <t>RESUL EJERCICIO 2004</t>
  </si>
  <si>
    <t>RESUL EJERCICIO 2006</t>
  </si>
  <si>
    <t>GSON/3220000004</t>
  </si>
  <si>
    <t>RESUL EJERCICIO 2007</t>
  </si>
  <si>
    <t>GSON/3220000005</t>
  </si>
  <si>
    <t>RESUL EJERCICIO 2008</t>
  </si>
  <si>
    <t>GSON/3220000006</t>
  </si>
  <si>
    <t>RESUL EJERCICIO 2011</t>
  </si>
  <si>
    <t>GSON/3220000009</t>
  </si>
  <si>
    <t>RESUL EJERCICIO 2012</t>
  </si>
  <si>
    <t>GSON/3220000010</t>
  </si>
  <si>
    <t>RESUL EJERCICIO 2013</t>
  </si>
  <si>
    <t>RESUL EJERCICIO 2014</t>
  </si>
  <si>
    <t>GSON/3220000012</t>
  </si>
  <si>
    <t>IMP S/INGR OB PREMIO</t>
  </si>
  <si>
    <t>IEPS JUEGOS C/APUEST</t>
  </si>
  <si>
    <t>GSON/4113130301</t>
  </si>
  <si>
    <t>IMPTO PRES SERV HOSP</t>
  </si>
  <si>
    <t>MULTAS DE IMPUESTOS</t>
  </si>
  <si>
    <t>GSON/4117170102</t>
  </si>
  <si>
    <t>GTOS EJEC IMPUESTOS</t>
  </si>
  <si>
    <t>GSON/4117170103</t>
  </si>
  <si>
    <t>IMPTO PARA UNISON</t>
  </si>
  <si>
    <t>CONTRIBUCION CECOP</t>
  </si>
  <si>
    <t>CONTR INFRA EDUCATIV</t>
  </si>
  <si>
    <t>CONCESION INMUEBLES</t>
  </si>
  <si>
    <t>ARREN BIEN INMUEBLE</t>
  </si>
  <si>
    <t>OTROS DIR BEBIDAS</t>
  </si>
  <si>
    <t>CAN LIC VTA BEBIDA</t>
  </si>
  <si>
    <t>SER CONSTAN ARCHIVO</t>
  </si>
  <si>
    <t>SERV DIR DE NOTARIAS</t>
  </si>
  <si>
    <t>SERV DOCUM Y ARCHIVO</t>
  </si>
  <si>
    <t>SERV DE PUBLICACIÓN</t>
  </si>
  <si>
    <t>SUSC Y VTA BOLETINES</t>
  </si>
  <si>
    <t>EXP PLACAS CIRCULAC</t>
  </si>
  <si>
    <t>CANJE PLACAS CIRCULA</t>
  </si>
  <si>
    <t>REVALIDACION PLACAS</t>
  </si>
  <si>
    <t>EXP LICENCIAS CONDUC</t>
  </si>
  <si>
    <t>OTROS SERV VEHICULAR</t>
  </si>
  <si>
    <t>EXPED O ADJUD CONC</t>
  </si>
  <si>
    <t>REV ANUAL CONCESIÓN</t>
  </si>
  <si>
    <t>OTROS SERV AUTOTRANS</t>
  </si>
  <si>
    <t>SERV REGISTRO CIVIL</t>
  </si>
  <si>
    <t>SERV PRES SRÍA SALUD</t>
  </si>
  <si>
    <t>SERV PRES SEC</t>
  </si>
  <si>
    <t>SERV SRIO EJEC GOB</t>
  </si>
  <si>
    <t>SERV SRIA CONT GRAL</t>
  </si>
  <si>
    <t>SERV UNIDAD PROT CIV</t>
  </si>
  <si>
    <t>SERVICIOS PRES PGJE</t>
  </si>
  <si>
    <t>GSON/4143431601</t>
  </si>
  <si>
    <t>MULTAS DE DERECHOS</t>
  </si>
  <si>
    <t>GSON/4144450102</t>
  </si>
  <si>
    <t>GASTOS EJ DERECHOS</t>
  </si>
  <si>
    <t>GSON/4144450103</t>
  </si>
  <si>
    <t>UTIL DIVID E INTER</t>
  </si>
  <si>
    <t>OTR  PROD TIPO CORR</t>
  </si>
  <si>
    <t>GSON/4151510301</t>
  </si>
  <si>
    <t>ACTOSFISCIMPTOFED</t>
  </si>
  <si>
    <t>GSON/4161610101</t>
  </si>
  <si>
    <t>NOT.YCOBIMPTOFED</t>
  </si>
  <si>
    <t>GSON/4161610102</t>
  </si>
  <si>
    <t>ISRENAJTERRYCON</t>
  </si>
  <si>
    <t>ACTOSMATCOM.EXT.</t>
  </si>
  <si>
    <t>GSON/4161610105</t>
  </si>
  <si>
    <t>IMPTO.S/AUT.NUEVOS</t>
  </si>
  <si>
    <t>GSON/4161610106</t>
  </si>
  <si>
    <t>FDOCOMREPEC/INTER</t>
  </si>
  <si>
    <t>GSON/4161610108</t>
  </si>
  <si>
    <t>IEPSGASOLYDIESEL</t>
  </si>
  <si>
    <t>GSON/4161610113</t>
  </si>
  <si>
    <t>INCENTECON.ZOFEMAT</t>
  </si>
  <si>
    <t>GSON/4161610114</t>
  </si>
  <si>
    <t>Multas</t>
  </si>
  <si>
    <t>GSON4162</t>
  </si>
  <si>
    <t>GSON/4162610201</t>
  </si>
  <si>
    <t>MULTASFEDERALES</t>
  </si>
  <si>
    <t>GSON/4162610202</t>
  </si>
  <si>
    <t>GSON/4168610802</t>
  </si>
  <si>
    <t>Otros Aprovechamient</t>
  </si>
  <si>
    <t>GSON4169</t>
  </si>
  <si>
    <t>GSON/4169610901</t>
  </si>
  <si>
    <t>FONDOGRALPARTICIP.</t>
  </si>
  <si>
    <t>PARASER.EDUC.EST.</t>
  </si>
  <si>
    <t>APFRÉGEPROTSOCS</t>
  </si>
  <si>
    <t>GSON/4223930101</t>
  </si>
  <si>
    <t>FIDEFED/MPIO(FIDEM)</t>
  </si>
  <si>
    <t>GSON/4223930109</t>
  </si>
  <si>
    <t>ENBINNOSRÉGDP</t>
  </si>
  <si>
    <t>GSON5111</t>
  </si>
  <si>
    <t>SUELDOS</t>
  </si>
  <si>
    <t>GSON/5111113011</t>
  </si>
  <si>
    <t>GSON/5111113062</t>
  </si>
  <si>
    <t>GSON/5111113071</t>
  </si>
  <si>
    <t>GSON/5111113131</t>
  </si>
  <si>
    <t>EVENTUAL</t>
  </si>
  <si>
    <t>GSON/5112122011</t>
  </si>
  <si>
    <t>Remuneraciones Adici</t>
  </si>
  <si>
    <t>GSON5113</t>
  </si>
  <si>
    <t>GSON/5113131011</t>
  </si>
  <si>
    <t>Seguridad Social</t>
  </si>
  <si>
    <t>GSON5114</t>
  </si>
  <si>
    <t>GSON/5114141021</t>
  </si>
  <si>
    <t>GSON/5114141031</t>
  </si>
  <si>
    <t>GSON/5114141041</t>
  </si>
  <si>
    <t>GSON/5114141061</t>
  </si>
  <si>
    <t>GSON/5114141071</t>
  </si>
  <si>
    <t>GSON/5114141081</t>
  </si>
  <si>
    <t>GSON/5114144021</t>
  </si>
  <si>
    <t>Otras Prestaciones S</t>
  </si>
  <si>
    <t>GSON5115</t>
  </si>
  <si>
    <t>GSON/5115151011</t>
  </si>
  <si>
    <t>GSON/5115159011</t>
  </si>
  <si>
    <t>GSON/5121217011</t>
  </si>
  <si>
    <t>GAS</t>
  </si>
  <si>
    <t>GSON/5131312011</t>
  </si>
  <si>
    <t>GSON/5131313011</t>
  </si>
  <si>
    <t>GSON/5132321011</t>
  </si>
  <si>
    <t>GSON/5133338011</t>
  </si>
  <si>
    <t>INSTALACIONES</t>
  </si>
  <si>
    <t>GSON/5135353011</t>
  </si>
  <si>
    <t>GSON/5135359011</t>
  </si>
  <si>
    <t>GSON/5137371011</t>
  </si>
  <si>
    <t>Asignaciones al Sect</t>
  </si>
  <si>
    <t>GSON5211</t>
  </si>
  <si>
    <t>GSON/5211414011</t>
  </si>
  <si>
    <t>Part d'Federación a</t>
  </si>
  <si>
    <t>GSON5311</t>
  </si>
  <si>
    <t>GSON/5311811011</t>
  </si>
  <si>
    <t>Estim, Depre, Deter,</t>
  </si>
  <si>
    <t>GSON551</t>
  </si>
  <si>
    <t>Depreciación de Bien</t>
  </si>
  <si>
    <t>GSON5513</t>
  </si>
  <si>
    <t>DEPRECIACION DE BIEN</t>
  </si>
  <si>
    <t>GSON/5513100001</t>
  </si>
  <si>
    <t>Depreciación de Infr</t>
  </si>
  <si>
    <t>GSON5514</t>
  </si>
  <si>
    <t>DEPRECIACION DE INFR</t>
  </si>
  <si>
    <t>GSON/5514100001</t>
  </si>
  <si>
    <t>GSON5515</t>
  </si>
  <si>
    <t>GSON/5515100001</t>
  </si>
  <si>
    <t>Amortización de Acti</t>
  </si>
  <si>
    <t>GSON5517</t>
  </si>
  <si>
    <t>GSON/5517100001</t>
  </si>
  <si>
    <t>Avales y Garantías</t>
  </si>
  <si>
    <t>GSON73</t>
  </si>
  <si>
    <t>GSON/8110000000</t>
  </si>
  <si>
    <t>GSON/8240000001</t>
  </si>
  <si>
    <t>AF 02 INGRESOS</t>
  </si>
  <si>
    <t>GSON/1112010021</t>
  </si>
  <si>
    <t>BC 62 EGRESOS TR</t>
  </si>
  <si>
    <t>GSON/1112030623</t>
  </si>
  <si>
    <t>BX 21  EGRESOS TR</t>
  </si>
  <si>
    <t>GSON/1112080213</t>
  </si>
  <si>
    <t>HS 02   EGRESOS TR</t>
  </si>
  <si>
    <t>GSON/1112110023</t>
  </si>
  <si>
    <t>HS 02   INT GANADOS</t>
  </si>
  <si>
    <t>GSON/1112110025</t>
  </si>
  <si>
    <t>SA 45 INGRESOS</t>
  </si>
  <si>
    <t>GSON/1112150451</t>
  </si>
  <si>
    <t>GSON/1112150692</t>
  </si>
  <si>
    <t>GSON/1112160012</t>
  </si>
  <si>
    <t>SC 11 EGRESOS TR</t>
  </si>
  <si>
    <t>GSON/1112160113</t>
  </si>
  <si>
    <t>GSON/5121217021</t>
  </si>
  <si>
    <t>GSON/1111100004</t>
  </si>
  <si>
    <t>BJ 02 SALDO CTA BAN</t>
  </si>
  <si>
    <t>GSON/1112020020</t>
  </si>
  <si>
    <t>GSON/1112020024</t>
  </si>
  <si>
    <t>BJ 02 INT GANADOS</t>
  </si>
  <si>
    <t>GSON/1112020025</t>
  </si>
  <si>
    <t>GSON/1112030045</t>
  </si>
  <si>
    <t>GSON/1112030270</t>
  </si>
  <si>
    <t>GSON/1112030330</t>
  </si>
  <si>
    <t>GSON/1112030331</t>
  </si>
  <si>
    <t>BC 51 EGRESOS CHEQUE</t>
  </si>
  <si>
    <t>GSON/1112030512</t>
  </si>
  <si>
    <t>GSON/1112030912</t>
  </si>
  <si>
    <t>BC117 SLDO CTA BAN</t>
  </si>
  <si>
    <t>GSON/1112031170</t>
  </si>
  <si>
    <t>BC117 EGRESOS TR</t>
  </si>
  <si>
    <t>GSON/1112031173</t>
  </si>
  <si>
    <t>GSON/1112031270</t>
  </si>
  <si>
    <t>GSON/1112031271</t>
  </si>
  <si>
    <t>BM 02 INGRESOS</t>
  </si>
  <si>
    <t>GSON/1112050021</t>
  </si>
  <si>
    <t>BN 35 SALDO CTA BAN</t>
  </si>
  <si>
    <t>GSON/1112060350</t>
  </si>
  <si>
    <t>BN 35 INGRESOS</t>
  </si>
  <si>
    <t>GSON/1112060351</t>
  </si>
  <si>
    <t>BN 35 EGRESOS TR</t>
  </si>
  <si>
    <t>GSON/1112060353</t>
  </si>
  <si>
    <t>GSON/1112060482</t>
  </si>
  <si>
    <t>BN 72 SALDO CTA BAN</t>
  </si>
  <si>
    <t>GSON/1112060720</t>
  </si>
  <si>
    <t>GSON/1112060890</t>
  </si>
  <si>
    <t>GSON/1112060892</t>
  </si>
  <si>
    <t>GSON/1112060893</t>
  </si>
  <si>
    <t>GSON/1112060894</t>
  </si>
  <si>
    <t>GSON/1112070014</t>
  </si>
  <si>
    <t>BR 14 INGRESOS</t>
  </si>
  <si>
    <t>GSON/1112070141</t>
  </si>
  <si>
    <t>BR 14 EGRESOS TR</t>
  </si>
  <si>
    <t>GSON/1112070143</t>
  </si>
  <si>
    <t>BR 23 EGRESOS TR</t>
  </si>
  <si>
    <t>GSON/1112070203</t>
  </si>
  <si>
    <t>GSON/1112070204</t>
  </si>
  <si>
    <t>BR 25 INGRESOS</t>
  </si>
  <si>
    <t>GSON/1112070251</t>
  </si>
  <si>
    <t>BR 25 EGRESOS TR</t>
  </si>
  <si>
    <t>GSON/1112070253</t>
  </si>
  <si>
    <t>BX 40  SALDO CTA BAN</t>
  </si>
  <si>
    <t>GSON/1112080400</t>
  </si>
  <si>
    <t>BX 40  INGRESOS</t>
  </si>
  <si>
    <t>GSON/1112080401</t>
  </si>
  <si>
    <t>BX 43  SALDO CTA BAN</t>
  </si>
  <si>
    <t>GSON/1112080430</t>
  </si>
  <si>
    <t>BX 43  INGRESOS</t>
  </si>
  <si>
    <t>GSON/1112080431</t>
  </si>
  <si>
    <t>GSON/1112080434</t>
  </si>
  <si>
    <t>HS 09   INGRESOS</t>
  </si>
  <si>
    <t>GSON/1112110091</t>
  </si>
  <si>
    <t>SA 04 SALDO CTA BAN</t>
  </si>
  <si>
    <t>GSON/1112150040</t>
  </si>
  <si>
    <t>GSON/1112150044</t>
  </si>
  <si>
    <t>SA 04 INT GANADOS</t>
  </si>
  <si>
    <t>GSON/1112150045</t>
  </si>
  <si>
    <t>GSON/1112150374</t>
  </si>
  <si>
    <t>GSON/1112150764</t>
  </si>
  <si>
    <t>SC 50 EGRESOS TR</t>
  </si>
  <si>
    <t>GSON/1112160503</t>
  </si>
  <si>
    <t>VX 01 SALDO CTA BAN</t>
  </si>
  <si>
    <t>GSON/1112170010</t>
  </si>
  <si>
    <t>VX 01 EGRESOS TR</t>
  </si>
  <si>
    <t>GSON/1112170013</t>
  </si>
  <si>
    <t>GSON/1112990033</t>
  </si>
  <si>
    <t>SA 01 EGRESOS TR</t>
  </si>
  <si>
    <t>GSON/1116150013</t>
  </si>
  <si>
    <t>SA 36 SALDO CTA BAN</t>
  </si>
  <si>
    <t>GSON/1116150360</t>
  </si>
  <si>
    <t>SA 36 INGRESOS</t>
  </si>
  <si>
    <t>GSON/1116150361</t>
  </si>
  <si>
    <t>DEUDOR CH DEVUELTOS</t>
  </si>
  <si>
    <t>GSON/1123100003</t>
  </si>
  <si>
    <t>ANT PART ESTATALES</t>
  </si>
  <si>
    <t>GSON/1125100004</t>
  </si>
  <si>
    <t>ENHP CONSTRUCCION</t>
  </si>
  <si>
    <t>GSON/1235261201</t>
  </si>
  <si>
    <t>INFRA Y EQ ALCANTAR</t>
  </si>
  <si>
    <t>GSON/1235461409</t>
  </si>
  <si>
    <t>GSON/2118100004</t>
  </si>
  <si>
    <t>GSON/2162200020</t>
  </si>
  <si>
    <t>Indemnizaciones</t>
  </si>
  <si>
    <t>GSON4163</t>
  </si>
  <si>
    <t>INDEMNIZACIONES</t>
  </si>
  <si>
    <t>GSON/4163610301</t>
  </si>
  <si>
    <t>ENERGIA ELECTRICA</t>
  </si>
  <si>
    <t>GSON/5137375011</t>
  </si>
  <si>
    <t>GSON5212</t>
  </si>
  <si>
    <t>GSON/5212415031</t>
  </si>
  <si>
    <t>Ayudas Sociales</t>
  </si>
  <si>
    <t>GSON524</t>
  </si>
  <si>
    <t>Ayudas Soc a Institu</t>
  </si>
  <si>
    <t>GSON5243</t>
  </si>
  <si>
    <t>GSON/5243445021</t>
  </si>
  <si>
    <t>GSON/5311812011</t>
  </si>
  <si>
    <t>GSON/5311815011</t>
  </si>
  <si>
    <t>GSON/5311815021</t>
  </si>
  <si>
    <t>GSON/5311815031</t>
  </si>
  <si>
    <t>GSON/5311815041</t>
  </si>
  <si>
    <t>GSON/5311815051</t>
  </si>
  <si>
    <t>GSON/5311815061</t>
  </si>
  <si>
    <t>Part de las Ent Fed</t>
  </si>
  <si>
    <t>GSON5312</t>
  </si>
  <si>
    <t>GSON/5312813011</t>
  </si>
  <si>
    <t>GSON/5312813021</t>
  </si>
  <si>
    <t>GSON/5312813031</t>
  </si>
  <si>
    <t>GSON/5312813041</t>
  </si>
  <si>
    <t>GSON/5312813051</t>
  </si>
  <si>
    <t>CAJAS RECAUD SDO</t>
  </si>
  <si>
    <t>CAJAS REC EFECTIVO</t>
  </si>
  <si>
    <t>GSON/1111100001</t>
  </si>
  <si>
    <t>CAJAS REC CHEQUE</t>
  </si>
  <si>
    <t>CAJAS REC EFE CH TB</t>
  </si>
  <si>
    <t>FONDOS FIJOS DE CAJA</t>
  </si>
  <si>
    <t>GSON/1111200001</t>
  </si>
  <si>
    <t>CAJA CHICA 4</t>
  </si>
  <si>
    <t>GSON/1111300004</t>
  </si>
  <si>
    <t>CAJA CHICA 5</t>
  </si>
  <si>
    <t>GSON/1111300005</t>
  </si>
  <si>
    <t>CAJA CHICA 6</t>
  </si>
  <si>
    <t>GSON/1111300006</t>
  </si>
  <si>
    <t>CAJA CHICA 7</t>
  </si>
  <si>
    <t>GSON/1111300007</t>
  </si>
  <si>
    <t>CAJA CHICA 9</t>
  </si>
  <si>
    <t>GSON/1111300009</t>
  </si>
  <si>
    <t>CAJA CHICA 10</t>
  </si>
  <si>
    <t>GSON/1111300010</t>
  </si>
  <si>
    <t>CAJA CHICA 11</t>
  </si>
  <si>
    <t>GSON/1111300011</t>
  </si>
  <si>
    <t>CAJA CHICA 12</t>
  </si>
  <si>
    <t>GSON/1111300012</t>
  </si>
  <si>
    <t>CAJA CHICA 13</t>
  </si>
  <si>
    <t>GSON/1111300013</t>
  </si>
  <si>
    <t>CAJA CHICA 14</t>
  </si>
  <si>
    <t>GSON/1111300014</t>
  </si>
  <si>
    <t>CAJA CHICA 15</t>
  </si>
  <si>
    <t>GSON/1111300015</t>
  </si>
  <si>
    <t>CAJA CHICA 16</t>
  </si>
  <si>
    <t>GSON/1111300016</t>
  </si>
  <si>
    <t>CAJA CHICA 17</t>
  </si>
  <si>
    <t>GSON/1111300017</t>
  </si>
  <si>
    <t>CAJA CHICA 18</t>
  </si>
  <si>
    <t>GSON/1111300018</t>
  </si>
  <si>
    <t>CAJA CHICA 19</t>
  </si>
  <si>
    <t>GSON/1111300019</t>
  </si>
  <si>
    <t>CAJA CHICA 20</t>
  </si>
  <si>
    <t>GSON/1111300020</t>
  </si>
  <si>
    <t>CAJA CHICA 21</t>
  </si>
  <si>
    <t>GSON/1111300021</t>
  </si>
  <si>
    <t>CAJA CHICA 22</t>
  </si>
  <si>
    <t>GSON/1111300022</t>
  </si>
  <si>
    <t>CAJA CHICA 24</t>
  </si>
  <si>
    <t>GSON/1111300024</t>
  </si>
  <si>
    <t>CAJA CHICA 25</t>
  </si>
  <si>
    <t>GSON/1111300025</t>
  </si>
  <si>
    <t>CAJA CHICA 26</t>
  </si>
  <si>
    <t>GSON/1111300026</t>
  </si>
  <si>
    <t>CAJA CHICA 28</t>
  </si>
  <si>
    <t>GSON/1111300028</t>
  </si>
  <si>
    <t>CAJA CHICA 29</t>
  </si>
  <si>
    <t>GSON/1111300029</t>
  </si>
  <si>
    <t>CAJA CHICA 30</t>
  </si>
  <si>
    <t>GSON/1111300030</t>
  </si>
  <si>
    <t>CAJA CHICA 31</t>
  </si>
  <si>
    <t>GSON/1111300031</t>
  </si>
  <si>
    <t>CAJA CHICA 32</t>
  </si>
  <si>
    <t>GSON/1111300032</t>
  </si>
  <si>
    <t>CAJA CHICA 33</t>
  </si>
  <si>
    <t>GSON/1111300033</t>
  </si>
  <si>
    <t>CAJA CHICA 34</t>
  </si>
  <si>
    <t>GSON/1111300034</t>
  </si>
  <si>
    <t>CAJA CHICA 35</t>
  </si>
  <si>
    <t>GSON/1111300035</t>
  </si>
  <si>
    <t>CAJA CHICA 36</t>
  </si>
  <si>
    <t>GSON/1111300036</t>
  </si>
  <si>
    <t>CAJA CHICA 37</t>
  </si>
  <si>
    <t>GSON/1111300037</t>
  </si>
  <si>
    <t>CAJA CHICA 38</t>
  </si>
  <si>
    <t>GSON/1111300038</t>
  </si>
  <si>
    <t>CAJA CHICA 39</t>
  </si>
  <si>
    <t>GSON/1111300039</t>
  </si>
  <si>
    <t>CAJA CHICA 40</t>
  </si>
  <si>
    <t>GSON/1111300040</t>
  </si>
  <si>
    <t>CAJA CHICA 41</t>
  </si>
  <si>
    <t>GSON/1111300041</t>
  </si>
  <si>
    <t>CAJA CHICA 42</t>
  </si>
  <si>
    <t>GSON/1111300042</t>
  </si>
  <si>
    <t>CAJA CHICA 43</t>
  </si>
  <si>
    <t>GSON/1111300043</t>
  </si>
  <si>
    <t>CAJA CHICA 44</t>
  </si>
  <si>
    <t>GSON/1111300044</t>
  </si>
  <si>
    <t>CAJA CHICA 45</t>
  </si>
  <si>
    <t>GSON/1111300045</t>
  </si>
  <si>
    <t>CAJA CHICA 46</t>
  </si>
  <si>
    <t>GSON/1111300046</t>
  </si>
  <si>
    <t>CAJA CHICA 47</t>
  </si>
  <si>
    <t>GSON/1111300047</t>
  </si>
  <si>
    <t>CAJA CHICA 48</t>
  </si>
  <si>
    <t>GSON/1111300048</t>
  </si>
  <si>
    <t>CAJA CHICA 51</t>
  </si>
  <si>
    <t>GSON/1111300051</t>
  </si>
  <si>
    <t>CAJA CHICA 52</t>
  </si>
  <si>
    <t>GSON/1111300052</t>
  </si>
  <si>
    <t>CAJA CHICA 55</t>
  </si>
  <si>
    <t>GSON/1111300055</t>
  </si>
  <si>
    <t>CAJA CHICA 56</t>
  </si>
  <si>
    <t>GSON/1111300056</t>
  </si>
  <si>
    <t>CAJA CHICA 57</t>
  </si>
  <si>
    <t>GSON/1111300057</t>
  </si>
  <si>
    <t>CAJA CHICA 58</t>
  </si>
  <si>
    <t>GSON/1111300058</t>
  </si>
  <si>
    <t>AF 01 EGRESOS CHEQUE</t>
  </si>
  <si>
    <t>AF 01 IVA Y COMISION</t>
  </si>
  <si>
    <t>GSON/1112010014</t>
  </si>
  <si>
    <t>BJ 02 IVA Y COMISION</t>
  </si>
  <si>
    <t>BJ 03 EGRESOS CHEQUE</t>
  </si>
  <si>
    <t>BJ 03 IVA Y COMISION</t>
  </si>
  <si>
    <t>BJ 03 INT GANADOS</t>
  </si>
  <si>
    <t>GSON/1112020035</t>
  </si>
  <si>
    <t>BJ 04 SALDO CTA BAN</t>
  </si>
  <si>
    <t>GSON/1112020040</t>
  </si>
  <si>
    <t>BJ 04 INGRESOS</t>
  </si>
  <si>
    <t>GSON/1112020041</t>
  </si>
  <si>
    <t>BJ 04 INT GANADOS</t>
  </si>
  <si>
    <t>GSON/1112020045</t>
  </si>
  <si>
    <t>BM 001 SALDO CTA BAN</t>
  </si>
  <si>
    <t>BM 001 INGRESOS</t>
  </si>
  <si>
    <t>BM 001 EGRESOS CHEQU</t>
  </si>
  <si>
    <t>BM 001 EGRESOS TR</t>
  </si>
  <si>
    <t>BM 001 IVA Y COMISIO</t>
  </si>
  <si>
    <t>BM 001 INT GANADOS</t>
  </si>
  <si>
    <t>BM 002 SALDO CTA BAN</t>
  </si>
  <si>
    <t>BM 002 INGRESOS</t>
  </si>
  <si>
    <t>BM 002 EGRESOS TR</t>
  </si>
  <si>
    <t>BM 002 IVA Y COMISIO</t>
  </si>
  <si>
    <t>GSON/1112030024</t>
  </si>
  <si>
    <t>BM 002 INT GANADOS</t>
  </si>
  <si>
    <t>BM 003 SALDO CTA BAN</t>
  </si>
  <si>
    <t>BM 003 INGRESOS</t>
  </si>
  <si>
    <t>BM 003 EGRESOS CHEQU</t>
  </si>
  <si>
    <t>BM 003 EGRESOS TR</t>
  </si>
  <si>
    <t>BM 003 IVA Y COMISIO</t>
  </si>
  <si>
    <t>BM 003 INT GANADOS</t>
  </si>
  <si>
    <t>BM 004 SALDO CTA BAN</t>
  </si>
  <si>
    <t>BM 004 INGRESOS</t>
  </si>
  <si>
    <t>BM 004 EGRESOS TR</t>
  </si>
  <si>
    <t>BM 004 INT GANADOS</t>
  </si>
  <si>
    <t>BM 006 SALDO CTA BAN</t>
  </si>
  <si>
    <t>BM 006 INGRESOS</t>
  </si>
  <si>
    <t>BM 006 INT GANADOS</t>
  </si>
  <si>
    <t>GSON/1112030065</t>
  </si>
  <si>
    <t>BM 007 SALDO CTA BAN</t>
  </si>
  <si>
    <t>BM 007 INGRESOS</t>
  </si>
  <si>
    <t>BM 007 INT GANADOS</t>
  </si>
  <si>
    <t>GSON/1112030075</t>
  </si>
  <si>
    <t>BM 008 SALDO CTA BAN</t>
  </si>
  <si>
    <t>BM 008 INGRESOS</t>
  </si>
  <si>
    <t>BM 008 INT GANADOS</t>
  </si>
  <si>
    <t>GSON/1112030085</t>
  </si>
  <si>
    <t>BM 009 SALDO CTA BAN</t>
  </si>
  <si>
    <t>BM 009 INGRESOS</t>
  </si>
  <si>
    <t>BM 009 INT GANADOS</t>
  </si>
  <si>
    <t>GSON/1112030095</t>
  </si>
  <si>
    <t>BM 010 SALDO CTA BAN</t>
  </si>
  <si>
    <t>BM 010 INGRESOS</t>
  </si>
  <si>
    <t>BM 010 INT GANADOS</t>
  </si>
  <si>
    <t>GSON/1112030105</t>
  </si>
  <si>
    <t>BM 011 SALDO CTA BAN</t>
  </si>
  <si>
    <t>GSON/1112030110</t>
  </si>
  <si>
    <t>BM 011 EGRESOS TR</t>
  </si>
  <si>
    <t>GSON/1112030113</t>
  </si>
  <si>
    <t>BM 012 SALDO CTA BAN</t>
  </si>
  <si>
    <t>BM 012 INGRESOS</t>
  </si>
  <si>
    <t>BM 012 EGRESOS TR</t>
  </si>
  <si>
    <t>GSON/1112030123</t>
  </si>
  <si>
    <t>BM 012 INT GANADOS</t>
  </si>
  <si>
    <t>GSON/1112030125</t>
  </si>
  <si>
    <t>BM 013 SALDO CTA BAN</t>
  </si>
  <si>
    <t>GSON/1112030130</t>
  </si>
  <si>
    <t>BM 013 EGRESOS TR</t>
  </si>
  <si>
    <t>GSON/1112030133</t>
  </si>
  <si>
    <t>BM 014 INGRESOS</t>
  </si>
  <si>
    <t>BM 014 INT GANADOS</t>
  </si>
  <si>
    <t>GSON/1112030145</t>
  </si>
  <si>
    <t>BM 016 SALDO CTA BAN</t>
  </si>
  <si>
    <t>GSON/1112030160</t>
  </si>
  <si>
    <t>BM 016 INGRESOS</t>
  </si>
  <si>
    <t>GSON/1112030161</t>
  </si>
  <si>
    <t>BM 016 EGRESOS TR</t>
  </si>
  <si>
    <t>GSON/1112030163</t>
  </si>
  <si>
    <t>BM 016 IVA Y COMISIO</t>
  </si>
  <si>
    <t>GSON/1112030164</t>
  </si>
  <si>
    <t>BM 016 INT GANADOS</t>
  </si>
  <si>
    <t>GSON/1112030165</t>
  </si>
  <si>
    <t>BM 017 SALDO CTA BAN</t>
  </si>
  <si>
    <t>BM 017 INGRESOS</t>
  </si>
  <si>
    <t>BM 017 IVA Y COMISIO</t>
  </si>
  <si>
    <t>BM 017 INT GANADOS</t>
  </si>
  <si>
    <t>GSON/1112030175</t>
  </si>
  <si>
    <t>BM 018 SALDO CTA BAN</t>
  </si>
  <si>
    <t>BM 018 INGRESOS</t>
  </si>
  <si>
    <t>BM 018 INT GANADOS</t>
  </si>
  <si>
    <t>GSON/1112030185</t>
  </si>
  <si>
    <t>BM 019 SALDO CTA BAN</t>
  </si>
  <si>
    <t>GSON/1112030190</t>
  </si>
  <si>
    <t>BM 019 EGRESOS TR</t>
  </si>
  <si>
    <t>GSON/1112030193</t>
  </si>
  <si>
    <t>BM 020 SALDO CTA BAN</t>
  </si>
  <si>
    <t>GSON/1112030200</t>
  </si>
  <si>
    <t>BM 020 EGRESOS TR</t>
  </si>
  <si>
    <t>BM 022 SALDO CTA BAN</t>
  </si>
  <si>
    <t>GSON/1112030220</t>
  </si>
  <si>
    <t>BM 022 EGRESOS TR</t>
  </si>
  <si>
    <t>GSON/1112030223</t>
  </si>
  <si>
    <t>BM 023 SALDO CTA BAN</t>
  </si>
  <si>
    <t>BM 023 INGRESOS</t>
  </si>
  <si>
    <t>BM 023 INT GANADOS</t>
  </si>
  <si>
    <t>GSON/1112030235</t>
  </si>
  <si>
    <t>BM 024 SALDO CTA BAN</t>
  </si>
  <si>
    <t>BM 024 INGRESOS</t>
  </si>
  <si>
    <t>BM 024 EGRESOS CHEQU</t>
  </si>
  <si>
    <t>GSON/1112030242</t>
  </si>
  <si>
    <t>BM 024 EGRESOS TR</t>
  </si>
  <si>
    <t>GSON/1112030243</t>
  </si>
  <si>
    <t>BM 024 IVA Y COMISIO</t>
  </si>
  <si>
    <t>GSON/1112030244</t>
  </si>
  <si>
    <t>BM 024 INT GANADOS</t>
  </si>
  <si>
    <t>GSON/1112030245</t>
  </si>
  <si>
    <t>BM 025 SALDO CTA BAN</t>
  </si>
  <si>
    <t>BM 025 INGRESOS</t>
  </si>
  <si>
    <t>BM 025 IVA Y COMISIO</t>
  </si>
  <si>
    <t>GSON/1112030254</t>
  </si>
  <si>
    <t>BM 025 INT GANADOS</t>
  </si>
  <si>
    <t>GSON/1112030255</t>
  </si>
  <si>
    <t>BM 026 SALDO CTA BAN</t>
  </si>
  <si>
    <t>GSON/1112030260</t>
  </si>
  <si>
    <t>BM 027 SALDO CTA BAN</t>
  </si>
  <si>
    <t>BM 028 SALDO CTA BAN</t>
  </si>
  <si>
    <t>BM 028 INGRESOS</t>
  </si>
  <si>
    <t>BM 028 INT GANADOS</t>
  </si>
  <si>
    <t>GSON/1112030285</t>
  </si>
  <si>
    <t>BM 029 SALDO CTA BAN</t>
  </si>
  <si>
    <t>BM 029 INGRESOS</t>
  </si>
  <si>
    <t>BM 029 EGRESOS TR</t>
  </si>
  <si>
    <t>GSON/1112030293</t>
  </si>
  <si>
    <t>BM 029 INT GANADOS</t>
  </si>
  <si>
    <t>GSON/1112030295</t>
  </si>
  <si>
    <t>BM 030 SALDO CTA BAN</t>
  </si>
  <si>
    <t>BM 030 INGRESOS</t>
  </si>
  <si>
    <t>BM 030 EGRESOS TR</t>
  </si>
  <si>
    <t>GSON/1112030303</t>
  </si>
  <si>
    <t>BM 030 INT GANADOS</t>
  </si>
  <si>
    <t>GSON/1112030305</t>
  </si>
  <si>
    <t>BM 031 SALDO CTA BAN</t>
  </si>
  <si>
    <t>BM 031 INGRESOS</t>
  </si>
  <si>
    <t>BM 031 EGRESOS TR</t>
  </si>
  <si>
    <t>GSON/1112030313</t>
  </si>
  <si>
    <t>BM 031 INT GANADOS</t>
  </si>
  <si>
    <t>GSON/1112030315</t>
  </si>
  <si>
    <t>BM 032 SALDO CTA BAN</t>
  </si>
  <si>
    <t>BM 032 INGRESOS</t>
  </si>
  <si>
    <t>BM 032 EGRESOS TR</t>
  </si>
  <si>
    <t>GSON/1112030323</t>
  </si>
  <si>
    <t>BM 032 INT GANADOS</t>
  </si>
  <si>
    <t>GSON/1112030325</t>
  </si>
  <si>
    <t>BM 033 SALDO CTA BAN</t>
  </si>
  <si>
    <t>BM 033 INGRESOS</t>
  </si>
  <si>
    <t>BM 033 EGRESOS TR</t>
  </si>
  <si>
    <t>GSON/1112030333</t>
  </si>
  <si>
    <t>BM 033 INT GANADOS</t>
  </si>
  <si>
    <t>GSON/1112030335</t>
  </si>
  <si>
    <t>BM 034 SALDO CTA BAN</t>
  </si>
  <si>
    <t>BM 034 INGRESOS</t>
  </si>
  <si>
    <t>BM 034 EGRESOS TR</t>
  </si>
  <si>
    <t>GSON/1112030343</t>
  </si>
  <si>
    <t>BM 034 INT GANADOS</t>
  </si>
  <si>
    <t>GSON/1112030345</t>
  </si>
  <si>
    <t>BM 035 SALDO CTA BAN</t>
  </si>
  <si>
    <t>BM 035 INGRESOS</t>
  </si>
  <si>
    <t>BM 035 EGRESOS TR</t>
  </si>
  <si>
    <t>GSON/1112030353</t>
  </si>
  <si>
    <t>BM 035 INT GANADOS</t>
  </si>
  <si>
    <t>GSON/1112030355</t>
  </si>
  <si>
    <t>BM 036 SALDO CTA BAN</t>
  </si>
  <si>
    <t>GSON/1112030360</t>
  </si>
  <si>
    <t>BM 036 INT GANADOS</t>
  </si>
  <si>
    <t>GSON/1112030365</t>
  </si>
  <si>
    <t>BM 037 SALDO CTA BAN</t>
  </si>
  <si>
    <t>BM 037 INGRESOS</t>
  </si>
  <si>
    <t>BM 037 EGRESOS TR</t>
  </si>
  <si>
    <t>GSON/1112030373</t>
  </si>
  <si>
    <t>BM 037 INT GANADOS</t>
  </si>
  <si>
    <t>GSON/1112030375</t>
  </si>
  <si>
    <t>BM 038 SALDO CTA BAN</t>
  </si>
  <si>
    <t>BM 038 INGRESOS</t>
  </si>
  <si>
    <t>BM 038 EGRESOS TR</t>
  </si>
  <si>
    <t>GSON/1112030383</t>
  </si>
  <si>
    <t>BM 038 INT GANADOS</t>
  </si>
  <si>
    <t>GSON/1112030385</t>
  </si>
  <si>
    <t>BM 039 SALDO CTA BAN</t>
  </si>
  <si>
    <t>BM 039 INGRESOS</t>
  </si>
  <si>
    <t>BM 039 EGRESOS CHEQU</t>
  </si>
  <si>
    <t>GSON/1112030392</t>
  </si>
  <si>
    <t>BM 039 INT GANADOS</t>
  </si>
  <si>
    <t>GSON/1112030395</t>
  </si>
  <si>
    <t>BM 049 SALDO CTA BAN</t>
  </si>
  <si>
    <t>BM 049 INGRESOS</t>
  </si>
  <si>
    <t>BM 049 EGRESOS CHEQU</t>
  </si>
  <si>
    <t>BM 049 EGRESOS TR</t>
  </si>
  <si>
    <t>BM 049 IVA Y COMISIO</t>
  </si>
  <si>
    <t>BM 050 SALDO CTA BAN</t>
  </si>
  <si>
    <t>BM 050 INGRESOS</t>
  </si>
  <si>
    <t>BM 050 EGRESOS CHEQU</t>
  </si>
  <si>
    <t>GSON/1112030502</t>
  </si>
  <si>
    <t>BM 050 EGRESOS TR</t>
  </si>
  <si>
    <t>BM 050 IVA Y COMISIO</t>
  </si>
  <si>
    <t>BC 52 EGRESOS CHEQUE</t>
  </si>
  <si>
    <t>GSON/1112030522</t>
  </si>
  <si>
    <t>BC 53 EGRESOS CHEQUE</t>
  </si>
  <si>
    <t>GSON/1112030532</t>
  </si>
  <si>
    <t>BC 55 EGRESOS CHEQUE</t>
  </si>
  <si>
    <t>GSON/1112030552</t>
  </si>
  <si>
    <t>BC 55 EGRESOS TR</t>
  </si>
  <si>
    <t>GSON/1112030553</t>
  </si>
  <si>
    <t>BC 56 EGRESOS TR</t>
  </si>
  <si>
    <t>GSON/1112030563</t>
  </si>
  <si>
    <t>BC 57 EGRESOS TR</t>
  </si>
  <si>
    <t>GSON/1112030573</t>
  </si>
  <si>
    <t>BC 57 IVA Y COMISION</t>
  </si>
  <si>
    <t>GSON/1112030574</t>
  </si>
  <si>
    <t>BC 58 EGRESOS CHEQUE</t>
  </si>
  <si>
    <t>GSON/1112030582</t>
  </si>
  <si>
    <t>BC 58 IVA Y COMISION</t>
  </si>
  <si>
    <t>BC 59 EGRESOS CHEQUE</t>
  </si>
  <si>
    <t>GSON/1112030592</t>
  </si>
  <si>
    <t>BC 59 IVA Y COMISION</t>
  </si>
  <si>
    <t>BC 60 EGRESOS CHEQUE</t>
  </si>
  <si>
    <t>GSON/1112030602</t>
  </si>
  <si>
    <t>BC 60 EGRESOS TR</t>
  </si>
  <si>
    <t>GSON/1112030603</t>
  </si>
  <si>
    <t>BC 60 IVA Y COMISION</t>
  </si>
  <si>
    <t>BC 61 EGRESOS CHEQUE</t>
  </si>
  <si>
    <t>GSON/1112030612</t>
  </si>
  <si>
    <t>BC 61 EGRESOS TR</t>
  </si>
  <si>
    <t>GSON/1112030613</t>
  </si>
  <si>
    <t>BC 61 IVA Y COMISION</t>
  </si>
  <si>
    <t>BC 62 IVA Y COMISION</t>
  </si>
  <si>
    <t>GSON/1112030624</t>
  </si>
  <si>
    <t>BC 63 EGRESOS CHEQUE</t>
  </si>
  <si>
    <t>GSON/1112030632</t>
  </si>
  <si>
    <t>BC 63 IVA Y COMISION</t>
  </si>
  <si>
    <t>BC 63 INT GANADOS</t>
  </si>
  <si>
    <t>GSON/1112030635</t>
  </si>
  <si>
    <t>BC 64 EGRESOS CHEQUE</t>
  </si>
  <si>
    <t>GSON/1112030642</t>
  </si>
  <si>
    <t>BC 64 IVA Y COMISION</t>
  </si>
  <si>
    <t>BC 65 EGRESOS CHEQUE</t>
  </si>
  <si>
    <t>GSON/1112030652</t>
  </si>
  <si>
    <t>BC 65 IVA Y COMISION</t>
  </si>
  <si>
    <t>BC 66 EGRESOS TR</t>
  </si>
  <si>
    <t>GSON/1112030663</t>
  </si>
  <si>
    <t>BC 66 IVA Y COMISION</t>
  </si>
  <si>
    <t>GSON/1112030664</t>
  </si>
  <si>
    <t>BC 67 EGRESOS CHEQUE</t>
  </si>
  <si>
    <t>GSON/1112030672</t>
  </si>
  <si>
    <t>BC 67 IVA Y COMISION</t>
  </si>
  <si>
    <t>BC 68 EGRESOS CHEQUE</t>
  </si>
  <si>
    <t>GSON/1112030682</t>
  </si>
  <si>
    <t>BC 68 EGRESOS TR</t>
  </si>
  <si>
    <t>GSON/1112030683</t>
  </si>
  <si>
    <t>BC 68 IVA Y COMISION</t>
  </si>
  <si>
    <t>GSON/1112030684</t>
  </si>
  <si>
    <t>BC 69 EGRESOS TR</t>
  </si>
  <si>
    <t>GSON/1112030693</t>
  </si>
  <si>
    <t>BC 69 IVA Y COMISION</t>
  </si>
  <si>
    <t>GSON/1112030694</t>
  </si>
  <si>
    <t>BC 70 IVA Y COMISION</t>
  </si>
  <si>
    <t>GSON/1112030704</t>
  </si>
  <si>
    <t>BC 70 INT GANADOS</t>
  </si>
  <si>
    <t>GSON/1112030705</t>
  </si>
  <si>
    <t>BC 71 EGRESOS TR</t>
  </si>
  <si>
    <t>GSON/1112030713</t>
  </si>
  <si>
    <t>BC 71 IVA Y COMISION</t>
  </si>
  <si>
    <t>GSON/1112030714</t>
  </si>
  <si>
    <t>BC 72 EGRESOS TR</t>
  </si>
  <si>
    <t>GSON/1112030723</t>
  </si>
  <si>
    <t>BC 72 IVA Y COMISION</t>
  </si>
  <si>
    <t>GSON/1112030724</t>
  </si>
  <si>
    <t>BC 73 EGRESOS CHEQUE</t>
  </si>
  <si>
    <t>GSON/1112030732</t>
  </si>
  <si>
    <t>BC 73 EGRESOS TR</t>
  </si>
  <si>
    <t>GSON/1112030733</t>
  </si>
  <si>
    <t>BC 73 IVA Y COMISION</t>
  </si>
  <si>
    <t>GSON/1112030734</t>
  </si>
  <si>
    <t>BC 74 EGRESOS TR</t>
  </si>
  <si>
    <t>GSON/1112030743</t>
  </si>
  <si>
    <t>BC 74 IVA Y COMISION</t>
  </si>
  <si>
    <t>GSON/1112030744</t>
  </si>
  <si>
    <t>BC 75 EGRESOS CHEQUE</t>
  </si>
  <si>
    <t>GSON/1112030752</t>
  </si>
  <si>
    <t>BC 75 EGRESOS TR</t>
  </si>
  <si>
    <t>GSON/1112030753</t>
  </si>
  <si>
    <t>BC 75 IVA Y COMISION</t>
  </si>
  <si>
    <t>GSON/1112030754</t>
  </si>
  <si>
    <t>BC 76 EGRESOS CHEQUE</t>
  </si>
  <si>
    <t>GSON/1112030762</t>
  </si>
  <si>
    <t>BC 76 EGRESOS TR</t>
  </si>
  <si>
    <t>GSON/1112030763</t>
  </si>
  <si>
    <t>BC 76 IVA Y COMISION</t>
  </si>
  <si>
    <t>GSON/1112030764</t>
  </si>
  <si>
    <t>BC 77 EGRESOS TR</t>
  </si>
  <si>
    <t>GSON/1112030773</t>
  </si>
  <si>
    <t>BC 77 IVA Y COMISION</t>
  </si>
  <si>
    <t>GSON/1112030774</t>
  </si>
  <si>
    <t>BC 78 EGRESOS TR</t>
  </si>
  <si>
    <t>GSON/1112030783</t>
  </si>
  <si>
    <t>BC 78 IVA Y COMISION</t>
  </si>
  <si>
    <t>GSON/1112030784</t>
  </si>
  <si>
    <t>BC 79 SALDO CTA BAN</t>
  </si>
  <si>
    <t>GSON/1112030790</t>
  </si>
  <si>
    <t>BC 79 INGRESOS</t>
  </si>
  <si>
    <t>GSON/1112030791</t>
  </si>
  <si>
    <t>BC 79 EGRESOS TR</t>
  </si>
  <si>
    <t>GSON/1112030793</t>
  </si>
  <si>
    <t>BC 79 IVA Y COMISION</t>
  </si>
  <si>
    <t>GSON/1112030794</t>
  </si>
  <si>
    <t>BC 80 EGRESOS TR</t>
  </si>
  <si>
    <t>GSON/1112030803</t>
  </si>
  <si>
    <t>BC 80 IVA Y COMISION</t>
  </si>
  <si>
    <t>GSON/1112030804</t>
  </si>
  <si>
    <t>BC 82 EGRESOS TR</t>
  </si>
  <si>
    <t>GSON/1112030823</t>
  </si>
  <si>
    <t>BC 82 IVA Y COMISION</t>
  </si>
  <si>
    <t>BC 83 SALDO CTA BAN</t>
  </si>
  <si>
    <t>GSON/1112030830</t>
  </si>
  <si>
    <t>BC 83 INGRESOS</t>
  </si>
  <si>
    <t>GSON/1112030831</t>
  </si>
  <si>
    <t>BC 83 EGRESOS TR</t>
  </si>
  <si>
    <t>GSON/1112030833</t>
  </si>
  <si>
    <t>BC 84 EGRESOS TR</t>
  </si>
  <si>
    <t>GSON/1112030843</t>
  </si>
  <si>
    <t>BC 84 IVA Y COMISION</t>
  </si>
  <si>
    <t>GSON/1112030844</t>
  </si>
  <si>
    <t>BC 85 EGRESOS TR</t>
  </si>
  <si>
    <t>GSON/1112030853</t>
  </si>
  <si>
    <t>BC 85 IVA Y COMISION</t>
  </si>
  <si>
    <t>GSON/1112030854</t>
  </si>
  <si>
    <t>BBVA 90 SDO CTA BAN</t>
  </si>
  <si>
    <t>BBVA 90 INGRESOS</t>
  </si>
  <si>
    <t>BBVA 90 INT GANADOS</t>
  </si>
  <si>
    <t>GSON/1112030905</t>
  </si>
  <si>
    <t>BBVA 91 SDO CTA BAN</t>
  </si>
  <si>
    <t>BBVA 91 INGRESOS</t>
  </si>
  <si>
    <t>BBVA 91 EGRESOS CHEQ</t>
  </si>
  <si>
    <t>BBVA 91 EGRESOS TR</t>
  </si>
  <si>
    <t>GSON/1112030913</t>
  </si>
  <si>
    <t>BBVA 91 IVA Y COMISI</t>
  </si>
  <si>
    <t>GSON/1112030914</t>
  </si>
  <si>
    <t>BBVA 91 INT GANADOS</t>
  </si>
  <si>
    <t>GSON/1112030915</t>
  </si>
  <si>
    <t>BBVA 92 SDO CTA BAN</t>
  </si>
  <si>
    <t>GSON/1112030920</t>
  </si>
  <si>
    <t>BBVA 92 INGRESOS</t>
  </si>
  <si>
    <t>GSON/1112030921</t>
  </si>
  <si>
    <t>BBVA 92 EGRESOS TR</t>
  </si>
  <si>
    <t>BBVA 92 IVA Y COMISI</t>
  </si>
  <si>
    <t>GSON/1112030924</t>
  </si>
  <si>
    <t>BBVA 92 INT GANADOS</t>
  </si>
  <si>
    <t>GSON/1112030925</t>
  </si>
  <si>
    <t>BBVA 93 SDO CTA BAN</t>
  </si>
  <si>
    <t>BBVA 93 INGRESOS</t>
  </si>
  <si>
    <t>BBVA 93 EGRESOS CHEQ</t>
  </si>
  <si>
    <t>GSON/1112030932</t>
  </si>
  <si>
    <t>BBVA 93 INT GANADOS</t>
  </si>
  <si>
    <t>GSON/1112030935</t>
  </si>
  <si>
    <t>BBVA 94 SDO CTA BAN</t>
  </si>
  <si>
    <t>BBVA 94 INGRESOS</t>
  </si>
  <si>
    <t>BBVA 94 EGRESOS CHEQ</t>
  </si>
  <si>
    <t>GSON/1112030942</t>
  </si>
  <si>
    <t>BBVA 94 EGRESOS TR</t>
  </si>
  <si>
    <t>GSON/1112030943</t>
  </si>
  <si>
    <t>BBVA 94 IVA Y COMISI</t>
  </si>
  <si>
    <t>BBVA 94 INT GANADOS</t>
  </si>
  <si>
    <t>GSON/1112030945</t>
  </si>
  <si>
    <t>BBVA 95 SDO CTA BAN</t>
  </si>
  <si>
    <t>GSON/1112030950</t>
  </si>
  <si>
    <t>BBVA 95 EGRESOS TR</t>
  </si>
  <si>
    <t>GSON/1112030953</t>
  </si>
  <si>
    <t>BBVA 96 SDO CTA BAN</t>
  </si>
  <si>
    <t>BBVA 96 INGRESOS</t>
  </si>
  <si>
    <t>BBVA 96 EGRESOS TR</t>
  </si>
  <si>
    <t>GSON/1112030963</t>
  </si>
  <si>
    <t>BBVA 96 INT GANADOS</t>
  </si>
  <si>
    <t>GSON/1112030965</t>
  </si>
  <si>
    <t>BC 97 IVA Y COMISION</t>
  </si>
  <si>
    <t>BC 97 INT GANADOS</t>
  </si>
  <si>
    <t>GSON/1112030975</t>
  </si>
  <si>
    <t>BC 98 EGRESOS TR</t>
  </si>
  <si>
    <t>GSON/1112030983</t>
  </si>
  <si>
    <t>BC 98 IVA Y COMISION</t>
  </si>
  <si>
    <t>BC 98 INT GANADOS</t>
  </si>
  <si>
    <t>GSON/1112030985</t>
  </si>
  <si>
    <t>BC 100 EGRESOS CHEQU</t>
  </si>
  <si>
    <t>GSON/1112031002</t>
  </si>
  <si>
    <t>BC 100 EGRESOS TR</t>
  </si>
  <si>
    <t>GSON/1112031003</t>
  </si>
  <si>
    <t>BC 100 INT GANADOS</t>
  </si>
  <si>
    <t>GSON/1112031005</t>
  </si>
  <si>
    <t>BC 101 EGRESOS TR</t>
  </si>
  <si>
    <t>GSON/1112031013</t>
  </si>
  <si>
    <t>BC 101 INT GANADOS</t>
  </si>
  <si>
    <t>GSON/1112031015</t>
  </si>
  <si>
    <t>BC102 SALDO CTA BAN</t>
  </si>
  <si>
    <t>GSON/1112031020</t>
  </si>
  <si>
    <t>BC102 INGRESOS</t>
  </si>
  <si>
    <t>GSON/1112031021</t>
  </si>
  <si>
    <t>BC102 INT GANADOS</t>
  </si>
  <si>
    <t>GSON/1112031025</t>
  </si>
  <si>
    <t>BC103 SALDO CTA BAN</t>
  </si>
  <si>
    <t>GSON/1112031030</t>
  </si>
  <si>
    <t>BC103 INGRESOS</t>
  </si>
  <si>
    <t>GSON/1112031031</t>
  </si>
  <si>
    <t>BC103 EGRESOS TR</t>
  </si>
  <si>
    <t>GSON/1112031033</t>
  </si>
  <si>
    <t>BC103 INT GANADOS</t>
  </si>
  <si>
    <t>GSON/1112031035</t>
  </si>
  <si>
    <t>BC104 SLDO CTA BAN</t>
  </si>
  <si>
    <t>GSON/1112031040</t>
  </si>
  <si>
    <t>BC104 INT GANADOS</t>
  </si>
  <si>
    <t>GSON/1112031045</t>
  </si>
  <si>
    <t>BC110 SALDO CTA BAN</t>
  </si>
  <si>
    <t>GSON/1112031100</t>
  </si>
  <si>
    <t>BC110 INGRESOS</t>
  </si>
  <si>
    <t>GSON/1112031101</t>
  </si>
  <si>
    <t>BC110 EGRESOS TR</t>
  </si>
  <si>
    <t>GSON/1112031103</t>
  </si>
  <si>
    <t>BC110 INT GANADOS</t>
  </si>
  <si>
    <t>GSON/1112031105</t>
  </si>
  <si>
    <t>BC111 SALDO CTA BAN</t>
  </si>
  <si>
    <t>GSON/1112031110</t>
  </si>
  <si>
    <t>BC111 INGRESOS</t>
  </si>
  <si>
    <t>GSON/1112031111</t>
  </si>
  <si>
    <t>BC111 EGRESOS CHEQUE</t>
  </si>
  <si>
    <t>GSON/1112031112</t>
  </si>
  <si>
    <t>BC111 EGRESOS TR</t>
  </si>
  <si>
    <t>GSON/1112031113</t>
  </si>
  <si>
    <t>BC111 INT GANADOS</t>
  </si>
  <si>
    <t>GSON/1112031115</t>
  </si>
  <si>
    <t>BC112 SLDO CTA BAN</t>
  </si>
  <si>
    <t>GSON/1112031120</t>
  </si>
  <si>
    <t>BC112 INGRESOS</t>
  </si>
  <si>
    <t>GSON/1112031121</t>
  </si>
  <si>
    <t>BC112 EGRESOS CHEQUE</t>
  </si>
  <si>
    <t>GSON/1112031122</t>
  </si>
  <si>
    <t>BC112 EGRESOS TR</t>
  </si>
  <si>
    <t>GSON/1112031123</t>
  </si>
  <si>
    <t>BC112 IVA Y COMISION</t>
  </si>
  <si>
    <t>GSON/1112031124</t>
  </si>
  <si>
    <t>BC112 INT GANADOS</t>
  </si>
  <si>
    <t>GSON/1112031125</t>
  </si>
  <si>
    <t>BC114 SLDO CTA BAN</t>
  </si>
  <si>
    <t>GSON/1112031140</t>
  </si>
  <si>
    <t>BC114 INGRESOS</t>
  </si>
  <si>
    <t>GSON/1112031141</t>
  </si>
  <si>
    <t>BC114 EGRESOS CHEQUE</t>
  </si>
  <si>
    <t>GSON/1112031142</t>
  </si>
  <si>
    <t>BC114 EGRESOS TR</t>
  </si>
  <si>
    <t>GSON/1112031143</t>
  </si>
  <si>
    <t>BC114 INT GANADOS</t>
  </si>
  <si>
    <t>GSON/1112031145</t>
  </si>
  <si>
    <t>BC115 SLDO CTA BAN</t>
  </si>
  <si>
    <t>GSON/1112031150</t>
  </si>
  <si>
    <t>BC115 INGRESOS</t>
  </si>
  <si>
    <t>GSON/1112031151</t>
  </si>
  <si>
    <t>BC115 EGRESOS TR</t>
  </si>
  <si>
    <t>GSON/1112031153</t>
  </si>
  <si>
    <t>BC115 INT GANADOS</t>
  </si>
  <si>
    <t>GSON/1112031155</t>
  </si>
  <si>
    <t>BC116 SLDO CTA BAN</t>
  </si>
  <si>
    <t>GSON/1112031160</t>
  </si>
  <si>
    <t>BC116 INGRESOS</t>
  </si>
  <si>
    <t>GSON/1112031161</t>
  </si>
  <si>
    <t>BC116 EGRESOS TR</t>
  </si>
  <si>
    <t>GSON/1112031163</t>
  </si>
  <si>
    <t>BC116 INT GANADOS</t>
  </si>
  <si>
    <t>GSON/1112031165</t>
  </si>
  <si>
    <t>BC117 INGRESOS</t>
  </si>
  <si>
    <t>GSON/1112031171</t>
  </si>
  <si>
    <t>BC117 INT GANADOS</t>
  </si>
  <si>
    <t>GSON/1112031175</t>
  </si>
  <si>
    <t>BC118 SLDO CTA BAN</t>
  </si>
  <si>
    <t>GSON/1112031180</t>
  </si>
  <si>
    <t>BC118 INGRESOS</t>
  </si>
  <si>
    <t>GSON/1112031181</t>
  </si>
  <si>
    <t>BC118 EGRESOS TR</t>
  </si>
  <si>
    <t>GSON/1112031183</t>
  </si>
  <si>
    <t>BC118 INT GANADOS</t>
  </si>
  <si>
    <t>GSON/1112031185</t>
  </si>
  <si>
    <t>BC119 SLDO CTA BAN</t>
  </si>
  <si>
    <t>GSON/1112031190</t>
  </si>
  <si>
    <t>BC119 INGRESOS</t>
  </si>
  <si>
    <t>GSON/1112031191</t>
  </si>
  <si>
    <t>BC119 EGRESOS TR</t>
  </si>
  <si>
    <t>GSON/1112031193</t>
  </si>
  <si>
    <t>BC119 IVA Y COMISION</t>
  </si>
  <si>
    <t>GSON/1112031194</t>
  </si>
  <si>
    <t>BC119 INT GANADOS</t>
  </si>
  <si>
    <t>GSON/1112031195</t>
  </si>
  <si>
    <t>BC120 SLDO CTA BAN</t>
  </si>
  <si>
    <t>GSON/1112031200</t>
  </si>
  <si>
    <t>BC120 INGRESOS</t>
  </si>
  <si>
    <t>GSON/1112031201</t>
  </si>
  <si>
    <t>BC120 EGRESOS TR</t>
  </si>
  <si>
    <t>GSON/1112031203</t>
  </si>
  <si>
    <t>BC120 INT GANADOS</t>
  </si>
  <si>
    <t>GSON/1112031205</t>
  </si>
  <si>
    <t>BC121 SLDO CTA BAN</t>
  </si>
  <si>
    <t>GSON/1112031210</t>
  </si>
  <si>
    <t>BC121 INGRESOS</t>
  </si>
  <si>
    <t>GSON/1112031211</t>
  </si>
  <si>
    <t>BC121 EGRESOS TR</t>
  </si>
  <si>
    <t>GSON/1112031213</t>
  </si>
  <si>
    <t>BC121 INT GANADOS</t>
  </si>
  <si>
    <t>GSON/1112031215</t>
  </si>
  <si>
    <t>BC122 SLDO CTA BAN</t>
  </si>
  <si>
    <t>GSON/1112031220</t>
  </si>
  <si>
    <t>BC122 INGRESOS</t>
  </si>
  <si>
    <t>GSON/1112031221</t>
  </si>
  <si>
    <t>BC122 EGRESOS TR</t>
  </si>
  <si>
    <t>GSON/1112031223</t>
  </si>
  <si>
    <t>BC122 INT GANADOS</t>
  </si>
  <si>
    <t>GSON/1112031225</t>
  </si>
  <si>
    <t>BC123 SLDO CTA BAN</t>
  </si>
  <si>
    <t>GSON/1112031230</t>
  </si>
  <si>
    <t>BC123 INGRESOS</t>
  </si>
  <si>
    <t>GSON/1112031231</t>
  </si>
  <si>
    <t>BC123 EGRESOS TR</t>
  </si>
  <si>
    <t>GSON/1112031233</t>
  </si>
  <si>
    <t>BC123 INT GANADOS</t>
  </si>
  <si>
    <t>GSON/1112031235</t>
  </si>
  <si>
    <t>BC124 SLDO CTA BAN</t>
  </si>
  <si>
    <t>GSON/1112031240</t>
  </si>
  <si>
    <t>BC124 INGRESOS</t>
  </si>
  <si>
    <t>GSON/1112031241</t>
  </si>
  <si>
    <t>BC124 EGRESOS TR</t>
  </si>
  <si>
    <t>GSON/1112031243</t>
  </si>
  <si>
    <t>BC124 INT GANADOS</t>
  </si>
  <si>
    <t>GSON/1112031245</t>
  </si>
  <si>
    <t>BC125 SLDO CTA BAN</t>
  </si>
  <si>
    <t>GSON/1112031250</t>
  </si>
  <si>
    <t>BC125 INGRESOS</t>
  </si>
  <si>
    <t>GSON/1112031251</t>
  </si>
  <si>
    <t>BC125 EGRESOS TR</t>
  </si>
  <si>
    <t>GSON/1112031253</t>
  </si>
  <si>
    <t>BC125 INT GANADOS</t>
  </si>
  <si>
    <t>GSON/1112031255</t>
  </si>
  <si>
    <t>BC126 SLDO CTA BAN</t>
  </si>
  <si>
    <t>GSON/1112031260</t>
  </si>
  <si>
    <t>BC126 INGRESOS</t>
  </si>
  <si>
    <t>GSON/1112031261</t>
  </si>
  <si>
    <t>BC126 EGRESOS TR</t>
  </si>
  <si>
    <t>GSON/1112031263</t>
  </si>
  <si>
    <t>BC126 INT GANADOS</t>
  </si>
  <si>
    <t>GSON/1112031265</t>
  </si>
  <si>
    <t>BC127 SLDO CTA BAN</t>
  </si>
  <si>
    <t>BC127 INGRESOS</t>
  </si>
  <si>
    <t>BC127 EGRESOS TR</t>
  </si>
  <si>
    <t>GSON/1112031273</t>
  </si>
  <si>
    <t>BC127 INT GANADOS</t>
  </si>
  <si>
    <t>GSON/1112031275</t>
  </si>
  <si>
    <t>BC128 SLDO CTA BAN</t>
  </si>
  <si>
    <t>GSON/1112031280</t>
  </si>
  <si>
    <t>BC128 INGRESOS</t>
  </si>
  <si>
    <t>GSON/1112031281</t>
  </si>
  <si>
    <t>BC128 EGRESOS CHEQUE</t>
  </si>
  <si>
    <t>GSON/1112031282</t>
  </si>
  <si>
    <t>BC128 EGRESOS TR</t>
  </si>
  <si>
    <t>GSON/1112031283</t>
  </si>
  <si>
    <t>BC128 INT GANADOS</t>
  </si>
  <si>
    <t>GSON/1112031285</t>
  </si>
  <si>
    <t>BC129 SLDO CTA BAN</t>
  </si>
  <si>
    <t>GSON/1112031290</t>
  </si>
  <si>
    <t>BC129 INGRESOS</t>
  </si>
  <si>
    <t>GSON/1112031291</t>
  </si>
  <si>
    <t>BC129 EGRESOS TR</t>
  </si>
  <si>
    <t>GSON/1112031293</t>
  </si>
  <si>
    <t>BC129 INT GANADOS</t>
  </si>
  <si>
    <t>GSON/1112031295</t>
  </si>
  <si>
    <t>BC130 SLDO CTA BAN</t>
  </si>
  <si>
    <t>GSON/1112031300</t>
  </si>
  <si>
    <t>BC130 INGRESOS</t>
  </si>
  <si>
    <t>GSON/1112031301</t>
  </si>
  <si>
    <t>BC131 SLDO CTA BAN</t>
  </si>
  <si>
    <t>GSON/1112031310</t>
  </si>
  <si>
    <t>BC131 INGRESOS</t>
  </si>
  <si>
    <t>GSON/1112031311</t>
  </si>
  <si>
    <t>BC131 EGRESOS TR</t>
  </si>
  <si>
    <t>GSON/1112031313</t>
  </si>
  <si>
    <t>BC131 IVA Y COMISION</t>
  </si>
  <si>
    <t>GSON/1112031314</t>
  </si>
  <si>
    <t>BC132 SLDO CTA BAN</t>
  </si>
  <si>
    <t>GSON/1112031320</t>
  </si>
  <si>
    <t>BC132 INGRESOS</t>
  </si>
  <si>
    <t>GSON/1112031321</t>
  </si>
  <si>
    <t>BC132 EGRESOS TR</t>
  </si>
  <si>
    <t>GSON/1112031323</t>
  </si>
  <si>
    <t>BC132 IVA Y COMISION</t>
  </si>
  <si>
    <t>GSON/1112031324</t>
  </si>
  <si>
    <t>BC133 SLDO CTA BAN</t>
  </si>
  <si>
    <t>GSON/1112031330</t>
  </si>
  <si>
    <t>BC133 INGRESOS</t>
  </si>
  <si>
    <t>GSON/1112031331</t>
  </si>
  <si>
    <t>BC133 EGRESOS TR</t>
  </si>
  <si>
    <t>GSON/1112031333</t>
  </si>
  <si>
    <t>BC133 INT GANADOS</t>
  </si>
  <si>
    <t>GSON/1112031335</t>
  </si>
  <si>
    <t>BC134 SLDO CTA BAN</t>
  </si>
  <si>
    <t>GSON/1112031340</t>
  </si>
  <si>
    <t>BC134 INGRESOS</t>
  </si>
  <si>
    <t>GSON/1112031341</t>
  </si>
  <si>
    <t>BC134 EGRESOS CHEQUE</t>
  </si>
  <si>
    <t>GSON/1112031342</t>
  </si>
  <si>
    <t>BC134 EGRESOS TR</t>
  </si>
  <si>
    <t>GSON/1112031343</t>
  </si>
  <si>
    <t>BC134 INT GANADOS</t>
  </si>
  <si>
    <t>GSON/1112031345</t>
  </si>
  <si>
    <t>BC135 SLDO CTA BAN</t>
  </si>
  <si>
    <t>GSON/1112031350</t>
  </si>
  <si>
    <t>BC135 INGRESOS</t>
  </si>
  <si>
    <t>GSON/1112031351</t>
  </si>
  <si>
    <t>BC135 EGRESOS TR</t>
  </si>
  <si>
    <t>GSON/1112031353</t>
  </si>
  <si>
    <t>BC135 INT GANADOS</t>
  </si>
  <si>
    <t>GSON/1112031355</t>
  </si>
  <si>
    <t>BC140 SLDO CTA BAN</t>
  </si>
  <si>
    <t>GSON/1112031400</t>
  </si>
  <si>
    <t>BC140 INGRESOS</t>
  </si>
  <si>
    <t>GSON/1112031401</t>
  </si>
  <si>
    <t>BC140 EGRESOS TR</t>
  </si>
  <si>
    <t>GSON/1112031403</t>
  </si>
  <si>
    <t>BC141 SLDO CTA BAN</t>
  </si>
  <si>
    <t>GSON/1112031410</t>
  </si>
  <si>
    <t>BC141 INGRESOS</t>
  </si>
  <si>
    <t>GSON/1112031411</t>
  </si>
  <si>
    <t>BC141 EGRESOS TR</t>
  </si>
  <si>
    <t>GSON/1112031413</t>
  </si>
  <si>
    <t>BC143 SLDO CTA BAN</t>
  </si>
  <si>
    <t>GSON/1112031430</t>
  </si>
  <si>
    <t>BC143 INGRESOS</t>
  </si>
  <si>
    <t>GSON/1112031431</t>
  </si>
  <si>
    <t>BC143 EGRESOS TR</t>
  </si>
  <si>
    <t>GSON/1112031433</t>
  </si>
  <si>
    <t>BC144 SLDO CTA BAN</t>
  </si>
  <si>
    <t>GSON/1112031440</t>
  </si>
  <si>
    <t>BC144 INGRESOS</t>
  </si>
  <si>
    <t>GSON/1112031441</t>
  </si>
  <si>
    <t>BC144 EGRESOS TR</t>
  </si>
  <si>
    <t>GSON/1112031443</t>
  </si>
  <si>
    <t>GSON/1112040010</t>
  </si>
  <si>
    <t>GSON/1112040011</t>
  </si>
  <si>
    <t>BJ 01 INT GANADOS</t>
  </si>
  <si>
    <t>GSON/1112040015</t>
  </si>
  <si>
    <t>BM 02 SALDO CTA BAN</t>
  </si>
  <si>
    <t>GSON/1112050020</t>
  </si>
  <si>
    <t>BM 02 EGRESOS TR</t>
  </si>
  <si>
    <t>GSON/1112050023</t>
  </si>
  <si>
    <t>BM 02 IVA Y COMISION</t>
  </si>
  <si>
    <t>GSON/1112050024</t>
  </si>
  <si>
    <t>BM 02 INT GANADOS</t>
  </si>
  <si>
    <t>GSON/1112050025</t>
  </si>
  <si>
    <t>BM 03 SALDO CTA BAN</t>
  </si>
  <si>
    <t>GSON/1112050030</t>
  </si>
  <si>
    <t>BM 03 INGRESOS</t>
  </si>
  <si>
    <t>GSON/1112050031</t>
  </si>
  <si>
    <t>BM 03 EGRESOS CHEQUE</t>
  </si>
  <si>
    <t>GSON/1112050032</t>
  </si>
  <si>
    <t>BM 03 EGRESOS TR</t>
  </si>
  <si>
    <t>GSON/1112050033</t>
  </si>
  <si>
    <t>BM 03 IVA Y COMISION</t>
  </si>
  <si>
    <t>GSON/1112050034</t>
  </si>
  <si>
    <t>BM 03 INT GANADOS</t>
  </si>
  <si>
    <t>GSON/1112050035</t>
  </si>
  <si>
    <t>BB 001 SALDO CTA BAN</t>
  </si>
  <si>
    <t>BB 001 INGRESOS</t>
  </si>
  <si>
    <t>BB 001 EGRESOS TR</t>
  </si>
  <si>
    <t>BB 001 IVA Y COMISIO</t>
  </si>
  <si>
    <t>BB 001 INT GANADOS</t>
  </si>
  <si>
    <t>BN 02 SALDO CTA BAN</t>
  </si>
  <si>
    <t>GSON/1112060020</t>
  </si>
  <si>
    <t>BN 02 IVA Y COMISION</t>
  </si>
  <si>
    <t>GSON/1112060024</t>
  </si>
  <si>
    <t>BN 02 INT GANADOS</t>
  </si>
  <si>
    <t>GSON/1112060025</t>
  </si>
  <si>
    <t>BN 03 SALDO CTA BAN</t>
  </si>
  <si>
    <t>GSON/1112060030</t>
  </si>
  <si>
    <t>BN 03 INGRESOS</t>
  </si>
  <si>
    <t>GSON/1112060031</t>
  </si>
  <si>
    <t>BN 03 EGRESOS TR</t>
  </si>
  <si>
    <t>GSON/1112060033</t>
  </si>
  <si>
    <t>BN 03 IVA Y COMISION</t>
  </si>
  <si>
    <t>GSON/1112060034</t>
  </si>
  <si>
    <t>BN 04 SALDO CTA BAN</t>
  </si>
  <si>
    <t>GSON/1112060040</t>
  </si>
  <si>
    <t>BN 04 INGRESOS</t>
  </si>
  <si>
    <t>GSON/1112060041</t>
  </si>
  <si>
    <t>BN 04 EGRESOS TR</t>
  </si>
  <si>
    <t>GSON/1112060043</t>
  </si>
  <si>
    <t>BN 04 IVA Y COMISION</t>
  </si>
  <si>
    <t>GSON/1112060044</t>
  </si>
  <si>
    <t>BN 05 EGRESOS CHEQUE</t>
  </si>
  <si>
    <t>GSON/1112060052</t>
  </si>
  <si>
    <t>BN 05 IVA Y COMISION</t>
  </si>
  <si>
    <t>BN 06 SALDO CTA BAN</t>
  </si>
  <si>
    <t>GSON/1112060060</t>
  </si>
  <si>
    <t>BN 06 INGRESOS</t>
  </si>
  <si>
    <t>GSON/1112060061</t>
  </si>
  <si>
    <t>BN 06 IVA Y COMISION</t>
  </si>
  <si>
    <t>GSON/1112060064</t>
  </si>
  <si>
    <t>BN 06 INT GANADOS</t>
  </si>
  <si>
    <t>GSON/1112060065</t>
  </si>
  <si>
    <t>BN 07 SALDO CTA BAN</t>
  </si>
  <si>
    <t>GSON/1112060070</t>
  </si>
  <si>
    <t>BN 07 INGRESOS</t>
  </si>
  <si>
    <t>GSON/1112060071</t>
  </si>
  <si>
    <t>BN 07 IVA Y COMISION</t>
  </si>
  <si>
    <t>GSON/1112060074</t>
  </si>
  <si>
    <t>BN 07 INT GANADOS</t>
  </si>
  <si>
    <t>GSON/1112060075</t>
  </si>
  <si>
    <t>BN 08 SALDO CTA BAN</t>
  </si>
  <si>
    <t>GSON/1112060080</t>
  </si>
  <si>
    <t>BN 08 INGRESOS</t>
  </si>
  <si>
    <t>GSON/1112060081</t>
  </si>
  <si>
    <t>BN 08 EGRESOS TR</t>
  </si>
  <si>
    <t>GSON/1112060083</t>
  </si>
  <si>
    <t>BN 08 IVA Y COMISION</t>
  </si>
  <si>
    <t>GSON/1112060084</t>
  </si>
  <si>
    <t>BN 08 INT GANADOS</t>
  </si>
  <si>
    <t>GSON/1112060085</t>
  </si>
  <si>
    <t>BN 09 SALDO CTA BAN</t>
  </si>
  <si>
    <t>GSON/1112060090</t>
  </si>
  <si>
    <t>BN 09 INGRESOS</t>
  </si>
  <si>
    <t>GSON/1112060091</t>
  </si>
  <si>
    <t>BN 09 IVA Y COMISION</t>
  </si>
  <si>
    <t>GSON/1112060094</t>
  </si>
  <si>
    <t>BN 09 INT GANADOS</t>
  </si>
  <si>
    <t>GSON/1112060095</t>
  </si>
  <si>
    <t>BN 10 SALDO CTA BAN</t>
  </si>
  <si>
    <t>GSON/1112060100</t>
  </si>
  <si>
    <t>BN 10 INGRESOS</t>
  </si>
  <si>
    <t>GSON/1112060101</t>
  </si>
  <si>
    <t>BN 10 EGRESOS CHEQUE</t>
  </si>
  <si>
    <t>GSON/1112060102</t>
  </si>
  <si>
    <t>BN 10 EGRESOS TR</t>
  </si>
  <si>
    <t>GSON/1112060103</t>
  </si>
  <si>
    <t>BN 10 IVA Y COMISION</t>
  </si>
  <si>
    <t>GSON/1112060104</t>
  </si>
  <si>
    <t>BN 10 INT GANADOS</t>
  </si>
  <si>
    <t>GSON/1112060105</t>
  </si>
  <si>
    <t>BN 12 SALDO CTA BAN</t>
  </si>
  <si>
    <t>GSON/1112060120</t>
  </si>
  <si>
    <t>BN 12 INGRESOS</t>
  </si>
  <si>
    <t>GSON/1112060121</t>
  </si>
  <si>
    <t>BN 12 IVA Y COMISION</t>
  </si>
  <si>
    <t>GSON/1112060124</t>
  </si>
  <si>
    <t>BN 12 INT GANADOS</t>
  </si>
  <si>
    <t>GSON/1112060125</t>
  </si>
  <si>
    <t>BN 13 SALDO CTA BAN</t>
  </si>
  <si>
    <t>GSON/1112060130</t>
  </si>
  <si>
    <t>BN 13 INGRESOS</t>
  </si>
  <si>
    <t>GSON/1112060131</t>
  </si>
  <si>
    <t>BN 13 IVA Y COMISION</t>
  </si>
  <si>
    <t>GSON/1112060134</t>
  </si>
  <si>
    <t>BN 13 INT GANADOS</t>
  </si>
  <si>
    <t>GSON/1112060135</t>
  </si>
  <si>
    <t>BN 14 SALDO CTA BAN</t>
  </si>
  <si>
    <t>GSON/1112060140</t>
  </si>
  <si>
    <t>BN 14 INGRESOS</t>
  </si>
  <si>
    <t>GSON/1112060141</t>
  </si>
  <si>
    <t>BN 14 EGRESOS TR</t>
  </si>
  <si>
    <t>GSON/1112060143</t>
  </si>
  <si>
    <t>BN 14 IVA Y COMISION</t>
  </si>
  <si>
    <t>GSON/1112060144</t>
  </si>
  <si>
    <t>BN 14 INT GANADOS</t>
  </si>
  <si>
    <t>GSON/1112060145</t>
  </si>
  <si>
    <t>BN 15 SALDO CTA BAN</t>
  </si>
  <si>
    <t>GSON/1112060150</t>
  </si>
  <si>
    <t>BN 15 INGRESOS</t>
  </si>
  <si>
    <t>GSON/1112060151</t>
  </si>
  <si>
    <t>BN 15 EGRESOS CHEQUE</t>
  </si>
  <si>
    <t>GSON/1112060152</t>
  </si>
  <si>
    <t>BN 15 EGRESOS TR</t>
  </si>
  <si>
    <t>GSON/1112060153</t>
  </si>
  <si>
    <t>BN 15 IVA Y COMISION</t>
  </si>
  <si>
    <t>GSON/1112060154</t>
  </si>
  <si>
    <t>BN 15 INT GANADOS</t>
  </si>
  <si>
    <t>GSON/1112060155</t>
  </si>
  <si>
    <t>BN 16 SALDO CTA BAN</t>
  </si>
  <si>
    <t>GSON/1112060160</t>
  </si>
  <si>
    <t>BN 16 INGRESOS</t>
  </si>
  <si>
    <t>GSON/1112060161</t>
  </si>
  <si>
    <t>BN 16 IVA Y COMISION</t>
  </si>
  <si>
    <t>GSON/1112060164</t>
  </si>
  <si>
    <t>BN 16 INT GANADOS</t>
  </si>
  <si>
    <t>GSON/1112060165</t>
  </si>
  <si>
    <t>BN 17 IVA Y COMISION</t>
  </si>
  <si>
    <t>BN 18 SALDO CTA BAN</t>
  </si>
  <si>
    <t>GSON/1112060180</t>
  </si>
  <si>
    <t>BN 18 INGRESOS</t>
  </si>
  <si>
    <t>GSON/1112060181</t>
  </si>
  <si>
    <t>BN 18 IVA Y COMISION</t>
  </si>
  <si>
    <t>GSON/1112060184</t>
  </si>
  <si>
    <t>BN 18 INT GANADOS</t>
  </si>
  <si>
    <t>GSON/1112060185</t>
  </si>
  <si>
    <t>BN 19 SALDO CTA BAN</t>
  </si>
  <si>
    <t>GSON/1112060190</t>
  </si>
  <si>
    <t>BN 19 INGRESOS</t>
  </si>
  <si>
    <t>GSON/1112060191</t>
  </si>
  <si>
    <t>BN 19 EGRESOS TR</t>
  </si>
  <si>
    <t>GSON/1112060193</t>
  </si>
  <si>
    <t>BN 19 IVA Y COMISION</t>
  </si>
  <si>
    <t>GSON/1112060194</t>
  </si>
  <si>
    <t>BN 19 INT GANADOS</t>
  </si>
  <si>
    <t>GSON/1112060195</t>
  </si>
  <si>
    <t>BN 20 SALDO CTA BAN</t>
  </si>
  <si>
    <t>GSON/1112060200</t>
  </si>
  <si>
    <t>BN 20 INGRESOS</t>
  </si>
  <si>
    <t>GSON/1112060201</t>
  </si>
  <si>
    <t>BN 20 IVA Y COMISION</t>
  </si>
  <si>
    <t>GSON/1112060204</t>
  </si>
  <si>
    <t>BN 20 INT GANADOS</t>
  </si>
  <si>
    <t>GSON/1112060205</t>
  </si>
  <si>
    <t>BN 21 SALDO CTA BAN</t>
  </si>
  <si>
    <t>GSON/1112060210</t>
  </si>
  <si>
    <t>BN 21 INGRESOS</t>
  </si>
  <si>
    <t>GSON/1112060211</t>
  </si>
  <si>
    <t>BN 21 IVA Y COMISION</t>
  </si>
  <si>
    <t>GSON/1112060214</t>
  </si>
  <si>
    <t>BN 21 INT GANADOS</t>
  </si>
  <si>
    <t>GSON/1112060215</t>
  </si>
  <si>
    <t>BN 22 SALDO CTA BAN</t>
  </si>
  <si>
    <t>GSON/1112060220</t>
  </si>
  <si>
    <t>BN 22 INGRESOS</t>
  </si>
  <si>
    <t>GSON/1112060221</t>
  </si>
  <si>
    <t>BN 22 IVA Y COMISION</t>
  </si>
  <si>
    <t>GSON/1112060224</t>
  </si>
  <si>
    <t>BN 22 INT GANADOS</t>
  </si>
  <si>
    <t>GSON/1112060225</t>
  </si>
  <si>
    <t>BN 23 SALDO CTA BAN</t>
  </si>
  <si>
    <t>GSON/1112060230</t>
  </si>
  <si>
    <t>BN 23 INGRESOS</t>
  </si>
  <si>
    <t>GSON/1112060231</t>
  </si>
  <si>
    <t>BN 23 EGRESOS TR</t>
  </si>
  <si>
    <t>GSON/1112060233</t>
  </si>
  <si>
    <t>BN 23 IVA Y COMISION</t>
  </si>
  <si>
    <t>GSON/1112060234</t>
  </si>
  <si>
    <t>BN 23 INT GANADOS</t>
  </si>
  <si>
    <t>GSON/1112060235</t>
  </si>
  <si>
    <t>BN 24 SALDO CTA BAN</t>
  </si>
  <si>
    <t>GSON/1112060240</t>
  </si>
  <si>
    <t>BN 24 INGRESOS</t>
  </si>
  <si>
    <t>GSON/1112060241</t>
  </si>
  <si>
    <t>BN 24 EGRESOS TR</t>
  </si>
  <si>
    <t>GSON/1112060243</t>
  </si>
  <si>
    <t>BN 24 INT GANADOS</t>
  </si>
  <si>
    <t>GSON/1112060245</t>
  </si>
  <si>
    <t>BN 26 SALDO CTA BAN</t>
  </si>
  <si>
    <t>GSON/1112060260</t>
  </si>
  <si>
    <t>BN 26 INGRESOS</t>
  </si>
  <si>
    <t>GSON/1112060261</t>
  </si>
  <si>
    <t>BN 26 EGRESOS TR</t>
  </si>
  <si>
    <t>GSON/1112060263</t>
  </si>
  <si>
    <t>BN 27 SALDO CTA BAN</t>
  </si>
  <si>
    <t>GSON/1112060270</t>
  </si>
  <si>
    <t>BN 27 INGRESOS</t>
  </si>
  <si>
    <t>GSON/1112060271</t>
  </si>
  <si>
    <t>BN 27 EGRESOS TR</t>
  </si>
  <si>
    <t>GSON/1112060273</t>
  </si>
  <si>
    <t>BN 27 IVA Y COMISION</t>
  </si>
  <si>
    <t>GSON/1112060274</t>
  </si>
  <si>
    <t>BN 27 INT GANADOS</t>
  </si>
  <si>
    <t>GSON/1112060275</t>
  </si>
  <si>
    <t>GSON/1112060280</t>
  </si>
  <si>
    <t>BN 28 INGRESOS</t>
  </si>
  <si>
    <t>GSON/1112060281</t>
  </si>
  <si>
    <t>BN 28 EGRESOS TR</t>
  </si>
  <si>
    <t>GSON/1112060283</t>
  </si>
  <si>
    <t>BN 28 IVA Y COMISION</t>
  </si>
  <si>
    <t>GSON/1112060284</t>
  </si>
  <si>
    <t>BN 28 INT GANADOS</t>
  </si>
  <si>
    <t>GSON/1112060285</t>
  </si>
  <si>
    <t>BN 29 SALDO CTA BAN</t>
  </si>
  <si>
    <t>GSON/1112060290</t>
  </si>
  <si>
    <t>BN 29 INGRESOS</t>
  </si>
  <si>
    <t>GSON/1112060291</t>
  </si>
  <si>
    <t>BN 29 IVA Y COMISION</t>
  </si>
  <si>
    <t>GSON/1112060294</t>
  </si>
  <si>
    <t>BN 29 INT GANADOS</t>
  </si>
  <si>
    <t>GSON/1112060295</t>
  </si>
  <si>
    <t>BN 30 SALDO CTA BAN</t>
  </si>
  <si>
    <t>GSON/1112060300</t>
  </si>
  <si>
    <t>BN 30 INGRESOS</t>
  </si>
  <si>
    <t>GSON/1112060301</t>
  </si>
  <si>
    <t>BN 30 EGRESOS TR</t>
  </si>
  <si>
    <t>GSON/1112060303</t>
  </si>
  <si>
    <t>BN 30 IVA Y COMISION</t>
  </si>
  <si>
    <t>GSON/1112060304</t>
  </si>
  <si>
    <t>BN 30 INT GANADOS</t>
  </si>
  <si>
    <t>GSON/1112060305</t>
  </si>
  <si>
    <t>BN 31 SALDO CTA BAN</t>
  </si>
  <si>
    <t>GSON/1112060310</t>
  </si>
  <si>
    <t>BN 31 INGRESOS</t>
  </si>
  <si>
    <t>GSON/1112060311</t>
  </si>
  <si>
    <t>BN 31 EGRESOS TR</t>
  </si>
  <si>
    <t>GSON/1112060313</t>
  </si>
  <si>
    <t>BN 31 IVA Y COMISION</t>
  </si>
  <si>
    <t>GSON/1112060314</t>
  </si>
  <si>
    <t>BN 31 INT GANADOS</t>
  </si>
  <si>
    <t>GSON/1112060315</t>
  </si>
  <si>
    <t>BN 32 SALDO CTA BAN</t>
  </si>
  <si>
    <t>GSON/1112060320</t>
  </si>
  <si>
    <t>BN 32 INGRESOS</t>
  </si>
  <si>
    <t>GSON/1112060321</t>
  </si>
  <si>
    <t>BN 32 EGRESOS TR</t>
  </si>
  <si>
    <t>GSON/1112060323</t>
  </si>
  <si>
    <t>BN 32 IVA Y COMISION</t>
  </si>
  <si>
    <t>GSON/1112060324</t>
  </si>
  <si>
    <t>BN 32 INT GANADOS</t>
  </si>
  <si>
    <t>GSON/1112060325</t>
  </si>
  <si>
    <t>BN 33 SALDO CTA BAN</t>
  </si>
  <si>
    <t>GSON/1112060330</t>
  </si>
  <si>
    <t>BN 33 EGRESOS TR</t>
  </si>
  <si>
    <t>GSON/1112060333</t>
  </si>
  <si>
    <t>BN 33 IVA Y COMISION</t>
  </si>
  <si>
    <t>GSON/1112060334</t>
  </si>
  <si>
    <t>BN 33 INT GANADOS</t>
  </si>
  <si>
    <t>GSON/1112060335</t>
  </si>
  <si>
    <t>BN 34 SALDO CTA BAN</t>
  </si>
  <si>
    <t>GSON/1112060340</t>
  </si>
  <si>
    <t>BN 34 INGRESOS</t>
  </si>
  <si>
    <t>GSON/1112060341</t>
  </si>
  <si>
    <t>BN 34 EGRESOS TR</t>
  </si>
  <si>
    <t>GSON/1112060343</t>
  </si>
  <si>
    <t>BN 34 IVA Y COMISION</t>
  </si>
  <si>
    <t>GSON/1112060344</t>
  </si>
  <si>
    <t>BN 34 INT GANADOS</t>
  </si>
  <si>
    <t>GSON/1112060345</t>
  </si>
  <si>
    <t>BN 35 EGRESOS CHEQUE</t>
  </si>
  <si>
    <t>GSON/1112060352</t>
  </si>
  <si>
    <t>BN 35 IVA Y COMISION</t>
  </si>
  <si>
    <t>GSON/1112060354</t>
  </si>
  <si>
    <t>BN 35 INT GANADOS</t>
  </si>
  <si>
    <t>GSON/1112060355</t>
  </si>
  <si>
    <t>BN 36 SALDO CTA BAN</t>
  </si>
  <si>
    <t>GSON/1112060360</t>
  </si>
  <si>
    <t>BN 36 INGRESOS</t>
  </si>
  <si>
    <t>GSON/1112060361</t>
  </si>
  <si>
    <t>BN 36 EGRESOS TR</t>
  </si>
  <si>
    <t>GSON/1112060363</t>
  </si>
  <si>
    <t>BN 36 IVA Y COMISION</t>
  </si>
  <si>
    <t>GSON/1112060364</t>
  </si>
  <si>
    <t>BN 36 INT GANADOS</t>
  </si>
  <si>
    <t>GSON/1112060365</t>
  </si>
  <si>
    <t>BN 37 SALDO CTA BAN</t>
  </si>
  <si>
    <t>GSON/1112060370</t>
  </si>
  <si>
    <t>BN 37 INGRESOS</t>
  </si>
  <si>
    <t>GSON/1112060371</t>
  </si>
  <si>
    <t>BN 37 EGRESOS CHEQUE</t>
  </si>
  <si>
    <t>GSON/1112060372</t>
  </si>
  <si>
    <t>BN 37 EGRESOS TR</t>
  </si>
  <si>
    <t>GSON/1112060373</t>
  </si>
  <si>
    <t>BN 37 IVA Y COMISION</t>
  </si>
  <si>
    <t>GSON/1112060374</t>
  </si>
  <si>
    <t>BN 37 INT GANADOS</t>
  </si>
  <si>
    <t>GSON/1112060375</t>
  </si>
  <si>
    <t>BN 38 SALDO CTA BAN</t>
  </si>
  <si>
    <t>GSON/1112060380</t>
  </si>
  <si>
    <t>BN 38 INGRESOS</t>
  </si>
  <si>
    <t>GSON/1112060381</t>
  </si>
  <si>
    <t>BN 38 EGRESOS TR</t>
  </si>
  <si>
    <t>GSON/1112060383</t>
  </si>
  <si>
    <t>BN 38 IVA Y COMISION</t>
  </si>
  <si>
    <t>GSON/1112060384</t>
  </si>
  <si>
    <t>BN 38 INT GANADOS</t>
  </si>
  <si>
    <t>GSON/1112060385</t>
  </si>
  <si>
    <t>BN 39 SALDO CTA BAN</t>
  </si>
  <si>
    <t>GSON/1112060390</t>
  </si>
  <si>
    <t>BN 39 INGRESOS</t>
  </si>
  <si>
    <t>GSON/1112060391</t>
  </si>
  <si>
    <t>BN 39 EGRESOS TR</t>
  </si>
  <si>
    <t>GSON/1112060393</t>
  </si>
  <si>
    <t>BN 39 IVA Y COMISION</t>
  </si>
  <si>
    <t>GSON/1112060394</t>
  </si>
  <si>
    <t>BN 39 INT GANADOS</t>
  </si>
  <si>
    <t>GSON/1112060395</t>
  </si>
  <si>
    <t>BN 40 SALDO CTA BAN</t>
  </si>
  <si>
    <t>GSON/1112060400</t>
  </si>
  <si>
    <t>BN 40 INGRESOS</t>
  </si>
  <si>
    <t>GSON/1112060401</t>
  </si>
  <si>
    <t>BN 40 IVA Y COMISION</t>
  </si>
  <si>
    <t>GSON/1112060404</t>
  </si>
  <si>
    <t>BN 40 INT GANADOS</t>
  </si>
  <si>
    <t>GSON/1112060405</t>
  </si>
  <si>
    <t>BN 41 SALDO CTA BAN</t>
  </si>
  <si>
    <t>GSON/1112060410</t>
  </si>
  <si>
    <t>BN 41 INGRESOS</t>
  </si>
  <si>
    <t>GSON/1112060411</t>
  </si>
  <si>
    <t>BN 41 EGRESOS CHEQUE</t>
  </si>
  <si>
    <t>GSON/1112060412</t>
  </si>
  <si>
    <t>BN 41 EGRESOS TR</t>
  </si>
  <si>
    <t>GSON/1112060413</t>
  </si>
  <si>
    <t>BN 41 IVA Y COMISION</t>
  </si>
  <si>
    <t>GSON/1112060414</t>
  </si>
  <si>
    <t>BN 41 INT GANADOS</t>
  </si>
  <si>
    <t>GSON/1112060415</t>
  </si>
  <si>
    <t>BN 42 SALDO CTA BAN</t>
  </si>
  <si>
    <t>GSON/1112060420</t>
  </si>
  <si>
    <t>BN 42 INGRESOS</t>
  </si>
  <si>
    <t>GSON/1112060421</t>
  </si>
  <si>
    <t>BN 42 EGRESOS TR</t>
  </si>
  <si>
    <t>GSON/1112060423</t>
  </si>
  <si>
    <t>BN 42 IVA Y COMISION</t>
  </si>
  <si>
    <t>GSON/1112060424</t>
  </si>
  <si>
    <t>BN 42 INT GANADOS</t>
  </si>
  <si>
    <t>GSON/1112060425</t>
  </si>
  <si>
    <t>BN 43 SALDO CTA BAN</t>
  </si>
  <si>
    <t>GSON/1112060430</t>
  </si>
  <si>
    <t>BN 43 INGRESOS</t>
  </si>
  <si>
    <t>GSON/1112060431</t>
  </si>
  <si>
    <t>BN 43 IVA Y COMISION</t>
  </si>
  <si>
    <t>GSON/1112060434</t>
  </si>
  <si>
    <t>BN 43 INT GANADOS</t>
  </si>
  <si>
    <t>GSON/1112060435</t>
  </si>
  <si>
    <t>BN 44 SALDO CTA BAN</t>
  </si>
  <si>
    <t>GSON/1112060440</t>
  </si>
  <si>
    <t>BN 44 INGRESOS</t>
  </si>
  <si>
    <t>GSON/1112060441</t>
  </si>
  <si>
    <t>BN 44 IVA Y COMISION</t>
  </si>
  <si>
    <t>GSON/1112060444</t>
  </si>
  <si>
    <t>BN 44 INT GANADOS</t>
  </si>
  <si>
    <t>GSON/1112060445</t>
  </si>
  <si>
    <t>BN 45 INGRESOS</t>
  </si>
  <si>
    <t>GSON/1112060451</t>
  </si>
  <si>
    <t>BN 45 EGRESOS CHEQUE</t>
  </si>
  <si>
    <t>BN 45 EGRESOS TR</t>
  </si>
  <si>
    <t>GSON/1112060453</t>
  </si>
  <si>
    <t>BN 45 IVA Y COMISION</t>
  </si>
  <si>
    <t>GSON/1112060454</t>
  </si>
  <si>
    <t>BN 45 INT GANADOS</t>
  </si>
  <si>
    <t>GSON/1112060455</t>
  </si>
  <si>
    <t>BN 46 SALDO CTA BAN</t>
  </si>
  <si>
    <t>GSON/1112060460</t>
  </si>
  <si>
    <t>BN 46 INGRESOS</t>
  </si>
  <si>
    <t>GSON/1112060461</t>
  </si>
  <si>
    <t>BN 46 EGRESOS TR</t>
  </si>
  <si>
    <t>GSON/1112060463</t>
  </si>
  <si>
    <t>BN 46 IVA Y COMISION</t>
  </si>
  <si>
    <t>GSON/1112060464</t>
  </si>
  <si>
    <t>BN 46 INT GANADOS</t>
  </si>
  <si>
    <t>GSON/1112060465</t>
  </si>
  <si>
    <t>BN 47 SALDO CTA BAN</t>
  </si>
  <si>
    <t>GSON/1112060470</t>
  </si>
  <si>
    <t>BN 47 INGRESOS</t>
  </si>
  <si>
    <t>GSON/1112060471</t>
  </si>
  <si>
    <t>BN 47 EGRESOS TR</t>
  </si>
  <si>
    <t>GSON/1112060473</t>
  </si>
  <si>
    <t>BN 47 IVA Y COMISION</t>
  </si>
  <si>
    <t>GSON/1112060474</t>
  </si>
  <si>
    <t>BN 47 INT GANADOS</t>
  </si>
  <si>
    <t>GSON/1112060475</t>
  </si>
  <si>
    <t>BN 48 SALDO CTA BAN</t>
  </si>
  <si>
    <t>GSON/1112060480</t>
  </si>
  <si>
    <t>BN 48 INGRESOS</t>
  </si>
  <si>
    <t>GSON/1112060481</t>
  </si>
  <si>
    <t>BN 48 EGRESOS CHEQUE</t>
  </si>
  <si>
    <t>BN 48 EGRESOS TR</t>
  </si>
  <si>
    <t>GSON/1112060483</t>
  </si>
  <si>
    <t>BN 48 IVA Y COMISION</t>
  </si>
  <si>
    <t>GSON/1112060484</t>
  </si>
  <si>
    <t>BN 48 INT GANADOS</t>
  </si>
  <si>
    <t>GSON/1112060485</t>
  </si>
  <si>
    <t>BN 49 SALDO CTA BAN</t>
  </si>
  <si>
    <t>GSON/1112060490</t>
  </si>
  <si>
    <t>BN 49 INGRESOS</t>
  </si>
  <si>
    <t>GSON/1112060491</t>
  </si>
  <si>
    <t>BN 49 EGRESOS TR</t>
  </si>
  <si>
    <t>GSON/1112060493</t>
  </si>
  <si>
    <t>BN 49 IVA Y COMISION</t>
  </si>
  <si>
    <t>GSON/1112060494</t>
  </si>
  <si>
    <t>BN 49 INT GANADOS</t>
  </si>
  <si>
    <t>GSON/1112060495</t>
  </si>
  <si>
    <t>BN 65 INGRESOS</t>
  </si>
  <si>
    <t>GSON/1112060651</t>
  </si>
  <si>
    <t>BN 65 EGRESOS TR</t>
  </si>
  <si>
    <t>GSON/1112060653</t>
  </si>
  <si>
    <t>BN 66 SALDO CTA BAN</t>
  </si>
  <si>
    <t>GSON/1112060660</t>
  </si>
  <si>
    <t>BN 66 INGRESOS</t>
  </si>
  <si>
    <t>GSON/1112060661</t>
  </si>
  <si>
    <t>BN 66 EGRESOS TR</t>
  </si>
  <si>
    <t>GSON/1112060663</t>
  </si>
  <si>
    <t>BN 66 IVA Y COMISION</t>
  </si>
  <si>
    <t>GSON/1112060664</t>
  </si>
  <si>
    <t>BN 66 INT GANADOS</t>
  </si>
  <si>
    <t>GSON/1112060665</t>
  </si>
  <si>
    <t>BN 67 EGRESOS CHEQUE</t>
  </si>
  <si>
    <t>BN 67 IVA Y COMISION</t>
  </si>
  <si>
    <t>BN 69 SALDO CTA BAN</t>
  </si>
  <si>
    <t>GSON/1112060690</t>
  </si>
  <si>
    <t>BN 69 INGRESOS</t>
  </si>
  <si>
    <t>GSON/1112060691</t>
  </si>
  <si>
    <t>BN 69 EGRESOS TR</t>
  </si>
  <si>
    <t>GSON/1112060693</t>
  </si>
  <si>
    <t>BN 69 IVA Y COMISION</t>
  </si>
  <si>
    <t>GSON/1112060694</t>
  </si>
  <si>
    <t>BN 69 INT GANADOS</t>
  </si>
  <si>
    <t>GSON/1112060695</t>
  </si>
  <si>
    <t>BN 70 EGRESOS TR</t>
  </si>
  <si>
    <t>GSON/1112060703</t>
  </si>
  <si>
    <t>BN 70 IVA Y COMISION</t>
  </si>
  <si>
    <t>GSON/1112060704</t>
  </si>
  <si>
    <t>BN 70 INT GANADOS</t>
  </si>
  <si>
    <t>GSON/1112060705</t>
  </si>
  <si>
    <t>BN 71 SALDO CTA BAN</t>
  </si>
  <si>
    <t>GSON/1112060710</t>
  </si>
  <si>
    <t>BN 71 INGRESOS</t>
  </si>
  <si>
    <t>GSON/1112060711</t>
  </si>
  <si>
    <t>BN 71 EGRESOS TR</t>
  </si>
  <si>
    <t>GSON/1112060713</t>
  </si>
  <si>
    <t>BN 71 IVA Y COMISION</t>
  </si>
  <si>
    <t>GSON/1112060714</t>
  </si>
  <si>
    <t>BN 72 INGRESOS</t>
  </si>
  <si>
    <t>GSON/1112060721</t>
  </si>
  <si>
    <t>BN 72 EGRESOS CHEQUE</t>
  </si>
  <si>
    <t>GSON/1112060722</t>
  </si>
  <si>
    <t>BN 72 IVA Y COMISION</t>
  </si>
  <si>
    <t>GSON/1112060724</t>
  </si>
  <si>
    <t>BN 73 SALDO CTA BAN</t>
  </si>
  <si>
    <t>GSON/1112060730</t>
  </si>
  <si>
    <t>BN 73 INGRESOS</t>
  </si>
  <si>
    <t>GSON/1112060731</t>
  </si>
  <si>
    <t>BN 73 EGRESOS TR</t>
  </si>
  <si>
    <t>GSON/1112060733</t>
  </si>
  <si>
    <t>BN 73 IVA Y COMISION</t>
  </si>
  <si>
    <t>GSON/1112060734</t>
  </si>
  <si>
    <t>BN 74 SALDO CTA BAN</t>
  </si>
  <si>
    <t>GSON/1112060740</t>
  </si>
  <si>
    <t>BN 74 INGRESOS</t>
  </si>
  <si>
    <t>GSON/1112060741</t>
  </si>
  <si>
    <t>BN 74 IVA Y COMISION</t>
  </si>
  <si>
    <t>GSON/1112060744</t>
  </si>
  <si>
    <t>BN 76 SALDO CTA BAN</t>
  </si>
  <si>
    <t>GSON/1112060760</t>
  </si>
  <si>
    <t>BN 76 EGRESOS TR</t>
  </si>
  <si>
    <t>GSON/1112060763</t>
  </si>
  <si>
    <t>BN 76 IVA Y COMISION</t>
  </si>
  <si>
    <t>GSON/1112060764</t>
  </si>
  <si>
    <t>BN 78 SALDO CTA BAN</t>
  </si>
  <si>
    <t>GSON/1112060780</t>
  </si>
  <si>
    <t>BN 78 INGRESOS</t>
  </si>
  <si>
    <t>GSON/1112060781</t>
  </si>
  <si>
    <t>BN 78 EGRESOS CHEQUE</t>
  </si>
  <si>
    <t>GSON/1112060782</t>
  </si>
  <si>
    <t>BN 78 EGRESOS TR</t>
  </si>
  <si>
    <t>GSON/1112060783</t>
  </si>
  <si>
    <t>BN 78 IVA Y COMISION</t>
  </si>
  <si>
    <t>GSON/1112060784</t>
  </si>
  <si>
    <t>BN 78 INT GANADOS</t>
  </si>
  <si>
    <t>GSON/1112060785</t>
  </si>
  <si>
    <t>BN 79 SALDO CTA BAN</t>
  </si>
  <si>
    <t>GSON/1112060790</t>
  </si>
  <si>
    <t>BN 79 INGRESOS</t>
  </si>
  <si>
    <t>GSON/1112060791</t>
  </si>
  <si>
    <t>BN 79 EGRESOS TR</t>
  </si>
  <si>
    <t>GSON/1112060793</t>
  </si>
  <si>
    <t>BN 79 IVA Y COMISION</t>
  </si>
  <si>
    <t>GSON/1112060794</t>
  </si>
  <si>
    <t>BN 79 INT GANADOS</t>
  </si>
  <si>
    <t>GSON/1112060795</t>
  </si>
  <si>
    <t>BN 80 SALDO CTA BAN</t>
  </si>
  <si>
    <t>GSON/1112060800</t>
  </si>
  <si>
    <t>BN 80 INGRESOS</t>
  </si>
  <si>
    <t>GSON/1112060801</t>
  </si>
  <si>
    <t>BN 80 EGRESOS TR</t>
  </si>
  <si>
    <t>GSON/1112060803</t>
  </si>
  <si>
    <t>BN 80 IVA Y COMISION</t>
  </si>
  <si>
    <t>GSON/1112060804</t>
  </si>
  <si>
    <t>BN 80 INT GANADOS</t>
  </si>
  <si>
    <t>GSON/1112060805</t>
  </si>
  <si>
    <t>BN 81 SALDO CTA BAN</t>
  </si>
  <si>
    <t>GSON/1112060810</t>
  </si>
  <si>
    <t>BN 81 EGRESOS CHEQUE</t>
  </si>
  <si>
    <t>GSON/1112060812</t>
  </si>
  <si>
    <t>BN 81 EGRESOS TR</t>
  </si>
  <si>
    <t>GSON/1112060813</t>
  </si>
  <si>
    <t>BN 81 IVA Y COMISION</t>
  </si>
  <si>
    <t>GSON/1112060814</t>
  </si>
  <si>
    <t>BN 81 INT GANADOS</t>
  </si>
  <si>
    <t>GSON/1112060815</t>
  </si>
  <si>
    <t>BN 82 SALDO CTA BAN</t>
  </si>
  <si>
    <t>GSON/1112060820</t>
  </si>
  <si>
    <t>BN 82 INGRESOS</t>
  </si>
  <si>
    <t>GSON/1112060821</t>
  </si>
  <si>
    <t>BN 82 EGRESOS CHEQUE</t>
  </si>
  <si>
    <t>GSON/1112060822</t>
  </si>
  <si>
    <t>BN 82 EGRESOS TR</t>
  </si>
  <si>
    <t>GSON/1112060823</t>
  </si>
  <si>
    <t>BN 82 IVA Y COMISION</t>
  </si>
  <si>
    <t>GSON/1112060824</t>
  </si>
  <si>
    <t>BN 82 INT GANADOS</t>
  </si>
  <si>
    <t>GSON/1112060825</t>
  </si>
  <si>
    <t>BN 83 SALDO CTA BAN</t>
  </si>
  <si>
    <t>GSON/1112060830</t>
  </si>
  <si>
    <t>BN 83 INGRESOS</t>
  </si>
  <si>
    <t>GSON/1112060831</t>
  </si>
  <si>
    <t>BN 83 EGRESOS CHEQUE</t>
  </si>
  <si>
    <t>GSON/1112060832</t>
  </si>
  <si>
    <t>BN 83 EGRESOS TR</t>
  </si>
  <si>
    <t>GSON/1112060833</t>
  </si>
  <si>
    <t>BN 83 IVA Y COMISION</t>
  </si>
  <si>
    <t>GSON/1112060834</t>
  </si>
  <si>
    <t>BN 83 INT GANADOS</t>
  </si>
  <si>
    <t>GSON/1112060835</t>
  </si>
  <si>
    <t>BN 84 SALDO CTA BAN</t>
  </si>
  <si>
    <t>GSON/1112060840</t>
  </si>
  <si>
    <t>BN 84 INGRESOS</t>
  </si>
  <si>
    <t>GSON/1112060841</t>
  </si>
  <si>
    <t>BN 84 EGRESOS CHEQUE</t>
  </si>
  <si>
    <t>GSON/1112060842</t>
  </si>
  <si>
    <t>BN 84 EGRESOS TR</t>
  </si>
  <si>
    <t>GSON/1112060843</t>
  </si>
  <si>
    <t>BN 84 IVA Y COMISION</t>
  </si>
  <si>
    <t>GSON/1112060844</t>
  </si>
  <si>
    <t>BN 84 INT GANADOS</t>
  </si>
  <si>
    <t>GSON/1112060845</t>
  </si>
  <si>
    <t>BN 85 SALDO CTA BAN</t>
  </si>
  <si>
    <t>GSON/1112060850</t>
  </si>
  <si>
    <t>BN 85 INGRESOS</t>
  </si>
  <si>
    <t>GSON/1112060851</t>
  </si>
  <si>
    <t>BN 85 EGRESOS TR</t>
  </si>
  <si>
    <t>GSON/1112060853</t>
  </si>
  <si>
    <t>BN 85 IVA Y COMISION</t>
  </si>
  <si>
    <t>GSON/1112060854</t>
  </si>
  <si>
    <t>BN 85 INT GANADOS</t>
  </si>
  <si>
    <t>GSON/1112060855</t>
  </si>
  <si>
    <t>BN 86 SALDO CTA BAN</t>
  </si>
  <si>
    <t>GSON/1112060860</t>
  </si>
  <si>
    <t>BN 86 INGRESOS</t>
  </si>
  <si>
    <t>GSON/1112060861</t>
  </si>
  <si>
    <t>BN 86 EGRESOS TR</t>
  </si>
  <si>
    <t>GSON/1112060863</t>
  </si>
  <si>
    <t>BN 86 IVA Y COMISION</t>
  </si>
  <si>
    <t>GSON/1112060864</t>
  </si>
  <si>
    <t>BN 86 INT GANADOS</t>
  </si>
  <si>
    <t>GSON/1112060865</t>
  </si>
  <si>
    <t>BN 87 SALDO CTA BAN</t>
  </si>
  <si>
    <t>GSON/1112060870</t>
  </si>
  <si>
    <t>BN 87 INGRESOS</t>
  </si>
  <si>
    <t>GSON/1112060871</t>
  </si>
  <si>
    <t>BN 87 EGRESOS TR</t>
  </si>
  <si>
    <t>GSON/1112060873</t>
  </si>
  <si>
    <t>BN 87 IVA Y COMISION</t>
  </si>
  <si>
    <t>GSON/1112060874</t>
  </si>
  <si>
    <t>BN 87 INT GANADOS</t>
  </si>
  <si>
    <t>GSON/1112060875</t>
  </si>
  <si>
    <t>BN 88 SALDO CTA BAN</t>
  </si>
  <si>
    <t>GSON/1112060880</t>
  </si>
  <si>
    <t>BN 88 INGRESOS</t>
  </si>
  <si>
    <t>GSON/1112060881</t>
  </si>
  <si>
    <t>BN 88 EGRESOS TR</t>
  </si>
  <si>
    <t>GSON/1112060883</t>
  </si>
  <si>
    <t>BN 88 IVA Y COMISION</t>
  </si>
  <si>
    <t>GSON/1112060884</t>
  </si>
  <si>
    <t>BN 88 INT GANADOS</t>
  </si>
  <si>
    <t>GSON/1112060885</t>
  </si>
  <si>
    <t>BN 89 SALDO CTA BAN</t>
  </si>
  <si>
    <t>BN 89 INGRESOS</t>
  </si>
  <si>
    <t>GSON/1112060891</t>
  </si>
  <si>
    <t>BN 89 EGRESOS CHEQUE</t>
  </si>
  <si>
    <t>BN 89 EGRESOS TR</t>
  </si>
  <si>
    <t>BN 89 IVA Y COMISION</t>
  </si>
  <si>
    <t>BN 89 INT GANADOS</t>
  </si>
  <si>
    <t>GSON/1112060895</t>
  </si>
  <si>
    <t>BN 90 SALDO CTA BAN</t>
  </si>
  <si>
    <t>GSON/1112060900</t>
  </si>
  <si>
    <t>BN 90 INGRESOS</t>
  </si>
  <si>
    <t>GSON/1112060901</t>
  </si>
  <si>
    <t>BN 90 EGRESOS TR</t>
  </si>
  <si>
    <t>GSON/1112060903</t>
  </si>
  <si>
    <t>BN 90 IVA Y COMISION</t>
  </si>
  <si>
    <t>GSON/1112060904</t>
  </si>
  <si>
    <t>BN 90 INT GANADOS</t>
  </si>
  <si>
    <t>GSON/1112060905</t>
  </si>
  <si>
    <t>BN 91 SALDO CTA BAN</t>
  </si>
  <si>
    <t>GSON/1112060910</t>
  </si>
  <si>
    <t>BN 91 INGRESOS</t>
  </si>
  <si>
    <t>GSON/1112060911</t>
  </si>
  <si>
    <t>BN 91 EGRESOS CHEQUE</t>
  </si>
  <si>
    <t>GSON/1112060912</t>
  </si>
  <si>
    <t>BN 91 EGRESOS TR</t>
  </si>
  <si>
    <t>GSON/1112060913</t>
  </si>
  <si>
    <t>BN 91 IVA Y COMISION</t>
  </si>
  <si>
    <t>GSON/1112060914</t>
  </si>
  <si>
    <t>BN 91 INT GANADOS</t>
  </si>
  <si>
    <t>GSON/1112060915</t>
  </si>
  <si>
    <t>BN 92 SALDO CTA BAN</t>
  </si>
  <si>
    <t>GSON/1112060920</t>
  </si>
  <si>
    <t>BN 92 INGRESOS</t>
  </si>
  <si>
    <t>GSON/1112060921</t>
  </si>
  <si>
    <t>BN 92 EGRESOS CHEQUE</t>
  </si>
  <si>
    <t>GSON/1112060922</t>
  </si>
  <si>
    <t>BN 92 EGRESOS TR</t>
  </si>
  <si>
    <t>GSON/1112060923</t>
  </si>
  <si>
    <t>BN 92 IVA Y COMISION</t>
  </si>
  <si>
    <t>GSON/1112060924</t>
  </si>
  <si>
    <t>BN 92 INT GANADOS</t>
  </si>
  <si>
    <t>GSON/1112060925</t>
  </si>
  <si>
    <t>BR 01 EGRESOS CHEQUE</t>
  </si>
  <si>
    <t>BR 01 IVA Y COMISION</t>
  </si>
  <si>
    <t>BR 02 INGRESOS</t>
  </si>
  <si>
    <t>GSON/1112070021</t>
  </si>
  <si>
    <t>BR 02 EGRESOS CHEQUE</t>
  </si>
  <si>
    <t>GSON/1112070022</t>
  </si>
  <si>
    <t>BR 02 EGRESOS TR</t>
  </si>
  <si>
    <t>GSON/1112070023</t>
  </si>
  <si>
    <t>BR 02 IVA Y COMISION</t>
  </si>
  <si>
    <t>GSON/1112070024</t>
  </si>
  <si>
    <t>BR 03 INGRESOS</t>
  </si>
  <si>
    <t>GSON/1112070031</t>
  </si>
  <si>
    <t>BR 07 INGRESOS</t>
  </si>
  <si>
    <t>GSON/1112070071</t>
  </si>
  <si>
    <t>BR 08 EGRESOS TR</t>
  </si>
  <si>
    <t>GSON/1112070083</t>
  </si>
  <si>
    <t>BR 09 INGRESOS</t>
  </si>
  <si>
    <t>GSON/1112070091</t>
  </si>
  <si>
    <t>BR 09 EGRESOS TR</t>
  </si>
  <si>
    <t>GSON/1112070093</t>
  </si>
  <si>
    <t>BR 11 INGRESOS</t>
  </si>
  <si>
    <t>GSON/1112070111</t>
  </si>
  <si>
    <t>BR 11 EGRESOS CHEQUE</t>
  </si>
  <si>
    <t>GSON/1112070112</t>
  </si>
  <si>
    <t>BR 11 EGRESOS TR</t>
  </si>
  <si>
    <t>GSON/1112070113</t>
  </si>
  <si>
    <t>BR 11 IVA Y COMISION</t>
  </si>
  <si>
    <t>GSON/1112070114</t>
  </si>
  <si>
    <t>BR 14 EGRESOS CHEQUE</t>
  </si>
  <si>
    <t>BR 14 IVA Y COMISION</t>
  </si>
  <si>
    <t>GSON/1112070144</t>
  </si>
  <si>
    <t>BR 15 INGRESOS</t>
  </si>
  <si>
    <t>GSON/1112070151</t>
  </si>
  <si>
    <t>BR 17 INGRESOS</t>
  </si>
  <si>
    <t>GSON/1112070171</t>
  </si>
  <si>
    <t>BR 17 EGRESOS TR</t>
  </si>
  <si>
    <t>GSON/1112070173</t>
  </si>
  <si>
    <t>BR 17 IVA Y COMISION</t>
  </si>
  <si>
    <t>BR 19 INGRESOS</t>
  </si>
  <si>
    <t>GSON/1112070191</t>
  </si>
  <si>
    <t>BR 19 EGRESOS TR</t>
  </si>
  <si>
    <t>GSON/1112070193</t>
  </si>
  <si>
    <t>BR 19 IVA Y COMISION</t>
  </si>
  <si>
    <t>BR 23 INGRESOS</t>
  </si>
  <si>
    <t>GSON/1112070201</t>
  </si>
  <si>
    <t>BR 23 EGRESOS CHEQUE</t>
  </si>
  <si>
    <t>GSON/1112070202</t>
  </si>
  <si>
    <t>BR 23 IVA Y COMISION</t>
  </si>
  <si>
    <t>BR 25 IVA Y COMISION</t>
  </si>
  <si>
    <t>GSON/1112070254</t>
  </si>
  <si>
    <t>BR 26 INGRESOS</t>
  </si>
  <si>
    <t>GSON/1112070261</t>
  </si>
  <si>
    <t>BR 26 EGRESOS CHEQUE</t>
  </si>
  <si>
    <t>GSON/1112070262</t>
  </si>
  <si>
    <t>BR 26 EGRESOS TR</t>
  </si>
  <si>
    <t>GSON/1112070263</t>
  </si>
  <si>
    <t>BR 26 IVA Y COMISION</t>
  </si>
  <si>
    <t>GSON/1112070264</t>
  </si>
  <si>
    <t>BR 27 SALDO CTA BAN</t>
  </si>
  <si>
    <t>GSON/1112070270</t>
  </si>
  <si>
    <t>BR 27 INGRESOS</t>
  </si>
  <si>
    <t>GSON/1112070271</t>
  </si>
  <si>
    <t>BR 27 EGRESOS TR</t>
  </si>
  <si>
    <t>GSON/1112070273</t>
  </si>
  <si>
    <t>BR 27 IVA Y COMISION</t>
  </si>
  <si>
    <t>GSON/1112070274</t>
  </si>
  <si>
    <t>BR 27 INT GANADOS</t>
  </si>
  <si>
    <t>GSON/1112070275</t>
  </si>
  <si>
    <t>BR 28 SALDO CTA BAN</t>
  </si>
  <si>
    <t>GSON/1112070280</t>
  </si>
  <si>
    <t>BR 28 INGRESOS</t>
  </si>
  <si>
    <t>GSON/1112070281</t>
  </si>
  <si>
    <t>BR 28 EGRESOS TR</t>
  </si>
  <si>
    <t>GSON/1112070283</t>
  </si>
  <si>
    <t>BR 28 IVA Y COMISION</t>
  </si>
  <si>
    <t>GSON/1112070284</t>
  </si>
  <si>
    <t>BR 28 INT GANADOS</t>
  </si>
  <si>
    <t>GSON/1112070285</t>
  </si>
  <si>
    <t>BR 29 SALDO CTA BAN</t>
  </si>
  <si>
    <t>GSON/1112070290</t>
  </si>
  <si>
    <t>BR 29 INGRESOS</t>
  </si>
  <si>
    <t>GSON/1112070291</t>
  </si>
  <si>
    <t>BR 29 EGRESOS TR</t>
  </si>
  <si>
    <t>GSON/1112070293</t>
  </si>
  <si>
    <t>BR 29 IVA Y COMISION</t>
  </si>
  <si>
    <t>GSON/1112070294</t>
  </si>
  <si>
    <t>BR 29 INT GANADOS</t>
  </si>
  <si>
    <t>GSON/1112070295</t>
  </si>
  <si>
    <t>BR 30 SALDO CTA BAN</t>
  </si>
  <si>
    <t>GSON/1112070300</t>
  </si>
  <si>
    <t>BR 30 INGRESOS</t>
  </si>
  <si>
    <t>GSON/1112070301</t>
  </si>
  <si>
    <t>BR 30 EGRESOS TR</t>
  </si>
  <si>
    <t>GSON/1112070303</t>
  </si>
  <si>
    <t>BR 30 IVA Y COMISION</t>
  </si>
  <si>
    <t>GSON/1112070304</t>
  </si>
  <si>
    <t>BR 30 INT GANADOS</t>
  </si>
  <si>
    <t>GSON/1112070305</t>
  </si>
  <si>
    <t>BX 001 SALDO CTA BAN</t>
  </si>
  <si>
    <t>BX 001 INGRESOS</t>
  </si>
  <si>
    <t>BX 001 EGRESOS CHEQU</t>
  </si>
  <si>
    <t>BX 001 EGRESOS TR</t>
  </si>
  <si>
    <t>BX 001 IVA Y COMISIO</t>
  </si>
  <si>
    <t>GSON/1112080014</t>
  </si>
  <si>
    <t>BX 001 INT GANADOS</t>
  </si>
  <si>
    <t>BX 003 SALDO CTA BAN</t>
  </si>
  <si>
    <t>BX 003 INGRESOS</t>
  </si>
  <si>
    <t>BX 003 EGRESOS TR</t>
  </si>
  <si>
    <t>BX 003 INT GANADOS</t>
  </si>
  <si>
    <t>GSON/1112080035</t>
  </si>
  <si>
    <t>BX 004 SALDO CTA BAN</t>
  </si>
  <si>
    <t>GSON/1112080040</t>
  </si>
  <si>
    <t>BX 004 EGRESOS TR</t>
  </si>
  <si>
    <t>GSON/1112080043</t>
  </si>
  <si>
    <t>BX 004 IVA Y COMISIO</t>
  </si>
  <si>
    <t>GSON/1112080044</t>
  </si>
  <si>
    <t>BX 005 SALDO CTA BAN</t>
  </si>
  <si>
    <t>BX 005 INGRESOS</t>
  </si>
  <si>
    <t>BX 005 EGRESOS TR</t>
  </si>
  <si>
    <t>BX 005 INT GANADOS</t>
  </si>
  <si>
    <t>BX 006 SALDO CTA BAN</t>
  </si>
  <si>
    <t>BX 006 INGRESOS</t>
  </si>
  <si>
    <t>BX 006 INT GANADOS</t>
  </si>
  <si>
    <t>GSON/1112080065</t>
  </si>
  <si>
    <t>BX 007 SALDO CTA BAN</t>
  </si>
  <si>
    <t>GSON/1112080070</t>
  </si>
  <si>
    <t>BX 007 EGRESOS TR</t>
  </si>
  <si>
    <t>GSON/1112080073</t>
  </si>
  <si>
    <t>BX 007 IVA Y COMISIO</t>
  </si>
  <si>
    <t>GSON/1112080074</t>
  </si>
  <si>
    <t>BX 007 INT GANADOS</t>
  </si>
  <si>
    <t>GSON/1112080075</t>
  </si>
  <si>
    <t>BX 008 SALDO CTA BAN</t>
  </si>
  <si>
    <t>GSON/1112080080</t>
  </si>
  <si>
    <t>BX 008 INGRESOS</t>
  </si>
  <si>
    <t>BX 008 EGRESOS TR</t>
  </si>
  <si>
    <t>GSON/1112080083</t>
  </si>
  <si>
    <t>BX 008 IVA Y COMISIO</t>
  </si>
  <si>
    <t>GSON/1112080084</t>
  </si>
  <si>
    <t>BX 008 INT GANADOS</t>
  </si>
  <si>
    <t>GSON/1112080085</t>
  </si>
  <si>
    <t>BX 010 SALDO CTA BAN</t>
  </si>
  <si>
    <t>GSON/1112080100</t>
  </si>
  <si>
    <t>BX 010 INGRESOS</t>
  </si>
  <si>
    <t>GSON/1112080101</t>
  </si>
  <si>
    <t>BX 010 EGRESOS TR</t>
  </si>
  <si>
    <t>GSON/1112080103</t>
  </si>
  <si>
    <t>BX 12  INT GANADOS</t>
  </si>
  <si>
    <t>GSON/1112080125</t>
  </si>
  <si>
    <t>BX 13  INGRESOS</t>
  </si>
  <si>
    <t>GSON/1112080131</t>
  </si>
  <si>
    <t>BX 17  IVA Y COMISIO</t>
  </si>
  <si>
    <t>BX 31  SALDO CTA BAN</t>
  </si>
  <si>
    <t>GSON/1112080310</t>
  </si>
  <si>
    <t>BX 31  INGRESOS</t>
  </si>
  <si>
    <t>GSON/1112080311</t>
  </si>
  <si>
    <t>BX 31  EGRESOS TR</t>
  </si>
  <si>
    <t>GSON/1112080313</t>
  </si>
  <si>
    <t>BX 31  INT GANADOS</t>
  </si>
  <si>
    <t>GSON/1112080315</t>
  </si>
  <si>
    <t>BX 32  SALDO CTA BAN</t>
  </si>
  <si>
    <t>GSON/1112080320</t>
  </si>
  <si>
    <t>BX 32  INGRESOS</t>
  </si>
  <si>
    <t>GSON/1112080321</t>
  </si>
  <si>
    <t>BX 32  IVA Y COMISIO</t>
  </si>
  <si>
    <t>GSON/1112080324</t>
  </si>
  <si>
    <t>BX 33  SALDO CTA BAN</t>
  </si>
  <si>
    <t>GSON/1112080330</t>
  </si>
  <si>
    <t>BX 33  EGRESOS TR</t>
  </si>
  <si>
    <t>GSON/1112080333</t>
  </si>
  <si>
    <t>BX 33  IVA Y COMISIO</t>
  </si>
  <si>
    <t>GSON/1112080334</t>
  </si>
  <si>
    <t>BX 34  SALDO CTA BAN</t>
  </si>
  <si>
    <t>GSON/1112080340</t>
  </si>
  <si>
    <t>BX 34  IVA Y COMISIO</t>
  </si>
  <si>
    <t>GSON/1112080344</t>
  </si>
  <si>
    <t>BX 35  SALDO CTA BAN</t>
  </si>
  <si>
    <t>GSON/1112080350</t>
  </si>
  <si>
    <t>BX 35  INGRESOS</t>
  </si>
  <si>
    <t>GSON/1112080351</t>
  </si>
  <si>
    <t>BX 35  EGRESOS TR</t>
  </si>
  <si>
    <t>GSON/1112080353</t>
  </si>
  <si>
    <t>BX 35  IVA Y COMISIO</t>
  </si>
  <si>
    <t>GSON/1112080354</t>
  </si>
  <si>
    <t>BX 36  SALDO CTA BAN</t>
  </si>
  <si>
    <t>GSON/1112080360</t>
  </si>
  <si>
    <t>BX 36  IVA Y COMISIO</t>
  </si>
  <si>
    <t>GSON/1112080364</t>
  </si>
  <si>
    <t>BX 37  SALDO CTA BAN</t>
  </si>
  <si>
    <t>GSON/1112080370</t>
  </si>
  <si>
    <t>BX 37  EGRESOS TR</t>
  </si>
  <si>
    <t>GSON/1112080373</t>
  </si>
  <si>
    <t>BX 37  IVA Y COMISIO</t>
  </si>
  <si>
    <t>GSON/1112080374</t>
  </si>
  <si>
    <t>BX 38  SALDO CTA BAN</t>
  </si>
  <si>
    <t>GSON/1112080380</t>
  </si>
  <si>
    <t>BX 38  IVA Y COMISIO</t>
  </si>
  <si>
    <t>GSON/1112080384</t>
  </si>
  <si>
    <t>BX 39  SALDO CTA BAN</t>
  </si>
  <si>
    <t>GSON/1112080390</t>
  </si>
  <si>
    <t>BX 39  INGRESOS</t>
  </si>
  <si>
    <t>GSON/1112080391</t>
  </si>
  <si>
    <t>BX 39  EGRESOS TR</t>
  </si>
  <si>
    <t>GSON/1112080393</t>
  </si>
  <si>
    <t>BX 39  IVA Y COMISIO</t>
  </si>
  <si>
    <t>GSON/1112080394</t>
  </si>
  <si>
    <t>BX 40  EGRESOS TR</t>
  </si>
  <si>
    <t>GSON/1112080403</t>
  </si>
  <si>
    <t>BX 40  IVA Y COMISIO</t>
  </si>
  <si>
    <t>GSON/1112080404</t>
  </si>
  <si>
    <t>BX 41  SALDO CTA BAN</t>
  </si>
  <si>
    <t>GSON/1112080410</t>
  </si>
  <si>
    <t>BX 41  IVA Y COMISIO</t>
  </si>
  <si>
    <t>GSON/1112080414</t>
  </si>
  <si>
    <t>BX 42  SALDO CTA BAN</t>
  </si>
  <si>
    <t>GSON/1112080420</t>
  </si>
  <si>
    <t>BX 42  IVA Y COMISIO</t>
  </si>
  <si>
    <t>GSON/1112080424</t>
  </si>
  <si>
    <t>BX 43  IVA Y COMISIO</t>
  </si>
  <si>
    <t>BX 44  SALDO CTA BAN</t>
  </si>
  <si>
    <t>GSON/1112080440</t>
  </si>
  <si>
    <t>BX 44  EGRESOS TR</t>
  </si>
  <si>
    <t>GSON/1112080443</t>
  </si>
  <si>
    <t>BX 44  IVA Y COMISIO</t>
  </si>
  <si>
    <t>GSON/1112080444</t>
  </si>
  <si>
    <t>BX 46  SALDO CTA BAN</t>
  </si>
  <si>
    <t>GSON/1112080460</t>
  </si>
  <si>
    <t>BX 46  INGRESOS</t>
  </si>
  <si>
    <t>GSON/1112080461</t>
  </si>
  <si>
    <t>BX 46  INT GANADOS</t>
  </si>
  <si>
    <t>GSON/1112080465</t>
  </si>
  <si>
    <t>CI 03  SALDO CTA BAN</t>
  </si>
  <si>
    <t>GSON/1112090030</t>
  </si>
  <si>
    <t>CI 03  INT GANADOS</t>
  </si>
  <si>
    <t>GSON/1112090035</t>
  </si>
  <si>
    <t>EV 01  SALDO CTA BAN</t>
  </si>
  <si>
    <t>GSON/1112100010</t>
  </si>
  <si>
    <t>EV  01   INGRESOS</t>
  </si>
  <si>
    <t>GSON/1112100011</t>
  </si>
  <si>
    <t>EV  01   EGRESOS TR</t>
  </si>
  <si>
    <t>GSON/1112100013</t>
  </si>
  <si>
    <t>EV  01   INT GANADOS</t>
  </si>
  <si>
    <t>GSON/1112100015</t>
  </si>
  <si>
    <t>HS 001 SALDO CTA BAN</t>
  </si>
  <si>
    <t>HS 001 INGRESOS</t>
  </si>
  <si>
    <t>HS 001 EGRESOS CHEQU</t>
  </si>
  <si>
    <t>HS 001 EGRESOS TR</t>
  </si>
  <si>
    <t>HS 001 IVA Y COMISIO</t>
  </si>
  <si>
    <t>HS 001 INT GANADOS</t>
  </si>
  <si>
    <t>HS 02  SALDO CTA BAN</t>
  </si>
  <si>
    <t>HS 02   IVA Y COMISI</t>
  </si>
  <si>
    <t>HS 03  SALDO CTA BAN</t>
  </si>
  <si>
    <t>HS 03   IVA Y COMISI</t>
  </si>
  <si>
    <t>HS 04  SALDO CTA BAN</t>
  </si>
  <si>
    <t>GSON/1112110040</t>
  </si>
  <si>
    <t>HS 04   EGRESOS TR</t>
  </si>
  <si>
    <t>GSON/1112110043</t>
  </si>
  <si>
    <t>HS 04   IVA Y COMISI</t>
  </si>
  <si>
    <t>GSON/1112110044</t>
  </si>
  <si>
    <t>HS 06   SLDO CTA BAN</t>
  </si>
  <si>
    <t>HS 06   INGRESOS</t>
  </si>
  <si>
    <t>GSON/1112110061</t>
  </si>
  <si>
    <t>HS 06   EGRESOS CHEQ</t>
  </si>
  <si>
    <t>HS 06   IVA Y COMISI</t>
  </si>
  <si>
    <t>HS 06   INT GANADOS</t>
  </si>
  <si>
    <t>GSON/1112110065</t>
  </si>
  <si>
    <t>HS 07  SALDO CTA BAN</t>
  </si>
  <si>
    <t>HS 07   INGRESOS</t>
  </si>
  <si>
    <t>GSON/1112110071</t>
  </si>
  <si>
    <t>HS 07   IVA Y COMISI</t>
  </si>
  <si>
    <t>HS 08  SALDO CTA BAN</t>
  </si>
  <si>
    <t>HS 08   INGRESOS</t>
  </si>
  <si>
    <t>GSON/1112110081</t>
  </si>
  <si>
    <t>HS 08   EGRESOS TR</t>
  </si>
  <si>
    <t>GSON/1112110083</t>
  </si>
  <si>
    <t>HS 08   IVA Y COMISI</t>
  </si>
  <si>
    <t>HS 08   INT GANADOS</t>
  </si>
  <si>
    <t>GSON/1112110085</t>
  </si>
  <si>
    <t>HS 09  SALDO CTA BAN</t>
  </si>
  <si>
    <t>HS 09   EGRESOS CHEQ</t>
  </si>
  <si>
    <t>GSON/1112110092</t>
  </si>
  <si>
    <t>HS 09   EGRESOS TR</t>
  </si>
  <si>
    <t>GSON/1112110093</t>
  </si>
  <si>
    <t>HS 09   IVA Y COMISI</t>
  </si>
  <si>
    <t>GSON/1112110094</t>
  </si>
  <si>
    <t>HS 10  SALDO CTA BAN</t>
  </si>
  <si>
    <t>HS 10   IVA Y COMISI</t>
  </si>
  <si>
    <t>GSON/1112110104</t>
  </si>
  <si>
    <t>HS 11   IVA Y COMISI</t>
  </si>
  <si>
    <t>GSON/1112110114</t>
  </si>
  <si>
    <t>HS 14  SALDO CTA BAN</t>
  </si>
  <si>
    <t>GSON/1112110140</t>
  </si>
  <si>
    <t>HS 14   IVA Y COMISI</t>
  </si>
  <si>
    <t>GSON/1112110144</t>
  </si>
  <si>
    <t>HS 16  SALDO CTA BAN</t>
  </si>
  <si>
    <t>GSON/1112110160</t>
  </si>
  <si>
    <t>HS 16   INGRESOS</t>
  </si>
  <si>
    <t>GSON/1112110161</t>
  </si>
  <si>
    <t>HS 16   EGRESOS TR</t>
  </si>
  <si>
    <t>GSON/1112110163</t>
  </si>
  <si>
    <t>HS 16   IVA Y COMISI</t>
  </si>
  <si>
    <t>GSON/1112110164</t>
  </si>
  <si>
    <t>HS 16   INT GANADOS</t>
  </si>
  <si>
    <t>GSON/1112110165</t>
  </si>
  <si>
    <t>HS 21  SALDO CTA BAN</t>
  </si>
  <si>
    <t>HS 21   EGRESOS TR</t>
  </si>
  <si>
    <t>GSON/1112110213</t>
  </si>
  <si>
    <t>HS 21   IVA Y COMISI</t>
  </si>
  <si>
    <t>GSON/1112110214</t>
  </si>
  <si>
    <t>HS 22  SALDO CTA BAN</t>
  </si>
  <si>
    <t>HS 22   IVA Y COMISI</t>
  </si>
  <si>
    <t>HS 23  SALDO CTA BAN</t>
  </si>
  <si>
    <t>HS 23   IVA Y COMISI</t>
  </si>
  <si>
    <t>HS 24  SALDO CTA BAN</t>
  </si>
  <si>
    <t>HS 24   IVA Y COMISI</t>
  </si>
  <si>
    <t>HS 25   SLDO CTA BAN</t>
  </si>
  <si>
    <t>HS 26   SLDO CTA BAN</t>
  </si>
  <si>
    <t>HS 27   SLDO CTA BAN</t>
  </si>
  <si>
    <t>GSON/1112110270</t>
  </si>
  <si>
    <t>HS 27   INGRESOS</t>
  </si>
  <si>
    <t>GSON/1112110271</t>
  </si>
  <si>
    <t>HS 27   IVA Y COMISI</t>
  </si>
  <si>
    <t>GSON/1112110274</t>
  </si>
  <si>
    <t>HS 27   INT GANADOS</t>
  </si>
  <si>
    <t>GSON/1112110275</t>
  </si>
  <si>
    <t>HS 28   SLDO CTA BAN</t>
  </si>
  <si>
    <t>GSON/1112110280</t>
  </si>
  <si>
    <t>HS 28   INGRESOS</t>
  </si>
  <si>
    <t>GSON/1112110281</t>
  </si>
  <si>
    <t>HS 28   EGRESOS CHEQ</t>
  </si>
  <si>
    <t>GSON/1112110282</t>
  </si>
  <si>
    <t>HS 28   EGRESOS TR</t>
  </si>
  <si>
    <t>GSON/1112110283</t>
  </si>
  <si>
    <t>HS 28   IVA Y COMISI</t>
  </si>
  <si>
    <t>GSON/1112110284</t>
  </si>
  <si>
    <t>HS 28   INT GANADOS</t>
  </si>
  <si>
    <t>GSON/1112110285</t>
  </si>
  <si>
    <t>HS 29   SLDO CTA BAN</t>
  </si>
  <si>
    <t>GSON/1112110290</t>
  </si>
  <si>
    <t>HS 29   INGRESOS</t>
  </si>
  <si>
    <t>GSON/1112110291</t>
  </si>
  <si>
    <t>HS 29   EGRESOS TR</t>
  </si>
  <si>
    <t>GSON/1112110293</t>
  </si>
  <si>
    <t>HS 29   IVA Y COMISI</t>
  </si>
  <si>
    <t>GSON/1112110294</t>
  </si>
  <si>
    <t>HS 29   INT GANADOS</t>
  </si>
  <si>
    <t>GSON/1112110295</t>
  </si>
  <si>
    <t>HS 30   SLDO CTA BAN</t>
  </si>
  <si>
    <t>GSON/1112110300</t>
  </si>
  <si>
    <t>HS 30   INGRESOS</t>
  </si>
  <si>
    <t>GSON/1112110301</t>
  </si>
  <si>
    <t>HS 30   EGRESOS CHEQ</t>
  </si>
  <si>
    <t>GSON/1112110302</t>
  </si>
  <si>
    <t>HS 30   EGRESOS TR</t>
  </si>
  <si>
    <t>GSON/1112110303</t>
  </si>
  <si>
    <t>HS 30   IVA Y COMISI</t>
  </si>
  <si>
    <t>GSON/1112110304</t>
  </si>
  <si>
    <t>HS 30   INT GANADOS</t>
  </si>
  <si>
    <t>GSON/1112110305</t>
  </si>
  <si>
    <t>HS 32   SLDO CTA BAN</t>
  </si>
  <si>
    <t>GSON/1112110320</t>
  </si>
  <si>
    <t>HS 32   INGRESOS</t>
  </si>
  <si>
    <t>GSON/1112110321</t>
  </si>
  <si>
    <t>HS 32   EGRESOS TR</t>
  </si>
  <si>
    <t>GSON/1112110323</t>
  </si>
  <si>
    <t>HS 32   IVA Y COMISI</t>
  </si>
  <si>
    <t>GSON/1112110324</t>
  </si>
  <si>
    <t>HS 32   INT GANADOS</t>
  </si>
  <si>
    <t>GSON/1112110325</t>
  </si>
  <si>
    <t>HS 34   SLDO CTA BAN</t>
  </si>
  <si>
    <t>GSON/1112110340</t>
  </si>
  <si>
    <t>HS 34   INGRESOS</t>
  </si>
  <si>
    <t>GSON/1112110341</t>
  </si>
  <si>
    <t>HS 34   EGRESOS TR</t>
  </si>
  <si>
    <t>GSON/1112110343</t>
  </si>
  <si>
    <t>HS 34   IVA Y COMISI</t>
  </si>
  <si>
    <t>GSON/1112110344</t>
  </si>
  <si>
    <t>HS 34   INT GANADOS</t>
  </si>
  <si>
    <t>GSON/1112110345</t>
  </si>
  <si>
    <t>HS 35   SLDO CTA BAN</t>
  </si>
  <si>
    <t>GSON/1112110350</t>
  </si>
  <si>
    <t>HS 35   INGRESOS</t>
  </si>
  <si>
    <t>GSON/1112110351</t>
  </si>
  <si>
    <t>HS 35   EGRESOS TR</t>
  </si>
  <si>
    <t>GSON/1112110353</t>
  </si>
  <si>
    <t>HS 35   IVA Y COMISI</t>
  </si>
  <si>
    <t>GSON/1112110354</t>
  </si>
  <si>
    <t>HS 35   INT GANADOS</t>
  </si>
  <si>
    <t>GSON/1112110355</t>
  </si>
  <si>
    <t>HS 36   SLDO CTA BAN</t>
  </si>
  <si>
    <t>GSON/1112110360</t>
  </si>
  <si>
    <t>HS 36   INGRESOS</t>
  </si>
  <si>
    <t>GSON/1112110361</t>
  </si>
  <si>
    <t>HS 36   IVA Y COMISI</t>
  </si>
  <si>
    <t>GSON/1112110364</t>
  </si>
  <si>
    <t>HS 36   INT GANADOS</t>
  </si>
  <si>
    <t>GSON/1112110365</t>
  </si>
  <si>
    <t>HS 37   SLDO CTA BAN</t>
  </si>
  <si>
    <t>GSON/1112110370</t>
  </si>
  <si>
    <t>HS 37   INGRESOS</t>
  </si>
  <si>
    <t>GSON/1112110371</t>
  </si>
  <si>
    <t>HS 37   IVA Y COMISI</t>
  </si>
  <si>
    <t>GSON/1112110374</t>
  </si>
  <si>
    <t>HS 38   SLDO CTA BAN</t>
  </si>
  <si>
    <t>GSON/1112110380</t>
  </si>
  <si>
    <t>HS 38   INGRESOS</t>
  </si>
  <si>
    <t>GSON/1112110381</t>
  </si>
  <si>
    <t>HS 38   EGRESOS TR</t>
  </si>
  <si>
    <t>GSON/1112110383</t>
  </si>
  <si>
    <t>HS 38   IVA Y COMISI</t>
  </si>
  <si>
    <t>GSON/1112110384</t>
  </si>
  <si>
    <t>HS 38   INT GANADOS</t>
  </si>
  <si>
    <t>GSON/1112110385</t>
  </si>
  <si>
    <t>HS 39   SLDO CTA BAN</t>
  </si>
  <si>
    <t>GSON/1112110390</t>
  </si>
  <si>
    <t>HS 39   INGRESOS</t>
  </si>
  <si>
    <t>GSON/1112110391</t>
  </si>
  <si>
    <t>HS 39   EGRESOS TR</t>
  </si>
  <si>
    <t>GSON/1112110393</t>
  </si>
  <si>
    <t>HS 39   IVA Y COMISI</t>
  </si>
  <si>
    <t>GSON/1112110394</t>
  </si>
  <si>
    <t>HS 39   INT GANADOS</t>
  </si>
  <si>
    <t>GSON/1112110395</t>
  </si>
  <si>
    <t>HS 44   SLDO CTA BAN</t>
  </si>
  <si>
    <t>GSON/1112110440</t>
  </si>
  <si>
    <t>HS 44   INGRESOS</t>
  </si>
  <si>
    <t>GSON/1112110441</t>
  </si>
  <si>
    <t>HS 44   INT GANADOS</t>
  </si>
  <si>
    <t>GSON/1112110445</t>
  </si>
  <si>
    <t>HS 45   SLDO CTA BAN</t>
  </si>
  <si>
    <t>GSON/1112110450</t>
  </si>
  <si>
    <t>HS 45   INGRESOS</t>
  </si>
  <si>
    <t>GSON/1112110451</t>
  </si>
  <si>
    <t>IB 01   SLDO CTA BAN</t>
  </si>
  <si>
    <t>GSON/1112120010</t>
  </si>
  <si>
    <t>IB 01   IVA Y COMISI</t>
  </si>
  <si>
    <t>GSON/1112120014</t>
  </si>
  <si>
    <t>IB 01   INT GANADOS</t>
  </si>
  <si>
    <t>GSON/1112120015</t>
  </si>
  <si>
    <t>IN 01   SLDO CTA BAN</t>
  </si>
  <si>
    <t>IN 01   IVA Y COMISI</t>
  </si>
  <si>
    <t>GSON/1112130014</t>
  </si>
  <si>
    <t>IN 03   SLDO CTA BAN</t>
  </si>
  <si>
    <t>GSON/1112130030</t>
  </si>
  <si>
    <t>IN 03   EGRESOS TR</t>
  </si>
  <si>
    <t>GSON/1112130033</t>
  </si>
  <si>
    <t>IN 03   INT GANADOS</t>
  </si>
  <si>
    <t>GSON/1112130035</t>
  </si>
  <si>
    <t>IN 05   SLDO CTA BAN</t>
  </si>
  <si>
    <t>IN 06   SLDO CTA BAN</t>
  </si>
  <si>
    <t>GSON/1112130060</t>
  </si>
  <si>
    <t>IN 06   EGRESOS TR</t>
  </si>
  <si>
    <t>GSON/1112130063</t>
  </si>
  <si>
    <t>IN 06   INT GANADOS</t>
  </si>
  <si>
    <t>GSON/1112130065</t>
  </si>
  <si>
    <t>IN 08   SLDO CTA BAN</t>
  </si>
  <si>
    <t>GSON/1112130080</t>
  </si>
  <si>
    <t>IN 08   INGRESOS</t>
  </si>
  <si>
    <t>GSON/1112130081</t>
  </si>
  <si>
    <t>IN 08   INT GANADOS</t>
  </si>
  <si>
    <t>GSON/1112130085</t>
  </si>
  <si>
    <t>IN 09   SLDO CTA BAN</t>
  </si>
  <si>
    <t>GSON/1112130090</t>
  </si>
  <si>
    <t>IN 09   INT GANADOS</t>
  </si>
  <si>
    <t>GSON/1112130095</t>
  </si>
  <si>
    <t>IN 10   SLDO CTA BAN</t>
  </si>
  <si>
    <t>GSON/1112130100</t>
  </si>
  <si>
    <t>IN 10   INT GANADOS</t>
  </si>
  <si>
    <t>GSON/1112130105</t>
  </si>
  <si>
    <t>IN 11   SLDO CTA BAN</t>
  </si>
  <si>
    <t>GSON/1112130110</t>
  </si>
  <si>
    <t>IN 17   SLDO CTA BAN</t>
  </si>
  <si>
    <t>GSON/1112130170</t>
  </si>
  <si>
    <t>IN 17   INGRESOS</t>
  </si>
  <si>
    <t>GSON/1112130171</t>
  </si>
  <si>
    <t>IN 17   EGRESOS CHEQ</t>
  </si>
  <si>
    <t>GSON/1112130172</t>
  </si>
  <si>
    <t>IN 17   EGRESOS TR</t>
  </si>
  <si>
    <t>GSON/1112130173</t>
  </si>
  <si>
    <t>IN 17   INT GANADOS</t>
  </si>
  <si>
    <t>GSON/1112130175</t>
  </si>
  <si>
    <t>IN 18   SLDO CTA BAN</t>
  </si>
  <si>
    <t>GSON/1112130180</t>
  </si>
  <si>
    <t>IN 18   INGRESOS</t>
  </si>
  <si>
    <t>GSON/1112130181</t>
  </si>
  <si>
    <t>IN 18   EGRESOS TR</t>
  </si>
  <si>
    <t>GSON/1112130183</t>
  </si>
  <si>
    <t>IN 18   INT GANADOS</t>
  </si>
  <si>
    <t>GSON/1112130185</t>
  </si>
  <si>
    <t>IN 20   SLDO CTA BAN</t>
  </si>
  <si>
    <t>GSON/1112130200</t>
  </si>
  <si>
    <t>IN 20   INGRESOS</t>
  </si>
  <si>
    <t>GSON/1112130201</t>
  </si>
  <si>
    <t>IN 20   EGRESOS TR</t>
  </si>
  <si>
    <t>GSON/1112130203</t>
  </si>
  <si>
    <t>IN 20   IVA Y COMISI</t>
  </si>
  <si>
    <t>GSON/1112130204</t>
  </si>
  <si>
    <t>IN 20   INT GANADOS</t>
  </si>
  <si>
    <t>GSON/1112130205</t>
  </si>
  <si>
    <t>IX 01 SALDO CTA BAN</t>
  </si>
  <si>
    <t>GSON/1112140010</t>
  </si>
  <si>
    <t>IX 01 INGRESOS</t>
  </si>
  <si>
    <t>GSON/1112140011</t>
  </si>
  <si>
    <t>IX 01 IVA Y COMISION</t>
  </si>
  <si>
    <t>GSON/1112140014</t>
  </si>
  <si>
    <t>IX 01 INT GANADOS</t>
  </si>
  <si>
    <t>GSON/1112140015</t>
  </si>
  <si>
    <t>SA 03 IVA Y COMISION</t>
  </si>
  <si>
    <t>GSON/1112150034</t>
  </si>
  <si>
    <t>SA 04 IVA Y COMISION</t>
  </si>
  <si>
    <t>SA 05 SALDO CTA BAN</t>
  </si>
  <si>
    <t>GSON/1112150050</t>
  </si>
  <si>
    <t>SA 05 IVA Y COMISION</t>
  </si>
  <si>
    <t>GSON/1112150054</t>
  </si>
  <si>
    <t>SA 06 SALDO CTA BAN</t>
  </si>
  <si>
    <t>GSON/1112150060</t>
  </si>
  <si>
    <t>SA 06 INGRESOS</t>
  </si>
  <si>
    <t>GSON/1112150061</t>
  </si>
  <si>
    <t>SA 06 EGRESOS TR</t>
  </si>
  <si>
    <t>GSON/1112150063</t>
  </si>
  <si>
    <t>SA 06 INT GANADOS</t>
  </si>
  <si>
    <t>GSON/1112150065</t>
  </si>
  <si>
    <t>SA 07 SALDO CTA BAN</t>
  </si>
  <si>
    <t>GSON/1112150070</t>
  </si>
  <si>
    <t>SA 07 INGRESOS</t>
  </si>
  <si>
    <t>GSON/1112150071</t>
  </si>
  <si>
    <t>SA 07 IVA Y COMISION</t>
  </si>
  <si>
    <t>GSON/1112150074</t>
  </si>
  <si>
    <t>SA 07 INT GANADOS</t>
  </si>
  <si>
    <t>GSON/1112150075</t>
  </si>
  <si>
    <t>SA 08 SALDO CTA BAN</t>
  </si>
  <si>
    <t>GSON/1112150080</t>
  </si>
  <si>
    <t>SA 08 IVA Y COMISION</t>
  </si>
  <si>
    <t>GSON/1112150084</t>
  </si>
  <si>
    <t>SA 08 INT GANADOS</t>
  </si>
  <si>
    <t>GSON/1112150085</t>
  </si>
  <si>
    <t>SA 09 SALDO CTA BAN</t>
  </si>
  <si>
    <t>GSON/1112150090</t>
  </si>
  <si>
    <t>SA 09 IVA Y COMISION</t>
  </si>
  <si>
    <t>GSON/1112150094</t>
  </si>
  <si>
    <t>SA 09 INT GANADOS</t>
  </si>
  <si>
    <t>GSON/1112150095</t>
  </si>
  <si>
    <t>SA 10 INGRESOS</t>
  </si>
  <si>
    <t>GSON/1112150101</t>
  </si>
  <si>
    <t>SA 11 SALDO CTA BAN</t>
  </si>
  <si>
    <t>GSON/1112150110</t>
  </si>
  <si>
    <t>SA 11 INGRESOS</t>
  </si>
  <si>
    <t>GSON/1112150111</t>
  </si>
  <si>
    <t>SA 11 EGRESOS TR</t>
  </si>
  <si>
    <t>GSON/1112150113</t>
  </si>
  <si>
    <t>SA 11 IVA Y COMISION</t>
  </si>
  <si>
    <t>GSON/1112150114</t>
  </si>
  <si>
    <t>SA 11 INT GANADOS</t>
  </si>
  <si>
    <t>GSON/1112150115</t>
  </si>
  <si>
    <t>SA 12 SALDO CTA BAN</t>
  </si>
  <si>
    <t>GSON/1112150120</t>
  </si>
  <si>
    <t>SA 12 IVA Y COMISION</t>
  </si>
  <si>
    <t>GSON/1112150124</t>
  </si>
  <si>
    <t>SA 12 INT GANADOS</t>
  </si>
  <si>
    <t>GSON/1112150125</t>
  </si>
  <si>
    <t>SA 13 SALDO CTA BAN</t>
  </si>
  <si>
    <t>GSON/1112150130</t>
  </si>
  <si>
    <t>SA 13 IVA Y COMIS</t>
  </si>
  <si>
    <t>GSON/1112150134</t>
  </si>
  <si>
    <t>SA 13 INT GANADOS</t>
  </si>
  <si>
    <t>GSON/1112150135</t>
  </si>
  <si>
    <t>SA 14 SALDO CTA BAN</t>
  </si>
  <si>
    <t>GSON/1112150140</t>
  </si>
  <si>
    <t>SA 14 INGRESOS</t>
  </si>
  <si>
    <t>GSON/1112150141</t>
  </si>
  <si>
    <t>SA 14 IVA Y COMISION</t>
  </si>
  <si>
    <t>GSON/1112150144</t>
  </si>
  <si>
    <t>SA 14 INT GANADOS</t>
  </si>
  <si>
    <t>GSON/1112150145</t>
  </si>
  <si>
    <t>SA 15 SALDO CTA BAN</t>
  </si>
  <si>
    <t>GSON/1112150150</t>
  </si>
  <si>
    <t>SA 15 INGRESOS</t>
  </si>
  <si>
    <t>GSON/1112150151</t>
  </si>
  <si>
    <t>SA 15 IVA Y COMISION</t>
  </si>
  <si>
    <t>GSON/1112150154</t>
  </si>
  <si>
    <t>SA 15 INT GANADOS</t>
  </si>
  <si>
    <t>GSON/1112150155</t>
  </si>
  <si>
    <t>SA 17 SALDO CTA BAN</t>
  </si>
  <si>
    <t>GSON/1112150170</t>
  </si>
  <si>
    <t>SA 17 EGRESOS TR</t>
  </si>
  <si>
    <t>GSON/1112150173</t>
  </si>
  <si>
    <t>SA 17 IVA Y COMISION</t>
  </si>
  <si>
    <t>GSON/1112150174</t>
  </si>
  <si>
    <t>SA 17 INT GANADOS</t>
  </si>
  <si>
    <t>GSON/1112150175</t>
  </si>
  <si>
    <t>SA 18 SALDO CTA BAN</t>
  </si>
  <si>
    <t>GSON/1112150180</t>
  </si>
  <si>
    <t>SA 18 IVA Y COMISION</t>
  </si>
  <si>
    <t>GSON/1112150184</t>
  </si>
  <si>
    <t>SA 18 INT GANADOS</t>
  </si>
  <si>
    <t>GSON/1112150185</t>
  </si>
  <si>
    <t>SA 19 SALDO CTA BAN</t>
  </si>
  <si>
    <t>GSON/1112150190</t>
  </si>
  <si>
    <t>SA 19 IVA Y COMISION</t>
  </si>
  <si>
    <t>GSON/1112150194</t>
  </si>
  <si>
    <t>SA 24 SALDO CTA BAN</t>
  </si>
  <si>
    <t>GSON/1112150240</t>
  </si>
  <si>
    <t>SA 24 IVA Y COMISION</t>
  </si>
  <si>
    <t>GSON/1112150244</t>
  </si>
  <si>
    <t>SA 24 INT GANADOS</t>
  </si>
  <si>
    <t>GSON/1112150245</t>
  </si>
  <si>
    <t>SA 26 SALDO CTA BAN</t>
  </si>
  <si>
    <t>GSON/1112150260</t>
  </si>
  <si>
    <t>SA 26 IVA Y COMISION</t>
  </si>
  <si>
    <t>GSON/1112150264</t>
  </si>
  <si>
    <t>SA 26 INT GANADOS</t>
  </si>
  <si>
    <t>GSON/1112150265</t>
  </si>
  <si>
    <t>SA 27 SALDO CTA BAN</t>
  </si>
  <si>
    <t>GSON/1112150270</t>
  </si>
  <si>
    <t>SA 27 INGRESOS</t>
  </si>
  <si>
    <t>GSON/1112150271</t>
  </si>
  <si>
    <t>SA 27 IVA Y COMISION</t>
  </si>
  <si>
    <t>GSON/1112150274</t>
  </si>
  <si>
    <t>SA 27 INT GANADOS</t>
  </si>
  <si>
    <t>GSON/1112150275</t>
  </si>
  <si>
    <t>SA 28 SALDO CTA BAN</t>
  </si>
  <si>
    <t>GSON/1112150280</t>
  </si>
  <si>
    <t>SA 28 IVA Y COMISION</t>
  </si>
  <si>
    <t>GSON/1112150284</t>
  </si>
  <si>
    <t>SA 28 INT GANADOS</t>
  </si>
  <si>
    <t>GSON/1112150285</t>
  </si>
  <si>
    <t>SA 29 SALDO CTA BAN</t>
  </si>
  <si>
    <t>GSON/1112150290</t>
  </si>
  <si>
    <t>SA 29 IVA Y COMISION</t>
  </si>
  <si>
    <t>GSON/1112150294</t>
  </si>
  <si>
    <t>SA 29 INT GANADOS</t>
  </si>
  <si>
    <t>GSON/1112150295</t>
  </si>
  <si>
    <t>SA 30 IVA Y COMISION</t>
  </si>
  <si>
    <t>GSON/1112150304</t>
  </si>
  <si>
    <t>SA 31 SALDO CTA BAN</t>
  </si>
  <si>
    <t>GSON/1112150310</t>
  </si>
  <si>
    <t>SA 34 SALDO CTA BAN</t>
  </si>
  <si>
    <t>GSON/1112150340</t>
  </si>
  <si>
    <t>SA 34 IVA Y COMISION</t>
  </si>
  <si>
    <t>GSON/1112150344</t>
  </si>
  <si>
    <t>SA 34 INT GANADOS</t>
  </si>
  <si>
    <t>GSON/1112150345</t>
  </si>
  <si>
    <t>SA 35 INT GANADOS</t>
  </si>
  <si>
    <t>GSON/1112150355</t>
  </si>
  <si>
    <t>SA 37 EGRESOS CHEQUE</t>
  </si>
  <si>
    <t>SA 37 IVA Y COMISION</t>
  </si>
  <si>
    <t>SA 37 INT GANADOS</t>
  </si>
  <si>
    <t>GSON/1112150375</t>
  </si>
  <si>
    <t>SA 39 SALDO CTA BAN</t>
  </si>
  <si>
    <t>GSON/1112150390</t>
  </si>
  <si>
    <t>SA 39 IVA Y COMISION</t>
  </si>
  <si>
    <t>GSON/1112150394</t>
  </si>
  <si>
    <t>SA 39 INT GANADOS</t>
  </si>
  <si>
    <t>GSON/1112150395</t>
  </si>
  <si>
    <t>SA 40 SALDO CTA BAN</t>
  </si>
  <si>
    <t>GSON/1112150400</t>
  </si>
  <si>
    <t>SA 40 INGRESOS</t>
  </si>
  <si>
    <t>GSON/1112150401</t>
  </si>
  <si>
    <t>SA 40 EGRESOS TR</t>
  </si>
  <si>
    <t>GSON/1112150403</t>
  </si>
  <si>
    <t>SA 40 IVA Y COMISION</t>
  </si>
  <si>
    <t>GSON/1112150404</t>
  </si>
  <si>
    <t>SA 40 INT GANADOS</t>
  </si>
  <si>
    <t>GSON/1112150405</t>
  </si>
  <si>
    <t>SA 41 SALDO CTA BAN</t>
  </si>
  <si>
    <t>GSON/1112150410</t>
  </si>
  <si>
    <t>SA 41 IVA Y COMISION</t>
  </si>
  <si>
    <t>GSON/1112150414</t>
  </si>
  <si>
    <t>SA 42 SALDO CTA BAN</t>
  </si>
  <si>
    <t>GSON/1112150420</t>
  </si>
  <si>
    <t>SA 42 INGRESOS</t>
  </si>
  <si>
    <t>GSON/1112150421</t>
  </si>
  <si>
    <t>SA 42 EGRESOS TR</t>
  </si>
  <si>
    <t>GSON/1112150423</t>
  </si>
  <si>
    <t>SA 42 IVA Y COMISION</t>
  </si>
  <si>
    <t>GSON/1112150424</t>
  </si>
  <si>
    <t>SA 42 INT GANADOS</t>
  </si>
  <si>
    <t>GSON/1112150425</t>
  </si>
  <si>
    <t>SA 45 SALDO CTA BAN</t>
  </si>
  <si>
    <t>GSON/1112150450</t>
  </si>
  <si>
    <t>SA 45 EGRESOS TR</t>
  </si>
  <si>
    <t>GSON/1112150453</t>
  </si>
  <si>
    <t>SA 45 IVA Y COMISION</t>
  </si>
  <si>
    <t>GSON/1112150454</t>
  </si>
  <si>
    <t>SA 45 INT GANADOS</t>
  </si>
  <si>
    <t>GSON/1112150455</t>
  </si>
  <si>
    <t>SA 46 INGRESOS</t>
  </si>
  <si>
    <t>GSON/1112150461</t>
  </si>
  <si>
    <t>SA 46 EGRESOS CHEQUE</t>
  </si>
  <si>
    <t>SA 46 EGRESOS TR</t>
  </si>
  <si>
    <t>GSON/1112150463</t>
  </si>
  <si>
    <t>SA 46 IVA Y COMISION</t>
  </si>
  <si>
    <t>GSON/1112150464</t>
  </si>
  <si>
    <t>SA 46 INT GANADOS</t>
  </si>
  <si>
    <t>GSON/1112150465</t>
  </si>
  <si>
    <t>SA 47 SALDO CTA BAN</t>
  </si>
  <si>
    <t>GSON/1112150470</t>
  </si>
  <si>
    <t>SA 47 INGRESOS</t>
  </si>
  <si>
    <t>GSON/1112150471</t>
  </si>
  <si>
    <t>SA 47 EGRESOS TR</t>
  </si>
  <si>
    <t>GSON/1112150473</t>
  </si>
  <si>
    <t>SA 47 IVA Y COMISION</t>
  </si>
  <si>
    <t>GSON/1112150474</t>
  </si>
  <si>
    <t>SA 47 INT GANADOS</t>
  </si>
  <si>
    <t>GSON/1112150475</t>
  </si>
  <si>
    <t>SA 54 SALDO CTA BAN</t>
  </si>
  <si>
    <t>GSON/1112150540</t>
  </si>
  <si>
    <t>SA 54 IVA Y COMISION</t>
  </si>
  <si>
    <t>GSON/1112150544</t>
  </si>
  <si>
    <t>SA 54 INT GANADOS</t>
  </si>
  <si>
    <t>GSON/1112150545</t>
  </si>
  <si>
    <t>SA 55 SALDO CTA BAN</t>
  </si>
  <si>
    <t>GSON/1112150550</t>
  </si>
  <si>
    <t>SA 55 EGRESOS CHEQUE</t>
  </si>
  <si>
    <t>GSON/1112150552</t>
  </si>
  <si>
    <t>SA 55 IVA Y COMISION</t>
  </si>
  <si>
    <t>GSON/1112150554</t>
  </si>
  <si>
    <t>SA 55 INT GANADOS</t>
  </si>
  <si>
    <t>GSON/1112150555</t>
  </si>
  <si>
    <t>SA 56 SALDO CTA BAN</t>
  </si>
  <si>
    <t>GSON/1112150560</t>
  </si>
  <si>
    <t>SA 56 IVA Y COMISION</t>
  </si>
  <si>
    <t>GSON/1112150564</t>
  </si>
  <si>
    <t>SA 56 INT GANADOS</t>
  </si>
  <si>
    <t>GSON/1112150565</t>
  </si>
  <si>
    <t>SA 59 SALDO CTA BAN</t>
  </si>
  <si>
    <t>GSON/1112150590</t>
  </si>
  <si>
    <t>SA 59 INGRESOS</t>
  </si>
  <si>
    <t>GSON/1112150591</t>
  </si>
  <si>
    <t>SA 59 EGRESOS TR</t>
  </si>
  <si>
    <t>GSON/1112150593</t>
  </si>
  <si>
    <t>SA 59 IVA Y COMISION</t>
  </si>
  <si>
    <t>GSON/1112150594</t>
  </si>
  <si>
    <t>SA 59 INT GANADOS</t>
  </si>
  <si>
    <t>GSON/1112150595</t>
  </si>
  <si>
    <t>SA 60 SALDO CTA BAN</t>
  </si>
  <si>
    <t>GSON/1112150600</t>
  </si>
  <si>
    <t>SA 60 INGRESOS</t>
  </si>
  <si>
    <t>GSON/1112150601</t>
  </si>
  <si>
    <t>SA 60 EGRESOS TR</t>
  </si>
  <si>
    <t>GSON/1112150603</t>
  </si>
  <si>
    <t>SA 60 IVA Y COMISION</t>
  </si>
  <si>
    <t>GSON/1112150604</t>
  </si>
  <si>
    <t>SA 60 INT GANADOS</t>
  </si>
  <si>
    <t>GSON/1112150605</t>
  </si>
  <si>
    <t>SA 66 EGRESOS TR</t>
  </si>
  <si>
    <t>GSON/1112150663</t>
  </si>
  <si>
    <t>SA 66 IVA Y COMISION</t>
  </si>
  <si>
    <t>GSON/1112150664</t>
  </si>
  <si>
    <t>SA 67 IVA Y COMISION</t>
  </si>
  <si>
    <t>SA 68 IVA Y COMISION</t>
  </si>
  <si>
    <t>SA 69 EGRESOS CHEQUE</t>
  </si>
  <si>
    <t>SA 69 IVA Y COMISION</t>
  </si>
  <si>
    <t>SA 70 SALDO CTA BAN</t>
  </si>
  <si>
    <t>GSON/1112150700</t>
  </si>
  <si>
    <t>SA 70 INGRESOS</t>
  </si>
  <si>
    <t>GSON/1112150701</t>
  </si>
  <si>
    <t>SA 70 EGRESOS TR</t>
  </si>
  <si>
    <t>GSON/1112150703</t>
  </si>
  <si>
    <t>SA 70 IVA Y COMISION</t>
  </si>
  <si>
    <t>GSON/1112150704</t>
  </si>
  <si>
    <t>SA 71 IVA Y COMISION</t>
  </si>
  <si>
    <t>GSON/1112150714</t>
  </si>
  <si>
    <t>SA 72 SALDO CTA BAN</t>
  </si>
  <si>
    <t>GSON/1112150720</t>
  </si>
  <si>
    <t>SA 72 INGRESOS</t>
  </si>
  <si>
    <t>GSON/1112150721</t>
  </si>
  <si>
    <t>SA 72 EGRESOS TR</t>
  </si>
  <si>
    <t>GSON/1112150723</t>
  </si>
  <si>
    <t>SA 72 IVA Y COMISION</t>
  </si>
  <si>
    <t>GSON/1112150724</t>
  </si>
  <si>
    <t>SA 72 INT GANADOS</t>
  </si>
  <si>
    <t>GSON/1112150725</t>
  </si>
  <si>
    <t>SA 73 SALDO CTA BAN</t>
  </si>
  <si>
    <t>GSON/1112150730</t>
  </si>
  <si>
    <t>SA 73 INGRESOS</t>
  </si>
  <si>
    <t>GSON/1112150731</t>
  </si>
  <si>
    <t>SA 73 IVA Y COMISION</t>
  </si>
  <si>
    <t>GSON/1112150734</t>
  </si>
  <si>
    <t>SA 74 EGRESOS TR</t>
  </si>
  <si>
    <t>GSON/1112150743</t>
  </si>
  <si>
    <t>SA 74 IVA Y COMISION</t>
  </si>
  <si>
    <t>SA 75 INGRESOS</t>
  </si>
  <si>
    <t>GSON/1112150751</t>
  </si>
  <si>
    <t>SA 75 EGRESOS TR</t>
  </si>
  <si>
    <t>GSON/1112150753</t>
  </si>
  <si>
    <t>SA 75 IVA Y COMISION</t>
  </si>
  <si>
    <t>SA 76 IVA Y COMISION</t>
  </si>
  <si>
    <t>SA 77 SALDO CTA BAN</t>
  </si>
  <si>
    <t>GSON/1112150770</t>
  </si>
  <si>
    <t>SA 77 EGRESOS TR</t>
  </si>
  <si>
    <t>GSON/1112150773</t>
  </si>
  <si>
    <t>SA 77 IVA Y COMISION</t>
  </si>
  <si>
    <t>GSON/1112150774</t>
  </si>
  <si>
    <t>SA 78 EGRESOS TR</t>
  </si>
  <si>
    <t>GSON/1112150783</t>
  </si>
  <si>
    <t>SA 78 IVA Y COMISION</t>
  </si>
  <si>
    <t>SA 79 SALDO CTA BAN</t>
  </si>
  <si>
    <t>GSON/1112150790</t>
  </si>
  <si>
    <t>SA 79 INGRESOS</t>
  </si>
  <si>
    <t>GSON/1112150791</t>
  </si>
  <si>
    <t>SA 79 IVA Y COMISION</t>
  </si>
  <si>
    <t>GSON/1112150794</t>
  </si>
  <si>
    <t>SA 80 SALDO CTA BAN</t>
  </si>
  <si>
    <t>GSON/1112150800</t>
  </si>
  <si>
    <t>SA 80 EGRESOS TR</t>
  </si>
  <si>
    <t>GSON/1112150803</t>
  </si>
  <si>
    <t>SA 80 IVA Y COMISION</t>
  </si>
  <si>
    <t>GSON/1112150804</t>
  </si>
  <si>
    <t>SA 95 SLDO CTA BAN</t>
  </si>
  <si>
    <t>GSON/1112150950</t>
  </si>
  <si>
    <t>SA 95 IVA Y COMISION</t>
  </si>
  <si>
    <t>GSON/1112150954</t>
  </si>
  <si>
    <t>SA 96 SLDO CTA BAN</t>
  </si>
  <si>
    <t>GSON/1112150960</t>
  </si>
  <si>
    <t>SA 96 INGRESOS</t>
  </si>
  <si>
    <t>GSON/1112150961</t>
  </si>
  <si>
    <t>SA 96 EGRESOS CHEQUE</t>
  </si>
  <si>
    <t>GSON/1112150962</t>
  </si>
  <si>
    <t>SA 96 EGRESOS TR</t>
  </si>
  <si>
    <t>GSON/1112150963</t>
  </si>
  <si>
    <t>SA 96 IVA Y COMISION</t>
  </si>
  <si>
    <t>GSON/1112150964</t>
  </si>
  <si>
    <t>SA 96 INT GANADOS</t>
  </si>
  <si>
    <t>GSON/1112150965</t>
  </si>
  <si>
    <t>SA 97 SLDO CTA BAN</t>
  </si>
  <si>
    <t>GSON/1112150970</t>
  </si>
  <si>
    <t>SA 97 EGRESOS CHEQUE</t>
  </si>
  <si>
    <t>GSON/1112150972</t>
  </si>
  <si>
    <t>SA 97 EGRESOS TR</t>
  </si>
  <si>
    <t>GSON/1112150973</t>
  </si>
  <si>
    <t>SA 97 IVA Y COMISION</t>
  </si>
  <si>
    <t>GSON/1112150974</t>
  </si>
  <si>
    <t>SA 97 INT GANADOS</t>
  </si>
  <si>
    <t>GSON/1112150975</t>
  </si>
  <si>
    <t>SA 98 SLDO CTA BAN</t>
  </si>
  <si>
    <t>GSON/1112150980</t>
  </si>
  <si>
    <t>SA 98 EGRESOS CHEQUE</t>
  </si>
  <si>
    <t>GSON/1112150982</t>
  </si>
  <si>
    <t>SA 98 IVA Y COMISION</t>
  </si>
  <si>
    <t>GSON/1112150984</t>
  </si>
  <si>
    <t>SA 98 INT GANADOS</t>
  </si>
  <si>
    <t>GSON/1112150985</t>
  </si>
  <si>
    <t>SA100 EGRESOS CHEQUE</t>
  </si>
  <si>
    <t>GSON/1112151002</t>
  </si>
  <si>
    <t>SA100 EGRESOS TR</t>
  </si>
  <si>
    <t>GSON/1112151003</t>
  </si>
  <si>
    <t>SA100 IVA Y COMISION</t>
  </si>
  <si>
    <t>GSON/1112151004</t>
  </si>
  <si>
    <t>SA100 INT GANADOS</t>
  </si>
  <si>
    <t>GSON/1112151005</t>
  </si>
  <si>
    <t>SA101 SLDO CTA BAN</t>
  </si>
  <si>
    <t>GSON/1112151010</t>
  </si>
  <si>
    <t>SA101 EGRESOS TR</t>
  </si>
  <si>
    <t>GSON/1112151013</t>
  </si>
  <si>
    <t>SA101 IVA Y COMISION</t>
  </si>
  <si>
    <t>GSON/1112151014</t>
  </si>
  <si>
    <t>SA101 INT GANADOS</t>
  </si>
  <si>
    <t>GSON/1112151015</t>
  </si>
  <si>
    <t>SA102 EGRESOS TR</t>
  </si>
  <si>
    <t>GSON/1112151023</t>
  </si>
  <si>
    <t>SA102 IVA Y COMISION</t>
  </si>
  <si>
    <t>SA102 INT GANADOS</t>
  </si>
  <si>
    <t>GSON/1112151025</t>
  </si>
  <si>
    <t>SA103 SLDO CTA BAN</t>
  </si>
  <si>
    <t>GSON/1112151030</t>
  </si>
  <si>
    <t>SA103 INGRESOS</t>
  </si>
  <si>
    <t>GSON/1112151031</t>
  </si>
  <si>
    <t>SA103 INT GANADOS</t>
  </si>
  <si>
    <t>GSON/1112151035</t>
  </si>
  <si>
    <t>SA104 SLDO CTA BAN</t>
  </si>
  <si>
    <t>GSON/1112151040</t>
  </si>
  <si>
    <t>SA104 IVA Y COMISION</t>
  </si>
  <si>
    <t>GSON/1112151044</t>
  </si>
  <si>
    <t>SA105 SLDO CTA BAN</t>
  </si>
  <si>
    <t>GSON/1112151050</t>
  </si>
  <si>
    <t>SA105 IVA Y COMISION</t>
  </si>
  <si>
    <t>GSON/1112151054</t>
  </si>
  <si>
    <t>SA106 SLDO CTA BAN</t>
  </si>
  <si>
    <t>GSON/1112151060</t>
  </si>
  <si>
    <t>SA106 INGRESOS</t>
  </si>
  <si>
    <t>GSON/1112151061</t>
  </si>
  <si>
    <t>SA106 EGRESOS TR</t>
  </si>
  <si>
    <t>GSON/1112151063</t>
  </si>
  <si>
    <t>SA106 IVA Y COMISION</t>
  </si>
  <si>
    <t>GSON/1112151064</t>
  </si>
  <si>
    <t>SA106 INT GANADOS</t>
  </si>
  <si>
    <t>GSON/1112151065</t>
  </si>
  <si>
    <t>SA107 SLDO CTA BAN</t>
  </si>
  <si>
    <t>GSON/1112151070</t>
  </si>
  <si>
    <t>SA107 INGRESOS</t>
  </si>
  <si>
    <t>GSON/1112151071</t>
  </si>
  <si>
    <t>SA107 IVA Y COMISION</t>
  </si>
  <si>
    <t>GSON/1112151074</t>
  </si>
  <si>
    <t>SA107 INT GANADOS</t>
  </si>
  <si>
    <t>GSON/1112151075</t>
  </si>
  <si>
    <t>SA110 SLDO CTA BAN</t>
  </si>
  <si>
    <t>GSON/1112151100</t>
  </si>
  <si>
    <t>SA110 INGRESOS</t>
  </si>
  <si>
    <t>GSON/1112151101</t>
  </si>
  <si>
    <t>SA110 EGRESOS CHEQUE</t>
  </si>
  <si>
    <t>GSON/1112151102</t>
  </si>
  <si>
    <t>SA110 EGRESOS TR</t>
  </si>
  <si>
    <t>GSON/1112151103</t>
  </si>
  <si>
    <t>SA110 IVA Y COMISION</t>
  </si>
  <si>
    <t>GSON/1112151104</t>
  </si>
  <si>
    <t>SA110 INT GANADOS</t>
  </si>
  <si>
    <t>GSON/1112151105</t>
  </si>
  <si>
    <t>SA111 SLDO CTA BAN</t>
  </si>
  <si>
    <t>GSON/1112151110</t>
  </si>
  <si>
    <t>SA111 INGRESOS</t>
  </si>
  <si>
    <t>GSON/1112151111</t>
  </si>
  <si>
    <t>SA111 IVA Y COMISION</t>
  </si>
  <si>
    <t>GSON/1112151114</t>
  </si>
  <si>
    <t>SA112 SLDO CTA BAN</t>
  </si>
  <si>
    <t>GSON/1112151120</t>
  </si>
  <si>
    <t>SA112 EGRESOS CHEQUE</t>
  </si>
  <si>
    <t>GSON/1112151122</t>
  </si>
  <si>
    <t>SA112 EGRESOS TR</t>
  </si>
  <si>
    <t>GSON/1112151123</t>
  </si>
  <si>
    <t>SA112 IVA Y COMISION</t>
  </si>
  <si>
    <t>GSON/1112151124</t>
  </si>
  <si>
    <t>SA112 INT GANADOS</t>
  </si>
  <si>
    <t>GSON/1112151125</t>
  </si>
  <si>
    <t>SA113 SLDO CTA BAN</t>
  </si>
  <si>
    <t>GSON/1112151130</t>
  </si>
  <si>
    <t>SA113 EGRESOS TR</t>
  </si>
  <si>
    <t>GSON/1112151133</t>
  </si>
  <si>
    <t>SA113 INT GANADOS</t>
  </si>
  <si>
    <t>GSON/1112151135</t>
  </si>
  <si>
    <t>SA114 SLDO CTA BAN</t>
  </si>
  <si>
    <t>GSON/1112151140</t>
  </si>
  <si>
    <t>SA114 EGRESOS TR</t>
  </si>
  <si>
    <t>GSON/1112151143</t>
  </si>
  <si>
    <t>SA115 SLDO CTA BAN</t>
  </si>
  <si>
    <t>GSON/1112151150</t>
  </si>
  <si>
    <t>SA115 EGRESOS CHEQUE</t>
  </si>
  <si>
    <t>GSON/1112151152</t>
  </si>
  <si>
    <t>SA115 IVA Y COMISION</t>
  </si>
  <si>
    <t>GSON/1112151154</t>
  </si>
  <si>
    <t>SA116 SLDO CTA BAN</t>
  </si>
  <si>
    <t>GSON/1112151160</t>
  </si>
  <si>
    <t>SA116 EGRESOS CHEQUE</t>
  </si>
  <si>
    <t>GSON/1112151162</t>
  </si>
  <si>
    <t>SA116 IVA Y COMISION</t>
  </si>
  <si>
    <t>GSON/1112151164</t>
  </si>
  <si>
    <t>SA116 INT GANADOS</t>
  </si>
  <si>
    <t>GSON/1112151165</t>
  </si>
  <si>
    <t>SA121 SLDO CTA BAN</t>
  </si>
  <si>
    <t>GSON/1112151210</t>
  </si>
  <si>
    <t>SA121 INGRESOS</t>
  </si>
  <si>
    <t>GSON/1112151211</t>
  </si>
  <si>
    <t>SA121 EGRESOS TR</t>
  </si>
  <si>
    <t>GSON/1112151213</t>
  </si>
  <si>
    <t>SA121 IVA Y COMISION</t>
  </si>
  <si>
    <t>GSON/1112151214</t>
  </si>
  <si>
    <t>SA121 INT GANADOS</t>
  </si>
  <si>
    <t>GSON/1112151215</t>
  </si>
  <si>
    <t>SA122 SLDO CTA BAN</t>
  </si>
  <si>
    <t>GSON/1112151220</t>
  </si>
  <si>
    <t>SA122 EGRESOS CHEQUE</t>
  </si>
  <si>
    <t>GSON/1112151222</t>
  </si>
  <si>
    <t>SA122 EGRESOS TR</t>
  </si>
  <si>
    <t>GSON/1112151223</t>
  </si>
  <si>
    <t>SA122 IVA Y COMISION</t>
  </si>
  <si>
    <t>GSON/1112151224</t>
  </si>
  <si>
    <t>SA122 INT GANADOS</t>
  </si>
  <si>
    <t>GSON/1112151225</t>
  </si>
  <si>
    <t>SA123 SLDO CTA BAN</t>
  </si>
  <si>
    <t>GSON/1112151230</t>
  </si>
  <si>
    <t>SA123 EGRESOS CHEQUE</t>
  </si>
  <si>
    <t>GSON/1112151232</t>
  </si>
  <si>
    <t>SA123 IVA Y COMISION</t>
  </si>
  <si>
    <t>GSON/1112151234</t>
  </si>
  <si>
    <t>SA123 INT GANADOS</t>
  </si>
  <si>
    <t>GSON/1112151235</t>
  </si>
  <si>
    <t>SA124 SLDO CTA BAN</t>
  </si>
  <si>
    <t>GSON/1112151240</t>
  </si>
  <si>
    <t>SA124 INGRESOS</t>
  </si>
  <si>
    <t>GSON/1112151241</t>
  </si>
  <si>
    <t>SA124 EGRESOS TR</t>
  </si>
  <si>
    <t>GSON/1112151243</t>
  </si>
  <si>
    <t>SA124 INT GANADOS</t>
  </si>
  <si>
    <t>GSON/1112151245</t>
  </si>
  <si>
    <t>SA126 SLDO CTA BAN</t>
  </si>
  <si>
    <t>GSON/1112151260</t>
  </si>
  <si>
    <t>SA126 INGRESOS</t>
  </si>
  <si>
    <t>GSON/1112151261</t>
  </si>
  <si>
    <t>SA126 EGRESOS TR</t>
  </si>
  <si>
    <t>GSON/1112151263</t>
  </si>
  <si>
    <t>SA126 INT GANADOS</t>
  </si>
  <si>
    <t>GSON/1112151265</t>
  </si>
  <si>
    <t>SA 127 SALDO CTA BAN</t>
  </si>
  <si>
    <t>GSON/1112151270</t>
  </si>
  <si>
    <t>SA 127 INGRESOS</t>
  </si>
  <si>
    <t>GSON/1112151271</t>
  </si>
  <si>
    <t>SA 127 EGRESOS TR</t>
  </si>
  <si>
    <t>GSON/1112151273</t>
  </si>
  <si>
    <t>SA 127 IVA Y COMIS</t>
  </si>
  <si>
    <t>GSON/1112151274</t>
  </si>
  <si>
    <t>SA 127 INT GANADOS</t>
  </si>
  <si>
    <t>GSON/1112151275</t>
  </si>
  <si>
    <t>SA129 SLDO CTA BAN</t>
  </si>
  <si>
    <t>GSON/1112151290</t>
  </si>
  <si>
    <t>SA129 INGRESOS</t>
  </si>
  <si>
    <t>GSON/1112151291</t>
  </si>
  <si>
    <t>SA129 EGRESOS TR</t>
  </si>
  <si>
    <t>GSON/1112151293</t>
  </si>
  <si>
    <t>SA129 INT GANADOS</t>
  </si>
  <si>
    <t>GSON/1112151295</t>
  </si>
  <si>
    <t>SA130 SLDO CTA BAN</t>
  </si>
  <si>
    <t>GSON/1112151300</t>
  </si>
  <si>
    <t>SA130 INGRESOS</t>
  </si>
  <si>
    <t>GSON/1112151301</t>
  </si>
  <si>
    <t>SA130 EGRESOS TR</t>
  </si>
  <si>
    <t>GSON/1112151303</t>
  </si>
  <si>
    <t>SA130 INT GANADOS</t>
  </si>
  <si>
    <t>GSON/1112151305</t>
  </si>
  <si>
    <t>SA131 SLDO CTA BAN</t>
  </si>
  <si>
    <t>GSON/1112151310</t>
  </si>
  <si>
    <t>SA131 INGRESOS</t>
  </si>
  <si>
    <t>GSON/1112151311</t>
  </si>
  <si>
    <t>SA131 EGRESOS TR</t>
  </si>
  <si>
    <t>GSON/1112151313</t>
  </si>
  <si>
    <t>SA131 INT GANADOS</t>
  </si>
  <si>
    <t>GSON/1112151315</t>
  </si>
  <si>
    <t>SA132 SLDO CTA BAN</t>
  </si>
  <si>
    <t>GSON/1112151320</t>
  </si>
  <si>
    <t>SA132 INGRESOS</t>
  </si>
  <si>
    <t>GSON/1112151321</t>
  </si>
  <si>
    <t>SA132 EGRESOS TR</t>
  </si>
  <si>
    <t>GSON/1112151323</t>
  </si>
  <si>
    <t>SA132 IVA Y COMISION</t>
  </si>
  <si>
    <t>GSON/1112151324</t>
  </si>
  <si>
    <t>SA132 INT GANADOS</t>
  </si>
  <si>
    <t>GSON/1112151325</t>
  </si>
  <si>
    <t>SA133 SLDO CTA BAN</t>
  </si>
  <si>
    <t>GSON/1112151330</t>
  </si>
  <si>
    <t>SA133 INGRESOS</t>
  </si>
  <si>
    <t>GSON/1112151331</t>
  </si>
  <si>
    <t>SA133 EGRESOS TR</t>
  </si>
  <si>
    <t>GSON/1112151333</t>
  </si>
  <si>
    <t>SA133 IVA Y COMISION</t>
  </si>
  <si>
    <t>GSON/1112151334</t>
  </si>
  <si>
    <t>SA133 INT GANADOS</t>
  </si>
  <si>
    <t>GSON/1112151335</t>
  </si>
  <si>
    <t>SA134 SLDO CTA BAN</t>
  </si>
  <si>
    <t>GSON/1112151340</t>
  </si>
  <si>
    <t>SA134 INGRESOS</t>
  </si>
  <si>
    <t>GSON/1112151341</t>
  </si>
  <si>
    <t>SA134 EGRESOS TR</t>
  </si>
  <si>
    <t>GSON/1112151343</t>
  </si>
  <si>
    <t>SA134 IVA Y COMISION</t>
  </si>
  <si>
    <t>GSON/1112151344</t>
  </si>
  <si>
    <t>SA134 INT GANADOS</t>
  </si>
  <si>
    <t>GSON/1112151345</t>
  </si>
  <si>
    <t>SA135 SLDO CTA BAN</t>
  </si>
  <si>
    <t>GSON/1112151350</t>
  </si>
  <si>
    <t>SA135 INGRESOS</t>
  </si>
  <si>
    <t>GSON/1112151351</t>
  </si>
  <si>
    <t>SA135 EGRESOS TR</t>
  </si>
  <si>
    <t>GSON/1112151353</t>
  </si>
  <si>
    <t>SA135 IVA Y COMISION</t>
  </si>
  <si>
    <t>GSON/1112151354</t>
  </si>
  <si>
    <t>SA135 INT GANADOS</t>
  </si>
  <si>
    <t>GSON/1112151355</t>
  </si>
  <si>
    <t>SA136 SLDO CTA BAN</t>
  </si>
  <si>
    <t>GSON/1112151360</t>
  </si>
  <si>
    <t>SA136 INGRESOS</t>
  </si>
  <si>
    <t>GSON/1112151361</t>
  </si>
  <si>
    <t>SA136 EGRESOS TR</t>
  </si>
  <si>
    <t>GSON/1112151363</t>
  </si>
  <si>
    <t>SA136 INT GANADOS</t>
  </si>
  <si>
    <t>GSON/1112151365</t>
  </si>
  <si>
    <t>SA137 SLDO CTA BAN</t>
  </si>
  <si>
    <t>GSON/1112151370</t>
  </si>
  <si>
    <t>SA137 INGRESOS</t>
  </si>
  <si>
    <t>GSON/1112151371</t>
  </si>
  <si>
    <t>SA137 EGRESOS TR</t>
  </si>
  <si>
    <t>GSON/1112151373</t>
  </si>
  <si>
    <t>SA137 INT GANADOS</t>
  </si>
  <si>
    <t>GSON/1112151375</t>
  </si>
  <si>
    <t>SA138 SLDO CTA BAN</t>
  </si>
  <si>
    <t>GSON/1112151380</t>
  </si>
  <si>
    <t>SA138 INGRESOS</t>
  </si>
  <si>
    <t>GSON/1112151381</t>
  </si>
  <si>
    <t>SA138 EGRESOS CHEQUE</t>
  </si>
  <si>
    <t>GSON/1112151382</t>
  </si>
  <si>
    <t>SA138 EGRESOS TR</t>
  </si>
  <si>
    <t>GSON/1112151383</t>
  </si>
  <si>
    <t>SA138 IVA Y COMISION</t>
  </si>
  <si>
    <t>GSON/1112151384</t>
  </si>
  <si>
    <t>SA138 INT GANADOS</t>
  </si>
  <si>
    <t>GSON/1112151385</t>
  </si>
  <si>
    <t>SA139 SLDO CTA BAN</t>
  </si>
  <si>
    <t>GSON/1112151390</t>
  </si>
  <si>
    <t>SA139 INGRESOS</t>
  </si>
  <si>
    <t>GSON/1112151391</t>
  </si>
  <si>
    <t>SA139 EGRESOS TR</t>
  </si>
  <si>
    <t>GSON/1112151393</t>
  </si>
  <si>
    <t>SA139 IVA Y COMISION</t>
  </si>
  <si>
    <t>GSON/1112151394</t>
  </si>
  <si>
    <t>SA139 INT GANADOS</t>
  </si>
  <si>
    <t>GSON/1112151395</t>
  </si>
  <si>
    <t>SA140 SLDO CTA BAN</t>
  </si>
  <si>
    <t>GSON/1112151400</t>
  </si>
  <si>
    <t>SA140 INGRESOS</t>
  </si>
  <si>
    <t>GSON/1112151401</t>
  </si>
  <si>
    <t>SA140 EGRESOS TR</t>
  </si>
  <si>
    <t>GSON/1112151403</t>
  </si>
  <si>
    <t>SA140 IVA Y COMISION</t>
  </si>
  <si>
    <t>GSON/1112151404</t>
  </si>
  <si>
    <t>SA140 INT GANADOS</t>
  </si>
  <si>
    <t>GSON/1112151405</t>
  </si>
  <si>
    <t>SA142 SLDO CTA BAN</t>
  </si>
  <si>
    <t>GSON/1112151420</t>
  </si>
  <si>
    <t>SA142 INGRESOS</t>
  </si>
  <si>
    <t>GSON/1112151421</t>
  </si>
  <si>
    <t>SA142 EGRESOS TR</t>
  </si>
  <si>
    <t>GSON/1112151423</t>
  </si>
  <si>
    <t>SA142 IVA Y COMISION</t>
  </si>
  <si>
    <t>GSON/1112151424</t>
  </si>
  <si>
    <t>SA142 INT GANADOS</t>
  </si>
  <si>
    <t>GSON/1112151425</t>
  </si>
  <si>
    <t>SA143 SLDO CTA BAN</t>
  </si>
  <si>
    <t>GSON/1112151430</t>
  </si>
  <si>
    <t>SA143 INGRESOS</t>
  </si>
  <si>
    <t>GSON/1112151431</t>
  </si>
  <si>
    <t>SA143 EGRESOS TR</t>
  </si>
  <si>
    <t>GSON/1112151433</t>
  </si>
  <si>
    <t>SA143 IVA Y COMISION</t>
  </si>
  <si>
    <t>GSON/1112151434</t>
  </si>
  <si>
    <t>SA143 INT GANADOS</t>
  </si>
  <si>
    <t>GSON/1112151435</t>
  </si>
  <si>
    <t>SA145 SLDO CTA BAN</t>
  </si>
  <si>
    <t>GSON/1112151450</t>
  </si>
  <si>
    <t>SA145 INGRESOS</t>
  </si>
  <si>
    <t>GSON/1112151451</t>
  </si>
  <si>
    <t>SA145 EGRESOS TR</t>
  </si>
  <si>
    <t>GSON/1112151453</t>
  </si>
  <si>
    <t>SA145 IVA Y COMISION</t>
  </si>
  <si>
    <t>GSON/1112151454</t>
  </si>
  <si>
    <t>SA145 INT GANADOS</t>
  </si>
  <si>
    <t>GSON/1112151455</t>
  </si>
  <si>
    <t>SC 01 SALDO CTA BAN</t>
  </si>
  <si>
    <t>GSON/1112160010</t>
  </si>
  <si>
    <t>SC 01 INGRESOS</t>
  </si>
  <si>
    <t>GSON/1112160011</t>
  </si>
  <si>
    <t>SC 01 EGRESOS CHEQUE</t>
  </si>
  <si>
    <t>SC 01 IVA Y COMISION</t>
  </si>
  <si>
    <t>GSON/1112160014</t>
  </si>
  <si>
    <t>SC 02 SALDO CTA BAN</t>
  </si>
  <si>
    <t>GSON/1112160020</t>
  </si>
  <si>
    <t>SC 02 INGRESOS</t>
  </si>
  <si>
    <t>GSON/1112160021</t>
  </si>
  <si>
    <t>SC 02 IVA Y COMISION</t>
  </si>
  <si>
    <t>GSON/1112160024</t>
  </si>
  <si>
    <t>SC 03 SALDO CTA BAN</t>
  </si>
  <si>
    <t>GSON/1112160030</t>
  </si>
  <si>
    <t>SC 03 INT GANADOS</t>
  </si>
  <si>
    <t>GSON/1112160035</t>
  </si>
  <si>
    <t>SC 04 SALDO CTA BAN</t>
  </si>
  <si>
    <t>GSON/1112160040</t>
  </si>
  <si>
    <t>SC 05 SALDO CTA BAN</t>
  </si>
  <si>
    <t>GSON/1112160050</t>
  </si>
  <si>
    <t>SC 05 INGRESOS</t>
  </si>
  <si>
    <t>GSON/1112160051</t>
  </si>
  <si>
    <t>SC 05 INT GANADOS</t>
  </si>
  <si>
    <t>GSON/1112160055</t>
  </si>
  <si>
    <t>SC 06 SALDO CTA BAN</t>
  </si>
  <si>
    <t>GSON/1112160060</t>
  </si>
  <si>
    <t>SC 07 SALDO CTA BAN</t>
  </si>
  <si>
    <t>GSON/1112160070</t>
  </si>
  <si>
    <t>SC 07 INGRESOS</t>
  </si>
  <si>
    <t>GSON/1112160071</t>
  </si>
  <si>
    <t>SC 07 INT GANADOS</t>
  </si>
  <si>
    <t>GSON/1112160075</t>
  </si>
  <si>
    <t>SC 08 SALDO CTA BAN</t>
  </si>
  <si>
    <t>GSON/1112160080</t>
  </si>
  <si>
    <t>SC 08 INT GANADOS</t>
  </si>
  <si>
    <t>GSON/1112160085</t>
  </si>
  <si>
    <t>SC 11 EGRESOS CHEQUE</t>
  </si>
  <si>
    <t>GSON/1112160112</t>
  </si>
  <si>
    <t>SC 11 INT GANADOS</t>
  </si>
  <si>
    <t>GSON/1112160115</t>
  </si>
  <si>
    <t>SC 12 SALDO CTA BAN</t>
  </si>
  <si>
    <t>GSON/1112160120</t>
  </si>
  <si>
    <t>SC 12 INT GANADOS</t>
  </si>
  <si>
    <t>GSON/1112160125</t>
  </si>
  <si>
    <t>SC 13 SALDO CTA BAN</t>
  </si>
  <si>
    <t>GSON/1112160130</t>
  </si>
  <si>
    <t>SC 15 SALDO CTA BAN</t>
  </si>
  <si>
    <t>GSON/1112160150</t>
  </si>
  <si>
    <t>SC 15 EGRESOS TR</t>
  </si>
  <si>
    <t>GSON/1112160153</t>
  </si>
  <si>
    <t>SC 15 INT GANADOS</t>
  </si>
  <si>
    <t>GSON/1112160155</t>
  </si>
  <si>
    <t>SC 16 SALDO CTA BAN</t>
  </si>
  <si>
    <t>GSON/1112160160</t>
  </si>
  <si>
    <t>SC 16 INT GANADOS</t>
  </si>
  <si>
    <t>GSON/1112160165</t>
  </si>
  <si>
    <t>SC 18 SALDO CTA BAN</t>
  </si>
  <si>
    <t>GSON/1112160180</t>
  </si>
  <si>
    <t>SC 18 INGRESOS</t>
  </si>
  <si>
    <t>GSON/1112160181</t>
  </si>
  <si>
    <t>SC 18 EGRESOS TR</t>
  </si>
  <si>
    <t>GSON/1112160183</t>
  </si>
  <si>
    <t>SC 18 IVA Y COMISION</t>
  </si>
  <si>
    <t>GSON/1112160184</t>
  </si>
  <si>
    <t>SC 18 INT GANADOS</t>
  </si>
  <si>
    <t>GSON/1112160185</t>
  </si>
  <si>
    <t>SC 19 SALDO CTA BAN</t>
  </si>
  <si>
    <t>GSON/1112160190</t>
  </si>
  <si>
    <t>SC 19 INGRESOS</t>
  </si>
  <si>
    <t>GSON/1112160191</t>
  </si>
  <si>
    <t>SC 19 EGRESOS CHEQUE</t>
  </si>
  <si>
    <t>GSON/1112160192</t>
  </si>
  <si>
    <t>SC 19 EGRESOS TR</t>
  </si>
  <si>
    <t>GSON/1112160193</t>
  </si>
  <si>
    <t>SC 19 IVA Y COMISION</t>
  </si>
  <si>
    <t>GSON/1112160194</t>
  </si>
  <si>
    <t>SC 19 INT GANADOS</t>
  </si>
  <si>
    <t>GSON/1112160195</t>
  </si>
  <si>
    <t>SC 20 SALDO CTA BAN</t>
  </si>
  <si>
    <t>GSON/1112160200</t>
  </si>
  <si>
    <t>SC 20 INGRESOS</t>
  </si>
  <si>
    <t>GSON/1112160201</t>
  </si>
  <si>
    <t>SC 20 EGRESOS TR</t>
  </si>
  <si>
    <t>GSON/1112160203</t>
  </si>
  <si>
    <t>SC 20 IVA Y COMISION</t>
  </si>
  <si>
    <t>GSON/1112160204</t>
  </si>
  <si>
    <t>SC 20 INT GANADOS</t>
  </si>
  <si>
    <t>GSON/1112160205</t>
  </si>
  <si>
    <t>SC 21 SALDO CTA BAN</t>
  </si>
  <si>
    <t>GSON/1112160210</t>
  </si>
  <si>
    <t>SC 21 INGRESOS</t>
  </si>
  <si>
    <t>GSON/1112160211</t>
  </si>
  <si>
    <t>SC 21 EGRESOS CHEQUE</t>
  </si>
  <si>
    <t>GSON/1112160212</t>
  </si>
  <si>
    <t>SC 21 EGRESOS TR</t>
  </si>
  <si>
    <t>GSON/1112160213</t>
  </si>
  <si>
    <t>SC 21 IVA Y COMISION</t>
  </si>
  <si>
    <t>GSON/1112160214</t>
  </si>
  <si>
    <t>SC 21 INT GANADOS</t>
  </si>
  <si>
    <t>GSON/1112160215</t>
  </si>
  <si>
    <t>SC 22 SALDO CTA BAN</t>
  </si>
  <si>
    <t>GSON/1112160220</t>
  </si>
  <si>
    <t>SC 22 INGRESOS</t>
  </si>
  <si>
    <t>GSON/1112160221</t>
  </si>
  <si>
    <t>SC 22 EGRESOS CHEQUE</t>
  </si>
  <si>
    <t>GSON/1112160222</t>
  </si>
  <si>
    <t>SC 22 EGRESOS TR</t>
  </si>
  <si>
    <t>GSON/1112160223</t>
  </si>
  <si>
    <t>SC 22 IVA Y COMISION</t>
  </si>
  <si>
    <t>GSON/1112160224</t>
  </si>
  <si>
    <t>SC 22 INT GANADOS</t>
  </si>
  <si>
    <t>GSON/1112160225</t>
  </si>
  <si>
    <t>SC 23 SALDO CTA BAN</t>
  </si>
  <si>
    <t>GSON/1112160230</t>
  </si>
  <si>
    <t>SC 23 INGRESOS</t>
  </si>
  <si>
    <t>GSON/1112160231</t>
  </si>
  <si>
    <t>SC 23 EGRESOS TR</t>
  </si>
  <si>
    <t>GSON/1112160233</t>
  </si>
  <si>
    <t>SC 23 IVA Y COMISION</t>
  </si>
  <si>
    <t>GSON/1112160234</t>
  </si>
  <si>
    <t>SC 23 INT GANADOS</t>
  </si>
  <si>
    <t>GSON/1112160235</t>
  </si>
  <si>
    <t>SC 24 SALDO CTA BAN</t>
  </si>
  <si>
    <t>GSON/1112160240</t>
  </si>
  <si>
    <t>SC 26 SALDO CTA BAN</t>
  </si>
  <si>
    <t>GSON/1112160260</t>
  </si>
  <si>
    <t>SC 26 EGRESOS TR</t>
  </si>
  <si>
    <t>GSON/1112160263</t>
  </si>
  <si>
    <t>SC 26 INT GANADOS</t>
  </si>
  <si>
    <t>GSON/1112160265</t>
  </si>
  <si>
    <t>SC 27 SALDO CTA BAN</t>
  </si>
  <si>
    <t>GSON/1112160270</t>
  </si>
  <si>
    <t>SC 28 SALDO CTA BAN</t>
  </si>
  <si>
    <t>GSON/1112160280</t>
  </si>
  <si>
    <t>SC 28 INGRESOS</t>
  </si>
  <si>
    <t>GSON/1112160281</t>
  </si>
  <si>
    <t>SC 28 EGRESOS TR</t>
  </si>
  <si>
    <t>GSON/1112160283</t>
  </si>
  <si>
    <t>SC 28 IVA Y COMISION</t>
  </si>
  <si>
    <t>GSON/1112160284</t>
  </si>
  <si>
    <t>SC 28 INT GANADOS</t>
  </si>
  <si>
    <t>GSON/1112160285</t>
  </si>
  <si>
    <t>SC 29 SALDO CTA BAN</t>
  </si>
  <si>
    <t>GSON/1112160290</t>
  </si>
  <si>
    <t>SC 29 INGRESOS</t>
  </si>
  <si>
    <t>GSON/1112160291</t>
  </si>
  <si>
    <t>SC 29 EGRESOS TR</t>
  </si>
  <si>
    <t>GSON/1112160293</t>
  </si>
  <si>
    <t>SC 29 IVA Y COMISION</t>
  </si>
  <si>
    <t>GSON/1112160294</t>
  </si>
  <si>
    <t>SC 29 INT GANADOS</t>
  </si>
  <si>
    <t>GSON/1112160295</t>
  </si>
  <si>
    <t>SC 30 SALDO CTA BAN</t>
  </si>
  <si>
    <t>GSON/1112160300</t>
  </si>
  <si>
    <t>SC 30 INGRESOS</t>
  </si>
  <si>
    <t>GSON/1112160301</t>
  </si>
  <si>
    <t>SC 30 EGRESOS CHEQUE</t>
  </si>
  <si>
    <t>GSON/1112160302</t>
  </si>
  <si>
    <t>SC 30 EGRESOS TR</t>
  </si>
  <si>
    <t>GSON/1112160303</t>
  </si>
  <si>
    <t>SC 30 IVA Y COMISION</t>
  </si>
  <si>
    <t>GSON/1112160304</t>
  </si>
  <si>
    <t>SC 30 INT GANADOS</t>
  </si>
  <si>
    <t>GSON/1112160305</t>
  </si>
  <si>
    <t>SC 47 INGRESOS</t>
  </si>
  <si>
    <t>GSON/1112160471</t>
  </si>
  <si>
    <t>SC 48 SALDO CTA BAN</t>
  </si>
  <si>
    <t>GSON/1112160480</t>
  </si>
  <si>
    <t>SC 48 INGRESOS</t>
  </si>
  <si>
    <t>GSON/1112160481</t>
  </si>
  <si>
    <t>SC 48 EGRESOS TR</t>
  </si>
  <si>
    <t>GSON/1112160483</t>
  </si>
  <si>
    <t>SC 48 INT GANADOS</t>
  </si>
  <si>
    <t>GSON/1112160485</t>
  </si>
  <si>
    <t>SC 49 SALDO CTA BAN</t>
  </si>
  <si>
    <t>GSON/1112160490</t>
  </si>
  <si>
    <t>SC 49 INGRESOS</t>
  </si>
  <si>
    <t>GSON/1112160491</t>
  </si>
  <si>
    <t>SC 49 EGRESOS TR</t>
  </si>
  <si>
    <t>GSON/1112160493</t>
  </si>
  <si>
    <t>SC 49 IVA Y COMISION</t>
  </si>
  <si>
    <t>GSON/1112160494</t>
  </si>
  <si>
    <t>SC 49 INT GANADOS</t>
  </si>
  <si>
    <t>GSON/1112160495</t>
  </si>
  <si>
    <t>SC 50 SALDO CTA BAN</t>
  </si>
  <si>
    <t>GSON/1112160500</t>
  </si>
  <si>
    <t>SC 50 INGRESOS</t>
  </si>
  <si>
    <t>GSON/1112160501</t>
  </si>
  <si>
    <t>SC 50 IVA Y COMISION</t>
  </si>
  <si>
    <t>GSON/1112160504</t>
  </si>
  <si>
    <t>SC 50 INT GANADOS</t>
  </si>
  <si>
    <t>GSON/1112160505</t>
  </si>
  <si>
    <t>SC 51 SALDO CTA BAN</t>
  </si>
  <si>
    <t>GSON/1112160510</t>
  </si>
  <si>
    <t>SC 51 EGRESOS TR</t>
  </si>
  <si>
    <t>GSON/1112160513</t>
  </si>
  <si>
    <t>SC 51 IVA Y COMISION</t>
  </si>
  <si>
    <t>GSON/1112160514</t>
  </si>
  <si>
    <t>VX 01 INT GANADOS</t>
  </si>
  <si>
    <t>GSON/1112170015</t>
  </si>
  <si>
    <t>MV 01   SLDO CTA BAN</t>
  </si>
  <si>
    <t>GSON/1112180010</t>
  </si>
  <si>
    <t>MV 01   INGRESOS</t>
  </si>
  <si>
    <t>GSON/1112180011</t>
  </si>
  <si>
    <t>MV 01   EGRESOS TR</t>
  </si>
  <si>
    <t>GSON/1112180013</t>
  </si>
  <si>
    <t>MV 01   INT GANADOS</t>
  </si>
  <si>
    <t>GSON/1112180015</t>
  </si>
  <si>
    <t>MV 02   SLDO CTA BAN</t>
  </si>
  <si>
    <t>GSON/1112180020</t>
  </si>
  <si>
    <t>MV 02   INGRESOS</t>
  </si>
  <si>
    <t>GSON/1112180021</t>
  </si>
  <si>
    <t>MV 02   EGRESOS TR</t>
  </si>
  <si>
    <t>GSON/1112180023</t>
  </si>
  <si>
    <t>MV 02   IVA Y COMISI</t>
  </si>
  <si>
    <t>GSON/1112180024</t>
  </si>
  <si>
    <t>BANCO SALDOS</t>
  </si>
  <si>
    <t>GSON/1112190010</t>
  </si>
  <si>
    <t>SA125 SLDO CTA BAN</t>
  </si>
  <si>
    <t>GSON/1112551250</t>
  </si>
  <si>
    <t>SA125 INGRESOS</t>
  </si>
  <si>
    <t>GSON/1112551251</t>
  </si>
  <si>
    <t>SA125 EGRESOS CHEQUE</t>
  </si>
  <si>
    <t>GSON/1112551252</t>
  </si>
  <si>
    <t>SA125 EGRESOS TR</t>
  </si>
  <si>
    <t>GSON/1112551253</t>
  </si>
  <si>
    <t>SA125 INT GANADOS</t>
  </si>
  <si>
    <t>GSON/1112551255</t>
  </si>
  <si>
    <t>ING VIRTUAL EGRESOS</t>
  </si>
  <si>
    <t>GSON/1112990022</t>
  </si>
  <si>
    <t>BANCO CLARIFICACION</t>
  </si>
  <si>
    <t>GSON/1112990031</t>
  </si>
  <si>
    <t>REC VIRTUAL INGRESOS</t>
  </si>
  <si>
    <t>GSON/1112990032</t>
  </si>
  <si>
    <t>CLA VIRTUAL DE EGRES</t>
  </si>
  <si>
    <t>BC 99 SALDO CTA BAN</t>
  </si>
  <si>
    <t>GSON/1116030990</t>
  </si>
  <si>
    <t>BC 99 INGRESOS</t>
  </si>
  <si>
    <t>GSON/1116030991</t>
  </si>
  <si>
    <t>BC 99 EGRESOS CHEQUE</t>
  </si>
  <si>
    <t>GSON/1116030992</t>
  </si>
  <si>
    <t>BC 99 EGRESOS TR</t>
  </si>
  <si>
    <t>GSON/1116030993</t>
  </si>
  <si>
    <t>BC 99 IVA Y COMISION</t>
  </si>
  <si>
    <t>GSON/1116030994</t>
  </si>
  <si>
    <t>BC 99 INT GANADOS</t>
  </si>
  <si>
    <t>GSON/1116030995</t>
  </si>
  <si>
    <t>BC105 SLDO CTA BAN</t>
  </si>
  <si>
    <t>GSON/1116031050</t>
  </si>
  <si>
    <t>BC105 EGRESOS TR</t>
  </si>
  <si>
    <t>GSON/1116031053</t>
  </si>
  <si>
    <t>BC105 INT GANADOS</t>
  </si>
  <si>
    <t>GSON/1116031055</t>
  </si>
  <si>
    <t>BC108 IVA Y COMISION</t>
  </si>
  <si>
    <t>GSON/1116031084</t>
  </si>
  <si>
    <t>BC108 INT GANADOS</t>
  </si>
  <si>
    <t>GSON/1116031085</t>
  </si>
  <si>
    <t>BC113 SLDO CTA BAN</t>
  </si>
  <si>
    <t>GSON/1116031130</t>
  </si>
  <si>
    <t>BC113 INGRESOS</t>
  </si>
  <si>
    <t>GSON/1116031131</t>
  </si>
  <si>
    <t>BC113 EGRESOS TR</t>
  </si>
  <si>
    <t>GSON/1116031133</t>
  </si>
  <si>
    <t>BC113 INT GANADOS</t>
  </si>
  <si>
    <t>GSON/1116031135</t>
  </si>
  <si>
    <t>BN 93 SALDO CTA BAN</t>
  </si>
  <si>
    <t>GSON/1116060930</t>
  </si>
  <si>
    <t>BN 93 INGRESOS</t>
  </si>
  <si>
    <t>GSON/1116060931</t>
  </si>
  <si>
    <t>BN 93 EGRESOS TR</t>
  </si>
  <si>
    <t>GSON/1116060933</t>
  </si>
  <si>
    <t>BN 93 IVA Y COMISION</t>
  </si>
  <si>
    <t>GSON/1116060934</t>
  </si>
  <si>
    <t>BN 93 INT GANADOS</t>
  </si>
  <si>
    <t>GSON/1116060935</t>
  </si>
  <si>
    <t>SA 01 IVA Y COMISION</t>
  </si>
  <si>
    <t>GSON/1116150014</t>
  </si>
  <si>
    <t>SA 01 INT GANADOS</t>
  </si>
  <si>
    <t>GSON/1116150015</t>
  </si>
  <si>
    <t>SA 36 EGRESOS TR</t>
  </si>
  <si>
    <t>GSON/1116150363</t>
  </si>
  <si>
    <t>SA 36 IVA Y COMISION</t>
  </si>
  <si>
    <t>GSON/1116150364</t>
  </si>
  <si>
    <t>SA 36 INT GANADOS</t>
  </si>
  <si>
    <t>GSON/1116150365</t>
  </si>
  <si>
    <t>SA 44 EGRESOS TR</t>
  </si>
  <si>
    <t>GSON/1116150443</t>
  </si>
  <si>
    <t>SA 44 IVA Y COMISION</t>
  </si>
  <si>
    <t>GSON/1116150444</t>
  </si>
  <si>
    <t>SA 44 INT GANADOS</t>
  </si>
  <si>
    <t>GSON/1116150445</t>
  </si>
  <si>
    <t>APORTACION SDO</t>
  </si>
  <si>
    <t>GSON/1122300080</t>
  </si>
  <si>
    <t>APORTACIONES</t>
  </si>
  <si>
    <t>GSON/1122300082</t>
  </si>
  <si>
    <t>TRANS INT Y ASIG S P</t>
  </si>
  <si>
    <t>GSON/1122300091</t>
  </si>
  <si>
    <t>FALTANTES DE CAJEROS</t>
  </si>
  <si>
    <t>GSON/1123100002</t>
  </si>
  <si>
    <t>IPR DERECHOS NO COMP</t>
  </si>
  <si>
    <t>GSON/1124100049</t>
  </si>
  <si>
    <t>CONV CP IMPTO S/INGR</t>
  </si>
  <si>
    <t>GSON/1124200010</t>
  </si>
  <si>
    <t>GSON/1124200011</t>
  </si>
  <si>
    <t>CONV CP IMPTO S/PROD</t>
  </si>
  <si>
    <t>GSON/1124200013</t>
  </si>
  <si>
    <t>CONV CP IMPTO S/NOM</t>
  </si>
  <si>
    <t>GSON/1124200015</t>
  </si>
  <si>
    <t>CONV CP ACCESORIOS</t>
  </si>
  <si>
    <t>GSON/1124200017</t>
  </si>
  <si>
    <t>CONV CP IMPTO N/COMP</t>
  </si>
  <si>
    <t>GSON/1124200019</t>
  </si>
  <si>
    <t>CONV CP DER PRES SER</t>
  </si>
  <si>
    <t>GSON/1124200043</t>
  </si>
  <si>
    <t>CONV CP APROV TC</t>
  </si>
  <si>
    <t>GSON/1124200061</t>
  </si>
  <si>
    <t>CONV CP APROV N/COMP</t>
  </si>
  <si>
    <t>GSON/1124200069</t>
  </si>
  <si>
    <t>IPR INVER TEMP INT</t>
  </si>
  <si>
    <t>GSON/1124300001</t>
  </si>
  <si>
    <t>ANT MINISTRACION FDO</t>
  </si>
  <si>
    <t>GSON/1125100002</t>
  </si>
  <si>
    <t>ANT MINISTR FDO SDO</t>
  </si>
  <si>
    <t>GSON/1125100005</t>
  </si>
  <si>
    <t>ANT PART ESTATAL SDO</t>
  </si>
  <si>
    <t>GSON/1125100006</t>
  </si>
  <si>
    <t>TR&amp;M RECAUD DE MPIOS</t>
  </si>
  <si>
    <t>GSON/1125200001</t>
  </si>
  <si>
    <t>Otros Derechos a Rec</t>
  </si>
  <si>
    <t>GSON1129</t>
  </si>
  <si>
    <t>ENT PARAEST ING VIR</t>
  </si>
  <si>
    <t>GSON/1129100001</t>
  </si>
  <si>
    <t>CRED DTO Y AVAL MPIO</t>
  </si>
  <si>
    <t>GSON/1129200001</t>
  </si>
  <si>
    <t>CR AVALES SDO</t>
  </si>
  <si>
    <t>GSON/1129200003</t>
  </si>
  <si>
    <t>GSON/1139100002</t>
  </si>
  <si>
    <t>Otros Activos Circul</t>
  </si>
  <si>
    <t>GSON119</t>
  </si>
  <si>
    <t>Bienes Derivados Emb</t>
  </si>
  <si>
    <t>GSON1193</t>
  </si>
  <si>
    <t>BIEN DERIV EMB SDO</t>
  </si>
  <si>
    <t>GSON/1193100002</t>
  </si>
  <si>
    <t>Inversiones Financie</t>
  </si>
  <si>
    <t>GSON121</t>
  </si>
  <si>
    <t>GSON1214</t>
  </si>
  <si>
    <t>Part y Aport de Capi</t>
  </si>
  <si>
    <t>GSON12141</t>
  </si>
  <si>
    <t>APC PARAEST NO EMPR</t>
  </si>
  <si>
    <t>GSON/1214100721</t>
  </si>
  <si>
    <t>TERRENOS SALDO</t>
  </si>
  <si>
    <t>GSON/1231158100</t>
  </si>
  <si>
    <t>VIVIENDAS</t>
  </si>
  <si>
    <t>GSON/1232158201</t>
  </si>
  <si>
    <t>INFRA ELECTRICA</t>
  </si>
  <si>
    <t>GSON/1234700001</t>
  </si>
  <si>
    <t>ENHP AMPLIACION</t>
  </si>
  <si>
    <t>GSON/1235261202</t>
  </si>
  <si>
    <t>ENHP REMOD Y MEJORAM</t>
  </si>
  <si>
    <t>GSON/1235261203</t>
  </si>
  <si>
    <t>ENHP EST Y PROYECTOS</t>
  </si>
  <si>
    <t>GSON/1235261207</t>
  </si>
  <si>
    <t>ENHP COM Y TURISTICA</t>
  </si>
  <si>
    <t>GSON/1235261209</t>
  </si>
  <si>
    <t>ENHP CULTURA DEPORTE</t>
  </si>
  <si>
    <t>GSON/1235261211</t>
  </si>
  <si>
    <t>ENHP EDUC SUPERIOR</t>
  </si>
  <si>
    <t>GSON/1235261217</t>
  </si>
  <si>
    <t>ENHP EDUC PROG ESP</t>
  </si>
  <si>
    <t>GSON/1235261218</t>
  </si>
  <si>
    <t>ENHP INDIRECTOS OBRA</t>
  </si>
  <si>
    <t>GSON/1235261222</t>
  </si>
  <si>
    <t>SA AMPLIACION</t>
  </si>
  <si>
    <t>GSON/1235361302</t>
  </si>
  <si>
    <t>ESTUDIOS Y PROYECTOS</t>
  </si>
  <si>
    <t>GSON/1235461406</t>
  </si>
  <si>
    <t>INFRA Y EQ AGUA POT</t>
  </si>
  <si>
    <t>GSON/1235461408</t>
  </si>
  <si>
    <t>ELECTRIF URBANA</t>
  </si>
  <si>
    <t>GSON/1235461410</t>
  </si>
  <si>
    <t>ELECTRIF RURAL</t>
  </si>
  <si>
    <t>GSON/1235461411</t>
  </si>
  <si>
    <t>ELECTRIF NO CONVENC</t>
  </si>
  <si>
    <t>GSON/1235461412</t>
  </si>
  <si>
    <t>MEJORAM IMAG URBANA</t>
  </si>
  <si>
    <t>GSON/1235461414</t>
  </si>
  <si>
    <t>CONST Y REHAB CALLES</t>
  </si>
  <si>
    <t>GSON/1235461418</t>
  </si>
  <si>
    <t>PLAZAS CIVICAS Y JAR</t>
  </si>
  <si>
    <t>GSON/1235461419</t>
  </si>
  <si>
    <t>VIALIDADES URBANAS</t>
  </si>
  <si>
    <t>GSON/1235461420</t>
  </si>
  <si>
    <t>PAV CALLES Y AVEN</t>
  </si>
  <si>
    <t>GSON/1235461422</t>
  </si>
  <si>
    <t>CONSTRUCCION</t>
  </si>
  <si>
    <t>GSON/1235561503</t>
  </si>
  <si>
    <t>GSON/1235561505</t>
  </si>
  <si>
    <t>CARR ALIMENTADORAS</t>
  </si>
  <si>
    <t>GSON/1235561509</t>
  </si>
  <si>
    <t>BP AMPLIACION</t>
  </si>
  <si>
    <t>GSON/1236262202</t>
  </si>
  <si>
    <t>BP REMOD Y REHABILIT</t>
  </si>
  <si>
    <t>GSON/1236262203</t>
  </si>
  <si>
    <t>BP ESTUDIO Y PROYECT</t>
  </si>
  <si>
    <t>GSON/1236262207</t>
  </si>
  <si>
    <t>BP INFRA EQ CULTURA</t>
  </si>
  <si>
    <t>GSON/1236262211</t>
  </si>
  <si>
    <t>BP EDUC INICIAL ESP</t>
  </si>
  <si>
    <t>GSON/1236262212</t>
  </si>
  <si>
    <t>BP EDUC PREESCOLAR</t>
  </si>
  <si>
    <t>GSON/1236262213</t>
  </si>
  <si>
    <t>BP EDUC PRIMARIA</t>
  </si>
  <si>
    <t>GSON/1236262214</t>
  </si>
  <si>
    <t>BP EDUC SECUNDARIA</t>
  </si>
  <si>
    <t>GSON/1236262215</t>
  </si>
  <si>
    <t>BP EDUC SUPERIOR</t>
  </si>
  <si>
    <t>GSON/1236262217</t>
  </si>
  <si>
    <t>BP EDUC PROG ESPECIA</t>
  </si>
  <si>
    <t>GSON/1236262218</t>
  </si>
  <si>
    <t>BP RECINTO EDIF PUB</t>
  </si>
  <si>
    <t>GSON/1236262219</t>
  </si>
  <si>
    <t>BP INDIRECTOS ENH</t>
  </si>
  <si>
    <t>GSON/1236262220</t>
  </si>
  <si>
    <t>BP SUP CONT CALIDAD</t>
  </si>
  <si>
    <t>GSON/1236262221</t>
  </si>
  <si>
    <t>BP MOD Y AMPLIACION</t>
  </si>
  <si>
    <t>GSON/1236562502</t>
  </si>
  <si>
    <t>BP CONSERVACION</t>
  </si>
  <si>
    <t>GSON/1236562504</t>
  </si>
  <si>
    <t>GSON/1236562505</t>
  </si>
  <si>
    <t>BP IND CONS VIAS COM</t>
  </si>
  <si>
    <t>GSON/1236562512</t>
  </si>
  <si>
    <t>MUEBLE EX OFNA Y SDO</t>
  </si>
  <si>
    <t>GSON/1241251200</t>
  </si>
  <si>
    <t>APARAT DEPORTIVO SDO</t>
  </si>
  <si>
    <t>GSON/1242252200</t>
  </si>
  <si>
    <t>APARATOS DEPORTIVOS</t>
  </si>
  <si>
    <t>GSON/1242252201</t>
  </si>
  <si>
    <t>OTRO MOB Y EQ EDUC</t>
  </si>
  <si>
    <t>GSON/1242952901</t>
  </si>
  <si>
    <t>INSTR MEDICO Y LAB</t>
  </si>
  <si>
    <t>GSON/1243253201</t>
  </si>
  <si>
    <t>CARROC Y REMOLQUES</t>
  </si>
  <si>
    <t>GSON/1244254201</t>
  </si>
  <si>
    <t>EQUIPO AEROESPACIAL</t>
  </si>
  <si>
    <t>GSON/1244354300</t>
  </si>
  <si>
    <t>EMBARCACIONES</t>
  </si>
  <si>
    <t>GSON/1244554501</t>
  </si>
  <si>
    <t>OTROS EQ TRANSPORTE</t>
  </si>
  <si>
    <t>GSON/1244954901</t>
  </si>
  <si>
    <t>Equipo de Defensa y</t>
  </si>
  <si>
    <t>GSON1245</t>
  </si>
  <si>
    <t>EQ DEFENSA Y SEG SLD</t>
  </si>
  <si>
    <t>GSON/1245155100</t>
  </si>
  <si>
    <t>EQ DEFENSA Y SEGURID</t>
  </si>
  <si>
    <t>GSON/1245155101</t>
  </si>
  <si>
    <t>MAQ Y EQ INDUSTRIAL</t>
  </si>
  <si>
    <t>GSON/1246256201</t>
  </si>
  <si>
    <t>EQ COMUNICACION SL</t>
  </si>
  <si>
    <t>EQ COMUNICACION</t>
  </si>
  <si>
    <t>HERRAMIENTAS</t>
  </si>
  <si>
    <t>GSON/1246756701</t>
  </si>
  <si>
    <t>REFACC Y ACCES MAYOR</t>
  </si>
  <si>
    <t>GSON/1246756702</t>
  </si>
  <si>
    <t>OTROS EQUIPOS</t>
  </si>
  <si>
    <t>GSON/1246956901</t>
  </si>
  <si>
    <t>OTROS ACT BIOLOG SDO</t>
  </si>
  <si>
    <t>GSON/1248957900</t>
  </si>
  <si>
    <t>OTROS ACTIVOS BIOLOG</t>
  </si>
  <si>
    <t>GSON/1248957901</t>
  </si>
  <si>
    <t>LIC INFORM INTELCT</t>
  </si>
  <si>
    <t>GSON/1254159701</t>
  </si>
  <si>
    <t>DEPN DETERIORO AMORT</t>
  </si>
  <si>
    <t>GSON/1261200001</t>
  </si>
  <si>
    <t>BIENES COMODATO SLDO</t>
  </si>
  <si>
    <t>GSON/1293200001</t>
  </si>
  <si>
    <t>APORT PENS Y JUBS CP</t>
  </si>
  <si>
    <t>GSON/2111100003</t>
  </si>
  <si>
    <t>PROVEEDORES SLDO</t>
  </si>
  <si>
    <t>GSON/2112100004</t>
  </si>
  <si>
    <t>CONTRATISTAS SLDO</t>
  </si>
  <si>
    <t>GSON/2113100003</t>
  </si>
  <si>
    <t>PART Y APORT SLDO</t>
  </si>
  <si>
    <t>GSON/2114100002</t>
  </si>
  <si>
    <t>CONV DE DESCENT</t>
  </si>
  <si>
    <t>GSON/2114100003</t>
  </si>
  <si>
    <t>Transferencias Otorg</t>
  </si>
  <si>
    <t>GSON2115</t>
  </si>
  <si>
    <t>TRANSFERENCIAS CP</t>
  </si>
  <si>
    <t>GSON/2115100001</t>
  </si>
  <si>
    <t>TRANSF SERV PERS CP</t>
  </si>
  <si>
    <t>GSON/2115100002</t>
  </si>
  <si>
    <t>TRANSFERENCIAS SDO</t>
  </si>
  <si>
    <t>GSON/2115100003</t>
  </si>
  <si>
    <t>INT COMIS DE APOYOS</t>
  </si>
  <si>
    <t>GSON/2116100003</t>
  </si>
  <si>
    <t>RET ISR ASIMILABLES</t>
  </si>
  <si>
    <t>GSON/2117110003</t>
  </si>
  <si>
    <t>RET ISR EJERCIDAS</t>
  </si>
  <si>
    <t>GSON/2117110006</t>
  </si>
  <si>
    <t>RET IMPUESTOS SLDO</t>
  </si>
  <si>
    <t>GSON/2117110007</t>
  </si>
  <si>
    <t>APORT FDO PEN Y JUB</t>
  </si>
  <si>
    <t>GSON/2117310004</t>
  </si>
  <si>
    <t>SERV MED PEN JUB SDO</t>
  </si>
  <si>
    <t>GSON/2117310005</t>
  </si>
  <si>
    <t>SANCION INASISTENCIA</t>
  </si>
  <si>
    <t>GSON/2117320003</t>
  </si>
  <si>
    <t>APLICACION ART 100</t>
  </si>
  <si>
    <t>GSON/2117320005</t>
  </si>
  <si>
    <t>DSCTO PAGO INDEBIDO</t>
  </si>
  <si>
    <t>GSON/2117320006</t>
  </si>
  <si>
    <t>RET NOM EMPL SLDO</t>
  </si>
  <si>
    <t>GSON/2117320008</t>
  </si>
  <si>
    <t>RET NOM MAG SLDO</t>
  </si>
  <si>
    <t>GSON/2117320009</t>
  </si>
  <si>
    <t>RET NOM OTRAS SLDO</t>
  </si>
  <si>
    <t>GSON/2117320010</t>
  </si>
  <si>
    <t>RET CONTRALORIA</t>
  </si>
  <si>
    <t>GSON/2117410004</t>
  </si>
  <si>
    <t>RET IMPTO ESTATAL EJ</t>
  </si>
  <si>
    <t>GSON/2117420006</t>
  </si>
  <si>
    <t>RET IMPTO EST SLDO</t>
  </si>
  <si>
    <t>GSON/2117420007</t>
  </si>
  <si>
    <t>DEV LEY DE INGRESOS</t>
  </si>
  <si>
    <t>GSON/2118100001</t>
  </si>
  <si>
    <t>DEV LEY DE ING SDO</t>
  </si>
  <si>
    <t>GSON/2118100002</t>
  </si>
  <si>
    <t>DEV CLARIFICADAS</t>
  </si>
  <si>
    <t>RET PART MUNICIPIOS</t>
  </si>
  <si>
    <t>GSON/2119410001</t>
  </si>
  <si>
    <t>CONCENT RET MPIOS</t>
  </si>
  <si>
    <t>GSON/2119410002</t>
  </si>
  <si>
    <t>RET PART MPIOS SDO</t>
  </si>
  <si>
    <t>GSON/2119410020</t>
  </si>
  <si>
    <t>RET NOMINA FISCALIZ</t>
  </si>
  <si>
    <t>GSON/2119900001</t>
  </si>
  <si>
    <t>FONDO NUEVO SONORA</t>
  </si>
  <si>
    <t>GSON/2119900005</t>
  </si>
  <si>
    <t>RET ISSSTESON ORG</t>
  </si>
  <si>
    <t>GSON/2119900010</t>
  </si>
  <si>
    <t>RET PEN Y JUB ORG</t>
  </si>
  <si>
    <t>GSON/2119900011</t>
  </si>
  <si>
    <t>APORT ISSSTESON MUN</t>
  </si>
  <si>
    <t>GSON/2119900012</t>
  </si>
  <si>
    <t>RET ISSSTESON MUN</t>
  </si>
  <si>
    <t>GSON/2119900014</t>
  </si>
  <si>
    <t>RET PEN Y JUB MUN</t>
  </si>
  <si>
    <t>GSON/2119900015</t>
  </si>
  <si>
    <t>RET IMPREV TERCEROS</t>
  </si>
  <si>
    <t>GSON/2119900016</t>
  </si>
  <si>
    <t>CTAS PROGR X PAG SDO</t>
  </si>
  <si>
    <t>GSON/2119900017</t>
  </si>
  <si>
    <t>PASIVO ADEFAS SDO</t>
  </si>
  <si>
    <t>GSON/2119900018</t>
  </si>
  <si>
    <t>APORT ISSSTESON POD</t>
  </si>
  <si>
    <t>GSON/2119900020</t>
  </si>
  <si>
    <t>APORT PEN Y JUB POD</t>
  </si>
  <si>
    <t>GSON/2119900021</t>
  </si>
  <si>
    <t>RET PEN Y JUB PODERE</t>
  </si>
  <si>
    <t>GSON/2119900023</t>
  </si>
  <si>
    <t>RET SUBINGR SLDO</t>
  </si>
  <si>
    <t>GSON/2119900024</t>
  </si>
  <si>
    <t>SERV MED PENS SDO</t>
  </si>
  <si>
    <t>GSON/2119900025</t>
  </si>
  <si>
    <t>ADEFAS POR PAGAR</t>
  </si>
  <si>
    <t>GSON/2119900026</t>
  </si>
  <si>
    <t>OTROS DOCTOS X PAGAR</t>
  </si>
  <si>
    <t>GSON/2129100001</t>
  </si>
  <si>
    <t>Pasivos Diferidos a</t>
  </si>
  <si>
    <t>GSON215</t>
  </si>
  <si>
    <t>Otros Pasivos Diferi</t>
  </si>
  <si>
    <t>GSON2159</t>
  </si>
  <si>
    <t>CONV FIS ESTATAL CP</t>
  </si>
  <si>
    <t>GSON/2159100001</t>
  </si>
  <si>
    <t>CONV FIS FEDERAL CP</t>
  </si>
  <si>
    <t>GSON/2159100002</t>
  </si>
  <si>
    <t>Fondos en Garantía a</t>
  </si>
  <si>
    <t>GSON2161</t>
  </si>
  <si>
    <t>FIANZAS Y DEP JUD</t>
  </si>
  <si>
    <t>GSON/2161100001</t>
  </si>
  <si>
    <t>FONDOS DE TERCEROS</t>
  </si>
  <si>
    <t>GSON/2162100002</t>
  </si>
  <si>
    <t>FONDO FED ORGANISMOS</t>
  </si>
  <si>
    <t>GSON/2162100005</t>
  </si>
  <si>
    <t>FONDO ZOFEMAT X PAG</t>
  </si>
  <si>
    <t>GSON/2162100006</t>
  </si>
  <si>
    <t>ISPT DE TERCEROS</t>
  </si>
  <si>
    <t>GSON/2162100010</t>
  </si>
  <si>
    <t>HONOR Y ARREND 3ROS</t>
  </si>
  <si>
    <t>GSON/2162100012</t>
  </si>
  <si>
    <t>TR&amp;M RECUP MPIO ORG</t>
  </si>
  <si>
    <t>GSON/2162200002</t>
  </si>
  <si>
    <t>TR&amp;M FDO ROTATORIO</t>
  </si>
  <si>
    <t>GSON/2162200003</t>
  </si>
  <si>
    <t>TR&amp;M ZOFEMAT</t>
  </si>
  <si>
    <t>GSON/2162200004</t>
  </si>
  <si>
    <t>TR&amp;M SUBSIDIOS</t>
  </si>
  <si>
    <t>GSON/2162200005</t>
  </si>
  <si>
    <t>TR&amp;M HONORARIO Y OTR</t>
  </si>
  <si>
    <t>GSON/2162200010</t>
  </si>
  <si>
    <t>TR&amp;M FDO ADMON PROCU</t>
  </si>
  <si>
    <t>GSON/2162200011</t>
  </si>
  <si>
    <t>TR&amp;M MENSAJERIA</t>
  </si>
  <si>
    <t>GSON/2162200012</t>
  </si>
  <si>
    <t>TR&amp;M SERVS BASICOS</t>
  </si>
  <si>
    <t>GSON/2162200014</t>
  </si>
  <si>
    <t>TR&amp;M COMPROBACIONES</t>
  </si>
  <si>
    <t>GSON/2162200015</t>
  </si>
  <si>
    <t>TR&amp;M COMISIONES CH</t>
  </si>
  <si>
    <t>GSON/2162200017</t>
  </si>
  <si>
    <t>FDO EN ADMON SDO</t>
  </si>
  <si>
    <t>GSON/2162200019</t>
  </si>
  <si>
    <t>TR&amp;M CLARIFICACION</t>
  </si>
  <si>
    <t>Actualizaciones d'Ha</t>
  </si>
  <si>
    <t>GSON313</t>
  </si>
  <si>
    <t>ACT HACIENDA PUBLICA</t>
  </si>
  <si>
    <t>GSON/3130000001</t>
  </si>
  <si>
    <t>RESUL EJERCICIO 2005</t>
  </si>
  <si>
    <t>GSON/3220000003</t>
  </si>
  <si>
    <t>RESUL EJERCICIO 2009</t>
  </si>
  <si>
    <t>GSON/3220000007</t>
  </si>
  <si>
    <t>RESUL EJERCICIO 2010</t>
  </si>
  <si>
    <t>GSON/3220000008</t>
  </si>
  <si>
    <t>Ravalúos</t>
  </si>
  <si>
    <t>GSON323</t>
  </si>
  <si>
    <t>Ravalúo de Bienes In</t>
  </si>
  <si>
    <t>GSON3231</t>
  </si>
  <si>
    <t>REVALUO INMUEBLES</t>
  </si>
  <si>
    <t>GSON/3231000001</t>
  </si>
  <si>
    <t>CONTR CRUZ ROJA</t>
  </si>
  <si>
    <t>GSON/4119180401</t>
  </si>
  <si>
    <t>COPIAS CERTIF Y OTRO</t>
  </si>
  <si>
    <t>GSON/4143430703</t>
  </si>
  <si>
    <t>EXPEDICIÓN  PERMISOS</t>
  </si>
  <si>
    <t>GSON/4143430903</t>
  </si>
  <si>
    <t>ARR B IN NO S R DOM</t>
  </si>
  <si>
    <t>GSON/4151510102</t>
  </si>
  <si>
    <t>NOT.YCOB.ANEXO18</t>
  </si>
  <si>
    <t>GSON/4161610103</t>
  </si>
  <si>
    <t>COMRESDISMISAN</t>
  </si>
  <si>
    <t>GSON/4161610107</t>
  </si>
  <si>
    <t>VIDASILVESTRE</t>
  </si>
  <si>
    <t>GSON/4161610110</t>
  </si>
  <si>
    <t>PESCADEPORYRECR</t>
  </si>
  <si>
    <t>GSON/4161610111</t>
  </si>
  <si>
    <t>INSPYVIOBRASPÚB</t>
  </si>
  <si>
    <t>GSON/4161610112</t>
  </si>
  <si>
    <t>MULTAS FED. NO FISC.</t>
  </si>
  <si>
    <t>INCAUTOREGINCFIS</t>
  </si>
  <si>
    <t>GSON/4161610115</t>
  </si>
  <si>
    <t>MULTAS ADMIN. ESTAT.</t>
  </si>
  <si>
    <t>Reintegros</t>
  </si>
  <si>
    <t>GSON4164</t>
  </si>
  <si>
    <t>REINTEGROS</t>
  </si>
  <si>
    <t>GSON/4164610401</t>
  </si>
  <si>
    <t>RECARGOS FEDERALES</t>
  </si>
  <si>
    <t>GASTOS DE EJECUCION</t>
  </si>
  <si>
    <t>OTROS APROVECHAM.</t>
  </si>
  <si>
    <t>Ingresos por Venta d</t>
  </si>
  <si>
    <t>GSON417</t>
  </si>
  <si>
    <t>Ing x Vta de BieSer</t>
  </si>
  <si>
    <t>GSON4172</t>
  </si>
  <si>
    <t>MANYCMULTIFYCAT</t>
  </si>
  <si>
    <t>GSON/4172730101</t>
  </si>
  <si>
    <t>IMP NO COM LI EJ ANT</t>
  </si>
  <si>
    <t>DERECHOS NO COMP LEY</t>
  </si>
  <si>
    <t>GSON/4192490101</t>
  </si>
  <si>
    <t>APR NO COM LI EJ ANT</t>
  </si>
  <si>
    <t>FONDOFISC.YRECAUD</t>
  </si>
  <si>
    <t>GSON/4211810102</t>
  </si>
  <si>
    <t>FONDOFOM.MUNICIPAL</t>
  </si>
  <si>
    <t>GSON/4211810103</t>
  </si>
  <si>
    <t>FDOIMPESPSPRODYS</t>
  </si>
  <si>
    <t>GSON/4211810104</t>
  </si>
  <si>
    <t>PART ISR ART 3B LCF</t>
  </si>
  <si>
    <t>GSON/4211810105</t>
  </si>
  <si>
    <t>SERVICIOSEDUC.DES.</t>
  </si>
  <si>
    <t>GSON/4212820101</t>
  </si>
  <si>
    <t>FONE GTO CORRIENTE</t>
  </si>
  <si>
    <t>GSON/4212820103</t>
  </si>
  <si>
    <t>FONE GTO OPERACIÓN</t>
  </si>
  <si>
    <t>GSON/4212820104</t>
  </si>
  <si>
    <t>FONE FDO COMPENSACIO</t>
  </si>
  <si>
    <t>GSON/4212820105</t>
  </si>
  <si>
    <t>FDOAPORT.SERVSALUD</t>
  </si>
  <si>
    <t>GSON/4212820201</t>
  </si>
  <si>
    <t>FONDOINF.SOC.MPAL</t>
  </si>
  <si>
    <t>GSON/4212820301</t>
  </si>
  <si>
    <t>FDOINFRSOCIALEST</t>
  </si>
  <si>
    <t>GSON/4212820302</t>
  </si>
  <si>
    <t>FORTMUDEMTERRDF</t>
  </si>
  <si>
    <t>GSON/4212820401</t>
  </si>
  <si>
    <t>ASIST.SOCIAL.-DIF</t>
  </si>
  <si>
    <t>GSON/4212820501</t>
  </si>
  <si>
    <t>INFRAEST.EDUC.BÁS.</t>
  </si>
  <si>
    <t>GSON/4212820502</t>
  </si>
  <si>
    <t>INFRAESTR.EDUC.SUP.</t>
  </si>
  <si>
    <t>GSON/4212820503</t>
  </si>
  <si>
    <t>INFRAEDUCMEDIASUP</t>
  </si>
  <si>
    <t>GSON/4212820504</t>
  </si>
  <si>
    <t>FONDOAPORTSEGPÚB</t>
  </si>
  <si>
    <t>GSON/4212820601</t>
  </si>
  <si>
    <t>EDUC.TECNOLÓGICA</t>
  </si>
  <si>
    <t>GSON/4212820701</t>
  </si>
  <si>
    <t>EDUCACIÓNDEADULTOS</t>
  </si>
  <si>
    <t>GSON/4212820702</t>
  </si>
  <si>
    <t>FDO APOR FOR ENT FED</t>
  </si>
  <si>
    <t>GSON/4212820801</t>
  </si>
  <si>
    <t>CONV DES Y REAS REC</t>
  </si>
  <si>
    <t>Transf Internas y As</t>
  </si>
  <si>
    <t>GSON4221</t>
  </si>
  <si>
    <t>ORGAN.PÚB.DESCENT</t>
  </si>
  <si>
    <t>GSON/4221910101</t>
  </si>
  <si>
    <t>FIDEICOMISOS</t>
  </si>
  <si>
    <t>GSON/4221910102</t>
  </si>
  <si>
    <t>APORTACSEGSOCIAL</t>
  </si>
  <si>
    <t>GSON/4221910103</t>
  </si>
  <si>
    <t>ALIMREOSDIGPESOC</t>
  </si>
  <si>
    <t>GSON/4223930102</t>
  </si>
  <si>
    <t>PROGRAMASREGIONALES</t>
  </si>
  <si>
    <t>GSON/4223930103</t>
  </si>
  <si>
    <t>FONDOPREVDES.NAT.</t>
  </si>
  <si>
    <t>GSON/4223930104</t>
  </si>
  <si>
    <t>SUBSID.SEGPÚBMPAL</t>
  </si>
  <si>
    <t>GSON/4223930105</t>
  </si>
  <si>
    <t>FOPEDEM</t>
  </si>
  <si>
    <t>GSON/4223930106</t>
  </si>
  <si>
    <t>FDOTRANPÚBPERDIS</t>
  </si>
  <si>
    <t>GSON/4223930107</t>
  </si>
  <si>
    <t>PROY.DES.REGIONAL</t>
  </si>
  <si>
    <t>GSON/4223930108</t>
  </si>
  <si>
    <t>SUBFORT MANDOS POLIC</t>
  </si>
  <si>
    <t>GSON/4223930112</t>
  </si>
  <si>
    <t>CONT ECON INVERSION</t>
  </si>
  <si>
    <t>GSON/4223930113</t>
  </si>
  <si>
    <t>FDO INFRA DEPORTIVA</t>
  </si>
  <si>
    <t>GSON/4223930114</t>
  </si>
  <si>
    <t>FONDO DE CULTURA</t>
  </si>
  <si>
    <t>GSON/4223930115</t>
  </si>
  <si>
    <t>PROG INFRA EDUC MED</t>
  </si>
  <si>
    <t>GSON/4223930116</t>
  </si>
  <si>
    <t>Resultado por Posici</t>
  </si>
  <si>
    <t>GSON4395</t>
  </si>
  <si>
    <t>RESULT POS MONETARIA</t>
  </si>
  <si>
    <t>GSON/4395100001</t>
  </si>
  <si>
    <t>ENBIENMUEBSUJINV</t>
  </si>
  <si>
    <t>GSON/4399520201</t>
  </si>
  <si>
    <t>DIFERENCIAL POR ZONA</t>
  </si>
  <si>
    <t>GSON/5111113021</t>
  </si>
  <si>
    <t>POR SUST PERSONAL</t>
  </si>
  <si>
    <t>GSON/5111113041</t>
  </si>
  <si>
    <t>RIESGO PROFESIONAL</t>
  </si>
  <si>
    <t>GSON/5111113051</t>
  </si>
  <si>
    <t>RIESGO LABORAL</t>
  </si>
  <si>
    <t>GSON/5111113061</t>
  </si>
  <si>
    <t>RIESGO LABORAL CAP</t>
  </si>
  <si>
    <t>AYUDA HABITACION</t>
  </si>
  <si>
    <t>AYUDA ENERGIA</t>
  </si>
  <si>
    <t>GSON/5111113101</t>
  </si>
  <si>
    <t>AYUDA SEG SOCIAL</t>
  </si>
  <si>
    <t>HONORARIOS CAP</t>
  </si>
  <si>
    <t>GSON/5112121012</t>
  </si>
  <si>
    <t>EVENTUAL CAP</t>
  </si>
  <si>
    <t>GSON/5112122012</t>
  </si>
  <si>
    <t>REPRESENTANTES</t>
  </si>
  <si>
    <t>GSON/5112124011</t>
  </si>
  <si>
    <t>PRIMAS POR ANOS</t>
  </si>
  <si>
    <t>PRIMAS POR ANOS CAP</t>
  </si>
  <si>
    <t>GSON/5113131012</t>
  </si>
  <si>
    <t>PRIMA VAC Y DOMINIC</t>
  </si>
  <si>
    <t>GSON/5113132011</t>
  </si>
  <si>
    <t>AGUI GRATIF FIN ANO</t>
  </si>
  <si>
    <t>GSON/5113132021</t>
  </si>
  <si>
    <t>COMP CALENDARIO</t>
  </si>
  <si>
    <t>GSON/5113132031</t>
  </si>
  <si>
    <t>COMP NAVIDENO</t>
  </si>
  <si>
    <t>GSON/5113132041</t>
  </si>
  <si>
    <t>COMP FIN ANO MAG</t>
  </si>
  <si>
    <t>GSON/5113132051</t>
  </si>
  <si>
    <t>COMP ADICIONAL MAG</t>
  </si>
  <si>
    <t>GSON/5113134011</t>
  </si>
  <si>
    <t>ESTIMULOS CONFIANZA</t>
  </si>
  <si>
    <t>GSON/5113134031</t>
  </si>
  <si>
    <t>ESTIM CONFIANZA CAP</t>
  </si>
  <si>
    <t>GSON/5113134032</t>
  </si>
  <si>
    <t>PRODUCTIVIDAD</t>
  </si>
  <si>
    <t>GSON/5113134041</t>
  </si>
  <si>
    <t>HONORARIO ESPECIAL</t>
  </si>
  <si>
    <t>GSON/5113137011</t>
  </si>
  <si>
    <t>HONORAR ESPECIAL CAP</t>
  </si>
  <si>
    <t>GSON/5113137012</t>
  </si>
  <si>
    <t>APORT SEGURO VIDA</t>
  </si>
  <si>
    <t>APORT SEG RETIRO</t>
  </si>
  <si>
    <t>PRESTAMOS A CP</t>
  </si>
  <si>
    <t>OTRAS DE SEG SOCIAL</t>
  </si>
  <si>
    <t>APORT INFRA</t>
  </si>
  <si>
    <t>APORT PREEXISTENTES</t>
  </si>
  <si>
    <t>APORT SERV MED</t>
  </si>
  <si>
    <t>GSON/5114141091</t>
  </si>
  <si>
    <t>PRESTAMO PRENDARIO</t>
  </si>
  <si>
    <t>GSON/5114141101</t>
  </si>
  <si>
    <t>APORT FOVISSSTESON</t>
  </si>
  <si>
    <t>GSON/5114142021</t>
  </si>
  <si>
    <t>PAGAS POR DEFUNCION</t>
  </si>
  <si>
    <t>GSON/5114143031</t>
  </si>
  <si>
    <t>SEGURO POR RETIRO ES</t>
  </si>
  <si>
    <t>OTRAS APORT SEG COL</t>
  </si>
  <si>
    <t>GSON/5114144031</t>
  </si>
  <si>
    <t>OTROS SEGUROS DE CAR</t>
  </si>
  <si>
    <t>GSON/5114144041</t>
  </si>
  <si>
    <t>SEGUROS POR DEFUNCIO</t>
  </si>
  <si>
    <t>GSON/5114144061</t>
  </si>
  <si>
    <t>APORTACIONES AL FOND</t>
  </si>
  <si>
    <t>INDEMNIZACIONES AL P</t>
  </si>
  <si>
    <t>GSON/5115152011</t>
  </si>
  <si>
    <t>PAGO DE LIQUIDACIONE</t>
  </si>
  <si>
    <t>GSON/5115152021</t>
  </si>
  <si>
    <t>GRATIFICACION POR JU</t>
  </si>
  <si>
    <t>GSON/5115153011</t>
  </si>
  <si>
    <t>COMP GARANTIZADA</t>
  </si>
  <si>
    <t>GSON/5115154021</t>
  </si>
  <si>
    <t>COMPENSACION ADICION</t>
  </si>
  <si>
    <t>GSON/5115154031</t>
  </si>
  <si>
    <t>DIAS ECONOMICOS Y DE</t>
  </si>
  <si>
    <t>GSON/5115154041</t>
  </si>
  <si>
    <t>PENSION VITALICIA A</t>
  </si>
  <si>
    <t>GSON/5115154051</t>
  </si>
  <si>
    <t>ASIGNACION PEDAGOGIC</t>
  </si>
  <si>
    <t>GSON/5115154061</t>
  </si>
  <si>
    <t>APOYO A SUPERVISORES</t>
  </si>
  <si>
    <t>GSON/5115154071</t>
  </si>
  <si>
    <t>BONO PARA DESPENSA</t>
  </si>
  <si>
    <t>GSON/5115154091</t>
  </si>
  <si>
    <t>PAGO POR CONCEPTO DE</t>
  </si>
  <si>
    <t>GSON/5115154111</t>
  </si>
  <si>
    <t>COMPENSACION PROVISI</t>
  </si>
  <si>
    <t>GSON/5115154121</t>
  </si>
  <si>
    <t>AYUDA POR SERVICIO Y</t>
  </si>
  <si>
    <t>GSON/5115154141</t>
  </si>
  <si>
    <t>AYUDA PARA SERVICIO</t>
  </si>
  <si>
    <t>GSON/5115154151</t>
  </si>
  <si>
    <t>APOYO PARA UTILES ES</t>
  </si>
  <si>
    <t>GSON/5115154161</t>
  </si>
  <si>
    <t>COMPENSACION ESPECIF</t>
  </si>
  <si>
    <t>GSON/5115154181</t>
  </si>
  <si>
    <t>BONO DE DIA DE MADR</t>
  </si>
  <si>
    <t>GSON/5115154211</t>
  </si>
  <si>
    <t>ESTIMULOS AL PERSONA</t>
  </si>
  <si>
    <t>GSON/5115154221</t>
  </si>
  <si>
    <t>OTRAS PRESTACIONES</t>
  </si>
  <si>
    <t>RETRIBUCIONES POR AC</t>
  </si>
  <si>
    <t>GSON/5115159021</t>
  </si>
  <si>
    <t>RETRIBUC POR AC CAP</t>
  </si>
  <si>
    <t>GSON/5115159022</t>
  </si>
  <si>
    <t>Pago de Estímulos a</t>
  </si>
  <si>
    <t>GSON5116</t>
  </si>
  <si>
    <t>EST PROD Y EFICIENC</t>
  </si>
  <si>
    <t>GSON/5116171011</t>
  </si>
  <si>
    <t>GSON/5116171021</t>
  </si>
  <si>
    <t>ESTIMULOS AL MAGISTE</t>
  </si>
  <si>
    <t>GSON/5116171031</t>
  </si>
  <si>
    <t>BONO POR PUNTUALIDAD</t>
  </si>
  <si>
    <t>GSON/5116171041</t>
  </si>
  <si>
    <t>MAT UTIL EQ MEN OF</t>
  </si>
  <si>
    <t>MAT UTIL IMPR REPR</t>
  </si>
  <si>
    <t>MAT Y UTIL PROC EQ</t>
  </si>
  <si>
    <t>MAT INFORMACION</t>
  </si>
  <si>
    <t>GSON/5121215011</t>
  </si>
  <si>
    <t>MAT LIMPIEZA</t>
  </si>
  <si>
    <t>MAT EDUCATIVOS</t>
  </si>
  <si>
    <t>MAT Y SUM PLANT EDU</t>
  </si>
  <si>
    <t>PLACA ENGO CALC Y HO</t>
  </si>
  <si>
    <t>GSON/5121218011</t>
  </si>
  <si>
    <t>EMI LIC CONDUCIR</t>
  </si>
  <si>
    <t>GSON/5121218021</t>
  </si>
  <si>
    <t>Alimentos y Utensili</t>
  </si>
  <si>
    <t>GSON5122</t>
  </si>
  <si>
    <t>PROD ALIM PERS INST</t>
  </si>
  <si>
    <t>GSON/5122221011</t>
  </si>
  <si>
    <t>ALIM PERS PROCRE AD</t>
  </si>
  <si>
    <t>GSON/5122221021</t>
  </si>
  <si>
    <t>COMISARIATO</t>
  </si>
  <si>
    <t>GSON/5122221041</t>
  </si>
  <si>
    <t>PROD ALIM PERS DERIV</t>
  </si>
  <si>
    <t>GSON/5122221051</t>
  </si>
  <si>
    <t>ADQ AGUA POTABLE</t>
  </si>
  <si>
    <t>GSON/5122221061</t>
  </si>
  <si>
    <t>PROD ALIM PERS PART</t>
  </si>
  <si>
    <t>GSON/5122221081</t>
  </si>
  <si>
    <t>ALIM ANIMALES</t>
  </si>
  <si>
    <t>GSON/5122222011</t>
  </si>
  <si>
    <t>UTENS SERV ALIMENT</t>
  </si>
  <si>
    <t>GSON/5122223011</t>
  </si>
  <si>
    <t>PROD MIN NO MET</t>
  </si>
  <si>
    <t>GSON/5124241011</t>
  </si>
  <si>
    <t>CEMENTO PROD CONC</t>
  </si>
  <si>
    <t>GSON/5124242011</t>
  </si>
  <si>
    <t>CAL YESO PROD YESO</t>
  </si>
  <si>
    <t>GSON/5124243011</t>
  </si>
  <si>
    <t>MAD Y PROD MADERA</t>
  </si>
  <si>
    <t>GSON/5124244011</t>
  </si>
  <si>
    <t>VIDRIO Y PROD VIDR</t>
  </si>
  <si>
    <t>GSON/5124245011</t>
  </si>
  <si>
    <t>MAT ELECTR Y ELCTRO</t>
  </si>
  <si>
    <t>GSON/5124246011</t>
  </si>
  <si>
    <t>ART METALICOS CONST</t>
  </si>
  <si>
    <t>GSON/5124247011</t>
  </si>
  <si>
    <t>MAT COMPLEMENT</t>
  </si>
  <si>
    <t>GSON/5124248011</t>
  </si>
  <si>
    <t>OTROS MAT Y ARTS</t>
  </si>
  <si>
    <t>GSON/5124249011</t>
  </si>
  <si>
    <t>Prod Quimicos, Farma</t>
  </si>
  <si>
    <t>GSON5125</t>
  </si>
  <si>
    <t>PROD QUIMICOS BAS</t>
  </si>
  <si>
    <t>GSON/5125251011</t>
  </si>
  <si>
    <t>FERTIL PESTIC Y OTRS</t>
  </si>
  <si>
    <t>GSON/5125252011</t>
  </si>
  <si>
    <t>MEDICINA Y PROD FA</t>
  </si>
  <si>
    <t>GSON/5125253011</t>
  </si>
  <si>
    <t>MAT ACC Y SUM MEDIOS</t>
  </si>
  <si>
    <t>GSON/5125254011</t>
  </si>
  <si>
    <t>MAT ACC Y SUM LAB</t>
  </si>
  <si>
    <t>GSON/5125255011</t>
  </si>
  <si>
    <t>FIBR SINT HULES PLAS</t>
  </si>
  <si>
    <t>GSON/5125256011</t>
  </si>
  <si>
    <t>COMBUSTIBLES CAP</t>
  </si>
  <si>
    <t>GSON/5126261012</t>
  </si>
  <si>
    <t>LUBRICANTES Y ADIT</t>
  </si>
  <si>
    <t>GSON/5126261021</t>
  </si>
  <si>
    <t>Vestuario, Blancos,</t>
  </si>
  <si>
    <t>GSON5127</t>
  </si>
  <si>
    <t>VESTUARIOS Y UNIFOR</t>
  </si>
  <si>
    <t>GSON/5127271011</t>
  </si>
  <si>
    <t>PREND SEG Y PROD PER</t>
  </si>
  <si>
    <t>GSON/5127272011</t>
  </si>
  <si>
    <t>ART DEPORTIVOS</t>
  </si>
  <si>
    <t>GSON/5127273011</t>
  </si>
  <si>
    <t>PROD TEXTILES</t>
  </si>
  <si>
    <t>GSON/5127274011</t>
  </si>
  <si>
    <t>GSON5128</t>
  </si>
  <si>
    <t>MAT SEG PUBLICA</t>
  </si>
  <si>
    <t>GSON/5128282011</t>
  </si>
  <si>
    <t>PREND PROT SEG PUB</t>
  </si>
  <si>
    <t>GSON/5128283011</t>
  </si>
  <si>
    <t>Herramientas, Refac</t>
  </si>
  <si>
    <t>GSON5129</t>
  </si>
  <si>
    <t>HERRAMIENTAS MENO</t>
  </si>
  <si>
    <t>GSON/5129291011</t>
  </si>
  <si>
    <t>REF Y ACC MENOR EDIF</t>
  </si>
  <si>
    <t>GSON/5129292011</t>
  </si>
  <si>
    <t>REF Y ACC MENOR MOB</t>
  </si>
  <si>
    <t>GSON/5129293011</t>
  </si>
  <si>
    <t>REF Y ACC MENOR COM</t>
  </si>
  <si>
    <t>GSON/5129294011</t>
  </si>
  <si>
    <t>REF Y ACC MENOR EQI</t>
  </si>
  <si>
    <t>GSON/5129295011</t>
  </si>
  <si>
    <t>REF Y ACC MENOR TRAN</t>
  </si>
  <si>
    <t>GSON/5129296011</t>
  </si>
  <si>
    <t>REF Y ACC MEN TR CAP</t>
  </si>
  <si>
    <t>GSON/5129296012</t>
  </si>
  <si>
    <t>REF Y ACC MENOR MAQ</t>
  </si>
  <si>
    <t>GSON/5129298011</t>
  </si>
  <si>
    <t>REF Y ACC MEN OT</t>
  </si>
  <si>
    <t>GSON/5129299011</t>
  </si>
  <si>
    <t>AGUA POTABLE</t>
  </si>
  <si>
    <t>TELEFONIA TRADICIONA</t>
  </si>
  <si>
    <t>GSON/5131314011</t>
  </si>
  <si>
    <t>TELEFONIA CELULAR</t>
  </si>
  <si>
    <t>SERVICIO DE TELECOMU</t>
  </si>
  <si>
    <t>GSON/5131316011</t>
  </si>
  <si>
    <t>SERVICIO DE ACCESO A</t>
  </si>
  <si>
    <t>GSON/5131317011</t>
  </si>
  <si>
    <t>SERVICIO POSTAL</t>
  </si>
  <si>
    <t>GSON/5131318011</t>
  </si>
  <si>
    <t>SERVICIOS INTEGRALES</t>
  </si>
  <si>
    <t>GSON/5131319011</t>
  </si>
  <si>
    <t>ARRENDAMIENTO DETER</t>
  </si>
  <si>
    <t>ARRENDAMIENTO DE EDI</t>
  </si>
  <si>
    <t>ARRENDAMIENTO DE MUE</t>
  </si>
  <si>
    <t>GSON/5132323011</t>
  </si>
  <si>
    <t>ARREN EPO Y BIEN INF</t>
  </si>
  <si>
    <t>GSON/5132323021</t>
  </si>
  <si>
    <t>ARRENDAMIENTO DE EQU</t>
  </si>
  <si>
    <t>GSON/5132325011</t>
  </si>
  <si>
    <t>ARR TERR AER PROG PU</t>
  </si>
  <si>
    <t>GSON/5132325022</t>
  </si>
  <si>
    <t>ARREND MAQ OTR EQ</t>
  </si>
  <si>
    <t>GSON/5132326011</t>
  </si>
  <si>
    <t>PATENTES REGALIAS Y</t>
  </si>
  <si>
    <t>GSON/5132327011</t>
  </si>
  <si>
    <t>OTROS ARRENDAMIENTOS</t>
  </si>
  <si>
    <t>GSON/5132329011</t>
  </si>
  <si>
    <t>SERVICIOS LEGALES D</t>
  </si>
  <si>
    <t>GSON/5133331011</t>
  </si>
  <si>
    <t>SERVICIOS DE DISENO</t>
  </si>
  <si>
    <t>GSON/5133332011</t>
  </si>
  <si>
    <t>SERVICIOS DE INFORMA</t>
  </si>
  <si>
    <t>GSON/5133333011</t>
  </si>
  <si>
    <t>SERVICIOS DE CONSULT</t>
  </si>
  <si>
    <t>GSON/5133333021</t>
  </si>
  <si>
    <t>SERVS DE CONSULT CAP</t>
  </si>
  <si>
    <t>GSON/5133333022</t>
  </si>
  <si>
    <t>SERVICIOS ESTADISTIC</t>
  </si>
  <si>
    <t>GSON/5133333031</t>
  </si>
  <si>
    <t>SERVICIOS DE CAPACIT</t>
  </si>
  <si>
    <t>GSON/5133334011</t>
  </si>
  <si>
    <t>SERVICIOS DE INVESTI</t>
  </si>
  <si>
    <t>GSON/5133335011</t>
  </si>
  <si>
    <t>IMPR Y PUB OFICIALES</t>
  </si>
  <si>
    <t>GSON/5133336031</t>
  </si>
  <si>
    <t>IMPRES Y PUBLIC CAP</t>
  </si>
  <si>
    <t>GSON/5133336032</t>
  </si>
  <si>
    <t>EDICTOS</t>
  </si>
  <si>
    <t>GSON/5133336041</t>
  </si>
  <si>
    <t>LICITACIONES CONVEN</t>
  </si>
  <si>
    <t>GSON/5133336051</t>
  </si>
  <si>
    <t>IMPRES DOC OFIC SERV</t>
  </si>
  <si>
    <t>GSON/5133336061</t>
  </si>
  <si>
    <t>SERVICIOS DE PROTECC</t>
  </si>
  <si>
    <t>GSON/5133337011</t>
  </si>
  <si>
    <t>SERVICIOS DE VIGILAN</t>
  </si>
  <si>
    <t>SERVICIOS PROFESIONA</t>
  </si>
  <si>
    <t>GSON/5133339011</t>
  </si>
  <si>
    <t>GSON/5133339021</t>
  </si>
  <si>
    <t>SERV FINANC Y BANCAR</t>
  </si>
  <si>
    <t>GASTO INERENTE A REC</t>
  </si>
  <si>
    <t>GSON/5134343021</t>
  </si>
  <si>
    <t>SEGUROS DE RESPONSAB</t>
  </si>
  <si>
    <t>GSON/5134344011</t>
  </si>
  <si>
    <t>SEGUROS DE BIENES PA</t>
  </si>
  <si>
    <t>GSON/5134345011</t>
  </si>
  <si>
    <t>ALMACENAJE ENVASE</t>
  </si>
  <si>
    <t>GSON/5134346011</t>
  </si>
  <si>
    <t>FLETES Y MANIOBRAS</t>
  </si>
  <si>
    <t>GSON/5134347011</t>
  </si>
  <si>
    <t>COMISIONES POR VENTA</t>
  </si>
  <si>
    <t>GSON/5134348011</t>
  </si>
  <si>
    <t>MANTENIMIENTO Y CONS</t>
  </si>
  <si>
    <t>GSON/5135351011</t>
  </si>
  <si>
    <t>GSON/5135352011</t>
  </si>
  <si>
    <t>GSON/5135353021</t>
  </si>
  <si>
    <t>INSTALACION REPARA</t>
  </si>
  <si>
    <t>GSON/5135354011</t>
  </si>
  <si>
    <t>GSON/5135355011</t>
  </si>
  <si>
    <t>MTTO Y CONS CAP</t>
  </si>
  <si>
    <t>GSON/5135355012</t>
  </si>
  <si>
    <t>REPARACION Y MANTENI</t>
  </si>
  <si>
    <t>GSON/5135356011</t>
  </si>
  <si>
    <t>GSON/5135357011</t>
  </si>
  <si>
    <t>SERVICIOS DE LIMPIEZ</t>
  </si>
  <si>
    <t>GSON/5135358011</t>
  </si>
  <si>
    <t>SERVICIOS DE JARDINE</t>
  </si>
  <si>
    <t>Serv d'Comunicación</t>
  </si>
  <si>
    <t>GSON5136</t>
  </si>
  <si>
    <t>DIFUSION POR RADIO</t>
  </si>
  <si>
    <t>GSON/5136361011</t>
  </si>
  <si>
    <t>SERVICIOS DE CREATIV</t>
  </si>
  <si>
    <t>GSON/5136363011</t>
  </si>
  <si>
    <t>SERVICIOS DE REVELAD</t>
  </si>
  <si>
    <t>GSON/5136364011</t>
  </si>
  <si>
    <t>SERVICIOS DE CREACIO</t>
  </si>
  <si>
    <t>GSON/5136366011</t>
  </si>
  <si>
    <t>OTROS SERVICIOS DE I</t>
  </si>
  <si>
    <t>GSON/5136369011</t>
  </si>
  <si>
    <t>PASAJES AEREOS</t>
  </si>
  <si>
    <t>PASAJES TERRESTRES</t>
  </si>
  <si>
    <t>GSON/5137372011</t>
  </si>
  <si>
    <t>VIATICOS EN EL PAIS</t>
  </si>
  <si>
    <t>VIATICOS PAIS CAP</t>
  </si>
  <si>
    <t>GSON/5137375012</t>
  </si>
  <si>
    <t>GASTOS DE CAMINO</t>
  </si>
  <si>
    <t>GSON/5137375021</t>
  </si>
  <si>
    <t>GASTOS DE CAMINO CAP</t>
  </si>
  <si>
    <t>GSON/5137375022</t>
  </si>
  <si>
    <t>VIATICOS EN EL EXTRA</t>
  </si>
  <si>
    <t>GSON/5137376011</t>
  </si>
  <si>
    <t>CUOTAS</t>
  </si>
  <si>
    <t>GSON/5137379011</t>
  </si>
  <si>
    <t>CUOTAS CAP</t>
  </si>
  <si>
    <t>GSON/5137379012</t>
  </si>
  <si>
    <t>HOSPEDAJE AL PERSONA</t>
  </si>
  <si>
    <t>GSON/5137379031</t>
  </si>
  <si>
    <t>Servicios Oficiales</t>
  </si>
  <si>
    <t>GSON5138</t>
  </si>
  <si>
    <t>GASTOS DE CEREMONIAL</t>
  </si>
  <si>
    <t>GSON/5138381011</t>
  </si>
  <si>
    <t>GASTOS DE ORDEN SOCI</t>
  </si>
  <si>
    <t>GSON/5138382011</t>
  </si>
  <si>
    <t>CONGRESOS Y CONVENCI</t>
  </si>
  <si>
    <t>GSON/5138383011</t>
  </si>
  <si>
    <t>EXPOSICIONES</t>
  </si>
  <si>
    <t>GSON/5138384011</t>
  </si>
  <si>
    <t>Otros Servicios Gene</t>
  </si>
  <si>
    <t>GSON5139</t>
  </si>
  <si>
    <t>SERVICIOS FUNERARIOS</t>
  </si>
  <si>
    <t>GSON/5139391011</t>
  </si>
  <si>
    <t>IMPUESTOS Y DERECHOS</t>
  </si>
  <si>
    <t>GSON/5139392011</t>
  </si>
  <si>
    <t>SENTENCIAS Y RESOLUC</t>
  </si>
  <si>
    <t>GSON/5139394011</t>
  </si>
  <si>
    <t>PENAS MULTAS ACCES</t>
  </si>
  <si>
    <t>GSON/5139395011</t>
  </si>
  <si>
    <t>OTROS GASTOS POR RES</t>
  </si>
  <si>
    <t>GSON/5139396011</t>
  </si>
  <si>
    <t>IMPTOS/NOMINAS CAP</t>
  </si>
  <si>
    <t>GSON/5139398012</t>
  </si>
  <si>
    <t>SERVICIOS ASISTENCIA</t>
  </si>
  <si>
    <t>GSON/5139399011</t>
  </si>
  <si>
    <t>GASTOS DE LA CASA DE</t>
  </si>
  <si>
    <t>GSON/5139399021</t>
  </si>
  <si>
    <t>SUBROGACIONES</t>
  </si>
  <si>
    <t>GSON/5139399031</t>
  </si>
  <si>
    <t>SERV PERSONALES</t>
  </si>
  <si>
    <t>GSON/5211411011</t>
  </si>
  <si>
    <t>MAT Y SUMINISTROS</t>
  </si>
  <si>
    <t>GSON/5211411021</t>
  </si>
  <si>
    <t>SERVICIOS GENERALES</t>
  </si>
  <si>
    <t>GSON/5211411031</t>
  </si>
  <si>
    <t>TRANSF ASIGN SUBS</t>
  </si>
  <si>
    <t>GSON/5211411041</t>
  </si>
  <si>
    <t>B MUEB INMUEB E INTA</t>
  </si>
  <si>
    <t>GSON/5211411051</t>
  </si>
  <si>
    <t>INVERSION PUBLICA</t>
  </si>
  <si>
    <t>GSON/5211411061</t>
  </si>
  <si>
    <t>INV FIN OTRA PROV</t>
  </si>
  <si>
    <t>GSON/5211411071</t>
  </si>
  <si>
    <t>ASIGN PRES POD EJEC</t>
  </si>
  <si>
    <t>GSON/5211411101</t>
  </si>
  <si>
    <t>GTO IND PARA OBRA</t>
  </si>
  <si>
    <t>GSON/5211411111</t>
  </si>
  <si>
    <t>SERVICIOS PERSONALES</t>
  </si>
  <si>
    <t>GSON/5211412011</t>
  </si>
  <si>
    <t>GASTOS DE OPERACION</t>
  </si>
  <si>
    <t>GSON/5211412021</t>
  </si>
  <si>
    <t>GASTOS DE FISCALIZAC</t>
  </si>
  <si>
    <t>GSON/5211412031</t>
  </si>
  <si>
    <t>GSON/5211413011</t>
  </si>
  <si>
    <t>GSON/5211413021</t>
  </si>
  <si>
    <t>INV PUB JUDICIAL</t>
  </si>
  <si>
    <t>GSON/5211413031</t>
  </si>
  <si>
    <t>SERV PER ORGA AUTON</t>
  </si>
  <si>
    <t>GTOS OPER ORGAN AUT</t>
  </si>
  <si>
    <t>GSON/5211414021</t>
  </si>
  <si>
    <t>INV PUB ORG AUTONOM</t>
  </si>
  <si>
    <t>GSON/5211414061</t>
  </si>
  <si>
    <t>GSON/5211414071</t>
  </si>
  <si>
    <t>TRANSFERENCIAS PARA</t>
  </si>
  <si>
    <t>GSON/5212415021</t>
  </si>
  <si>
    <t>APLICACION DE RECURS</t>
  </si>
  <si>
    <t>TRANSF DEFICIT OPERA</t>
  </si>
  <si>
    <t>GSON/5212415051</t>
  </si>
  <si>
    <t>TRANSFERENCIAS INTER</t>
  </si>
  <si>
    <t>GSON/5212419011</t>
  </si>
  <si>
    <t>Transferencias al Re</t>
  </si>
  <si>
    <t>GSON522</t>
  </si>
  <si>
    <t>Transferencias a Ent</t>
  </si>
  <si>
    <t>GSON5221</t>
  </si>
  <si>
    <t>TRANSFERENCIAS OTORG</t>
  </si>
  <si>
    <t>GSON/5221421011</t>
  </si>
  <si>
    <t>GSON5222</t>
  </si>
  <si>
    <t>GSON/5222424011</t>
  </si>
  <si>
    <t>TRANSFERENCIAS A FID</t>
  </si>
  <si>
    <t>GSON/5222425011</t>
  </si>
  <si>
    <t>GSON523</t>
  </si>
  <si>
    <t>Subsidios</t>
  </si>
  <si>
    <t>GSON5231</t>
  </si>
  <si>
    <t>SUBSIDIOS A LA PRODU</t>
  </si>
  <si>
    <t>GSON/5231431011</t>
  </si>
  <si>
    <t>SUBS A MAQ Y EQ</t>
  </si>
  <si>
    <t>GSON/5231431021</t>
  </si>
  <si>
    <t>SUBSIDIO A LA INVERS</t>
  </si>
  <si>
    <t>GSON/5231433011</t>
  </si>
  <si>
    <t>SUBISIDIOS PARA CAPA</t>
  </si>
  <si>
    <t>GSON/5231439011</t>
  </si>
  <si>
    <t>SUBSIDIOS A FIDEICOM</t>
  </si>
  <si>
    <t>GSON/5231439021</t>
  </si>
  <si>
    <t>Subvenciones</t>
  </si>
  <si>
    <t>GSON5232</t>
  </si>
  <si>
    <t>SUBVENCION VEHICULAR</t>
  </si>
  <si>
    <t>GSON/5232437021</t>
  </si>
  <si>
    <t>Ayudas Sociales a Pe</t>
  </si>
  <si>
    <t>GSON5241</t>
  </si>
  <si>
    <t>AYUDAS SOCIALES A PE</t>
  </si>
  <si>
    <t>GSON/5241441011</t>
  </si>
  <si>
    <t>ACTIV CULT Y DEP</t>
  </si>
  <si>
    <t>GSON/5241441101</t>
  </si>
  <si>
    <t>AYUDA SERV GRAL</t>
  </si>
  <si>
    <t>GSON/5241441111</t>
  </si>
  <si>
    <t>AYUDAS ALIMENTACION</t>
  </si>
  <si>
    <t>GSON/5241441121</t>
  </si>
  <si>
    <t>AYUDAS TRANSPORTE</t>
  </si>
  <si>
    <t>GSON/5241441151</t>
  </si>
  <si>
    <t>AYUDA EDUCACION</t>
  </si>
  <si>
    <t>GSON/5241441161</t>
  </si>
  <si>
    <t>AYUDAS ACT CULTURAL</t>
  </si>
  <si>
    <t>GSON/5241441181</t>
  </si>
  <si>
    <t>Becas</t>
  </si>
  <si>
    <t>GSON5242</t>
  </si>
  <si>
    <t>BECAS EDUCATIVAS</t>
  </si>
  <si>
    <t>GSON/5242442011</t>
  </si>
  <si>
    <t>FOMENTO DEPORTIVO</t>
  </si>
  <si>
    <t>GSON/5242442041</t>
  </si>
  <si>
    <t>BECAS INVERSION</t>
  </si>
  <si>
    <t>GSON/5242442061</t>
  </si>
  <si>
    <t>AYUDAS SOCIALES A IN</t>
  </si>
  <si>
    <t>GSON/5243445011</t>
  </si>
  <si>
    <t>APORT CONV ORG</t>
  </si>
  <si>
    <t>AYUDAS SOCIALES A EN</t>
  </si>
  <si>
    <t>GSON/5243447011</t>
  </si>
  <si>
    <t>Pensiones y Jubilaci</t>
  </si>
  <si>
    <t>GSON525</t>
  </si>
  <si>
    <t>otras Pensiones y Ju</t>
  </si>
  <si>
    <t>GSON5259</t>
  </si>
  <si>
    <t>SERV MEDICO PYJ</t>
  </si>
  <si>
    <t>GSON/5259459031</t>
  </si>
  <si>
    <t>Transferencias a Fid</t>
  </si>
  <si>
    <t>GSON526</t>
  </si>
  <si>
    <t>Transf a Fid, Mdtos</t>
  </si>
  <si>
    <t>GSON5261</t>
  </si>
  <si>
    <t>APORTACIONES A FIDEI</t>
  </si>
  <si>
    <t>GSON/5261461011</t>
  </si>
  <si>
    <t>GSON/5261463011</t>
  </si>
  <si>
    <t>FONDO GENERAL DE PAR</t>
  </si>
  <si>
    <t>FONDO DE FOMENTO MUN</t>
  </si>
  <si>
    <t>PARTICIPACIONES DEL</t>
  </si>
  <si>
    <t>FONDO DE FISCALIZACI</t>
  </si>
  <si>
    <t>IMPUESTO ESPECIAL SO</t>
  </si>
  <si>
    <t>IMPUESTOS OBRE AUTOM</t>
  </si>
  <si>
    <t>FONDO DE COMPENSACIO</t>
  </si>
  <si>
    <t>IMPUESTOS OBRE TENEN</t>
  </si>
  <si>
    <t>PARTICIPACIONES DERI</t>
  </si>
  <si>
    <t>DERECHOS POR SERVICI</t>
  </si>
  <si>
    <t>REVALIDACION DE LICE</t>
  </si>
  <si>
    <t>IMPUESTO POR LA PRES</t>
  </si>
  <si>
    <t>ESTIMULOS ECONOMICOS</t>
  </si>
  <si>
    <t>GSON/5312813061</t>
  </si>
  <si>
    <t>GSON532</t>
  </si>
  <si>
    <t>Aport d'Federación a</t>
  </si>
  <si>
    <t>GSON5321</t>
  </si>
  <si>
    <t>FONDO DE APORTACIONE</t>
  </si>
  <si>
    <t>GSON/5321832011</t>
  </si>
  <si>
    <t>GSON/5321832021</t>
  </si>
  <si>
    <t>APOYOS ADICIONALES A</t>
  </si>
  <si>
    <t>GSON/5321835011</t>
  </si>
  <si>
    <t>GSON533</t>
  </si>
  <si>
    <t>Convenios de Descent</t>
  </si>
  <si>
    <t>GSON5332</t>
  </si>
  <si>
    <t>CONVENIOS DE DESCENT</t>
  </si>
  <si>
    <t>GSON/5332852011</t>
  </si>
  <si>
    <t>PAGO DE INTERESES LA</t>
  </si>
  <si>
    <t>PAGO DE INTERESES DE</t>
  </si>
  <si>
    <t>COMISIONES DE LA DEU</t>
  </si>
  <si>
    <t>GASTOS DE LA DEUDA P</t>
  </si>
  <si>
    <t>Costo por Coberturas</t>
  </si>
  <si>
    <t>GSON544</t>
  </si>
  <si>
    <t>GSON5441</t>
  </si>
  <si>
    <t>COSTO POR COBERTURAS</t>
  </si>
  <si>
    <t>GSON/5441951013</t>
  </si>
  <si>
    <t>Apoyos Financieros</t>
  </si>
  <si>
    <t>GSON545</t>
  </si>
  <si>
    <t>Apoyos Financieros a</t>
  </si>
  <si>
    <t>GSON5452</t>
  </si>
  <si>
    <t>APOYOS A AHORRADORES</t>
  </si>
  <si>
    <t>GSON/5452962013</t>
  </si>
  <si>
    <t>AMORTIZACION DE ACTI</t>
  </si>
  <si>
    <t>GSON5596</t>
  </si>
  <si>
    <t>RESULT X POS MONE</t>
  </si>
  <si>
    <t>GSON/5596100001</t>
  </si>
  <si>
    <t>BAJA ACTIVO FIJO POR</t>
  </si>
  <si>
    <t>AVALMPIOACONCHI</t>
  </si>
  <si>
    <t>GSON/7310100001</t>
  </si>
  <si>
    <t>AVALMPIOAPRIETA</t>
  </si>
  <si>
    <t>GSON/7310100002</t>
  </si>
  <si>
    <t>AVALMPIOALTAR</t>
  </si>
  <si>
    <t>GSON/7310100003</t>
  </si>
  <si>
    <t>AVALMPIOARIVECHI</t>
  </si>
  <si>
    <t>GSON/7310100004</t>
  </si>
  <si>
    <t>AVALMPIOARIZPE</t>
  </si>
  <si>
    <t>GSON/7310100005</t>
  </si>
  <si>
    <t>AVALMPIOBACANORA</t>
  </si>
  <si>
    <t>GSON/7310100006</t>
  </si>
  <si>
    <t>AVALMPIOBANAMICH</t>
  </si>
  <si>
    <t>GSON/7310100007</t>
  </si>
  <si>
    <t>AVALMPIOBENJAMIN</t>
  </si>
  <si>
    <t>GSON/7310100008</t>
  </si>
  <si>
    <t>AVALMPIOCARBO</t>
  </si>
  <si>
    <t>GSON/7310100010</t>
  </si>
  <si>
    <t>AVALMPIOCUMPAS</t>
  </si>
  <si>
    <t>GSON/7310100011</t>
  </si>
  <si>
    <t>AVALMPIODIVISADE</t>
  </si>
  <si>
    <t>GSON/7310100012</t>
  </si>
  <si>
    <t>AVALMPIOMAZATAN</t>
  </si>
  <si>
    <t>GSON/7310100015</t>
  </si>
  <si>
    <t>AVALMPIOMOCTEZU</t>
  </si>
  <si>
    <t>GSON/7310100016</t>
  </si>
  <si>
    <t>AVALMPIONACOZAR</t>
  </si>
  <si>
    <t>GSON/7310100017</t>
  </si>
  <si>
    <t>AVALMPIOPPEÑASC</t>
  </si>
  <si>
    <t>GSON/7310100019</t>
  </si>
  <si>
    <t>AVALMPIOROSARIO</t>
  </si>
  <si>
    <t>GSON/7310100020</t>
  </si>
  <si>
    <t>AVALMPIOSAHUARI</t>
  </si>
  <si>
    <t>GSON/7310100021</t>
  </si>
  <si>
    <t>AVALMPIOSANTAA</t>
  </si>
  <si>
    <t>GSON/7310100022</t>
  </si>
  <si>
    <t>AVALMPIOSARIC</t>
  </si>
  <si>
    <t>GSON/7310100023</t>
  </si>
  <si>
    <t>AVALMPIOTUBUTAM</t>
  </si>
  <si>
    <t>GSON/7310100024</t>
  </si>
  <si>
    <t>AVALMPIOURES</t>
  </si>
  <si>
    <t>GSON/7310100025</t>
  </si>
  <si>
    <t>AVALCOAPAESDG</t>
  </si>
  <si>
    <t>GSON/7310200001</t>
  </si>
  <si>
    <t>AVALCOAPAESHILLO</t>
  </si>
  <si>
    <t>GSON/7310200002</t>
  </si>
  <si>
    <t>AVALCOAPAESSLRC</t>
  </si>
  <si>
    <t>GSON/7310200003</t>
  </si>
  <si>
    <t>AVALFAPES</t>
  </si>
  <si>
    <t>GSON/7310200004</t>
  </si>
  <si>
    <t>AVALFIDEICOMISOS</t>
  </si>
  <si>
    <t>GSON/7310200005</t>
  </si>
  <si>
    <t>AVAL MIFEL/FEMOT</t>
  </si>
  <si>
    <t>GSON/7310200006</t>
  </si>
  <si>
    <t>AVAL TELEMAX</t>
  </si>
  <si>
    <t>GSON/7310200007</t>
  </si>
  <si>
    <t>AVALESFIRMMPIO</t>
  </si>
  <si>
    <t>GSON/7320100001</t>
  </si>
  <si>
    <t>AVALESFIRMORGE</t>
  </si>
  <si>
    <t>GSON/7320100002</t>
  </si>
  <si>
    <t>Juicios</t>
  </si>
  <si>
    <t>GSON74</t>
  </si>
  <si>
    <t>DEMANDAS JUDICIAL</t>
  </si>
  <si>
    <t>GSON/7410100001</t>
  </si>
  <si>
    <t>RESOLUCION DEMAND</t>
  </si>
  <si>
    <t>GSON/7420100001</t>
  </si>
  <si>
    <t>GSON75</t>
  </si>
  <si>
    <t>CONTRATOS INVERSI</t>
  </si>
  <si>
    <t>GSON/7510100001</t>
  </si>
  <si>
    <t>GSON/7520100001</t>
  </si>
  <si>
    <t>B BAJO COMODATO</t>
  </si>
  <si>
    <t>CTA X COBRAR EJ ANT</t>
  </si>
  <si>
    <t>GSON/7710100001</t>
  </si>
  <si>
    <t>ADEUDOS POR RECUP</t>
  </si>
  <si>
    <t>GSON/7720100001</t>
  </si>
  <si>
    <t>LEY INGRESO ESTIM</t>
  </si>
  <si>
    <t>LEY INGR X EJECUT</t>
  </si>
  <si>
    <t>MODI LEY INGR EST</t>
  </si>
  <si>
    <t>LEY INGRES DEVENG</t>
  </si>
  <si>
    <t>LEY INGRES DEVEVE</t>
  </si>
  <si>
    <t>LEY INGRES RECAUD</t>
  </si>
  <si>
    <t>PSPTO EGRES APROB</t>
  </si>
  <si>
    <t>PSPTO EGRES X EJE</t>
  </si>
  <si>
    <t>PSPTO POR EJERCER</t>
  </si>
  <si>
    <t>GSON/8220000001</t>
  </si>
  <si>
    <t>MOD PSPTO EGRE AP</t>
  </si>
  <si>
    <t>PSPTO EGRE COMPRO</t>
  </si>
  <si>
    <t>PSPTO COMPROMET</t>
  </si>
  <si>
    <t>PSPTO EGRE DEVENG</t>
  </si>
  <si>
    <t>PSPTO EGRE EJERCI</t>
  </si>
  <si>
    <t>PSPTO EJERCIDO</t>
  </si>
  <si>
    <t>PSPTO EGRE PAGAD</t>
  </si>
  <si>
    <t>Al 31 de Dic del 2015</t>
  </si>
  <si>
    <t>Elaborado el 01 de Abr del 2016</t>
  </si>
  <si>
    <t>Efectivo y Equivalentes (Nota 1)</t>
  </si>
  <si>
    <t>Derechos a Recibir Efectivo o Equivalentes (Nota 2)</t>
  </si>
  <si>
    <t>Inventarios (Nota 4)</t>
  </si>
  <si>
    <t>Otros Activos Circulantes (Nota 3)</t>
  </si>
  <si>
    <t>Derechos a Recibir Bienes o Servicios (Nota 2)</t>
  </si>
  <si>
    <t>Inversiones Financieras a Largo Plazo (Nota 5)</t>
  </si>
  <si>
    <t>Bienes Inmuebles, Infraestructura y Construcciones en Proceso (Nota 6)</t>
  </si>
  <si>
    <t>Cuentas por Pagar a Corto Plazo (Nota 11)</t>
  </si>
  <si>
    <t>Bienes Muebles (Nota 7)</t>
  </si>
  <si>
    <t>Activos Intangibles (Nota 8)</t>
  </si>
  <si>
    <t>Depreciación, Deterioro y Amortización Acumulada de Bienes (Nota 9)</t>
  </si>
  <si>
    <t>Otros Activos no Circulantes (Nota 10)</t>
  </si>
  <si>
    <t>Pasivos Diferidos a Corto Plazo (Nota 14)</t>
  </si>
  <si>
    <t>Documentos por Pagar a Corto Plazo (Nota 12)</t>
  </si>
  <si>
    <t>Porción a Corto Plazo de la Deuda Pública a Largo Plazo (Nota 13)</t>
  </si>
  <si>
    <t>Fondos y Bienes de Terceros en Garantía y/o Administración a Corto Plazo (Nota 15)</t>
  </si>
  <si>
    <t>Estado de Actividades</t>
  </si>
  <si>
    <t>Del 01 de Ene al 31 de Dic del 2015</t>
  </si>
  <si>
    <t>INGRESOS Y OTROS BENEFICIOS</t>
  </si>
  <si>
    <t>Cuenta Infofin</t>
  </si>
  <si>
    <t>Ingresos de la Gestión (Nota 1)</t>
  </si>
  <si>
    <t>4-1-0-0-0-0-000-</t>
  </si>
  <si>
    <t>4-1-1-0-0-0-000-</t>
  </si>
  <si>
    <t>Cuotas y Aportaciones de Seguridad Social</t>
  </si>
  <si>
    <t>Contribuciones de Mejoras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</si>
  <si>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</si>
  <si>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</si>
  <si>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</si>
  <si>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</si>
  <si>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 (Nota 2)</t>
  </si>
  <si>
    <t>Participaciones y Aportaciones</t>
  </si>
  <si>
    <t>Transferencia, Asignaciones, Subsidios y Otras Ayudas</t>
  </si>
  <si>
    <t>Otros Ingresos y Beneficios (Nota 3)</t>
  </si>
  <si>
    <t>Ingresos Financieros</t>
  </si>
  <si>
    <t>Incremento por Variación de Inventarios</t>
  </si>
  <si>
    <t>Disminución del Exceso de Estimaciones por Pérdida o Deterioro u Obsolescencia</t>
  </si>
  <si>
    <t>Disminución del Exceso de Provisiones</t>
  </si>
  <si>
    <t xml:space="preserve">Otros Ingresos y Beneficios Varios </t>
  </si>
  <si>
    <t>Total de Ingresos y Otros Beneficios</t>
  </si>
  <si>
    <t>GASTOS Y OTRAS PÉRDIDAS</t>
  </si>
  <si>
    <t>Gastos de Funcionamiento (Nota 4)</t>
  </si>
  <si>
    <t>Materiales y Suministros</t>
  </si>
  <si>
    <t>Transferencia, Asignaciones, Subsidios y Otras Ayudas (Nota 5)</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</si>
  <si>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</si>
  <si>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</si>
  <si>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</si>
  <si>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</si>
  <si>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</si>
  <si>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</si>
  <si>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</si>
  <si>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</si>
  <si>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Participaciones y Aportaciones (Nota 6)</t>
  </si>
  <si>
    <t>Intereses, Comisiones y Otros Gastos de la Deuda Pública (Nota 7)</t>
  </si>
  <si>
    <t>Intereses de la Deuda Pública</t>
  </si>
  <si>
    <t>Comisiones de la Deuda Pública</t>
  </si>
  <si>
    <t>Gastos de la Deuda Pública</t>
  </si>
  <si>
    <t>Otros Gastos y Pérdidas Extraordinarias (Nota 8)</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</si>
  <si>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</si>
  <si>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</si>
  <si>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</si>
  <si>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</si>
  <si>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</si>
  <si>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Inversión Pública (Nota 9)</t>
  </si>
  <si>
    <t>Inversión Pública no Capitalizable</t>
  </si>
  <si>
    <t>Total de Gastos y Otras Pérdidas</t>
  </si>
  <si>
    <t>Resultados del Ejercicio (Ahorro/Desahorro)</t>
  </si>
  <si>
    <t>Estado de Variación en la Hacienda Pública</t>
  </si>
  <si>
    <t>Del 1 de Ene al 31 de Dic del 2015</t>
  </si>
  <si>
    <t>Concepto</t>
  </si>
  <si>
    <t>Hacienda
Pública /
Patrimonio
Contribuido</t>
  </si>
  <si>
    <t>Hacienda
Pública /
Patrimonio
Generado de
Ejercicio
Anteriores</t>
  </si>
  <si>
    <t>Hacienda
Pública /
Patrimonio
Generado
del Ejercicio</t>
  </si>
  <si>
    <t>Ajustes
por
Cambios
de Valor</t>
  </si>
  <si>
    <t>Total</t>
  </si>
  <si>
    <t>Patrimonio Neto  Inicial Ajustado del ejercicio</t>
  </si>
  <si>
    <t>Actualización de la Hacienda Pública/Patrimonio</t>
  </si>
  <si>
    <t>Variaciones de la Hacienda Pública/Patrimonio Neto del Ejericico</t>
  </si>
  <si>
    <t>Resultados de Ejercicios Anteriores (Nota 1)</t>
  </si>
  <si>
    <t>Hacienda Pública / Patrimonio Neto Final del Ejercicio  2014</t>
  </si>
  <si>
    <t>Cambios en la Hacienda Pública / Patrimonio Neto del Ejercicio 2015</t>
  </si>
  <si>
    <t>Variaciones de la Hacienda Pública / Patrimonio Neto del Ejercicio</t>
  </si>
  <si>
    <t>Saldo Neto en la Hacienda Pública/Patrimonio 2015</t>
  </si>
  <si>
    <t>Estado de Cambios en la Situación Financiera</t>
  </si>
  <si>
    <t>Origen</t>
  </si>
  <si>
    <t>Aplicación</t>
  </si>
  <si>
    <t xml:space="preserve">Efectivo y Equivalentes </t>
  </si>
  <si>
    <t>Derechos a Recibir Efectivo o Equivalentes</t>
  </si>
  <si>
    <t>Derechos a Recibir Bienes o Servicios</t>
  </si>
  <si>
    <t>Inventario</t>
  </si>
  <si>
    <t>Estimacion por Pérdida o Deterioro de Activos Circulantes</t>
  </si>
  <si>
    <t>Otros Activos Circulantes</t>
  </si>
  <si>
    <t>Inversiones Financieras a Largo Plazo</t>
  </si>
  <si>
    <t>Bienes Inmuebles, Infraestructura y Construcciones en Proceso</t>
  </si>
  <si>
    <t xml:space="preserve">Depreciación, Deterioro y Amortización Acumulada de Bienes </t>
  </si>
  <si>
    <t>Estimación por Perdida o Deterioro de Activos No Circulantes</t>
  </si>
  <si>
    <t>Otros Activos No Circulantes</t>
  </si>
  <si>
    <t>Cuentas por Pagar a Corto Plazo</t>
  </si>
  <si>
    <t>Documentos por Pagar a Corto Plazo</t>
  </si>
  <si>
    <t>Porción a Corto Plazo de la Deuda Pública a Largo Plazo</t>
  </si>
  <si>
    <t>Pasivos Diferidos a Corto Plazo</t>
  </si>
  <si>
    <t>Fondos y Bienes de Terceros en Garantía y/o Administración a CortoPlazo</t>
  </si>
  <si>
    <t>Fondos y Bienes de Terceros en Garantía y/o Administración a Largo Plazo</t>
  </si>
  <si>
    <t xml:space="preserve">HACIENDA PÚBLICA/PATRIMONIO </t>
  </si>
  <si>
    <t>Resultados del ejercicio (Ahorro/Desahorro)</t>
  </si>
  <si>
    <t>Exceso o Insuficiencia en la Actualización del Patrimonio</t>
  </si>
  <si>
    <t>GOBIERNO DEL ESTADO SONORA</t>
  </si>
  <si>
    <t>Estado de Flujos de Efectivo</t>
  </si>
  <si>
    <t>2014</t>
  </si>
  <si>
    <t>Flujos de Efectivo de las Actividades de Operación</t>
  </si>
  <si>
    <t>Contribuciones de mejoras</t>
  </si>
  <si>
    <t>Productos de Tipo corriente</t>
  </si>
  <si>
    <t>Ingresos no Comprendidos en las Fracciones de la Ley de Ingresos Causados en Ejercicios Fiscales Anteriores</t>
  </si>
  <si>
    <t>Pendientes de Liquidación o Pago</t>
  </si>
  <si>
    <t>Transferencias, Asignaciones y Subsidios y Otras Ayudas</t>
  </si>
  <si>
    <t>Otros Orígenes de Operación</t>
  </si>
  <si>
    <t>Transferencias al resto del Sector Público</t>
  </si>
  <si>
    <t>Otras Aplicaciones de Operación</t>
  </si>
  <si>
    <t>Flujos netos de Efectivo por Actividades de Operación</t>
  </si>
  <si>
    <t>Flujos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</si>
  <si>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</si>
  <si>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</si>
  <si>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</si>
  <si>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</si>
  <si>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</si>
  <si>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</si>
  <si>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</si>
  <si>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Otros Orígenes de Financiamiento</t>
  </si>
  <si>
    <t>Servicios de la Deuda</t>
  </si>
  <si>
    <t>Otras Aplicaciones de Financiamiento</t>
  </si>
  <si>
    <t>Flujos netos de Efectivo por Actividades de Financiamiento</t>
  </si>
  <si>
    <t>Incremento/Disminución Neta en el Efectivo y Equivalentes al Efectivo</t>
  </si>
  <si>
    <r>
      <t>Efectivo y Equivalentes al Efectivo al inicio del Ejercicio</t>
    </r>
    <r>
      <rPr>
        <b/>
        <vertAlign val="superscript"/>
        <sz val="11"/>
        <color theme="1"/>
        <rFont val="Arial Narrow"/>
        <family val="2"/>
      </rPr>
      <t>1</t>
    </r>
  </si>
  <si>
    <r>
      <t>Efectivo y Equivalentes al Efectivo al final del Ejercicio</t>
    </r>
    <r>
      <rPr>
        <b/>
        <vertAlign val="superscript"/>
        <sz val="11"/>
        <color theme="1"/>
        <rFont val="Arial Narrow"/>
        <family val="2"/>
      </rPr>
      <t>1</t>
    </r>
  </si>
  <si>
    <t>Estado Analítico de Activo</t>
  </si>
  <si>
    <t>Saldo Inicial</t>
  </si>
  <si>
    <t>Cargos al Periodo</t>
  </si>
  <si>
    <t>Abono del Periodo</t>
  </si>
  <si>
    <t>Saldo Final</t>
  </si>
  <si>
    <t>Variación del Período</t>
  </si>
  <si>
    <t>ACTIVO</t>
  </si>
  <si>
    <t>ACTIVO CIRCULANTE</t>
  </si>
  <si>
    <t xml:space="preserve">Derechos a Recibir Bienes o Servicios </t>
  </si>
  <si>
    <t xml:space="preserve">Inventarios </t>
  </si>
  <si>
    <t xml:space="preserve">Estimación por Pérdida o Deterioro de Activos Circulantes </t>
  </si>
  <si>
    <t>ACTIVO NO CIRCULANTE</t>
  </si>
  <si>
    <t xml:space="preserve">Inversiones Financieras a Largo Plazo </t>
  </si>
  <si>
    <t>Depreciación, Deterioro y Amortización Acumulada de Bienes</t>
  </si>
  <si>
    <t>Otros Activos no Circulantes</t>
  </si>
  <si>
    <t>2015</t>
  </si>
  <si>
    <t>1..16</t>
  </si>
  <si>
    <t>14/04/2016</t>
  </si>
  <si>
    <t>Gobierno Estado de Sonora</t>
  </si>
  <si>
    <t>Selección vacía</t>
  </si>
  <si>
    <t>Estado Analitico de la Deuda y otros Pasivos</t>
  </si>
  <si>
    <t>Denominación de las Deudas</t>
  </si>
  <si>
    <t>Moneda de Contratación</t>
  </si>
  <si>
    <t>Institución o País Acreedor</t>
  </si>
  <si>
    <t>Saldo inicial del periodo</t>
  </si>
  <si>
    <t>Saldo Final del Período</t>
  </si>
  <si>
    <t>DEUDA PUBLICA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</si>
  <si>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</si>
  <si>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</si>
  <si>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</si>
  <si>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</si>
  <si>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</si>
  <si>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</si>
  <si>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</si>
  <si>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</si>
  <si>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</si>
  <si>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</si>
  <si>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LARGO PLAZO</t>
  </si>
  <si>
    <t>OTROS PASIVOS</t>
  </si>
  <si>
    <t>TOTAL DEUDA Y OTROS PASIVOS</t>
  </si>
  <si>
    <t>Informe Sobre Pasivos Contingentes</t>
  </si>
  <si>
    <t>Del 1 de Enero al 31 de Diciembre de 2015</t>
  </si>
  <si>
    <t>Al 31 de diciembre del 2015 y a la fecha de la presentación de la cuenta pública el Gobierno de Estado de Sonora, tiene las siguientes contingencias.
b. Al 31 de diciembre de 2015, la Dirección Jurídica del Estado, atiende algunos juicios o litigios en los que el Gobierno del Estado es aparece en calidad de demandado, en juzgados de Distrito y Tribunales Federales de orden común, siendo los más importantes:</t>
  </si>
  <si>
    <t xml:space="preserve">1.    Juicio Ordinario civil promovido por Lourdes Isabel Quijada Gallegos y otros en contra de Molymex y el Gobierno de Estado, el cual se estima se obtendrá resolución desfavorable pudiendo crear un pasivo aproximado de 30 millones de pesos. </t>
  </si>
  <si>
    <t>2.    Juicio de pago de indemnización de expropiación, de terreno en la Ciudad de Mexicali, B.C. que promueve el Ejido, San Luis en contra del Gobierno del Estado de Sonora, de cual se estima se obtendrá una resolución desfavorable pudiendo crear un pasivo de aproximadamente 50 millones de pesos.</t>
  </si>
  <si>
    <t>3.    Juicio promovido por 8 ciudadanos del Ejido San Luis por daños y perjuicio y ocupación temporal de superficie sobre la cual se construyó el tramo de la carretera San Luis Rio Colorado-Golfo de Santa Clara, pudiendo crear un pasivo de aproximadamente 50 millones de pesos.</t>
  </si>
  <si>
    <t>4.    Juicio promovido por Rafael Antonio Valenzuela Navarro, del cual se estima se obtendrá resolución desfavorable pudiendo crear un pasivo de aproximadamente 85 millones de pesos.</t>
  </si>
  <si>
    <t>5.    Juicio promovido por CONADE reclamando el pago de 12.5 Millones de pesos por incumplimiento de contrato.</t>
  </si>
  <si>
    <t>6.    Juicio promovido por Antonio Ceferino Chambert reclamando el pago 1.4 millones por reparación de daños, 50 millones por concepto de daños moral y pago de gastos y costas que resulten.</t>
  </si>
  <si>
    <t>7.    Juicio promovido por el núcleo agrario La Islita del Municipio de San Luis Rio Colorado quienes reclaman el pago de 50 millones de pesos por concepto de daños, perjuicio y ocupación temporal de superficie de 37 Has. en la cual se construyó un tramo de la carretera San Luis Rio Colorado-Golfo de Santa Clara.</t>
  </si>
  <si>
    <t>8.    Juicio promovido por el núcleo agrario San Luis, del Municipio de San Luis Rio Colorado, reclamando el pago de 100 millones de pesos por daños, perjuicios y ocupación temporal de superficie de 60 Has. en la cual se construyó tramo de la carretera San Luis Rio Colorado-Golfo de Santa Calara.</t>
  </si>
  <si>
    <t>9.    Juicio promovido por núcleo agrario Monumentos, Municipio de San Luis Rio Colorado, reclamando el pago de 50 millones, por concepto de daños, perjuicio y ocupación temporal en superficie de 29 Has. en el cual se construyó un trama de la carretera San Luis Rio Colorado-Golfo de Santa Clara.</t>
  </si>
  <si>
    <t>10.  Juicio promovido por Salada de Guaymas, S.A. reclamando la devolución de un inmueble de 165, 383 metros cuadrados, objeto de una expropiación, o bien el pago de 948.6 millones correspondiente al valor comercial por concepto de cumplimiento sustituto.</t>
  </si>
  <si>
    <t>11.  Juicio promovido por Juan Jose Rascón Figueroa y Roas Elia Holguín Ayala, reclamando el pago de 1,465 millones por concepto de reparación de daños, 50, millones por concepto de daño moral, así como el pago de gastos que resulten.</t>
  </si>
  <si>
    <t>12.  Juicio promovido por Las Conchas, S.A. de C.V., reclamando en la vía ordinaria mercantil, el pago de 60 millones de pesos más la cantidad que resulte por daños y perjuicios.</t>
  </si>
  <si>
    <t>13.  Juicio promovido por el C. Francisco Javier Portillo Lopez, ejidatario del núcleo agrario El Fronterizo, Municipio de San Luis Rio Colorado, por la cantidad de 15 millones,  por concepto de daños perjuicios y ocupación temporal de superficie 6 Has. en la cual se construyó un tramo de la carretera San Luis Rio Colorado-Estación Doctor.</t>
  </si>
  <si>
    <t>14.  Juicio promovido por la C. Maricela Mora Solorio, ejidataria del núcleo agrario El Fronterizo, Municipio de San Luis Rio Colorado, por la cantidad de 15 millones,  por concepto de daños perjuicios y ocupación temporal de superficie 6 Has. en la cual se construyó un tramo de la carretera San Luis Rio Colorado-Estación Doctor.</t>
  </si>
  <si>
    <t>15.  Juicio promovido por la C. Maria del Rosario Lopez Quintero, ejidataria del núcleo agrario El Fronterizo, Municipio de San Luis Rio Colorado, por la cantidad de 15 millones,  por concepto de daños perjuicios y ocupación temporal de superficie 6 Has. en la cual se construyó un tramo de la carretera San Luis Rio Colorado-Estación Doctor.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</si>
</sst>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 &quot;MXN&quot;"/>
    <numFmt numFmtId="165" formatCode="#,##0.00\ &quot;MXN&quot;;\-\ #,##0.00\ &quot;MXN&quot;"/>
    <numFmt numFmtId="166" formatCode="#,##0.00_ ;\-#,##0.00\ "/>
  </numFmts>
  <fonts count="53" x14ac:knownFonts="1">
    <font>
      <sz val="10"/>
      <name val="Arial"/>
      <family val="2"/>
    </font>
    <font>
      <sz val="11"/>
      <color theme="1"/>
      <name val="Calibri"/>
      <family val="2"/>
      <scheme val="minor"/>
    </font>
    <font>
      <sz val="11"/>
      <color theme="1"/>
      <name val="Calibri"/>
      <family val="2"/>
      <scheme val="minor"/>
    </font>
    <font>
      <sz val="11"/>
      <color indexed="16"/>
      <name val="Calibri"/>
      <family val="2"/>
    </font>
    <font>
      <b/>
      <sz val="11"/>
      <color indexed="53"/>
      <name val="Calibri"/>
      <family val="2"/>
    </font>
    <font>
      <b/>
      <sz val="11"/>
      <color indexed="9"/>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sz val="10"/>
      <color theme="0"/>
      <name val="Arial Narrow"/>
      <family val="2"/>
    </font>
    <font>
      <b/>
      <sz val="14"/>
      <color theme="1"/>
      <name val="Arial Narrow"/>
      <family val="2"/>
    </font>
    <font>
      <sz val="10"/>
      <name val="Arial Narrow"/>
      <family val="2"/>
    </font>
    <font>
      <b/>
      <sz val="16"/>
      <color theme="1"/>
      <name val="Arial Narrow"/>
      <family val="2"/>
    </font>
    <font>
      <b/>
      <sz val="12"/>
      <color theme="1"/>
      <name val="Arial Narrow"/>
      <family val="2"/>
    </font>
    <font>
      <b/>
      <sz val="11"/>
      <color theme="1"/>
      <name val="Arial Narrow"/>
      <family val="2"/>
    </font>
    <font>
      <b/>
      <u/>
      <sz val="11"/>
      <color theme="1"/>
      <name val="Arial Narrow"/>
      <family val="2"/>
    </font>
    <font>
      <u/>
      <sz val="11"/>
      <color theme="1"/>
      <name val="Arial Narrow"/>
      <family val="2"/>
    </font>
    <font>
      <b/>
      <sz val="10"/>
      <name val="Arial Narrow"/>
      <family val="2"/>
    </font>
    <font>
      <b/>
      <i/>
      <sz val="11"/>
      <color theme="1"/>
      <name val="Arial Narrow"/>
      <family val="2"/>
    </font>
    <font>
      <sz val="11"/>
      <color theme="3"/>
      <name val="Arial Narrow"/>
      <family val="2"/>
    </font>
    <font>
      <i/>
      <sz val="11"/>
      <color theme="1"/>
      <name val="Arial Narrow"/>
      <family val="2"/>
    </font>
    <font>
      <b/>
      <u/>
      <sz val="10"/>
      <name val="Arial Narrow"/>
      <family val="2"/>
    </font>
    <font>
      <sz val="10"/>
      <color rgb="FFFF0000"/>
      <name val="Arial Narrow"/>
      <family val="2"/>
    </font>
    <font>
      <sz val="11"/>
      <color theme="1"/>
      <name val="Arial Narrow"/>
      <family val="2"/>
    </font>
    <font>
      <sz val="12"/>
      <color theme="0"/>
      <name val="Arial Narrow"/>
      <family val="2"/>
    </font>
    <font>
      <sz val="12"/>
      <name val="Arial Narrow"/>
      <family val="2"/>
    </font>
    <font>
      <sz val="12"/>
      <color theme="1"/>
      <name val="Arial Narrow"/>
      <family val="2"/>
    </font>
    <font>
      <b/>
      <i/>
      <sz val="12"/>
      <color theme="1"/>
      <name val="Arial Narrow"/>
      <family val="2"/>
    </font>
    <font>
      <b/>
      <sz val="12"/>
      <name val="Arial Narrow"/>
      <family val="2"/>
    </font>
    <font>
      <b/>
      <u/>
      <sz val="12"/>
      <color theme="1"/>
      <name val="Arial Narrow"/>
      <family val="2"/>
    </font>
    <font>
      <u/>
      <sz val="12"/>
      <color theme="1"/>
      <name val="Arial Narrow"/>
      <family val="2"/>
    </font>
    <font>
      <b/>
      <i/>
      <u/>
      <sz val="12"/>
      <name val="Arial Narrow"/>
      <family val="2"/>
    </font>
    <font>
      <u/>
      <sz val="12"/>
      <name val="Arial Narrow"/>
      <family val="2"/>
    </font>
    <font>
      <sz val="11"/>
      <color theme="0"/>
      <name val="Arial Narrow"/>
      <family val="2"/>
    </font>
    <font>
      <sz val="11"/>
      <name val="Arial Narrow"/>
      <family val="2"/>
    </font>
    <font>
      <b/>
      <vertAlign val="superscript"/>
      <sz val="11"/>
      <color theme="1"/>
      <name val="Arial Narrow"/>
      <family val="2"/>
    </font>
  </fonts>
  <fills count="30">
    <fill>
      <patternFill patternType="none"/>
    </fill>
    <fill>
      <patternFill patternType="gray125"/>
    </fill>
    <fill>
      <patternFill patternType="solid">
        <fgColor indexed="45"/>
        <bgColor indexed="45"/>
      </patternFill>
    </fill>
    <fill>
      <patternFill patternType="solid">
        <fgColor indexed="9"/>
        <bgColor indexed="9"/>
      </patternFill>
    </fill>
    <fill>
      <patternFill patternType="solid">
        <fgColor indexed="55"/>
        <bgColor indexed="55"/>
      </patternFill>
    </fill>
    <fill>
      <patternFill patternType="solid">
        <fgColor indexed="42"/>
        <bgColor indexed="42"/>
      </patternFill>
    </fill>
    <fill>
      <patternFill patternType="solid">
        <fgColor indexed="47"/>
        <bgColor indexed="47"/>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rgb="FF218905"/>
      </left>
      <right/>
      <top/>
      <bottom/>
      <diagonal/>
    </border>
    <border>
      <left/>
      <right style="medium">
        <color rgb="FF218905"/>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right/>
      <top style="medium">
        <color rgb="FF21890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ouble">
        <color auto="1"/>
      </bottom>
      <diagonal/>
    </border>
  </borders>
  <cellStyleXfs count="63">
    <xf numFmtId="0" fontId="0" fillId="0" borderId="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7" fillId="5" borderId="0" applyNumberFormat="0" applyBorder="0" applyAlignment="0" applyProtection="0"/>
    <xf numFmtId="0" fontId="3" fillId="2" borderId="0" applyNumberFormat="0" applyBorder="0" applyAlignment="0" applyProtection="0"/>
    <xf numFmtId="0" fontId="13" fillId="6" borderId="0" applyNumberFormat="0" applyBorder="0" applyAlignment="0" applyProtection="0"/>
    <xf numFmtId="0" fontId="11" fillId="6" borderId="1" applyNumberFormat="0" applyAlignment="0" applyProtection="0"/>
    <xf numFmtId="0" fontId="15" fillId="3" borderId="8" applyNumberFormat="0" applyAlignment="0" applyProtection="0"/>
    <xf numFmtId="0" fontId="4" fillId="3" borderId="1" applyNumberFormat="0" applyAlignment="0" applyProtection="0"/>
    <xf numFmtId="0" fontId="12" fillId="0" borderId="6" applyNumberFormat="0" applyFill="0" applyAlignment="0" applyProtection="0"/>
    <xf numFmtId="0" fontId="5" fillId="4" borderId="2" applyNumberFormat="0" applyAlignment="0" applyProtection="0"/>
    <xf numFmtId="0" fontId="25" fillId="0" borderId="0" applyNumberFormat="0" applyFill="0" applyBorder="0" applyAlignment="0" applyProtection="0"/>
    <xf numFmtId="0" fontId="14" fillId="7" borderId="7" applyNumberFormat="0" applyFont="0" applyAlignment="0" applyProtection="0"/>
    <xf numFmtId="0" fontId="6" fillId="0" borderId="0" applyNumberFormat="0" applyFill="0" applyBorder="0" applyAlignment="0" applyProtection="0"/>
    <xf numFmtId="0" fontId="24" fillId="0" borderId="12" applyNumberFormat="0" applyFill="0" applyAlignment="0" applyProtection="0"/>
    <xf numFmtId="4" fontId="16" fillId="8" borderId="9" applyNumberFormat="0" applyProtection="0">
      <alignment vertical="center"/>
    </xf>
    <xf numFmtId="4" fontId="17" fillId="8" borderId="9" applyNumberFormat="0" applyProtection="0">
      <alignment vertical="center"/>
    </xf>
    <xf numFmtId="4" fontId="16" fillId="8" borderId="9" applyNumberFormat="0" applyProtection="0">
      <alignment horizontal="left" vertical="center" indent="1"/>
    </xf>
    <xf numFmtId="0" fontId="16" fillId="8" borderId="9" applyNumberFormat="0" applyProtection="0">
      <alignment horizontal="left" vertical="top" indent="1"/>
    </xf>
    <xf numFmtId="4" fontId="16" fillId="9" borderId="0" applyNumberFormat="0" applyProtection="0">
      <alignment horizontal="left" vertical="center" indent="1"/>
    </xf>
    <xf numFmtId="4" fontId="18" fillId="10" borderId="9" applyNumberFormat="0" applyProtection="0">
      <alignment horizontal="right" vertical="center"/>
    </xf>
    <xf numFmtId="4" fontId="18" fillId="11" borderId="9" applyNumberFormat="0" applyProtection="0">
      <alignment horizontal="right" vertical="center"/>
    </xf>
    <xf numFmtId="4" fontId="18" fillId="12" borderId="9" applyNumberFormat="0" applyProtection="0">
      <alignment horizontal="right" vertical="center"/>
    </xf>
    <xf numFmtId="4" fontId="18" fillId="13" borderId="9" applyNumberFormat="0" applyProtection="0">
      <alignment horizontal="right" vertical="center"/>
    </xf>
    <xf numFmtId="4" fontId="18" fillId="14" borderId="9" applyNumberFormat="0" applyProtection="0">
      <alignment horizontal="right" vertical="center"/>
    </xf>
    <xf numFmtId="4" fontId="18" fillId="15" borderId="9" applyNumberFormat="0" applyProtection="0">
      <alignment horizontal="right" vertical="center"/>
    </xf>
    <xf numFmtId="4" fontId="18" fillId="16" borderId="9" applyNumberFormat="0" applyProtection="0">
      <alignment horizontal="right" vertical="center"/>
    </xf>
    <xf numFmtId="4" fontId="18" fillId="17" borderId="9" applyNumberFormat="0" applyProtection="0">
      <alignment horizontal="right" vertical="center"/>
    </xf>
    <xf numFmtId="4" fontId="18" fillId="18" borderId="9" applyNumberFormat="0" applyProtection="0">
      <alignment horizontal="right" vertical="center"/>
    </xf>
    <xf numFmtId="4" fontId="16" fillId="19" borderId="10" applyNumberFormat="0" applyProtection="0">
      <alignment horizontal="left" vertical="center" indent="1"/>
    </xf>
    <xf numFmtId="4" fontId="18" fillId="20" borderId="0" applyNumberFormat="0" applyProtection="0">
      <alignment horizontal="left" vertical="center" indent="1"/>
    </xf>
    <xf numFmtId="4" fontId="19" fillId="21" borderId="0" applyNumberFormat="0" applyProtection="0">
      <alignment horizontal="left" vertical="center" indent="1"/>
    </xf>
    <xf numFmtId="4" fontId="18" fillId="9" borderId="9" applyNumberFormat="0" applyProtection="0">
      <alignment horizontal="right" vertical="center"/>
    </xf>
    <xf numFmtId="4" fontId="18" fillId="20" borderId="0" applyNumberFormat="0" applyProtection="0">
      <alignment horizontal="left" vertical="center" indent="1"/>
    </xf>
    <xf numFmtId="4" fontId="18" fillId="9" borderId="0" applyNumberFormat="0" applyProtection="0">
      <alignment horizontal="left" vertical="center" indent="1"/>
    </xf>
    <xf numFmtId="0" fontId="14" fillId="21" borderId="9" applyNumberFormat="0" applyProtection="0">
      <alignment horizontal="left" vertical="center" indent="1"/>
    </xf>
    <xf numFmtId="0" fontId="14" fillId="21" borderId="9" applyNumberFormat="0" applyProtection="0">
      <alignment horizontal="left" vertical="top" indent="1"/>
    </xf>
    <xf numFmtId="0" fontId="14" fillId="9" borderId="9" applyNumberFormat="0" applyProtection="0">
      <alignment horizontal="left" vertical="center" indent="1"/>
    </xf>
    <xf numFmtId="0" fontId="14" fillId="9" borderId="9" applyNumberFormat="0" applyProtection="0">
      <alignment horizontal="left" vertical="top" indent="1"/>
    </xf>
    <xf numFmtId="0" fontId="14" fillId="22" borderId="9" applyNumberFormat="0" applyProtection="0">
      <alignment horizontal="left" vertical="center" indent="1"/>
    </xf>
    <xf numFmtId="0" fontId="14" fillId="22" borderId="9" applyNumberFormat="0" applyProtection="0">
      <alignment horizontal="left" vertical="top" indent="1"/>
    </xf>
    <xf numFmtId="0" fontId="14" fillId="20" borderId="9" applyNumberFormat="0" applyProtection="0">
      <alignment horizontal="left" vertical="center" indent="1"/>
    </xf>
    <xf numFmtId="0" fontId="14" fillId="20" borderId="9" applyNumberFormat="0" applyProtection="0">
      <alignment horizontal="left" vertical="top" indent="1"/>
    </xf>
    <xf numFmtId="0" fontId="14" fillId="23" borderId="11" applyNumberFormat="0">
      <protection locked="0"/>
    </xf>
    <xf numFmtId="4" fontId="18" fillId="24" borderId="9" applyNumberFormat="0" applyProtection="0">
      <alignment vertical="center"/>
    </xf>
    <xf numFmtId="4" fontId="20" fillId="24" borderId="9" applyNumberFormat="0" applyProtection="0">
      <alignment vertical="center"/>
    </xf>
    <xf numFmtId="4" fontId="18" fillId="24" borderId="9" applyNumberFormat="0" applyProtection="0">
      <alignment horizontal="left" vertical="center" indent="1"/>
    </xf>
    <xf numFmtId="0" fontId="18" fillId="24" borderId="9" applyNumberFormat="0" applyProtection="0">
      <alignment horizontal="left" vertical="top" indent="1"/>
    </xf>
    <xf numFmtId="4" fontId="18" fillId="20" borderId="9" applyNumberFormat="0" applyProtection="0">
      <alignment horizontal="right" vertical="center"/>
    </xf>
    <xf numFmtId="4" fontId="20" fillId="20" borderId="9" applyNumberFormat="0" applyProtection="0">
      <alignment horizontal="right" vertical="center"/>
    </xf>
    <xf numFmtId="4" fontId="18" fillId="9" borderId="9" applyNumberFormat="0" applyProtection="0">
      <alignment horizontal="left" vertical="center" indent="1"/>
    </xf>
    <xf numFmtId="0" fontId="18" fillId="9" borderId="9" applyNumberFormat="0" applyProtection="0">
      <alignment horizontal="left" vertical="top" indent="1"/>
    </xf>
    <xf numFmtId="4" fontId="21" fillId="25" borderId="0" applyNumberFormat="0" applyProtection="0">
      <alignment horizontal="left" vertical="center" indent="1"/>
    </xf>
    <xf numFmtId="4" fontId="22" fillId="20" borderId="9" applyNumberFormat="0" applyProtection="0">
      <alignment horizontal="right" vertical="center"/>
    </xf>
    <xf numFmtId="0" fontId="23" fillId="0" borderId="0" applyNumberFormat="0" applyFill="0" applyBorder="0" applyAlignment="0" applyProtection="0"/>
    <xf numFmtId="0" fontId="2" fillId="0" borderId="0"/>
    <xf numFmtId="43" fontId="14" fillId="0" borderId="0" applyFont="0" applyFill="0" applyBorder="0" applyAlignment="0" applyProtection="0"/>
    <xf numFmtId="0" fontId="1" fillId="0" borderId="0"/>
    <xf numFmtId="0" fontId="1" fillId="0" borderId="0"/>
    <xf numFmtId="0" fontId="1" fillId="0" borderId="0"/>
    <xf numFmtId="0" fontId="1" fillId="0" borderId="0"/>
  </cellStyleXfs>
  <cellXfs count="384">
    <xf numFmtId="0" fontId="0" fillId="0" borderId="0" xfId="0"/>
    <xf numFmtId="0" fontId="18" fillId="9" borderId="9" xfId="52" quotePrefix="1" applyNumberFormat="1">
      <alignment horizontal="left" vertical="center" indent="1"/>
    </xf>
    <xf numFmtId="0" fontId="14" fillId="21" borderId="9" xfId="37" quotePrefix="1">
      <alignment horizontal="left" vertical="center" indent="1"/>
    </xf>
    <xf numFmtId="164" fontId="18" fillId="20" borderId="9" xfId="50" applyNumberFormat="1">
      <alignment horizontal="right" vertical="center"/>
    </xf>
    <xf numFmtId="3" fontId="18" fillId="20" borderId="9" xfId="50" applyNumberFormat="1">
      <alignment horizontal="right" vertical="center"/>
    </xf>
    <xf numFmtId="0" fontId="14" fillId="9" borderId="9" xfId="39" quotePrefix="1">
      <alignment horizontal="left" vertical="center" indent="1"/>
    </xf>
    <xf numFmtId="0" fontId="14" fillId="22" borderId="9" xfId="41" quotePrefix="1">
      <alignment horizontal="left" vertical="center" indent="1"/>
    </xf>
    <xf numFmtId="0" fontId="14" fillId="20" borderId="9" xfId="43" quotePrefix="1">
      <alignment horizontal="left" vertical="center" indent="1"/>
    </xf>
    <xf numFmtId="165" fontId="18" fillId="20" borderId="9" xfId="50" applyNumberFormat="1">
      <alignment horizontal="right" vertical="center"/>
    </xf>
    <xf numFmtId="0" fontId="16" fillId="9" borderId="0" xfId="21" quotePrefix="1" applyNumberFormat="1" applyAlignment="1">
      <alignment horizontal="left" vertical="center" indent="1"/>
    </xf>
    <xf numFmtId="0" fontId="14" fillId="21" borderId="9" xfId="37" quotePrefix="1" applyAlignment="1">
      <alignment horizontal="left" vertical="center" indent="2"/>
    </xf>
    <xf numFmtId="0" fontId="14" fillId="9" borderId="9" xfId="39" quotePrefix="1" applyAlignment="1">
      <alignment horizontal="left" vertical="center" indent="3"/>
    </xf>
    <xf numFmtId="0" fontId="14" fillId="22" borderId="9" xfId="41" quotePrefix="1" applyAlignment="1">
      <alignment horizontal="left" vertical="center" indent="4"/>
    </xf>
    <xf numFmtId="0" fontId="14" fillId="20" borderId="9" xfId="43" quotePrefix="1" applyAlignment="1">
      <alignment horizontal="left" vertical="center" indent="5"/>
    </xf>
    <xf numFmtId="0" fontId="14" fillId="20" borderId="9" xfId="43" quotePrefix="1" applyAlignment="1">
      <alignment horizontal="left" vertical="center" indent="6"/>
    </xf>
    <xf numFmtId="0" fontId="14" fillId="20" borderId="9" xfId="43" quotePrefix="1" applyAlignment="1">
      <alignment horizontal="left" vertical="center" indent="7"/>
    </xf>
    <xf numFmtId="0" fontId="14" fillId="20" borderId="9" xfId="43" quotePrefix="1" applyAlignment="1">
      <alignment horizontal="left" vertical="center" indent="8"/>
    </xf>
    <xf numFmtId="0" fontId="14" fillId="20" borderId="9" xfId="43" quotePrefix="1" applyAlignment="1">
      <alignment horizontal="left" vertical="center" indent="9"/>
    </xf>
    <xf numFmtId="0" fontId="16" fillId="8" borderId="9" xfId="19" quotePrefix="1" applyNumberFormat="1">
      <alignment horizontal="left" vertical="center" indent="1"/>
    </xf>
    <xf numFmtId="164" fontId="16" fillId="8" borderId="9" xfId="17" applyNumberFormat="1">
      <alignment vertical="center"/>
    </xf>
    <xf numFmtId="165" fontId="16" fillId="8" borderId="9" xfId="17" applyNumberFormat="1">
      <alignment vertical="center"/>
    </xf>
    <xf numFmtId="3" fontId="16" fillId="8" borderId="9" xfId="17" applyNumberFormat="1">
      <alignment vertical="center"/>
    </xf>
    <xf numFmtId="0" fontId="18" fillId="24" borderId="9" xfId="48" quotePrefix="1" applyNumberFormat="1">
      <alignment horizontal="left" vertical="center" indent="1"/>
    </xf>
    <xf numFmtId="0" fontId="14" fillId="20" borderId="9" xfId="43" quotePrefix="1" applyAlignment="1">
      <alignment horizontal="left" vertical="center" indent="10"/>
    </xf>
    <xf numFmtId="0" fontId="18" fillId="24" borderId="9" xfId="48" quotePrefix="1" applyNumberFormat="1" applyAlignment="1">
      <alignment horizontal="left" vertical="center" indent="2"/>
    </xf>
    <xf numFmtId="0" fontId="26" fillId="0" borderId="0" xfId="0" quotePrefix="1" applyNumberFormat="1" applyFont="1" applyAlignment="1"/>
    <xf numFmtId="0" fontId="26" fillId="0" borderId="0" xfId="0" quotePrefix="1" applyFont="1" applyAlignment="1"/>
    <xf numFmtId="4" fontId="26" fillId="0" borderId="0" xfId="0" applyNumberFormat="1" applyFont="1" applyFill="1"/>
    <xf numFmtId="0" fontId="26" fillId="26" borderId="0" xfId="0" applyFont="1" applyFill="1"/>
    <xf numFmtId="0" fontId="26" fillId="0" borderId="0" xfId="0" applyFont="1"/>
    <xf numFmtId="14" fontId="26" fillId="0" borderId="0" xfId="0" applyNumberFormat="1" applyFont="1"/>
    <xf numFmtId="0" fontId="26" fillId="0" borderId="0" xfId="0" applyFont="1" applyFill="1"/>
    <xf numFmtId="2" fontId="26" fillId="0" borderId="0" xfId="0" applyNumberFormat="1" applyFont="1"/>
    <xf numFmtId="0" fontId="28" fillId="0" borderId="0" xfId="0" applyFont="1"/>
    <xf numFmtId="0" fontId="30" fillId="27" borderId="0" xfId="0" applyFont="1" applyFill="1" applyBorder="1" applyAlignment="1">
      <alignment horizontal="center"/>
    </xf>
    <xf numFmtId="0" fontId="28" fillId="0" borderId="15" xfId="0" applyFont="1" applyBorder="1"/>
    <xf numFmtId="0" fontId="28" fillId="0" borderId="16" xfId="0" applyFont="1" applyBorder="1"/>
    <xf numFmtId="4" fontId="28" fillId="0" borderId="16" xfId="0" applyNumberFormat="1" applyFont="1" applyFill="1" applyBorder="1"/>
    <xf numFmtId="0" fontId="28" fillId="0" borderId="16" xfId="0" applyFont="1" applyFill="1" applyBorder="1"/>
    <xf numFmtId="0" fontId="28" fillId="0" borderId="17" xfId="0" applyFont="1" applyBorder="1"/>
    <xf numFmtId="0" fontId="28" fillId="0" borderId="18" xfId="0" applyFont="1" applyBorder="1"/>
    <xf numFmtId="0" fontId="28" fillId="0" borderId="0" xfId="0" applyFont="1" applyBorder="1"/>
    <xf numFmtId="4" fontId="28" fillId="0" borderId="0" xfId="0" applyNumberFormat="1" applyFont="1" applyFill="1" applyBorder="1"/>
    <xf numFmtId="0" fontId="28" fillId="0" borderId="0" xfId="0" applyFont="1" applyFill="1" applyBorder="1"/>
    <xf numFmtId="0" fontId="28" fillId="0" borderId="19" xfId="0" applyFont="1" applyBorder="1"/>
    <xf numFmtId="0" fontId="31" fillId="0" borderId="18" xfId="0" applyFont="1" applyBorder="1"/>
    <xf numFmtId="0" fontId="28" fillId="0" borderId="0" xfId="0" applyFont="1" applyBorder="1" applyAlignment="1">
      <alignment wrapText="1"/>
    </xf>
    <xf numFmtId="0" fontId="31" fillId="0" borderId="0" xfId="0" applyFont="1" applyBorder="1"/>
    <xf numFmtId="0" fontId="32" fillId="0" borderId="0" xfId="0" applyNumberFormat="1" applyFont="1" applyBorder="1" applyAlignment="1">
      <alignment horizontal="center" vertical="center"/>
    </xf>
    <xf numFmtId="0" fontId="32" fillId="0" borderId="0" xfId="0" applyNumberFormat="1" applyFont="1" applyFill="1" applyBorder="1" applyAlignment="1">
      <alignment horizontal="center" vertical="center"/>
    </xf>
    <xf numFmtId="0" fontId="31" fillId="0" borderId="0" xfId="0" applyFont="1" applyFill="1" applyBorder="1"/>
    <xf numFmtId="0" fontId="28" fillId="0" borderId="0" xfId="0" applyFont="1" applyFill="1" applyBorder="1" applyAlignment="1">
      <alignment wrapText="1"/>
    </xf>
    <xf numFmtId="0" fontId="32" fillId="0" borderId="18" xfId="0" applyFont="1" applyBorder="1"/>
    <xf numFmtId="0" fontId="33" fillId="0" borderId="0" xfId="0" applyFont="1" applyBorder="1" applyAlignment="1">
      <alignment wrapText="1"/>
    </xf>
    <xf numFmtId="0" fontId="33" fillId="0" borderId="0" xfId="0" applyFont="1" applyBorder="1"/>
    <xf numFmtId="4" fontId="33" fillId="0" borderId="0" xfId="0" applyNumberFormat="1" applyFont="1" applyFill="1" applyBorder="1"/>
    <xf numFmtId="0" fontId="32" fillId="0" borderId="0" xfId="0" applyFont="1" applyFill="1" applyBorder="1"/>
    <xf numFmtId="0" fontId="34" fillId="0" borderId="18" xfId="0" applyFont="1" applyFill="1" applyBorder="1"/>
    <xf numFmtId="4" fontId="28" fillId="0" borderId="0" xfId="0" applyNumberFormat="1" applyFont="1" applyBorder="1"/>
    <xf numFmtId="0" fontId="34" fillId="0" borderId="0" xfId="0" applyFont="1" applyFill="1" applyBorder="1"/>
    <xf numFmtId="4" fontId="34" fillId="0" borderId="0" xfId="0" applyNumberFormat="1" applyFont="1" applyBorder="1"/>
    <xf numFmtId="4" fontId="34" fillId="0" borderId="0" xfId="0" applyNumberFormat="1" applyFont="1" applyFill="1" applyBorder="1"/>
    <xf numFmtId="0" fontId="32" fillId="0" borderId="18" xfId="0" applyFont="1" applyFill="1" applyBorder="1"/>
    <xf numFmtId="4" fontId="31" fillId="0" borderId="0" xfId="0" applyNumberFormat="1" applyFont="1" applyBorder="1"/>
    <xf numFmtId="4" fontId="31" fillId="0" borderId="0" xfId="0" applyNumberFormat="1" applyFont="1" applyFill="1" applyBorder="1"/>
    <xf numFmtId="0" fontId="28" fillId="0" borderId="18" xfId="0" applyFont="1" applyFill="1" applyBorder="1"/>
    <xf numFmtId="0" fontId="31" fillId="0" borderId="18" xfId="0" applyFont="1" applyFill="1" applyBorder="1"/>
    <xf numFmtId="0" fontId="35" fillId="0" borderId="0" xfId="0" applyFont="1" applyFill="1" applyBorder="1"/>
    <xf numFmtId="0" fontId="34" fillId="0" borderId="0" xfId="0" applyFont="1" applyFill="1" applyBorder="1" applyAlignment="1"/>
    <xf numFmtId="0" fontId="36" fillId="0" borderId="0" xfId="0" applyFont="1" applyFill="1" applyBorder="1" applyAlignment="1">
      <alignment wrapText="1"/>
    </xf>
    <xf numFmtId="4" fontId="37" fillId="0" borderId="0" xfId="0" applyNumberFormat="1" applyFont="1" applyFill="1" applyBorder="1"/>
    <xf numFmtId="0" fontId="32" fillId="0" borderId="0" xfId="0" applyFont="1" applyFill="1" applyBorder="1" applyAlignment="1">
      <alignment wrapText="1"/>
    </xf>
    <xf numFmtId="4" fontId="38" fillId="0" borderId="0" xfId="0" applyNumberFormat="1" applyFont="1" applyBorder="1"/>
    <xf numFmtId="4" fontId="38" fillId="0" borderId="0" xfId="0" applyNumberFormat="1" applyFont="1" applyFill="1" applyBorder="1"/>
    <xf numFmtId="0" fontId="31" fillId="0" borderId="0" xfId="0" applyFont="1" applyFill="1" applyBorder="1" applyAlignment="1">
      <alignment wrapText="1"/>
    </xf>
    <xf numFmtId="0" fontId="28" fillId="0" borderId="20" xfId="0" applyFont="1" applyBorder="1"/>
    <xf numFmtId="0" fontId="28" fillId="0" borderId="21" xfId="0" applyFont="1" applyBorder="1"/>
    <xf numFmtId="4" fontId="28" fillId="0" borderId="21" xfId="0" applyNumberFormat="1" applyFont="1" applyFill="1" applyBorder="1"/>
    <xf numFmtId="0" fontId="28" fillId="0" borderId="21" xfId="0" applyFont="1" applyFill="1" applyBorder="1"/>
    <xf numFmtId="0" fontId="28" fillId="0" borderId="22" xfId="0" applyFont="1" applyBorder="1"/>
    <xf numFmtId="0" fontId="28" fillId="0" borderId="0" xfId="0" applyFont="1" applyFill="1"/>
    <xf numFmtId="4" fontId="28" fillId="0" borderId="0" xfId="0" applyNumberFormat="1" applyFont="1" applyFill="1"/>
    <xf numFmtId="4" fontId="28" fillId="0" borderId="0" xfId="0" applyNumberFormat="1" applyFont="1"/>
    <xf numFmtId="4" fontId="26" fillId="0" borderId="0" xfId="0" quotePrefix="1" applyNumberFormat="1" applyFont="1" applyAlignment="1"/>
    <xf numFmtId="0" fontId="26" fillId="0" borderId="0" xfId="0" quotePrefix="1" applyFont="1" applyFill="1" applyAlignment="1"/>
    <xf numFmtId="4" fontId="26" fillId="0" borderId="0" xfId="0" applyNumberFormat="1" applyFont="1"/>
    <xf numFmtId="0" fontId="39" fillId="0" borderId="0" xfId="0" applyFont="1"/>
    <xf numFmtId="0" fontId="28" fillId="0" borderId="0" xfId="0" applyFont="1" applyAlignment="1"/>
    <xf numFmtId="0" fontId="40" fillId="0" borderId="15" xfId="59" applyFont="1" applyBorder="1"/>
    <xf numFmtId="0" fontId="40" fillId="0" borderId="16" xfId="59" applyFont="1" applyBorder="1"/>
    <xf numFmtId="4" fontId="40" fillId="0" borderId="16" xfId="59" applyNumberFormat="1" applyFont="1" applyFill="1" applyBorder="1"/>
    <xf numFmtId="0" fontId="40" fillId="0" borderId="18" xfId="59" applyFont="1" applyBorder="1"/>
    <xf numFmtId="0" fontId="40" fillId="0" borderId="0" xfId="59" applyFont="1" applyBorder="1"/>
    <xf numFmtId="0" fontId="32" fillId="0" borderId="0" xfId="59" applyNumberFormat="1" applyFont="1" applyBorder="1" applyAlignment="1">
      <alignment horizontal="center"/>
    </xf>
    <xf numFmtId="0" fontId="32" fillId="0" borderId="0" xfId="59" applyNumberFormat="1" applyFont="1" applyFill="1" applyBorder="1" applyAlignment="1">
      <alignment horizontal="center"/>
    </xf>
    <xf numFmtId="0" fontId="31" fillId="0" borderId="18" xfId="59" applyFont="1" applyBorder="1"/>
    <xf numFmtId="0" fontId="31" fillId="0" borderId="0" xfId="59" applyFont="1" applyBorder="1"/>
    <xf numFmtId="43" fontId="34" fillId="0" borderId="0" xfId="58" applyFont="1" applyBorder="1"/>
    <xf numFmtId="43" fontId="34" fillId="0" borderId="0" xfId="58" applyFont="1" applyFill="1" applyBorder="1"/>
    <xf numFmtId="0" fontId="40" fillId="0" borderId="0" xfId="59" applyFont="1" applyFill="1" applyBorder="1"/>
    <xf numFmtId="4" fontId="34" fillId="0" borderId="0" xfId="58" applyNumberFormat="1" applyFont="1" applyBorder="1"/>
    <xf numFmtId="4" fontId="34" fillId="0" borderId="0" xfId="58" applyNumberFormat="1" applyFont="1" applyFill="1" applyBorder="1"/>
    <xf numFmtId="0" fontId="40" fillId="0" borderId="0" xfId="59" applyFont="1" applyBorder="1" applyAlignment="1">
      <alignment horizontal="left"/>
    </xf>
    <xf numFmtId="4" fontId="28" fillId="0" borderId="0" xfId="58" applyNumberFormat="1" applyFont="1" applyBorder="1"/>
    <xf numFmtId="4" fontId="28" fillId="0" borderId="0" xfId="58" applyNumberFormat="1" applyFont="1" applyFill="1" applyBorder="1"/>
    <xf numFmtId="0" fontId="31" fillId="0" borderId="0" xfId="59" applyFont="1" applyBorder="1" applyAlignment="1">
      <alignment horizontal="left"/>
    </xf>
    <xf numFmtId="4" fontId="40" fillId="0" borderId="0" xfId="58" applyNumberFormat="1" applyFont="1" applyFill="1" applyBorder="1"/>
    <xf numFmtId="0" fontId="40" fillId="0" borderId="20" xfId="59" applyFont="1" applyBorder="1"/>
    <xf numFmtId="0" fontId="40" fillId="0" borderId="21" xfId="59" applyFont="1" applyBorder="1"/>
    <xf numFmtId="4" fontId="40" fillId="0" borderId="21" xfId="59" applyNumberFormat="1" applyFont="1" applyFill="1" applyBorder="1"/>
    <xf numFmtId="0" fontId="41" fillId="0" borderId="0" xfId="0" quotePrefix="1" applyNumberFormat="1" applyFont="1" applyAlignment="1"/>
    <xf numFmtId="0" fontId="41" fillId="0" borderId="0" xfId="0" quotePrefix="1" applyFont="1" applyAlignment="1"/>
    <xf numFmtId="4" fontId="41" fillId="0" borderId="0" xfId="0" quotePrefix="1" applyNumberFormat="1" applyFont="1" applyAlignment="1"/>
    <xf numFmtId="0" fontId="41" fillId="26" borderId="0" xfId="0" applyFont="1" applyFill="1"/>
    <xf numFmtId="0" fontId="41" fillId="0" borderId="0" xfId="0" applyFont="1"/>
    <xf numFmtId="0" fontId="42" fillId="0" borderId="0" xfId="0" applyFont="1"/>
    <xf numFmtId="0" fontId="30" fillId="26" borderId="23" xfId="57" applyFont="1" applyFill="1" applyBorder="1" applyAlignment="1">
      <alignment horizontal="center" vertical="center"/>
    </xf>
    <xf numFmtId="0" fontId="30" fillId="26" borderId="24" xfId="57" applyFont="1" applyFill="1" applyBorder="1" applyAlignment="1">
      <alignment horizontal="center" vertical="center" wrapText="1"/>
    </xf>
    <xf numFmtId="0" fontId="30" fillId="26" borderId="25" xfId="60" applyFont="1" applyFill="1" applyBorder="1" applyAlignment="1">
      <alignment horizontal="center" vertical="center" wrapText="1"/>
    </xf>
    <xf numFmtId="0" fontId="42" fillId="0" borderId="26" xfId="0" applyFont="1" applyBorder="1"/>
    <xf numFmtId="0" fontId="42" fillId="0" borderId="27" xfId="0" applyFont="1" applyBorder="1"/>
    <xf numFmtId="0" fontId="42" fillId="0" borderId="28" xfId="0" applyFont="1" applyBorder="1"/>
    <xf numFmtId="0" fontId="30" fillId="0" borderId="29" xfId="61" applyFont="1" applyBorder="1" applyAlignment="1">
      <alignment wrapText="1"/>
    </xf>
    <xf numFmtId="43" fontId="43" fillId="0" borderId="30" xfId="58" applyFont="1" applyBorder="1"/>
    <xf numFmtId="43" fontId="43" fillId="0" borderId="30" xfId="58" applyFont="1" applyFill="1" applyBorder="1"/>
    <xf numFmtId="43" fontId="30" fillId="0" borderId="31" xfId="58" applyFont="1" applyBorder="1"/>
    <xf numFmtId="0" fontId="30" fillId="0" borderId="26" xfId="61" applyFont="1" applyBorder="1"/>
    <xf numFmtId="4" fontId="30" fillId="0" borderId="27" xfId="58" applyNumberFormat="1" applyFont="1" applyBorder="1" applyAlignment="1">
      <alignment vertical="center"/>
    </xf>
    <xf numFmtId="43" fontId="30" fillId="0" borderId="31" xfId="58" applyFont="1" applyFill="1" applyBorder="1" applyAlignment="1"/>
    <xf numFmtId="0" fontId="43" fillId="0" borderId="26" xfId="61" applyFont="1" applyBorder="1" applyAlignment="1">
      <alignment wrapText="1"/>
    </xf>
    <xf numFmtId="4" fontId="43" fillId="0" borderId="27" xfId="58" applyNumberFormat="1" applyFont="1" applyBorder="1" applyAlignment="1">
      <alignment vertical="center"/>
    </xf>
    <xf numFmtId="4" fontId="43" fillId="0" borderId="27" xfId="58" applyNumberFormat="1" applyFont="1" applyFill="1" applyBorder="1" applyAlignment="1">
      <alignment vertical="center"/>
    </xf>
    <xf numFmtId="43" fontId="43" fillId="0" borderId="31" xfId="58" applyFont="1" applyFill="1" applyBorder="1" applyAlignment="1"/>
    <xf numFmtId="0" fontId="43" fillId="0" borderId="26" xfId="61" applyFont="1" applyBorder="1"/>
    <xf numFmtId="4" fontId="30" fillId="0" borderId="27" xfId="58" applyNumberFormat="1" applyFont="1" applyFill="1" applyBorder="1" applyAlignment="1">
      <alignment vertical="center"/>
    </xf>
    <xf numFmtId="0" fontId="30" fillId="0" borderId="26" xfId="61" applyFont="1" applyBorder="1" applyAlignment="1">
      <alignment wrapText="1"/>
    </xf>
    <xf numFmtId="4" fontId="30" fillId="0" borderId="31" xfId="58" applyNumberFormat="1" applyFont="1" applyBorder="1" applyAlignment="1">
      <alignment vertical="center"/>
    </xf>
    <xf numFmtId="0" fontId="43" fillId="0" borderId="26" xfId="61" applyFont="1" applyFill="1" applyBorder="1" applyAlignment="1"/>
    <xf numFmtId="4" fontId="42" fillId="0" borderId="27" xfId="0" applyNumberFormat="1" applyFont="1" applyFill="1" applyBorder="1" applyAlignment="1">
      <alignment vertical="center"/>
    </xf>
    <xf numFmtId="4" fontId="43" fillId="0" borderId="31" xfId="58" applyNumberFormat="1" applyFont="1" applyBorder="1" applyAlignment="1">
      <alignment vertical="center"/>
    </xf>
    <xf numFmtId="0" fontId="44" fillId="0" borderId="26" xfId="61" applyFont="1" applyBorder="1" applyAlignment="1">
      <alignment wrapText="1"/>
    </xf>
    <xf numFmtId="0" fontId="30" fillId="0" borderId="23" xfId="61" applyFont="1" applyBorder="1" applyAlignment="1">
      <alignment wrapText="1"/>
    </xf>
    <xf numFmtId="43" fontId="30" fillId="0" borderId="24" xfId="58" applyFont="1" applyBorder="1" applyAlignment="1"/>
    <xf numFmtId="43" fontId="30" fillId="0" borderId="25" xfId="58" applyFont="1" applyBorder="1" applyAlignment="1"/>
    <xf numFmtId="4" fontId="43" fillId="0" borderId="27" xfId="58" applyNumberFormat="1" applyFont="1" applyBorder="1" applyAlignment="1">
      <alignment horizontal="right" vertical="center"/>
    </xf>
    <xf numFmtId="4" fontId="43" fillId="0" borderId="27" xfId="58" applyNumberFormat="1" applyFont="1" applyFill="1" applyBorder="1" applyAlignment="1">
      <alignment horizontal="right" vertical="center"/>
    </xf>
    <xf numFmtId="4" fontId="43" fillId="0" borderId="31" xfId="58" applyNumberFormat="1" applyFont="1" applyBorder="1" applyAlignment="1">
      <alignment horizontal="right" vertical="center"/>
    </xf>
    <xf numFmtId="4" fontId="30" fillId="0" borderId="27" xfId="58" applyNumberFormat="1" applyFont="1" applyBorder="1" applyAlignment="1">
      <alignment horizontal="right" vertical="center"/>
    </xf>
    <xf numFmtId="4" fontId="30" fillId="0" borderId="31" xfId="58" applyNumberFormat="1" applyFont="1" applyBorder="1" applyAlignment="1">
      <alignment horizontal="right" vertical="center"/>
    </xf>
    <xf numFmtId="4" fontId="42" fillId="0" borderId="27" xfId="58" applyNumberFormat="1" applyFont="1" applyFill="1" applyBorder="1" applyAlignment="1">
      <alignment horizontal="right" vertical="center"/>
    </xf>
    <xf numFmtId="0" fontId="43" fillId="0" borderId="26" xfId="61" applyFont="1" applyFill="1" applyBorder="1" applyAlignment="1">
      <alignment horizontal="left" indent="1"/>
    </xf>
    <xf numFmtId="0" fontId="44" fillId="0" borderId="26" xfId="61" applyFont="1" applyBorder="1"/>
    <xf numFmtId="4" fontId="30" fillId="0" borderId="27" xfId="58" applyNumberFormat="1" applyFont="1" applyFill="1" applyBorder="1" applyAlignment="1">
      <alignment horizontal="right" vertical="center"/>
    </xf>
    <xf numFmtId="4" fontId="42" fillId="0" borderId="27" xfId="0" applyNumberFormat="1" applyFont="1" applyFill="1" applyBorder="1" applyAlignment="1">
      <alignment horizontal="right" vertical="center"/>
    </xf>
    <xf numFmtId="43" fontId="42" fillId="0" borderId="0" xfId="58" applyFont="1"/>
    <xf numFmtId="0" fontId="30" fillId="0" borderId="23" xfId="61" applyFont="1" applyBorder="1"/>
    <xf numFmtId="4" fontId="30" fillId="0" borderId="24" xfId="58" applyNumberFormat="1" applyFont="1" applyBorder="1" applyAlignment="1">
      <alignment horizontal="right" vertical="center"/>
    </xf>
    <xf numFmtId="4" fontId="30" fillId="0" borderId="25" xfId="58" applyNumberFormat="1" applyFont="1" applyBorder="1" applyAlignment="1">
      <alignment horizontal="right" vertical="center"/>
    </xf>
    <xf numFmtId="4" fontId="42" fillId="0" borderId="0" xfId="0" applyNumberFormat="1" applyFont="1"/>
    <xf numFmtId="4" fontId="41" fillId="0" borderId="0" xfId="0" applyNumberFormat="1" applyFont="1"/>
    <xf numFmtId="0" fontId="42" fillId="27" borderId="32" xfId="0" applyFont="1" applyFill="1" applyBorder="1" applyAlignment="1">
      <alignment horizontal="center"/>
    </xf>
    <xf numFmtId="0" fontId="42" fillId="0" borderId="18" xfId="0" applyFont="1" applyBorder="1"/>
    <xf numFmtId="0" fontId="42" fillId="0" borderId="0" xfId="0" applyFont="1" applyBorder="1"/>
    <xf numFmtId="4" fontId="42" fillId="0" borderId="0" xfId="0" applyNumberFormat="1" applyFont="1" applyBorder="1"/>
    <xf numFmtId="0" fontId="42" fillId="0" borderId="19" xfId="0" applyFont="1" applyBorder="1"/>
    <xf numFmtId="0" fontId="42" fillId="0" borderId="32" xfId="0" applyFont="1" applyBorder="1"/>
    <xf numFmtId="4" fontId="30" fillId="0" borderId="0" xfId="0" applyNumberFormat="1" applyFont="1" applyBorder="1" applyAlignment="1">
      <alignment horizontal="right"/>
    </xf>
    <xf numFmtId="0" fontId="30" fillId="0" borderId="0" xfId="0" applyFont="1" applyBorder="1" applyAlignment="1">
      <alignment horizontal="right"/>
    </xf>
    <xf numFmtId="4" fontId="30" fillId="0" borderId="0" xfId="0" applyNumberFormat="1" applyFont="1" applyBorder="1" applyAlignment="1">
      <alignment horizontal="center"/>
    </xf>
    <xf numFmtId="0" fontId="30" fillId="0" borderId="0" xfId="0" applyFont="1" applyBorder="1" applyAlignment="1">
      <alignment horizontal="center"/>
    </xf>
    <xf numFmtId="0" fontId="30" fillId="0" borderId="18" xfId="0" applyFont="1" applyBorder="1"/>
    <xf numFmtId="0" fontId="42" fillId="0" borderId="0" xfId="0" applyFont="1" applyBorder="1" applyAlignment="1">
      <alignment wrapText="1"/>
    </xf>
    <xf numFmtId="4" fontId="45" fillId="0" borderId="0" xfId="0" applyNumberFormat="1" applyFont="1" applyFill="1" applyBorder="1"/>
    <xf numFmtId="4" fontId="45" fillId="26" borderId="0" xfId="0" applyNumberFormat="1" applyFont="1" applyFill="1" applyBorder="1"/>
    <xf numFmtId="0" fontId="30" fillId="0" borderId="0" xfId="0" applyFont="1" applyBorder="1"/>
    <xf numFmtId="0" fontId="46" fillId="0" borderId="18" xfId="0" applyFont="1" applyBorder="1"/>
    <xf numFmtId="0" fontId="47" fillId="0" borderId="0" xfId="0" applyFont="1" applyBorder="1" applyAlignment="1">
      <alignment wrapText="1"/>
    </xf>
    <xf numFmtId="4" fontId="48" fillId="0" borderId="0" xfId="0" applyNumberFormat="1" applyFont="1" applyFill="1" applyBorder="1"/>
    <xf numFmtId="4" fontId="48" fillId="26" borderId="0" xfId="0" applyNumberFormat="1" applyFont="1" applyFill="1" applyBorder="1"/>
    <xf numFmtId="0" fontId="47" fillId="0" borderId="19" xfId="0" applyFont="1" applyBorder="1"/>
    <xf numFmtId="0" fontId="47" fillId="0" borderId="0" xfId="0" applyFont="1" applyBorder="1"/>
    <xf numFmtId="0" fontId="45" fillId="0" borderId="0" xfId="0" applyFont="1" applyBorder="1"/>
    <xf numFmtId="4" fontId="42" fillId="0" borderId="0" xfId="0" applyNumberFormat="1" applyFont="1" applyFill="1" applyBorder="1"/>
    <xf numFmtId="4" fontId="42" fillId="26" borderId="0" xfId="0" applyNumberFormat="1" applyFont="1" applyFill="1" applyBorder="1"/>
    <xf numFmtId="43" fontId="42" fillId="0" borderId="0" xfId="58" applyFont="1" applyBorder="1"/>
    <xf numFmtId="0" fontId="45" fillId="0" borderId="0" xfId="0" applyFont="1" applyFill="1" applyBorder="1"/>
    <xf numFmtId="166" fontId="42" fillId="0" borderId="0" xfId="58" applyNumberFormat="1" applyFont="1" applyFill="1" applyBorder="1"/>
    <xf numFmtId="166" fontId="42" fillId="26" borderId="0" xfId="58" applyNumberFormat="1" applyFont="1" applyFill="1" applyBorder="1"/>
    <xf numFmtId="0" fontId="42" fillId="0" borderId="0" xfId="0" applyFont="1" applyFill="1" applyBorder="1"/>
    <xf numFmtId="0" fontId="45" fillId="0" borderId="0" xfId="57" applyFont="1" applyFill="1" applyBorder="1"/>
    <xf numFmtId="0" fontId="45" fillId="0" borderId="18" xfId="0" applyFont="1" applyBorder="1"/>
    <xf numFmtId="0" fontId="42" fillId="0" borderId="18" xfId="0" applyFont="1" applyFill="1" applyBorder="1"/>
    <xf numFmtId="0" fontId="42" fillId="0" borderId="0" xfId="0" applyFont="1" applyFill="1" applyBorder="1" applyAlignment="1">
      <alignment wrapText="1"/>
    </xf>
    <xf numFmtId="0" fontId="45" fillId="0" borderId="18" xfId="0" applyFont="1" applyBorder="1" applyAlignment="1"/>
    <xf numFmtId="4" fontId="45" fillId="0" borderId="0" xfId="0" applyNumberFormat="1" applyFont="1" applyBorder="1"/>
    <xf numFmtId="4" fontId="49" fillId="0" borderId="0" xfId="0" applyNumberFormat="1" applyFont="1" applyBorder="1"/>
    <xf numFmtId="0" fontId="42" fillId="0" borderId="20" xfId="0" applyFont="1" applyBorder="1"/>
    <xf numFmtId="0" fontId="42" fillId="0" borderId="21" xfId="0" applyFont="1" applyBorder="1"/>
    <xf numFmtId="0" fontId="42" fillId="0" borderId="22" xfId="0" applyFont="1" applyBorder="1"/>
    <xf numFmtId="0" fontId="50" fillId="0" borderId="0" xfId="0" quotePrefix="1" applyNumberFormat="1" applyFont="1" applyAlignment="1"/>
    <xf numFmtId="43" fontId="50" fillId="0" borderId="0" xfId="58" quotePrefix="1" applyFont="1" applyAlignment="1"/>
    <xf numFmtId="0" fontId="50" fillId="26" borderId="0" xfId="0" applyFont="1" applyFill="1"/>
    <xf numFmtId="0" fontId="50" fillId="0" borderId="0" xfId="0" applyFont="1"/>
    <xf numFmtId="0" fontId="51" fillId="0" borderId="0" xfId="0" applyFont="1"/>
    <xf numFmtId="0" fontId="50" fillId="0" borderId="15" xfId="59" quotePrefix="1" applyFont="1" applyBorder="1" applyAlignment="1"/>
    <xf numFmtId="0" fontId="40" fillId="0" borderId="16" xfId="59" applyFont="1" applyBorder="1" applyAlignment="1"/>
    <xf numFmtId="43" fontId="40" fillId="0" borderId="16" xfId="58" applyFont="1" applyBorder="1"/>
    <xf numFmtId="0" fontId="51" fillId="0" borderId="17" xfId="0" applyFont="1" applyBorder="1"/>
    <xf numFmtId="0" fontId="40" fillId="0" borderId="0" xfId="59" applyFont="1" applyBorder="1" applyAlignment="1"/>
    <xf numFmtId="0" fontId="32" fillId="0" borderId="0" xfId="58" applyNumberFormat="1" applyFont="1" applyBorder="1" applyAlignment="1">
      <alignment horizontal="center"/>
    </xf>
    <xf numFmtId="0" fontId="51" fillId="0" borderId="19" xfId="0" applyFont="1" applyBorder="1"/>
    <xf numFmtId="0" fontId="31" fillId="0" borderId="18" xfId="61" applyFont="1" applyBorder="1" applyAlignment="1"/>
    <xf numFmtId="0" fontId="35" fillId="0" borderId="0" xfId="61" applyFont="1" applyBorder="1" applyAlignment="1"/>
    <xf numFmtId="43" fontId="35" fillId="0" borderId="0" xfId="58" applyFont="1" applyBorder="1"/>
    <xf numFmtId="43" fontId="51" fillId="0" borderId="0" xfId="58" applyFont="1" applyBorder="1"/>
    <xf numFmtId="166" fontId="31" fillId="0" borderId="0" xfId="58" applyNumberFormat="1" applyFont="1" applyBorder="1"/>
    <xf numFmtId="0" fontId="40" fillId="0" borderId="18" xfId="61" applyFont="1" applyBorder="1" applyAlignment="1"/>
    <xf numFmtId="0" fontId="40" fillId="0" borderId="0" xfId="61" applyFont="1" applyBorder="1" applyAlignment="1"/>
    <xf numFmtId="166" fontId="40" fillId="0" borderId="0" xfId="58" applyNumberFormat="1" applyFont="1" applyFill="1" applyBorder="1"/>
    <xf numFmtId="0" fontId="40" fillId="0" borderId="18" xfId="61" applyFont="1" applyFill="1" applyBorder="1" applyAlignment="1"/>
    <xf numFmtId="0" fontId="40" fillId="0" borderId="0" xfId="61" applyFont="1" applyFill="1" applyBorder="1" applyAlignment="1"/>
    <xf numFmtId="0" fontId="40" fillId="0" borderId="18" xfId="61" applyFont="1" applyFill="1" applyBorder="1" applyAlignment="1">
      <alignment horizontal="left"/>
    </xf>
    <xf numFmtId="0" fontId="40" fillId="0" borderId="0" xfId="61" applyFont="1" applyFill="1" applyBorder="1" applyAlignment="1">
      <alignment horizontal="left"/>
    </xf>
    <xf numFmtId="0" fontId="31" fillId="0" borderId="18" xfId="61" applyFont="1" applyFill="1" applyBorder="1" applyAlignment="1"/>
    <xf numFmtId="0" fontId="31" fillId="0" borderId="0" xfId="61" applyFont="1" applyFill="1" applyBorder="1" applyAlignment="1"/>
    <xf numFmtId="166" fontId="31" fillId="0" borderId="0" xfId="58" applyNumberFormat="1" applyFont="1" applyFill="1" applyBorder="1"/>
    <xf numFmtId="166" fontId="40" fillId="0" borderId="0" xfId="58" applyNumberFormat="1" applyFont="1" applyFill="1" applyBorder="1" applyAlignment="1"/>
    <xf numFmtId="4" fontId="40" fillId="0" borderId="0" xfId="58" applyNumberFormat="1" applyFont="1" applyFill="1" applyBorder="1" applyAlignment="1"/>
    <xf numFmtId="0" fontId="31" fillId="0" borderId="18" xfId="61" applyFont="1" applyFill="1" applyBorder="1" applyAlignment="1">
      <alignment horizontal="left"/>
    </xf>
    <xf numFmtId="0" fontId="31" fillId="28" borderId="18" xfId="61" applyFont="1" applyFill="1" applyBorder="1" applyAlignment="1"/>
    <xf numFmtId="0" fontId="35" fillId="28" borderId="0" xfId="61" applyFont="1" applyFill="1" applyBorder="1" applyAlignment="1"/>
    <xf numFmtId="43" fontId="51" fillId="0" borderId="0" xfId="58" applyFont="1"/>
    <xf numFmtId="0" fontId="35" fillId="0" borderId="0" xfId="61" applyFont="1" applyFill="1" applyBorder="1" applyAlignment="1"/>
    <xf numFmtId="43" fontId="51" fillId="0" borderId="0" xfId="58" applyFont="1" applyFill="1"/>
    <xf numFmtId="43" fontId="40" fillId="0" borderId="0" xfId="58" applyFont="1" applyFill="1" applyBorder="1"/>
    <xf numFmtId="43" fontId="31" fillId="0" borderId="0" xfId="58" applyFont="1" applyBorder="1"/>
    <xf numFmtId="0" fontId="51" fillId="0" borderId="0" xfId="0" applyFont="1" applyFill="1" applyBorder="1" applyAlignment="1"/>
    <xf numFmtId="4" fontId="51" fillId="0" borderId="0" xfId="0" applyNumberFormat="1" applyFont="1" applyFill="1" applyBorder="1"/>
    <xf numFmtId="43" fontId="40" fillId="0" borderId="0" xfId="58" applyFont="1" applyFill="1" applyBorder="1" applyAlignment="1"/>
    <xf numFmtId="166" fontId="31" fillId="0" borderId="0" xfId="58" applyNumberFormat="1" applyFont="1" applyFill="1" applyBorder="1" applyAlignment="1"/>
    <xf numFmtId="0" fontId="40" fillId="0" borderId="20" xfId="61" applyFont="1" applyBorder="1" applyAlignment="1"/>
    <xf numFmtId="0" fontId="40" fillId="0" borderId="21" xfId="61" applyFont="1" applyBorder="1" applyAlignment="1"/>
    <xf numFmtId="43" fontId="40" fillId="0" borderId="21" xfId="58" applyFont="1" applyFill="1" applyBorder="1"/>
    <xf numFmtId="0" fontId="51" fillId="0" borderId="22" xfId="0" applyFont="1" applyBorder="1"/>
    <xf numFmtId="0" fontId="51" fillId="0" borderId="0" xfId="0" applyFont="1" applyAlignment="1"/>
    <xf numFmtId="0" fontId="51" fillId="0" borderId="0" xfId="0" applyFont="1" applyFill="1"/>
    <xf numFmtId="4" fontId="41" fillId="26" borderId="0" xfId="0" quotePrefix="1" applyNumberFormat="1" applyFont="1" applyFill="1" applyAlignment="1"/>
    <xf numFmtId="0" fontId="42" fillId="0" borderId="15" xfId="0" applyFont="1" applyBorder="1" applyAlignment="1"/>
    <xf numFmtId="0" fontId="42" fillId="0" borderId="16" xfId="0" applyFont="1" applyBorder="1" applyAlignment="1"/>
    <xf numFmtId="0" fontId="42" fillId="0" borderId="17" xfId="0" applyFont="1" applyBorder="1" applyAlignment="1"/>
    <xf numFmtId="0" fontId="30" fillId="27" borderId="18" xfId="0" applyFont="1" applyFill="1" applyBorder="1" applyAlignment="1"/>
    <xf numFmtId="0" fontId="30" fillId="27" borderId="0" xfId="0" applyFont="1" applyFill="1" applyBorder="1" applyAlignment="1"/>
    <xf numFmtId="0" fontId="30" fillId="27" borderId="19" xfId="0" applyFont="1" applyFill="1" applyBorder="1" applyAlignment="1"/>
    <xf numFmtId="0" fontId="30" fillId="27" borderId="20" xfId="0" applyFont="1" applyFill="1" applyBorder="1" applyAlignment="1"/>
    <xf numFmtId="0" fontId="30" fillId="27" borderId="21" xfId="0" applyFont="1" applyFill="1" applyBorder="1" applyAlignment="1"/>
    <xf numFmtId="0" fontId="30" fillId="27" borderId="22" xfId="0" applyFont="1" applyFill="1" applyBorder="1" applyAlignment="1"/>
    <xf numFmtId="0" fontId="30" fillId="29" borderId="33" xfId="57" applyFont="1" applyFill="1" applyBorder="1" applyAlignment="1">
      <alignment horizontal="center" vertical="center"/>
    </xf>
    <xf numFmtId="0" fontId="30" fillId="29" borderId="33" xfId="57" applyFont="1" applyFill="1" applyBorder="1" applyAlignment="1">
      <alignment horizontal="center" vertical="center" wrapText="1"/>
    </xf>
    <xf numFmtId="0" fontId="30" fillId="29" borderId="33" xfId="60" applyFont="1" applyFill="1" applyBorder="1" applyAlignment="1">
      <alignment horizontal="center" vertical="center" wrapText="1"/>
    </xf>
    <xf numFmtId="0" fontId="42" fillId="0" borderId="34" xfId="0" applyFont="1" applyBorder="1"/>
    <xf numFmtId="0" fontId="30" fillId="0" borderId="34" xfId="0" applyFont="1" applyBorder="1" applyAlignment="1">
      <alignment wrapText="1"/>
    </xf>
    <xf numFmtId="166" fontId="45" fillId="0" borderId="34" xfId="58" applyNumberFormat="1" applyFont="1" applyBorder="1"/>
    <xf numFmtId="166" fontId="45" fillId="0" borderId="34" xfId="58" applyNumberFormat="1" applyFont="1" applyFill="1" applyBorder="1"/>
    <xf numFmtId="0" fontId="42" fillId="0" borderId="34" xfId="0" applyFont="1" applyBorder="1" applyAlignment="1">
      <alignment wrapText="1"/>
    </xf>
    <xf numFmtId="166" fontId="42" fillId="0" borderId="34" xfId="58" applyNumberFormat="1" applyFont="1" applyFill="1" applyBorder="1"/>
    <xf numFmtId="166" fontId="42" fillId="26" borderId="34" xfId="58" applyNumberFormat="1" applyFont="1" applyFill="1" applyBorder="1"/>
    <xf numFmtId="166" fontId="42" fillId="0" borderId="34" xfId="58" applyNumberFormat="1" applyFont="1" applyBorder="1"/>
    <xf numFmtId="0" fontId="42" fillId="0" borderId="35" xfId="0" applyFont="1" applyBorder="1" applyAlignment="1">
      <alignment wrapText="1"/>
    </xf>
    <xf numFmtId="43" fontId="42" fillId="0" borderId="35" xfId="58" applyFont="1" applyFill="1" applyBorder="1"/>
    <xf numFmtId="43" fontId="42" fillId="0" borderId="35" xfId="58" applyFont="1" applyBorder="1"/>
    <xf numFmtId="0" fontId="42" fillId="0" borderId="0" xfId="0" applyFont="1" applyFill="1"/>
    <xf numFmtId="0" fontId="30" fillId="0" borderId="18" xfId="62" applyFont="1" applyBorder="1"/>
    <xf numFmtId="0" fontId="34" fillId="0" borderId="0" xfId="0" applyFont="1" applyBorder="1"/>
    <xf numFmtId="0" fontId="34" fillId="0" borderId="19" xfId="0" applyFont="1" applyBorder="1"/>
    <xf numFmtId="0" fontId="40" fillId="0" borderId="18" xfId="62" applyFont="1" applyBorder="1"/>
    <xf numFmtId="0" fontId="31" fillId="0" borderId="18" xfId="62" applyFont="1" applyBorder="1" applyAlignment="1">
      <alignment horizontal="left" indent="1"/>
    </xf>
    <xf numFmtId="0" fontId="31" fillId="0" borderId="37" xfId="62" applyFont="1" applyBorder="1" applyAlignment="1">
      <alignment horizontal="left" indent="1"/>
    </xf>
    <xf numFmtId="0" fontId="28" fillId="0" borderId="37" xfId="0" applyFont="1" applyBorder="1"/>
    <xf numFmtId="0" fontId="34" fillId="0" borderId="37" xfId="0" applyFont="1" applyBorder="1"/>
    <xf numFmtId="43" fontId="28" fillId="0" borderId="0" xfId="58" applyFont="1" applyBorder="1"/>
    <xf numFmtId="0" fontId="40" fillId="0" borderId="18" xfId="62" applyFont="1" applyBorder="1" applyAlignment="1">
      <alignment horizontal="left" indent="1"/>
    </xf>
    <xf numFmtId="0" fontId="40" fillId="0" borderId="0" xfId="62" applyFont="1" applyBorder="1" applyAlignment="1">
      <alignment horizontal="left" indent="1"/>
    </xf>
    <xf numFmtId="166" fontId="28" fillId="0" borderId="0" xfId="58" applyNumberFormat="1" applyFont="1" applyBorder="1"/>
    <xf numFmtId="0" fontId="40" fillId="0" borderId="0" xfId="62" applyFont="1" applyBorder="1" applyAlignment="1">
      <alignment horizontal="left" indent="2"/>
    </xf>
    <xf numFmtId="0" fontId="40" fillId="0" borderId="0" xfId="62" applyFont="1" applyBorder="1" applyAlignment="1">
      <alignment horizontal="left" wrapText="1" indent="2"/>
    </xf>
    <xf numFmtId="0" fontId="31" fillId="26" borderId="0" xfId="62" applyFont="1" applyFill="1" applyBorder="1" applyAlignment="1">
      <alignment horizontal="left" indent="1"/>
    </xf>
    <xf numFmtId="0" fontId="28" fillId="26" borderId="0" xfId="0" applyFont="1" applyFill="1" applyBorder="1"/>
    <xf numFmtId="166" fontId="34" fillId="26" borderId="0" xfId="58" applyNumberFormat="1" applyFont="1" applyFill="1" applyBorder="1"/>
    <xf numFmtId="43" fontId="34" fillId="0" borderId="37" xfId="58" applyFont="1" applyBorder="1"/>
    <xf numFmtId="166" fontId="28" fillId="26" borderId="0" xfId="58" applyNumberFormat="1" applyFont="1" applyFill="1" applyBorder="1"/>
    <xf numFmtId="0" fontId="31" fillId="0" borderId="18" xfId="62" applyFont="1" applyBorder="1"/>
    <xf numFmtId="166" fontId="34" fillId="0" borderId="0" xfId="58" applyNumberFormat="1" applyFont="1" applyBorder="1"/>
    <xf numFmtId="43" fontId="28" fillId="0" borderId="21" xfId="58" applyFont="1" applyBorder="1"/>
    <xf numFmtId="0" fontId="28" fillId="26" borderId="0" xfId="0" applyFont="1" applyFill="1"/>
    <xf numFmtId="0" fontId="28" fillId="26" borderId="0" xfId="0" applyFont="1" applyFill="1" applyAlignment="1"/>
    <xf numFmtId="0" fontId="31" fillId="26" borderId="15" xfId="0" applyFont="1" applyFill="1" applyBorder="1" applyAlignment="1">
      <alignment horizontal="center"/>
    </xf>
    <xf numFmtId="0" fontId="31" fillId="26" borderId="16" xfId="0" applyFont="1" applyFill="1" applyBorder="1" applyAlignment="1">
      <alignment horizontal="center"/>
    </xf>
    <xf numFmtId="0" fontId="31" fillId="26" borderId="17" xfId="0" applyFont="1" applyFill="1" applyBorder="1" applyAlignment="1">
      <alignment horizontal="center"/>
    </xf>
    <xf numFmtId="0" fontId="40" fillId="26" borderId="20" xfId="59" applyFont="1" applyFill="1" applyBorder="1" applyAlignment="1"/>
    <xf numFmtId="0" fontId="40" fillId="26" borderId="21" xfId="59" applyFont="1" applyFill="1" applyBorder="1" applyAlignment="1"/>
    <xf numFmtId="0" fontId="40" fillId="26" borderId="22" xfId="59" applyFont="1" applyFill="1" applyBorder="1" applyAlignment="1"/>
    <xf numFmtId="0" fontId="31" fillId="27" borderId="13" xfId="0" applyFont="1" applyFill="1" applyBorder="1" applyAlignment="1">
      <alignment horizontal="center"/>
    </xf>
    <xf numFmtId="0" fontId="31" fillId="27" borderId="0" xfId="0" applyFont="1" applyFill="1" applyBorder="1" applyAlignment="1">
      <alignment horizontal="center"/>
    </xf>
    <xf numFmtId="0" fontId="31" fillId="27" borderId="14" xfId="0" applyFont="1" applyFill="1" applyBorder="1" applyAlignment="1">
      <alignment horizontal="center"/>
    </xf>
    <xf numFmtId="0" fontId="27" fillId="26" borderId="15" xfId="0" applyFont="1" applyFill="1" applyBorder="1" applyAlignment="1">
      <alignment horizontal="center"/>
    </xf>
    <xf numFmtId="0" fontId="28" fillId="26" borderId="16" xfId="0" applyFont="1" applyFill="1" applyBorder="1" applyAlignment="1">
      <alignment horizontal="center"/>
    </xf>
    <xf numFmtId="0" fontId="28" fillId="26" borderId="17" xfId="0" applyFont="1" applyFill="1" applyBorder="1" applyAlignment="1">
      <alignment horizontal="center"/>
    </xf>
    <xf numFmtId="0" fontId="29" fillId="26" borderId="18" xfId="0" applyFont="1" applyFill="1" applyBorder="1" applyAlignment="1">
      <alignment horizontal="center"/>
    </xf>
    <xf numFmtId="0" fontId="29" fillId="26" borderId="0" xfId="0" applyFont="1" applyFill="1" applyBorder="1" applyAlignment="1">
      <alignment horizontal="center"/>
    </xf>
    <xf numFmtId="0" fontId="29" fillId="26" borderId="19" xfId="0" applyFont="1" applyFill="1" applyBorder="1" applyAlignment="1">
      <alignment horizontal="center"/>
    </xf>
    <xf numFmtId="0" fontId="30" fillId="26" borderId="18" xfId="0" applyFont="1" applyFill="1" applyBorder="1" applyAlignment="1">
      <alignment horizontal="center"/>
    </xf>
    <xf numFmtId="0" fontId="30" fillId="26" borderId="0" xfId="0" applyFont="1" applyFill="1" applyBorder="1" applyAlignment="1">
      <alignment horizontal="center"/>
    </xf>
    <xf numFmtId="0" fontId="30" fillId="26" borderId="19" xfId="0" applyFont="1" applyFill="1" applyBorder="1" applyAlignment="1">
      <alignment horizontal="center"/>
    </xf>
    <xf numFmtId="0" fontId="30" fillId="26" borderId="20" xfId="0" applyFont="1" applyFill="1" applyBorder="1" applyAlignment="1">
      <alignment horizontal="center" vertical="center"/>
    </xf>
    <xf numFmtId="0" fontId="30" fillId="26" borderId="21" xfId="0" applyFont="1" applyFill="1" applyBorder="1" applyAlignment="1">
      <alignment horizontal="center" vertical="center"/>
    </xf>
    <xf numFmtId="0" fontId="30" fillId="26" borderId="22" xfId="0" applyFont="1" applyFill="1" applyBorder="1" applyAlignment="1">
      <alignment horizontal="center" vertical="center"/>
    </xf>
    <xf numFmtId="0" fontId="30" fillId="27" borderId="13" xfId="0" applyFont="1" applyFill="1" applyBorder="1" applyAlignment="1">
      <alignment horizontal="center"/>
    </xf>
    <xf numFmtId="0" fontId="30" fillId="27" borderId="0" xfId="0" applyFont="1" applyFill="1" applyBorder="1" applyAlignment="1">
      <alignment horizontal="center"/>
    </xf>
    <xf numFmtId="0" fontId="30" fillId="27" borderId="14" xfId="0" applyFont="1" applyFill="1" applyBorder="1" applyAlignment="1">
      <alignment horizontal="center"/>
    </xf>
    <xf numFmtId="0" fontId="31" fillId="26" borderId="20" xfId="0" applyFont="1" applyFill="1" applyBorder="1" applyAlignment="1">
      <alignment horizontal="center"/>
    </xf>
    <xf numFmtId="0" fontId="31" fillId="26" borderId="21" xfId="0" applyFont="1" applyFill="1" applyBorder="1" applyAlignment="1">
      <alignment horizontal="center"/>
    </xf>
    <xf numFmtId="0" fontId="31" fillId="26" borderId="22" xfId="0" applyFont="1" applyFill="1" applyBorder="1" applyAlignment="1">
      <alignment horizontal="center"/>
    </xf>
    <xf numFmtId="0" fontId="27" fillId="26" borderId="16" xfId="0" applyFont="1" applyFill="1" applyBorder="1" applyAlignment="1">
      <alignment horizontal="center"/>
    </xf>
    <xf numFmtId="0" fontId="27" fillId="26" borderId="17" xfId="0" applyFont="1" applyFill="1" applyBorder="1" applyAlignment="1">
      <alignment horizontal="center"/>
    </xf>
    <xf numFmtId="0" fontId="30" fillId="26" borderId="18" xfId="0" applyFont="1" applyFill="1" applyBorder="1" applyAlignment="1">
      <alignment horizontal="center" vertical="center"/>
    </xf>
    <xf numFmtId="0" fontId="30" fillId="26" borderId="0" xfId="0" applyFont="1" applyFill="1" applyBorder="1" applyAlignment="1">
      <alignment horizontal="center" vertical="center"/>
    </xf>
    <xf numFmtId="0" fontId="30" fillId="26" borderId="19" xfId="0" applyFont="1" applyFill="1" applyBorder="1" applyAlignment="1">
      <alignment horizontal="center" vertical="center"/>
    </xf>
    <xf numFmtId="0" fontId="30" fillId="26" borderId="20" xfId="0" applyFont="1" applyFill="1" applyBorder="1" applyAlignment="1">
      <alignment horizontal="center"/>
    </xf>
    <xf numFmtId="0" fontId="30" fillId="26" borderId="21" xfId="0" applyFont="1" applyFill="1" applyBorder="1" applyAlignment="1">
      <alignment horizontal="center"/>
    </xf>
    <xf numFmtId="0" fontId="30" fillId="26" borderId="22" xfId="0" applyFont="1" applyFill="1" applyBorder="1" applyAlignment="1">
      <alignment horizontal="center"/>
    </xf>
    <xf numFmtId="0" fontId="30" fillId="26" borderId="15" xfId="0" applyFont="1" applyFill="1" applyBorder="1" applyAlignment="1">
      <alignment horizontal="center"/>
    </xf>
    <xf numFmtId="0" fontId="30" fillId="26" borderId="16" xfId="0" applyFont="1" applyFill="1" applyBorder="1" applyAlignment="1">
      <alignment horizontal="center"/>
    </xf>
    <xf numFmtId="0" fontId="30" fillId="26" borderId="17" xfId="0" applyFont="1" applyFill="1" applyBorder="1" applyAlignment="1">
      <alignment horizontal="center"/>
    </xf>
    <xf numFmtId="0" fontId="30" fillId="27" borderId="20" xfId="0" applyFont="1" applyFill="1" applyBorder="1" applyAlignment="1">
      <alignment horizontal="center"/>
    </xf>
    <xf numFmtId="0" fontId="30" fillId="27" borderId="21" xfId="0" applyFont="1" applyFill="1" applyBorder="1" applyAlignment="1">
      <alignment horizontal="center"/>
    </xf>
    <xf numFmtId="0" fontId="30" fillId="27" borderId="22" xfId="0" applyFont="1" applyFill="1" applyBorder="1" applyAlignment="1">
      <alignment horizontal="center"/>
    </xf>
    <xf numFmtId="0" fontId="30" fillId="27" borderId="15" xfId="0" applyFont="1" applyFill="1" applyBorder="1" applyAlignment="1">
      <alignment horizontal="center"/>
    </xf>
    <xf numFmtId="0" fontId="30" fillId="27" borderId="16" xfId="0" applyFont="1" applyFill="1" applyBorder="1" applyAlignment="1">
      <alignment horizontal="center"/>
    </xf>
    <xf numFmtId="0" fontId="30" fillId="27" borderId="17" xfId="0" applyFont="1" applyFill="1" applyBorder="1" applyAlignment="1">
      <alignment horizontal="center"/>
    </xf>
    <xf numFmtId="0" fontId="30" fillId="27" borderId="18" xfId="0" applyFont="1" applyFill="1" applyBorder="1" applyAlignment="1">
      <alignment horizontal="center"/>
    </xf>
    <xf numFmtId="0" fontId="30" fillId="27" borderId="19" xfId="0" applyFont="1" applyFill="1" applyBorder="1" applyAlignment="1">
      <alignment horizontal="center"/>
    </xf>
    <xf numFmtId="0" fontId="51" fillId="26" borderId="21" xfId="0" applyFont="1" applyFill="1" applyBorder="1" applyAlignment="1">
      <alignment horizontal="center"/>
    </xf>
    <xf numFmtId="0" fontId="51" fillId="26" borderId="22" xfId="0" applyFont="1" applyFill="1" applyBorder="1" applyAlignment="1">
      <alignment horizontal="center"/>
    </xf>
    <xf numFmtId="0" fontId="31" fillId="26" borderId="15" xfId="0" applyFont="1" applyFill="1" applyBorder="1" applyAlignment="1">
      <alignment horizontal="center"/>
    </xf>
    <xf numFmtId="0" fontId="51" fillId="26" borderId="16" xfId="0" applyFont="1" applyFill="1" applyBorder="1" applyAlignment="1">
      <alignment horizontal="center"/>
    </xf>
    <xf numFmtId="0" fontId="51" fillId="26" borderId="17" xfId="0" applyFont="1" applyFill="1" applyBorder="1" applyAlignment="1">
      <alignment horizontal="center"/>
    </xf>
    <xf numFmtId="0" fontId="31" fillId="26" borderId="18" xfId="0" applyFont="1" applyFill="1" applyBorder="1" applyAlignment="1">
      <alignment horizontal="center"/>
    </xf>
    <xf numFmtId="0" fontId="31" fillId="26" borderId="0" xfId="0" applyFont="1" applyFill="1" applyBorder="1" applyAlignment="1">
      <alignment horizontal="center"/>
    </xf>
    <xf numFmtId="0" fontId="31" fillId="26" borderId="19" xfId="0" applyFont="1" applyFill="1" applyBorder="1" applyAlignment="1">
      <alignment horizontal="center"/>
    </xf>
    <xf numFmtId="0" fontId="31" fillId="26" borderId="18" xfId="0" applyFont="1" applyFill="1" applyBorder="1" applyAlignment="1">
      <alignment horizontal="center" vertical="center"/>
    </xf>
    <xf numFmtId="0" fontId="31" fillId="26" borderId="0" xfId="0" applyFont="1" applyFill="1" applyBorder="1" applyAlignment="1">
      <alignment horizontal="center" vertical="center"/>
    </xf>
    <xf numFmtId="0" fontId="31" fillId="26" borderId="19" xfId="0" applyFont="1" applyFill="1" applyBorder="1" applyAlignment="1">
      <alignment horizontal="center" vertical="center"/>
    </xf>
    <xf numFmtId="0" fontId="27" fillId="27" borderId="18" xfId="0" applyFont="1" applyFill="1" applyBorder="1" applyAlignment="1">
      <alignment horizontal="center"/>
    </xf>
    <xf numFmtId="0" fontId="27" fillId="27" borderId="0" xfId="0" applyFont="1" applyFill="1" applyBorder="1" applyAlignment="1">
      <alignment horizontal="center"/>
    </xf>
    <xf numFmtId="0" fontId="27" fillId="27" borderId="19" xfId="0" applyFont="1" applyFill="1" applyBorder="1" applyAlignment="1">
      <alignment horizontal="center"/>
    </xf>
    <xf numFmtId="0" fontId="29" fillId="27" borderId="18" xfId="0" applyFont="1" applyFill="1" applyBorder="1" applyAlignment="1">
      <alignment horizontal="center"/>
    </xf>
    <xf numFmtId="0" fontId="29" fillId="27" borderId="0" xfId="0" applyFont="1" applyFill="1" applyBorder="1" applyAlignment="1">
      <alignment horizontal="center"/>
    </xf>
    <xf numFmtId="0" fontId="29" fillId="27" borderId="19" xfId="0" applyFont="1" applyFill="1" applyBorder="1" applyAlignment="1">
      <alignment horizontal="center"/>
    </xf>
    <xf numFmtId="0" fontId="31" fillId="0" borderId="15" xfId="57" applyFont="1" applyFill="1" applyBorder="1" applyAlignment="1">
      <alignment horizontal="center" vertical="center" wrapText="1"/>
    </xf>
    <xf numFmtId="0" fontId="31" fillId="0" borderId="16" xfId="57" applyFont="1" applyFill="1" applyBorder="1" applyAlignment="1">
      <alignment horizontal="center" vertical="center" wrapText="1"/>
    </xf>
    <xf numFmtId="0" fontId="31" fillId="0" borderId="17" xfId="57" applyFont="1" applyFill="1" applyBorder="1" applyAlignment="1">
      <alignment horizontal="center" vertical="center" wrapText="1"/>
    </xf>
    <xf numFmtId="0" fontId="31" fillId="0" borderId="20" xfId="57" applyFont="1" applyFill="1" applyBorder="1" applyAlignment="1">
      <alignment horizontal="center" vertical="center" wrapText="1"/>
    </xf>
    <xf numFmtId="0" fontId="31" fillId="0" borderId="21" xfId="57" applyFont="1" applyFill="1" applyBorder="1" applyAlignment="1">
      <alignment horizontal="center" vertical="center" wrapText="1"/>
    </xf>
    <xf numFmtId="0" fontId="31" fillId="0" borderId="22" xfId="57" applyFont="1" applyFill="1" applyBorder="1" applyAlignment="1">
      <alignment horizontal="center" vertical="center" wrapText="1"/>
    </xf>
    <xf numFmtId="0" fontId="31" fillId="0" borderId="36" xfId="57" applyFont="1" applyFill="1" applyBorder="1" applyAlignment="1">
      <alignment horizontal="center" vertical="center" wrapText="1"/>
    </xf>
    <xf numFmtId="0" fontId="31" fillId="0" borderId="35" xfId="57" applyFont="1" applyFill="1" applyBorder="1" applyAlignment="1">
      <alignment horizontal="center" vertical="center" wrapText="1"/>
    </xf>
    <xf numFmtId="0" fontId="27" fillId="0" borderId="15" xfId="0" applyFont="1" applyFill="1" applyBorder="1" applyAlignment="1">
      <alignment horizontal="center"/>
    </xf>
    <xf numFmtId="0" fontId="27" fillId="0" borderId="16" xfId="0" applyFont="1" applyFill="1" applyBorder="1" applyAlignment="1">
      <alignment horizontal="center"/>
    </xf>
    <xf numFmtId="0" fontId="27" fillId="0" borderId="17" xfId="0" applyFont="1" applyFill="1" applyBorder="1" applyAlignment="1">
      <alignment horizontal="center"/>
    </xf>
    <xf numFmtId="0" fontId="29" fillId="0" borderId="18" xfId="0" applyFont="1" applyFill="1" applyBorder="1" applyAlignment="1">
      <alignment horizontal="center"/>
    </xf>
    <xf numFmtId="0" fontId="29" fillId="0" borderId="0" xfId="0" applyFont="1" applyFill="1" applyBorder="1" applyAlignment="1">
      <alignment horizontal="center"/>
    </xf>
    <xf numFmtId="0" fontId="29" fillId="0" borderId="19" xfId="0" applyFont="1" applyFill="1" applyBorder="1" applyAlignment="1">
      <alignment horizontal="center"/>
    </xf>
    <xf numFmtId="0" fontId="30" fillId="0" borderId="18" xfId="0" applyFont="1" applyFill="1" applyBorder="1" applyAlignment="1">
      <alignment horizontal="center"/>
    </xf>
    <xf numFmtId="0" fontId="30" fillId="0" borderId="0" xfId="0" applyFont="1" applyFill="1" applyBorder="1" applyAlignment="1">
      <alignment horizontal="center"/>
    </xf>
    <xf numFmtId="0" fontId="30" fillId="0" borderId="19" xfId="0" applyFont="1" applyFill="1" applyBorder="1" applyAlignment="1">
      <alignment horizontal="center"/>
    </xf>
    <xf numFmtId="0" fontId="30" fillId="0" borderId="20"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22" xfId="0" applyFont="1" applyFill="1" applyBorder="1" applyAlignment="1">
      <alignment horizontal="center" vertical="center"/>
    </xf>
    <xf numFmtId="0" fontId="40" fillId="26" borderId="18" xfId="0" applyFont="1" applyFill="1" applyBorder="1" applyAlignment="1">
      <alignment vertical="center" wrapText="1"/>
    </xf>
    <xf numFmtId="0" fontId="40" fillId="26" borderId="0" xfId="0" applyFont="1" applyFill="1" applyBorder="1" applyAlignment="1">
      <alignment vertical="center" wrapText="1"/>
    </xf>
    <xf numFmtId="0" fontId="40" fillId="26" borderId="19" xfId="0" applyFont="1" applyFill="1" applyBorder="1" applyAlignment="1">
      <alignment vertical="center" wrapText="1"/>
    </xf>
    <xf numFmtId="0" fontId="40" fillId="26" borderId="18" xfId="0" applyFont="1" applyFill="1" applyBorder="1" applyAlignment="1">
      <alignment horizontal="left" wrapText="1"/>
    </xf>
    <xf numFmtId="0" fontId="40" fillId="26" borderId="0" xfId="0" applyFont="1" applyFill="1" applyBorder="1" applyAlignment="1">
      <alignment horizontal="left" wrapText="1"/>
    </xf>
    <xf numFmtId="0" fontId="40" fillId="26" borderId="19" xfId="0" applyFont="1" applyFill="1" applyBorder="1" applyAlignment="1">
      <alignment horizontal="left" wrapText="1"/>
    </xf>
  </cellXfs>
  <cellStyles count="63">
    <cellStyle name="Buena" xfId="5"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4" builtinId="19" customBuiltin="1"/>
    <cellStyle name="Entrada" xfId="8" builtinId="20" customBuiltin="1"/>
    <cellStyle name="Incorrecto" xfId="6" builtinId="27" customBuiltin="1"/>
    <cellStyle name="Millares" xfId="58" builtinId="3"/>
    <cellStyle name="Neutral" xfId="7" builtinId="28" customBuiltin="1"/>
    <cellStyle name="Normal" xfId="0" builtinId="0" customBuiltin="1"/>
    <cellStyle name="Normal 2" xfId="59"/>
    <cellStyle name="Normal 3" xfId="57"/>
    <cellStyle name="Normal 4" xfId="60"/>
    <cellStyle name="Normal 5" xfId="61"/>
    <cellStyle name="Normal 6" xfId="62"/>
    <cellStyle name="Notas" xfId="14" builtinId="10" customBuiltin="1"/>
    <cellStyle name="Salida" xfId="9" builtinId="21" customBuiltin="1"/>
    <cellStyle name="SAPBEXaggData" xfId="17"/>
    <cellStyle name="SAPBEXaggDataEmph" xfId="18"/>
    <cellStyle name="SAPBEXaggItem" xfId="19"/>
    <cellStyle name="SAPBEXaggItemX" xfId="20"/>
    <cellStyle name="SAPBEXchaText" xfId="21"/>
    <cellStyle name="SAPBEXexcBad7" xfId="22"/>
    <cellStyle name="SAPBEXexcBad8" xfId="23"/>
    <cellStyle name="SAPBEXexcBad9" xfId="24"/>
    <cellStyle name="SAPBEXexcCritical4" xfId="25"/>
    <cellStyle name="SAPBEXexcCritical5" xfId="26"/>
    <cellStyle name="SAPBEXexcCritical6" xfId="27"/>
    <cellStyle name="SAPBEXexcGood1" xfId="28"/>
    <cellStyle name="SAPBEXexcGood2" xfId="29"/>
    <cellStyle name="SAPBEXexcGood3" xfId="30"/>
    <cellStyle name="SAPBEXfilterDrill" xfId="31"/>
    <cellStyle name="SAPBEXfilterItem" xfId="32"/>
    <cellStyle name="SAPBEXfilterText" xfId="33"/>
    <cellStyle name="SAPBEXformats" xfId="34"/>
    <cellStyle name="SAPBEXheaderItem" xfId="35"/>
    <cellStyle name="SAPBEXheaderText" xfId="36"/>
    <cellStyle name="SAPBEXHLevel0" xfId="37"/>
    <cellStyle name="SAPBEXHLevel0X" xfId="38"/>
    <cellStyle name="SAPBEXHLevel1" xfId="39"/>
    <cellStyle name="SAPBEXHLevel1X" xfId="40"/>
    <cellStyle name="SAPBEXHLevel2" xfId="41"/>
    <cellStyle name="SAPBEXHLevel2X" xfId="42"/>
    <cellStyle name="SAPBEXHLevel3" xfId="43"/>
    <cellStyle name="SAPBEXHLevel3X" xfId="44"/>
    <cellStyle name="SAPBEXinputData" xfId="45"/>
    <cellStyle name="SAPBEXresData" xfId="46"/>
    <cellStyle name="SAPBEXresDataEmph" xfId="47"/>
    <cellStyle name="SAPBEXresItem" xfId="48"/>
    <cellStyle name="SAPBEXresItemX" xfId="49"/>
    <cellStyle name="SAPBEXstdData" xfId="50"/>
    <cellStyle name="SAPBEXstdDataEmph" xfId="51"/>
    <cellStyle name="SAPBEXstdItem" xfId="52"/>
    <cellStyle name="SAPBEXstdItemX" xfId="53"/>
    <cellStyle name="SAPBEXtitle" xfId="54"/>
    <cellStyle name="SAPBEXundefined" xfId="55"/>
    <cellStyle name="Sheet Title" xfId="56"/>
    <cellStyle name="Texto de advertencia" xfId="13" builtinId="11" customBuiltin="1"/>
    <cellStyle name="Texto explicativo" xfId="15" builtinId="53" customBuiltin="1"/>
    <cellStyle name="Título 2" xfId="2" builtinId="17" customBuiltin="1"/>
    <cellStyle name="Título 3" xfId="3" builtinId="18" customBuiltin="1"/>
    <cellStyle name="Total" xfId="16"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mruColors>
      <color rgb="FF2189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gif"/><Relationship Id="rId2" Type="http://schemas.openxmlformats.org/officeDocument/2006/relationships/image" Target="../media/image8.gif"/><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editAs="oneCell">
    <xdr:from>
      <xdr:col>0</xdr:col>
      <xdr:colOff>169333</xdr:colOff>
      <xdr:row>1</xdr:row>
      <xdr:rowOff>35195</xdr:rowOff>
    </xdr:from>
    <xdr:to>
      <xdr:col>1</xdr:col>
      <xdr:colOff>1195916</xdr:colOff>
      <xdr:row>4</xdr:row>
      <xdr:rowOff>571571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3" y="201883"/>
          <a:ext cx="1276614" cy="1262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47829</xdr:colOff>
      <xdr:row>1</xdr:row>
      <xdr:rowOff>36340</xdr:rowOff>
    </xdr:from>
    <xdr:to>
      <xdr:col>2</xdr:col>
      <xdr:colOff>669309</xdr:colOff>
      <xdr:row>4</xdr:row>
      <xdr:rowOff>571499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29" y="245890"/>
          <a:ext cx="1221555" cy="12209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64558</xdr:colOff>
      <xdr:row>1</xdr:row>
      <xdr:rowOff>45510</xdr:rowOff>
    </xdr:from>
    <xdr:to>
      <xdr:col>0</xdr:col>
      <xdr:colOff>619126</xdr:colOff>
      <xdr:row>4</xdr:row>
      <xdr:rowOff>54163</xdr:rowOff>
    </xdr:to>
    <xdr:pic>
      <xdr:nvPicPr>
        <xdr:cNvPr id="2" name="7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58" y="255060"/>
          <a:ext cx="554568" cy="6087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7309</xdr:rowOff>
    </xdr:from>
    <xdr:to>
      <xdr:col>1</xdr:col>
      <xdr:colOff>919159</xdr:colOff>
      <xdr:row>6</xdr:row>
      <xdr:rowOff>203206</xdr:rowOff>
    </xdr:to>
    <xdr:pic>
      <xdr:nvPicPr>
        <xdr:cNvPr id="2"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6859"/>
          <a:ext cx="1223959" cy="11960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84666</xdr:colOff>
      <xdr:row>1</xdr:row>
      <xdr:rowOff>74082</xdr:rowOff>
    </xdr:from>
    <xdr:to>
      <xdr:col>1</xdr:col>
      <xdr:colOff>847725</xdr:colOff>
      <xdr:row>6</xdr:row>
      <xdr:rowOff>57150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6" y="293157"/>
          <a:ext cx="1010709" cy="1030818"/>
        </a:xfrm>
        <a:prstGeom prst="rect">
          <a:avLst/>
        </a:prstGeom>
      </xdr:spPr>
    </xdr:pic>
    <xdr:clientData/>
  </xdr:twoCellAnchor>
  <xdr:twoCellAnchor>
    <xdr:from>
      <xdr:col>0</xdr:col>
      <xdr:colOff>0</xdr:colOff>
      <xdr:row>5</xdr:row>
      <xdr:rowOff>0</xdr:rowOff>
    </xdr:from>
    <xdr:to>
      <xdr:col>0</xdr:col>
      <xdr:colOff>234950</xdr:colOff>
      <xdr:row>7</xdr:row>
      <xdr:rowOff>177800</xdr:rowOff>
    </xdr:to>
    <xdr:pic macro="[1]!DesignIconClicked">
      <xdr:nvPicPr>
        <xdr:cNvPr id="3" name="BEx1WZP8PYPVHER0SKY5GI048XL5"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71600"/>
          <a:ext cx="234950" cy="177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73818</xdr:colOff>
      <xdr:row>1</xdr:row>
      <xdr:rowOff>28575</xdr:rowOff>
    </xdr:from>
    <xdr:to>
      <xdr:col>0</xdr:col>
      <xdr:colOff>1147736</xdr:colOff>
      <xdr:row>6</xdr:row>
      <xdr:rowOff>144633</xdr:rowOff>
    </xdr:to>
    <xdr:pic>
      <xdr:nvPicPr>
        <xdr:cNvPr id="2" name="7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 y="238125"/>
          <a:ext cx="1073918" cy="1201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31750</xdr:colOff>
      <xdr:row>2</xdr:row>
      <xdr:rowOff>21168</xdr:rowOff>
    </xdr:from>
    <xdr:to>
      <xdr:col>2</xdr:col>
      <xdr:colOff>295275</xdr:colOff>
      <xdr:row>5</xdr:row>
      <xdr:rowOff>135877</xdr:rowOff>
    </xdr:to>
    <xdr:pic>
      <xdr:nvPicPr>
        <xdr:cNvPr id="2" name="7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192618"/>
          <a:ext cx="720725" cy="800509"/>
        </a:xfrm>
        <a:prstGeom prst="rect">
          <a:avLst/>
        </a:prstGeom>
      </xdr:spPr>
    </xdr:pic>
    <xdr:clientData/>
  </xdr:twoCellAnchor>
  <xdr:twoCellAnchor>
    <xdr:from>
      <xdr:col>1</xdr:col>
      <xdr:colOff>0</xdr:colOff>
      <xdr:row>1</xdr:row>
      <xdr:rowOff>0</xdr:rowOff>
    </xdr:from>
    <xdr:to>
      <xdr:col>1</xdr:col>
      <xdr:colOff>196850</xdr:colOff>
      <xdr:row>1</xdr:row>
      <xdr:rowOff>1587</xdr:rowOff>
    </xdr:to>
    <xdr:pic macro="[2]!DesignIconClicked">
      <xdr:nvPicPr>
        <xdr:cNvPr id="3" name="BExEWBMTDQQ2M8UDDGTQ4NA548AX" descr="infofield_prev.gif" hidden="1"/>
        <xdr:cNvPicPr>
          <a:picLocks/>
        </xdr:cNvPicPr>
      </xdr:nvPicPr>
      <xdr:blipFill>
        <a:blip xmlns:r="http://schemas.openxmlformats.org/officeDocument/2006/relationships" r:embed="rId2"/>
        <a:stretch>
          <a:fillRect/>
        </a:stretch>
      </xdr:blipFill>
      <xdr:spPr>
        <a:xfrm>
          <a:off x="247650" y="0"/>
          <a:ext cx="196850" cy="1587"/>
        </a:xfrm>
        <a:prstGeom prst="rect">
          <a:avLst/>
        </a:prstGeom>
      </xdr:spPr>
    </xdr:pic>
    <xdr:clientData/>
  </xdr:twoCellAnchor>
  <xdr:twoCellAnchor>
    <xdr:from>
      <xdr:col>3</xdr:col>
      <xdr:colOff>0</xdr:colOff>
      <xdr:row>1</xdr:row>
      <xdr:rowOff>0</xdr:rowOff>
    </xdr:from>
    <xdr:to>
      <xdr:col>3</xdr:col>
      <xdr:colOff>1311275</xdr:colOff>
      <xdr:row>1</xdr:row>
      <xdr:rowOff>1587</xdr:rowOff>
    </xdr:to>
    <xdr:pic macro="[2]!DesignIconClicked">
      <xdr:nvPicPr>
        <xdr:cNvPr id="4" name="BEx1SDD5LP38CAGC8DJ9E1OIRQCU" descr="infofield_prev.gif" hidden="1"/>
        <xdr:cNvPicPr>
          <a:picLocks/>
        </xdr:cNvPicPr>
      </xdr:nvPicPr>
      <xdr:blipFill>
        <a:blip xmlns:r="http://schemas.openxmlformats.org/officeDocument/2006/relationships" r:embed="rId2" cstate="print"/>
        <a:stretch>
          <a:fillRect/>
        </a:stretch>
      </xdr:blipFill>
      <xdr:spPr>
        <a:xfrm>
          <a:off x="3267075" y="0"/>
          <a:ext cx="1311275" cy="1587"/>
        </a:xfrm>
        <a:prstGeom prst="rect">
          <a:avLst/>
        </a:prstGeom>
      </xdr:spPr>
    </xdr:pic>
    <xdr:clientData/>
  </xdr:twoCellAnchor>
  <xdr:twoCellAnchor>
    <xdr:from>
      <xdr:col>5</xdr:col>
      <xdr:colOff>0</xdr:colOff>
      <xdr:row>1</xdr:row>
      <xdr:rowOff>0</xdr:rowOff>
    </xdr:from>
    <xdr:to>
      <xdr:col>5</xdr:col>
      <xdr:colOff>2130425</xdr:colOff>
      <xdr:row>1</xdr:row>
      <xdr:rowOff>1587</xdr:rowOff>
    </xdr:to>
    <xdr:pic macro="[2]!DesignIconClicked">
      <xdr:nvPicPr>
        <xdr:cNvPr id="5" name="BExIT6494J6QPOBAY5KXPD6XMYD2" descr="infofield_prev.gif" hidden="1"/>
        <xdr:cNvPicPr>
          <a:picLocks/>
        </xdr:cNvPicPr>
      </xdr:nvPicPr>
      <xdr:blipFill>
        <a:blip xmlns:r="http://schemas.openxmlformats.org/officeDocument/2006/relationships" r:embed="rId2" cstate="print"/>
        <a:stretch>
          <a:fillRect/>
        </a:stretch>
      </xdr:blipFill>
      <xdr:spPr>
        <a:xfrm>
          <a:off x="5829300" y="0"/>
          <a:ext cx="1501775" cy="1587"/>
        </a:xfrm>
        <a:prstGeom prst="rect">
          <a:avLst/>
        </a:prstGeom>
      </xdr:spPr>
    </xdr:pic>
    <xdr:clientData/>
  </xdr:twoCellAnchor>
  <xdr:twoCellAnchor>
    <xdr:from>
      <xdr:col>2</xdr:col>
      <xdr:colOff>0</xdr:colOff>
      <xdr:row>1</xdr:row>
      <xdr:rowOff>0</xdr:rowOff>
    </xdr:from>
    <xdr:to>
      <xdr:col>2</xdr:col>
      <xdr:colOff>2797175</xdr:colOff>
      <xdr:row>1</xdr:row>
      <xdr:rowOff>1587</xdr:rowOff>
    </xdr:to>
    <xdr:pic macro="[2]!DesignIconClicked">
      <xdr:nvPicPr>
        <xdr:cNvPr id="6" name="BEx5K7A7AG8O9CSBA5MAVYOFVCI2" hidden="1"/>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0"/>
          <a:ext cx="2797175" cy="1587"/>
        </a:xfrm>
        <a:prstGeom prst="rect">
          <a:avLst/>
        </a:prstGeom>
      </xdr:spPr>
    </xdr:pic>
    <xdr:clientData/>
  </xdr:twoCellAnchor>
  <xdr:twoCellAnchor>
    <xdr:from>
      <xdr:col>0</xdr:col>
      <xdr:colOff>0</xdr:colOff>
      <xdr:row>1</xdr:row>
      <xdr:rowOff>0</xdr:rowOff>
    </xdr:from>
    <xdr:to>
      <xdr:col>0</xdr:col>
      <xdr:colOff>234950</xdr:colOff>
      <xdr:row>1</xdr:row>
      <xdr:rowOff>1587</xdr:rowOff>
    </xdr:to>
    <xdr:pic macro="[2]!DesignIconClicked">
      <xdr:nvPicPr>
        <xdr:cNvPr id="7" name="BEx3OCY523CMXS82QEU905BJNG7A" descr="infofield_prev.gif" hidden="1"/>
        <xdr:cNvPicPr>
          <a:picLocks/>
        </xdr:cNvPicPr>
      </xdr:nvPicPr>
      <xdr:blipFill>
        <a:blip xmlns:r="http://schemas.openxmlformats.org/officeDocument/2006/relationships" r:embed="rId2"/>
        <a:stretch>
          <a:fillRect/>
        </a:stretch>
      </xdr:blipFill>
      <xdr:spPr>
        <a:xfrm>
          <a:off x="0" y="0"/>
          <a:ext cx="234950" cy="15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107361</xdr:colOff>
      <xdr:row>2</xdr:row>
      <xdr:rowOff>24436</xdr:rowOff>
    </xdr:from>
    <xdr:to>
      <xdr:col>0</xdr:col>
      <xdr:colOff>840549</xdr:colOff>
      <xdr:row>5</xdr:row>
      <xdr:rowOff>133350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61" y="357811"/>
          <a:ext cx="733188" cy="794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1580356</xdr:colOff>
      <xdr:row>2738</xdr:row>
      <xdr:rowOff>63500</xdr:rowOff>
    </xdr:to>
    <xdr:pic macro="[1]!DesignIconClicked">
      <xdr:nvPicPr>
        <xdr:cNvPr id="2" name="BExMAOPL0WWSVVQLFXKZHRKTXQBD" descr="analysis_prev.gif" hidden="1"/>
        <xdr:cNvPicPr>
          <a:picLocks/>
        </xdr:cNvPicPr>
      </xdr:nvPicPr>
      <xdr:blipFill>
        <a:blip xmlns:r="http://schemas.openxmlformats.org/officeDocument/2006/relationships" r:embed="rId1" cstate="print"/>
        <a:stretch>
          <a:fillRect/>
        </a:stretch>
      </xdr:blipFill>
      <xdr:spPr>
        <a:xfrm>
          <a:off x="0" y="0"/>
          <a:ext cx="38287325" cy="45645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BexGetData"/>
      <definedName name="DesignIconClicked"/>
    </defined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showGridLines="0" tabSelected="1" zoomScale="80" zoomScaleNormal="80" workbookViewId="0">
      <selection activeCell="T28" sqref="T28"/>
    </sheetView>
  </sheetViews>
  <sheetFormatPr baseColWidth="10" defaultColWidth="9.140625" defaultRowHeight="12.75" x14ac:dyDescent="0.2"/>
  <cols>
    <col min="1" max="1" width="3.7109375" style="33" customWidth="1"/>
    <col min="2" max="2" width="54.85546875" style="33" customWidth="1"/>
    <col min="3" max="3" width="17.42578125" style="33" bestFit="1" customWidth="1"/>
    <col min="4" max="4" width="17.42578125" style="81" bestFit="1" customWidth="1"/>
    <col min="5" max="5" width="3.140625" style="33" customWidth="1"/>
    <col min="6" max="6" width="4.85546875" style="33" customWidth="1"/>
    <col min="7" max="7" width="64" style="33" customWidth="1"/>
    <col min="8" max="8" width="17.42578125" style="33" bestFit="1" customWidth="1"/>
    <col min="9" max="9" width="17.42578125" style="80" bestFit="1" customWidth="1"/>
    <col min="10" max="10" width="4" style="33" customWidth="1"/>
    <col min="11" max="11" width="17.42578125" style="33" hidden="1" customWidth="1"/>
    <col min="12" max="12" width="0" style="33" hidden="1" customWidth="1"/>
    <col min="13" max="16384" width="9.140625" style="33"/>
  </cols>
  <sheetData>
    <row r="1" spans="1:15" s="29" customFormat="1" ht="13.5" thickBot="1" x14ac:dyDescent="0.25">
      <c r="A1" s="25"/>
      <c r="B1" s="26"/>
      <c r="C1" s="26"/>
      <c r="D1" s="27"/>
      <c r="E1" s="28"/>
      <c r="H1" s="30"/>
      <c r="I1" s="31"/>
      <c r="M1" s="32"/>
      <c r="N1" s="26"/>
      <c r="O1" s="26"/>
    </row>
    <row r="2" spans="1:15" ht="20.25" customHeight="1" x14ac:dyDescent="0.25">
      <c r="A2" s="304" t="s">
        <v>40</v>
      </c>
      <c r="B2" s="305"/>
      <c r="C2" s="305"/>
      <c r="D2" s="305"/>
      <c r="E2" s="305"/>
      <c r="F2" s="305"/>
      <c r="G2" s="305"/>
      <c r="H2" s="305"/>
      <c r="I2" s="305"/>
      <c r="J2" s="306"/>
    </row>
    <row r="3" spans="1:15" ht="20.25" x14ac:dyDescent="0.3">
      <c r="A3" s="307" t="s">
        <v>38</v>
      </c>
      <c r="B3" s="308"/>
      <c r="C3" s="308"/>
      <c r="D3" s="308"/>
      <c r="E3" s="308"/>
      <c r="F3" s="308"/>
      <c r="G3" s="308"/>
      <c r="H3" s="308"/>
      <c r="I3" s="308"/>
      <c r="J3" s="309"/>
    </row>
    <row r="4" spans="1:15" ht="15.75" x14ac:dyDescent="0.25">
      <c r="A4" s="310" t="s">
        <v>5646</v>
      </c>
      <c r="B4" s="311"/>
      <c r="C4" s="311"/>
      <c r="D4" s="311"/>
      <c r="E4" s="311"/>
      <c r="F4" s="311"/>
      <c r="G4" s="311"/>
      <c r="H4" s="311"/>
      <c r="I4" s="311"/>
      <c r="J4" s="312"/>
    </row>
    <row r="5" spans="1:15" ht="48.75" customHeight="1" thickBot="1" x14ac:dyDescent="0.25">
      <c r="A5" s="313"/>
      <c r="B5" s="314"/>
      <c r="C5" s="314"/>
      <c r="D5" s="314"/>
      <c r="E5" s="314"/>
      <c r="F5" s="314"/>
      <c r="G5" s="314"/>
      <c r="H5" s="314"/>
      <c r="I5" s="314"/>
      <c r="J5" s="315"/>
    </row>
    <row r="6" spans="1:15" ht="16.5" hidden="1" thickBot="1" x14ac:dyDescent="0.3">
      <c r="A6" s="316" t="s">
        <v>5647</v>
      </c>
      <c r="B6" s="317"/>
      <c r="C6" s="317"/>
      <c r="D6" s="317"/>
      <c r="E6" s="317"/>
      <c r="F6" s="317"/>
      <c r="G6" s="317"/>
      <c r="H6" s="317"/>
      <c r="I6" s="317"/>
      <c r="J6" s="318"/>
    </row>
    <row r="7" spans="1:15" ht="17.25" hidden="1" thickBot="1" x14ac:dyDescent="0.35">
      <c r="A7" s="301" t="s">
        <v>39</v>
      </c>
      <c r="B7" s="302"/>
      <c r="C7" s="302"/>
      <c r="D7" s="302"/>
      <c r="E7" s="302"/>
      <c r="F7" s="302"/>
      <c r="G7" s="302"/>
      <c r="H7" s="302"/>
      <c r="I7" s="302"/>
      <c r="J7" s="303"/>
    </row>
    <row r="8" spans="1:15" x14ac:dyDescent="0.2">
      <c r="A8" s="35"/>
      <c r="B8" s="36"/>
      <c r="C8" s="36"/>
      <c r="D8" s="37"/>
      <c r="E8" s="36"/>
      <c r="F8" s="36"/>
      <c r="G8" s="36"/>
      <c r="H8" s="36"/>
      <c r="I8" s="38"/>
      <c r="J8" s="39"/>
    </row>
    <row r="9" spans="1:15" x14ac:dyDescent="0.2">
      <c r="A9" s="40"/>
      <c r="B9" s="41"/>
      <c r="C9" s="41"/>
      <c r="D9" s="42"/>
      <c r="E9" s="41"/>
      <c r="F9" s="43"/>
      <c r="G9" s="43"/>
      <c r="H9" s="41"/>
      <c r="I9" s="43"/>
      <c r="J9" s="44"/>
    </row>
    <row r="10" spans="1:15" ht="16.5" x14ac:dyDescent="0.3">
      <c r="A10" s="45" t="s">
        <v>0</v>
      </c>
      <c r="B10" s="46"/>
      <c r="C10" s="48">
        <v>2015</v>
      </c>
      <c r="D10" s="49">
        <v>2014</v>
      </c>
      <c r="E10" s="47"/>
      <c r="F10" s="50" t="s">
        <v>12</v>
      </c>
      <c r="G10" s="51"/>
      <c r="H10" s="48">
        <v>2015</v>
      </c>
      <c r="I10" s="49">
        <v>2014</v>
      </c>
      <c r="J10" s="44"/>
    </row>
    <row r="11" spans="1:15" ht="16.5" x14ac:dyDescent="0.3">
      <c r="A11" s="52" t="s">
        <v>1</v>
      </c>
      <c r="B11" s="53"/>
      <c r="C11" s="54"/>
      <c r="D11" s="55"/>
      <c r="E11" s="54"/>
      <c r="F11" s="56" t="s">
        <v>13</v>
      </c>
      <c r="G11" s="51"/>
      <c r="H11" s="41"/>
      <c r="I11" s="43"/>
      <c r="J11" s="44"/>
    </row>
    <row r="12" spans="1:15" x14ac:dyDescent="0.2">
      <c r="A12" s="57"/>
      <c r="B12" s="46" t="s">
        <v>5648</v>
      </c>
      <c r="C12" s="58">
        <v>1694956121.9000001</v>
      </c>
      <c r="D12" s="42">
        <v>1721150284.71</v>
      </c>
      <c r="E12" s="41"/>
      <c r="F12" s="59"/>
      <c r="G12" s="46" t="s">
        <v>5655</v>
      </c>
      <c r="H12" s="58">
        <v>5828146287.8500004</v>
      </c>
      <c r="I12" s="42">
        <v>3478467487.77</v>
      </c>
      <c r="J12" s="44"/>
    </row>
    <row r="13" spans="1:15" x14ac:dyDescent="0.2">
      <c r="A13" s="57"/>
      <c r="B13" s="46" t="s">
        <v>5649</v>
      </c>
      <c r="C13" s="58">
        <v>1341367438.6900001</v>
      </c>
      <c r="D13" s="42">
        <v>1036057857.25</v>
      </c>
      <c r="E13" s="41"/>
      <c r="F13" s="59"/>
      <c r="G13" s="46" t="s">
        <v>5661</v>
      </c>
      <c r="H13" s="58">
        <v>1627046531.8800001</v>
      </c>
      <c r="I13" s="42">
        <v>887635592.73000002</v>
      </c>
      <c r="J13" s="44"/>
    </row>
    <row r="14" spans="1:15" x14ac:dyDescent="0.2">
      <c r="A14" s="57"/>
      <c r="B14" s="46" t="s">
        <v>5652</v>
      </c>
      <c r="C14" s="58">
        <v>735552706.87</v>
      </c>
      <c r="D14" s="42">
        <v>475129828.31999999</v>
      </c>
      <c r="E14" s="41"/>
      <c r="F14" s="59"/>
      <c r="G14" s="46" t="s">
        <v>5662</v>
      </c>
      <c r="H14" s="58">
        <v>424174893.49000001</v>
      </c>
      <c r="I14" s="42">
        <v>274918995.20999998</v>
      </c>
      <c r="J14" s="44"/>
    </row>
    <row r="15" spans="1:15" x14ac:dyDescent="0.2">
      <c r="A15" s="57"/>
      <c r="B15" s="46" t="s">
        <v>5650</v>
      </c>
      <c r="C15" s="58">
        <v>0</v>
      </c>
      <c r="D15" s="42">
        <v>0</v>
      </c>
      <c r="E15" s="41"/>
      <c r="F15" s="59"/>
      <c r="G15" s="46" t="s">
        <v>14</v>
      </c>
      <c r="H15" s="58">
        <v>0</v>
      </c>
      <c r="I15" s="42">
        <v>0</v>
      </c>
      <c r="J15" s="44"/>
    </row>
    <row r="16" spans="1:15" x14ac:dyDescent="0.2">
      <c r="A16" s="57"/>
      <c r="B16" s="46" t="s">
        <v>4</v>
      </c>
      <c r="C16" s="58">
        <v>0</v>
      </c>
      <c r="D16" s="42">
        <v>0</v>
      </c>
      <c r="E16" s="41"/>
      <c r="F16" s="59"/>
      <c r="G16" s="46" t="s">
        <v>5660</v>
      </c>
      <c r="H16" s="58">
        <v>119249608.44</v>
      </c>
      <c r="I16" s="42">
        <v>111585617.78</v>
      </c>
      <c r="J16" s="44"/>
    </row>
    <row r="17" spans="1:10" x14ac:dyDescent="0.2">
      <c r="A17" s="57"/>
      <c r="B17" s="46" t="s">
        <v>152</v>
      </c>
      <c r="C17" s="58">
        <v>0</v>
      </c>
      <c r="D17" s="42">
        <v>0</v>
      </c>
      <c r="E17" s="41"/>
      <c r="F17" s="59"/>
      <c r="G17" s="46" t="s">
        <v>5663</v>
      </c>
      <c r="H17" s="58">
        <v>318627843.20999998</v>
      </c>
      <c r="I17" s="42">
        <v>173503706.28</v>
      </c>
      <c r="J17" s="44"/>
    </row>
    <row r="18" spans="1:10" x14ac:dyDescent="0.2">
      <c r="A18" s="57"/>
      <c r="B18" s="46" t="s">
        <v>5651</v>
      </c>
      <c r="C18" s="58">
        <v>19112276.670000002</v>
      </c>
      <c r="D18" s="42">
        <v>1567431.24</v>
      </c>
      <c r="E18" s="41"/>
      <c r="F18" s="59"/>
      <c r="G18" s="46" t="s">
        <v>16</v>
      </c>
      <c r="H18" s="58">
        <v>0</v>
      </c>
      <c r="I18" s="42">
        <v>0</v>
      </c>
      <c r="J18" s="44"/>
    </row>
    <row r="19" spans="1:10" x14ac:dyDescent="0.2">
      <c r="A19" s="57"/>
      <c r="B19" s="46"/>
      <c r="C19" s="60"/>
      <c r="D19" s="61"/>
      <c r="E19" s="41"/>
      <c r="F19" s="59"/>
      <c r="G19" s="46" t="s">
        <v>15</v>
      </c>
      <c r="H19" s="58">
        <v>8085769.2999999998</v>
      </c>
      <c r="I19" s="42">
        <v>7471055.46</v>
      </c>
      <c r="J19" s="44"/>
    </row>
    <row r="20" spans="1:10" ht="16.5" x14ac:dyDescent="0.3">
      <c r="A20" s="62" t="s">
        <v>5</v>
      </c>
      <c r="B20" s="46"/>
      <c r="C20" s="60">
        <f>SUM(C12:C19)</f>
        <v>3790988544.1300001</v>
      </c>
      <c r="D20" s="61">
        <f>SUM(D12:D19)</f>
        <v>3233905401.52</v>
      </c>
      <c r="E20" s="41"/>
      <c r="F20" s="59"/>
      <c r="G20" s="46"/>
      <c r="H20" s="58"/>
      <c r="I20" s="42"/>
      <c r="J20" s="44"/>
    </row>
    <row r="21" spans="1:10" ht="16.5" x14ac:dyDescent="0.3">
      <c r="A21" s="62"/>
      <c r="B21" s="46"/>
      <c r="C21" s="60"/>
      <c r="D21" s="61"/>
      <c r="E21" s="41"/>
      <c r="F21" s="56" t="s">
        <v>17</v>
      </c>
      <c r="G21" s="51"/>
      <c r="H21" s="63">
        <f>SUM(H12:H20)</f>
        <v>8325330934.1700001</v>
      </c>
      <c r="I21" s="64">
        <f>SUM(I12:I20)</f>
        <v>4933582455.2299995</v>
      </c>
      <c r="J21" s="44"/>
    </row>
    <row r="22" spans="1:10" ht="16.5" x14ac:dyDescent="0.3">
      <c r="A22" s="62" t="s">
        <v>6</v>
      </c>
      <c r="B22" s="46"/>
      <c r="C22" s="60"/>
      <c r="D22" s="61"/>
      <c r="E22" s="41"/>
      <c r="F22" s="41"/>
      <c r="G22" s="41"/>
      <c r="H22" s="41"/>
      <c r="I22" s="43"/>
      <c r="J22" s="44"/>
    </row>
    <row r="23" spans="1:10" ht="16.5" x14ac:dyDescent="0.3">
      <c r="A23" s="57"/>
      <c r="B23" s="46" t="s">
        <v>5653</v>
      </c>
      <c r="C23" s="58">
        <v>118241622.34999999</v>
      </c>
      <c r="D23" s="42">
        <v>45815122.00999999</v>
      </c>
      <c r="E23" s="41"/>
      <c r="F23" s="56" t="s">
        <v>18</v>
      </c>
      <c r="G23" s="51"/>
      <c r="H23" s="41"/>
      <c r="I23" s="43"/>
      <c r="J23" s="44"/>
    </row>
    <row r="24" spans="1:10" x14ac:dyDescent="0.2">
      <c r="A24" s="57"/>
      <c r="B24" s="46" t="s">
        <v>153</v>
      </c>
      <c r="C24" s="58">
        <v>401414.39</v>
      </c>
      <c r="D24" s="42">
        <v>401414.39</v>
      </c>
      <c r="E24" s="41"/>
      <c r="F24" s="59"/>
      <c r="G24" s="46" t="s">
        <v>19</v>
      </c>
      <c r="H24" s="58">
        <v>0</v>
      </c>
      <c r="I24" s="42">
        <v>0</v>
      </c>
      <c r="J24" s="44"/>
    </row>
    <row r="25" spans="1:10" x14ac:dyDescent="0.2">
      <c r="A25" s="57"/>
      <c r="B25" s="46" t="s">
        <v>5654</v>
      </c>
      <c r="C25" s="58">
        <v>32605246252.970001</v>
      </c>
      <c r="D25" s="42">
        <v>51083286121.870003</v>
      </c>
      <c r="E25" s="41"/>
      <c r="F25" s="59"/>
      <c r="G25" s="46" t="s">
        <v>20</v>
      </c>
      <c r="H25" s="58">
        <v>0</v>
      </c>
      <c r="I25" s="42">
        <v>0</v>
      </c>
      <c r="J25" s="44"/>
    </row>
    <row r="26" spans="1:10" x14ac:dyDescent="0.2">
      <c r="A26" s="57"/>
      <c r="B26" s="46" t="s">
        <v>5656</v>
      </c>
      <c r="C26" s="58">
        <v>1825671823.46</v>
      </c>
      <c r="D26" s="42">
        <v>1649335632.8900001</v>
      </c>
      <c r="E26" s="41"/>
      <c r="F26" s="59"/>
      <c r="G26" s="46" t="s">
        <v>21</v>
      </c>
      <c r="H26" s="58">
        <v>15730628665.629999</v>
      </c>
      <c r="I26" s="42">
        <v>14722465502.24</v>
      </c>
      <c r="J26" s="44"/>
    </row>
    <row r="27" spans="1:10" x14ac:dyDescent="0.2">
      <c r="A27" s="57"/>
      <c r="B27" s="46" t="s">
        <v>5657</v>
      </c>
      <c r="C27" s="58">
        <v>507113347.93000001</v>
      </c>
      <c r="D27" s="42">
        <v>19195842.07</v>
      </c>
      <c r="E27" s="41"/>
      <c r="F27" s="59"/>
      <c r="G27" s="46" t="s">
        <v>22</v>
      </c>
      <c r="H27" s="58">
        <v>0</v>
      </c>
      <c r="I27" s="42">
        <v>0</v>
      </c>
      <c r="J27" s="44"/>
    </row>
    <row r="28" spans="1:10" x14ac:dyDescent="0.2">
      <c r="A28" s="57"/>
      <c r="B28" s="46" t="s">
        <v>5658</v>
      </c>
      <c r="C28" s="58">
        <v>-1471090176.1900001</v>
      </c>
      <c r="D28" s="42">
        <v>-1024102723.8099999</v>
      </c>
      <c r="E28" s="41"/>
      <c r="F28" s="59"/>
      <c r="G28" s="46" t="s">
        <v>156</v>
      </c>
      <c r="H28" s="58">
        <v>0</v>
      </c>
      <c r="I28" s="42">
        <v>41172340</v>
      </c>
      <c r="J28" s="44"/>
    </row>
    <row r="29" spans="1:10" x14ac:dyDescent="0.2">
      <c r="A29" s="57"/>
      <c r="B29" s="46" t="s">
        <v>10</v>
      </c>
      <c r="C29" s="58">
        <v>4299800</v>
      </c>
      <c r="D29" s="42">
        <v>4299800</v>
      </c>
      <c r="E29" s="41"/>
      <c r="F29" s="59"/>
      <c r="G29" s="46" t="s">
        <v>23</v>
      </c>
      <c r="H29" s="58">
        <v>0</v>
      </c>
      <c r="I29" s="42">
        <v>0</v>
      </c>
      <c r="J29" s="44"/>
    </row>
    <row r="30" spans="1:10" x14ac:dyDescent="0.2">
      <c r="A30" s="57"/>
      <c r="B30" s="46" t="s">
        <v>154</v>
      </c>
      <c r="C30" s="58">
        <v>0</v>
      </c>
      <c r="D30" s="42">
        <v>0</v>
      </c>
      <c r="E30" s="41"/>
      <c r="F30" s="59"/>
      <c r="G30" s="41"/>
      <c r="H30" s="41"/>
      <c r="I30" s="43"/>
      <c r="J30" s="44"/>
    </row>
    <row r="31" spans="1:10" x14ac:dyDescent="0.2">
      <c r="A31" s="57"/>
      <c r="B31" s="46" t="s">
        <v>5659</v>
      </c>
      <c r="C31" s="58">
        <v>91524322.519999996</v>
      </c>
      <c r="D31" s="42">
        <v>91524322.519999996</v>
      </c>
      <c r="E31" s="41"/>
      <c r="F31" s="59"/>
      <c r="G31" s="51"/>
      <c r="H31" s="60"/>
      <c r="I31" s="61"/>
      <c r="J31" s="44"/>
    </row>
    <row r="32" spans="1:10" ht="16.5" x14ac:dyDescent="0.3">
      <c r="A32" s="57"/>
      <c r="B32" s="46"/>
      <c r="C32" s="60"/>
      <c r="D32" s="61"/>
      <c r="E32" s="41"/>
      <c r="F32" s="56" t="s">
        <v>24</v>
      </c>
      <c r="G32" s="51"/>
      <c r="H32" s="63">
        <f>SUM(H24:H31)</f>
        <v>15730628665.629999</v>
      </c>
      <c r="I32" s="64">
        <f>SUM(I24:I31)</f>
        <v>14763637842.24</v>
      </c>
      <c r="J32" s="44"/>
    </row>
    <row r="33" spans="1:10" ht="16.5" x14ac:dyDescent="0.3">
      <c r="A33" s="62" t="s">
        <v>155</v>
      </c>
      <c r="B33" s="51"/>
      <c r="C33" s="60">
        <f>SUM(C23:C32)</f>
        <v>33681408407.430008</v>
      </c>
      <c r="D33" s="61">
        <f>SUM(D23:D32)</f>
        <v>51869755531.940002</v>
      </c>
      <c r="E33" s="41"/>
      <c r="F33" s="41"/>
      <c r="G33" s="41"/>
      <c r="H33" s="41"/>
      <c r="I33" s="43"/>
      <c r="J33" s="44"/>
    </row>
    <row r="34" spans="1:10" ht="16.5" x14ac:dyDescent="0.3">
      <c r="A34" s="65"/>
      <c r="B34" s="51"/>
      <c r="C34" s="60"/>
      <c r="D34" s="61"/>
      <c r="E34" s="41"/>
      <c r="F34" s="50" t="s">
        <v>25</v>
      </c>
      <c r="G34" s="51"/>
      <c r="H34" s="63">
        <f>+H21+H32</f>
        <v>24055959599.799999</v>
      </c>
      <c r="I34" s="64">
        <f>+I21+I32</f>
        <v>19697220297.470001</v>
      </c>
      <c r="J34" s="44"/>
    </row>
    <row r="35" spans="1:10" ht="16.5" x14ac:dyDescent="0.3">
      <c r="A35" s="66" t="s">
        <v>11</v>
      </c>
      <c r="B35" s="51"/>
      <c r="C35" s="60">
        <f>+C20+C33</f>
        <v>37472396951.560005</v>
      </c>
      <c r="D35" s="61">
        <f>+D20+D33</f>
        <v>55103660933.459999</v>
      </c>
      <c r="E35" s="41"/>
      <c r="F35" s="41"/>
      <c r="G35" s="41"/>
      <c r="H35" s="41"/>
      <c r="I35" s="43"/>
      <c r="J35" s="44"/>
    </row>
    <row r="36" spans="1:10" ht="16.5" x14ac:dyDescent="0.3">
      <c r="A36" s="40"/>
      <c r="B36" s="41"/>
      <c r="C36" s="41"/>
      <c r="D36" s="42"/>
      <c r="E36" s="41"/>
      <c r="F36" s="67" t="s">
        <v>26</v>
      </c>
      <c r="G36" s="51"/>
      <c r="H36" s="41"/>
      <c r="I36" s="43"/>
      <c r="J36" s="44"/>
    </row>
    <row r="37" spans="1:10" x14ac:dyDescent="0.2">
      <c r="A37" s="40"/>
      <c r="B37" s="41"/>
      <c r="C37" s="41"/>
      <c r="D37" s="42"/>
      <c r="E37" s="41"/>
      <c r="F37" s="59" t="s">
        <v>28</v>
      </c>
      <c r="G37" s="51"/>
      <c r="H37" s="60">
        <f>SUM(H38:H40)</f>
        <v>0</v>
      </c>
      <c r="I37" s="61">
        <f>SUM(I38:I40)</f>
        <v>0</v>
      </c>
      <c r="J37" s="44"/>
    </row>
    <row r="38" spans="1:10" x14ac:dyDescent="0.2">
      <c r="A38" s="40"/>
      <c r="B38" s="41"/>
      <c r="C38" s="41"/>
      <c r="D38" s="42"/>
      <c r="E38" s="41"/>
      <c r="F38" s="43"/>
      <c r="G38" s="51" t="s">
        <v>27</v>
      </c>
      <c r="H38" s="58">
        <v>0</v>
      </c>
      <c r="I38" s="42">
        <v>0</v>
      </c>
      <c r="J38" s="44"/>
    </row>
    <row r="39" spans="1:10" x14ac:dyDescent="0.2">
      <c r="A39" s="65"/>
      <c r="B39" s="51"/>
      <c r="C39" s="58"/>
      <c r="D39" s="42"/>
      <c r="E39" s="41"/>
      <c r="F39" s="43"/>
      <c r="G39" s="51" t="s">
        <v>29</v>
      </c>
      <c r="H39" s="58">
        <v>0</v>
      </c>
      <c r="I39" s="42">
        <v>0</v>
      </c>
      <c r="J39" s="44"/>
    </row>
    <row r="40" spans="1:10" x14ac:dyDescent="0.2">
      <c r="A40" s="65"/>
      <c r="B40" s="51"/>
      <c r="C40" s="58"/>
      <c r="D40" s="42"/>
      <c r="E40" s="41"/>
      <c r="F40" s="43"/>
      <c r="G40" s="51" t="s">
        <v>30</v>
      </c>
      <c r="H40" s="58">
        <v>0</v>
      </c>
      <c r="I40" s="42">
        <v>0</v>
      </c>
      <c r="J40" s="44"/>
    </row>
    <row r="41" spans="1:10" x14ac:dyDescent="0.2">
      <c r="A41" s="65"/>
      <c r="B41" s="46"/>
      <c r="C41" s="58"/>
      <c r="D41" s="42"/>
      <c r="E41" s="41"/>
      <c r="F41" s="41"/>
      <c r="G41" s="41"/>
      <c r="H41" s="41"/>
      <c r="I41" s="43"/>
      <c r="J41" s="44"/>
    </row>
    <row r="42" spans="1:10" x14ac:dyDescent="0.2">
      <c r="A42" s="65"/>
      <c r="B42" s="46"/>
      <c r="C42" s="60"/>
      <c r="D42" s="61"/>
      <c r="E42" s="41"/>
      <c r="F42" s="59" t="s">
        <v>33</v>
      </c>
      <c r="G42" s="51"/>
      <c r="H42" s="60">
        <f>SUM(H43:H47)</f>
        <v>13416437351.76</v>
      </c>
      <c r="I42" s="61">
        <f>SUM(I43:I47)</f>
        <v>35406440635.990005</v>
      </c>
      <c r="J42" s="44"/>
    </row>
    <row r="43" spans="1:10" x14ac:dyDescent="0.2">
      <c r="A43" s="65"/>
      <c r="B43" s="46"/>
      <c r="C43" s="58"/>
      <c r="D43" s="42"/>
      <c r="E43" s="41"/>
      <c r="F43" s="43"/>
      <c r="G43" s="51" t="s">
        <v>157</v>
      </c>
      <c r="H43" s="58">
        <v>-776591396.55999994</v>
      </c>
      <c r="I43" s="42">
        <v>2238798099.77</v>
      </c>
      <c r="J43" s="44"/>
    </row>
    <row r="44" spans="1:10" x14ac:dyDescent="0.2">
      <c r="A44" s="65"/>
      <c r="B44" s="46"/>
      <c r="C44" s="58"/>
      <c r="D44" s="42"/>
      <c r="E44" s="41"/>
      <c r="F44" s="43"/>
      <c r="G44" s="51" t="s">
        <v>34</v>
      </c>
      <c r="H44" s="58">
        <v>4922093574.3699999</v>
      </c>
      <c r="I44" s="42">
        <v>16461598930.450001</v>
      </c>
      <c r="J44" s="44"/>
    </row>
    <row r="45" spans="1:10" x14ac:dyDescent="0.2">
      <c r="A45" s="65"/>
      <c r="B45" s="46"/>
      <c r="C45" s="58"/>
      <c r="D45" s="42"/>
      <c r="E45" s="41"/>
      <c r="F45" s="43"/>
      <c r="G45" s="51" t="s">
        <v>31</v>
      </c>
      <c r="H45" s="42">
        <v>9270935173.9500008</v>
      </c>
      <c r="I45" s="42">
        <v>16706043605.77</v>
      </c>
      <c r="J45" s="44"/>
    </row>
    <row r="46" spans="1:10" x14ac:dyDescent="0.2">
      <c r="A46" s="65"/>
      <c r="B46" s="46"/>
      <c r="C46" s="58"/>
      <c r="D46" s="42"/>
      <c r="E46" s="41"/>
      <c r="F46" s="43"/>
      <c r="G46" s="51" t="s">
        <v>32</v>
      </c>
      <c r="H46" s="42">
        <v>0</v>
      </c>
      <c r="I46" s="42">
        <v>0</v>
      </c>
      <c r="J46" s="44"/>
    </row>
    <row r="47" spans="1:10" x14ac:dyDescent="0.2">
      <c r="A47" s="65"/>
      <c r="B47" s="46"/>
      <c r="C47" s="60"/>
      <c r="D47" s="61"/>
      <c r="E47" s="41"/>
      <c r="F47" s="43"/>
      <c r="G47" s="51" t="s">
        <v>35</v>
      </c>
      <c r="H47" s="58">
        <v>0</v>
      </c>
      <c r="I47" s="42">
        <v>0</v>
      </c>
      <c r="J47" s="44"/>
    </row>
    <row r="48" spans="1:10" x14ac:dyDescent="0.2">
      <c r="A48" s="65"/>
      <c r="B48" s="46"/>
      <c r="C48" s="58"/>
      <c r="D48" s="42"/>
      <c r="E48" s="41"/>
      <c r="F48" s="59"/>
      <c r="G48" s="51"/>
      <c r="H48" s="60"/>
      <c r="I48" s="61"/>
      <c r="J48" s="44"/>
    </row>
    <row r="49" spans="1:10" x14ac:dyDescent="0.2">
      <c r="A49" s="65"/>
      <c r="B49" s="46"/>
      <c r="C49" s="58"/>
      <c r="D49" s="42"/>
      <c r="E49" s="41"/>
      <c r="F49" s="68" t="s">
        <v>158</v>
      </c>
      <c r="G49" s="43"/>
      <c r="H49" s="60">
        <f>SUM(H50:H51)</f>
        <v>0</v>
      </c>
      <c r="I49" s="61">
        <f>SUM(I50:I51)</f>
        <v>0</v>
      </c>
      <c r="J49" s="44"/>
    </row>
    <row r="50" spans="1:10" ht="16.5" x14ac:dyDescent="0.3">
      <c r="A50" s="65"/>
      <c r="B50" s="69"/>
      <c r="C50" s="61"/>
      <c r="D50" s="61"/>
      <c r="E50" s="41"/>
      <c r="F50" s="43"/>
      <c r="G50" s="51" t="s">
        <v>135</v>
      </c>
      <c r="H50" s="58">
        <v>0</v>
      </c>
      <c r="I50" s="42">
        <v>0</v>
      </c>
      <c r="J50" s="44"/>
    </row>
    <row r="51" spans="1:10" x14ac:dyDescent="0.2">
      <c r="A51" s="65"/>
      <c r="B51" s="46"/>
      <c r="C51" s="42"/>
      <c r="D51" s="42"/>
      <c r="E51" s="41"/>
      <c r="F51" s="43"/>
      <c r="G51" s="51" t="s">
        <v>136</v>
      </c>
      <c r="H51" s="58">
        <v>0</v>
      </c>
      <c r="I51" s="42">
        <v>0</v>
      </c>
      <c r="J51" s="44"/>
    </row>
    <row r="52" spans="1:10" x14ac:dyDescent="0.2">
      <c r="A52" s="65"/>
      <c r="B52" s="46"/>
      <c r="C52" s="42"/>
      <c r="D52" s="42"/>
      <c r="E52" s="41"/>
      <c r="F52" s="43"/>
      <c r="G52" s="51"/>
      <c r="H52" s="41"/>
      <c r="I52" s="43"/>
      <c r="J52" s="44"/>
    </row>
    <row r="53" spans="1:10" ht="16.5" x14ac:dyDescent="0.3">
      <c r="A53" s="65"/>
      <c r="B53" s="69"/>
      <c r="C53" s="42"/>
      <c r="D53" s="70"/>
      <c r="E53" s="41"/>
      <c r="F53" s="59"/>
      <c r="G53" s="71" t="s">
        <v>36</v>
      </c>
      <c r="H53" s="72">
        <f>+H37+H42</f>
        <v>13416437351.76</v>
      </c>
      <c r="I53" s="73">
        <f>+I37+I42</f>
        <v>35406440635.990005</v>
      </c>
      <c r="J53" s="44"/>
    </row>
    <row r="54" spans="1:10" x14ac:dyDescent="0.2">
      <c r="A54" s="65"/>
      <c r="B54" s="51"/>
      <c r="C54" s="61"/>
      <c r="D54" s="61"/>
      <c r="E54" s="41"/>
      <c r="F54" s="43"/>
      <c r="G54" s="51"/>
      <c r="H54" s="41"/>
      <c r="I54" s="43"/>
      <c r="J54" s="44"/>
    </row>
    <row r="55" spans="1:10" ht="16.5" x14ac:dyDescent="0.3">
      <c r="A55" s="65"/>
      <c r="B55" s="46"/>
      <c r="C55" s="42"/>
      <c r="D55" s="42"/>
      <c r="E55" s="41"/>
      <c r="F55" s="43"/>
      <c r="G55" s="74" t="s">
        <v>37</v>
      </c>
      <c r="H55" s="72">
        <f>+H34+H53</f>
        <v>37472396951.559998</v>
      </c>
      <c r="I55" s="73">
        <f>+I34+I53</f>
        <v>55103660933.460007</v>
      </c>
      <c r="J55" s="44"/>
    </row>
    <row r="56" spans="1:10" x14ac:dyDescent="0.2">
      <c r="A56" s="65"/>
      <c r="B56" s="46"/>
      <c r="C56" s="42"/>
      <c r="D56" s="42"/>
      <c r="E56" s="41"/>
      <c r="F56" s="41"/>
      <c r="G56" s="41"/>
      <c r="H56" s="41"/>
      <c r="I56" s="43"/>
      <c r="J56" s="44"/>
    </row>
    <row r="57" spans="1:10" ht="13.5" thickBot="1" x14ac:dyDescent="0.25">
      <c r="A57" s="75"/>
      <c r="B57" s="76"/>
      <c r="C57" s="76"/>
      <c r="D57" s="77"/>
      <c r="E57" s="76"/>
      <c r="F57" s="76"/>
      <c r="G57" s="76"/>
      <c r="H57" s="76"/>
      <c r="I57" s="78"/>
      <c r="J57" s="79"/>
    </row>
    <row r="60" spans="1:10" x14ac:dyDescent="0.2">
      <c r="C60" s="60"/>
      <c r="D60" s="61"/>
    </row>
    <row r="61" spans="1:10" x14ac:dyDescent="0.2">
      <c r="H61" s="82"/>
      <c r="I61" s="81"/>
    </row>
    <row r="62" spans="1:10" x14ac:dyDescent="0.2">
      <c r="C62" s="82"/>
    </row>
  </sheetData>
  <mergeCells count="6">
    <mergeCell ref="A7:J7"/>
    <mergeCell ref="A2:J2"/>
    <mergeCell ref="A3:J3"/>
    <mergeCell ref="A4:J4"/>
    <mergeCell ref="A5:J5"/>
    <mergeCell ref="A6:J6"/>
  </mergeCells>
  <printOptions horizontalCentered="1"/>
  <pageMargins left="0.70866141732283472" right="0.70866141732283472" top="0.74803149606299213" bottom="0.74803149606299213" header="0.31496062992125984" footer="0.31496062992125984"/>
  <pageSetup paperSize="9" scale="58"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2.75" x14ac:dyDescent="0.2"/>
  <sheetData>
    <row r="1" spans="1:1" x14ac:dyDescent="0.2">
      <c r="A1">
        <v>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workbookViewId="0">
      <selection activeCell="C19" sqref="C19"/>
    </sheetView>
  </sheetViews>
  <sheetFormatPr baseColWidth="10" defaultColWidth="9.140625" defaultRowHeight="12.75" x14ac:dyDescent="0.2"/>
  <cols>
    <col min="1" max="1" width="3.7109375" style="33" customWidth="1"/>
    <col min="2" max="2" width="3" style="33" customWidth="1"/>
    <col min="3" max="3" width="112.28515625" style="33" customWidth="1"/>
    <col min="4" max="4" width="20.140625" style="33" hidden="1" customWidth="1"/>
    <col min="5" max="5" width="13.85546875" style="82" bestFit="1" customWidth="1"/>
    <col min="6" max="6" width="13.85546875" style="80" bestFit="1" customWidth="1"/>
    <col min="7" max="7" width="4.42578125" style="33" customWidth="1"/>
    <col min="8" max="8" width="15.42578125" style="33" customWidth="1"/>
    <col min="9" max="9" width="3.140625" style="33" customWidth="1"/>
    <col min="10" max="10" width="17.42578125" style="33" customWidth="1"/>
    <col min="11" max="11" width="26.5703125" style="86" customWidth="1"/>
    <col min="12" max="12" width="20" style="86" customWidth="1"/>
    <col min="13" max="13" width="18.7109375" style="86" customWidth="1"/>
    <col min="14" max="16384" width="9.140625" style="33"/>
  </cols>
  <sheetData>
    <row r="1" spans="1:14" ht="16.5" customHeight="1" thickBot="1" x14ac:dyDescent="0.25">
      <c r="A1" s="25"/>
      <c r="B1" s="26"/>
      <c r="C1" s="26"/>
      <c r="D1" s="29"/>
      <c r="E1" s="83"/>
      <c r="F1" s="84"/>
      <c r="G1" s="28"/>
      <c r="H1" s="29"/>
      <c r="I1" s="29"/>
      <c r="J1" s="85"/>
      <c r="N1" s="29"/>
    </row>
    <row r="2" spans="1:14" ht="18" customHeight="1" x14ac:dyDescent="0.25">
      <c r="A2" s="304" t="s">
        <v>40</v>
      </c>
      <c r="B2" s="322"/>
      <c r="C2" s="322"/>
      <c r="D2" s="322"/>
      <c r="E2" s="322"/>
      <c r="F2" s="322"/>
      <c r="G2" s="323"/>
    </row>
    <row r="3" spans="1:14" ht="18" customHeight="1" x14ac:dyDescent="0.3">
      <c r="A3" s="307" t="s">
        <v>5664</v>
      </c>
      <c r="B3" s="308"/>
      <c r="C3" s="308"/>
      <c r="D3" s="308"/>
      <c r="E3" s="308"/>
      <c r="F3" s="308"/>
      <c r="G3" s="309"/>
    </row>
    <row r="4" spans="1:14" ht="18" customHeight="1" x14ac:dyDescent="0.25">
      <c r="A4" s="310" t="s">
        <v>5665</v>
      </c>
      <c r="B4" s="311"/>
      <c r="C4" s="311"/>
      <c r="D4" s="311"/>
      <c r="E4" s="311"/>
      <c r="F4" s="311"/>
      <c r="G4" s="312"/>
    </row>
    <row r="5" spans="1:14" ht="51" customHeight="1" thickBot="1" x14ac:dyDescent="0.25">
      <c r="A5" s="324"/>
      <c r="B5" s="325"/>
      <c r="C5" s="325"/>
      <c r="D5" s="325"/>
      <c r="E5" s="325"/>
      <c r="F5" s="325"/>
      <c r="G5" s="326"/>
      <c r="J5" s="87"/>
    </row>
    <row r="6" spans="1:14" ht="16.5" hidden="1" thickBot="1" x14ac:dyDescent="0.3">
      <c r="A6" s="310" t="s">
        <v>5647</v>
      </c>
      <c r="B6" s="311"/>
      <c r="C6" s="311"/>
      <c r="D6" s="311"/>
      <c r="E6" s="311"/>
      <c r="F6" s="311"/>
      <c r="G6" s="312"/>
      <c r="J6" s="87"/>
    </row>
    <row r="7" spans="1:14" ht="17.25" hidden="1" thickBot="1" x14ac:dyDescent="0.35">
      <c r="A7" s="319" t="s">
        <v>39</v>
      </c>
      <c r="B7" s="320"/>
      <c r="C7" s="320"/>
      <c r="D7" s="320"/>
      <c r="E7" s="320"/>
      <c r="F7" s="320"/>
      <c r="G7" s="321"/>
    </row>
    <row r="8" spans="1:14" ht="16.5" x14ac:dyDescent="0.3">
      <c r="A8" s="88"/>
      <c r="B8" s="89"/>
      <c r="C8" s="89"/>
      <c r="D8" s="89"/>
      <c r="E8" s="89"/>
      <c r="F8" s="90"/>
      <c r="G8" s="39"/>
    </row>
    <row r="9" spans="1:14" ht="16.5" x14ac:dyDescent="0.3">
      <c r="A9" s="91"/>
      <c r="B9" s="92"/>
      <c r="C9" s="92"/>
      <c r="D9" s="92"/>
      <c r="E9" s="93">
        <v>2015</v>
      </c>
      <c r="F9" s="94">
        <v>2014</v>
      </c>
      <c r="G9" s="44"/>
    </row>
    <row r="10" spans="1:14" ht="16.5" x14ac:dyDescent="0.3">
      <c r="A10" s="95" t="s">
        <v>5666</v>
      </c>
      <c r="B10" s="92"/>
      <c r="C10" s="92"/>
      <c r="D10" s="96" t="s">
        <v>5667</v>
      </c>
      <c r="E10" s="97"/>
      <c r="F10" s="98"/>
      <c r="G10" s="44"/>
    </row>
    <row r="11" spans="1:14" ht="16.5" x14ac:dyDescent="0.3">
      <c r="A11" s="95" t="s">
        <v>5668</v>
      </c>
      <c r="B11" s="92"/>
      <c r="C11" s="99"/>
      <c r="D11" s="92" t="s">
        <v>5669</v>
      </c>
      <c r="E11" s="100">
        <f>SUM(E12:E19)</f>
        <v>5450985750.4900007</v>
      </c>
      <c r="F11" s="101">
        <f>SUM(F12:F19)</f>
        <v>5888684782.8800001</v>
      </c>
      <c r="G11" s="44"/>
    </row>
    <row r="12" spans="1:14" ht="16.5" x14ac:dyDescent="0.3">
      <c r="A12" s="91"/>
      <c r="B12" s="102" t="s">
        <v>510</v>
      </c>
      <c r="C12" s="99"/>
      <c r="D12" s="92" t="s">
        <v>5670</v>
      </c>
      <c r="E12" s="103">
        <v>2145197732.77</v>
      </c>
      <c r="F12" s="104">
        <v>2143332231</v>
      </c>
      <c r="G12" s="44"/>
    </row>
    <row r="13" spans="1:14" ht="16.5" x14ac:dyDescent="0.3">
      <c r="A13" s="91"/>
      <c r="B13" s="102" t="s">
        <v>5671</v>
      </c>
      <c r="C13" s="99"/>
      <c r="D13" s="92"/>
      <c r="E13" s="103">
        <v>0</v>
      </c>
      <c r="F13" s="104">
        <v>0</v>
      </c>
      <c r="G13" s="44"/>
    </row>
    <row r="14" spans="1:14" ht="16.5" x14ac:dyDescent="0.3">
      <c r="A14" s="91"/>
      <c r="B14" s="102" t="s">
        <v>5672</v>
      </c>
      <c r="C14" s="99"/>
      <c r="D14" s="92"/>
      <c r="E14" s="103">
        <v>0</v>
      </c>
      <c r="F14" s="104">
        <v>0</v>
      </c>
      <c r="G14" s="44"/>
    </row>
    <row r="15" spans="1:14" ht="16.5" x14ac:dyDescent="0.3">
      <c r="A15" s="91"/>
      <c r="B15" s="102" t="s">
        <v>528</v>
      </c>
      <c r="C15" s="99"/>
      <c r="D15" s="92"/>
      <c r="E15" s="103">
        <v>1268701282.4200001</v>
      </c>
      <c r="F15" s="104">
        <v>1297602689.75</v>
      </c>
      <c r="G15" s="44"/>
    </row>
    <row r="16" spans="1:14" ht="16.5" x14ac:dyDescent="0.3">
      <c r="A16" s="91"/>
      <c r="B16" s="102" t="s">
        <v>5673</v>
      </c>
      <c r="C16" s="99"/>
      <c r="D16" s="92"/>
      <c r="E16" s="103">
        <v>17670557.27</v>
      </c>
      <c r="F16" s="104">
        <v>41315204.960000001</v>
      </c>
      <c r="G16" s="44"/>
    </row>
    <row r="17" spans="1:7" ht="16.5" x14ac:dyDescent="0.3">
      <c r="A17" s="91"/>
      <c r="B17" s="102" t="s">
        <v>5674</v>
      </c>
      <c r="C17" s="99"/>
      <c r="D17" s="92"/>
      <c r="E17" s="103">
        <v>1989870238.72</v>
      </c>
      <c r="F17" s="104">
        <v>2401416893.3800001</v>
      </c>
      <c r="G17" s="44"/>
    </row>
    <row r="18" spans="1:7" ht="16.5" x14ac:dyDescent="0.3">
      <c r="A18" s="91"/>
      <c r="B18" s="102" t="s">
        <v>5675</v>
      </c>
      <c r="C18" s="99"/>
      <c r="D18" s="92"/>
      <c r="E18" s="103">
        <v>5835973.46</v>
      </c>
      <c r="F18" s="104">
        <v>5017763.79</v>
      </c>
      <c r="G18" s="44"/>
    </row>
    <row r="19" spans="1:7" ht="16.5" x14ac:dyDescent="0.3">
      <c r="A19" s="91"/>
      <c r="B19" s="102" t="s">
        <v>5676</v>
      </c>
      <c r="C19" s="99"/>
      <c r="D19" s="92"/>
      <c r="E19" s="103">
        <v>23709965.850000001</v>
      </c>
      <c r="F19" s="104">
        <v>0</v>
      </c>
      <c r="G19" s="44"/>
    </row>
    <row r="20" spans="1:7" ht="16.5" x14ac:dyDescent="0.3">
      <c r="A20" s="95" t="s">
        <v>5677</v>
      </c>
      <c r="B20" s="105"/>
      <c r="C20" s="99"/>
      <c r="D20" s="92"/>
      <c r="E20" s="100">
        <f>SUM(E21:E22)</f>
        <v>44475732630.220001</v>
      </c>
      <c r="F20" s="101">
        <f>SUM(F21:F22)</f>
        <v>43448939723.519997</v>
      </c>
      <c r="G20" s="44"/>
    </row>
    <row r="21" spans="1:7" ht="16.5" x14ac:dyDescent="0.3">
      <c r="A21" s="91"/>
      <c r="B21" s="102" t="s">
        <v>5678</v>
      </c>
      <c r="C21" s="99"/>
      <c r="D21" s="92"/>
      <c r="E21" s="103">
        <v>30903321509.799999</v>
      </c>
      <c r="F21" s="104">
        <v>32291852842.439999</v>
      </c>
      <c r="G21" s="44"/>
    </row>
    <row r="22" spans="1:7" ht="16.5" x14ac:dyDescent="0.3">
      <c r="A22" s="91"/>
      <c r="B22" s="102" t="s">
        <v>5679</v>
      </c>
      <c r="C22" s="99"/>
      <c r="D22" s="92"/>
      <c r="E22" s="103">
        <v>13572411120.42</v>
      </c>
      <c r="F22" s="104">
        <v>11157086881.08</v>
      </c>
      <c r="G22" s="44"/>
    </row>
    <row r="23" spans="1:7" ht="16.5" x14ac:dyDescent="0.3">
      <c r="A23" s="95" t="s">
        <v>5680</v>
      </c>
      <c r="B23" s="105"/>
      <c r="C23" s="99"/>
      <c r="D23" s="92"/>
      <c r="E23" s="100">
        <f>SUM(E24:E28)</f>
        <v>42747959.509999998</v>
      </c>
      <c r="F23" s="101">
        <f>SUM(F24:F28)</f>
        <v>703908000</v>
      </c>
      <c r="G23" s="44"/>
    </row>
    <row r="24" spans="1:7" ht="16.5" x14ac:dyDescent="0.3">
      <c r="A24" s="91"/>
      <c r="B24" s="92" t="s">
        <v>5681</v>
      </c>
      <c r="C24" s="99"/>
      <c r="D24" s="92"/>
      <c r="E24" s="103">
        <v>0</v>
      </c>
      <c r="F24" s="104">
        <v>0</v>
      </c>
      <c r="G24" s="44"/>
    </row>
    <row r="25" spans="1:7" ht="16.5" x14ac:dyDescent="0.3">
      <c r="A25" s="91"/>
      <c r="B25" s="92" t="s">
        <v>5682</v>
      </c>
      <c r="C25" s="99"/>
      <c r="D25" s="92"/>
      <c r="E25" s="103">
        <v>0</v>
      </c>
      <c r="F25" s="104">
        <v>0</v>
      </c>
      <c r="G25" s="44"/>
    </row>
    <row r="26" spans="1:7" ht="16.5" x14ac:dyDescent="0.3">
      <c r="A26" s="91"/>
      <c r="B26" s="92" t="s">
        <v>5683</v>
      </c>
      <c r="C26" s="99"/>
      <c r="D26" s="92"/>
      <c r="E26" s="103">
        <v>0</v>
      </c>
      <c r="F26" s="104">
        <v>0</v>
      </c>
      <c r="G26" s="44"/>
    </row>
    <row r="27" spans="1:7" ht="16.5" x14ac:dyDescent="0.3">
      <c r="A27" s="91"/>
      <c r="B27" s="92" t="s">
        <v>5684</v>
      </c>
      <c r="C27" s="99"/>
      <c r="D27" s="92"/>
      <c r="E27" s="103">
        <v>0</v>
      </c>
      <c r="F27" s="104">
        <v>0</v>
      </c>
      <c r="G27" s="44"/>
    </row>
    <row r="28" spans="1:7" ht="16.5" x14ac:dyDescent="0.3">
      <c r="A28" s="91"/>
      <c r="B28" s="92" t="s">
        <v>5685</v>
      </c>
      <c r="C28" s="99"/>
      <c r="D28" s="92"/>
      <c r="E28" s="103">
        <v>42747959.509999998</v>
      </c>
      <c r="F28" s="104">
        <v>703908000</v>
      </c>
      <c r="G28" s="44"/>
    </row>
    <row r="29" spans="1:7" ht="16.5" x14ac:dyDescent="0.3">
      <c r="A29" s="91"/>
      <c r="B29" s="92"/>
      <c r="C29" s="99"/>
      <c r="D29" s="92"/>
      <c r="E29" s="103"/>
      <c r="F29" s="106"/>
      <c r="G29" s="44"/>
    </row>
    <row r="30" spans="1:7" ht="16.5" x14ac:dyDescent="0.3">
      <c r="A30" s="95" t="s">
        <v>5686</v>
      </c>
      <c r="B30" s="92"/>
      <c r="C30" s="99"/>
      <c r="D30" s="92"/>
      <c r="E30" s="100">
        <f>+E11+E20+E23</f>
        <v>49969466340.220001</v>
      </c>
      <c r="F30" s="101">
        <f>+F11+F20+F23</f>
        <v>50041532506.399994</v>
      </c>
      <c r="G30" s="44"/>
    </row>
    <row r="31" spans="1:7" ht="16.5" x14ac:dyDescent="0.3">
      <c r="A31" s="91"/>
      <c r="B31" s="92"/>
      <c r="C31" s="99"/>
      <c r="D31" s="92"/>
      <c r="E31" s="103"/>
      <c r="F31" s="106"/>
      <c r="G31" s="44"/>
    </row>
    <row r="32" spans="1:7" ht="16.5" x14ac:dyDescent="0.3">
      <c r="A32" s="95" t="s">
        <v>5687</v>
      </c>
      <c r="B32" s="92"/>
      <c r="C32" s="99"/>
      <c r="D32" s="92"/>
      <c r="E32" s="103"/>
      <c r="F32" s="104"/>
      <c r="G32" s="44"/>
    </row>
    <row r="33" spans="1:10" ht="16.5" x14ac:dyDescent="0.3">
      <c r="A33" s="95" t="s">
        <v>5688</v>
      </c>
      <c r="B33" s="92"/>
      <c r="C33" s="99"/>
      <c r="D33" s="92"/>
      <c r="E33" s="100">
        <f>SUM(E34:E36)</f>
        <v>9361686349.2799988</v>
      </c>
      <c r="F33" s="101">
        <f>SUM(F34:F36)</f>
        <v>10809785867.530001</v>
      </c>
      <c r="G33" s="44"/>
    </row>
    <row r="34" spans="1:10" ht="16.5" x14ac:dyDescent="0.3">
      <c r="A34" s="91"/>
      <c r="B34" s="92" t="s">
        <v>475</v>
      </c>
      <c r="C34" s="99"/>
      <c r="D34" s="92"/>
      <c r="E34" s="103">
        <v>7563786966</v>
      </c>
      <c r="F34" s="104">
        <v>7877159526.5600004</v>
      </c>
      <c r="G34" s="44"/>
      <c r="J34" s="82"/>
    </row>
    <row r="35" spans="1:10" ht="16.5" x14ac:dyDescent="0.3">
      <c r="A35" s="91"/>
      <c r="B35" s="92" t="s">
        <v>5689</v>
      </c>
      <c r="C35" s="99"/>
      <c r="D35" s="92"/>
      <c r="E35" s="103">
        <v>802089078.86000001</v>
      </c>
      <c r="F35" s="104">
        <v>980687086.70000005</v>
      </c>
      <c r="G35" s="44"/>
      <c r="J35" s="82"/>
    </row>
    <row r="36" spans="1:10" ht="16.5" x14ac:dyDescent="0.3">
      <c r="A36" s="91"/>
      <c r="B36" s="92" t="s">
        <v>390</v>
      </c>
      <c r="C36" s="99"/>
      <c r="D36" s="92"/>
      <c r="E36" s="103">
        <v>995810304.41999996</v>
      </c>
      <c r="F36" s="104">
        <v>1951939254.27</v>
      </c>
      <c r="G36" s="44"/>
      <c r="J36" s="82"/>
    </row>
    <row r="37" spans="1:10" ht="16.5" x14ac:dyDescent="0.3">
      <c r="A37" s="95" t="s">
        <v>5690</v>
      </c>
      <c r="B37" s="92"/>
      <c r="C37" s="92"/>
      <c r="D37" s="92"/>
      <c r="E37" s="100">
        <f>SUM(E38:E46)</f>
        <v>31053199186.259998</v>
      </c>
      <c r="F37" s="101">
        <f>SUM(F38:F46)</f>
        <v>25267736636.389999</v>
      </c>
      <c r="G37" s="44"/>
      <c r="J37" s="82"/>
    </row>
    <row r="38" spans="1:10" ht="16.5" x14ac:dyDescent="0.3">
      <c r="A38" s="91"/>
      <c r="B38" s="92" t="s">
        <v>5691</v>
      </c>
      <c r="C38" s="92"/>
      <c r="D38" s="92"/>
      <c r="E38" s="103">
        <v>29895684129.009998</v>
      </c>
      <c r="F38" s="104">
        <v>24272854624.75</v>
      </c>
      <c r="G38" s="44"/>
    </row>
    <row r="39" spans="1:10" ht="16.5" x14ac:dyDescent="0.3">
      <c r="A39" s="91"/>
      <c r="B39" s="92" t="s">
        <v>5692</v>
      </c>
      <c r="C39" s="92"/>
      <c r="D39" s="92"/>
      <c r="E39" s="103">
        <v>203726402.81</v>
      </c>
      <c r="F39" s="104">
        <v>289545067.75</v>
      </c>
      <c r="G39" s="44"/>
    </row>
    <row r="40" spans="1:10" ht="16.5" x14ac:dyDescent="0.3">
      <c r="A40" s="91"/>
      <c r="B40" s="92" t="s">
        <v>5693</v>
      </c>
      <c r="C40" s="92"/>
      <c r="D40" s="92"/>
      <c r="E40" s="103">
        <v>139323073.47999999</v>
      </c>
      <c r="F40" s="104">
        <v>325134334.33999997</v>
      </c>
      <c r="G40" s="44"/>
    </row>
    <row r="41" spans="1:10" ht="16.5" x14ac:dyDescent="0.3">
      <c r="A41" s="91"/>
      <c r="B41" s="92" t="s">
        <v>1712</v>
      </c>
      <c r="C41" s="92"/>
      <c r="D41" s="92"/>
      <c r="E41" s="103">
        <v>616743961.35000002</v>
      </c>
      <c r="F41" s="104">
        <v>346631390.58999997</v>
      </c>
      <c r="G41" s="44"/>
    </row>
    <row r="42" spans="1:10" ht="16.5" x14ac:dyDescent="0.3">
      <c r="A42" s="91"/>
      <c r="B42" s="92" t="s">
        <v>5694</v>
      </c>
      <c r="C42" s="92"/>
      <c r="D42" s="92"/>
      <c r="E42" s="103">
        <v>172305459.21000001</v>
      </c>
      <c r="F42" s="104">
        <v>0</v>
      </c>
      <c r="G42" s="44"/>
    </row>
    <row r="43" spans="1:10" ht="16.5" x14ac:dyDescent="0.3">
      <c r="A43" s="91"/>
      <c r="B43" s="92" t="s">
        <v>5695</v>
      </c>
      <c r="C43" s="92"/>
      <c r="D43" s="92"/>
      <c r="E43" s="103">
        <v>25416160.399999999</v>
      </c>
      <c r="F43" s="104">
        <v>33548518.960000001</v>
      </c>
      <c r="G43" s="44"/>
    </row>
    <row r="44" spans="1:10" ht="16.5" x14ac:dyDescent="0.3">
      <c r="A44" s="91"/>
      <c r="B44" s="92" t="s">
        <v>5696</v>
      </c>
      <c r="C44" s="92"/>
      <c r="D44" s="92"/>
      <c r="E44" s="103">
        <v>0</v>
      </c>
      <c r="F44" s="104">
        <v>0</v>
      </c>
      <c r="G44" s="44"/>
    </row>
    <row r="45" spans="1:10" ht="16.5" x14ac:dyDescent="0.3">
      <c r="A45" s="91"/>
      <c r="B45" s="92" t="s">
        <v>5697</v>
      </c>
      <c r="C45" s="92"/>
      <c r="D45" s="92"/>
      <c r="E45" s="103">
        <v>0</v>
      </c>
      <c r="F45" s="104">
        <v>22700</v>
      </c>
      <c r="G45" s="44"/>
    </row>
    <row r="46" spans="1:10" ht="16.5" x14ac:dyDescent="0.3">
      <c r="A46" s="91"/>
      <c r="B46" s="92" t="s">
        <v>5698</v>
      </c>
      <c r="C46" s="92"/>
      <c r="D46" s="92"/>
      <c r="E46" s="103">
        <v>0</v>
      </c>
      <c r="F46" s="104">
        <v>0</v>
      </c>
      <c r="G46" s="44"/>
    </row>
    <row r="47" spans="1:10" ht="16.5" x14ac:dyDescent="0.3">
      <c r="A47" s="95" t="s">
        <v>5699</v>
      </c>
      <c r="B47" s="92"/>
      <c r="C47" s="92"/>
      <c r="D47" s="92"/>
      <c r="E47" s="100">
        <f>SUM(E48:E50)</f>
        <v>8558666851.25</v>
      </c>
      <c r="F47" s="101">
        <f>SUM(F48:F50)</f>
        <v>5442824016.8100004</v>
      </c>
      <c r="G47" s="44"/>
    </row>
    <row r="48" spans="1:10" ht="16.5" x14ac:dyDescent="0.3">
      <c r="A48" s="95"/>
      <c r="B48" s="92" t="s">
        <v>580</v>
      </c>
      <c r="C48" s="92"/>
      <c r="D48" s="92"/>
      <c r="E48" s="103">
        <v>3664211463.9699998</v>
      </c>
      <c r="F48" s="104">
        <v>3615392669.5900002</v>
      </c>
      <c r="G48" s="44"/>
    </row>
    <row r="49" spans="1:7" ht="16.5" x14ac:dyDescent="0.3">
      <c r="A49" s="95"/>
      <c r="B49" s="92" t="s">
        <v>27</v>
      </c>
      <c r="C49" s="92"/>
      <c r="D49" s="92"/>
      <c r="E49" s="103">
        <v>1876477437.6700001</v>
      </c>
      <c r="F49" s="104">
        <v>1823205297.22</v>
      </c>
      <c r="G49" s="44"/>
    </row>
    <row r="50" spans="1:7" ht="16.5" x14ac:dyDescent="0.3">
      <c r="A50" s="95"/>
      <c r="B50" s="92" t="s">
        <v>714</v>
      </c>
      <c r="C50" s="92"/>
      <c r="D50" s="92"/>
      <c r="E50" s="103">
        <v>3017977949.6100001</v>
      </c>
      <c r="F50" s="104">
        <v>4226050</v>
      </c>
      <c r="G50" s="44"/>
    </row>
    <row r="51" spans="1:7" ht="16.5" x14ac:dyDescent="0.3">
      <c r="A51" s="95" t="s">
        <v>5700</v>
      </c>
      <c r="B51" s="92"/>
      <c r="C51" s="92"/>
      <c r="D51" s="92"/>
      <c r="E51" s="100">
        <f>SUM(E52:E56)</f>
        <v>1399274582.5799999</v>
      </c>
      <c r="F51" s="101">
        <f>SUM(F52:F56)</f>
        <v>1047228465.7</v>
      </c>
      <c r="G51" s="44"/>
    </row>
    <row r="52" spans="1:7" ht="16.5" x14ac:dyDescent="0.3">
      <c r="A52" s="95"/>
      <c r="B52" s="92" t="s">
        <v>5701</v>
      </c>
      <c r="C52" s="92"/>
      <c r="D52" s="92"/>
      <c r="E52" s="103">
        <v>743186642.51999998</v>
      </c>
      <c r="F52" s="104">
        <v>683615680.84000003</v>
      </c>
      <c r="G52" s="44"/>
    </row>
    <row r="53" spans="1:7" ht="16.5" x14ac:dyDescent="0.3">
      <c r="A53" s="95"/>
      <c r="B53" s="92" t="s">
        <v>5702</v>
      </c>
      <c r="C53" s="92"/>
      <c r="D53" s="92"/>
      <c r="E53" s="103">
        <v>133296289.09</v>
      </c>
      <c r="F53" s="104">
        <v>150648742.66</v>
      </c>
      <c r="G53" s="44"/>
    </row>
    <row r="54" spans="1:7" ht="16.5" x14ac:dyDescent="0.3">
      <c r="A54" s="95"/>
      <c r="B54" s="92" t="s">
        <v>5703</v>
      </c>
      <c r="C54" s="92"/>
      <c r="D54" s="92"/>
      <c r="E54" s="103">
        <v>253745240.18000001</v>
      </c>
      <c r="F54" s="104">
        <v>290446.7</v>
      </c>
      <c r="G54" s="44"/>
    </row>
    <row r="55" spans="1:7" ht="16.5" x14ac:dyDescent="0.3">
      <c r="A55" s="95"/>
      <c r="B55" s="92" t="s">
        <v>5538</v>
      </c>
      <c r="C55" s="92"/>
      <c r="D55" s="92"/>
      <c r="E55" s="103">
        <v>71632723.950000003</v>
      </c>
      <c r="F55" s="104">
        <v>19387317.460000001</v>
      </c>
      <c r="G55" s="44"/>
    </row>
    <row r="56" spans="1:7" ht="16.5" x14ac:dyDescent="0.3">
      <c r="A56" s="95"/>
      <c r="B56" s="92" t="s">
        <v>5543</v>
      </c>
      <c r="C56" s="92"/>
      <c r="D56" s="92"/>
      <c r="E56" s="103">
        <v>197413686.84</v>
      </c>
      <c r="F56" s="104">
        <v>193286278.03999999</v>
      </c>
      <c r="G56" s="44"/>
    </row>
    <row r="57" spans="1:7" ht="16.5" x14ac:dyDescent="0.3">
      <c r="A57" s="95" t="s">
        <v>5704</v>
      </c>
      <c r="B57" s="92"/>
      <c r="C57" s="92"/>
      <c r="D57" s="92"/>
      <c r="E57" s="100">
        <f>SUM(E58:E63)</f>
        <v>358578344.81</v>
      </c>
      <c r="F57" s="101">
        <f>SUM(F58:F63)</f>
        <v>1025770734.75</v>
      </c>
      <c r="G57" s="44"/>
    </row>
    <row r="58" spans="1:7" ht="16.5" x14ac:dyDescent="0.3">
      <c r="A58" s="95"/>
      <c r="B58" s="92" t="s">
        <v>5705</v>
      </c>
      <c r="C58" s="92"/>
      <c r="D58" s="92"/>
      <c r="E58" s="103">
        <v>357774452.70999998</v>
      </c>
      <c r="F58" s="104">
        <v>1024102723.8099999</v>
      </c>
      <c r="G58" s="44"/>
    </row>
    <row r="59" spans="1:7" ht="16.5" x14ac:dyDescent="0.3">
      <c r="A59" s="95"/>
      <c r="B59" s="92" t="s">
        <v>5706</v>
      </c>
      <c r="C59" s="92"/>
      <c r="D59" s="92"/>
      <c r="E59" s="103">
        <v>0</v>
      </c>
      <c r="F59" s="104">
        <v>0</v>
      </c>
      <c r="G59" s="44"/>
    </row>
    <row r="60" spans="1:7" ht="16.5" x14ac:dyDescent="0.3">
      <c r="A60" s="95"/>
      <c r="B60" s="92" t="s">
        <v>5707</v>
      </c>
      <c r="C60" s="92"/>
      <c r="D60" s="92"/>
      <c r="E60" s="103">
        <v>0</v>
      </c>
      <c r="F60" s="104">
        <v>0</v>
      </c>
      <c r="G60" s="44"/>
    </row>
    <row r="61" spans="1:7" ht="16.5" x14ac:dyDescent="0.3">
      <c r="A61" s="95"/>
      <c r="B61" s="92" t="s">
        <v>5708</v>
      </c>
      <c r="C61" s="92"/>
      <c r="D61" s="92"/>
      <c r="E61" s="103">
        <v>0</v>
      </c>
      <c r="F61" s="104">
        <v>0</v>
      </c>
      <c r="G61" s="44"/>
    </row>
    <row r="62" spans="1:7" ht="16.5" x14ac:dyDescent="0.3">
      <c r="A62" s="95"/>
      <c r="B62" s="92" t="s">
        <v>5709</v>
      </c>
      <c r="C62" s="92"/>
      <c r="D62" s="92"/>
      <c r="E62" s="103">
        <v>0</v>
      </c>
      <c r="F62" s="104">
        <v>0</v>
      </c>
      <c r="G62" s="44"/>
    </row>
    <row r="63" spans="1:7" ht="16.5" x14ac:dyDescent="0.3">
      <c r="A63" s="95"/>
      <c r="B63" s="92" t="s">
        <v>114</v>
      </c>
      <c r="C63" s="92"/>
      <c r="D63" s="92"/>
      <c r="E63" s="103">
        <v>803892.1</v>
      </c>
      <c r="F63" s="104">
        <v>1668010.94</v>
      </c>
      <c r="G63" s="44"/>
    </row>
    <row r="64" spans="1:7" ht="16.5" x14ac:dyDescent="0.3">
      <c r="A64" s="95" t="s">
        <v>5710</v>
      </c>
      <c r="B64" s="92"/>
      <c r="C64" s="92"/>
      <c r="D64" s="92"/>
      <c r="E64" s="100">
        <f>SUM(E65)</f>
        <v>14652422.6</v>
      </c>
      <c r="F64" s="101">
        <f>SUM(F65)</f>
        <v>4209388685.4499998</v>
      </c>
      <c r="G64" s="44"/>
    </row>
    <row r="65" spans="1:7" ht="16.5" x14ac:dyDescent="0.3">
      <c r="A65" s="95"/>
      <c r="B65" s="92" t="s">
        <v>5711</v>
      </c>
      <c r="C65" s="92"/>
      <c r="D65" s="92"/>
      <c r="E65" s="103">
        <v>14652422.6</v>
      </c>
      <c r="F65" s="104">
        <v>4209388685.4499998</v>
      </c>
      <c r="G65" s="44"/>
    </row>
    <row r="66" spans="1:7" ht="16.5" x14ac:dyDescent="0.3">
      <c r="A66" s="95"/>
      <c r="B66" s="92"/>
      <c r="C66" s="92"/>
      <c r="D66" s="92"/>
      <c r="E66" s="103"/>
      <c r="F66" s="106"/>
      <c r="G66" s="44"/>
    </row>
    <row r="67" spans="1:7" ht="16.5" x14ac:dyDescent="0.3">
      <c r="A67" s="95" t="s">
        <v>5712</v>
      </c>
      <c r="B67" s="92"/>
      <c r="C67" s="92"/>
      <c r="D67" s="92"/>
      <c r="E67" s="100">
        <f>+E33+E37+E47+E51+E57+E64</f>
        <v>50746057736.779991</v>
      </c>
      <c r="F67" s="101">
        <f>+F33+F37+F47+F51+F57+F64</f>
        <v>47802734406.62999</v>
      </c>
      <c r="G67" s="44"/>
    </row>
    <row r="68" spans="1:7" ht="16.5" x14ac:dyDescent="0.3">
      <c r="A68" s="91"/>
      <c r="B68" s="92"/>
      <c r="C68" s="92"/>
      <c r="D68" s="92"/>
      <c r="E68" s="103"/>
      <c r="F68" s="106"/>
      <c r="G68" s="44"/>
    </row>
    <row r="69" spans="1:7" ht="16.5" x14ac:dyDescent="0.3">
      <c r="A69" s="95" t="s">
        <v>5713</v>
      </c>
      <c r="B69" s="92"/>
      <c r="C69" s="92"/>
      <c r="D69" s="92"/>
      <c r="E69" s="100">
        <f>+E30-E67</f>
        <v>-776591396.55998993</v>
      </c>
      <c r="F69" s="101">
        <f>+F30-F67</f>
        <v>2238798099.7700043</v>
      </c>
      <c r="G69" s="44"/>
    </row>
    <row r="70" spans="1:7" ht="17.25" thickBot="1" x14ac:dyDescent="0.35">
      <c r="A70" s="107"/>
      <c r="B70" s="108"/>
      <c r="C70" s="108"/>
      <c r="D70" s="108"/>
      <c r="E70" s="108"/>
      <c r="F70" s="109"/>
      <c r="G70" s="79"/>
    </row>
    <row r="73" spans="1:7" x14ac:dyDescent="0.2">
      <c r="E73" s="103"/>
    </row>
    <row r="76" spans="1:7" x14ac:dyDescent="0.2">
      <c r="E76" s="103"/>
    </row>
  </sheetData>
  <mergeCells count="6">
    <mergeCell ref="A7:G7"/>
    <mergeCell ref="A2:G2"/>
    <mergeCell ref="A3:G3"/>
    <mergeCell ref="A4:G4"/>
    <mergeCell ref="A5:G5"/>
    <mergeCell ref="A6: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activeCell="K8" sqref="K8"/>
    </sheetView>
  </sheetViews>
  <sheetFormatPr baseColWidth="10" defaultColWidth="9.140625" defaultRowHeight="15.75" x14ac:dyDescent="0.25"/>
  <cols>
    <col min="1" max="1" width="58" style="115" customWidth="1"/>
    <col min="2" max="2" width="18.28515625" style="115" customWidth="1"/>
    <col min="3" max="3" width="17.5703125" style="115" bestFit="1" customWidth="1"/>
    <col min="4" max="4" width="16.5703125" style="158" bestFit="1" customWidth="1"/>
    <col min="5" max="5" width="17.5703125" style="158" bestFit="1" customWidth="1"/>
    <col min="6" max="6" width="17.5703125" style="115" bestFit="1" customWidth="1"/>
    <col min="7" max="7" width="5.85546875" style="115" customWidth="1"/>
    <col min="8" max="8" width="17.5703125" style="115" bestFit="1" customWidth="1"/>
    <col min="9" max="16384" width="9.140625" style="115"/>
  </cols>
  <sheetData>
    <row r="1" spans="1:7" ht="16.5" thickBot="1" x14ac:dyDescent="0.3">
      <c r="A1" s="110"/>
      <c r="B1" s="111"/>
      <c r="C1" s="111"/>
      <c r="D1" s="112"/>
      <c r="E1" s="112"/>
      <c r="F1" s="113"/>
      <c r="G1" s="114"/>
    </row>
    <row r="2" spans="1:7" x14ac:dyDescent="0.25">
      <c r="A2" s="330" t="s">
        <v>40</v>
      </c>
      <c r="B2" s="331"/>
      <c r="C2" s="331"/>
      <c r="D2" s="331"/>
      <c r="E2" s="331"/>
      <c r="F2" s="332"/>
    </row>
    <row r="3" spans="1:7" x14ac:dyDescent="0.25">
      <c r="A3" s="310" t="s">
        <v>5714</v>
      </c>
      <c r="B3" s="311"/>
      <c r="C3" s="311"/>
      <c r="D3" s="311"/>
      <c r="E3" s="311"/>
      <c r="F3" s="312"/>
    </row>
    <row r="4" spans="1:7" x14ac:dyDescent="0.25">
      <c r="A4" s="324" t="s">
        <v>5715</v>
      </c>
      <c r="B4" s="325"/>
      <c r="C4" s="325"/>
      <c r="D4" s="325"/>
      <c r="E4" s="325"/>
      <c r="F4" s="326"/>
    </row>
    <row r="5" spans="1:7" ht="16.5" thickBot="1" x14ac:dyDescent="0.3">
      <c r="A5" s="324"/>
      <c r="B5" s="325"/>
      <c r="C5" s="325"/>
      <c r="D5" s="325"/>
      <c r="E5" s="325"/>
      <c r="F5" s="326"/>
    </row>
    <row r="6" spans="1:7" ht="16.5" hidden="1" thickBot="1" x14ac:dyDescent="0.3">
      <c r="A6" s="310" t="s">
        <v>5647</v>
      </c>
      <c r="B6" s="311"/>
      <c r="C6" s="311"/>
      <c r="D6" s="311"/>
      <c r="E6" s="311"/>
      <c r="F6" s="312"/>
    </row>
    <row r="7" spans="1:7" ht="16.5" hidden="1" thickBot="1" x14ac:dyDescent="0.3">
      <c r="A7" s="327" t="s">
        <v>39</v>
      </c>
      <c r="B7" s="328"/>
      <c r="C7" s="328"/>
      <c r="D7" s="328"/>
      <c r="E7" s="328"/>
      <c r="F7" s="329"/>
    </row>
    <row r="8" spans="1:7" ht="95.25" thickBot="1" x14ac:dyDescent="0.3">
      <c r="A8" s="116" t="s">
        <v>5716</v>
      </c>
      <c r="B8" s="117" t="s">
        <v>5717</v>
      </c>
      <c r="C8" s="117" t="s">
        <v>5718</v>
      </c>
      <c r="D8" s="117" t="s">
        <v>5719</v>
      </c>
      <c r="E8" s="117" t="s">
        <v>5720</v>
      </c>
      <c r="F8" s="118" t="s">
        <v>5721</v>
      </c>
    </row>
    <row r="9" spans="1:7" ht="16.5" thickBot="1" x14ac:dyDescent="0.3">
      <c r="A9" s="119"/>
      <c r="B9" s="120"/>
      <c r="C9" s="120"/>
      <c r="D9" s="120"/>
      <c r="E9" s="120"/>
      <c r="F9" s="121"/>
    </row>
    <row r="10" spans="1:7" x14ac:dyDescent="0.25">
      <c r="A10" s="122"/>
      <c r="B10" s="123"/>
      <c r="C10" s="124"/>
      <c r="D10" s="123"/>
      <c r="E10" s="123"/>
      <c r="F10" s="125"/>
    </row>
    <row r="11" spans="1:7" x14ac:dyDescent="0.25">
      <c r="A11" s="126" t="s">
        <v>35</v>
      </c>
      <c r="B11" s="127">
        <v>0</v>
      </c>
      <c r="C11" s="127">
        <v>0</v>
      </c>
      <c r="D11" s="127">
        <v>0</v>
      </c>
      <c r="E11" s="127">
        <v>0</v>
      </c>
      <c r="F11" s="128">
        <f>SUM(B11:E11)</f>
        <v>0</v>
      </c>
    </row>
    <row r="12" spans="1:7" x14ac:dyDescent="0.25">
      <c r="A12" s="129"/>
      <c r="B12" s="130"/>
      <c r="C12" s="130"/>
      <c r="D12" s="131"/>
      <c r="E12" s="130"/>
      <c r="F12" s="132"/>
    </row>
    <row r="13" spans="1:7" x14ac:dyDescent="0.25">
      <c r="A13" s="133"/>
      <c r="B13" s="130"/>
      <c r="C13" s="130"/>
      <c r="D13" s="130"/>
      <c r="E13" s="130"/>
      <c r="F13" s="132"/>
    </row>
    <row r="14" spans="1:7" x14ac:dyDescent="0.25">
      <c r="A14" s="126" t="s">
        <v>5722</v>
      </c>
      <c r="B14" s="127">
        <f>SUM(B15:B17)</f>
        <v>0</v>
      </c>
      <c r="C14" s="127">
        <f>SUM(C15:C17)</f>
        <v>0</v>
      </c>
      <c r="D14" s="127">
        <f>SUM(D15:D17)</f>
        <v>0</v>
      </c>
      <c r="E14" s="134">
        <f>SUM(E15:E17)</f>
        <v>0</v>
      </c>
      <c r="F14" s="128">
        <f>SUM(B14:E14)</f>
        <v>0</v>
      </c>
    </row>
    <row r="15" spans="1:7" x14ac:dyDescent="0.25">
      <c r="A15" s="133" t="s">
        <v>27</v>
      </c>
      <c r="B15" s="131">
        <v>0</v>
      </c>
      <c r="C15" s="131">
        <v>0</v>
      </c>
      <c r="D15" s="130">
        <v>0</v>
      </c>
      <c r="E15" s="130">
        <v>0</v>
      </c>
      <c r="F15" s="128">
        <f>SUM(B15:E15)</f>
        <v>0</v>
      </c>
    </row>
    <row r="16" spans="1:7" x14ac:dyDescent="0.25">
      <c r="A16" s="133" t="s">
        <v>29</v>
      </c>
      <c r="B16" s="131">
        <v>0</v>
      </c>
      <c r="C16" s="131">
        <v>0</v>
      </c>
      <c r="D16" s="131">
        <v>0</v>
      </c>
      <c r="E16" s="131">
        <v>0</v>
      </c>
      <c r="F16" s="128">
        <f>SUM(B16:E16)</f>
        <v>0</v>
      </c>
    </row>
    <row r="17" spans="1:6" x14ac:dyDescent="0.25">
      <c r="A17" s="133" t="s">
        <v>5723</v>
      </c>
      <c r="B17" s="131">
        <v>0</v>
      </c>
      <c r="C17" s="131">
        <v>0</v>
      </c>
      <c r="D17" s="131">
        <v>0</v>
      </c>
      <c r="E17" s="131">
        <v>0</v>
      </c>
      <c r="F17" s="128">
        <f>SUM(B17:E17)</f>
        <v>0</v>
      </c>
    </row>
    <row r="18" spans="1:6" x14ac:dyDescent="0.25">
      <c r="A18" s="133"/>
      <c r="B18" s="130"/>
      <c r="C18" s="131"/>
      <c r="D18" s="131"/>
      <c r="E18" s="131"/>
      <c r="F18" s="132"/>
    </row>
    <row r="19" spans="1:6" ht="31.5" x14ac:dyDescent="0.25">
      <c r="A19" s="135" t="s">
        <v>5724</v>
      </c>
      <c r="B19" s="127">
        <f>SUM(B20:B23)</f>
        <v>0</v>
      </c>
      <c r="C19" s="134">
        <f>SUM(C20:C23)</f>
        <v>16461598930.450001</v>
      </c>
      <c r="D19" s="134">
        <f>SUM(D20:D23)</f>
        <v>2238798099.77</v>
      </c>
      <c r="E19" s="134">
        <f>SUM(E20:E23)</f>
        <v>16706043605.77</v>
      </c>
      <c r="F19" s="136">
        <f>SUM(F20:F23)</f>
        <v>35406440635.990005</v>
      </c>
    </row>
    <row r="20" spans="1:6" x14ac:dyDescent="0.25">
      <c r="A20" s="137" t="s">
        <v>5713</v>
      </c>
      <c r="B20" s="130"/>
      <c r="C20" s="138">
        <v>0</v>
      </c>
      <c r="D20" s="131">
        <v>2238798099.77</v>
      </c>
      <c r="E20" s="131">
        <v>0</v>
      </c>
      <c r="F20" s="132">
        <f>SUM(B20:E20)</f>
        <v>2238798099.77</v>
      </c>
    </row>
    <row r="21" spans="1:6" x14ac:dyDescent="0.25">
      <c r="A21" s="137" t="s">
        <v>5725</v>
      </c>
      <c r="B21" s="130"/>
      <c r="C21" s="131">
        <v>16461598930.450001</v>
      </c>
      <c r="D21" s="138">
        <v>0</v>
      </c>
      <c r="E21" s="131">
        <v>0</v>
      </c>
      <c r="F21" s="132">
        <f>SUM(B21:E21)</f>
        <v>16461598930.450001</v>
      </c>
    </row>
    <row r="22" spans="1:6" x14ac:dyDescent="0.25">
      <c r="A22" s="137" t="s">
        <v>31</v>
      </c>
      <c r="B22" s="130"/>
      <c r="C22" s="131">
        <v>0</v>
      </c>
      <c r="D22" s="131">
        <v>0</v>
      </c>
      <c r="E22" s="131">
        <v>16706043605.77</v>
      </c>
      <c r="F22" s="132">
        <f>SUM(B22:E22)</f>
        <v>16706043605.77</v>
      </c>
    </row>
    <row r="23" spans="1:6" x14ac:dyDescent="0.25">
      <c r="A23" s="137" t="s">
        <v>32</v>
      </c>
      <c r="B23" s="130"/>
      <c r="C23" s="131">
        <v>0</v>
      </c>
      <c r="D23" s="131">
        <v>0</v>
      </c>
      <c r="E23" s="131">
        <v>0</v>
      </c>
      <c r="F23" s="139">
        <v>0</v>
      </c>
    </row>
    <row r="24" spans="1:6" x14ac:dyDescent="0.25">
      <c r="A24" s="140"/>
      <c r="B24" s="127"/>
      <c r="C24" s="131"/>
      <c r="D24" s="131"/>
      <c r="E24" s="131"/>
      <c r="F24" s="139"/>
    </row>
    <row r="25" spans="1:6" ht="16.5" thickBot="1" x14ac:dyDescent="0.3">
      <c r="A25" s="133"/>
      <c r="B25" s="130"/>
      <c r="C25" s="130"/>
      <c r="D25" s="130"/>
      <c r="E25" s="130"/>
      <c r="F25" s="139"/>
    </row>
    <row r="26" spans="1:6" ht="16.5" thickBot="1" x14ac:dyDescent="0.3">
      <c r="A26" s="141" t="s">
        <v>5726</v>
      </c>
      <c r="B26" s="142">
        <f>+B11+B14+B19</f>
        <v>0</v>
      </c>
      <c r="C26" s="142">
        <f>+C11+C14+C19</f>
        <v>16461598930.450001</v>
      </c>
      <c r="D26" s="142">
        <f>+D11+D14+D19</f>
        <v>2238798099.77</v>
      </c>
      <c r="E26" s="142">
        <f>+E11+E14+E19</f>
        <v>16706043605.77</v>
      </c>
      <c r="F26" s="143">
        <f>+F11+F14+F19</f>
        <v>35406440635.990005</v>
      </c>
    </row>
    <row r="27" spans="1:6" x14ac:dyDescent="0.25">
      <c r="A27" s="133"/>
      <c r="B27" s="144"/>
      <c r="C27" s="145"/>
      <c r="D27" s="145"/>
      <c r="E27" s="144"/>
      <c r="F27" s="146"/>
    </row>
    <row r="28" spans="1:6" x14ac:dyDescent="0.25">
      <c r="A28" s="133"/>
      <c r="B28" s="144"/>
      <c r="C28" s="145"/>
      <c r="D28" s="145"/>
      <c r="E28" s="144"/>
      <c r="F28" s="146"/>
    </row>
    <row r="29" spans="1:6" ht="31.5" x14ac:dyDescent="0.25">
      <c r="A29" s="135" t="s">
        <v>5727</v>
      </c>
      <c r="B29" s="147">
        <f>SUM(B30:B32)</f>
        <v>0</v>
      </c>
      <c r="C29" s="147">
        <f>SUM(C30:C32)</f>
        <v>0</v>
      </c>
      <c r="D29" s="147">
        <f>SUM(D30:D32)</f>
        <v>0</v>
      </c>
      <c r="E29" s="147">
        <f>SUM(E30:E32)</f>
        <v>0</v>
      </c>
      <c r="F29" s="148">
        <f>SUM(B29:E29)</f>
        <v>0</v>
      </c>
    </row>
    <row r="30" spans="1:6" x14ac:dyDescent="0.25">
      <c r="A30" s="137" t="s">
        <v>27</v>
      </c>
      <c r="B30" s="145">
        <v>0</v>
      </c>
      <c r="C30" s="145">
        <v>0</v>
      </c>
      <c r="D30" s="144">
        <v>0</v>
      </c>
      <c r="E30" s="144">
        <v>0</v>
      </c>
      <c r="F30" s="146">
        <f>SUM(B30:E30)</f>
        <v>0</v>
      </c>
    </row>
    <row r="31" spans="1:6" x14ac:dyDescent="0.25">
      <c r="A31" s="137" t="s">
        <v>29</v>
      </c>
      <c r="B31" s="145">
        <v>0</v>
      </c>
      <c r="C31" s="145">
        <v>0</v>
      </c>
      <c r="D31" s="145">
        <v>0</v>
      </c>
      <c r="E31" s="145">
        <v>0</v>
      </c>
      <c r="F31" s="146">
        <f>SUM(B31:E31)</f>
        <v>0</v>
      </c>
    </row>
    <row r="32" spans="1:6" x14ac:dyDescent="0.25">
      <c r="A32" s="137" t="s">
        <v>5723</v>
      </c>
      <c r="B32" s="145">
        <v>0</v>
      </c>
      <c r="C32" s="145">
        <v>0</v>
      </c>
      <c r="D32" s="145">
        <v>0</v>
      </c>
      <c r="E32" s="149">
        <v>0</v>
      </c>
      <c r="F32" s="146">
        <f>SUM(B32:E32)</f>
        <v>0</v>
      </c>
    </row>
    <row r="33" spans="1:8" x14ac:dyDescent="0.25">
      <c r="A33" s="150"/>
      <c r="B33" s="144"/>
      <c r="C33" s="145"/>
      <c r="D33" s="145"/>
      <c r="E33" s="145"/>
      <c r="F33" s="146"/>
    </row>
    <row r="34" spans="1:8" x14ac:dyDescent="0.25">
      <c r="A34" s="150"/>
      <c r="B34" s="144"/>
      <c r="C34" s="145"/>
      <c r="D34" s="145"/>
      <c r="E34" s="145"/>
      <c r="F34" s="148"/>
    </row>
    <row r="35" spans="1:8" x14ac:dyDescent="0.25">
      <c r="A35" s="151" t="s">
        <v>5728</v>
      </c>
      <c r="B35" s="147">
        <f>SUM(B36:B39)</f>
        <v>0</v>
      </c>
      <c r="C35" s="152">
        <f>SUM(C36:C39)</f>
        <v>-11539505356.08</v>
      </c>
      <c r="D35" s="152">
        <f>SUM(D36:D39)</f>
        <v>-3015389496.3299999</v>
      </c>
      <c r="E35" s="152">
        <f>SUM(E36:E39)</f>
        <v>-7435108431.8199997</v>
      </c>
      <c r="F35" s="148">
        <f>SUM(B35:E35)</f>
        <v>-21990003284.23</v>
      </c>
    </row>
    <row r="36" spans="1:8" x14ac:dyDescent="0.25">
      <c r="A36" s="137" t="s">
        <v>5713</v>
      </c>
      <c r="B36" s="144">
        <v>0</v>
      </c>
      <c r="C36" s="145">
        <v>0</v>
      </c>
      <c r="D36" s="145">
        <v>-776591396.55999994</v>
      </c>
      <c r="E36" s="145">
        <v>0</v>
      </c>
      <c r="F36" s="146">
        <f>SUM(B36:E36)</f>
        <v>-776591396.55999994</v>
      </c>
    </row>
    <row r="37" spans="1:8" x14ac:dyDescent="0.25">
      <c r="A37" s="137" t="s">
        <v>34</v>
      </c>
      <c r="B37" s="144">
        <v>0</v>
      </c>
      <c r="C37" s="145">
        <v>-11539505356.08</v>
      </c>
      <c r="D37" s="153">
        <v>-2238798099.77</v>
      </c>
      <c r="E37" s="145">
        <v>0</v>
      </c>
      <c r="F37" s="146">
        <f>SUM(B37:E37)</f>
        <v>-13778303455.85</v>
      </c>
    </row>
    <row r="38" spans="1:8" x14ac:dyDescent="0.25">
      <c r="A38" s="137" t="s">
        <v>31</v>
      </c>
      <c r="B38" s="144">
        <v>0</v>
      </c>
      <c r="C38" s="145">
        <v>0</v>
      </c>
      <c r="D38" s="145">
        <v>0</v>
      </c>
      <c r="E38" s="145">
        <v>-7435108431.8199997</v>
      </c>
      <c r="F38" s="146">
        <f>SUM(B38:E38)</f>
        <v>-7435108431.8199997</v>
      </c>
      <c r="H38" s="154"/>
    </row>
    <row r="39" spans="1:8" x14ac:dyDescent="0.25">
      <c r="A39" s="137" t="s">
        <v>32</v>
      </c>
      <c r="B39" s="144">
        <v>0</v>
      </c>
      <c r="C39" s="145">
        <v>0</v>
      </c>
      <c r="D39" s="153">
        <v>0</v>
      </c>
      <c r="E39" s="145">
        <v>0</v>
      </c>
      <c r="F39" s="146">
        <f>SUM(B39:E39)</f>
        <v>0</v>
      </c>
    </row>
    <row r="40" spans="1:8" x14ac:dyDescent="0.25">
      <c r="A40" s="150"/>
      <c r="B40" s="144"/>
      <c r="C40" s="144"/>
      <c r="D40" s="144"/>
      <c r="E40" s="144"/>
      <c r="F40" s="146"/>
    </row>
    <row r="41" spans="1:8" ht="16.5" thickBot="1" x14ac:dyDescent="0.3">
      <c r="A41" s="133"/>
      <c r="B41" s="144"/>
      <c r="C41" s="144"/>
      <c r="D41" s="144"/>
      <c r="E41" s="144"/>
      <c r="F41" s="146"/>
    </row>
    <row r="42" spans="1:8" ht="16.5" thickBot="1" x14ac:dyDescent="0.3">
      <c r="A42" s="155" t="s">
        <v>5729</v>
      </c>
      <c r="B42" s="156">
        <f>+B26+B29+B35</f>
        <v>0</v>
      </c>
      <c r="C42" s="156">
        <f>+C26+C29+C35</f>
        <v>4922093574.3700008</v>
      </c>
      <c r="D42" s="156">
        <f>+D26+D29+D35</f>
        <v>-776591396.55999994</v>
      </c>
      <c r="E42" s="156">
        <f>+E26+E29+E35</f>
        <v>9270935173.9500008</v>
      </c>
      <c r="F42" s="157">
        <f>+F26+F29+F35</f>
        <v>13416437351.760006</v>
      </c>
    </row>
  </sheetData>
  <mergeCells count="6">
    <mergeCell ref="A7:F7"/>
    <mergeCell ref="A2:F2"/>
    <mergeCell ref="A3:F3"/>
    <mergeCell ref="A4:F4"/>
    <mergeCell ref="A5:F5"/>
    <mergeCell ref="A6:F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4" workbookViewId="0">
      <selection activeCell="J14" sqref="J14"/>
    </sheetView>
  </sheetViews>
  <sheetFormatPr baseColWidth="10" defaultColWidth="9.140625" defaultRowHeight="15.75" x14ac:dyDescent="0.25"/>
  <cols>
    <col min="1" max="1" width="3.7109375" style="115" customWidth="1"/>
    <col min="2" max="2" width="67.85546875" style="115" customWidth="1"/>
    <col min="3" max="3" width="18.85546875" style="115" bestFit="1" customWidth="1"/>
    <col min="4" max="4" width="18.85546875" style="158" bestFit="1" customWidth="1"/>
    <col min="5" max="6" width="3.140625" style="115" customWidth="1"/>
    <col min="7" max="7" width="4.85546875" style="115" customWidth="1"/>
    <col min="8" max="8" width="18.28515625" style="115" hidden="1" customWidth="1"/>
    <col min="9" max="9" width="3.28515625" style="115" customWidth="1"/>
    <col min="10" max="10" width="6.28515625" style="115" customWidth="1"/>
    <col min="11" max="16384" width="9.140625" style="115"/>
  </cols>
  <sheetData>
    <row r="1" spans="1:8" ht="16.5" thickBot="1" x14ac:dyDescent="0.3">
      <c r="A1" s="110"/>
      <c r="B1" s="111"/>
      <c r="C1" s="111"/>
      <c r="E1" s="111"/>
      <c r="F1" s="113"/>
      <c r="G1" s="114"/>
      <c r="H1" s="159"/>
    </row>
    <row r="2" spans="1:8" x14ac:dyDescent="0.25">
      <c r="A2" s="336" t="s">
        <v>40</v>
      </c>
      <c r="B2" s="337"/>
      <c r="C2" s="337"/>
      <c r="D2" s="337"/>
      <c r="E2" s="338"/>
      <c r="H2" s="160"/>
    </row>
    <row r="3" spans="1:8" x14ac:dyDescent="0.25">
      <c r="A3" s="339" t="s">
        <v>5730</v>
      </c>
      <c r="B3" s="317"/>
      <c r="C3" s="317"/>
      <c r="D3" s="317"/>
      <c r="E3" s="340"/>
      <c r="H3" s="34"/>
    </row>
    <row r="4" spans="1:8" x14ac:dyDescent="0.25">
      <c r="A4" s="339" t="s">
        <v>5665</v>
      </c>
      <c r="B4" s="317"/>
      <c r="C4" s="317"/>
      <c r="D4" s="317"/>
      <c r="E4" s="340"/>
      <c r="H4" s="34"/>
    </row>
    <row r="5" spans="1:8" x14ac:dyDescent="0.25">
      <c r="A5" s="339"/>
      <c r="B5" s="317"/>
      <c r="C5" s="317"/>
      <c r="D5" s="317"/>
      <c r="E5" s="340"/>
      <c r="H5" s="34"/>
    </row>
    <row r="6" spans="1:8" x14ac:dyDescent="0.25">
      <c r="A6" s="339"/>
      <c r="B6" s="317"/>
      <c r="C6" s="317"/>
      <c r="D6" s="317"/>
      <c r="E6" s="340"/>
      <c r="H6" s="34"/>
    </row>
    <row r="7" spans="1:8" ht="16.5" thickBot="1" x14ac:dyDescent="0.3">
      <c r="A7" s="333"/>
      <c r="B7" s="334"/>
      <c r="C7" s="334"/>
      <c r="D7" s="334"/>
      <c r="E7" s="335"/>
      <c r="H7" s="34"/>
    </row>
    <row r="8" spans="1:8" x14ac:dyDescent="0.25">
      <c r="A8" s="161"/>
      <c r="B8" s="162"/>
      <c r="C8" s="162"/>
      <c r="D8" s="163"/>
      <c r="E8" s="164"/>
      <c r="H8" s="165"/>
    </row>
    <row r="9" spans="1:8" x14ac:dyDescent="0.25">
      <c r="A9" s="161"/>
      <c r="B9" s="162"/>
      <c r="C9" s="162"/>
      <c r="D9" s="163"/>
      <c r="E9" s="164"/>
      <c r="F9" s="162"/>
      <c r="G9" s="162"/>
      <c r="H9" s="162"/>
    </row>
    <row r="10" spans="1:8" x14ac:dyDescent="0.25">
      <c r="A10" s="161"/>
      <c r="B10" s="162"/>
      <c r="C10" s="166" t="s">
        <v>5731</v>
      </c>
      <c r="D10" s="167" t="s">
        <v>5732</v>
      </c>
      <c r="E10" s="164"/>
      <c r="F10" s="162"/>
      <c r="G10" s="162"/>
      <c r="H10" s="162"/>
    </row>
    <row r="11" spans="1:8" x14ac:dyDescent="0.25">
      <c r="A11" s="161"/>
      <c r="B11" s="162"/>
      <c r="C11" s="168"/>
      <c r="D11" s="169"/>
      <c r="E11" s="164"/>
      <c r="F11" s="162"/>
      <c r="G11" s="162"/>
      <c r="H11" s="162"/>
    </row>
    <row r="12" spans="1:8" x14ac:dyDescent="0.25">
      <c r="A12" s="170" t="s">
        <v>0</v>
      </c>
      <c r="B12" s="171"/>
      <c r="C12" s="172">
        <v>17631263981.900002</v>
      </c>
      <c r="D12" s="173">
        <v>0</v>
      </c>
      <c r="E12" s="164"/>
      <c r="F12" s="174"/>
    </row>
    <row r="13" spans="1:8" x14ac:dyDescent="0.25">
      <c r="A13" s="175" t="s">
        <v>1</v>
      </c>
      <c r="B13" s="176"/>
      <c r="C13" s="177">
        <v>0</v>
      </c>
      <c r="D13" s="178">
        <v>736028902.61000001</v>
      </c>
      <c r="E13" s="179"/>
      <c r="F13" s="180"/>
    </row>
    <row r="14" spans="1:8" x14ac:dyDescent="0.25">
      <c r="A14" s="161"/>
      <c r="B14" s="181" t="s">
        <v>5733</v>
      </c>
      <c r="C14" s="182">
        <v>0</v>
      </c>
      <c r="D14" s="183">
        <v>143628673.19</v>
      </c>
      <c r="E14" s="164"/>
      <c r="F14" s="162"/>
    </row>
    <row r="15" spans="1:8" x14ac:dyDescent="0.25">
      <c r="A15" s="161"/>
      <c r="B15" s="181" t="s">
        <v>5734</v>
      </c>
      <c r="C15" s="182">
        <v>0</v>
      </c>
      <c r="D15" s="184">
        <v>305309581.44000006</v>
      </c>
      <c r="E15" s="164"/>
      <c r="F15" s="162"/>
    </row>
    <row r="16" spans="1:8" x14ac:dyDescent="0.25">
      <c r="A16" s="161"/>
      <c r="B16" s="185" t="s">
        <v>5735</v>
      </c>
      <c r="C16" s="182">
        <v>0</v>
      </c>
      <c r="D16" s="184">
        <v>269545802.55000001</v>
      </c>
      <c r="E16" s="164"/>
      <c r="F16" s="162"/>
    </row>
    <row r="17" spans="1:6" x14ac:dyDescent="0.25">
      <c r="A17" s="161"/>
      <c r="B17" s="181" t="s">
        <v>5736</v>
      </c>
      <c r="C17" s="182">
        <v>0</v>
      </c>
      <c r="D17" s="183">
        <v>0</v>
      </c>
      <c r="E17" s="164"/>
      <c r="F17" s="162"/>
    </row>
    <row r="18" spans="1:6" x14ac:dyDescent="0.25">
      <c r="A18" s="161"/>
      <c r="B18" s="181" t="s">
        <v>4</v>
      </c>
      <c r="C18" s="186">
        <v>0</v>
      </c>
      <c r="D18" s="187">
        <v>0</v>
      </c>
      <c r="E18" s="164"/>
      <c r="F18" s="162"/>
    </row>
    <row r="19" spans="1:6" x14ac:dyDescent="0.25">
      <c r="A19" s="161"/>
      <c r="B19" s="181" t="s">
        <v>5737</v>
      </c>
      <c r="C19" s="186">
        <v>0</v>
      </c>
      <c r="D19" s="187">
        <v>0</v>
      </c>
      <c r="E19" s="164"/>
      <c r="F19" s="162"/>
    </row>
    <row r="20" spans="1:6" x14ac:dyDescent="0.25">
      <c r="A20" s="161"/>
      <c r="B20" s="181" t="s">
        <v>5738</v>
      </c>
      <c r="C20" s="186">
        <v>0</v>
      </c>
      <c r="D20" s="187">
        <v>17544845.43</v>
      </c>
      <c r="E20" s="164"/>
      <c r="F20" s="162"/>
    </row>
    <row r="21" spans="1:6" x14ac:dyDescent="0.25">
      <c r="A21" s="161"/>
      <c r="B21" s="162"/>
      <c r="C21" s="188"/>
      <c r="D21" s="163"/>
      <c r="E21" s="164"/>
      <c r="F21" s="162"/>
    </row>
    <row r="22" spans="1:6" x14ac:dyDescent="0.25">
      <c r="A22" s="175" t="s">
        <v>6</v>
      </c>
      <c r="B22" s="176"/>
      <c r="C22" s="177">
        <v>18367292884.509998</v>
      </c>
      <c r="D22" s="178">
        <v>0</v>
      </c>
      <c r="E22" s="164"/>
      <c r="F22" s="162"/>
    </row>
    <row r="23" spans="1:6" x14ac:dyDescent="0.25">
      <c r="A23" s="161"/>
      <c r="B23" s="181" t="s">
        <v>5739</v>
      </c>
      <c r="C23" s="182">
        <v>106519259.66</v>
      </c>
      <c r="D23" s="183">
        <v>0</v>
      </c>
      <c r="E23" s="164"/>
      <c r="F23" s="162"/>
    </row>
    <row r="24" spans="1:6" x14ac:dyDescent="0.25">
      <c r="A24" s="161"/>
      <c r="B24" s="181" t="s">
        <v>153</v>
      </c>
      <c r="C24" s="182">
        <v>0</v>
      </c>
      <c r="D24" s="183">
        <v>0</v>
      </c>
      <c r="E24" s="164"/>
      <c r="F24" s="162"/>
    </row>
    <row r="25" spans="1:6" x14ac:dyDescent="0.25">
      <c r="A25" s="161"/>
      <c r="B25" s="181" t="s">
        <v>5740</v>
      </c>
      <c r="C25" s="182">
        <v>18478039868.900002</v>
      </c>
      <c r="D25" s="183">
        <v>0</v>
      </c>
      <c r="E25" s="164"/>
      <c r="F25" s="162"/>
    </row>
    <row r="26" spans="1:6" x14ac:dyDescent="0.25">
      <c r="A26" s="161"/>
      <c r="B26" s="181" t="s">
        <v>8</v>
      </c>
      <c r="C26" s="182">
        <v>0</v>
      </c>
      <c r="D26" s="183">
        <v>176336190.56999999</v>
      </c>
      <c r="E26" s="164"/>
      <c r="F26" s="162"/>
    </row>
    <row r="27" spans="1:6" x14ac:dyDescent="0.25">
      <c r="A27" s="161"/>
      <c r="B27" s="181" t="s">
        <v>9</v>
      </c>
      <c r="C27" s="182">
        <v>0</v>
      </c>
      <c r="D27" s="183">
        <v>487917505.86000001</v>
      </c>
      <c r="E27" s="164"/>
      <c r="F27" s="162"/>
    </row>
    <row r="28" spans="1:6" x14ac:dyDescent="0.25">
      <c r="A28" s="161"/>
      <c r="B28" s="189" t="s">
        <v>5741</v>
      </c>
      <c r="C28" s="182">
        <v>446987452.38</v>
      </c>
      <c r="D28" s="183">
        <v>0</v>
      </c>
      <c r="E28" s="164"/>
      <c r="F28" s="162"/>
    </row>
    <row r="29" spans="1:6" x14ac:dyDescent="0.25">
      <c r="A29" s="161"/>
      <c r="B29" s="181" t="s">
        <v>10</v>
      </c>
      <c r="C29" s="183">
        <v>0</v>
      </c>
      <c r="D29" s="183">
        <v>0</v>
      </c>
      <c r="E29" s="164"/>
      <c r="F29" s="162"/>
    </row>
    <row r="30" spans="1:6" x14ac:dyDescent="0.25">
      <c r="A30" s="161"/>
      <c r="B30" s="181" t="s">
        <v>5742</v>
      </c>
      <c r="C30" s="183">
        <v>0</v>
      </c>
      <c r="D30" s="183">
        <v>0</v>
      </c>
      <c r="E30" s="164"/>
      <c r="F30" s="162"/>
    </row>
    <row r="31" spans="1:6" x14ac:dyDescent="0.25">
      <c r="A31" s="161"/>
      <c r="B31" s="181" t="s">
        <v>5743</v>
      </c>
      <c r="C31" s="183">
        <v>0</v>
      </c>
      <c r="D31" s="183">
        <v>0</v>
      </c>
      <c r="E31" s="164"/>
      <c r="F31" s="162"/>
    </row>
    <row r="32" spans="1:6" x14ac:dyDescent="0.25">
      <c r="A32" s="161"/>
      <c r="B32" s="171"/>
      <c r="C32" s="162"/>
      <c r="D32" s="163"/>
      <c r="E32" s="164"/>
      <c r="F32" s="162"/>
    </row>
    <row r="33" spans="1:6" x14ac:dyDescent="0.25">
      <c r="A33" s="170" t="s">
        <v>12</v>
      </c>
      <c r="B33" s="171"/>
      <c r="C33" s="173">
        <v>4358739302.3299999</v>
      </c>
      <c r="D33" s="173">
        <v>0</v>
      </c>
      <c r="E33" s="164"/>
      <c r="F33" s="162"/>
    </row>
    <row r="34" spans="1:6" x14ac:dyDescent="0.25">
      <c r="A34" s="175" t="s">
        <v>13</v>
      </c>
      <c r="B34" s="171"/>
      <c r="C34" s="178">
        <v>3391748478.9400001</v>
      </c>
      <c r="D34" s="178">
        <v>0</v>
      </c>
      <c r="E34" s="164"/>
      <c r="F34" s="162"/>
    </row>
    <row r="35" spans="1:6" x14ac:dyDescent="0.25">
      <c r="A35" s="190"/>
      <c r="B35" s="181" t="s">
        <v>5744</v>
      </c>
      <c r="C35" s="184">
        <v>2349678800.0800004</v>
      </c>
      <c r="D35" s="183">
        <v>0</v>
      </c>
      <c r="E35" s="164"/>
      <c r="F35" s="162"/>
    </row>
    <row r="36" spans="1:6" x14ac:dyDescent="0.25">
      <c r="A36" s="190"/>
      <c r="B36" s="181" t="s">
        <v>5745</v>
      </c>
      <c r="C36" s="183">
        <v>739410939.14999998</v>
      </c>
      <c r="D36" s="183">
        <v>0</v>
      </c>
      <c r="E36" s="164"/>
      <c r="F36" s="162"/>
    </row>
    <row r="37" spans="1:6" x14ac:dyDescent="0.25">
      <c r="A37" s="190"/>
      <c r="B37" s="181" t="s">
        <v>5746</v>
      </c>
      <c r="C37" s="183">
        <v>149255898.28</v>
      </c>
      <c r="D37" s="183">
        <v>0</v>
      </c>
      <c r="E37" s="164"/>
      <c r="F37" s="162"/>
    </row>
    <row r="38" spans="1:6" x14ac:dyDescent="0.25">
      <c r="A38" s="190"/>
      <c r="B38" s="181" t="s">
        <v>14</v>
      </c>
      <c r="C38" s="183">
        <v>0</v>
      </c>
      <c r="D38" s="183">
        <v>0</v>
      </c>
      <c r="E38" s="164"/>
      <c r="F38" s="162"/>
    </row>
    <row r="39" spans="1:6" x14ac:dyDescent="0.25">
      <c r="A39" s="190"/>
      <c r="B39" s="181" t="s">
        <v>5747</v>
      </c>
      <c r="C39" s="183">
        <v>7663990.6600000001</v>
      </c>
      <c r="D39" s="183">
        <v>0</v>
      </c>
      <c r="E39" s="164"/>
      <c r="F39" s="162"/>
    </row>
    <row r="40" spans="1:6" x14ac:dyDescent="0.25">
      <c r="A40" s="190"/>
      <c r="B40" s="181" t="s">
        <v>5748</v>
      </c>
      <c r="C40" s="184">
        <v>145124136.92999998</v>
      </c>
      <c r="D40" s="183">
        <v>0</v>
      </c>
      <c r="E40" s="164"/>
      <c r="F40" s="162"/>
    </row>
    <row r="41" spans="1:6" x14ac:dyDescent="0.25">
      <c r="A41" s="190"/>
      <c r="B41" s="181" t="s">
        <v>16</v>
      </c>
      <c r="C41" s="183">
        <v>0</v>
      </c>
      <c r="D41" s="183">
        <v>0</v>
      </c>
      <c r="E41" s="164"/>
      <c r="F41" s="162"/>
    </row>
    <row r="42" spans="1:6" x14ac:dyDescent="0.25">
      <c r="A42" s="190"/>
      <c r="B42" s="181" t="s">
        <v>15</v>
      </c>
      <c r="C42" s="183">
        <v>614713.84</v>
      </c>
      <c r="D42" s="183">
        <v>0</v>
      </c>
      <c r="E42" s="164"/>
      <c r="F42" s="162"/>
    </row>
    <row r="43" spans="1:6" x14ac:dyDescent="0.25">
      <c r="A43" s="191"/>
      <c r="B43" s="192"/>
      <c r="C43" s="162"/>
      <c r="D43" s="162"/>
      <c r="E43" s="164"/>
      <c r="F43" s="162"/>
    </row>
    <row r="44" spans="1:6" x14ac:dyDescent="0.25">
      <c r="A44" s="175" t="s">
        <v>18</v>
      </c>
      <c r="B44" s="171"/>
      <c r="C44" s="178">
        <v>966990823.38999999</v>
      </c>
      <c r="D44" s="178">
        <v>0</v>
      </c>
      <c r="E44" s="164"/>
      <c r="F44" s="162"/>
    </row>
    <row r="45" spans="1:6" x14ac:dyDescent="0.25">
      <c r="A45" s="161"/>
      <c r="B45" s="181" t="s">
        <v>19</v>
      </c>
      <c r="C45" s="183">
        <v>0</v>
      </c>
      <c r="D45" s="183">
        <v>0</v>
      </c>
      <c r="E45" s="164"/>
      <c r="F45" s="162"/>
    </row>
    <row r="46" spans="1:6" x14ac:dyDescent="0.25">
      <c r="A46" s="161"/>
      <c r="B46" s="181" t="s">
        <v>20</v>
      </c>
      <c r="C46" s="183">
        <v>0</v>
      </c>
      <c r="D46" s="183">
        <v>0</v>
      </c>
      <c r="E46" s="164"/>
      <c r="F46" s="162"/>
    </row>
    <row r="47" spans="1:6" x14ac:dyDescent="0.25">
      <c r="A47" s="161"/>
      <c r="B47" s="181" t="s">
        <v>21</v>
      </c>
      <c r="C47" s="183">
        <v>1008163163.39</v>
      </c>
      <c r="D47" s="183">
        <v>0</v>
      </c>
      <c r="E47" s="164"/>
      <c r="F47" s="162"/>
    </row>
    <row r="48" spans="1:6" x14ac:dyDescent="0.25">
      <c r="A48" s="161"/>
      <c r="B48" s="181" t="s">
        <v>22</v>
      </c>
      <c r="C48" s="183">
        <v>0</v>
      </c>
      <c r="D48" s="183">
        <v>0</v>
      </c>
      <c r="E48" s="164"/>
      <c r="F48" s="162"/>
    </row>
    <row r="49" spans="1:10" ht="18" customHeight="1" x14ac:dyDescent="0.25">
      <c r="A49" s="161"/>
      <c r="B49" s="181" t="s">
        <v>5749</v>
      </c>
      <c r="C49" s="183">
        <v>0</v>
      </c>
      <c r="D49" s="183">
        <v>41172340</v>
      </c>
      <c r="E49" s="164"/>
      <c r="F49" s="162"/>
    </row>
    <row r="50" spans="1:10" ht="18" customHeight="1" x14ac:dyDescent="0.25">
      <c r="A50" s="161"/>
      <c r="B50" s="181" t="s">
        <v>23</v>
      </c>
      <c r="C50" s="183">
        <v>0</v>
      </c>
      <c r="D50" s="183">
        <v>0</v>
      </c>
      <c r="E50" s="164"/>
      <c r="F50" s="162"/>
    </row>
    <row r="51" spans="1:10" ht="18" customHeight="1" x14ac:dyDescent="0.25">
      <c r="A51" s="161"/>
      <c r="B51" s="171"/>
      <c r="C51" s="162"/>
      <c r="D51" s="162"/>
      <c r="E51" s="164"/>
      <c r="F51" s="162"/>
    </row>
    <row r="52" spans="1:10" ht="18" customHeight="1" x14ac:dyDescent="0.25">
      <c r="A52" s="190" t="s">
        <v>5750</v>
      </c>
      <c r="B52" s="171"/>
      <c r="C52" s="173">
        <v>0</v>
      </c>
      <c r="D52" s="173">
        <v>0</v>
      </c>
      <c r="E52" s="164"/>
      <c r="F52" s="162"/>
    </row>
    <row r="53" spans="1:10" ht="18" customHeight="1" x14ac:dyDescent="0.25">
      <c r="A53" s="190" t="s">
        <v>28</v>
      </c>
      <c r="B53" s="171"/>
      <c r="C53" s="173">
        <v>0</v>
      </c>
      <c r="D53" s="173">
        <v>0</v>
      </c>
      <c r="E53" s="164"/>
      <c r="F53" s="162"/>
    </row>
    <row r="54" spans="1:10" ht="18" customHeight="1" x14ac:dyDescent="0.25">
      <c r="A54" s="161"/>
      <c r="B54" s="171" t="s">
        <v>27</v>
      </c>
      <c r="C54" s="183">
        <v>0</v>
      </c>
      <c r="D54" s="183">
        <v>0</v>
      </c>
      <c r="E54" s="164"/>
      <c r="F54" s="162"/>
      <c r="J54" s="188"/>
    </row>
    <row r="55" spans="1:10" ht="18" customHeight="1" x14ac:dyDescent="0.25">
      <c r="A55" s="161"/>
      <c r="B55" s="171" t="s">
        <v>29</v>
      </c>
      <c r="C55" s="183">
        <v>0</v>
      </c>
      <c r="D55" s="183">
        <v>0</v>
      </c>
      <c r="E55" s="164"/>
      <c r="F55" s="162"/>
      <c r="J55" s="188"/>
    </row>
    <row r="56" spans="1:10" ht="18" customHeight="1" x14ac:dyDescent="0.25">
      <c r="A56" s="161"/>
      <c r="B56" s="171" t="s">
        <v>30</v>
      </c>
      <c r="C56" s="183">
        <v>0</v>
      </c>
      <c r="D56" s="183">
        <v>0</v>
      </c>
      <c r="E56" s="164"/>
      <c r="F56" s="162"/>
      <c r="J56" s="188"/>
    </row>
    <row r="57" spans="1:10" ht="18" customHeight="1" x14ac:dyDescent="0.25">
      <c r="A57" s="161"/>
      <c r="B57" s="171"/>
      <c r="C57" s="162"/>
      <c r="D57" s="162"/>
      <c r="E57" s="164"/>
      <c r="F57" s="162"/>
      <c r="J57" s="162"/>
    </row>
    <row r="58" spans="1:10" ht="18" customHeight="1" x14ac:dyDescent="0.25">
      <c r="A58" s="190" t="s">
        <v>33</v>
      </c>
      <c r="B58" s="171"/>
      <c r="C58" s="173">
        <v>0</v>
      </c>
      <c r="D58" s="173">
        <v>21990003284.23</v>
      </c>
      <c r="E58" s="164"/>
      <c r="F58" s="162"/>
    </row>
    <row r="59" spans="1:10" ht="18" customHeight="1" x14ac:dyDescent="0.25">
      <c r="A59" s="161"/>
      <c r="B59" s="171" t="s">
        <v>5751</v>
      </c>
      <c r="C59" s="183">
        <v>1462206703.21</v>
      </c>
      <c r="D59" s="183">
        <v>0</v>
      </c>
      <c r="E59" s="164"/>
      <c r="F59" s="162"/>
      <c r="G59" s="158"/>
      <c r="J59" s="188"/>
    </row>
    <row r="60" spans="1:10" ht="18" customHeight="1" x14ac:dyDescent="0.25">
      <c r="A60" s="161"/>
      <c r="B60" s="171" t="s">
        <v>34</v>
      </c>
      <c r="C60" s="183">
        <v>0</v>
      </c>
      <c r="D60" s="183">
        <v>11539505356.08</v>
      </c>
      <c r="E60" s="164"/>
      <c r="F60" s="162"/>
      <c r="J60" s="188"/>
    </row>
    <row r="61" spans="1:10" ht="18" customHeight="1" x14ac:dyDescent="0.25">
      <c r="A61" s="161"/>
      <c r="B61" s="192" t="s">
        <v>31</v>
      </c>
      <c r="C61" s="183">
        <v>0</v>
      </c>
      <c r="D61" s="183">
        <v>7435108431.8199997</v>
      </c>
      <c r="E61" s="164"/>
      <c r="F61" s="162"/>
      <c r="J61" s="188"/>
    </row>
    <row r="62" spans="1:10" ht="18" customHeight="1" x14ac:dyDescent="0.25">
      <c r="A62" s="161"/>
      <c r="B62" s="192" t="s">
        <v>32</v>
      </c>
      <c r="C62" s="183">
        <v>0</v>
      </c>
      <c r="D62" s="183">
        <v>0</v>
      </c>
      <c r="E62" s="164"/>
      <c r="F62" s="162"/>
      <c r="J62" s="188"/>
    </row>
    <row r="63" spans="1:10" ht="18" customHeight="1" x14ac:dyDescent="0.25">
      <c r="A63" s="161"/>
      <c r="B63" s="171" t="s">
        <v>35</v>
      </c>
      <c r="C63" s="183">
        <v>0</v>
      </c>
      <c r="D63" s="183">
        <v>0</v>
      </c>
      <c r="E63" s="164"/>
      <c r="F63" s="162"/>
      <c r="J63" s="188"/>
    </row>
    <row r="64" spans="1:10" ht="18" customHeight="1" x14ac:dyDescent="0.25">
      <c r="A64" s="161"/>
      <c r="B64" s="171"/>
      <c r="C64" s="162"/>
      <c r="D64" s="162"/>
      <c r="E64" s="164"/>
      <c r="F64" s="162"/>
      <c r="J64" s="185"/>
    </row>
    <row r="65" spans="1:10" ht="18" customHeight="1" x14ac:dyDescent="0.25">
      <c r="A65" s="193" t="s">
        <v>5752</v>
      </c>
      <c r="B65" s="171"/>
      <c r="C65" s="194">
        <v>0</v>
      </c>
      <c r="D65" s="194">
        <v>0</v>
      </c>
      <c r="E65" s="164"/>
      <c r="F65" s="162"/>
    </row>
    <row r="66" spans="1:10" ht="18" customHeight="1" x14ac:dyDescent="0.25">
      <c r="A66" s="161" t="s">
        <v>135</v>
      </c>
      <c r="B66" s="171"/>
      <c r="C66" s="163">
        <v>0</v>
      </c>
      <c r="D66" s="163">
        <v>0</v>
      </c>
      <c r="E66" s="164"/>
      <c r="F66" s="162"/>
      <c r="J66" s="188"/>
    </row>
    <row r="67" spans="1:10" ht="18" customHeight="1" x14ac:dyDescent="0.25">
      <c r="A67" s="161" t="s">
        <v>136</v>
      </c>
      <c r="B67" s="171"/>
      <c r="C67" s="163">
        <v>0</v>
      </c>
      <c r="D67" s="163">
        <v>0</v>
      </c>
      <c r="E67" s="164"/>
      <c r="F67" s="162"/>
      <c r="J67" s="188"/>
    </row>
    <row r="68" spans="1:10" ht="18" customHeight="1" x14ac:dyDescent="0.25">
      <c r="A68" s="161"/>
      <c r="B68" s="162"/>
      <c r="C68" s="195"/>
      <c r="D68" s="195"/>
      <c r="E68" s="164"/>
      <c r="F68" s="162"/>
      <c r="J68" s="188"/>
    </row>
    <row r="69" spans="1:10" ht="16.5" thickBot="1" x14ac:dyDescent="0.3">
      <c r="A69" s="196"/>
      <c r="B69" s="197"/>
      <c r="C69" s="197"/>
      <c r="D69" s="197"/>
      <c r="E69" s="198"/>
      <c r="F69" s="162"/>
      <c r="J69" s="185"/>
    </row>
    <row r="70" spans="1:10" x14ac:dyDescent="0.25">
      <c r="A70" s="162"/>
      <c r="D70" s="115"/>
      <c r="E70" s="162"/>
      <c r="F70" s="162"/>
    </row>
    <row r="71" spans="1:10" x14ac:dyDescent="0.25">
      <c r="E71" s="162"/>
      <c r="F71" s="162"/>
    </row>
    <row r="72" spans="1:10" x14ac:dyDescent="0.25">
      <c r="E72" s="162"/>
      <c r="F72" s="162"/>
    </row>
    <row r="73" spans="1:10" x14ac:dyDescent="0.25">
      <c r="E73" s="162"/>
      <c r="F73" s="162"/>
    </row>
    <row r="74" spans="1:10" x14ac:dyDescent="0.25">
      <c r="E74" s="162"/>
      <c r="F74" s="162"/>
    </row>
    <row r="75" spans="1:10" x14ac:dyDescent="0.25">
      <c r="E75" s="162"/>
      <c r="F75" s="162"/>
    </row>
    <row r="76" spans="1:10" x14ac:dyDescent="0.25">
      <c r="E76" s="162"/>
      <c r="F76" s="162"/>
    </row>
    <row r="77" spans="1:10" x14ac:dyDescent="0.25">
      <c r="E77" s="162"/>
      <c r="F77" s="162"/>
    </row>
    <row r="78" spans="1:10" x14ac:dyDescent="0.25">
      <c r="E78" s="162"/>
      <c r="F78" s="162"/>
    </row>
    <row r="79" spans="1:10" x14ac:dyDescent="0.25">
      <c r="E79" s="162"/>
      <c r="F79" s="162"/>
    </row>
    <row r="80" spans="1:10" x14ac:dyDescent="0.25">
      <c r="E80" s="162"/>
      <c r="F80" s="162"/>
    </row>
    <row r="81" spans="5:6" x14ac:dyDescent="0.25">
      <c r="E81" s="162"/>
      <c r="F81" s="162"/>
    </row>
    <row r="82" spans="5:6" x14ac:dyDescent="0.25">
      <c r="E82" s="162"/>
      <c r="F82" s="162"/>
    </row>
    <row r="83" spans="5:6" x14ac:dyDescent="0.25">
      <c r="E83" s="162"/>
      <c r="F83" s="162"/>
    </row>
  </sheetData>
  <mergeCells count="6">
    <mergeCell ref="A7:E7"/>
    <mergeCell ref="A2:E2"/>
    <mergeCell ref="A3:E3"/>
    <mergeCell ref="A4:E4"/>
    <mergeCell ref="A5:E5"/>
    <mergeCell ref="A6:E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workbookViewId="0">
      <selection activeCell="G16" sqref="G16"/>
    </sheetView>
  </sheetViews>
  <sheetFormatPr baseColWidth="10" defaultColWidth="63" defaultRowHeight="16.5" x14ac:dyDescent="0.3"/>
  <cols>
    <col min="1" max="1" width="3.7109375" style="203" customWidth="1"/>
    <col min="2" max="2" width="84.140625" style="244" customWidth="1"/>
    <col min="3" max="3" width="17" style="231" bestFit="1" customWidth="1"/>
    <col min="4" max="4" width="16.28515625" style="231" bestFit="1" customWidth="1"/>
    <col min="5" max="5" width="6.42578125" style="203" customWidth="1"/>
    <col min="6" max="6" width="10" style="203" customWidth="1"/>
    <col min="7" max="16384" width="63" style="203"/>
  </cols>
  <sheetData>
    <row r="1" spans="1:6" ht="17.25" thickBot="1" x14ac:dyDescent="0.35">
      <c r="A1" s="199"/>
      <c r="B1" s="199"/>
      <c r="C1" s="200"/>
      <c r="D1" s="200"/>
      <c r="E1" s="201"/>
      <c r="F1" s="202"/>
    </row>
    <row r="2" spans="1:6" x14ac:dyDescent="0.3">
      <c r="A2" s="343" t="s">
        <v>5753</v>
      </c>
      <c r="B2" s="344"/>
      <c r="C2" s="344"/>
      <c r="D2" s="344"/>
      <c r="E2" s="345"/>
    </row>
    <row r="3" spans="1:6" x14ac:dyDescent="0.3">
      <c r="A3" s="346" t="s">
        <v>5754</v>
      </c>
      <c r="B3" s="347"/>
      <c r="C3" s="347"/>
      <c r="D3" s="347"/>
      <c r="E3" s="348"/>
    </row>
    <row r="4" spans="1:6" x14ac:dyDescent="0.3">
      <c r="A4" s="346" t="s">
        <v>5665</v>
      </c>
      <c r="B4" s="347"/>
      <c r="C4" s="347"/>
      <c r="D4" s="347"/>
      <c r="E4" s="348"/>
    </row>
    <row r="5" spans="1:6" x14ac:dyDescent="0.3">
      <c r="A5" s="349"/>
      <c r="B5" s="350"/>
      <c r="C5" s="350"/>
      <c r="D5" s="350"/>
      <c r="E5" s="351"/>
    </row>
    <row r="6" spans="1:6" x14ac:dyDescent="0.3">
      <c r="A6" s="346"/>
      <c r="B6" s="347"/>
      <c r="C6" s="347"/>
      <c r="D6" s="347"/>
      <c r="E6" s="348"/>
    </row>
    <row r="7" spans="1:6" ht="17.25" thickBot="1" x14ac:dyDescent="0.35">
      <c r="A7" s="319"/>
      <c r="B7" s="341"/>
      <c r="C7" s="341"/>
      <c r="D7" s="341"/>
      <c r="E7" s="342"/>
    </row>
    <row r="8" spans="1:6" x14ac:dyDescent="0.3">
      <c r="A8" s="204" t="s">
        <v>5755</v>
      </c>
      <c r="B8" s="205"/>
      <c r="C8" s="206"/>
      <c r="D8" s="206"/>
      <c r="E8" s="207"/>
    </row>
    <row r="9" spans="1:6" x14ac:dyDescent="0.3">
      <c r="A9" s="91"/>
      <c r="B9" s="208"/>
      <c r="C9" s="209">
        <v>2015</v>
      </c>
      <c r="D9" s="209">
        <v>2014</v>
      </c>
      <c r="E9" s="210"/>
    </row>
    <row r="10" spans="1:6" x14ac:dyDescent="0.3">
      <c r="A10" s="211" t="s">
        <v>5756</v>
      </c>
      <c r="B10" s="212"/>
      <c r="C10" s="213"/>
      <c r="D10" s="214"/>
      <c r="E10" s="210"/>
    </row>
    <row r="11" spans="1:6" x14ac:dyDescent="0.3">
      <c r="A11" s="211" t="s">
        <v>5731</v>
      </c>
      <c r="B11" s="212"/>
      <c r="C11" s="215">
        <f>SUM(C12:C23)</f>
        <v>49969466340.220001</v>
      </c>
      <c r="D11" s="215">
        <f>SUM(D12:D23)</f>
        <v>50041532506.400002</v>
      </c>
      <c r="E11" s="210"/>
    </row>
    <row r="12" spans="1:6" x14ac:dyDescent="0.3">
      <c r="A12" s="216"/>
      <c r="B12" s="217" t="s">
        <v>510</v>
      </c>
      <c r="C12" s="218">
        <v>2145197732.77</v>
      </c>
      <c r="D12" s="106">
        <v>2143332231</v>
      </c>
      <c r="E12" s="210"/>
    </row>
    <row r="13" spans="1:6" x14ac:dyDescent="0.3">
      <c r="A13" s="219"/>
      <c r="B13" s="220" t="s">
        <v>5671</v>
      </c>
      <c r="C13" s="218">
        <v>0</v>
      </c>
      <c r="D13" s="106">
        <v>0</v>
      </c>
      <c r="E13" s="210"/>
    </row>
    <row r="14" spans="1:6" x14ac:dyDescent="0.3">
      <c r="A14" s="219"/>
      <c r="B14" s="220" t="s">
        <v>5757</v>
      </c>
      <c r="C14" s="218">
        <v>0</v>
      </c>
      <c r="D14" s="106">
        <v>0</v>
      </c>
      <c r="E14" s="210"/>
    </row>
    <row r="15" spans="1:6" x14ac:dyDescent="0.3">
      <c r="A15" s="219"/>
      <c r="B15" s="220" t="s">
        <v>528</v>
      </c>
      <c r="C15" s="218">
        <v>1268701282.4200001</v>
      </c>
      <c r="D15" s="106">
        <v>1297602689.75</v>
      </c>
      <c r="E15" s="210"/>
    </row>
    <row r="16" spans="1:6" x14ac:dyDescent="0.3">
      <c r="A16" s="219"/>
      <c r="B16" s="220" t="s">
        <v>5758</v>
      </c>
      <c r="C16" s="218">
        <v>17670557.27</v>
      </c>
      <c r="D16" s="106">
        <v>41315204.960000001</v>
      </c>
      <c r="E16" s="210"/>
    </row>
    <row r="17" spans="1:5" x14ac:dyDescent="0.3">
      <c r="A17" s="219"/>
      <c r="B17" s="220" t="s">
        <v>5674</v>
      </c>
      <c r="C17" s="218">
        <v>1989870238.72</v>
      </c>
      <c r="D17" s="106">
        <v>2401416893.3800001</v>
      </c>
      <c r="E17" s="210"/>
    </row>
    <row r="18" spans="1:5" x14ac:dyDescent="0.3">
      <c r="A18" s="219"/>
      <c r="B18" s="220" t="s">
        <v>5675</v>
      </c>
      <c r="C18" s="218">
        <v>5835973.46</v>
      </c>
      <c r="D18" s="106">
        <v>5017763.79</v>
      </c>
      <c r="E18" s="210"/>
    </row>
    <row r="19" spans="1:5" x14ac:dyDescent="0.3">
      <c r="A19" s="219"/>
      <c r="B19" s="220" t="s">
        <v>5759</v>
      </c>
      <c r="C19" s="218">
        <v>23709965.850000001</v>
      </c>
      <c r="D19" s="106">
        <v>0</v>
      </c>
      <c r="E19" s="210"/>
    </row>
    <row r="20" spans="1:5" x14ac:dyDescent="0.3">
      <c r="A20" s="219"/>
      <c r="B20" s="220" t="s">
        <v>5760</v>
      </c>
      <c r="C20" s="218"/>
      <c r="D20" s="106"/>
      <c r="E20" s="210"/>
    </row>
    <row r="21" spans="1:5" x14ac:dyDescent="0.3">
      <c r="A21" s="219"/>
      <c r="B21" s="220" t="s">
        <v>5678</v>
      </c>
      <c r="C21" s="218">
        <v>30903321509.799999</v>
      </c>
      <c r="D21" s="106">
        <v>32291852842.439999</v>
      </c>
      <c r="E21" s="210"/>
    </row>
    <row r="22" spans="1:5" x14ac:dyDescent="0.3">
      <c r="A22" s="219"/>
      <c r="B22" s="220" t="s">
        <v>5761</v>
      </c>
      <c r="C22" s="218">
        <v>13572411120.42</v>
      </c>
      <c r="D22" s="106">
        <v>11157086881.08</v>
      </c>
      <c r="E22" s="210"/>
    </row>
    <row r="23" spans="1:5" x14ac:dyDescent="0.3">
      <c r="A23" s="219"/>
      <c r="B23" s="220" t="s">
        <v>5762</v>
      </c>
      <c r="C23" s="218">
        <v>42747959.509999998</v>
      </c>
      <c r="D23" s="106">
        <v>703908000</v>
      </c>
      <c r="E23" s="210"/>
    </row>
    <row r="24" spans="1:5" x14ac:dyDescent="0.3">
      <c r="A24" s="221"/>
      <c r="B24" s="222"/>
      <c r="C24" s="218"/>
      <c r="D24" s="218"/>
      <c r="E24" s="210"/>
    </row>
    <row r="25" spans="1:5" x14ac:dyDescent="0.3">
      <c r="A25" s="223" t="s">
        <v>5732</v>
      </c>
      <c r="B25" s="224"/>
      <c r="C25" s="225">
        <f>SUM(C26:C41)</f>
        <v>50746057736.779991</v>
      </c>
      <c r="D25" s="225">
        <f>SUM(D26:D41)</f>
        <v>47802734406.629997</v>
      </c>
      <c r="E25" s="210"/>
    </row>
    <row r="26" spans="1:5" x14ac:dyDescent="0.3">
      <c r="A26" s="219"/>
      <c r="B26" s="220" t="s">
        <v>475</v>
      </c>
      <c r="C26" s="226">
        <v>7563786966</v>
      </c>
      <c r="D26" s="227">
        <v>7877159526.5600004</v>
      </c>
      <c r="E26" s="210"/>
    </row>
    <row r="27" spans="1:5" x14ac:dyDescent="0.3">
      <c r="A27" s="219"/>
      <c r="B27" s="220" t="s">
        <v>5689</v>
      </c>
      <c r="C27" s="226">
        <v>802089078.86000001</v>
      </c>
      <c r="D27" s="227">
        <v>980687086.70000005</v>
      </c>
      <c r="E27" s="210"/>
    </row>
    <row r="28" spans="1:5" x14ac:dyDescent="0.3">
      <c r="A28" s="219"/>
      <c r="B28" s="220" t="s">
        <v>390</v>
      </c>
      <c r="C28" s="226">
        <v>995810304.41999996</v>
      </c>
      <c r="D28" s="227">
        <v>1951939254.27</v>
      </c>
      <c r="E28" s="210"/>
    </row>
    <row r="29" spans="1:5" x14ac:dyDescent="0.3">
      <c r="A29" s="221"/>
      <c r="B29" s="222" t="s">
        <v>5691</v>
      </c>
      <c r="C29" s="226">
        <v>29895684129.009998</v>
      </c>
      <c r="D29" s="227">
        <v>24272854624.75</v>
      </c>
      <c r="E29" s="210"/>
    </row>
    <row r="30" spans="1:5" x14ac:dyDescent="0.3">
      <c r="A30" s="221"/>
      <c r="B30" s="222" t="s">
        <v>5763</v>
      </c>
      <c r="C30" s="226">
        <v>203726402.81</v>
      </c>
      <c r="D30" s="227">
        <v>289545067.75</v>
      </c>
      <c r="E30" s="210"/>
    </row>
    <row r="31" spans="1:5" x14ac:dyDescent="0.3">
      <c r="A31" s="221"/>
      <c r="B31" s="222" t="s">
        <v>5693</v>
      </c>
      <c r="C31" s="226">
        <v>139323073.47999999</v>
      </c>
      <c r="D31" s="227">
        <v>325134334.33999997</v>
      </c>
      <c r="E31" s="210"/>
    </row>
    <row r="32" spans="1:5" x14ac:dyDescent="0.3">
      <c r="A32" s="221"/>
      <c r="B32" s="222" t="s">
        <v>1712</v>
      </c>
      <c r="C32" s="226">
        <v>616743961.35000002</v>
      </c>
      <c r="D32" s="227">
        <v>346631390.58999997</v>
      </c>
      <c r="E32" s="210"/>
    </row>
    <row r="33" spans="1:7" x14ac:dyDescent="0.3">
      <c r="A33" s="221"/>
      <c r="B33" s="222" t="s">
        <v>5694</v>
      </c>
      <c r="C33" s="226">
        <v>172305459.21000001</v>
      </c>
      <c r="D33" s="227">
        <v>0</v>
      </c>
      <c r="E33" s="210"/>
    </row>
    <row r="34" spans="1:7" x14ac:dyDescent="0.3">
      <c r="A34" s="221"/>
      <c r="B34" s="222" t="s">
        <v>5695</v>
      </c>
      <c r="C34" s="226">
        <v>25416160.399999999</v>
      </c>
      <c r="D34" s="227">
        <v>33548518.960000001</v>
      </c>
      <c r="E34" s="210"/>
    </row>
    <row r="35" spans="1:7" x14ac:dyDescent="0.3">
      <c r="A35" s="221"/>
      <c r="B35" s="222" t="s">
        <v>5696</v>
      </c>
      <c r="C35" s="226">
        <v>0</v>
      </c>
      <c r="D35" s="227">
        <v>0</v>
      </c>
      <c r="E35" s="210"/>
    </row>
    <row r="36" spans="1:7" x14ac:dyDescent="0.3">
      <c r="A36" s="221"/>
      <c r="B36" s="222" t="s">
        <v>5697</v>
      </c>
      <c r="C36" s="226">
        <v>0</v>
      </c>
      <c r="D36" s="227">
        <v>22700</v>
      </c>
      <c r="E36" s="210"/>
    </row>
    <row r="37" spans="1:7" x14ac:dyDescent="0.3">
      <c r="A37" s="221"/>
      <c r="B37" s="222" t="s">
        <v>5698</v>
      </c>
      <c r="C37" s="226">
        <v>0</v>
      </c>
      <c r="D37" s="227">
        <v>0</v>
      </c>
      <c r="E37" s="210"/>
    </row>
    <row r="38" spans="1:7" x14ac:dyDescent="0.3">
      <c r="A38" s="228"/>
      <c r="B38" s="222" t="s">
        <v>580</v>
      </c>
      <c r="C38" s="226">
        <v>3664211463.9699998</v>
      </c>
      <c r="D38" s="227">
        <v>3615392669.5900002</v>
      </c>
      <c r="E38" s="210"/>
    </row>
    <row r="39" spans="1:7" x14ac:dyDescent="0.3">
      <c r="A39" s="228"/>
      <c r="B39" s="222" t="s">
        <v>27</v>
      </c>
      <c r="C39" s="226">
        <v>1876477437.6700001</v>
      </c>
      <c r="D39" s="227">
        <v>1823205297.22</v>
      </c>
      <c r="E39" s="210"/>
    </row>
    <row r="40" spans="1:7" x14ac:dyDescent="0.3">
      <c r="A40" s="228"/>
      <c r="B40" s="222" t="s">
        <v>714</v>
      </c>
      <c r="C40" s="226">
        <v>3017977949.6100001</v>
      </c>
      <c r="D40" s="227">
        <v>4226050</v>
      </c>
      <c r="E40" s="210"/>
    </row>
    <row r="41" spans="1:7" x14ac:dyDescent="0.3">
      <c r="A41" s="228"/>
      <c r="B41" s="222" t="s">
        <v>5764</v>
      </c>
      <c r="C41" s="226">
        <v>1772505349.9899998</v>
      </c>
      <c r="D41" s="227">
        <v>6282387885.8999996</v>
      </c>
      <c r="E41" s="210"/>
    </row>
    <row r="42" spans="1:7" x14ac:dyDescent="0.3">
      <c r="A42" s="219"/>
      <c r="B42" s="220"/>
      <c r="C42" s="218"/>
      <c r="D42" s="218"/>
      <c r="E42" s="210"/>
    </row>
    <row r="43" spans="1:7" x14ac:dyDescent="0.3">
      <c r="A43" s="229" t="s">
        <v>5765</v>
      </c>
      <c r="B43" s="230"/>
      <c r="C43" s="225">
        <f>+C11-C25</f>
        <v>-776591396.55998993</v>
      </c>
      <c r="D43" s="225">
        <f>+D11-D25</f>
        <v>2238798099.7700043</v>
      </c>
      <c r="E43" s="210"/>
    </row>
    <row r="44" spans="1:7" x14ac:dyDescent="0.3">
      <c r="A44" s="219"/>
      <c r="B44" s="220"/>
      <c r="C44" s="218"/>
      <c r="D44" s="218"/>
      <c r="E44" s="210"/>
    </row>
    <row r="45" spans="1:7" x14ac:dyDescent="0.3">
      <c r="A45" s="223" t="s">
        <v>5766</v>
      </c>
      <c r="B45" s="224"/>
      <c r="C45" s="218"/>
      <c r="D45" s="218"/>
      <c r="E45" s="210"/>
      <c r="F45" s="231"/>
    </row>
    <row r="46" spans="1:7" x14ac:dyDescent="0.3">
      <c r="A46" s="223" t="s">
        <v>5731</v>
      </c>
      <c r="B46" s="232"/>
      <c r="C46" s="225">
        <f>SUM(C47:C49)</f>
        <v>18861723744.940002</v>
      </c>
      <c r="D46" s="225">
        <f>SUM(D47:D49)</f>
        <v>1343030242.3699999</v>
      </c>
      <c r="E46" s="210"/>
    </row>
    <row r="47" spans="1:7" x14ac:dyDescent="0.3">
      <c r="A47" s="219"/>
      <c r="B47" s="220" t="s">
        <v>5740</v>
      </c>
      <c r="C47" s="233">
        <v>18478039868.900002</v>
      </c>
      <c r="D47" s="218">
        <v>0</v>
      </c>
      <c r="E47" s="210"/>
      <c r="G47" s="42"/>
    </row>
    <row r="48" spans="1:7" x14ac:dyDescent="0.3">
      <c r="A48" s="219"/>
      <c r="B48" s="220" t="s">
        <v>8</v>
      </c>
      <c r="C48" s="218">
        <v>0</v>
      </c>
      <c r="D48" s="218">
        <v>0</v>
      </c>
      <c r="E48" s="210"/>
    </row>
    <row r="49" spans="1:7" x14ac:dyDescent="0.3">
      <c r="A49" s="219"/>
      <c r="B49" s="220" t="s">
        <v>5767</v>
      </c>
      <c r="C49" s="218">
        <v>383683876.03999996</v>
      </c>
      <c r="D49" s="234">
        <v>1343030242.3699999</v>
      </c>
      <c r="E49" s="210"/>
    </row>
    <row r="50" spans="1:7" x14ac:dyDescent="0.3">
      <c r="A50" s="219"/>
      <c r="B50" s="220"/>
      <c r="C50" s="218"/>
      <c r="D50" s="218"/>
      <c r="E50" s="210"/>
    </row>
    <row r="51" spans="1:7" x14ac:dyDescent="0.3">
      <c r="A51" s="223" t="s">
        <v>5732</v>
      </c>
      <c r="B51" s="232"/>
      <c r="C51" s="225">
        <f>SUM(C52:C54)</f>
        <v>22470065813.52</v>
      </c>
      <c r="D51" s="225">
        <f>SUM(D52:D54)</f>
        <v>4325221064.29</v>
      </c>
      <c r="E51" s="210"/>
    </row>
    <row r="52" spans="1:7" x14ac:dyDescent="0.3">
      <c r="A52" s="219"/>
      <c r="B52" s="220" t="s">
        <v>5740</v>
      </c>
      <c r="C52" s="218">
        <v>0</v>
      </c>
      <c r="D52" s="234">
        <v>3957479766.71</v>
      </c>
      <c r="E52" s="210"/>
    </row>
    <row r="53" spans="1:7" x14ac:dyDescent="0.3">
      <c r="A53" s="219"/>
      <c r="B53" s="220" t="s">
        <v>8</v>
      </c>
      <c r="C53" s="218">
        <v>176336190.56999999</v>
      </c>
      <c r="D53" s="234">
        <v>261911612.16</v>
      </c>
      <c r="E53" s="210"/>
    </row>
    <row r="54" spans="1:7" x14ac:dyDescent="0.3">
      <c r="A54" s="219"/>
      <c r="B54" s="220" t="s">
        <v>5768</v>
      </c>
      <c r="C54" s="218">
        <f>1080317735.28+7435108431.82+13778303455.85</f>
        <v>22293729622.950001</v>
      </c>
      <c r="D54" s="234">
        <v>105829685.42</v>
      </c>
      <c r="E54" s="210"/>
      <c r="F54" s="235"/>
    </row>
    <row r="55" spans="1:7" x14ac:dyDescent="0.3">
      <c r="A55" s="229" t="s">
        <v>5769</v>
      </c>
      <c r="B55" s="230"/>
      <c r="C55" s="225">
        <f>+C46-C51</f>
        <v>-3608342068.579998</v>
      </c>
      <c r="D55" s="225">
        <f>+D46-D51</f>
        <v>-2982190821.9200001</v>
      </c>
      <c r="E55" s="210"/>
    </row>
    <row r="56" spans="1:7" x14ac:dyDescent="0.3">
      <c r="A56" s="219"/>
      <c r="B56" s="220"/>
      <c r="C56" s="218"/>
      <c r="D56" s="218"/>
      <c r="E56" s="210"/>
    </row>
    <row r="57" spans="1:7" x14ac:dyDescent="0.3">
      <c r="A57" s="223" t="s">
        <v>5770</v>
      </c>
      <c r="B57" s="224"/>
      <c r="C57" s="218"/>
      <c r="D57" s="218"/>
      <c r="E57" s="210"/>
    </row>
    <row r="58" spans="1:7" x14ac:dyDescent="0.3">
      <c r="A58" s="223" t="s">
        <v>5731</v>
      </c>
      <c r="B58" s="224"/>
      <c r="C58" s="225">
        <f>+C59</f>
        <v>4399911642.3299999</v>
      </c>
      <c r="D58" s="225">
        <f>+D59</f>
        <v>3916247524.96</v>
      </c>
      <c r="E58" s="210"/>
      <c r="G58" s="42"/>
    </row>
    <row r="59" spans="1:7" x14ac:dyDescent="0.3">
      <c r="A59" s="221"/>
      <c r="B59" s="222" t="s">
        <v>5771</v>
      </c>
      <c r="C59" s="225">
        <f>SUM(C60:C62)</f>
        <v>4399911642.3299999</v>
      </c>
      <c r="D59" s="225">
        <f>SUM(D60:D62)</f>
        <v>3916247524.96</v>
      </c>
      <c r="E59" s="210"/>
    </row>
    <row r="60" spans="1:7" x14ac:dyDescent="0.3">
      <c r="A60" s="221"/>
      <c r="B60" s="222" t="s">
        <v>5772</v>
      </c>
      <c r="C60" s="218">
        <v>1896830000.8199999</v>
      </c>
      <c r="D60" s="234">
        <v>3916247524.96</v>
      </c>
      <c r="E60" s="210"/>
    </row>
    <row r="61" spans="1:7" x14ac:dyDescent="0.3">
      <c r="A61" s="221"/>
      <c r="B61" s="222" t="s">
        <v>5773</v>
      </c>
      <c r="C61" s="218">
        <v>0</v>
      </c>
      <c r="D61" s="218">
        <v>0</v>
      </c>
      <c r="E61" s="210"/>
    </row>
    <row r="62" spans="1:7" x14ac:dyDescent="0.3">
      <c r="A62" s="221"/>
      <c r="B62" s="236" t="s">
        <v>5774</v>
      </c>
      <c r="C62" s="218">
        <v>2503081641.5100002</v>
      </c>
      <c r="D62" s="218">
        <v>0</v>
      </c>
      <c r="E62" s="210"/>
    </row>
    <row r="63" spans="1:7" x14ac:dyDescent="0.3">
      <c r="A63" s="219"/>
      <c r="B63" s="220"/>
      <c r="C63" s="218"/>
      <c r="D63" s="218"/>
      <c r="E63" s="210"/>
    </row>
    <row r="64" spans="1:7" x14ac:dyDescent="0.3">
      <c r="A64" s="223" t="s">
        <v>5732</v>
      </c>
      <c r="B64" s="224"/>
      <c r="C64" s="225">
        <f>+C65</f>
        <v>41172340</v>
      </c>
      <c r="D64" s="225">
        <f>+D65</f>
        <v>2410883261.3400002</v>
      </c>
      <c r="E64" s="210"/>
    </row>
    <row r="65" spans="1:5" x14ac:dyDescent="0.3">
      <c r="A65" s="219"/>
      <c r="B65" s="220" t="s">
        <v>5775</v>
      </c>
      <c r="C65" s="225">
        <f>SUM(C66:C68)</f>
        <v>41172340</v>
      </c>
      <c r="D65" s="225">
        <f>SUM(D66:D68)</f>
        <v>2410883261.3400002</v>
      </c>
      <c r="E65" s="210"/>
    </row>
    <row r="66" spans="1:5" x14ac:dyDescent="0.3">
      <c r="A66" s="221"/>
      <c r="B66" s="222" t="s">
        <v>5772</v>
      </c>
      <c r="C66" s="237">
        <v>41172340</v>
      </c>
      <c r="D66" s="234">
        <v>805747222.80999994</v>
      </c>
      <c r="E66" s="210"/>
    </row>
    <row r="67" spans="1:5" x14ac:dyDescent="0.3">
      <c r="A67" s="221"/>
      <c r="B67" s="222" t="s">
        <v>5773</v>
      </c>
      <c r="C67" s="218">
        <v>0</v>
      </c>
      <c r="D67" s="234">
        <v>0</v>
      </c>
      <c r="E67" s="210"/>
    </row>
    <row r="68" spans="1:5" x14ac:dyDescent="0.3">
      <c r="A68" s="219"/>
      <c r="B68" s="220" t="s">
        <v>5776</v>
      </c>
      <c r="C68" s="218">
        <v>0</v>
      </c>
      <c r="D68" s="234">
        <v>1605136038.53</v>
      </c>
      <c r="E68" s="210"/>
    </row>
    <row r="69" spans="1:5" x14ac:dyDescent="0.3">
      <c r="A69" s="229" t="s">
        <v>5777</v>
      </c>
      <c r="B69" s="230"/>
      <c r="C69" s="225">
        <f>+C58-C64</f>
        <v>4358739302.3299999</v>
      </c>
      <c r="D69" s="225">
        <f>+D58-D64</f>
        <v>1505364263.6199999</v>
      </c>
      <c r="E69" s="210"/>
    </row>
    <row r="70" spans="1:5" x14ac:dyDescent="0.3">
      <c r="A70" s="219"/>
      <c r="B70" s="220"/>
      <c r="C70" s="218"/>
      <c r="D70" s="218"/>
      <c r="E70" s="210"/>
    </row>
    <row r="71" spans="1:5" x14ac:dyDescent="0.3">
      <c r="A71" s="223" t="s">
        <v>5778</v>
      </c>
      <c r="B71" s="224"/>
      <c r="C71" s="225">
        <f>+C43+C55+C69</f>
        <v>-26194162.809988022</v>
      </c>
      <c r="D71" s="225">
        <f>+D43+D55+D69</f>
        <v>761971541.47000408</v>
      </c>
      <c r="E71" s="210"/>
    </row>
    <row r="72" spans="1:5" ht="18" x14ac:dyDescent="0.3">
      <c r="A72" s="223" t="s">
        <v>5779</v>
      </c>
      <c r="B72" s="224"/>
      <c r="C72" s="226">
        <f>+D73</f>
        <v>1721150284.7100041</v>
      </c>
      <c r="D72" s="238">
        <v>959178743.24000001</v>
      </c>
      <c r="E72" s="210"/>
    </row>
    <row r="73" spans="1:5" ht="18" x14ac:dyDescent="0.3">
      <c r="A73" s="223" t="s">
        <v>5780</v>
      </c>
      <c r="B73" s="224"/>
      <c r="C73" s="239">
        <f>+C71+C72</f>
        <v>1694956121.9000161</v>
      </c>
      <c r="D73" s="239">
        <f>+D71+D72</f>
        <v>1721150284.7100041</v>
      </c>
      <c r="E73" s="210"/>
    </row>
    <row r="74" spans="1:5" x14ac:dyDescent="0.3">
      <c r="A74" s="219"/>
      <c r="B74" s="220"/>
      <c r="C74" s="234"/>
      <c r="D74" s="234"/>
      <c r="E74" s="210"/>
    </row>
    <row r="75" spans="1:5" x14ac:dyDescent="0.3">
      <c r="A75" s="219"/>
      <c r="B75" s="220"/>
      <c r="C75" s="225">
        <v>232110896.87</v>
      </c>
      <c r="D75" s="225">
        <v>1721150260.3900001</v>
      </c>
      <c r="E75" s="210"/>
    </row>
    <row r="76" spans="1:5" x14ac:dyDescent="0.3">
      <c r="A76" s="219"/>
      <c r="B76" s="220"/>
      <c r="C76" s="225">
        <v>4.6491622924804688E-6</v>
      </c>
      <c r="D76" s="225">
        <v>0</v>
      </c>
      <c r="E76" s="210"/>
    </row>
    <row r="77" spans="1:5" x14ac:dyDescent="0.3">
      <c r="A77" s="216"/>
      <c r="B77" s="217"/>
      <c r="C77" s="234"/>
      <c r="D77" s="234"/>
      <c r="E77" s="210"/>
    </row>
    <row r="78" spans="1:5" x14ac:dyDescent="0.3">
      <c r="A78" s="223"/>
      <c r="B78" s="224"/>
      <c r="C78" s="234"/>
      <c r="D78" s="234"/>
      <c r="E78" s="210"/>
    </row>
    <row r="79" spans="1:5" x14ac:dyDescent="0.3">
      <c r="A79" s="216"/>
      <c r="B79" s="217"/>
      <c r="C79" s="234"/>
      <c r="D79" s="234"/>
      <c r="E79" s="210"/>
    </row>
    <row r="80" spans="1:5" ht="17.25" thickBot="1" x14ac:dyDescent="0.35">
      <c r="A80" s="240"/>
      <c r="B80" s="241"/>
      <c r="C80" s="242"/>
      <c r="D80" s="242"/>
      <c r="E80" s="243"/>
    </row>
    <row r="81" spans="3:6" x14ac:dyDescent="0.3">
      <c r="C81" s="233"/>
      <c r="D81" s="233"/>
    </row>
    <row r="82" spans="3:6" x14ac:dyDescent="0.3">
      <c r="C82" s="233"/>
      <c r="D82" s="233"/>
    </row>
    <row r="83" spans="3:6" x14ac:dyDescent="0.3">
      <c r="C83" s="42"/>
      <c r="D83" s="233"/>
      <c r="E83" s="245"/>
      <c r="F83" s="245"/>
    </row>
    <row r="84" spans="3:6" x14ac:dyDescent="0.3">
      <c r="C84" s="233"/>
      <c r="D84" s="233"/>
      <c r="E84" s="245"/>
      <c r="F84" s="245"/>
    </row>
    <row r="85" spans="3:6" x14ac:dyDescent="0.3">
      <c r="C85" s="233"/>
      <c r="D85" s="233"/>
      <c r="E85" s="245"/>
      <c r="F85" s="245"/>
    </row>
    <row r="86" spans="3:6" x14ac:dyDescent="0.3">
      <c r="C86" s="233"/>
      <c r="D86" s="233"/>
      <c r="E86" s="245"/>
      <c r="F86" s="245"/>
    </row>
  </sheetData>
  <mergeCells count="6">
    <mergeCell ref="A7:E7"/>
    <mergeCell ref="A2:E2"/>
    <mergeCell ref="A3:E3"/>
    <mergeCell ref="A4:E4"/>
    <mergeCell ref="A5:E5"/>
    <mergeCell ref="A6:E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L12" sqref="L12"/>
    </sheetView>
  </sheetViews>
  <sheetFormatPr baseColWidth="10" defaultColWidth="9.140625" defaultRowHeight="15.75" x14ac:dyDescent="0.25"/>
  <cols>
    <col min="1" max="1" width="52.42578125" style="115" customWidth="1"/>
    <col min="2" max="3" width="20.7109375" style="115" customWidth="1"/>
    <col min="4" max="5" width="20.7109375" style="158" customWidth="1"/>
    <col min="6" max="6" width="20.7109375" style="115" customWidth="1"/>
    <col min="7" max="7" width="7.7109375" style="115" customWidth="1"/>
    <col min="8" max="9" width="17.42578125" style="115" hidden="1" customWidth="1"/>
    <col min="10" max="16384" width="9.140625" style="115"/>
  </cols>
  <sheetData>
    <row r="1" spans="1:9" ht="16.5" thickBot="1" x14ac:dyDescent="0.3">
      <c r="A1" s="111"/>
      <c r="B1" s="111"/>
      <c r="C1" s="111"/>
      <c r="D1" s="246"/>
      <c r="E1" s="159"/>
      <c r="F1" s="114"/>
      <c r="G1" s="114"/>
      <c r="H1" s="114"/>
      <c r="I1" s="114"/>
    </row>
    <row r="2" spans="1:9" x14ac:dyDescent="0.25">
      <c r="A2" s="247"/>
      <c r="B2" s="248"/>
      <c r="C2" s="248"/>
      <c r="D2" s="248"/>
      <c r="E2" s="248"/>
      <c r="F2" s="249"/>
    </row>
    <row r="3" spans="1:9" ht="18" x14ac:dyDescent="0.25">
      <c r="A3" s="352" t="s">
        <v>5753</v>
      </c>
      <c r="B3" s="353"/>
      <c r="C3" s="353"/>
      <c r="D3" s="353"/>
      <c r="E3" s="353"/>
      <c r="F3" s="354"/>
    </row>
    <row r="4" spans="1:9" ht="20.25" x14ac:dyDescent="0.3">
      <c r="A4" s="355" t="s">
        <v>5781</v>
      </c>
      <c r="B4" s="356"/>
      <c r="C4" s="356"/>
      <c r="D4" s="356"/>
      <c r="E4" s="356"/>
      <c r="F4" s="357"/>
    </row>
    <row r="5" spans="1:9" x14ac:dyDescent="0.25">
      <c r="A5" s="339" t="s">
        <v>5646</v>
      </c>
      <c r="B5" s="317"/>
      <c r="C5" s="317"/>
      <c r="D5" s="317"/>
      <c r="E5" s="317"/>
      <c r="F5" s="340"/>
    </row>
    <row r="6" spans="1:9" x14ac:dyDescent="0.25">
      <c r="A6" s="250"/>
      <c r="B6" s="251"/>
      <c r="C6" s="251"/>
      <c r="D6" s="251"/>
      <c r="E6" s="251"/>
      <c r="F6" s="252"/>
    </row>
    <row r="7" spans="1:9" ht="16.5" thickBot="1" x14ac:dyDescent="0.3">
      <c r="A7" s="253"/>
      <c r="B7" s="254"/>
      <c r="C7" s="254"/>
      <c r="D7" s="254"/>
      <c r="E7" s="254"/>
      <c r="F7" s="255"/>
    </row>
    <row r="8" spans="1:9" ht="16.5" thickBot="1" x14ac:dyDescent="0.3">
      <c r="A8" s="256"/>
      <c r="B8" s="257" t="s">
        <v>5782</v>
      </c>
      <c r="C8" s="257" t="s">
        <v>5783</v>
      </c>
      <c r="D8" s="257" t="s">
        <v>5784</v>
      </c>
      <c r="E8" s="257" t="s">
        <v>5785</v>
      </c>
      <c r="F8" s="258" t="s">
        <v>5786</v>
      </c>
    </row>
    <row r="9" spans="1:9" hidden="1" x14ac:dyDescent="0.25">
      <c r="A9" s="259"/>
      <c r="B9" s="259"/>
      <c r="C9" s="259"/>
      <c r="D9" s="259"/>
      <c r="E9" s="259"/>
      <c r="F9" s="259"/>
    </row>
    <row r="10" spans="1:9" x14ac:dyDescent="0.25">
      <c r="A10" s="260" t="s">
        <v>5787</v>
      </c>
      <c r="B10" s="261">
        <f>+B12+B21</f>
        <v>55103660933.459999</v>
      </c>
      <c r="C10" s="261">
        <f>+C12+C21</f>
        <v>1306232604070.04</v>
      </c>
      <c r="D10" s="261">
        <f>+D12+D21</f>
        <v>1323863868051.9399</v>
      </c>
      <c r="E10" s="261">
        <f>+B10+C10-D10</f>
        <v>37472396951.560059</v>
      </c>
      <c r="F10" s="261">
        <f>+E10-B10</f>
        <v>-17631263981.89994</v>
      </c>
    </row>
    <row r="11" spans="1:9" x14ac:dyDescent="0.25">
      <c r="A11" s="260"/>
      <c r="B11" s="262"/>
      <c r="C11" s="261"/>
      <c r="D11" s="261"/>
      <c r="E11" s="261"/>
      <c r="F11" s="261"/>
    </row>
    <row r="12" spans="1:9" x14ac:dyDescent="0.25">
      <c r="A12" s="260" t="s">
        <v>5788</v>
      </c>
      <c r="B12" s="262">
        <f>SUM(B13:B19)</f>
        <v>3054959641.52</v>
      </c>
      <c r="C12" s="261">
        <f>SUM(C13:C19)</f>
        <v>1290920023593.3901</v>
      </c>
      <c r="D12" s="261">
        <f>SUM(D13:D19)</f>
        <v>1290183994690.78</v>
      </c>
      <c r="E12" s="261">
        <f>+B12+C12-D12</f>
        <v>3790988544.130127</v>
      </c>
      <c r="F12" s="261">
        <f>+E12-B12</f>
        <v>736028902.61012697</v>
      </c>
    </row>
    <row r="13" spans="1:9" x14ac:dyDescent="0.25">
      <c r="A13" s="263" t="s">
        <v>5733</v>
      </c>
      <c r="B13" s="264">
        <v>1551327448.71</v>
      </c>
      <c r="C13" s="265">
        <v>1225345731762.26</v>
      </c>
      <c r="D13" s="265">
        <f>1225371925900.75-169822811.68</f>
        <v>1225202103089.0701</v>
      </c>
      <c r="E13" s="266">
        <f>+B13+C13-D13</f>
        <v>1694956121.8999023</v>
      </c>
      <c r="F13" s="266">
        <f>+E13-B13</f>
        <v>143628673.18990231</v>
      </c>
    </row>
    <row r="14" spans="1:9" x14ac:dyDescent="0.25">
      <c r="A14" s="263" t="s">
        <v>5734</v>
      </c>
      <c r="B14" s="264">
        <v>1036057857.25</v>
      </c>
      <c r="C14" s="265">
        <v>64013097235.349998</v>
      </c>
      <c r="D14" s="265">
        <f>63707787677.44-23.53</f>
        <v>63707787653.910004</v>
      </c>
      <c r="E14" s="266">
        <f t="shared" ref="E14:E19" si="0">+B14+C14-D14</f>
        <v>1341367438.6899948</v>
      </c>
      <c r="F14" s="266">
        <f t="shared" ref="F14:F19" si="1">+E14-B14</f>
        <v>305309581.43999481</v>
      </c>
    </row>
    <row r="15" spans="1:9" x14ac:dyDescent="0.25">
      <c r="A15" s="263" t="s">
        <v>5789</v>
      </c>
      <c r="B15" s="264">
        <v>466006904.31999999</v>
      </c>
      <c r="C15" s="265">
        <v>1525381570.6900001</v>
      </c>
      <c r="D15" s="265">
        <f>1264958692.59-9122924.45</f>
        <v>1255835768.1399999</v>
      </c>
      <c r="E15" s="266">
        <f t="shared" si="0"/>
        <v>735552706.87000012</v>
      </c>
      <c r="F15" s="266">
        <f t="shared" si="1"/>
        <v>269545802.55000013</v>
      </c>
    </row>
    <row r="16" spans="1:9" x14ac:dyDescent="0.25">
      <c r="A16" s="263" t="s">
        <v>5790</v>
      </c>
      <c r="B16" s="264">
        <v>0</v>
      </c>
      <c r="C16" s="265">
        <v>0</v>
      </c>
      <c r="D16" s="265">
        <v>0</v>
      </c>
      <c r="E16" s="266">
        <f t="shared" si="0"/>
        <v>0</v>
      </c>
      <c r="F16" s="266">
        <f t="shared" si="1"/>
        <v>0</v>
      </c>
    </row>
    <row r="17" spans="1:6" x14ac:dyDescent="0.25">
      <c r="A17" s="263" t="s">
        <v>4</v>
      </c>
      <c r="B17" s="264">
        <v>0</v>
      </c>
      <c r="C17" s="265">
        <v>6900120.7999999998</v>
      </c>
      <c r="D17" s="265">
        <v>6900120.7999999998</v>
      </c>
      <c r="E17" s="266">
        <f t="shared" si="0"/>
        <v>0</v>
      </c>
      <c r="F17" s="266">
        <f t="shared" si="1"/>
        <v>0</v>
      </c>
    </row>
    <row r="18" spans="1:6" x14ac:dyDescent="0.25">
      <c r="A18" s="263" t="s">
        <v>5791</v>
      </c>
      <c r="B18" s="264">
        <v>0</v>
      </c>
      <c r="C18" s="265">
        <v>0</v>
      </c>
      <c r="D18" s="265">
        <v>0</v>
      </c>
      <c r="E18" s="266">
        <f t="shared" si="0"/>
        <v>0</v>
      </c>
      <c r="F18" s="266">
        <f t="shared" si="1"/>
        <v>0</v>
      </c>
    </row>
    <row r="19" spans="1:6" x14ac:dyDescent="0.25">
      <c r="A19" s="263" t="s">
        <v>5738</v>
      </c>
      <c r="B19" s="264">
        <v>1567431.24</v>
      </c>
      <c r="C19" s="265">
        <v>28912904.289999999</v>
      </c>
      <c r="D19" s="265">
        <v>11368058.859999999</v>
      </c>
      <c r="E19" s="266">
        <f t="shared" si="0"/>
        <v>19112276.669999998</v>
      </c>
      <c r="F19" s="266">
        <f t="shared" si="1"/>
        <v>17544845.43</v>
      </c>
    </row>
    <row r="20" spans="1:6" x14ac:dyDescent="0.25">
      <c r="A20" s="263"/>
      <c r="B20" s="264"/>
      <c r="C20" s="266"/>
      <c r="D20" s="266"/>
      <c r="E20" s="266"/>
      <c r="F20" s="266"/>
    </row>
    <row r="21" spans="1:6" x14ac:dyDescent="0.25">
      <c r="A21" s="260" t="s">
        <v>5792</v>
      </c>
      <c r="B21" s="262">
        <f>SUM(B22:B30)</f>
        <v>52048701291.940002</v>
      </c>
      <c r="C21" s="261">
        <f>SUM(C22:C30)</f>
        <v>15312580476.65</v>
      </c>
      <c r="D21" s="261">
        <f>SUM(D22:D30)</f>
        <v>33679873361.16</v>
      </c>
      <c r="E21" s="261">
        <f>+B21+C21-D21</f>
        <v>33681408407.430004</v>
      </c>
      <c r="F21" s="261">
        <f>+E21-B21</f>
        <v>-18367292884.509998</v>
      </c>
    </row>
    <row r="22" spans="1:6" x14ac:dyDescent="0.25">
      <c r="A22" s="263" t="s">
        <v>5793</v>
      </c>
      <c r="B22" s="264">
        <v>224760882.00999999</v>
      </c>
      <c r="C22" s="265">
        <v>72426500</v>
      </c>
      <c r="D22" s="265">
        <v>178945759.66</v>
      </c>
      <c r="E22" s="266">
        <f t="shared" ref="E22:E30" si="2">+B22+C22-D22</f>
        <v>118241622.34999999</v>
      </c>
      <c r="F22" s="266">
        <f t="shared" ref="F22:F30" si="3">+E22-B22</f>
        <v>-106519259.66</v>
      </c>
    </row>
    <row r="23" spans="1:6" x14ac:dyDescent="0.25">
      <c r="A23" s="263" t="s">
        <v>153</v>
      </c>
      <c r="B23" s="264">
        <v>401414.39</v>
      </c>
      <c r="C23" s="265">
        <v>0</v>
      </c>
      <c r="D23" s="265">
        <v>0</v>
      </c>
      <c r="E23" s="266">
        <f t="shared" si="2"/>
        <v>401414.39</v>
      </c>
      <c r="F23" s="266">
        <f t="shared" si="3"/>
        <v>0</v>
      </c>
    </row>
    <row r="24" spans="1:6" ht="31.5" x14ac:dyDescent="0.25">
      <c r="A24" s="263" t="s">
        <v>5740</v>
      </c>
      <c r="B24" s="264">
        <v>51083286121.870003</v>
      </c>
      <c r="C24" s="265">
        <v>14171836608.18</v>
      </c>
      <c r="D24" s="265">
        <v>32649876477.080002</v>
      </c>
      <c r="E24" s="266">
        <f t="shared" si="2"/>
        <v>32605246252.970001</v>
      </c>
      <c r="F24" s="266">
        <f t="shared" si="3"/>
        <v>-18478039868.900002</v>
      </c>
    </row>
    <row r="25" spans="1:6" x14ac:dyDescent="0.25">
      <c r="A25" s="263" t="s">
        <v>8</v>
      </c>
      <c r="B25" s="264">
        <v>1649335632.8900001</v>
      </c>
      <c r="C25" s="265">
        <v>416800257.32999998</v>
      </c>
      <c r="D25" s="265">
        <v>240464066.75999999</v>
      </c>
      <c r="E25" s="266">
        <f t="shared" si="2"/>
        <v>1825671823.46</v>
      </c>
      <c r="F25" s="266">
        <f t="shared" si="3"/>
        <v>176336190.56999993</v>
      </c>
    </row>
    <row r="26" spans="1:6" x14ac:dyDescent="0.25">
      <c r="A26" s="263" t="s">
        <v>9</v>
      </c>
      <c r="B26" s="264">
        <v>19195842.07</v>
      </c>
      <c r="C26" s="265">
        <v>492217475.25999999</v>
      </c>
      <c r="D26" s="265">
        <v>4299969.4000000004</v>
      </c>
      <c r="E26" s="266">
        <f t="shared" si="2"/>
        <v>507113347.93000001</v>
      </c>
      <c r="F26" s="266">
        <f t="shared" si="3"/>
        <v>487917505.86000001</v>
      </c>
    </row>
    <row r="27" spans="1:6" ht="31.5" x14ac:dyDescent="0.25">
      <c r="A27" s="263" t="s">
        <v>5794</v>
      </c>
      <c r="B27" s="264">
        <v>-1024102723.8099999</v>
      </c>
      <c r="C27" s="265">
        <v>159299635.88</v>
      </c>
      <c r="D27" s="265">
        <v>606287088.25999999</v>
      </c>
      <c r="E27" s="266">
        <f t="shared" si="2"/>
        <v>-1471090176.1900001</v>
      </c>
      <c r="F27" s="266">
        <f t="shared" si="3"/>
        <v>-446987452.38000011</v>
      </c>
    </row>
    <row r="28" spans="1:6" x14ac:dyDescent="0.25">
      <c r="A28" s="263" t="s">
        <v>10</v>
      </c>
      <c r="B28" s="264">
        <v>4299800</v>
      </c>
      <c r="C28" s="265">
        <v>0</v>
      </c>
      <c r="D28" s="265">
        <v>0</v>
      </c>
      <c r="E28" s="266">
        <f t="shared" si="2"/>
        <v>4299800</v>
      </c>
      <c r="F28" s="266">
        <f t="shared" si="3"/>
        <v>0</v>
      </c>
    </row>
    <row r="29" spans="1:6" ht="31.5" x14ac:dyDescent="0.25">
      <c r="A29" s="263" t="s">
        <v>154</v>
      </c>
      <c r="B29" s="264">
        <v>0</v>
      </c>
      <c r="C29" s="265">
        <v>0</v>
      </c>
      <c r="D29" s="265">
        <v>0</v>
      </c>
      <c r="E29" s="266">
        <f t="shared" si="2"/>
        <v>0</v>
      </c>
      <c r="F29" s="266">
        <f t="shared" si="3"/>
        <v>0</v>
      </c>
    </row>
    <row r="30" spans="1:6" x14ac:dyDescent="0.25">
      <c r="A30" s="263" t="s">
        <v>5795</v>
      </c>
      <c r="B30" s="264">
        <v>91524322.519999996</v>
      </c>
      <c r="C30" s="265">
        <v>0</v>
      </c>
      <c r="D30" s="265">
        <v>0</v>
      </c>
      <c r="E30" s="266">
        <f t="shared" si="2"/>
        <v>91524322.519999996</v>
      </c>
      <c r="F30" s="266">
        <f t="shared" si="3"/>
        <v>0</v>
      </c>
    </row>
    <row r="31" spans="1:6" ht="16.5" thickBot="1" x14ac:dyDescent="0.3">
      <c r="A31" s="267"/>
      <c r="B31" s="268"/>
      <c r="C31" s="269"/>
      <c r="D31" s="269"/>
      <c r="E31" s="269"/>
      <c r="F31" s="269"/>
    </row>
    <row r="32" spans="1:6" x14ac:dyDescent="0.25">
      <c r="B32" s="270"/>
    </row>
    <row r="33" spans="2:2" x14ac:dyDescent="0.25">
      <c r="B33" s="270"/>
    </row>
  </sheetData>
  <mergeCells count="3">
    <mergeCell ref="A3:F3"/>
    <mergeCell ref="A4:F4"/>
    <mergeCell ref="A5:F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topLeftCell="A2" workbookViewId="0">
      <selection activeCell="K24" sqref="K24"/>
    </sheetView>
  </sheetViews>
  <sheetFormatPr baseColWidth="10" defaultColWidth="9.140625" defaultRowHeight="12.75" x14ac:dyDescent="0.2"/>
  <cols>
    <col min="1" max="1" width="3.7109375" style="33" customWidth="1"/>
    <col min="2" max="2" width="3.140625" style="33" customWidth="1"/>
    <col min="3" max="3" width="42.140625" style="33" customWidth="1"/>
    <col min="4" max="4" width="19.85546875" style="33" customWidth="1"/>
    <col min="5" max="5" width="18.5703125" style="33" customWidth="1"/>
    <col min="6" max="6" width="22.5703125" style="33" bestFit="1" customWidth="1"/>
    <col min="7" max="7" width="18.42578125" style="33" customWidth="1"/>
    <col min="8" max="8" width="4" style="33" customWidth="1"/>
    <col min="9" max="9" width="15.42578125" style="33" customWidth="1"/>
    <col min="10" max="10" width="3.140625" style="33" customWidth="1"/>
    <col min="11" max="11" width="17.42578125" style="33" customWidth="1"/>
    <col min="12" max="12" width="9.140625" style="33"/>
    <col min="13" max="13" width="17.42578125" style="33" customWidth="1"/>
    <col min="14" max="14" width="9.140625" style="33" customWidth="1"/>
    <col min="15" max="16384" width="9.140625" style="33"/>
  </cols>
  <sheetData>
    <row r="1" spans="1:13" hidden="1" x14ac:dyDescent="0.2">
      <c r="A1" s="25" t="s">
        <v>5796</v>
      </c>
      <c r="B1" s="26" t="s">
        <v>5797</v>
      </c>
      <c r="C1" s="26" t="s">
        <v>5798</v>
      </c>
      <c r="D1" s="26" t="s">
        <v>5799</v>
      </c>
      <c r="E1" s="26"/>
      <c r="F1" s="26" t="s">
        <v>5800</v>
      </c>
      <c r="G1" s="28" t="str">
        <f>IF(LEN(B1)&gt;2,MID(B1,FIND(".",B1)+2,2),"")</f>
        <v>16</v>
      </c>
      <c r="H1" s="29" t="str">
        <f>IF(J1="1","Enero",IF(J1="2","Febrero",IF(J1="3","Marzo",IF(J1="4","Abril",IF(J1="5","Mayo",IF(J1="6","Junio",IF(J1="7","Julio",IF(J1="8","Agosto",IF(J1="9","Septiembre",IF(J1="10","Octubre",IF(J1="11","Noviembre","Diciembre")))))))))))</f>
        <v>Enero</v>
      </c>
      <c r="I1" s="29" t="str">
        <f>IF(G1&lt;&gt;"",IF(G1="1","Enero",IF(G1="2","Febrero",IF(G1="3","Marzo",IF(G1="4","Abril",IF(G1="5","Mayo",IF(G1="6","Junio",IF(G1="7","Julio",IF(G1="8","Agosto",IF(G1="9","Septiembre",IF(G1="10","Octubre",IF(G1="11","Noviembre","Diciembre"))))))))))),"")</f>
        <v>Diciembre</v>
      </c>
      <c r="J1" s="85" t="str">
        <f>IF(AND(LEN(B1)&gt;0,LEN(B1)&lt;=2),MID(B1,1,2),MID(B1,1,FIND(".",B1)-1))</f>
        <v>1</v>
      </c>
      <c r="K1" s="29">
        <f>IF(OR(G1="13",G1="14",G1="15",G1="16"),12,G1)</f>
        <v>12</v>
      </c>
      <c r="L1" s="29"/>
      <c r="M1" s="29"/>
    </row>
    <row r="2" spans="1:13" ht="13.5" thickBot="1" x14ac:dyDescent="0.25">
      <c r="A2" s="25"/>
      <c r="B2" s="26"/>
      <c r="C2" s="26"/>
      <c r="D2" s="26"/>
      <c r="E2" s="26"/>
      <c r="F2" s="26"/>
      <c r="G2" s="28"/>
      <c r="H2" s="29"/>
      <c r="I2" s="29"/>
      <c r="J2" s="85"/>
      <c r="K2" s="29"/>
      <c r="L2" s="29"/>
      <c r="M2" s="29"/>
    </row>
    <row r="3" spans="1:13" ht="18" x14ac:dyDescent="0.25">
      <c r="A3" s="366" t="s">
        <v>40</v>
      </c>
      <c r="B3" s="367"/>
      <c r="C3" s="367"/>
      <c r="D3" s="367"/>
      <c r="E3" s="367"/>
      <c r="F3" s="367"/>
      <c r="G3" s="367"/>
      <c r="H3" s="368"/>
    </row>
    <row r="4" spans="1:13" ht="20.25" x14ac:dyDescent="0.3">
      <c r="A4" s="369" t="s">
        <v>5801</v>
      </c>
      <c r="B4" s="370"/>
      <c r="C4" s="370"/>
      <c r="D4" s="370"/>
      <c r="E4" s="370"/>
      <c r="F4" s="370"/>
      <c r="G4" s="370"/>
      <c r="H4" s="371"/>
    </row>
    <row r="5" spans="1:13" ht="15.75" x14ac:dyDescent="0.25">
      <c r="A5" s="372" t="str">
        <f>IF( G1="",CONCATENATE(H1," del ",A1),CONCATENATE("Del ",J1," de ", H1, " al ",DAY(EOMONTH(DATE(A1,J1,1),0))," de ",I1," del ",A1))</f>
        <v>Del 1 de Enero al 31 de Diciembre del 2015</v>
      </c>
      <c r="B5" s="373"/>
      <c r="C5" s="373"/>
      <c r="D5" s="373"/>
      <c r="E5" s="373"/>
      <c r="F5" s="373"/>
      <c r="G5" s="373"/>
      <c r="H5" s="374"/>
    </row>
    <row r="6" spans="1:13" ht="16.5" thickBot="1" x14ac:dyDescent="0.25">
      <c r="A6" s="375" t="str">
        <f>CONCATENATE("Sociedad:  ", D1)</f>
        <v>Sociedad:  Gobierno Estado de Sonora</v>
      </c>
      <c r="B6" s="376"/>
      <c r="C6" s="376"/>
      <c r="D6" s="376"/>
      <c r="E6" s="376"/>
      <c r="F6" s="376"/>
      <c r="G6" s="376"/>
      <c r="H6" s="377"/>
    </row>
    <row r="7" spans="1:13" ht="16.5" hidden="1" thickBot="1" x14ac:dyDescent="0.3">
      <c r="A7" s="316" t="str">
        <f>CONCATENATE("Elaborado el ",MID(C1,1,2), " de ",IF(MID(C1,4,2)="01","Ene",IF(MID(C1,4,2)="02","Feb",IF(MID(C1,4,2)="03","Mar",IF(MID(C1,4,2)="04","Abr",IF(MID(C1,4,2)="05","May",IF(MID(C1,4,2)="06","Jun",IF(MID(C1,4,2)="07","Jul",IF(MID(C1,4,2)="08","Ago",IF(MID(C1,4,2)="09","Sep",IF(MID(C1,4,2)="10","Oct",IF(MID(C1,4,2)="11","Nov","Dec")))))))))))," del ",MID(C1,7,4))</f>
        <v>Elaborado el 14 de Abr del 2016</v>
      </c>
      <c r="B7" s="317"/>
      <c r="C7" s="317"/>
      <c r="D7" s="317"/>
      <c r="E7" s="317"/>
      <c r="F7" s="317"/>
      <c r="G7" s="317"/>
      <c r="H7" s="318"/>
    </row>
    <row r="8" spans="1:13" ht="17.25" hidden="1" thickBot="1" x14ac:dyDescent="0.35">
      <c r="A8" s="301" t="s">
        <v>39</v>
      </c>
      <c r="B8" s="302"/>
      <c r="C8" s="302"/>
      <c r="D8" s="302"/>
      <c r="E8" s="302"/>
      <c r="F8" s="302"/>
      <c r="G8" s="302"/>
      <c r="H8" s="303"/>
    </row>
    <row r="9" spans="1:13" x14ac:dyDescent="0.2">
      <c r="A9" s="358" t="s">
        <v>5802</v>
      </c>
      <c r="B9" s="359"/>
      <c r="C9" s="360"/>
      <c r="D9" s="364" t="s">
        <v>5803</v>
      </c>
      <c r="E9" s="364" t="s">
        <v>5804</v>
      </c>
      <c r="F9" s="364" t="s">
        <v>5805</v>
      </c>
      <c r="G9" s="358" t="s">
        <v>5806</v>
      </c>
      <c r="H9" s="360"/>
    </row>
    <row r="10" spans="1:13" ht="13.5" thickBot="1" x14ac:dyDescent="0.25">
      <c r="A10" s="361"/>
      <c r="B10" s="362"/>
      <c r="C10" s="363"/>
      <c r="D10" s="365"/>
      <c r="E10" s="365"/>
      <c r="F10" s="365"/>
      <c r="G10" s="361"/>
      <c r="H10" s="363"/>
    </row>
    <row r="11" spans="1:13" x14ac:dyDescent="0.2">
      <c r="A11" s="35"/>
      <c r="B11" s="36"/>
      <c r="C11" s="36"/>
      <c r="D11" s="36"/>
      <c r="E11" s="36"/>
      <c r="F11" s="36"/>
      <c r="G11" s="36"/>
      <c r="H11" s="39"/>
    </row>
    <row r="12" spans="1:13" ht="15.75" x14ac:dyDescent="0.25">
      <c r="A12" s="271" t="s">
        <v>5807</v>
      </c>
      <c r="B12" s="41"/>
      <c r="C12" s="41"/>
      <c r="D12" s="41"/>
      <c r="E12" s="41"/>
      <c r="F12" s="272"/>
      <c r="G12" s="272"/>
      <c r="H12" s="273"/>
    </row>
    <row r="13" spans="1:13" ht="16.5" x14ac:dyDescent="0.3">
      <c r="A13" s="274"/>
      <c r="B13" s="41"/>
      <c r="C13" s="41"/>
      <c r="D13" s="41"/>
      <c r="E13" s="41"/>
      <c r="F13" s="41"/>
      <c r="G13" s="41"/>
      <c r="H13" s="44"/>
    </row>
    <row r="14" spans="1:13" ht="17.25" thickBot="1" x14ac:dyDescent="0.35">
      <c r="A14" s="275"/>
      <c r="B14" s="276" t="s">
        <v>5808</v>
      </c>
      <c r="C14" s="276"/>
      <c r="D14" s="277"/>
      <c r="E14" s="277"/>
      <c r="F14" s="278"/>
      <c r="G14" s="278"/>
      <c r="H14" s="273"/>
    </row>
    <row r="15" spans="1:13" ht="17.25" thickTop="1" x14ac:dyDescent="0.3">
      <c r="A15" s="274"/>
      <c r="B15" s="41"/>
      <c r="C15" s="41"/>
      <c r="D15" s="41"/>
      <c r="E15" s="41"/>
      <c r="F15" s="279"/>
      <c r="G15" s="279"/>
      <c r="H15" s="44"/>
    </row>
    <row r="16" spans="1:13" ht="16.5" x14ac:dyDescent="0.3">
      <c r="A16" s="280"/>
      <c r="B16" s="281" t="s">
        <v>5809</v>
      </c>
      <c r="C16" s="281"/>
      <c r="D16" s="41"/>
      <c r="E16" s="41"/>
      <c r="F16" s="282">
        <v>864778000</v>
      </c>
      <c r="G16" s="282">
        <v>1604188939.1500001</v>
      </c>
      <c r="H16" s="44"/>
    </row>
    <row r="17" spans="1:8" ht="16.5" x14ac:dyDescent="0.3">
      <c r="A17" s="274"/>
      <c r="B17" s="41"/>
      <c r="C17" s="41"/>
      <c r="D17" s="41"/>
      <c r="E17" s="41"/>
      <c r="F17" s="282"/>
      <c r="G17" s="282"/>
      <c r="H17" s="44"/>
    </row>
    <row r="18" spans="1:8" ht="16.5" x14ac:dyDescent="0.3">
      <c r="A18" s="40"/>
      <c r="B18" s="41"/>
      <c r="C18" s="283" t="s">
        <v>5810</v>
      </c>
      <c r="D18" s="41"/>
      <c r="E18" s="41"/>
      <c r="F18" s="282">
        <v>864778000</v>
      </c>
      <c r="G18" s="282">
        <v>1604188939.1500001</v>
      </c>
      <c r="H18" s="44"/>
    </row>
    <row r="19" spans="1:8" ht="16.5" x14ac:dyDescent="0.3">
      <c r="A19" s="40"/>
      <c r="B19" s="41"/>
      <c r="C19" s="283" t="s">
        <v>5811</v>
      </c>
      <c r="D19" s="41"/>
      <c r="E19" s="41"/>
      <c r="F19" s="282">
        <v>0</v>
      </c>
      <c r="G19" s="282">
        <v>0</v>
      </c>
      <c r="H19" s="44"/>
    </row>
    <row r="20" spans="1:8" ht="16.5" x14ac:dyDescent="0.3">
      <c r="A20" s="40"/>
      <c r="B20" s="41"/>
      <c r="C20" s="283" t="s">
        <v>5812</v>
      </c>
      <c r="D20" s="41"/>
      <c r="E20" s="41"/>
      <c r="F20" s="282">
        <v>0</v>
      </c>
      <c r="G20" s="282">
        <v>0</v>
      </c>
      <c r="H20" s="44"/>
    </row>
    <row r="21" spans="1:8" ht="16.5" x14ac:dyDescent="0.3">
      <c r="A21" s="274"/>
      <c r="B21" s="41"/>
      <c r="C21" s="41"/>
      <c r="D21" s="41"/>
      <c r="E21" s="41"/>
      <c r="F21" s="282"/>
      <c r="G21" s="282"/>
      <c r="H21" s="44"/>
    </row>
    <row r="22" spans="1:8" ht="16.5" x14ac:dyDescent="0.3">
      <c r="A22" s="280"/>
      <c r="B22" s="281" t="s">
        <v>5813</v>
      </c>
      <c r="C22" s="41"/>
      <c r="D22" s="41"/>
      <c r="E22" s="41"/>
      <c r="F22" s="282">
        <v>0</v>
      </c>
      <c r="G22" s="282">
        <v>0</v>
      </c>
      <c r="H22" s="44"/>
    </row>
    <row r="23" spans="1:8" ht="16.5" x14ac:dyDescent="0.3">
      <c r="A23" s="274"/>
      <c r="B23" s="41"/>
      <c r="C23" s="41"/>
      <c r="D23" s="41"/>
      <c r="E23" s="41"/>
      <c r="F23" s="282"/>
      <c r="G23" s="282"/>
      <c r="H23" s="44"/>
    </row>
    <row r="24" spans="1:8" ht="16.5" x14ac:dyDescent="0.3">
      <c r="A24" s="40"/>
      <c r="B24" s="41"/>
      <c r="C24" s="284" t="s">
        <v>5814</v>
      </c>
      <c r="D24" s="41"/>
      <c r="E24" s="41"/>
      <c r="F24" s="282"/>
      <c r="G24" s="282"/>
      <c r="H24" s="44"/>
    </row>
    <row r="25" spans="1:8" ht="16.5" x14ac:dyDescent="0.3">
      <c r="A25" s="40"/>
      <c r="B25" s="41"/>
      <c r="C25" s="283" t="s">
        <v>5815</v>
      </c>
      <c r="D25" s="41"/>
      <c r="E25" s="41"/>
      <c r="F25" s="282"/>
      <c r="G25" s="282"/>
      <c r="H25" s="44"/>
    </row>
    <row r="26" spans="1:8" ht="16.5" x14ac:dyDescent="0.3">
      <c r="A26" s="40"/>
      <c r="B26" s="41"/>
      <c r="C26" s="283" t="s">
        <v>5811</v>
      </c>
      <c r="D26" s="41"/>
      <c r="E26" s="41"/>
      <c r="F26" s="282">
        <v>0</v>
      </c>
      <c r="G26" s="282">
        <v>0</v>
      </c>
      <c r="H26" s="44"/>
    </row>
    <row r="27" spans="1:8" ht="16.5" x14ac:dyDescent="0.3">
      <c r="A27" s="40"/>
      <c r="B27" s="41"/>
      <c r="C27" s="283" t="s">
        <v>5812</v>
      </c>
      <c r="D27" s="41"/>
      <c r="E27" s="41"/>
      <c r="F27" s="282">
        <v>0</v>
      </c>
      <c r="G27" s="282">
        <v>0</v>
      </c>
      <c r="H27" s="44"/>
    </row>
    <row r="28" spans="1:8" ht="16.5" x14ac:dyDescent="0.3">
      <c r="A28" s="274"/>
      <c r="B28" s="41"/>
      <c r="C28" s="41"/>
      <c r="D28" s="41"/>
      <c r="E28" s="41"/>
      <c r="F28" s="282"/>
      <c r="G28" s="282"/>
      <c r="H28" s="44"/>
    </row>
    <row r="29" spans="1:8" ht="16.5" x14ac:dyDescent="0.3">
      <c r="A29" s="40"/>
      <c r="B29" s="285" t="s">
        <v>5816</v>
      </c>
      <c r="C29" s="286"/>
      <c r="D29" s="286"/>
      <c r="E29" s="286"/>
      <c r="F29" s="287">
        <v>864778000</v>
      </c>
      <c r="G29" s="287">
        <v>1604188939.1500001</v>
      </c>
      <c r="H29" s="44"/>
    </row>
    <row r="30" spans="1:8" ht="16.5" x14ac:dyDescent="0.3">
      <c r="A30" s="274"/>
      <c r="B30" s="41"/>
      <c r="C30" s="41"/>
      <c r="D30" s="41"/>
      <c r="E30" s="41"/>
      <c r="F30" s="279"/>
      <c r="G30" s="279"/>
      <c r="H30" s="44"/>
    </row>
    <row r="31" spans="1:8" ht="17.25" thickBot="1" x14ac:dyDescent="0.35">
      <c r="A31" s="275" t="s">
        <v>5817</v>
      </c>
      <c r="B31" s="277"/>
      <c r="C31" s="277"/>
      <c r="D31" s="277"/>
      <c r="E31" s="277"/>
      <c r="F31" s="288"/>
      <c r="G31" s="288"/>
      <c r="H31" s="44"/>
    </row>
    <row r="32" spans="1:8" ht="17.25" thickTop="1" x14ac:dyDescent="0.3">
      <c r="A32" s="274"/>
      <c r="B32" s="41"/>
      <c r="C32" s="41"/>
      <c r="D32" s="41"/>
      <c r="E32" s="41"/>
      <c r="F32" s="279"/>
      <c r="G32" s="279"/>
      <c r="H32" s="44"/>
    </row>
    <row r="33" spans="1:8" ht="16.5" x14ac:dyDescent="0.3">
      <c r="A33" s="40"/>
      <c r="B33" s="281" t="s">
        <v>5809</v>
      </c>
      <c r="C33" s="41"/>
      <c r="D33" s="41"/>
      <c r="E33" s="41"/>
      <c r="F33" s="103">
        <v>14997384497.449999</v>
      </c>
      <c r="G33" s="103">
        <v>16154803559.119999</v>
      </c>
      <c r="H33" s="44"/>
    </row>
    <row r="34" spans="1:8" ht="16.5" x14ac:dyDescent="0.3">
      <c r="A34" s="274"/>
      <c r="B34" s="41"/>
      <c r="C34" s="41"/>
      <c r="D34" s="41"/>
      <c r="E34" s="41"/>
      <c r="F34" s="58"/>
      <c r="G34" s="103"/>
      <c r="H34" s="44"/>
    </row>
    <row r="35" spans="1:8" ht="16.5" x14ac:dyDescent="0.3">
      <c r="A35" s="40"/>
      <c r="B35" s="41"/>
      <c r="C35" s="283" t="s">
        <v>5810</v>
      </c>
      <c r="D35" s="41"/>
      <c r="E35" s="41"/>
      <c r="F35" s="103">
        <v>14997384497.449999</v>
      </c>
      <c r="G35" s="104">
        <v>16154803559.119999</v>
      </c>
      <c r="H35" s="44"/>
    </row>
    <row r="36" spans="1:8" ht="16.5" x14ac:dyDescent="0.3">
      <c r="A36" s="40"/>
      <c r="B36" s="41"/>
      <c r="C36" s="283" t="s">
        <v>5811</v>
      </c>
      <c r="D36" s="41"/>
      <c r="E36" s="41"/>
      <c r="F36" s="103">
        <v>0</v>
      </c>
      <c r="G36" s="104">
        <v>0</v>
      </c>
      <c r="H36" s="44"/>
    </row>
    <row r="37" spans="1:8" ht="16.5" x14ac:dyDescent="0.3">
      <c r="A37" s="40"/>
      <c r="B37" s="41"/>
      <c r="C37" s="283" t="s">
        <v>5812</v>
      </c>
      <c r="D37" s="41"/>
      <c r="E37" s="41"/>
      <c r="F37" s="103">
        <v>0</v>
      </c>
      <c r="G37" s="104">
        <v>0</v>
      </c>
      <c r="H37" s="44"/>
    </row>
    <row r="38" spans="1:8" ht="16.5" x14ac:dyDescent="0.3">
      <c r="A38" s="274"/>
      <c r="B38" s="41"/>
      <c r="C38" s="41"/>
      <c r="D38" s="41"/>
      <c r="E38" s="41"/>
      <c r="F38" s="103"/>
      <c r="G38" s="103"/>
      <c r="H38" s="44"/>
    </row>
    <row r="39" spans="1:8" ht="16.5" x14ac:dyDescent="0.3">
      <c r="A39" s="280"/>
      <c r="B39" s="281" t="s">
        <v>5813</v>
      </c>
      <c r="C39" s="41"/>
      <c r="D39" s="41"/>
      <c r="E39" s="41"/>
      <c r="F39" s="103">
        <v>0</v>
      </c>
      <c r="G39" s="103">
        <v>0</v>
      </c>
      <c r="H39" s="44"/>
    </row>
    <row r="40" spans="1:8" ht="16.5" x14ac:dyDescent="0.3">
      <c r="A40" s="274"/>
      <c r="B40" s="41"/>
      <c r="C40" s="41"/>
      <c r="D40" s="41"/>
      <c r="E40" s="41"/>
      <c r="F40" s="103"/>
      <c r="G40" s="103"/>
      <c r="H40" s="44"/>
    </row>
    <row r="41" spans="1:8" ht="16.5" x14ac:dyDescent="0.3">
      <c r="A41" s="40"/>
      <c r="B41" s="41"/>
      <c r="C41" s="284" t="s">
        <v>5814</v>
      </c>
      <c r="D41" s="41"/>
      <c r="E41" s="41"/>
      <c r="F41" s="103"/>
      <c r="G41" s="103"/>
      <c r="H41" s="44"/>
    </row>
    <row r="42" spans="1:8" ht="16.5" x14ac:dyDescent="0.3">
      <c r="A42" s="40"/>
      <c r="B42" s="41"/>
      <c r="C42" s="283" t="s">
        <v>5815</v>
      </c>
      <c r="D42" s="41"/>
      <c r="E42" s="41"/>
      <c r="F42" s="103"/>
      <c r="G42" s="103"/>
      <c r="H42" s="44"/>
    </row>
    <row r="43" spans="1:8" ht="16.5" x14ac:dyDescent="0.3">
      <c r="A43" s="40"/>
      <c r="B43" s="41"/>
      <c r="C43" s="283" t="s">
        <v>5811</v>
      </c>
      <c r="D43" s="41"/>
      <c r="E43" s="41"/>
      <c r="F43" s="103">
        <v>0</v>
      </c>
      <c r="G43" s="103">
        <v>0</v>
      </c>
      <c r="H43" s="44"/>
    </row>
    <row r="44" spans="1:8" ht="16.5" x14ac:dyDescent="0.3">
      <c r="A44" s="40"/>
      <c r="B44" s="41"/>
      <c r="C44" s="283" t="s">
        <v>5812</v>
      </c>
      <c r="D44" s="41"/>
      <c r="E44" s="41"/>
      <c r="F44" s="103">
        <v>0</v>
      </c>
      <c r="G44" s="103">
        <v>0</v>
      </c>
      <c r="H44" s="44"/>
    </row>
    <row r="45" spans="1:8" ht="16.5" x14ac:dyDescent="0.3">
      <c r="A45" s="274"/>
      <c r="B45" s="41"/>
      <c r="C45" s="41"/>
      <c r="D45" s="41"/>
      <c r="E45" s="41"/>
      <c r="F45" s="279"/>
      <c r="G45" s="279"/>
      <c r="H45" s="44"/>
    </row>
    <row r="46" spans="1:8" ht="16.5" x14ac:dyDescent="0.3">
      <c r="A46" s="40"/>
      <c r="B46" s="285" t="s">
        <v>5818</v>
      </c>
      <c r="C46" s="286"/>
      <c r="D46" s="286"/>
      <c r="E46" s="286"/>
      <c r="F46" s="287">
        <v>14997384497.449999</v>
      </c>
      <c r="G46" s="287">
        <v>16154803559.119999</v>
      </c>
      <c r="H46" s="44"/>
    </row>
    <row r="47" spans="1:8" ht="16.5" x14ac:dyDescent="0.3">
      <c r="A47" s="274"/>
      <c r="B47" s="286"/>
      <c r="C47" s="286"/>
      <c r="D47" s="286"/>
      <c r="E47" s="286"/>
      <c r="F47" s="289"/>
      <c r="G47" s="289"/>
      <c r="H47" s="44"/>
    </row>
    <row r="48" spans="1:8" ht="16.5" x14ac:dyDescent="0.3">
      <c r="A48" s="40"/>
      <c r="B48" s="285" t="s">
        <v>5819</v>
      </c>
      <c r="C48" s="286"/>
      <c r="D48" s="286"/>
      <c r="E48" s="286"/>
      <c r="F48" s="287">
        <v>3835057800.0200024</v>
      </c>
      <c r="G48" s="287">
        <v>6296967101.5299988</v>
      </c>
      <c r="H48" s="44"/>
    </row>
    <row r="49" spans="1:8" ht="16.5" x14ac:dyDescent="0.3">
      <c r="A49" s="274"/>
      <c r="B49" s="41"/>
      <c r="C49" s="41"/>
      <c r="D49" s="41"/>
      <c r="E49" s="41"/>
      <c r="F49" s="282"/>
      <c r="G49" s="282"/>
      <c r="H49" s="44"/>
    </row>
    <row r="50" spans="1:8" ht="16.5" x14ac:dyDescent="0.3">
      <c r="A50" s="274"/>
      <c r="B50" s="41"/>
      <c r="C50" s="41"/>
      <c r="D50" s="41"/>
      <c r="E50" s="41"/>
      <c r="F50" s="282"/>
      <c r="G50" s="282"/>
      <c r="H50" s="44"/>
    </row>
    <row r="51" spans="1:8" ht="16.5" x14ac:dyDescent="0.3">
      <c r="A51" s="290" t="s">
        <v>5820</v>
      </c>
      <c r="B51" s="41"/>
      <c r="C51" s="41"/>
      <c r="D51" s="41"/>
      <c r="E51" s="41"/>
      <c r="F51" s="291">
        <v>19697220297.470001</v>
      </c>
      <c r="G51" s="291">
        <v>24055959599.799999</v>
      </c>
      <c r="H51" s="44"/>
    </row>
    <row r="52" spans="1:8" ht="13.5" thickBot="1" x14ac:dyDescent="0.25">
      <c r="A52" s="75"/>
      <c r="B52" s="76"/>
      <c r="C52" s="76"/>
      <c r="D52" s="76"/>
      <c r="E52" s="76"/>
      <c r="F52" s="292"/>
      <c r="G52" s="292"/>
      <c r="H52" s="79"/>
    </row>
    <row r="53" spans="1:8" x14ac:dyDescent="0.2">
      <c r="A53" s="41"/>
      <c r="B53" s="41"/>
      <c r="C53" s="41"/>
    </row>
  </sheetData>
  <mergeCells count="11">
    <mergeCell ref="A8:H8"/>
    <mergeCell ref="A3:H3"/>
    <mergeCell ref="A4:H4"/>
    <mergeCell ref="A5:H5"/>
    <mergeCell ref="A6:H6"/>
    <mergeCell ref="A7:H7"/>
    <mergeCell ref="A9:C10"/>
    <mergeCell ref="D9:D10"/>
    <mergeCell ref="E9:E10"/>
    <mergeCell ref="F9:F10"/>
    <mergeCell ref="G9:H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A15" sqref="A15:G15"/>
    </sheetView>
  </sheetViews>
  <sheetFormatPr baseColWidth="10" defaultColWidth="28.42578125" defaultRowHeight="12.75" x14ac:dyDescent="0.2"/>
  <cols>
    <col min="1" max="3" width="28.42578125" style="293"/>
    <col min="4" max="4" width="14" style="293" customWidth="1"/>
    <col min="5" max="6" width="28.42578125" style="293"/>
    <col min="7" max="7" width="9.140625" style="293" customWidth="1"/>
    <col min="8" max="16384" width="28.42578125" style="293"/>
  </cols>
  <sheetData>
    <row r="1" spans="1:7" x14ac:dyDescent="0.2">
      <c r="B1" s="294"/>
    </row>
    <row r="2" spans="1:7" ht="13.5" thickBot="1" x14ac:dyDescent="0.25"/>
    <row r="3" spans="1:7" ht="18" x14ac:dyDescent="0.25">
      <c r="A3" s="304" t="s">
        <v>40</v>
      </c>
      <c r="B3" s="322"/>
      <c r="C3" s="322"/>
      <c r="D3" s="322"/>
      <c r="E3" s="322"/>
      <c r="F3" s="322"/>
      <c r="G3" s="323"/>
    </row>
    <row r="4" spans="1:7" ht="20.25" x14ac:dyDescent="0.3">
      <c r="A4" s="307" t="s">
        <v>5821</v>
      </c>
      <c r="B4" s="308"/>
      <c r="C4" s="308"/>
      <c r="D4" s="308"/>
      <c r="E4" s="308"/>
      <c r="F4" s="308"/>
      <c r="G4" s="309"/>
    </row>
    <row r="5" spans="1:7" ht="15.75" x14ac:dyDescent="0.25">
      <c r="A5" s="310" t="s">
        <v>5822</v>
      </c>
      <c r="B5" s="311"/>
      <c r="C5" s="311"/>
      <c r="D5" s="311"/>
      <c r="E5" s="311"/>
      <c r="F5" s="311"/>
      <c r="G5" s="312"/>
    </row>
    <row r="6" spans="1:7" ht="17.25" thickBot="1" x14ac:dyDescent="0.35">
      <c r="A6" s="319"/>
      <c r="B6" s="320"/>
      <c r="C6" s="320"/>
      <c r="D6" s="320"/>
      <c r="E6" s="320"/>
      <c r="F6" s="320"/>
      <c r="G6" s="321"/>
    </row>
    <row r="7" spans="1:7" ht="16.5" x14ac:dyDescent="0.3">
      <c r="A7" s="295"/>
      <c r="B7" s="296"/>
      <c r="C7" s="296"/>
      <c r="D7" s="296"/>
      <c r="E7" s="296"/>
      <c r="F7" s="296"/>
      <c r="G7" s="297"/>
    </row>
    <row r="8" spans="1:7" ht="16.5" x14ac:dyDescent="0.3">
      <c r="A8" s="381" t="s">
        <v>5823</v>
      </c>
      <c r="B8" s="382"/>
      <c r="C8" s="382"/>
      <c r="D8" s="382"/>
      <c r="E8" s="382"/>
      <c r="F8" s="382"/>
      <c r="G8" s="383"/>
    </row>
    <row r="9" spans="1:7" ht="16.5" x14ac:dyDescent="0.2">
      <c r="A9" s="378" t="s">
        <v>5824</v>
      </c>
      <c r="B9" s="379"/>
      <c r="C9" s="379"/>
      <c r="D9" s="379"/>
      <c r="E9" s="379"/>
      <c r="F9" s="379"/>
      <c r="G9" s="380"/>
    </row>
    <row r="10" spans="1:7" ht="16.5" x14ac:dyDescent="0.2">
      <c r="A10" s="378" t="s">
        <v>5825</v>
      </c>
      <c r="B10" s="379"/>
      <c r="C10" s="379"/>
      <c r="D10" s="379"/>
      <c r="E10" s="379"/>
      <c r="F10" s="379"/>
      <c r="G10" s="380"/>
    </row>
    <row r="11" spans="1:7" ht="16.5" x14ac:dyDescent="0.2">
      <c r="A11" s="378" t="s">
        <v>5826</v>
      </c>
      <c r="B11" s="379"/>
      <c r="C11" s="379"/>
      <c r="D11" s="379"/>
      <c r="E11" s="379"/>
      <c r="F11" s="379"/>
      <c r="G11" s="380"/>
    </row>
    <row r="12" spans="1:7" ht="16.5" x14ac:dyDescent="0.2">
      <c r="A12" s="378" t="s">
        <v>5827</v>
      </c>
      <c r="B12" s="379"/>
      <c r="C12" s="379"/>
      <c r="D12" s="379"/>
      <c r="E12" s="379"/>
      <c r="F12" s="379"/>
      <c r="G12" s="380"/>
    </row>
    <row r="13" spans="1:7" ht="16.5" x14ac:dyDescent="0.2">
      <c r="A13" s="378" t="s">
        <v>5828</v>
      </c>
      <c r="B13" s="379"/>
      <c r="C13" s="379"/>
      <c r="D13" s="379"/>
      <c r="E13" s="379"/>
      <c r="F13" s="379"/>
      <c r="G13" s="380"/>
    </row>
    <row r="14" spans="1:7" ht="16.5" x14ac:dyDescent="0.2">
      <c r="A14" s="378" t="s">
        <v>5829</v>
      </c>
      <c r="B14" s="379"/>
      <c r="C14" s="379"/>
      <c r="D14" s="379"/>
      <c r="E14" s="379"/>
      <c r="F14" s="379"/>
      <c r="G14" s="380"/>
    </row>
    <row r="15" spans="1:7" ht="16.5" x14ac:dyDescent="0.2">
      <c r="A15" s="378" t="s">
        <v>5830</v>
      </c>
      <c r="B15" s="379"/>
      <c r="C15" s="379"/>
      <c r="D15" s="379"/>
      <c r="E15" s="379"/>
      <c r="F15" s="379"/>
      <c r="G15" s="380"/>
    </row>
    <row r="16" spans="1:7" ht="16.5" x14ac:dyDescent="0.2">
      <c r="A16" s="378" t="s">
        <v>5831</v>
      </c>
      <c r="B16" s="379"/>
      <c r="C16" s="379"/>
      <c r="D16" s="379"/>
      <c r="E16" s="379"/>
      <c r="F16" s="379"/>
      <c r="G16" s="380"/>
    </row>
    <row r="17" spans="1:7" ht="16.5" x14ac:dyDescent="0.2">
      <c r="A17" s="378" t="s">
        <v>5832</v>
      </c>
      <c r="B17" s="379"/>
      <c r="C17" s="379"/>
      <c r="D17" s="379"/>
      <c r="E17" s="379"/>
      <c r="F17" s="379"/>
      <c r="G17" s="380"/>
    </row>
    <row r="18" spans="1:7" ht="16.5" x14ac:dyDescent="0.2">
      <c r="A18" s="378" t="s">
        <v>5833</v>
      </c>
      <c r="B18" s="379"/>
      <c r="C18" s="379"/>
      <c r="D18" s="379"/>
      <c r="E18" s="379"/>
      <c r="F18" s="379"/>
      <c r="G18" s="380"/>
    </row>
    <row r="19" spans="1:7" ht="16.5" x14ac:dyDescent="0.2">
      <c r="A19" s="378" t="s">
        <v>5834</v>
      </c>
      <c r="B19" s="379"/>
      <c r="C19" s="379"/>
      <c r="D19" s="379"/>
      <c r="E19" s="379"/>
      <c r="F19" s="379"/>
      <c r="G19" s="380"/>
    </row>
    <row r="20" spans="1:7" ht="16.5" x14ac:dyDescent="0.2">
      <c r="A20" s="378" t="s">
        <v>5835</v>
      </c>
      <c r="B20" s="379"/>
      <c r="C20" s="379"/>
      <c r="D20" s="379"/>
      <c r="E20" s="379"/>
      <c r="F20" s="379"/>
      <c r="G20" s="380"/>
    </row>
    <row r="21" spans="1:7" ht="16.5" x14ac:dyDescent="0.2">
      <c r="A21" s="378" t="s">
        <v>5836</v>
      </c>
      <c r="B21" s="379"/>
      <c r="C21" s="379"/>
      <c r="D21" s="379"/>
      <c r="E21" s="379"/>
      <c r="F21" s="379"/>
      <c r="G21" s="380"/>
    </row>
    <row r="22" spans="1:7" ht="16.5" x14ac:dyDescent="0.2">
      <c r="A22" s="378" t="s">
        <v>5837</v>
      </c>
      <c r="B22" s="379"/>
      <c r="C22" s="379"/>
      <c r="D22" s="379"/>
      <c r="E22" s="379"/>
      <c r="F22" s="379"/>
      <c r="G22" s="380"/>
    </row>
    <row r="23" spans="1:7" ht="16.5" x14ac:dyDescent="0.2">
      <c r="A23" s="378" t="s">
        <v>5838</v>
      </c>
      <c r="B23" s="379"/>
      <c r="C23" s="379"/>
      <c r="D23" s="379"/>
      <c r="E23" s="379"/>
      <c r="F23" s="379"/>
      <c r="G23" s="380"/>
    </row>
    <row r="24" spans="1:7" ht="17.25" thickBot="1" x14ac:dyDescent="0.35">
      <c r="A24" s="298"/>
      <c r="B24" s="299"/>
      <c r="C24" s="299"/>
      <c r="D24" s="299"/>
      <c r="E24" s="299"/>
      <c r="F24" s="299"/>
      <c r="G24" s="300"/>
    </row>
  </sheetData>
  <mergeCells count="20">
    <mergeCell ref="A15:G15"/>
    <mergeCell ref="A3:G3"/>
    <mergeCell ref="A4:G4"/>
    <mergeCell ref="A5:G5"/>
    <mergeCell ref="A6:G6"/>
    <mergeCell ref="A8:G8"/>
    <mergeCell ref="A9:G9"/>
    <mergeCell ref="A10:G10"/>
    <mergeCell ref="A11:G11"/>
    <mergeCell ref="A12:G12"/>
    <mergeCell ref="A13:G13"/>
    <mergeCell ref="A14:G14"/>
    <mergeCell ref="A22:G22"/>
    <mergeCell ref="A23:G23"/>
    <mergeCell ref="A16:G16"/>
    <mergeCell ref="A17:G17"/>
    <mergeCell ref="A18:G18"/>
    <mergeCell ref="A19:G19"/>
    <mergeCell ref="A20:G20"/>
    <mergeCell ref="A21:G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19"/>
  <sheetViews>
    <sheetView topLeftCell="B445" zoomScale="80" zoomScaleNormal="80" workbookViewId="0">
      <selection activeCell="F789" sqref="F1:F1048576"/>
    </sheetView>
  </sheetViews>
  <sheetFormatPr baseColWidth="10" defaultColWidth="11.42578125" defaultRowHeight="12.75" x14ac:dyDescent="0.2"/>
  <cols>
    <col min="1" max="1" width="40.140625" bestFit="1" customWidth="1"/>
    <col min="2" max="2" width="50.140625" customWidth="1"/>
    <col min="3" max="4" width="25.42578125" bestFit="1" customWidth="1"/>
    <col min="5" max="5" width="22.140625" customWidth="1"/>
    <col min="6" max="6" width="23.85546875" bestFit="1" customWidth="1"/>
    <col min="7" max="8" width="25.42578125" bestFit="1" customWidth="1"/>
    <col min="9" max="9" width="31.42578125" customWidth="1"/>
    <col min="11" max="11" width="23.85546875" bestFit="1" customWidth="1"/>
    <col min="12" max="12" width="23.140625" bestFit="1" customWidth="1"/>
    <col min="13" max="13" width="23.85546875" bestFit="1" customWidth="1"/>
    <col min="14" max="14" width="22.42578125" bestFit="1" customWidth="1"/>
    <col min="15" max="15" width="23.140625" bestFit="1" customWidth="1"/>
    <col min="16" max="16" width="23.85546875" bestFit="1" customWidth="1"/>
    <col min="18" max="18" width="23.85546875" bestFit="1" customWidth="1"/>
    <col min="19" max="19" width="23.42578125" bestFit="1" customWidth="1"/>
    <col min="20" max="20" width="23.85546875" bestFit="1" customWidth="1"/>
    <col min="21" max="22" width="23.140625" bestFit="1" customWidth="1"/>
    <col min="23" max="23" width="24.42578125" bestFit="1" customWidth="1"/>
  </cols>
  <sheetData>
    <row r="1" spans="1:23" x14ac:dyDescent="0.2">
      <c r="A1" s="9" t="s">
        <v>41</v>
      </c>
      <c r="B1" s="9" t="s">
        <v>42</v>
      </c>
      <c r="C1" s="1" t="s">
        <v>43</v>
      </c>
      <c r="D1" s="1" t="s">
        <v>44</v>
      </c>
      <c r="E1" s="1" t="s">
        <v>45</v>
      </c>
      <c r="F1" s="1" t="s">
        <v>46</v>
      </c>
      <c r="G1" s="1" t="s">
        <v>47</v>
      </c>
      <c r="H1" s="1" t="s">
        <v>48</v>
      </c>
      <c r="I1" s="1" t="s">
        <v>49</v>
      </c>
      <c r="J1" s="1" t="s">
        <v>50</v>
      </c>
      <c r="K1" s="1" t="s">
        <v>137</v>
      </c>
      <c r="L1" s="1" t="s">
        <v>138</v>
      </c>
      <c r="M1" s="1" t="s">
        <v>139</v>
      </c>
      <c r="N1" s="1" t="s">
        <v>140</v>
      </c>
      <c r="O1" s="1" t="s">
        <v>141</v>
      </c>
      <c r="P1" s="1" t="s">
        <v>142</v>
      </c>
      <c r="Q1" s="1" t="s">
        <v>730</v>
      </c>
      <c r="R1" s="1" t="s">
        <v>731</v>
      </c>
      <c r="S1" s="1" t="s">
        <v>732</v>
      </c>
      <c r="T1" s="1" t="s">
        <v>733</v>
      </c>
      <c r="U1" s="1" t="s">
        <v>734</v>
      </c>
      <c r="V1" s="1" t="s">
        <v>735</v>
      </c>
      <c r="W1" s="1" t="s">
        <v>736</v>
      </c>
    </row>
    <row r="2" spans="1:23" x14ac:dyDescent="0.2">
      <c r="A2" s="18" t="s">
        <v>407</v>
      </c>
      <c r="B2" s="18" t="s">
        <v>42</v>
      </c>
      <c r="C2" s="19" t="e">
        <f ca="1">[1]!BexGetData("DP_1","003N8EMH8GTFRCSWKMPXRR8GU","SUMME")</f>
        <v>#NAME?</v>
      </c>
      <c r="D2" s="19" t="e">
        <f ca="1">[1]!BexGetData("DP_1","003N8EMH8GTFRCSWKMPXRRESE","SUMME")</f>
        <v>#NAME?</v>
      </c>
      <c r="E2" s="20" t="e">
        <f ca="1">[1]!BexGetData("DP_1","003N8EMH8GTFRCSWKMPXRRL3Y","SUMME")</f>
        <v>#NAME?</v>
      </c>
      <c r="F2" s="20" t="e">
        <f ca="1">[1]!BexGetData("DP_1","003N8EMH8GTFRCSWKMPXRRRFI","SUMME")</f>
        <v>#NAME?</v>
      </c>
      <c r="G2" s="19" t="e">
        <f ca="1">[1]!BexGetData("DP_1","003N8EMH8GTFRCSWKMPXRRXR2","SUMME")</f>
        <v>#NAME?</v>
      </c>
      <c r="H2" s="19" t="e">
        <f ca="1">[1]!BexGetData("DP_1","003N8EMH8GTFRCSWKMPXRS42M","SUMME")</f>
        <v>#NAME?</v>
      </c>
      <c r="I2" s="20" t="e">
        <f ca="1">[1]!BexGetData("DP_1","003N8EMH8GTFRCSWKMPXRSAE6","SUMME")</f>
        <v>#NAME?</v>
      </c>
      <c r="J2" s="21" t="e">
        <f ca="1">[1]!BexGetData("DP_1","003N8EMH8GTFRCSWKMPXRSGPQ","SUMME")</f>
        <v>#NAME?</v>
      </c>
      <c r="K2" s="20" t="e">
        <f ca="1">[1]!BexGetData("DP_1","003N8EMH8GTFRIVNUPY288VJH","SUMME")</f>
        <v>#NAME?</v>
      </c>
      <c r="L2" s="20" t="e">
        <f ca="1">[1]!BexGetData("DP_1","003N8EMH8GTFRIVNUPY2891V1","SUMME")</f>
        <v>#NAME?</v>
      </c>
      <c r="M2" s="20" t="e">
        <f ca="1">[1]!BexGetData("DP_1","003N8EMH8GTFRIVOG7KG9IQXA","SUMME")</f>
        <v>#NAME?</v>
      </c>
      <c r="N2" s="20" t="e">
        <f ca="1">[1]!BexGetData("DP_1","003N8EMH8GTFRIVOG7KG9IX8U","SUMME")</f>
        <v>#NAME?</v>
      </c>
      <c r="O2" s="20" t="e">
        <f ca="1">[1]!BexGetData("DP_1","003N8EMH8GTFRIVOG7KG9J3KE","SUMME")</f>
        <v>#NAME?</v>
      </c>
      <c r="P2" s="20" t="e">
        <f ca="1">[1]!BexGetData("DP_1","003N8EMH8GTFRIVOG7KG9J9VY","SUMME")</f>
        <v>#NAME?</v>
      </c>
      <c r="Q2" s="21" t="e">
        <f ca="1">[1]!BexGetData("DP_1","00O2TNJGODT0G5Z4TTKYMM5MT","SUMME")</f>
        <v>#NAME?</v>
      </c>
      <c r="R2" s="20" t="e">
        <f ca="1">[1]!BexGetData("DP_1","00O2TNJGODT0G5Z4TTKYMMBYD","SUMME")</f>
        <v>#NAME?</v>
      </c>
      <c r="S2" s="20" t="e">
        <f ca="1">[1]!BexGetData("DP_1","00O2TNJGODT0G5Z4TTKYMMI9X","SUMME")</f>
        <v>#NAME?</v>
      </c>
      <c r="T2" s="20" t="e">
        <f ca="1">[1]!BexGetData("DP_1","00O2TNJGODT0G5Z4TTKYMMOLH","SUMME")</f>
        <v>#NAME?</v>
      </c>
      <c r="U2" s="20" t="e">
        <f ca="1">[1]!BexGetData("DP_1","00O2TNJGODT0G5Z4TTKYMMUX1","SUMME")</f>
        <v>#NAME?</v>
      </c>
      <c r="V2" s="20" t="e">
        <f ca="1">[1]!BexGetData("DP_1","00O2TNJGODT0G5Z4TTKYMN18L","SUMME")</f>
        <v>#NAME?</v>
      </c>
      <c r="W2" s="20" t="e">
        <f ca="1">[1]!BexGetData("DP_1","00O2TNJGODT0G5Z4TTKYMN7K5","SUMME")</f>
        <v>#NAME?</v>
      </c>
    </row>
    <row r="3" spans="1:23" x14ac:dyDescent="0.2">
      <c r="A3" s="10" t="s">
        <v>51</v>
      </c>
      <c r="B3" s="2" t="s">
        <v>52</v>
      </c>
      <c r="C3" s="3" t="e">
        <f ca="1">[1]!BexGetData("DP_1","003N8EMH8GTFRCSWKMPXRR8GU","GSON")</f>
        <v>#NAME?</v>
      </c>
      <c r="D3" s="3" t="e">
        <f ca="1">[1]!BexGetData("DP_1","003N8EMH8GTFRCSWKMPXRRESE","GSON")</f>
        <v>#NAME?</v>
      </c>
      <c r="E3" s="8" t="e">
        <f ca="1">[1]!BexGetData("DP_1","003N8EMH8GTFRCSWKMPXRRL3Y","GSON")</f>
        <v>#NAME?</v>
      </c>
      <c r="F3" s="8" t="e">
        <f ca="1">[1]!BexGetData("DP_1","003N8EMH8GTFRCSWKMPXRRRFI","GSON")</f>
        <v>#NAME?</v>
      </c>
      <c r="G3" s="3" t="e">
        <f ca="1">[1]!BexGetData("DP_1","003N8EMH8GTFRCSWKMPXRRXR2","GSON")</f>
        <v>#NAME?</v>
      </c>
      <c r="H3" s="3" t="e">
        <f ca="1">[1]!BexGetData("DP_1","003N8EMH8GTFRCSWKMPXRS42M","GSON")</f>
        <v>#NAME?</v>
      </c>
      <c r="I3" s="8" t="e">
        <f ca="1">[1]!BexGetData("DP_1","003N8EMH8GTFRCSWKMPXRSAE6","GSON")</f>
        <v>#NAME?</v>
      </c>
      <c r="J3" s="4" t="e">
        <f ca="1">[1]!BexGetData("DP_1","003N8EMH8GTFRCSWKMPXRSGPQ","GSON")</f>
        <v>#NAME?</v>
      </c>
      <c r="K3" s="8" t="e">
        <f ca="1">[1]!BexGetData("DP_1","003N8EMH8GTFRIVNUPY288VJH","GSON")</f>
        <v>#NAME?</v>
      </c>
      <c r="L3" s="8" t="e">
        <f ca="1">[1]!BexGetData("DP_1","003N8EMH8GTFRIVNUPY2891V1","GSON")</f>
        <v>#NAME?</v>
      </c>
      <c r="M3" s="8" t="e">
        <f ca="1">[1]!BexGetData("DP_1","003N8EMH8GTFRIVOG7KG9IQXA","GSON")</f>
        <v>#NAME?</v>
      </c>
      <c r="N3" s="8" t="e">
        <f ca="1">[1]!BexGetData("DP_1","003N8EMH8GTFRIVOG7KG9IX8U","GSON")</f>
        <v>#NAME?</v>
      </c>
      <c r="O3" s="8" t="e">
        <f ca="1">[1]!BexGetData("DP_1","003N8EMH8GTFRIVOG7KG9J3KE","GSON")</f>
        <v>#NAME?</v>
      </c>
      <c r="P3" s="8" t="e">
        <f ca="1">[1]!BexGetData("DP_1","003N8EMH8GTFRIVOG7KG9J9VY","GSON")</f>
        <v>#NAME?</v>
      </c>
      <c r="Q3" s="4" t="e">
        <f ca="1">[1]!BexGetData("DP_1","00O2TNJGODT0G5Z4TTKYMM5MT","GSON")</f>
        <v>#NAME?</v>
      </c>
      <c r="R3" s="8" t="e">
        <f ca="1">[1]!BexGetData("DP_1","00O2TNJGODT0G5Z4TTKYMMBYD","GSON")</f>
        <v>#NAME?</v>
      </c>
      <c r="S3" s="8" t="e">
        <f ca="1">[1]!BexGetData("DP_1","00O2TNJGODT0G5Z4TTKYMMI9X","GSON")</f>
        <v>#NAME?</v>
      </c>
      <c r="T3" s="8" t="e">
        <f ca="1">[1]!BexGetData("DP_1","00O2TNJGODT0G5Z4TTKYMMOLH","GSON")</f>
        <v>#NAME?</v>
      </c>
      <c r="U3" s="8" t="e">
        <f ca="1">[1]!BexGetData("DP_1","00O2TNJGODT0G5Z4TTKYMMUX1","GSON")</f>
        <v>#NAME?</v>
      </c>
      <c r="V3" s="8" t="e">
        <f ca="1">[1]!BexGetData("DP_1","00O2TNJGODT0G5Z4TTKYMN18L","GSON")</f>
        <v>#NAME?</v>
      </c>
      <c r="W3" s="8" t="e">
        <f ca="1">[1]!BexGetData("DP_1","00O2TNJGODT0G5Z4TTKYMN7K5","GSON")</f>
        <v>#NAME?</v>
      </c>
    </row>
    <row r="4" spans="1:23" x14ac:dyDescent="0.2">
      <c r="A4" s="11" t="s">
        <v>53</v>
      </c>
      <c r="B4" s="5" t="s">
        <v>54</v>
      </c>
      <c r="C4" s="3" t="e">
        <f ca="1">[1]!BexGetData("DP_1","003N8EMH8GTFRCSWKMPXRR8GU","GSONA")</f>
        <v>#NAME?</v>
      </c>
      <c r="D4" s="3" t="e">
        <f ca="1">[1]!BexGetData("DP_1","003N8EMH8GTFRCSWKMPXRRESE","GSONA")</f>
        <v>#NAME?</v>
      </c>
      <c r="E4" s="3" t="e">
        <f ca="1">[1]!BexGetData("DP_1","003N8EMH8GTFRCSWKMPXRRL3Y","GSONA")</f>
        <v>#NAME?</v>
      </c>
      <c r="F4" s="8" t="e">
        <f ca="1">[1]!BexGetData("DP_1","003N8EMH8GTFRCSWKMPXRRRFI","GSONA")</f>
        <v>#NAME?</v>
      </c>
      <c r="G4" s="3" t="e">
        <f ca="1">[1]!BexGetData("DP_1","003N8EMH8GTFRCSWKMPXRRXR2","GSONA")</f>
        <v>#NAME?</v>
      </c>
      <c r="H4" s="3" t="e">
        <f ca="1">[1]!BexGetData("DP_1","003N8EMH8GTFRCSWKMPXRS42M","GSONA")</f>
        <v>#NAME?</v>
      </c>
      <c r="I4" s="8" t="e">
        <f ca="1">[1]!BexGetData("DP_1","003N8EMH8GTFRCSWKMPXRSAE6","GSONA")</f>
        <v>#NAME?</v>
      </c>
      <c r="J4" s="4" t="e">
        <f ca="1">[1]!BexGetData("DP_1","003N8EMH8GTFRCSWKMPXRSGPQ","GSONA")</f>
        <v>#NAME?</v>
      </c>
      <c r="K4" s="3" t="e">
        <f ca="1">[1]!BexGetData("DP_1","003N8EMH8GTFRIVNUPY288VJH","GSONA")</f>
        <v>#NAME?</v>
      </c>
      <c r="L4" s="3" t="e">
        <f ca="1">[1]!BexGetData("DP_1","003N8EMH8GTFRIVNUPY2891V1","GSONA")</f>
        <v>#NAME?</v>
      </c>
      <c r="M4" s="3" t="e">
        <f ca="1">[1]!BexGetData("DP_1","003N8EMH8GTFRIVOG7KG9IQXA","GSONA")</f>
        <v>#NAME?</v>
      </c>
      <c r="N4" s="8" t="e">
        <f ca="1">[1]!BexGetData("DP_1","003N8EMH8GTFRIVOG7KG9IX8U","GSONA")</f>
        <v>#NAME?</v>
      </c>
      <c r="O4" s="3" t="e">
        <f ca="1">[1]!BexGetData("DP_1","003N8EMH8GTFRIVOG7KG9J3KE","GSONA")</f>
        <v>#NAME?</v>
      </c>
      <c r="P4" s="8" t="e">
        <f ca="1">[1]!BexGetData("DP_1","003N8EMH8GTFRIVOG7KG9J9VY","GSONA")</f>
        <v>#NAME?</v>
      </c>
      <c r="Q4" s="4" t="e">
        <f ca="1">[1]!BexGetData("DP_1","00O2TNJGODT0G5Z4TTKYMM5MT","GSONA")</f>
        <v>#NAME?</v>
      </c>
      <c r="R4" s="8" t="e">
        <f ca="1">[1]!BexGetData("DP_1","00O2TNJGODT0G5Z4TTKYMMBYD","GSONA")</f>
        <v>#NAME?</v>
      </c>
      <c r="S4" s="8" t="e">
        <f ca="1">[1]!BexGetData("DP_1","00O2TNJGODT0G5Z4TTKYMMI9X","GSONA")</f>
        <v>#NAME?</v>
      </c>
      <c r="T4" s="8" t="e">
        <f ca="1">[1]!BexGetData("DP_1","00O2TNJGODT0G5Z4TTKYMMOLH","GSONA")</f>
        <v>#NAME?</v>
      </c>
      <c r="U4" s="8" t="e">
        <f ca="1">[1]!BexGetData("DP_1","00O2TNJGODT0G5Z4TTKYMMUX1","GSONA")</f>
        <v>#NAME?</v>
      </c>
      <c r="V4" s="8" t="e">
        <f ca="1">[1]!BexGetData("DP_1","00O2TNJGODT0G5Z4TTKYMN18L","GSONA")</f>
        <v>#NAME?</v>
      </c>
      <c r="W4" s="8" t="e">
        <f ca="1">[1]!BexGetData("DP_1","00O2TNJGODT0G5Z4TTKYMN7K5","GSONA")</f>
        <v>#NAME?</v>
      </c>
    </row>
    <row r="5" spans="1:23" x14ac:dyDescent="0.2">
      <c r="A5" s="12" t="s">
        <v>0</v>
      </c>
      <c r="B5" s="6" t="s">
        <v>55</v>
      </c>
      <c r="C5" s="3" t="e">
        <f ca="1">[1]!BexGetData("DP_1","003N8EMH8GTFRCSWKMPXRR8GU","GSON1")</f>
        <v>#NAME?</v>
      </c>
      <c r="D5" s="3" t="e">
        <f ca="1">[1]!BexGetData("DP_1","003N8EMH8GTFRCSWKMPXRRESE","GSON1")</f>
        <v>#NAME?</v>
      </c>
      <c r="E5" s="3" t="e">
        <f ca="1">[1]!BexGetData("DP_1","003N8EMH8GTFRCSWKMPXRRL3Y","GSON1")</f>
        <v>#NAME?</v>
      </c>
      <c r="F5" s="3" t="e">
        <f ca="1">[1]!BexGetData("DP_1","003N8EMH8GTFRCSWKMPXRRRFI","GSON1")</f>
        <v>#NAME?</v>
      </c>
      <c r="G5" s="3" t="e">
        <f ca="1">[1]!BexGetData("DP_1","003N8EMH8GTFRCSWKMPXRRXR2","GSON1")</f>
        <v>#NAME?</v>
      </c>
      <c r="H5" s="3" t="e">
        <f ca="1">[1]!BexGetData("DP_1","003N8EMH8GTFRCSWKMPXRS42M","GSON1")</f>
        <v>#NAME?</v>
      </c>
      <c r="I5" s="3" t="e">
        <f ca="1">[1]!BexGetData("DP_1","003N8EMH8GTFRCSWKMPXRSAE6","GSON1")</f>
        <v>#NAME?</v>
      </c>
      <c r="J5" s="4" t="e">
        <f ca="1">[1]!BexGetData("DP_1","003N8EMH8GTFRCSWKMPXRSGPQ","GSON1")</f>
        <v>#NAME?</v>
      </c>
      <c r="K5" s="3" t="e">
        <f ca="1">[1]!BexGetData("DP_1","003N8EMH8GTFRIVNUPY288VJH","GSON1")</f>
        <v>#NAME?</v>
      </c>
      <c r="L5" s="3" t="e">
        <f ca="1">[1]!BexGetData("DP_1","003N8EMH8GTFRIVNUPY2891V1","GSON1")</f>
        <v>#NAME?</v>
      </c>
      <c r="M5" s="8" t="e">
        <f ca="1">[1]!BexGetData("DP_1","003N8EMH8GTFRIVOG7KG9IQXA","GSON1")</f>
        <v>#NAME?</v>
      </c>
      <c r="N5" s="3" t="e">
        <f ca="1">[1]!BexGetData("DP_1","003N8EMH8GTFRIVOG7KG9IX8U","GSON1")</f>
        <v>#NAME?</v>
      </c>
      <c r="O5" s="8" t="e">
        <f ca="1">[1]!BexGetData("DP_1","003N8EMH8GTFRIVOG7KG9J3KE","GSON1")</f>
        <v>#NAME?</v>
      </c>
      <c r="P5" s="3" t="e">
        <f ca="1">[1]!BexGetData("DP_1","003N8EMH8GTFRIVOG7KG9J9VY","GSON1")</f>
        <v>#NAME?</v>
      </c>
      <c r="Q5" s="4" t="e">
        <f ca="1">[1]!BexGetData("DP_1","00O2TNJGODT0G5Z4TTKYMM5MT","GSON1")</f>
        <v>#NAME?</v>
      </c>
      <c r="R5" s="3" t="e">
        <f ca="1">[1]!BexGetData("DP_1","00O2TNJGODT0G5Z4TTKYMMBYD","GSON1")</f>
        <v>#NAME?</v>
      </c>
      <c r="S5" s="3" t="e">
        <f ca="1">[1]!BexGetData("DP_1","00O2TNJGODT0G5Z4TTKYMMI9X","GSON1")</f>
        <v>#NAME?</v>
      </c>
      <c r="T5" s="8" t="e">
        <f ca="1">[1]!BexGetData("DP_1","00O2TNJGODT0G5Z4TTKYMMOLH","GSON1")</f>
        <v>#NAME?</v>
      </c>
      <c r="U5" s="3" t="e">
        <f ca="1">[1]!BexGetData("DP_1","00O2TNJGODT0G5Z4TTKYMMUX1","GSON1")</f>
        <v>#NAME?</v>
      </c>
      <c r="V5" s="8" t="e">
        <f ca="1">[1]!BexGetData("DP_1","00O2TNJGODT0G5Z4TTKYMN18L","GSON1")</f>
        <v>#NAME?</v>
      </c>
      <c r="W5" s="3" t="e">
        <f ca="1">[1]!BexGetData("DP_1","00O2TNJGODT0G5Z4TTKYMN7K5","GSON1")</f>
        <v>#NAME?</v>
      </c>
    </row>
    <row r="6" spans="1:23" x14ac:dyDescent="0.2">
      <c r="A6" s="13" t="s">
        <v>1</v>
      </c>
      <c r="B6" s="7" t="s">
        <v>56</v>
      </c>
      <c r="C6" s="3" t="e">
        <f ca="1">[1]!BexGetData("DP_1","003N8EMH8GTFRCSWKMPXRR8GU","GSON11")</f>
        <v>#NAME?</v>
      </c>
      <c r="D6" s="3" t="e">
        <f ca="1">[1]!BexGetData("DP_1","003N8EMH8GTFRCSWKMPXRRESE","GSON11")</f>
        <v>#NAME?</v>
      </c>
      <c r="E6" s="3" t="e">
        <f ca="1">[1]!BexGetData("DP_1","003N8EMH8GTFRCSWKMPXRRL3Y","GSON11")</f>
        <v>#NAME?</v>
      </c>
      <c r="F6" s="3" t="e">
        <f ca="1">[1]!BexGetData("DP_1","003N8EMH8GTFRCSWKMPXRRRFI","GSON11")</f>
        <v>#NAME?</v>
      </c>
      <c r="G6" s="3" t="e">
        <f ca="1">[1]!BexGetData("DP_1","003N8EMH8GTFRCSWKMPXRRXR2","GSON11")</f>
        <v>#NAME?</v>
      </c>
      <c r="H6" s="3" t="e">
        <f ca="1">[1]!BexGetData("DP_1","003N8EMH8GTFRCSWKMPXRS42M","GSON11")</f>
        <v>#NAME?</v>
      </c>
      <c r="I6" s="3" t="e">
        <f ca="1">[1]!BexGetData("DP_1","003N8EMH8GTFRCSWKMPXRSAE6","GSON11")</f>
        <v>#NAME?</v>
      </c>
      <c r="J6" s="4" t="e">
        <f ca="1">[1]!BexGetData("DP_1","003N8EMH8GTFRCSWKMPXRSGPQ","GSON11")</f>
        <v>#NAME?</v>
      </c>
      <c r="K6" s="3" t="e">
        <f ca="1">[1]!BexGetData("DP_1","003N8EMH8GTFRIVNUPY288VJH","GSON11")</f>
        <v>#NAME?</v>
      </c>
      <c r="L6" s="3" t="e">
        <f ca="1">[1]!BexGetData("DP_1","003N8EMH8GTFRIVNUPY2891V1","GSON11")</f>
        <v>#NAME?</v>
      </c>
      <c r="M6" s="8" t="e">
        <f ca="1">[1]!BexGetData("DP_1","003N8EMH8GTFRIVOG7KG9IQXA","GSON11")</f>
        <v>#NAME?</v>
      </c>
      <c r="N6" s="3" t="e">
        <f ca="1">[1]!BexGetData("DP_1","003N8EMH8GTFRIVOG7KG9IX8U","GSON11")</f>
        <v>#NAME?</v>
      </c>
      <c r="O6" s="8" t="e">
        <f ca="1">[1]!BexGetData("DP_1","003N8EMH8GTFRIVOG7KG9J3KE","GSON11")</f>
        <v>#NAME?</v>
      </c>
      <c r="P6" s="3" t="e">
        <f ca="1">[1]!BexGetData("DP_1","003N8EMH8GTFRIVOG7KG9J9VY","GSON11")</f>
        <v>#NAME?</v>
      </c>
      <c r="Q6" s="4" t="e">
        <f ca="1">[1]!BexGetData("DP_1","00O2TNJGODT0G5Z4TTKYMM5MT","GSON11")</f>
        <v>#NAME?</v>
      </c>
      <c r="R6" s="3" t="e">
        <f ca="1">[1]!BexGetData("DP_1","00O2TNJGODT0G5Z4TTKYMMBYD","GSON11")</f>
        <v>#NAME?</v>
      </c>
      <c r="S6" s="3" t="e">
        <f ca="1">[1]!BexGetData("DP_1","00O2TNJGODT0G5Z4TTKYMMI9X","GSON11")</f>
        <v>#NAME?</v>
      </c>
      <c r="T6" s="8" t="e">
        <f ca="1">[1]!BexGetData("DP_1","00O2TNJGODT0G5Z4TTKYMMOLH","GSON11")</f>
        <v>#NAME?</v>
      </c>
      <c r="U6" s="3" t="e">
        <f ca="1">[1]!BexGetData("DP_1","00O2TNJGODT0G5Z4TTKYMMUX1","GSON11")</f>
        <v>#NAME?</v>
      </c>
      <c r="V6" s="8" t="e">
        <f ca="1">[1]!BexGetData("DP_1","00O2TNJGODT0G5Z4TTKYMN18L","GSON11")</f>
        <v>#NAME?</v>
      </c>
      <c r="W6" s="3" t="e">
        <f ca="1">[1]!BexGetData("DP_1","00O2TNJGODT0G5Z4TTKYMN7K5","GSON11")</f>
        <v>#NAME?</v>
      </c>
    </row>
    <row r="7" spans="1:23" x14ac:dyDescent="0.2">
      <c r="A7" s="14" t="s">
        <v>57</v>
      </c>
      <c r="B7" s="7" t="s">
        <v>58</v>
      </c>
      <c r="C7" s="3" t="e">
        <f ca="1">[1]!BexGetData("DP_1","003N8EMH8GTFRCSWKMPXRR8GU","GSON111")</f>
        <v>#NAME?</v>
      </c>
      <c r="D7" s="3" t="e">
        <f ca="1">[1]!BexGetData("DP_1","003N8EMH8GTFRCSWKMPXRRESE","GSON111")</f>
        <v>#NAME?</v>
      </c>
      <c r="E7" s="3" t="e">
        <f ca="1">[1]!BexGetData("DP_1","003N8EMH8GTFRCSWKMPXRRL3Y","GSON111")</f>
        <v>#NAME?</v>
      </c>
      <c r="F7" s="3" t="e">
        <f ca="1">[1]!BexGetData("DP_1","003N8EMH8GTFRCSWKMPXRRRFI","GSON111")</f>
        <v>#NAME?</v>
      </c>
      <c r="G7" s="3" t="e">
        <f ca="1">[1]!BexGetData("DP_1","003N8EMH8GTFRCSWKMPXRRXR2","GSON111")</f>
        <v>#NAME?</v>
      </c>
      <c r="H7" s="3" t="e">
        <f ca="1">[1]!BexGetData("DP_1","003N8EMH8GTFRCSWKMPXRS42M","GSON111")</f>
        <v>#NAME?</v>
      </c>
      <c r="I7" s="3" t="e">
        <f ca="1">[1]!BexGetData("DP_1","003N8EMH8GTFRCSWKMPXRSAE6","GSON111")</f>
        <v>#NAME?</v>
      </c>
      <c r="J7" s="4" t="e">
        <f ca="1">[1]!BexGetData("DP_1","003N8EMH8GTFRCSWKMPXRSGPQ","GSON111")</f>
        <v>#NAME?</v>
      </c>
      <c r="K7" s="3" t="e">
        <f ca="1">[1]!BexGetData("DP_1","003N8EMH8GTFRIVNUPY288VJH","GSON111")</f>
        <v>#NAME?</v>
      </c>
      <c r="L7" s="3" t="e">
        <f ca="1">[1]!BexGetData("DP_1","003N8EMH8GTFRIVNUPY2891V1","GSON111")</f>
        <v>#NAME?</v>
      </c>
      <c r="M7" s="8" t="e">
        <f ca="1">[1]!BexGetData("DP_1","003N8EMH8GTFRIVOG7KG9IQXA","GSON111")</f>
        <v>#NAME?</v>
      </c>
      <c r="N7" s="3" t="e">
        <f ca="1">[1]!BexGetData("DP_1","003N8EMH8GTFRIVOG7KG9IX8U","GSON111")</f>
        <v>#NAME?</v>
      </c>
      <c r="O7" s="8" t="e">
        <f ca="1">[1]!BexGetData("DP_1","003N8EMH8GTFRIVOG7KG9J3KE","GSON111")</f>
        <v>#NAME?</v>
      </c>
      <c r="P7" s="3" t="e">
        <f ca="1">[1]!BexGetData("DP_1","003N8EMH8GTFRIVOG7KG9J9VY","GSON111")</f>
        <v>#NAME?</v>
      </c>
      <c r="Q7" s="4" t="e">
        <f ca="1">[1]!BexGetData("DP_1","00O2TNJGODT0G5Z4TTKYMM5MT","GSON111")</f>
        <v>#NAME?</v>
      </c>
      <c r="R7" s="3" t="e">
        <f ca="1">[1]!BexGetData("DP_1","00O2TNJGODT0G5Z4TTKYMMBYD","GSON111")</f>
        <v>#NAME?</v>
      </c>
      <c r="S7" s="3" t="e">
        <f ca="1">[1]!BexGetData("DP_1","00O2TNJGODT0G5Z4TTKYMMI9X","GSON111")</f>
        <v>#NAME?</v>
      </c>
      <c r="T7" s="8" t="e">
        <f ca="1">[1]!BexGetData("DP_1","00O2TNJGODT0G5Z4TTKYMMOLH","GSON111")</f>
        <v>#NAME?</v>
      </c>
      <c r="U7" s="3" t="e">
        <f ca="1">[1]!BexGetData("DP_1","00O2TNJGODT0G5Z4TTKYMMUX1","GSON111")</f>
        <v>#NAME?</v>
      </c>
      <c r="V7" s="8" t="e">
        <f ca="1">[1]!BexGetData("DP_1","00O2TNJGODT0G5Z4TTKYMN18L","GSON111")</f>
        <v>#NAME?</v>
      </c>
      <c r="W7" s="3" t="e">
        <f ca="1">[1]!BexGetData("DP_1","00O2TNJGODT0G5Z4TTKYMN7K5","GSON111")</f>
        <v>#NAME?</v>
      </c>
    </row>
    <row r="8" spans="1:23" x14ac:dyDescent="0.2">
      <c r="A8" s="15" t="s">
        <v>2</v>
      </c>
      <c r="B8" s="7" t="s">
        <v>59</v>
      </c>
      <c r="C8" s="3" t="e">
        <f ca="1">[1]!BexGetData("DP_1","003N8EMH8GTFRCSWKMPXRR8GU","GSON1111")</f>
        <v>#NAME?</v>
      </c>
      <c r="D8" s="3" t="e">
        <f ca="1">[1]!BexGetData("DP_1","003N8EMH8GTFRCSWKMPXRRESE","GSON1111")</f>
        <v>#NAME?</v>
      </c>
      <c r="E8" s="3" t="e">
        <f ca="1">[1]!BexGetData("DP_1","003N8EMH8GTFRCSWKMPXRRL3Y","GSON1111")</f>
        <v>#NAME?</v>
      </c>
      <c r="F8" s="3" t="e">
        <f ca="1">[1]!BexGetData("DP_1","003N8EMH8GTFRCSWKMPXRRRFI","GSON1111")</f>
        <v>#NAME?</v>
      </c>
      <c r="G8" s="3" t="e">
        <f ca="1">[1]!BexGetData("DP_1","003N8EMH8GTFRCSWKMPXRRXR2","GSON1111")</f>
        <v>#NAME?</v>
      </c>
      <c r="H8" s="3" t="e">
        <f ca="1">[1]!BexGetData("DP_1","003N8EMH8GTFRCSWKMPXRS42M","GSON1111")</f>
        <v>#NAME?</v>
      </c>
      <c r="I8" s="3" t="e">
        <f ca="1">[1]!BexGetData("DP_1","003N8EMH8GTFRCSWKMPXRSAE6","GSON1111")</f>
        <v>#NAME?</v>
      </c>
      <c r="J8" s="4" t="e">
        <f ca="1">[1]!BexGetData("DP_1","003N8EMH8GTFRCSWKMPXRSGPQ","GSON1111")</f>
        <v>#NAME?</v>
      </c>
      <c r="K8" s="3" t="e">
        <f ca="1">[1]!BexGetData("DP_1","003N8EMH8GTFRIVNUPY288VJH","GSON1111")</f>
        <v>#NAME?</v>
      </c>
      <c r="L8" s="3" t="e">
        <f ca="1">[1]!BexGetData("DP_1","003N8EMH8GTFRIVNUPY2891V1","GSON1111")</f>
        <v>#NAME?</v>
      </c>
      <c r="M8" s="3" t="e">
        <f ca="1">[1]!BexGetData("DP_1","003N8EMH8GTFRIVOG7KG9IQXA","GSON1111")</f>
        <v>#NAME?</v>
      </c>
      <c r="N8" s="8" t="e">
        <f ca="1">[1]!BexGetData("DP_1","003N8EMH8GTFRIVOG7KG9IX8U","GSON1111")</f>
        <v>#NAME?</v>
      </c>
      <c r="O8" s="3" t="e">
        <f ca="1">[1]!BexGetData("DP_1","003N8EMH8GTFRIVOG7KG9J3KE","GSON1111")</f>
        <v>#NAME?</v>
      </c>
      <c r="P8" s="8" t="e">
        <f ca="1">[1]!BexGetData("DP_1","003N8EMH8GTFRIVOG7KG9J9VY","GSON1111")</f>
        <v>#NAME?</v>
      </c>
      <c r="Q8" s="4" t="e">
        <f ca="1">[1]!BexGetData("DP_1","00O2TNJGODT0G5Z4TTKYMM5MT","GSON1111")</f>
        <v>#NAME?</v>
      </c>
      <c r="R8" s="3" t="e">
        <f ca="1">[1]!BexGetData("DP_1","00O2TNJGODT0G5Z4TTKYMMBYD","GSON1111")</f>
        <v>#NAME?</v>
      </c>
      <c r="S8" s="3" t="e">
        <f ca="1">[1]!BexGetData("DP_1","00O2TNJGODT0G5Z4TTKYMMI9X","GSON1111")</f>
        <v>#NAME?</v>
      </c>
      <c r="T8" s="8" t="e">
        <f ca="1">[1]!BexGetData("DP_1","00O2TNJGODT0G5Z4TTKYMMOLH","GSON1111")</f>
        <v>#NAME?</v>
      </c>
      <c r="U8" s="3" t="e">
        <f ca="1">[1]!BexGetData("DP_1","00O2TNJGODT0G5Z4TTKYMMUX1","GSON1111")</f>
        <v>#NAME?</v>
      </c>
      <c r="V8" s="8" t="e">
        <f ca="1">[1]!BexGetData("DP_1","00O2TNJGODT0G5Z4TTKYMN18L","GSON1111")</f>
        <v>#NAME?</v>
      </c>
      <c r="W8" s="3" t="e">
        <f ca="1">[1]!BexGetData("DP_1","00O2TNJGODT0G5Z4TTKYMN7K5","GSON1111")</f>
        <v>#NAME?</v>
      </c>
    </row>
    <row r="9" spans="1:23" x14ac:dyDescent="0.2">
      <c r="A9" s="16" t="s">
        <v>1731</v>
      </c>
      <c r="B9" s="7" t="s">
        <v>408</v>
      </c>
      <c r="C9" s="8" t="e">
        <f ca="1">[1]!BexGetData("DP_1","003N8EMH8GTFRCSWKMPXRR8GU","GSON1111100000")</f>
        <v>#NAME?</v>
      </c>
      <c r="D9" s="3" t="e">
        <f ca="1">[1]!BexGetData("DP_1","003N8EMH8GTFRCSWKMPXRRESE","GSON1111100000")</f>
        <v>#NAME?</v>
      </c>
      <c r="E9" s="8" t="e">
        <f ca="1">[1]!BexGetData("DP_1","003N8EMH8GTFRCSWKMPXRRL3Y","GSON1111100000")</f>
        <v>#NAME?</v>
      </c>
      <c r="F9" s="3" t="e">
        <f ca="1">[1]!BexGetData("DP_1","003N8EMH8GTFRCSWKMPXRRRFI","GSON1111100000")</f>
        <v>#NAME?</v>
      </c>
      <c r="G9" s="3" t="e">
        <f ca="1">[1]!BexGetData("DP_1","003N8EMH8GTFRCSWKMPXRRXR2","GSON1111100000")</f>
        <v>#NAME?</v>
      </c>
      <c r="H9" s="3" t="e">
        <f ca="1">[1]!BexGetData("DP_1","003N8EMH8GTFRCSWKMPXRS42M","GSON1111100000")</f>
        <v>#NAME?</v>
      </c>
      <c r="I9" s="3" t="e">
        <f ca="1">[1]!BexGetData("DP_1","003N8EMH8GTFRCSWKMPXRSAE6","GSON1111100000")</f>
        <v>#NAME?</v>
      </c>
      <c r="J9" s="4" t="e">
        <f ca="1">[1]!BexGetData("DP_1","003N8EMH8GTFRCSWKMPXRSGPQ","GSON1111100000")</f>
        <v>#NAME?</v>
      </c>
      <c r="K9" s="3" t="e">
        <f ca="1">[1]!BexGetData("DP_1","003N8EMH8GTFRIVNUPY288VJH","GSON1111100000")</f>
        <v>#NAME?</v>
      </c>
      <c r="L9" s="3" t="e">
        <f ca="1">[1]!BexGetData("DP_1","003N8EMH8GTFRIVNUPY2891V1","GSON1111100000")</f>
        <v>#NAME?</v>
      </c>
      <c r="M9" s="3" t="e">
        <f ca="1">[1]!BexGetData("DP_1","003N8EMH8GTFRIVOG7KG9IQXA","GSON1111100000")</f>
        <v>#NAME?</v>
      </c>
      <c r="N9" s="8" t="e">
        <f ca="1">[1]!BexGetData("DP_1","003N8EMH8GTFRIVOG7KG9IX8U","GSON1111100000")</f>
        <v>#NAME?</v>
      </c>
      <c r="O9" s="3" t="e">
        <f ca="1">[1]!BexGetData("DP_1","003N8EMH8GTFRIVOG7KG9J3KE","GSON1111100000")</f>
        <v>#NAME?</v>
      </c>
      <c r="P9" s="8" t="e">
        <f ca="1">[1]!BexGetData("DP_1","003N8EMH8GTFRIVOG7KG9J9VY","GSON1111100000")</f>
        <v>#NAME?</v>
      </c>
      <c r="Q9" s="4" t="e">
        <f ca="1">[1]!BexGetData("DP_1","00O2TNJGODT0G5Z4TTKYMM5MT","GSON1111100000")</f>
        <v>#NAME?</v>
      </c>
      <c r="R9" s="3" t="e">
        <f ca="1">[1]!BexGetData("DP_1","00O2TNJGODT0G5Z4TTKYMMBYD","GSON1111100000")</f>
        <v>#NAME?</v>
      </c>
      <c r="S9" s="3" t="e">
        <f ca="1">[1]!BexGetData("DP_1","00O2TNJGODT0G5Z4TTKYMMI9X","GSON1111100000")</f>
        <v>#NAME?</v>
      </c>
      <c r="T9" s="8" t="e">
        <f ca="1">[1]!BexGetData("DP_1","00O2TNJGODT0G5Z4TTKYMMOLH","GSON1111100000")</f>
        <v>#NAME?</v>
      </c>
      <c r="U9" s="3" t="e">
        <f ca="1">[1]!BexGetData("DP_1","00O2TNJGODT0G5Z4TTKYMMUX1","GSON1111100000")</f>
        <v>#NAME?</v>
      </c>
      <c r="V9" s="8" t="e">
        <f ca="1">[1]!BexGetData("DP_1","00O2TNJGODT0G5Z4TTKYMN18L","GSON1111100000")</f>
        <v>#NAME?</v>
      </c>
      <c r="W9" s="3" t="e">
        <f ca="1">[1]!BexGetData("DP_1","00O2TNJGODT0G5Z4TTKYMN7K5","GSON1111100000")</f>
        <v>#NAME?</v>
      </c>
    </row>
    <row r="10" spans="1:23" x14ac:dyDescent="0.2">
      <c r="A10" s="16" t="s">
        <v>1732</v>
      </c>
      <c r="B10" s="7" t="s">
        <v>1733</v>
      </c>
      <c r="C10" s="3" t="e">
        <f ca="1">[1]!BexGetData("DP_1","003N8EMH8GTFRCSWKMPXRR8GU","GSON1111100001")</f>
        <v>#NAME?</v>
      </c>
      <c r="D10" s="3" t="e">
        <f ca="1">[1]!BexGetData("DP_1","003N8EMH8GTFRCSWKMPXRRESE","GSON1111100001")</f>
        <v>#NAME?</v>
      </c>
      <c r="E10" s="3" t="e">
        <f ca="1">[1]!BexGetData("DP_1","003N8EMH8GTFRCSWKMPXRRL3Y","GSON1111100001")</f>
        <v>#NAME?</v>
      </c>
      <c r="F10" s="4" t="e">
        <f ca="1">[1]!BexGetData("DP_1","003N8EMH8GTFRCSWKMPXRRRFI","GSON1111100001")</f>
        <v>#NAME?</v>
      </c>
      <c r="G10" s="4" t="e">
        <f ca="1">[1]!BexGetData("DP_1","003N8EMH8GTFRCSWKMPXRRXR2","GSON1111100001")</f>
        <v>#NAME?</v>
      </c>
      <c r="H10" s="4" t="e">
        <f ca="1">[1]!BexGetData("DP_1","003N8EMH8GTFRCSWKMPXRS42M","GSON1111100001")</f>
        <v>#NAME?</v>
      </c>
      <c r="I10" s="4" t="e">
        <f ca="1">[1]!BexGetData("DP_1","003N8EMH8GTFRCSWKMPXRSAE6","GSON1111100001")</f>
        <v>#NAME?</v>
      </c>
      <c r="J10" s="4" t="e">
        <f ca="1">[1]!BexGetData("DP_1","003N8EMH8GTFRCSWKMPXRSGPQ","GSON1111100001")</f>
        <v>#NAME?</v>
      </c>
      <c r="K10" s="3" t="e">
        <f ca="1">[1]!BexGetData("DP_1","003N8EMH8GTFRIVNUPY288VJH","GSON1111100001")</f>
        <v>#NAME?</v>
      </c>
      <c r="L10" s="3" t="e">
        <f ca="1">[1]!BexGetData("DP_1","003N8EMH8GTFRIVNUPY2891V1","GSON1111100001")</f>
        <v>#NAME?</v>
      </c>
      <c r="M10" s="8" t="e">
        <f ca="1">[1]!BexGetData("DP_1","003N8EMH8GTFRIVOG7KG9IQXA","GSON1111100001")</f>
        <v>#NAME?</v>
      </c>
      <c r="N10" s="3" t="e">
        <f ca="1">[1]!BexGetData("DP_1","003N8EMH8GTFRIVOG7KG9IX8U","GSON1111100001")</f>
        <v>#NAME?</v>
      </c>
      <c r="O10" s="8" t="e">
        <f ca="1">[1]!BexGetData("DP_1","003N8EMH8GTFRIVOG7KG9J3KE","GSON1111100001")</f>
        <v>#NAME?</v>
      </c>
      <c r="P10" s="3" t="e">
        <f ca="1">[1]!BexGetData("DP_1","003N8EMH8GTFRIVOG7KG9J9VY","GSON1111100001")</f>
        <v>#NAME?</v>
      </c>
      <c r="Q10" s="4" t="e">
        <f ca="1">[1]!BexGetData("DP_1","00O2TNJGODT0G5Z4TTKYMM5MT","GSON1111100001")</f>
        <v>#NAME?</v>
      </c>
      <c r="R10" s="4" t="e">
        <f ca="1">[1]!BexGetData("DP_1","00O2TNJGODT0G5Z4TTKYMMBYD","GSON1111100001")</f>
        <v>#NAME?</v>
      </c>
      <c r="S10" s="4" t="e">
        <f ca="1">[1]!BexGetData("DP_1","00O2TNJGODT0G5Z4TTKYMMI9X","GSON1111100001")</f>
        <v>#NAME?</v>
      </c>
      <c r="T10" s="4" t="e">
        <f ca="1">[1]!BexGetData("DP_1","00O2TNJGODT0G5Z4TTKYMMOLH","GSON1111100001")</f>
        <v>#NAME?</v>
      </c>
      <c r="U10" s="4" t="e">
        <f ca="1">[1]!BexGetData("DP_1","00O2TNJGODT0G5Z4TTKYMMUX1","GSON1111100001")</f>
        <v>#NAME?</v>
      </c>
      <c r="V10" s="4" t="e">
        <f ca="1">[1]!BexGetData("DP_1","00O2TNJGODT0G5Z4TTKYMN18L","GSON1111100001")</f>
        <v>#NAME?</v>
      </c>
      <c r="W10" s="4" t="e">
        <f ca="1">[1]!BexGetData("DP_1","00O2TNJGODT0G5Z4TTKYMN7K5","GSON1111100001")</f>
        <v>#NAME?</v>
      </c>
    </row>
    <row r="11" spans="1:23" x14ac:dyDescent="0.2">
      <c r="A11" s="16" t="s">
        <v>1734</v>
      </c>
      <c r="B11" s="7" t="s">
        <v>737</v>
      </c>
      <c r="C11" s="3" t="e">
        <f ca="1">[1]!BexGetData("DP_1","003N8EMH8GTFRCSWKMPXRR8GU","GSON1111100002")</f>
        <v>#NAME?</v>
      </c>
      <c r="D11" s="3" t="e">
        <f ca="1">[1]!BexGetData("DP_1","003N8EMH8GTFRCSWKMPXRRESE","GSON1111100002")</f>
        <v>#NAME?</v>
      </c>
      <c r="E11" s="3" t="e">
        <f ca="1">[1]!BexGetData("DP_1","003N8EMH8GTFRCSWKMPXRRL3Y","GSON1111100002")</f>
        <v>#NAME?</v>
      </c>
      <c r="F11" s="4" t="e">
        <f ca="1">[1]!BexGetData("DP_1","003N8EMH8GTFRCSWKMPXRRRFI","GSON1111100002")</f>
        <v>#NAME?</v>
      </c>
      <c r="G11" s="4" t="e">
        <f ca="1">[1]!BexGetData("DP_1","003N8EMH8GTFRCSWKMPXRRXR2","GSON1111100002")</f>
        <v>#NAME?</v>
      </c>
      <c r="H11" s="4" t="e">
        <f ca="1">[1]!BexGetData("DP_1","003N8EMH8GTFRCSWKMPXRS42M","GSON1111100002")</f>
        <v>#NAME?</v>
      </c>
      <c r="I11" s="4" t="e">
        <f ca="1">[1]!BexGetData("DP_1","003N8EMH8GTFRCSWKMPXRSAE6","GSON1111100002")</f>
        <v>#NAME?</v>
      </c>
      <c r="J11" s="4" t="e">
        <f ca="1">[1]!BexGetData("DP_1","003N8EMH8GTFRCSWKMPXRSGPQ","GSON1111100002")</f>
        <v>#NAME?</v>
      </c>
      <c r="K11" s="3" t="e">
        <f ca="1">[1]!BexGetData("DP_1","003N8EMH8GTFRIVNUPY288VJH","GSON1111100002")</f>
        <v>#NAME?</v>
      </c>
      <c r="L11" s="3" t="e">
        <f ca="1">[1]!BexGetData("DP_1","003N8EMH8GTFRIVNUPY2891V1","GSON1111100002")</f>
        <v>#NAME?</v>
      </c>
      <c r="M11" s="8" t="e">
        <f ca="1">[1]!BexGetData("DP_1","003N8EMH8GTFRIVOG7KG9IQXA","GSON1111100002")</f>
        <v>#NAME?</v>
      </c>
      <c r="N11" s="3" t="e">
        <f ca="1">[1]!BexGetData("DP_1","003N8EMH8GTFRIVOG7KG9IX8U","GSON1111100002")</f>
        <v>#NAME?</v>
      </c>
      <c r="O11" s="8" t="e">
        <f ca="1">[1]!BexGetData("DP_1","003N8EMH8GTFRIVOG7KG9J3KE","GSON1111100002")</f>
        <v>#NAME?</v>
      </c>
      <c r="P11" s="3" t="e">
        <f ca="1">[1]!BexGetData("DP_1","003N8EMH8GTFRIVOG7KG9J9VY","GSON1111100002")</f>
        <v>#NAME?</v>
      </c>
      <c r="Q11" s="4" t="e">
        <f ca="1">[1]!BexGetData("DP_1","00O2TNJGODT0G5Z4TTKYMM5MT","GSON1111100002")</f>
        <v>#NAME?</v>
      </c>
      <c r="R11" s="4" t="e">
        <f ca="1">[1]!BexGetData("DP_1","00O2TNJGODT0G5Z4TTKYMMBYD","GSON1111100002")</f>
        <v>#NAME?</v>
      </c>
      <c r="S11" s="4" t="e">
        <f ca="1">[1]!BexGetData("DP_1","00O2TNJGODT0G5Z4TTKYMMI9X","GSON1111100002")</f>
        <v>#NAME?</v>
      </c>
      <c r="T11" s="4" t="e">
        <f ca="1">[1]!BexGetData("DP_1","00O2TNJGODT0G5Z4TTKYMMOLH","GSON1111100002")</f>
        <v>#NAME?</v>
      </c>
      <c r="U11" s="4" t="e">
        <f ca="1">[1]!BexGetData("DP_1","00O2TNJGODT0G5Z4TTKYMMUX1","GSON1111100002")</f>
        <v>#NAME?</v>
      </c>
      <c r="V11" s="4" t="e">
        <f ca="1">[1]!BexGetData("DP_1","00O2TNJGODT0G5Z4TTKYMN18L","GSON1111100002")</f>
        <v>#NAME?</v>
      </c>
      <c r="W11" s="4" t="e">
        <f ca="1">[1]!BexGetData("DP_1","00O2TNJGODT0G5Z4TTKYMN7K5","GSON1111100002")</f>
        <v>#NAME?</v>
      </c>
    </row>
    <row r="12" spans="1:23" x14ac:dyDescent="0.2">
      <c r="A12" s="16" t="s">
        <v>1735</v>
      </c>
      <c r="B12" s="7" t="s">
        <v>1617</v>
      </c>
      <c r="C12" s="3" t="e">
        <f ca="1">[1]!BexGetData("DP_1","003N8EMH8GTFRCSWKMPXRR8GU","GSON1111100004")</f>
        <v>#NAME?</v>
      </c>
      <c r="D12" s="3" t="e">
        <f ca="1">[1]!BexGetData("DP_1","003N8EMH8GTFRCSWKMPXRRESE","GSON1111100004")</f>
        <v>#NAME?</v>
      </c>
      <c r="E12" s="3" t="e">
        <f ca="1">[1]!BexGetData("DP_1","003N8EMH8GTFRCSWKMPXRRL3Y","GSON1111100004")</f>
        <v>#NAME?</v>
      </c>
      <c r="F12" s="4" t="e">
        <f ca="1">[1]!BexGetData("DP_1","003N8EMH8GTFRCSWKMPXRRRFI","GSON1111100004")</f>
        <v>#NAME?</v>
      </c>
      <c r="G12" s="4" t="e">
        <f ca="1">[1]!BexGetData("DP_1","003N8EMH8GTFRCSWKMPXRRXR2","GSON1111100004")</f>
        <v>#NAME?</v>
      </c>
      <c r="H12" s="4" t="e">
        <f ca="1">[1]!BexGetData("DP_1","003N8EMH8GTFRCSWKMPXRS42M","GSON1111100004")</f>
        <v>#NAME?</v>
      </c>
      <c r="I12" s="4" t="e">
        <f ca="1">[1]!BexGetData("DP_1","003N8EMH8GTFRCSWKMPXRSAE6","GSON1111100004")</f>
        <v>#NAME?</v>
      </c>
      <c r="J12" s="4" t="e">
        <f ca="1">[1]!BexGetData("DP_1","003N8EMH8GTFRCSWKMPXRSGPQ","GSON1111100004")</f>
        <v>#NAME?</v>
      </c>
      <c r="K12" s="3" t="e">
        <f ca="1">[1]!BexGetData("DP_1","003N8EMH8GTFRIVNUPY288VJH","GSON1111100004")</f>
        <v>#NAME?</v>
      </c>
      <c r="L12" s="3" t="e">
        <f ca="1">[1]!BexGetData("DP_1","003N8EMH8GTFRIVNUPY2891V1","GSON1111100004")</f>
        <v>#NAME?</v>
      </c>
      <c r="M12" s="8" t="e">
        <f ca="1">[1]!BexGetData("DP_1","003N8EMH8GTFRIVOG7KG9IQXA","GSON1111100004")</f>
        <v>#NAME?</v>
      </c>
      <c r="N12" s="3" t="e">
        <f ca="1">[1]!BexGetData("DP_1","003N8EMH8GTFRIVOG7KG9IX8U","GSON1111100004")</f>
        <v>#NAME?</v>
      </c>
      <c r="O12" s="8" t="e">
        <f ca="1">[1]!BexGetData("DP_1","003N8EMH8GTFRIVOG7KG9J3KE","GSON1111100004")</f>
        <v>#NAME?</v>
      </c>
      <c r="P12" s="3" t="e">
        <f ca="1">[1]!BexGetData("DP_1","003N8EMH8GTFRIVOG7KG9J9VY","GSON1111100004")</f>
        <v>#NAME?</v>
      </c>
      <c r="Q12" s="4" t="e">
        <f ca="1">[1]!BexGetData("DP_1","00O2TNJGODT0G5Z4TTKYMM5MT","GSON1111100004")</f>
        <v>#NAME?</v>
      </c>
      <c r="R12" s="4" t="e">
        <f ca="1">[1]!BexGetData("DP_1","00O2TNJGODT0G5Z4TTKYMMBYD","GSON1111100004")</f>
        <v>#NAME?</v>
      </c>
      <c r="S12" s="4" t="e">
        <f ca="1">[1]!BexGetData("DP_1","00O2TNJGODT0G5Z4TTKYMMI9X","GSON1111100004")</f>
        <v>#NAME?</v>
      </c>
      <c r="T12" s="4" t="e">
        <f ca="1">[1]!BexGetData("DP_1","00O2TNJGODT0G5Z4TTKYMMOLH","GSON1111100004")</f>
        <v>#NAME?</v>
      </c>
      <c r="U12" s="4" t="e">
        <f ca="1">[1]!BexGetData("DP_1","00O2TNJGODT0G5Z4TTKYMMUX1","GSON1111100004")</f>
        <v>#NAME?</v>
      </c>
      <c r="V12" s="4" t="e">
        <f ca="1">[1]!BexGetData("DP_1","00O2TNJGODT0G5Z4TTKYMN18L","GSON1111100004")</f>
        <v>#NAME?</v>
      </c>
      <c r="W12" s="4" t="e">
        <f ca="1">[1]!BexGetData("DP_1","00O2TNJGODT0G5Z4TTKYMN7K5","GSON1111100004")</f>
        <v>#NAME?</v>
      </c>
    </row>
    <row r="13" spans="1:23" x14ac:dyDescent="0.2">
      <c r="A13" s="16" t="s">
        <v>1736</v>
      </c>
      <c r="B13" s="7" t="s">
        <v>1737</v>
      </c>
      <c r="C13" s="8" t="e">
        <f ca="1">[1]!BexGetData("DP_1","003N8EMH8GTFRCSWKMPXRR8GU","GSON1111200001")</f>
        <v>#NAME?</v>
      </c>
      <c r="D13" s="3" t="e">
        <f ca="1">[1]!BexGetData("DP_1","003N8EMH8GTFRCSWKMPXRRESE","GSON1111200001")</f>
        <v>#NAME?</v>
      </c>
      <c r="E13" s="8" t="e">
        <f ca="1">[1]!BexGetData("DP_1","003N8EMH8GTFRCSWKMPXRRL3Y","GSON1111200001")</f>
        <v>#NAME?</v>
      </c>
      <c r="F13" s="3" t="e">
        <f ca="1">[1]!BexGetData("DP_1","003N8EMH8GTFRCSWKMPXRRRFI","GSON1111200001")</f>
        <v>#NAME?</v>
      </c>
      <c r="G13" s="3" t="e">
        <f ca="1">[1]!BexGetData("DP_1","003N8EMH8GTFRCSWKMPXRRXR2","GSON1111200001")</f>
        <v>#NAME?</v>
      </c>
      <c r="H13" s="8" t="e">
        <f ca="1">[1]!BexGetData("DP_1","003N8EMH8GTFRCSWKMPXRS42M","GSON1111200001")</f>
        <v>#NAME?</v>
      </c>
      <c r="I13" s="3" t="e">
        <f ca="1">[1]!BexGetData("DP_1","003N8EMH8GTFRCSWKMPXRSAE6","GSON1111200001")</f>
        <v>#NAME?</v>
      </c>
      <c r="J13" s="4" t="e">
        <f ca="1">[1]!BexGetData("DP_1","003N8EMH8GTFRCSWKMPXRSGPQ","GSON1111200001")</f>
        <v>#NAME?</v>
      </c>
      <c r="K13" s="3" t="e">
        <f ca="1">[1]!BexGetData("DP_1","003N8EMH8GTFRIVNUPY288VJH","GSON1111200001")</f>
        <v>#NAME?</v>
      </c>
      <c r="L13" s="3" t="e">
        <f ca="1">[1]!BexGetData("DP_1","003N8EMH8GTFRIVNUPY2891V1","GSON1111200001")</f>
        <v>#NAME?</v>
      </c>
      <c r="M13" s="3" t="e">
        <f ca="1">[1]!BexGetData("DP_1","003N8EMH8GTFRIVOG7KG9IQXA","GSON1111200001")</f>
        <v>#NAME?</v>
      </c>
      <c r="N13" s="8" t="e">
        <f ca="1">[1]!BexGetData("DP_1","003N8EMH8GTFRIVOG7KG9IX8U","GSON1111200001")</f>
        <v>#NAME?</v>
      </c>
      <c r="O13" s="3" t="e">
        <f ca="1">[1]!BexGetData("DP_1","003N8EMH8GTFRIVOG7KG9J3KE","GSON1111200001")</f>
        <v>#NAME?</v>
      </c>
      <c r="P13" s="8" t="e">
        <f ca="1">[1]!BexGetData("DP_1","003N8EMH8GTFRIVOG7KG9J9VY","GSON1111200001")</f>
        <v>#NAME?</v>
      </c>
      <c r="Q13" s="4" t="e">
        <f ca="1">[1]!BexGetData("DP_1","00O2TNJGODT0G5Z4TTKYMM5MT","GSON1111200001")</f>
        <v>#NAME?</v>
      </c>
      <c r="R13" s="3" t="e">
        <f ca="1">[1]!BexGetData("DP_1","00O2TNJGODT0G5Z4TTKYMMBYD","GSON1111200001")</f>
        <v>#NAME?</v>
      </c>
      <c r="S13" s="3" t="e">
        <f ca="1">[1]!BexGetData("DP_1","00O2TNJGODT0G5Z4TTKYMMI9X","GSON1111200001")</f>
        <v>#NAME?</v>
      </c>
      <c r="T13" s="8" t="e">
        <f ca="1">[1]!BexGetData("DP_1","00O2TNJGODT0G5Z4TTKYMMOLH","GSON1111200001")</f>
        <v>#NAME?</v>
      </c>
      <c r="U13" s="3" t="e">
        <f ca="1">[1]!BexGetData("DP_1","00O2TNJGODT0G5Z4TTKYMMUX1","GSON1111200001")</f>
        <v>#NAME?</v>
      </c>
      <c r="V13" s="8" t="e">
        <f ca="1">[1]!BexGetData("DP_1","00O2TNJGODT0G5Z4TTKYMN18L","GSON1111200001")</f>
        <v>#NAME?</v>
      </c>
      <c r="W13" s="3" t="e">
        <f ca="1">[1]!BexGetData("DP_1","00O2TNJGODT0G5Z4TTKYMN7K5","GSON1111200001")</f>
        <v>#NAME?</v>
      </c>
    </row>
    <row r="14" spans="1:23" x14ac:dyDescent="0.2">
      <c r="A14" s="16" t="s">
        <v>159</v>
      </c>
      <c r="B14" s="7" t="s">
        <v>160</v>
      </c>
      <c r="C14" s="3" t="e">
        <f ca="1">[1]!BexGetData("DP_1","003N8EMH8GTFRCSWKMPXRR8GU","GSON1111300001")</f>
        <v>#NAME?</v>
      </c>
      <c r="D14" s="3" t="e">
        <f ca="1">[1]!BexGetData("DP_1","003N8EMH8GTFRCSWKMPXRRESE","GSON1111300001")</f>
        <v>#NAME?</v>
      </c>
      <c r="E14" s="8" t="e">
        <f ca="1">[1]!BexGetData("DP_1","003N8EMH8GTFRCSWKMPXRRL3Y","GSON1111300001")</f>
        <v>#NAME?</v>
      </c>
      <c r="F14" s="4" t="e">
        <f ca="1">[1]!BexGetData("DP_1","003N8EMH8GTFRCSWKMPXRRRFI","GSON1111300001")</f>
        <v>#NAME?</v>
      </c>
      <c r="G14" s="4" t="e">
        <f ca="1">[1]!BexGetData("DP_1","003N8EMH8GTFRCSWKMPXRRXR2","GSON1111300001")</f>
        <v>#NAME?</v>
      </c>
      <c r="H14" s="4" t="e">
        <f ca="1">[1]!BexGetData("DP_1","003N8EMH8GTFRCSWKMPXRS42M","GSON1111300001")</f>
        <v>#NAME?</v>
      </c>
      <c r="I14" s="4" t="e">
        <f ca="1">[1]!BexGetData("DP_1","003N8EMH8GTFRCSWKMPXRSAE6","GSON1111300001")</f>
        <v>#NAME?</v>
      </c>
      <c r="J14" s="4" t="e">
        <f ca="1">[1]!BexGetData("DP_1","003N8EMH8GTFRCSWKMPXRSGPQ","GSON1111300001")</f>
        <v>#NAME?</v>
      </c>
      <c r="K14" s="8" t="e">
        <f ca="1">[1]!BexGetData("DP_1","003N8EMH8GTFRIVNUPY288VJH","GSON1111300001")</f>
        <v>#NAME?</v>
      </c>
      <c r="L14" s="8" t="e">
        <f ca="1">[1]!BexGetData("DP_1","003N8EMH8GTFRIVNUPY2891V1","GSON1111300001")</f>
        <v>#NAME?</v>
      </c>
      <c r="M14" s="8" t="e">
        <f ca="1">[1]!BexGetData("DP_1","003N8EMH8GTFRIVOG7KG9IQXA","GSON1111300001")</f>
        <v>#NAME?</v>
      </c>
      <c r="N14" s="8" t="e">
        <f ca="1">[1]!BexGetData("DP_1","003N8EMH8GTFRIVOG7KG9IX8U","GSON1111300001")</f>
        <v>#NAME?</v>
      </c>
      <c r="O14" s="8" t="e">
        <f ca="1">[1]!BexGetData("DP_1","003N8EMH8GTFRIVOG7KG9J3KE","GSON1111300001")</f>
        <v>#NAME?</v>
      </c>
      <c r="P14" s="8" t="e">
        <f ca="1">[1]!BexGetData("DP_1","003N8EMH8GTFRIVOG7KG9J9VY","GSON1111300001")</f>
        <v>#NAME?</v>
      </c>
      <c r="Q14" s="4" t="e">
        <f ca="1">[1]!BexGetData("DP_1","00O2TNJGODT0G5Z4TTKYMM5MT","GSON1111300001")</f>
        <v>#NAME?</v>
      </c>
      <c r="R14" s="4" t="e">
        <f ca="1">[1]!BexGetData("DP_1","00O2TNJGODT0G5Z4TTKYMMBYD","GSON1111300001")</f>
        <v>#NAME?</v>
      </c>
      <c r="S14" s="4" t="e">
        <f ca="1">[1]!BexGetData("DP_1","00O2TNJGODT0G5Z4TTKYMMI9X","GSON1111300001")</f>
        <v>#NAME?</v>
      </c>
      <c r="T14" s="4" t="e">
        <f ca="1">[1]!BexGetData("DP_1","00O2TNJGODT0G5Z4TTKYMMOLH","GSON1111300001")</f>
        <v>#NAME?</v>
      </c>
      <c r="U14" s="4" t="e">
        <f ca="1">[1]!BexGetData("DP_1","00O2TNJGODT0G5Z4TTKYMMUX1","GSON1111300001")</f>
        <v>#NAME?</v>
      </c>
      <c r="V14" s="4" t="e">
        <f ca="1">[1]!BexGetData("DP_1","00O2TNJGODT0G5Z4TTKYMN18L","GSON1111300001")</f>
        <v>#NAME?</v>
      </c>
      <c r="W14" s="4" t="e">
        <f ca="1">[1]!BexGetData("DP_1","00O2TNJGODT0G5Z4TTKYMN7K5","GSON1111300001")</f>
        <v>#NAME?</v>
      </c>
    </row>
    <row r="15" spans="1:23" x14ac:dyDescent="0.2">
      <c r="A15" s="16" t="s">
        <v>409</v>
      </c>
      <c r="B15" s="7" t="s">
        <v>410</v>
      </c>
      <c r="C15" s="3" t="e">
        <f ca="1">[1]!BexGetData("DP_1","003N8EMH8GTFRCSWKMPXRR8GU","GSON1111300002")</f>
        <v>#NAME?</v>
      </c>
      <c r="D15" s="3" t="e">
        <f ca="1">[1]!BexGetData("DP_1","003N8EMH8GTFRCSWKMPXRRESE","GSON1111300002")</f>
        <v>#NAME?</v>
      </c>
      <c r="E15" s="8" t="e">
        <f ca="1">[1]!BexGetData("DP_1","003N8EMH8GTFRCSWKMPXRRL3Y","GSON1111300002")</f>
        <v>#NAME?</v>
      </c>
      <c r="F15" s="4" t="e">
        <f ca="1">[1]!BexGetData("DP_1","003N8EMH8GTFRCSWKMPXRRRFI","GSON1111300002")</f>
        <v>#NAME?</v>
      </c>
      <c r="G15" s="4" t="e">
        <f ca="1">[1]!BexGetData("DP_1","003N8EMH8GTFRCSWKMPXRRXR2","GSON1111300002")</f>
        <v>#NAME?</v>
      </c>
      <c r="H15" s="4" t="e">
        <f ca="1">[1]!BexGetData("DP_1","003N8EMH8GTFRCSWKMPXRS42M","GSON1111300002")</f>
        <v>#NAME?</v>
      </c>
      <c r="I15" s="4" t="e">
        <f ca="1">[1]!BexGetData("DP_1","003N8EMH8GTFRCSWKMPXRSAE6","GSON1111300002")</f>
        <v>#NAME?</v>
      </c>
      <c r="J15" s="4" t="e">
        <f ca="1">[1]!BexGetData("DP_1","003N8EMH8GTFRCSWKMPXRSGPQ","GSON1111300002")</f>
        <v>#NAME?</v>
      </c>
      <c r="K15" s="8" t="e">
        <f ca="1">[1]!BexGetData("DP_1","003N8EMH8GTFRIVNUPY288VJH","GSON1111300002")</f>
        <v>#NAME?</v>
      </c>
      <c r="L15" s="8" t="e">
        <f ca="1">[1]!BexGetData("DP_1","003N8EMH8GTFRIVNUPY2891V1","GSON1111300002")</f>
        <v>#NAME?</v>
      </c>
      <c r="M15" s="8" t="e">
        <f ca="1">[1]!BexGetData("DP_1","003N8EMH8GTFRIVOG7KG9IQXA","GSON1111300002")</f>
        <v>#NAME?</v>
      </c>
      <c r="N15" s="8" t="e">
        <f ca="1">[1]!BexGetData("DP_1","003N8EMH8GTFRIVOG7KG9IX8U","GSON1111300002")</f>
        <v>#NAME?</v>
      </c>
      <c r="O15" s="8" t="e">
        <f ca="1">[1]!BexGetData("DP_1","003N8EMH8GTFRIVOG7KG9J3KE","GSON1111300002")</f>
        <v>#NAME?</v>
      </c>
      <c r="P15" s="8" t="e">
        <f ca="1">[1]!BexGetData("DP_1","003N8EMH8GTFRIVOG7KG9J9VY","GSON1111300002")</f>
        <v>#NAME?</v>
      </c>
      <c r="Q15" s="4" t="e">
        <f ca="1">[1]!BexGetData("DP_1","00O2TNJGODT0G5Z4TTKYMM5MT","GSON1111300002")</f>
        <v>#NAME?</v>
      </c>
      <c r="R15" s="4" t="e">
        <f ca="1">[1]!BexGetData("DP_1","00O2TNJGODT0G5Z4TTKYMMBYD","GSON1111300002")</f>
        <v>#NAME?</v>
      </c>
      <c r="S15" s="4" t="e">
        <f ca="1">[1]!BexGetData("DP_1","00O2TNJGODT0G5Z4TTKYMMI9X","GSON1111300002")</f>
        <v>#NAME?</v>
      </c>
      <c r="T15" s="4" t="e">
        <f ca="1">[1]!BexGetData("DP_1","00O2TNJGODT0G5Z4TTKYMMOLH","GSON1111300002")</f>
        <v>#NAME?</v>
      </c>
      <c r="U15" s="4" t="e">
        <f ca="1">[1]!BexGetData("DP_1","00O2TNJGODT0G5Z4TTKYMMUX1","GSON1111300002")</f>
        <v>#NAME?</v>
      </c>
      <c r="V15" s="4" t="e">
        <f ca="1">[1]!BexGetData("DP_1","00O2TNJGODT0G5Z4TTKYMN18L","GSON1111300002")</f>
        <v>#NAME?</v>
      </c>
      <c r="W15" s="4" t="e">
        <f ca="1">[1]!BexGetData("DP_1","00O2TNJGODT0G5Z4TTKYMN7K5","GSON1111300002")</f>
        <v>#NAME?</v>
      </c>
    </row>
    <row r="16" spans="1:23" x14ac:dyDescent="0.2">
      <c r="A16" s="16" t="s">
        <v>642</v>
      </c>
      <c r="B16" s="7" t="s">
        <v>643</v>
      </c>
      <c r="C16" s="3" t="e">
        <f ca="1">[1]!BexGetData("DP_1","003N8EMH8GTFRCSWKMPXRR8GU","GSON1111300003")</f>
        <v>#NAME?</v>
      </c>
      <c r="D16" s="3" t="e">
        <f ca="1">[1]!BexGetData("DP_1","003N8EMH8GTFRCSWKMPXRRESE","GSON1111300003")</f>
        <v>#NAME?</v>
      </c>
      <c r="E16" s="8" t="e">
        <f ca="1">[1]!BexGetData("DP_1","003N8EMH8GTFRCSWKMPXRRL3Y","GSON1111300003")</f>
        <v>#NAME?</v>
      </c>
      <c r="F16" s="4" t="e">
        <f ca="1">[1]!BexGetData("DP_1","003N8EMH8GTFRCSWKMPXRRRFI","GSON1111300003")</f>
        <v>#NAME?</v>
      </c>
      <c r="G16" s="4" t="e">
        <f ca="1">[1]!BexGetData("DP_1","003N8EMH8GTFRCSWKMPXRRXR2","GSON1111300003")</f>
        <v>#NAME?</v>
      </c>
      <c r="H16" s="4" t="e">
        <f ca="1">[1]!BexGetData("DP_1","003N8EMH8GTFRCSWKMPXRS42M","GSON1111300003")</f>
        <v>#NAME?</v>
      </c>
      <c r="I16" s="4" t="e">
        <f ca="1">[1]!BexGetData("DP_1","003N8EMH8GTFRCSWKMPXRSAE6","GSON1111300003")</f>
        <v>#NAME?</v>
      </c>
      <c r="J16" s="4" t="e">
        <f ca="1">[1]!BexGetData("DP_1","003N8EMH8GTFRCSWKMPXRSGPQ","GSON1111300003")</f>
        <v>#NAME?</v>
      </c>
      <c r="K16" s="8" t="e">
        <f ca="1">[1]!BexGetData("DP_1","003N8EMH8GTFRIVNUPY288VJH","GSON1111300003")</f>
        <v>#NAME?</v>
      </c>
      <c r="L16" s="8" t="e">
        <f ca="1">[1]!BexGetData("DP_1","003N8EMH8GTFRIVNUPY2891V1","GSON1111300003")</f>
        <v>#NAME?</v>
      </c>
      <c r="M16" s="8" t="e">
        <f ca="1">[1]!BexGetData("DP_1","003N8EMH8GTFRIVOG7KG9IQXA","GSON1111300003")</f>
        <v>#NAME?</v>
      </c>
      <c r="N16" s="8" t="e">
        <f ca="1">[1]!BexGetData("DP_1","003N8EMH8GTFRIVOG7KG9IX8U","GSON1111300003")</f>
        <v>#NAME?</v>
      </c>
      <c r="O16" s="8" t="e">
        <f ca="1">[1]!BexGetData("DP_1","003N8EMH8GTFRIVOG7KG9J3KE","GSON1111300003")</f>
        <v>#NAME?</v>
      </c>
      <c r="P16" s="8" t="e">
        <f ca="1">[1]!BexGetData("DP_1","003N8EMH8GTFRIVOG7KG9J9VY","GSON1111300003")</f>
        <v>#NAME?</v>
      </c>
      <c r="Q16" s="4" t="e">
        <f ca="1">[1]!BexGetData("DP_1","00O2TNJGODT0G5Z4TTKYMM5MT","GSON1111300003")</f>
        <v>#NAME?</v>
      </c>
      <c r="R16" s="4" t="e">
        <f ca="1">[1]!BexGetData("DP_1","00O2TNJGODT0G5Z4TTKYMMBYD","GSON1111300003")</f>
        <v>#NAME?</v>
      </c>
      <c r="S16" s="4" t="e">
        <f ca="1">[1]!BexGetData("DP_1","00O2TNJGODT0G5Z4TTKYMMI9X","GSON1111300003")</f>
        <v>#NAME?</v>
      </c>
      <c r="T16" s="4" t="e">
        <f ca="1">[1]!BexGetData("DP_1","00O2TNJGODT0G5Z4TTKYMMOLH","GSON1111300003")</f>
        <v>#NAME?</v>
      </c>
      <c r="U16" s="4" t="e">
        <f ca="1">[1]!BexGetData("DP_1","00O2TNJGODT0G5Z4TTKYMMUX1","GSON1111300003")</f>
        <v>#NAME?</v>
      </c>
      <c r="V16" s="4" t="e">
        <f ca="1">[1]!BexGetData("DP_1","00O2TNJGODT0G5Z4TTKYMN18L","GSON1111300003")</f>
        <v>#NAME?</v>
      </c>
      <c r="W16" s="4" t="e">
        <f ca="1">[1]!BexGetData("DP_1","00O2TNJGODT0G5Z4TTKYMN7K5","GSON1111300003")</f>
        <v>#NAME?</v>
      </c>
    </row>
    <row r="17" spans="1:23" x14ac:dyDescent="0.2">
      <c r="A17" s="16" t="s">
        <v>1738</v>
      </c>
      <c r="B17" s="7" t="s">
        <v>1739</v>
      </c>
      <c r="C17" s="3" t="e">
        <f ca="1">[1]!BexGetData("DP_1","003N8EMH8GTFRCSWKMPXRR8GU","GSON1111300004")</f>
        <v>#NAME?</v>
      </c>
      <c r="D17" s="3" t="e">
        <f ca="1">[1]!BexGetData("DP_1","003N8EMH8GTFRCSWKMPXRRESE","GSON1111300004")</f>
        <v>#NAME?</v>
      </c>
      <c r="E17" s="8" t="e">
        <f ca="1">[1]!BexGetData("DP_1","003N8EMH8GTFRCSWKMPXRRL3Y","GSON1111300004")</f>
        <v>#NAME?</v>
      </c>
      <c r="F17" s="4" t="e">
        <f ca="1">[1]!BexGetData("DP_1","003N8EMH8GTFRCSWKMPXRRRFI","GSON1111300004")</f>
        <v>#NAME?</v>
      </c>
      <c r="G17" s="4" t="e">
        <f ca="1">[1]!BexGetData("DP_1","003N8EMH8GTFRCSWKMPXRRXR2","GSON1111300004")</f>
        <v>#NAME?</v>
      </c>
      <c r="H17" s="4" t="e">
        <f ca="1">[1]!BexGetData("DP_1","003N8EMH8GTFRCSWKMPXRS42M","GSON1111300004")</f>
        <v>#NAME?</v>
      </c>
      <c r="I17" s="4" t="e">
        <f ca="1">[1]!BexGetData("DP_1","003N8EMH8GTFRCSWKMPXRSAE6","GSON1111300004")</f>
        <v>#NAME?</v>
      </c>
      <c r="J17" s="4" t="e">
        <f ca="1">[1]!BexGetData("DP_1","003N8EMH8GTFRCSWKMPXRSGPQ","GSON1111300004")</f>
        <v>#NAME?</v>
      </c>
      <c r="K17" s="8" t="e">
        <f ca="1">[1]!BexGetData("DP_1","003N8EMH8GTFRIVNUPY288VJH","GSON1111300004")</f>
        <v>#NAME?</v>
      </c>
      <c r="L17" s="8" t="e">
        <f ca="1">[1]!BexGetData("DP_1","003N8EMH8GTFRIVNUPY2891V1","GSON1111300004")</f>
        <v>#NAME?</v>
      </c>
      <c r="M17" s="8" t="e">
        <f ca="1">[1]!BexGetData("DP_1","003N8EMH8GTFRIVOG7KG9IQXA","GSON1111300004")</f>
        <v>#NAME?</v>
      </c>
      <c r="N17" s="8" t="e">
        <f ca="1">[1]!BexGetData("DP_1","003N8EMH8GTFRIVOG7KG9IX8U","GSON1111300004")</f>
        <v>#NAME?</v>
      </c>
      <c r="O17" s="8" t="e">
        <f ca="1">[1]!BexGetData("DP_1","003N8EMH8GTFRIVOG7KG9J3KE","GSON1111300004")</f>
        <v>#NAME?</v>
      </c>
      <c r="P17" s="8" t="e">
        <f ca="1">[1]!BexGetData("DP_1","003N8EMH8GTFRIVOG7KG9J9VY","GSON1111300004")</f>
        <v>#NAME?</v>
      </c>
      <c r="Q17" s="4" t="e">
        <f ca="1">[1]!BexGetData("DP_1","00O2TNJGODT0G5Z4TTKYMM5MT","GSON1111300004")</f>
        <v>#NAME?</v>
      </c>
      <c r="R17" s="4" t="e">
        <f ca="1">[1]!BexGetData("DP_1","00O2TNJGODT0G5Z4TTKYMMBYD","GSON1111300004")</f>
        <v>#NAME?</v>
      </c>
      <c r="S17" s="4" t="e">
        <f ca="1">[1]!BexGetData("DP_1","00O2TNJGODT0G5Z4TTKYMMI9X","GSON1111300004")</f>
        <v>#NAME?</v>
      </c>
      <c r="T17" s="4" t="e">
        <f ca="1">[1]!BexGetData("DP_1","00O2TNJGODT0G5Z4TTKYMMOLH","GSON1111300004")</f>
        <v>#NAME?</v>
      </c>
      <c r="U17" s="4" t="e">
        <f ca="1">[1]!BexGetData("DP_1","00O2TNJGODT0G5Z4TTKYMMUX1","GSON1111300004")</f>
        <v>#NAME?</v>
      </c>
      <c r="V17" s="4" t="e">
        <f ca="1">[1]!BexGetData("DP_1","00O2TNJGODT0G5Z4TTKYMN18L","GSON1111300004")</f>
        <v>#NAME?</v>
      </c>
      <c r="W17" s="4" t="e">
        <f ca="1">[1]!BexGetData("DP_1","00O2TNJGODT0G5Z4TTKYMN7K5","GSON1111300004")</f>
        <v>#NAME?</v>
      </c>
    </row>
    <row r="18" spans="1:23" x14ac:dyDescent="0.2">
      <c r="A18" s="16" t="s">
        <v>1740</v>
      </c>
      <c r="B18" s="7" t="s">
        <v>1741</v>
      </c>
      <c r="C18" s="3" t="e">
        <f ca="1">[1]!BexGetData("DP_1","003N8EMH8GTFRCSWKMPXRR8GU","GSON1111300005")</f>
        <v>#NAME?</v>
      </c>
      <c r="D18" s="3" t="e">
        <f ca="1">[1]!BexGetData("DP_1","003N8EMH8GTFRCSWKMPXRRESE","GSON1111300005")</f>
        <v>#NAME?</v>
      </c>
      <c r="E18" s="8" t="e">
        <f ca="1">[1]!BexGetData("DP_1","003N8EMH8GTFRCSWKMPXRRL3Y","GSON1111300005")</f>
        <v>#NAME?</v>
      </c>
      <c r="F18" s="4" t="e">
        <f ca="1">[1]!BexGetData("DP_1","003N8EMH8GTFRCSWKMPXRRRFI","GSON1111300005")</f>
        <v>#NAME?</v>
      </c>
      <c r="G18" s="4" t="e">
        <f ca="1">[1]!BexGetData("DP_1","003N8EMH8GTFRCSWKMPXRRXR2","GSON1111300005")</f>
        <v>#NAME?</v>
      </c>
      <c r="H18" s="4" t="e">
        <f ca="1">[1]!BexGetData("DP_1","003N8EMH8GTFRCSWKMPXRS42M","GSON1111300005")</f>
        <v>#NAME?</v>
      </c>
      <c r="I18" s="4" t="e">
        <f ca="1">[1]!BexGetData("DP_1","003N8EMH8GTFRCSWKMPXRSAE6","GSON1111300005")</f>
        <v>#NAME?</v>
      </c>
      <c r="J18" s="4" t="e">
        <f ca="1">[1]!BexGetData("DP_1","003N8EMH8GTFRCSWKMPXRSGPQ","GSON1111300005")</f>
        <v>#NAME?</v>
      </c>
      <c r="K18" s="8" t="e">
        <f ca="1">[1]!BexGetData("DP_1","003N8EMH8GTFRIVNUPY288VJH","GSON1111300005")</f>
        <v>#NAME?</v>
      </c>
      <c r="L18" s="8" t="e">
        <f ca="1">[1]!BexGetData("DP_1","003N8EMH8GTFRIVNUPY2891V1","GSON1111300005")</f>
        <v>#NAME?</v>
      </c>
      <c r="M18" s="8" t="e">
        <f ca="1">[1]!BexGetData("DP_1","003N8EMH8GTFRIVOG7KG9IQXA","GSON1111300005")</f>
        <v>#NAME?</v>
      </c>
      <c r="N18" s="8" t="e">
        <f ca="1">[1]!BexGetData("DP_1","003N8EMH8GTFRIVOG7KG9IX8U","GSON1111300005")</f>
        <v>#NAME?</v>
      </c>
      <c r="O18" s="8" t="e">
        <f ca="1">[1]!BexGetData("DP_1","003N8EMH8GTFRIVOG7KG9J3KE","GSON1111300005")</f>
        <v>#NAME?</v>
      </c>
      <c r="P18" s="8" t="e">
        <f ca="1">[1]!BexGetData("DP_1","003N8EMH8GTFRIVOG7KG9J9VY","GSON1111300005")</f>
        <v>#NAME?</v>
      </c>
      <c r="Q18" s="4" t="e">
        <f ca="1">[1]!BexGetData("DP_1","00O2TNJGODT0G5Z4TTKYMM5MT","GSON1111300005")</f>
        <v>#NAME?</v>
      </c>
      <c r="R18" s="4" t="e">
        <f ca="1">[1]!BexGetData("DP_1","00O2TNJGODT0G5Z4TTKYMMBYD","GSON1111300005")</f>
        <v>#NAME?</v>
      </c>
      <c r="S18" s="4" t="e">
        <f ca="1">[1]!BexGetData("DP_1","00O2TNJGODT0G5Z4TTKYMMI9X","GSON1111300005")</f>
        <v>#NAME?</v>
      </c>
      <c r="T18" s="4" t="e">
        <f ca="1">[1]!BexGetData("DP_1","00O2TNJGODT0G5Z4TTKYMMOLH","GSON1111300005")</f>
        <v>#NAME?</v>
      </c>
      <c r="U18" s="4" t="e">
        <f ca="1">[1]!BexGetData("DP_1","00O2TNJGODT0G5Z4TTKYMMUX1","GSON1111300005")</f>
        <v>#NAME?</v>
      </c>
      <c r="V18" s="4" t="e">
        <f ca="1">[1]!BexGetData("DP_1","00O2TNJGODT0G5Z4TTKYMN18L","GSON1111300005")</f>
        <v>#NAME?</v>
      </c>
      <c r="W18" s="4" t="e">
        <f ca="1">[1]!BexGetData("DP_1","00O2TNJGODT0G5Z4TTKYMN7K5","GSON1111300005")</f>
        <v>#NAME?</v>
      </c>
    </row>
    <row r="19" spans="1:23" x14ac:dyDescent="0.2">
      <c r="A19" s="16" t="s">
        <v>1742</v>
      </c>
      <c r="B19" s="7" t="s">
        <v>1743</v>
      </c>
      <c r="C19" s="3" t="e">
        <f ca="1">[1]!BexGetData("DP_1","003N8EMH8GTFRCSWKMPXRR8GU","GSON1111300006")</f>
        <v>#NAME?</v>
      </c>
      <c r="D19" s="3" t="e">
        <f ca="1">[1]!BexGetData("DP_1","003N8EMH8GTFRCSWKMPXRRESE","GSON1111300006")</f>
        <v>#NAME?</v>
      </c>
      <c r="E19" s="8" t="e">
        <f ca="1">[1]!BexGetData("DP_1","003N8EMH8GTFRCSWKMPXRRL3Y","GSON1111300006")</f>
        <v>#NAME?</v>
      </c>
      <c r="F19" s="4" t="e">
        <f ca="1">[1]!BexGetData("DP_1","003N8EMH8GTFRCSWKMPXRRRFI","GSON1111300006")</f>
        <v>#NAME?</v>
      </c>
      <c r="G19" s="4" t="e">
        <f ca="1">[1]!BexGetData("DP_1","003N8EMH8GTFRCSWKMPXRRXR2","GSON1111300006")</f>
        <v>#NAME?</v>
      </c>
      <c r="H19" s="4" t="e">
        <f ca="1">[1]!BexGetData("DP_1","003N8EMH8GTFRCSWKMPXRS42M","GSON1111300006")</f>
        <v>#NAME?</v>
      </c>
      <c r="I19" s="4" t="e">
        <f ca="1">[1]!BexGetData("DP_1","003N8EMH8GTFRCSWKMPXRSAE6","GSON1111300006")</f>
        <v>#NAME?</v>
      </c>
      <c r="J19" s="4" t="e">
        <f ca="1">[1]!BexGetData("DP_1","003N8EMH8GTFRCSWKMPXRSGPQ","GSON1111300006")</f>
        <v>#NAME?</v>
      </c>
      <c r="K19" s="8" t="e">
        <f ca="1">[1]!BexGetData("DP_1","003N8EMH8GTFRIVNUPY288VJH","GSON1111300006")</f>
        <v>#NAME?</v>
      </c>
      <c r="L19" s="8" t="e">
        <f ca="1">[1]!BexGetData("DP_1","003N8EMH8GTFRIVNUPY2891V1","GSON1111300006")</f>
        <v>#NAME?</v>
      </c>
      <c r="M19" s="8" t="e">
        <f ca="1">[1]!BexGetData("DP_1","003N8EMH8GTFRIVOG7KG9IQXA","GSON1111300006")</f>
        <v>#NAME?</v>
      </c>
      <c r="N19" s="8" t="e">
        <f ca="1">[1]!BexGetData("DP_1","003N8EMH8GTFRIVOG7KG9IX8U","GSON1111300006")</f>
        <v>#NAME?</v>
      </c>
      <c r="O19" s="8" t="e">
        <f ca="1">[1]!BexGetData("DP_1","003N8EMH8GTFRIVOG7KG9J3KE","GSON1111300006")</f>
        <v>#NAME?</v>
      </c>
      <c r="P19" s="8" t="e">
        <f ca="1">[1]!BexGetData("DP_1","003N8EMH8GTFRIVOG7KG9J9VY","GSON1111300006")</f>
        <v>#NAME?</v>
      </c>
      <c r="Q19" s="4" t="e">
        <f ca="1">[1]!BexGetData("DP_1","00O2TNJGODT0G5Z4TTKYMM5MT","GSON1111300006")</f>
        <v>#NAME?</v>
      </c>
      <c r="R19" s="4" t="e">
        <f ca="1">[1]!BexGetData("DP_1","00O2TNJGODT0G5Z4TTKYMMBYD","GSON1111300006")</f>
        <v>#NAME?</v>
      </c>
      <c r="S19" s="4" t="e">
        <f ca="1">[1]!BexGetData("DP_1","00O2TNJGODT0G5Z4TTKYMMI9X","GSON1111300006")</f>
        <v>#NAME?</v>
      </c>
      <c r="T19" s="4" t="e">
        <f ca="1">[1]!BexGetData("DP_1","00O2TNJGODT0G5Z4TTKYMMOLH","GSON1111300006")</f>
        <v>#NAME?</v>
      </c>
      <c r="U19" s="4" t="e">
        <f ca="1">[1]!BexGetData("DP_1","00O2TNJGODT0G5Z4TTKYMMUX1","GSON1111300006")</f>
        <v>#NAME?</v>
      </c>
      <c r="V19" s="4" t="e">
        <f ca="1">[1]!BexGetData("DP_1","00O2TNJGODT0G5Z4TTKYMN18L","GSON1111300006")</f>
        <v>#NAME?</v>
      </c>
      <c r="W19" s="4" t="e">
        <f ca="1">[1]!BexGetData("DP_1","00O2TNJGODT0G5Z4TTKYMN7K5","GSON1111300006")</f>
        <v>#NAME?</v>
      </c>
    </row>
    <row r="20" spans="1:23" x14ac:dyDescent="0.2">
      <c r="A20" s="16" t="s">
        <v>1744</v>
      </c>
      <c r="B20" s="7" t="s">
        <v>1745</v>
      </c>
      <c r="C20" s="3" t="e">
        <f ca="1">[1]!BexGetData("DP_1","003N8EMH8GTFRCSWKMPXRR8GU","GSON1111300007")</f>
        <v>#NAME?</v>
      </c>
      <c r="D20" s="3" t="e">
        <f ca="1">[1]!BexGetData("DP_1","003N8EMH8GTFRCSWKMPXRRESE","GSON1111300007")</f>
        <v>#NAME?</v>
      </c>
      <c r="E20" s="8" t="e">
        <f ca="1">[1]!BexGetData("DP_1","003N8EMH8GTFRCSWKMPXRRL3Y","GSON1111300007")</f>
        <v>#NAME?</v>
      </c>
      <c r="F20" s="4" t="e">
        <f ca="1">[1]!BexGetData("DP_1","003N8EMH8GTFRCSWKMPXRRRFI","GSON1111300007")</f>
        <v>#NAME?</v>
      </c>
      <c r="G20" s="4" t="e">
        <f ca="1">[1]!BexGetData("DP_1","003N8EMH8GTFRCSWKMPXRRXR2","GSON1111300007")</f>
        <v>#NAME?</v>
      </c>
      <c r="H20" s="4" t="e">
        <f ca="1">[1]!BexGetData("DP_1","003N8EMH8GTFRCSWKMPXRS42M","GSON1111300007")</f>
        <v>#NAME?</v>
      </c>
      <c r="I20" s="4" t="e">
        <f ca="1">[1]!BexGetData("DP_1","003N8EMH8GTFRCSWKMPXRSAE6","GSON1111300007")</f>
        <v>#NAME?</v>
      </c>
      <c r="J20" s="4" t="e">
        <f ca="1">[1]!BexGetData("DP_1","003N8EMH8GTFRCSWKMPXRSGPQ","GSON1111300007")</f>
        <v>#NAME?</v>
      </c>
      <c r="K20" s="8" t="e">
        <f ca="1">[1]!BexGetData("DP_1","003N8EMH8GTFRIVNUPY288VJH","GSON1111300007")</f>
        <v>#NAME?</v>
      </c>
      <c r="L20" s="8" t="e">
        <f ca="1">[1]!BexGetData("DP_1","003N8EMH8GTFRIVNUPY2891V1","GSON1111300007")</f>
        <v>#NAME?</v>
      </c>
      <c r="M20" s="8" t="e">
        <f ca="1">[1]!BexGetData("DP_1","003N8EMH8GTFRIVOG7KG9IQXA","GSON1111300007")</f>
        <v>#NAME?</v>
      </c>
      <c r="N20" s="8" t="e">
        <f ca="1">[1]!BexGetData("DP_1","003N8EMH8GTFRIVOG7KG9IX8U","GSON1111300007")</f>
        <v>#NAME?</v>
      </c>
      <c r="O20" s="8" t="e">
        <f ca="1">[1]!BexGetData("DP_1","003N8EMH8GTFRIVOG7KG9J3KE","GSON1111300007")</f>
        <v>#NAME?</v>
      </c>
      <c r="P20" s="8" t="e">
        <f ca="1">[1]!BexGetData("DP_1","003N8EMH8GTFRIVOG7KG9J9VY","GSON1111300007")</f>
        <v>#NAME?</v>
      </c>
      <c r="Q20" s="4" t="e">
        <f ca="1">[1]!BexGetData("DP_1","00O2TNJGODT0G5Z4TTKYMM5MT","GSON1111300007")</f>
        <v>#NAME?</v>
      </c>
      <c r="R20" s="4" t="e">
        <f ca="1">[1]!BexGetData("DP_1","00O2TNJGODT0G5Z4TTKYMMBYD","GSON1111300007")</f>
        <v>#NAME?</v>
      </c>
      <c r="S20" s="4" t="e">
        <f ca="1">[1]!BexGetData("DP_1","00O2TNJGODT0G5Z4TTKYMMI9X","GSON1111300007")</f>
        <v>#NAME?</v>
      </c>
      <c r="T20" s="4" t="e">
        <f ca="1">[1]!BexGetData("DP_1","00O2TNJGODT0G5Z4TTKYMMOLH","GSON1111300007")</f>
        <v>#NAME?</v>
      </c>
      <c r="U20" s="4" t="e">
        <f ca="1">[1]!BexGetData("DP_1","00O2TNJGODT0G5Z4TTKYMMUX1","GSON1111300007")</f>
        <v>#NAME?</v>
      </c>
      <c r="V20" s="4" t="e">
        <f ca="1">[1]!BexGetData("DP_1","00O2TNJGODT0G5Z4TTKYMN18L","GSON1111300007")</f>
        <v>#NAME?</v>
      </c>
      <c r="W20" s="4" t="e">
        <f ca="1">[1]!BexGetData("DP_1","00O2TNJGODT0G5Z4TTKYMN7K5","GSON1111300007")</f>
        <v>#NAME?</v>
      </c>
    </row>
    <row r="21" spans="1:23" x14ac:dyDescent="0.2">
      <c r="A21" s="16" t="s">
        <v>1746</v>
      </c>
      <c r="B21" s="7" t="s">
        <v>1747</v>
      </c>
      <c r="C21" s="3" t="e">
        <f ca="1">[1]!BexGetData("DP_1","003N8EMH8GTFRCSWKMPXRR8GU","GSON1111300009")</f>
        <v>#NAME?</v>
      </c>
      <c r="D21" s="3" t="e">
        <f ca="1">[1]!BexGetData("DP_1","003N8EMH8GTFRCSWKMPXRRESE","GSON1111300009")</f>
        <v>#NAME?</v>
      </c>
      <c r="E21" s="8" t="e">
        <f ca="1">[1]!BexGetData("DP_1","003N8EMH8GTFRCSWKMPXRRL3Y","GSON1111300009")</f>
        <v>#NAME?</v>
      </c>
      <c r="F21" s="4" t="e">
        <f ca="1">[1]!BexGetData("DP_1","003N8EMH8GTFRCSWKMPXRRRFI","GSON1111300009")</f>
        <v>#NAME?</v>
      </c>
      <c r="G21" s="4" t="e">
        <f ca="1">[1]!BexGetData("DP_1","003N8EMH8GTFRCSWKMPXRRXR2","GSON1111300009")</f>
        <v>#NAME?</v>
      </c>
      <c r="H21" s="4" t="e">
        <f ca="1">[1]!BexGetData("DP_1","003N8EMH8GTFRCSWKMPXRS42M","GSON1111300009")</f>
        <v>#NAME?</v>
      </c>
      <c r="I21" s="4" t="e">
        <f ca="1">[1]!BexGetData("DP_1","003N8EMH8GTFRCSWKMPXRSAE6","GSON1111300009")</f>
        <v>#NAME?</v>
      </c>
      <c r="J21" s="4" t="e">
        <f ca="1">[1]!BexGetData("DP_1","003N8EMH8GTFRCSWKMPXRSGPQ","GSON1111300009")</f>
        <v>#NAME?</v>
      </c>
      <c r="K21" s="8" t="e">
        <f ca="1">[1]!BexGetData("DP_1","003N8EMH8GTFRIVNUPY288VJH","GSON1111300009")</f>
        <v>#NAME?</v>
      </c>
      <c r="L21" s="8" t="e">
        <f ca="1">[1]!BexGetData("DP_1","003N8EMH8GTFRIVNUPY2891V1","GSON1111300009")</f>
        <v>#NAME?</v>
      </c>
      <c r="M21" s="8" t="e">
        <f ca="1">[1]!BexGetData("DP_1","003N8EMH8GTFRIVOG7KG9IQXA","GSON1111300009")</f>
        <v>#NAME?</v>
      </c>
      <c r="N21" s="8" t="e">
        <f ca="1">[1]!BexGetData("DP_1","003N8EMH8GTFRIVOG7KG9IX8U","GSON1111300009")</f>
        <v>#NAME?</v>
      </c>
      <c r="O21" s="8" t="e">
        <f ca="1">[1]!BexGetData("DP_1","003N8EMH8GTFRIVOG7KG9J3KE","GSON1111300009")</f>
        <v>#NAME?</v>
      </c>
      <c r="P21" s="8" t="e">
        <f ca="1">[1]!BexGetData("DP_1","003N8EMH8GTFRIVOG7KG9J9VY","GSON1111300009")</f>
        <v>#NAME?</v>
      </c>
      <c r="Q21" s="4" t="e">
        <f ca="1">[1]!BexGetData("DP_1","00O2TNJGODT0G5Z4TTKYMM5MT","GSON1111300009")</f>
        <v>#NAME?</v>
      </c>
      <c r="R21" s="4" t="e">
        <f ca="1">[1]!BexGetData("DP_1","00O2TNJGODT0G5Z4TTKYMMBYD","GSON1111300009")</f>
        <v>#NAME?</v>
      </c>
      <c r="S21" s="4" t="e">
        <f ca="1">[1]!BexGetData("DP_1","00O2TNJGODT0G5Z4TTKYMMI9X","GSON1111300009")</f>
        <v>#NAME?</v>
      </c>
      <c r="T21" s="4" t="e">
        <f ca="1">[1]!BexGetData("DP_1","00O2TNJGODT0G5Z4TTKYMMOLH","GSON1111300009")</f>
        <v>#NAME?</v>
      </c>
      <c r="U21" s="4" t="e">
        <f ca="1">[1]!BexGetData("DP_1","00O2TNJGODT0G5Z4TTKYMMUX1","GSON1111300009")</f>
        <v>#NAME?</v>
      </c>
      <c r="V21" s="4" t="e">
        <f ca="1">[1]!BexGetData("DP_1","00O2TNJGODT0G5Z4TTKYMN18L","GSON1111300009")</f>
        <v>#NAME?</v>
      </c>
      <c r="W21" s="4" t="e">
        <f ca="1">[1]!BexGetData("DP_1","00O2TNJGODT0G5Z4TTKYMN7K5","GSON1111300009")</f>
        <v>#NAME?</v>
      </c>
    </row>
    <row r="22" spans="1:23" x14ac:dyDescent="0.2">
      <c r="A22" s="16" t="s">
        <v>1748</v>
      </c>
      <c r="B22" s="7" t="s">
        <v>1749</v>
      </c>
      <c r="C22" s="3" t="e">
        <f ca="1">[1]!BexGetData("DP_1","003N8EMH8GTFRCSWKMPXRR8GU","GSON1111300010")</f>
        <v>#NAME?</v>
      </c>
      <c r="D22" s="3" t="e">
        <f ca="1">[1]!BexGetData("DP_1","003N8EMH8GTFRCSWKMPXRRESE","GSON1111300010")</f>
        <v>#NAME?</v>
      </c>
      <c r="E22" s="8" t="e">
        <f ca="1">[1]!BexGetData("DP_1","003N8EMH8GTFRCSWKMPXRRL3Y","GSON1111300010")</f>
        <v>#NAME?</v>
      </c>
      <c r="F22" s="4" t="e">
        <f ca="1">[1]!BexGetData("DP_1","003N8EMH8GTFRCSWKMPXRRRFI","GSON1111300010")</f>
        <v>#NAME?</v>
      </c>
      <c r="G22" s="4" t="e">
        <f ca="1">[1]!BexGetData("DP_1","003N8EMH8GTFRCSWKMPXRRXR2","GSON1111300010")</f>
        <v>#NAME?</v>
      </c>
      <c r="H22" s="4" t="e">
        <f ca="1">[1]!BexGetData("DP_1","003N8EMH8GTFRCSWKMPXRS42M","GSON1111300010")</f>
        <v>#NAME?</v>
      </c>
      <c r="I22" s="4" t="e">
        <f ca="1">[1]!BexGetData("DP_1","003N8EMH8GTFRCSWKMPXRSAE6","GSON1111300010")</f>
        <v>#NAME?</v>
      </c>
      <c r="J22" s="4" t="e">
        <f ca="1">[1]!BexGetData("DP_1","003N8EMH8GTFRCSWKMPXRSGPQ","GSON1111300010")</f>
        <v>#NAME?</v>
      </c>
      <c r="K22" s="8" t="e">
        <f ca="1">[1]!BexGetData("DP_1","003N8EMH8GTFRIVNUPY288VJH","GSON1111300010")</f>
        <v>#NAME?</v>
      </c>
      <c r="L22" s="8" t="e">
        <f ca="1">[1]!BexGetData("DP_1","003N8EMH8GTFRIVNUPY2891V1","GSON1111300010")</f>
        <v>#NAME?</v>
      </c>
      <c r="M22" s="8" t="e">
        <f ca="1">[1]!BexGetData("DP_1","003N8EMH8GTFRIVOG7KG9IQXA","GSON1111300010")</f>
        <v>#NAME?</v>
      </c>
      <c r="N22" s="8" t="e">
        <f ca="1">[1]!BexGetData("DP_1","003N8EMH8GTFRIVOG7KG9IX8U","GSON1111300010")</f>
        <v>#NAME?</v>
      </c>
      <c r="O22" s="8" t="e">
        <f ca="1">[1]!BexGetData("DP_1","003N8EMH8GTFRIVOG7KG9J3KE","GSON1111300010")</f>
        <v>#NAME?</v>
      </c>
      <c r="P22" s="8" t="e">
        <f ca="1">[1]!BexGetData("DP_1","003N8EMH8GTFRIVOG7KG9J9VY","GSON1111300010")</f>
        <v>#NAME?</v>
      </c>
      <c r="Q22" s="4" t="e">
        <f ca="1">[1]!BexGetData("DP_1","00O2TNJGODT0G5Z4TTKYMM5MT","GSON1111300010")</f>
        <v>#NAME?</v>
      </c>
      <c r="R22" s="4" t="e">
        <f ca="1">[1]!BexGetData("DP_1","00O2TNJGODT0G5Z4TTKYMMBYD","GSON1111300010")</f>
        <v>#NAME?</v>
      </c>
      <c r="S22" s="4" t="e">
        <f ca="1">[1]!BexGetData("DP_1","00O2TNJGODT0G5Z4TTKYMMI9X","GSON1111300010")</f>
        <v>#NAME?</v>
      </c>
      <c r="T22" s="4" t="e">
        <f ca="1">[1]!BexGetData("DP_1","00O2TNJGODT0G5Z4TTKYMMOLH","GSON1111300010")</f>
        <v>#NAME?</v>
      </c>
      <c r="U22" s="4" t="e">
        <f ca="1">[1]!BexGetData("DP_1","00O2TNJGODT0G5Z4TTKYMMUX1","GSON1111300010")</f>
        <v>#NAME?</v>
      </c>
      <c r="V22" s="4" t="e">
        <f ca="1">[1]!BexGetData("DP_1","00O2TNJGODT0G5Z4TTKYMN18L","GSON1111300010")</f>
        <v>#NAME?</v>
      </c>
      <c r="W22" s="4" t="e">
        <f ca="1">[1]!BexGetData("DP_1","00O2TNJGODT0G5Z4TTKYMN7K5","GSON1111300010")</f>
        <v>#NAME?</v>
      </c>
    </row>
    <row r="23" spans="1:23" x14ac:dyDescent="0.2">
      <c r="A23" s="16" t="s">
        <v>1750</v>
      </c>
      <c r="B23" s="7" t="s">
        <v>1751</v>
      </c>
      <c r="C23" s="3" t="e">
        <f ca="1">[1]!BexGetData("DP_1","003N8EMH8GTFRCSWKMPXRR8GU","GSON1111300011")</f>
        <v>#NAME?</v>
      </c>
      <c r="D23" s="3" t="e">
        <f ca="1">[1]!BexGetData("DP_1","003N8EMH8GTFRCSWKMPXRRESE","GSON1111300011")</f>
        <v>#NAME?</v>
      </c>
      <c r="E23" s="8" t="e">
        <f ca="1">[1]!BexGetData("DP_1","003N8EMH8GTFRCSWKMPXRRL3Y","GSON1111300011")</f>
        <v>#NAME?</v>
      </c>
      <c r="F23" s="4" t="e">
        <f ca="1">[1]!BexGetData("DP_1","003N8EMH8GTFRCSWKMPXRRRFI","GSON1111300011")</f>
        <v>#NAME?</v>
      </c>
      <c r="G23" s="4" t="e">
        <f ca="1">[1]!BexGetData("DP_1","003N8EMH8GTFRCSWKMPXRRXR2","GSON1111300011")</f>
        <v>#NAME?</v>
      </c>
      <c r="H23" s="4" t="e">
        <f ca="1">[1]!BexGetData("DP_1","003N8EMH8GTFRCSWKMPXRS42M","GSON1111300011")</f>
        <v>#NAME?</v>
      </c>
      <c r="I23" s="4" t="e">
        <f ca="1">[1]!BexGetData("DP_1","003N8EMH8GTFRCSWKMPXRSAE6","GSON1111300011")</f>
        <v>#NAME?</v>
      </c>
      <c r="J23" s="4" t="e">
        <f ca="1">[1]!BexGetData("DP_1","003N8EMH8GTFRCSWKMPXRSGPQ","GSON1111300011")</f>
        <v>#NAME?</v>
      </c>
      <c r="K23" s="8" t="e">
        <f ca="1">[1]!BexGetData("DP_1","003N8EMH8GTFRIVNUPY288VJH","GSON1111300011")</f>
        <v>#NAME?</v>
      </c>
      <c r="L23" s="8" t="e">
        <f ca="1">[1]!BexGetData("DP_1","003N8EMH8GTFRIVNUPY2891V1","GSON1111300011")</f>
        <v>#NAME?</v>
      </c>
      <c r="M23" s="8" t="e">
        <f ca="1">[1]!BexGetData("DP_1","003N8EMH8GTFRIVOG7KG9IQXA","GSON1111300011")</f>
        <v>#NAME?</v>
      </c>
      <c r="N23" s="8" t="e">
        <f ca="1">[1]!BexGetData("DP_1","003N8EMH8GTFRIVOG7KG9IX8U","GSON1111300011")</f>
        <v>#NAME?</v>
      </c>
      <c r="O23" s="8" t="e">
        <f ca="1">[1]!BexGetData("DP_1","003N8EMH8GTFRIVOG7KG9J3KE","GSON1111300011")</f>
        <v>#NAME?</v>
      </c>
      <c r="P23" s="8" t="e">
        <f ca="1">[1]!BexGetData("DP_1","003N8EMH8GTFRIVOG7KG9J9VY","GSON1111300011")</f>
        <v>#NAME?</v>
      </c>
      <c r="Q23" s="4" t="e">
        <f ca="1">[1]!BexGetData("DP_1","00O2TNJGODT0G5Z4TTKYMM5MT","GSON1111300011")</f>
        <v>#NAME?</v>
      </c>
      <c r="R23" s="4" t="e">
        <f ca="1">[1]!BexGetData("DP_1","00O2TNJGODT0G5Z4TTKYMMBYD","GSON1111300011")</f>
        <v>#NAME?</v>
      </c>
      <c r="S23" s="4" t="e">
        <f ca="1">[1]!BexGetData("DP_1","00O2TNJGODT0G5Z4TTKYMMI9X","GSON1111300011")</f>
        <v>#NAME?</v>
      </c>
      <c r="T23" s="4" t="e">
        <f ca="1">[1]!BexGetData("DP_1","00O2TNJGODT0G5Z4TTKYMMOLH","GSON1111300011")</f>
        <v>#NAME?</v>
      </c>
      <c r="U23" s="4" t="e">
        <f ca="1">[1]!BexGetData("DP_1","00O2TNJGODT0G5Z4TTKYMMUX1","GSON1111300011")</f>
        <v>#NAME?</v>
      </c>
      <c r="V23" s="4" t="e">
        <f ca="1">[1]!BexGetData("DP_1","00O2TNJGODT0G5Z4TTKYMN18L","GSON1111300011")</f>
        <v>#NAME?</v>
      </c>
      <c r="W23" s="4" t="e">
        <f ca="1">[1]!BexGetData("DP_1","00O2TNJGODT0G5Z4TTKYMN7K5","GSON1111300011")</f>
        <v>#NAME?</v>
      </c>
    </row>
    <row r="24" spans="1:23" x14ac:dyDescent="0.2">
      <c r="A24" s="16" t="s">
        <v>1752</v>
      </c>
      <c r="B24" s="7" t="s">
        <v>1753</v>
      </c>
      <c r="C24" s="3" t="e">
        <f ca="1">[1]!BexGetData("DP_1","003N8EMH8GTFRCSWKMPXRR8GU","GSON1111300012")</f>
        <v>#NAME?</v>
      </c>
      <c r="D24" s="3" t="e">
        <f ca="1">[1]!BexGetData("DP_1","003N8EMH8GTFRCSWKMPXRRESE","GSON1111300012")</f>
        <v>#NAME?</v>
      </c>
      <c r="E24" s="8" t="e">
        <f ca="1">[1]!BexGetData("DP_1","003N8EMH8GTFRCSWKMPXRRL3Y","GSON1111300012")</f>
        <v>#NAME?</v>
      </c>
      <c r="F24" s="4" t="e">
        <f ca="1">[1]!BexGetData("DP_1","003N8EMH8GTFRCSWKMPXRRRFI","GSON1111300012")</f>
        <v>#NAME?</v>
      </c>
      <c r="G24" s="4" t="e">
        <f ca="1">[1]!BexGetData("DP_1","003N8EMH8GTFRCSWKMPXRRXR2","GSON1111300012")</f>
        <v>#NAME?</v>
      </c>
      <c r="H24" s="4" t="e">
        <f ca="1">[1]!BexGetData("DP_1","003N8EMH8GTFRCSWKMPXRS42M","GSON1111300012")</f>
        <v>#NAME?</v>
      </c>
      <c r="I24" s="4" t="e">
        <f ca="1">[1]!BexGetData("DP_1","003N8EMH8GTFRCSWKMPXRSAE6","GSON1111300012")</f>
        <v>#NAME?</v>
      </c>
      <c r="J24" s="4" t="e">
        <f ca="1">[1]!BexGetData("DP_1","003N8EMH8GTFRCSWKMPXRSGPQ","GSON1111300012")</f>
        <v>#NAME?</v>
      </c>
      <c r="K24" s="8" t="e">
        <f ca="1">[1]!BexGetData("DP_1","003N8EMH8GTFRIVNUPY288VJH","GSON1111300012")</f>
        <v>#NAME?</v>
      </c>
      <c r="L24" s="8" t="e">
        <f ca="1">[1]!BexGetData("DP_1","003N8EMH8GTFRIVNUPY2891V1","GSON1111300012")</f>
        <v>#NAME?</v>
      </c>
      <c r="M24" s="8" t="e">
        <f ca="1">[1]!BexGetData("DP_1","003N8EMH8GTFRIVOG7KG9IQXA","GSON1111300012")</f>
        <v>#NAME?</v>
      </c>
      <c r="N24" s="8" t="e">
        <f ca="1">[1]!BexGetData("DP_1","003N8EMH8GTFRIVOG7KG9IX8U","GSON1111300012")</f>
        <v>#NAME?</v>
      </c>
      <c r="O24" s="8" t="e">
        <f ca="1">[1]!BexGetData("DP_1","003N8EMH8GTFRIVOG7KG9J3KE","GSON1111300012")</f>
        <v>#NAME?</v>
      </c>
      <c r="P24" s="8" t="e">
        <f ca="1">[1]!BexGetData("DP_1","003N8EMH8GTFRIVOG7KG9J9VY","GSON1111300012")</f>
        <v>#NAME?</v>
      </c>
      <c r="Q24" s="4" t="e">
        <f ca="1">[1]!BexGetData("DP_1","00O2TNJGODT0G5Z4TTKYMM5MT","GSON1111300012")</f>
        <v>#NAME?</v>
      </c>
      <c r="R24" s="4" t="e">
        <f ca="1">[1]!BexGetData("DP_1","00O2TNJGODT0G5Z4TTKYMMBYD","GSON1111300012")</f>
        <v>#NAME?</v>
      </c>
      <c r="S24" s="4" t="e">
        <f ca="1">[1]!BexGetData("DP_1","00O2TNJGODT0G5Z4TTKYMMI9X","GSON1111300012")</f>
        <v>#NAME?</v>
      </c>
      <c r="T24" s="4" t="e">
        <f ca="1">[1]!BexGetData("DP_1","00O2TNJGODT0G5Z4TTKYMMOLH","GSON1111300012")</f>
        <v>#NAME?</v>
      </c>
      <c r="U24" s="4" t="e">
        <f ca="1">[1]!BexGetData("DP_1","00O2TNJGODT0G5Z4TTKYMMUX1","GSON1111300012")</f>
        <v>#NAME?</v>
      </c>
      <c r="V24" s="4" t="e">
        <f ca="1">[1]!BexGetData("DP_1","00O2TNJGODT0G5Z4TTKYMN18L","GSON1111300012")</f>
        <v>#NAME?</v>
      </c>
      <c r="W24" s="4" t="e">
        <f ca="1">[1]!BexGetData("DP_1","00O2TNJGODT0G5Z4TTKYMN7K5","GSON1111300012")</f>
        <v>#NAME?</v>
      </c>
    </row>
    <row r="25" spans="1:23" x14ac:dyDescent="0.2">
      <c r="A25" s="16" t="s">
        <v>1754</v>
      </c>
      <c r="B25" s="7" t="s">
        <v>1755</v>
      </c>
      <c r="C25" s="3" t="e">
        <f ca="1">[1]!BexGetData("DP_1","003N8EMH8GTFRCSWKMPXRR8GU","GSON1111300013")</f>
        <v>#NAME?</v>
      </c>
      <c r="D25" s="3" t="e">
        <f ca="1">[1]!BexGetData("DP_1","003N8EMH8GTFRCSWKMPXRRESE","GSON1111300013")</f>
        <v>#NAME?</v>
      </c>
      <c r="E25" s="8" t="e">
        <f ca="1">[1]!BexGetData("DP_1","003N8EMH8GTFRCSWKMPXRRL3Y","GSON1111300013")</f>
        <v>#NAME?</v>
      </c>
      <c r="F25" s="4" t="e">
        <f ca="1">[1]!BexGetData("DP_1","003N8EMH8GTFRCSWKMPXRRRFI","GSON1111300013")</f>
        <v>#NAME?</v>
      </c>
      <c r="G25" s="4" t="e">
        <f ca="1">[1]!BexGetData("DP_1","003N8EMH8GTFRCSWKMPXRRXR2","GSON1111300013")</f>
        <v>#NAME?</v>
      </c>
      <c r="H25" s="4" t="e">
        <f ca="1">[1]!BexGetData("DP_1","003N8EMH8GTFRCSWKMPXRS42M","GSON1111300013")</f>
        <v>#NAME?</v>
      </c>
      <c r="I25" s="4" t="e">
        <f ca="1">[1]!BexGetData("DP_1","003N8EMH8GTFRCSWKMPXRSAE6","GSON1111300013")</f>
        <v>#NAME?</v>
      </c>
      <c r="J25" s="4" t="e">
        <f ca="1">[1]!BexGetData("DP_1","003N8EMH8GTFRCSWKMPXRSGPQ","GSON1111300013")</f>
        <v>#NAME?</v>
      </c>
      <c r="K25" s="8" t="e">
        <f ca="1">[1]!BexGetData("DP_1","003N8EMH8GTFRIVNUPY288VJH","GSON1111300013")</f>
        <v>#NAME?</v>
      </c>
      <c r="L25" s="8" t="e">
        <f ca="1">[1]!BexGetData("DP_1","003N8EMH8GTFRIVNUPY2891V1","GSON1111300013")</f>
        <v>#NAME?</v>
      </c>
      <c r="M25" s="8" t="e">
        <f ca="1">[1]!BexGetData("DP_1","003N8EMH8GTFRIVOG7KG9IQXA","GSON1111300013")</f>
        <v>#NAME?</v>
      </c>
      <c r="N25" s="8" t="e">
        <f ca="1">[1]!BexGetData("DP_1","003N8EMH8GTFRIVOG7KG9IX8U","GSON1111300013")</f>
        <v>#NAME?</v>
      </c>
      <c r="O25" s="8" t="e">
        <f ca="1">[1]!BexGetData("DP_1","003N8EMH8GTFRIVOG7KG9J3KE","GSON1111300013")</f>
        <v>#NAME?</v>
      </c>
      <c r="P25" s="8" t="e">
        <f ca="1">[1]!BexGetData("DP_1","003N8EMH8GTFRIVOG7KG9J9VY","GSON1111300013")</f>
        <v>#NAME?</v>
      </c>
      <c r="Q25" s="4" t="e">
        <f ca="1">[1]!BexGetData("DP_1","00O2TNJGODT0G5Z4TTKYMM5MT","GSON1111300013")</f>
        <v>#NAME?</v>
      </c>
      <c r="R25" s="4" t="e">
        <f ca="1">[1]!BexGetData("DP_1","00O2TNJGODT0G5Z4TTKYMMBYD","GSON1111300013")</f>
        <v>#NAME?</v>
      </c>
      <c r="S25" s="4" t="e">
        <f ca="1">[1]!BexGetData("DP_1","00O2TNJGODT0G5Z4TTKYMMI9X","GSON1111300013")</f>
        <v>#NAME?</v>
      </c>
      <c r="T25" s="4" t="e">
        <f ca="1">[1]!BexGetData("DP_1","00O2TNJGODT0G5Z4TTKYMMOLH","GSON1111300013")</f>
        <v>#NAME?</v>
      </c>
      <c r="U25" s="4" t="e">
        <f ca="1">[1]!BexGetData("DP_1","00O2TNJGODT0G5Z4TTKYMMUX1","GSON1111300013")</f>
        <v>#NAME?</v>
      </c>
      <c r="V25" s="4" t="e">
        <f ca="1">[1]!BexGetData("DP_1","00O2TNJGODT0G5Z4TTKYMN18L","GSON1111300013")</f>
        <v>#NAME?</v>
      </c>
      <c r="W25" s="4" t="e">
        <f ca="1">[1]!BexGetData("DP_1","00O2TNJGODT0G5Z4TTKYMN7K5","GSON1111300013")</f>
        <v>#NAME?</v>
      </c>
    </row>
    <row r="26" spans="1:23" x14ac:dyDescent="0.2">
      <c r="A26" s="16" t="s">
        <v>1756</v>
      </c>
      <c r="B26" s="7" t="s">
        <v>1757</v>
      </c>
      <c r="C26" s="3" t="e">
        <f ca="1">[1]!BexGetData("DP_1","003N8EMH8GTFRCSWKMPXRR8GU","GSON1111300014")</f>
        <v>#NAME?</v>
      </c>
      <c r="D26" s="3" t="e">
        <f ca="1">[1]!BexGetData("DP_1","003N8EMH8GTFRCSWKMPXRRESE","GSON1111300014")</f>
        <v>#NAME?</v>
      </c>
      <c r="E26" s="8" t="e">
        <f ca="1">[1]!BexGetData("DP_1","003N8EMH8GTFRCSWKMPXRRL3Y","GSON1111300014")</f>
        <v>#NAME?</v>
      </c>
      <c r="F26" s="4" t="e">
        <f ca="1">[1]!BexGetData("DP_1","003N8EMH8GTFRCSWKMPXRRRFI","GSON1111300014")</f>
        <v>#NAME?</v>
      </c>
      <c r="G26" s="4" t="e">
        <f ca="1">[1]!BexGetData("DP_1","003N8EMH8GTFRCSWKMPXRRXR2","GSON1111300014")</f>
        <v>#NAME?</v>
      </c>
      <c r="H26" s="4" t="e">
        <f ca="1">[1]!BexGetData("DP_1","003N8EMH8GTFRCSWKMPXRS42M","GSON1111300014")</f>
        <v>#NAME?</v>
      </c>
      <c r="I26" s="4" t="e">
        <f ca="1">[1]!BexGetData("DP_1","003N8EMH8GTFRCSWKMPXRSAE6","GSON1111300014")</f>
        <v>#NAME?</v>
      </c>
      <c r="J26" s="4" t="e">
        <f ca="1">[1]!BexGetData("DP_1","003N8EMH8GTFRCSWKMPXRSGPQ","GSON1111300014")</f>
        <v>#NAME?</v>
      </c>
      <c r="K26" s="8" t="e">
        <f ca="1">[1]!BexGetData("DP_1","003N8EMH8GTFRIVNUPY288VJH","GSON1111300014")</f>
        <v>#NAME?</v>
      </c>
      <c r="L26" s="8" t="e">
        <f ca="1">[1]!BexGetData("DP_1","003N8EMH8GTFRIVNUPY2891V1","GSON1111300014")</f>
        <v>#NAME?</v>
      </c>
      <c r="M26" s="8" t="e">
        <f ca="1">[1]!BexGetData("DP_1","003N8EMH8GTFRIVOG7KG9IQXA","GSON1111300014")</f>
        <v>#NAME?</v>
      </c>
      <c r="N26" s="8" t="e">
        <f ca="1">[1]!BexGetData("DP_1","003N8EMH8GTFRIVOG7KG9IX8U","GSON1111300014")</f>
        <v>#NAME?</v>
      </c>
      <c r="O26" s="8" t="e">
        <f ca="1">[1]!BexGetData("DP_1","003N8EMH8GTFRIVOG7KG9J3KE","GSON1111300014")</f>
        <v>#NAME?</v>
      </c>
      <c r="P26" s="8" t="e">
        <f ca="1">[1]!BexGetData("DP_1","003N8EMH8GTFRIVOG7KG9J9VY","GSON1111300014")</f>
        <v>#NAME?</v>
      </c>
      <c r="Q26" s="4" t="e">
        <f ca="1">[1]!BexGetData("DP_1","00O2TNJGODT0G5Z4TTKYMM5MT","GSON1111300014")</f>
        <v>#NAME?</v>
      </c>
      <c r="R26" s="4" t="e">
        <f ca="1">[1]!BexGetData("DP_1","00O2TNJGODT0G5Z4TTKYMMBYD","GSON1111300014")</f>
        <v>#NAME?</v>
      </c>
      <c r="S26" s="4" t="e">
        <f ca="1">[1]!BexGetData("DP_1","00O2TNJGODT0G5Z4TTKYMMI9X","GSON1111300014")</f>
        <v>#NAME?</v>
      </c>
      <c r="T26" s="4" t="e">
        <f ca="1">[1]!BexGetData("DP_1","00O2TNJGODT0G5Z4TTKYMMOLH","GSON1111300014")</f>
        <v>#NAME?</v>
      </c>
      <c r="U26" s="4" t="e">
        <f ca="1">[1]!BexGetData("DP_1","00O2TNJGODT0G5Z4TTKYMMUX1","GSON1111300014")</f>
        <v>#NAME?</v>
      </c>
      <c r="V26" s="4" t="e">
        <f ca="1">[1]!BexGetData("DP_1","00O2TNJGODT0G5Z4TTKYMN18L","GSON1111300014")</f>
        <v>#NAME?</v>
      </c>
      <c r="W26" s="4" t="e">
        <f ca="1">[1]!BexGetData("DP_1","00O2TNJGODT0G5Z4TTKYMN7K5","GSON1111300014")</f>
        <v>#NAME?</v>
      </c>
    </row>
    <row r="27" spans="1:23" x14ac:dyDescent="0.2">
      <c r="A27" s="16" t="s">
        <v>1758</v>
      </c>
      <c r="B27" s="7" t="s">
        <v>1759</v>
      </c>
      <c r="C27" s="3" t="e">
        <f ca="1">[1]!BexGetData("DP_1","003N8EMH8GTFRCSWKMPXRR8GU","GSON1111300015")</f>
        <v>#NAME?</v>
      </c>
      <c r="D27" s="3" t="e">
        <f ca="1">[1]!BexGetData("DP_1","003N8EMH8GTFRCSWKMPXRRESE","GSON1111300015")</f>
        <v>#NAME?</v>
      </c>
      <c r="E27" s="8" t="e">
        <f ca="1">[1]!BexGetData("DP_1","003N8EMH8GTFRCSWKMPXRRL3Y","GSON1111300015")</f>
        <v>#NAME?</v>
      </c>
      <c r="F27" s="4" t="e">
        <f ca="1">[1]!BexGetData("DP_1","003N8EMH8GTFRCSWKMPXRRRFI","GSON1111300015")</f>
        <v>#NAME?</v>
      </c>
      <c r="G27" s="4" t="e">
        <f ca="1">[1]!BexGetData("DP_1","003N8EMH8GTFRCSWKMPXRRXR2","GSON1111300015")</f>
        <v>#NAME?</v>
      </c>
      <c r="H27" s="4" t="e">
        <f ca="1">[1]!BexGetData("DP_1","003N8EMH8GTFRCSWKMPXRS42M","GSON1111300015")</f>
        <v>#NAME?</v>
      </c>
      <c r="I27" s="4" t="e">
        <f ca="1">[1]!BexGetData("DP_1","003N8EMH8GTFRCSWKMPXRSAE6","GSON1111300015")</f>
        <v>#NAME?</v>
      </c>
      <c r="J27" s="4" t="e">
        <f ca="1">[1]!BexGetData("DP_1","003N8EMH8GTFRCSWKMPXRSGPQ","GSON1111300015")</f>
        <v>#NAME?</v>
      </c>
      <c r="K27" s="8" t="e">
        <f ca="1">[1]!BexGetData("DP_1","003N8EMH8GTFRIVNUPY288VJH","GSON1111300015")</f>
        <v>#NAME?</v>
      </c>
      <c r="L27" s="8" t="e">
        <f ca="1">[1]!BexGetData("DP_1","003N8EMH8GTFRIVNUPY2891V1","GSON1111300015")</f>
        <v>#NAME?</v>
      </c>
      <c r="M27" s="8" t="e">
        <f ca="1">[1]!BexGetData("DP_1","003N8EMH8GTFRIVOG7KG9IQXA","GSON1111300015")</f>
        <v>#NAME?</v>
      </c>
      <c r="N27" s="8" t="e">
        <f ca="1">[1]!BexGetData("DP_1","003N8EMH8GTFRIVOG7KG9IX8U","GSON1111300015")</f>
        <v>#NAME?</v>
      </c>
      <c r="O27" s="8" t="e">
        <f ca="1">[1]!BexGetData("DP_1","003N8EMH8GTFRIVOG7KG9J3KE","GSON1111300015")</f>
        <v>#NAME?</v>
      </c>
      <c r="P27" s="8" t="e">
        <f ca="1">[1]!BexGetData("DP_1","003N8EMH8GTFRIVOG7KG9J9VY","GSON1111300015")</f>
        <v>#NAME?</v>
      </c>
      <c r="Q27" s="4" t="e">
        <f ca="1">[1]!BexGetData("DP_1","00O2TNJGODT0G5Z4TTKYMM5MT","GSON1111300015")</f>
        <v>#NAME?</v>
      </c>
      <c r="R27" s="4" t="e">
        <f ca="1">[1]!BexGetData("DP_1","00O2TNJGODT0G5Z4TTKYMMBYD","GSON1111300015")</f>
        <v>#NAME?</v>
      </c>
      <c r="S27" s="4" t="e">
        <f ca="1">[1]!BexGetData("DP_1","00O2TNJGODT0G5Z4TTKYMMI9X","GSON1111300015")</f>
        <v>#NAME?</v>
      </c>
      <c r="T27" s="4" t="e">
        <f ca="1">[1]!BexGetData("DP_1","00O2TNJGODT0G5Z4TTKYMMOLH","GSON1111300015")</f>
        <v>#NAME?</v>
      </c>
      <c r="U27" s="4" t="e">
        <f ca="1">[1]!BexGetData("DP_1","00O2TNJGODT0G5Z4TTKYMMUX1","GSON1111300015")</f>
        <v>#NAME?</v>
      </c>
      <c r="V27" s="4" t="e">
        <f ca="1">[1]!BexGetData("DP_1","00O2TNJGODT0G5Z4TTKYMN18L","GSON1111300015")</f>
        <v>#NAME?</v>
      </c>
      <c r="W27" s="4" t="e">
        <f ca="1">[1]!BexGetData("DP_1","00O2TNJGODT0G5Z4TTKYMN7K5","GSON1111300015")</f>
        <v>#NAME?</v>
      </c>
    </row>
    <row r="28" spans="1:23" x14ac:dyDescent="0.2">
      <c r="A28" s="16" t="s">
        <v>1760</v>
      </c>
      <c r="B28" s="7" t="s">
        <v>1761</v>
      </c>
      <c r="C28" s="3" t="e">
        <f ca="1">[1]!BexGetData("DP_1","003N8EMH8GTFRCSWKMPXRR8GU","GSON1111300016")</f>
        <v>#NAME?</v>
      </c>
      <c r="D28" s="3" t="e">
        <f ca="1">[1]!BexGetData("DP_1","003N8EMH8GTFRCSWKMPXRRESE","GSON1111300016")</f>
        <v>#NAME?</v>
      </c>
      <c r="E28" s="8" t="e">
        <f ca="1">[1]!BexGetData("DP_1","003N8EMH8GTFRCSWKMPXRRL3Y","GSON1111300016")</f>
        <v>#NAME?</v>
      </c>
      <c r="F28" s="4" t="e">
        <f ca="1">[1]!BexGetData("DP_1","003N8EMH8GTFRCSWKMPXRRRFI","GSON1111300016")</f>
        <v>#NAME?</v>
      </c>
      <c r="G28" s="4" t="e">
        <f ca="1">[1]!BexGetData("DP_1","003N8EMH8GTFRCSWKMPXRRXR2","GSON1111300016")</f>
        <v>#NAME?</v>
      </c>
      <c r="H28" s="4" t="e">
        <f ca="1">[1]!BexGetData("DP_1","003N8EMH8GTFRCSWKMPXRS42M","GSON1111300016")</f>
        <v>#NAME?</v>
      </c>
      <c r="I28" s="4" t="e">
        <f ca="1">[1]!BexGetData("DP_1","003N8EMH8GTFRCSWKMPXRSAE6","GSON1111300016")</f>
        <v>#NAME?</v>
      </c>
      <c r="J28" s="4" t="e">
        <f ca="1">[1]!BexGetData("DP_1","003N8EMH8GTFRCSWKMPXRSGPQ","GSON1111300016")</f>
        <v>#NAME?</v>
      </c>
      <c r="K28" s="8" t="e">
        <f ca="1">[1]!BexGetData("DP_1","003N8EMH8GTFRIVNUPY288VJH","GSON1111300016")</f>
        <v>#NAME?</v>
      </c>
      <c r="L28" s="8" t="e">
        <f ca="1">[1]!BexGetData("DP_1","003N8EMH8GTFRIVNUPY2891V1","GSON1111300016")</f>
        <v>#NAME?</v>
      </c>
      <c r="M28" s="8" t="e">
        <f ca="1">[1]!BexGetData("DP_1","003N8EMH8GTFRIVOG7KG9IQXA","GSON1111300016")</f>
        <v>#NAME?</v>
      </c>
      <c r="N28" s="8" t="e">
        <f ca="1">[1]!BexGetData("DP_1","003N8EMH8GTFRIVOG7KG9IX8U","GSON1111300016")</f>
        <v>#NAME?</v>
      </c>
      <c r="O28" s="8" t="e">
        <f ca="1">[1]!BexGetData("DP_1","003N8EMH8GTFRIVOG7KG9J3KE","GSON1111300016")</f>
        <v>#NAME?</v>
      </c>
      <c r="P28" s="8" t="e">
        <f ca="1">[1]!BexGetData("DP_1","003N8EMH8GTFRIVOG7KG9J9VY","GSON1111300016")</f>
        <v>#NAME?</v>
      </c>
      <c r="Q28" s="4" t="e">
        <f ca="1">[1]!BexGetData("DP_1","00O2TNJGODT0G5Z4TTKYMM5MT","GSON1111300016")</f>
        <v>#NAME?</v>
      </c>
      <c r="R28" s="4" t="e">
        <f ca="1">[1]!BexGetData("DP_1","00O2TNJGODT0G5Z4TTKYMMBYD","GSON1111300016")</f>
        <v>#NAME?</v>
      </c>
      <c r="S28" s="4" t="e">
        <f ca="1">[1]!BexGetData("DP_1","00O2TNJGODT0G5Z4TTKYMMI9X","GSON1111300016")</f>
        <v>#NAME?</v>
      </c>
      <c r="T28" s="4" t="e">
        <f ca="1">[1]!BexGetData("DP_1","00O2TNJGODT0G5Z4TTKYMMOLH","GSON1111300016")</f>
        <v>#NAME?</v>
      </c>
      <c r="U28" s="4" t="e">
        <f ca="1">[1]!BexGetData("DP_1","00O2TNJGODT0G5Z4TTKYMMUX1","GSON1111300016")</f>
        <v>#NAME?</v>
      </c>
      <c r="V28" s="4" t="e">
        <f ca="1">[1]!BexGetData("DP_1","00O2TNJGODT0G5Z4TTKYMN18L","GSON1111300016")</f>
        <v>#NAME?</v>
      </c>
      <c r="W28" s="4" t="e">
        <f ca="1">[1]!BexGetData("DP_1","00O2TNJGODT0G5Z4TTKYMN7K5","GSON1111300016")</f>
        <v>#NAME?</v>
      </c>
    </row>
    <row r="29" spans="1:23" x14ac:dyDescent="0.2">
      <c r="A29" s="16" t="s">
        <v>1762</v>
      </c>
      <c r="B29" s="7" t="s">
        <v>1763</v>
      </c>
      <c r="C29" s="3" t="e">
        <f ca="1">[1]!BexGetData("DP_1","003N8EMH8GTFRCSWKMPXRR8GU","GSON1111300017")</f>
        <v>#NAME?</v>
      </c>
      <c r="D29" s="3" t="e">
        <f ca="1">[1]!BexGetData("DP_1","003N8EMH8GTFRCSWKMPXRRESE","GSON1111300017")</f>
        <v>#NAME?</v>
      </c>
      <c r="E29" s="8" t="e">
        <f ca="1">[1]!BexGetData("DP_1","003N8EMH8GTFRCSWKMPXRRL3Y","GSON1111300017")</f>
        <v>#NAME?</v>
      </c>
      <c r="F29" s="4" t="e">
        <f ca="1">[1]!BexGetData("DP_1","003N8EMH8GTFRCSWKMPXRRRFI","GSON1111300017")</f>
        <v>#NAME?</v>
      </c>
      <c r="G29" s="4" t="e">
        <f ca="1">[1]!BexGetData("DP_1","003N8EMH8GTFRCSWKMPXRRXR2","GSON1111300017")</f>
        <v>#NAME?</v>
      </c>
      <c r="H29" s="4" t="e">
        <f ca="1">[1]!BexGetData("DP_1","003N8EMH8GTFRCSWKMPXRS42M","GSON1111300017")</f>
        <v>#NAME?</v>
      </c>
      <c r="I29" s="4" t="e">
        <f ca="1">[1]!BexGetData("DP_1","003N8EMH8GTFRCSWKMPXRSAE6","GSON1111300017")</f>
        <v>#NAME?</v>
      </c>
      <c r="J29" s="4" t="e">
        <f ca="1">[1]!BexGetData("DP_1","003N8EMH8GTFRCSWKMPXRSGPQ","GSON1111300017")</f>
        <v>#NAME?</v>
      </c>
      <c r="K29" s="8" t="e">
        <f ca="1">[1]!BexGetData("DP_1","003N8EMH8GTFRIVNUPY288VJH","GSON1111300017")</f>
        <v>#NAME?</v>
      </c>
      <c r="L29" s="8" t="e">
        <f ca="1">[1]!BexGetData("DP_1","003N8EMH8GTFRIVNUPY2891V1","GSON1111300017")</f>
        <v>#NAME?</v>
      </c>
      <c r="M29" s="8" t="e">
        <f ca="1">[1]!BexGetData("DP_1","003N8EMH8GTFRIVOG7KG9IQXA","GSON1111300017")</f>
        <v>#NAME?</v>
      </c>
      <c r="N29" s="8" t="e">
        <f ca="1">[1]!BexGetData("DP_1","003N8EMH8GTFRIVOG7KG9IX8U","GSON1111300017")</f>
        <v>#NAME?</v>
      </c>
      <c r="O29" s="8" t="e">
        <f ca="1">[1]!BexGetData("DP_1","003N8EMH8GTFRIVOG7KG9J3KE","GSON1111300017")</f>
        <v>#NAME?</v>
      </c>
      <c r="P29" s="8" t="e">
        <f ca="1">[1]!BexGetData("DP_1","003N8EMH8GTFRIVOG7KG9J9VY","GSON1111300017")</f>
        <v>#NAME?</v>
      </c>
      <c r="Q29" s="4" t="e">
        <f ca="1">[1]!BexGetData("DP_1","00O2TNJGODT0G5Z4TTKYMM5MT","GSON1111300017")</f>
        <v>#NAME?</v>
      </c>
      <c r="R29" s="4" t="e">
        <f ca="1">[1]!BexGetData("DP_1","00O2TNJGODT0G5Z4TTKYMMBYD","GSON1111300017")</f>
        <v>#NAME?</v>
      </c>
      <c r="S29" s="4" t="e">
        <f ca="1">[1]!BexGetData("DP_1","00O2TNJGODT0G5Z4TTKYMMI9X","GSON1111300017")</f>
        <v>#NAME?</v>
      </c>
      <c r="T29" s="4" t="e">
        <f ca="1">[1]!BexGetData("DP_1","00O2TNJGODT0G5Z4TTKYMMOLH","GSON1111300017")</f>
        <v>#NAME?</v>
      </c>
      <c r="U29" s="4" t="e">
        <f ca="1">[1]!BexGetData("DP_1","00O2TNJGODT0G5Z4TTKYMMUX1","GSON1111300017")</f>
        <v>#NAME?</v>
      </c>
      <c r="V29" s="4" t="e">
        <f ca="1">[1]!BexGetData("DP_1","00O2TNJGODT0G5Z4TTKYMN18L","GSON1111300017")</f>
        <v>#NAME?</v>
      </c>
      <c r="W29" s="4" t="e">
        <f ca="1">[1]!BexGetData("DP_1","00O2TNJGODT0G5Z4TTKYMN7K5","GSON1111300017")</f>
        <v>#NAME?</v>
      </c>
    </row>
    <row r="30" spans="1:23" x14ac:dyDescent="0.2">
      <c r="A30" s="16" t="s">
        <v>1764</v>
      </c>
      <c r="B30" s="7" t="s">
        <v>1765</v>
      </c>
      <c r="C30" s="3" t="e">
        <f ca="1">[1]!BexGetData("DP_1","003N8EMH8GTFRCSWKMPXRR8GU","GSON1111300018")</f>
        <v>#NAME?</v>
      </c>
      <c r="D30" s="3" t="e">
        <f ca="1">[1]!BexGetData("DP_1","003N8EMH8GTFRCSWKMPXRRESE","GSON1111300018")</f>
        <v>#NAME?</v>
      </c>
      <c r="E30" s="8" t="e">
        <f ca="1">[1]!BexGetData("DP_1","003N8EMH8GTFRCSWKMPXRRL3Y","GSON1111300018")</f>
        <v>#NAME?</v>
      </c>
      <c r="F30" s="4" t="e">
        <f ca="1">[1]!BexGetData("DP_1","003N8EMH8GTFRCSWKMPXRRRFI","GSON1111300018")</f>
        <v>#NAME?</v>
      </c>
      <c r="G30" s="4" t="e">
        <f ca="1">[1]!BexGetData("DP_1","003N8EMH8GTFRCSWKMPXRRXR2","GSON1111300018")</f>
        <v>#NAME?</v>
      </c>
      <c r="H30" s="4" t="e">
        <f ca="1">[1]!BexGetData("DP_1","003N8EMH8GTFRCSWKMPXRS42M","GSON1111300018")</f>
        <v>#NAME?</v>
      </c>
      <c r="I30" s="4" t="e">
        <f ca="1">[1]!BexGetData("DP_1","003N8EMH8GTFRCSWKMPXRSAE6","GSON1111300018")</f>
        <v>#NAME?</v>
      </c>
      <c r="J30" s="4" t="e">
        <f ca="1">[1]!BexGetData("DP_1","003N8EMH8GTFRCSWKMPXRSGPQ","GSON1111300018")</f>
        <v>#NAME?</v>
      </c>
      <c r="K30" s="8" t="e">
        <f ca="1">[1]!BexGetData("DP_1","003N8EMH8GTFRIVNUPY288VJH","GSON1111300018")</f>
        <v>#NAME?</v>
      </c>
      <c r="L30" s="8" t="e">
        <f ca="1">[1]!BexGetData("DP_1","003N8EMH8GTFRIVNUPY2891V1","GSON1111300018")</f>
        <v>#NAME?</v>
      </c>
      <c r="M30" s="8" t="e">
        <f ca="1">[1]!BexGetData("DP_1","003N8EMH8GTFRIVOG7KG9IQXA","GSON1111300018")</f>
        <v>#NAME?</v>
      </c>
      <c r="N30" s="8" t="e">
        <f ca="1">[1]!BexGetData("DP_1","003N8EMH8GTFRIVOG7KG9IX8U","GSON1111300018")</f>
        <v>#NAME?</v>
      </c>
      <c r="O30" s="8" t="e">
        <f ca="1">[1]!BexGetData("DP_1","003N8EMH8GTFRIVOG7KG9J3KE","GSON1111300018")</f>
        <v>#NAME?</v>
      </c>
      <c r="P30" s="8" t="e">
        <f ca="1">[1]!BexGetData("DP_1","003N8EMH8GTFRIVOG7KG9J9VY","GSON1111300018")</f>
        <v>#NAME?</v>
      </c>
      <c r="Q30" s="4" t="e">
        <f ca="1">[1]!BexGetData("DP_1","00O2TNJGODT0G5Z4TTKYMM5MT","GSON1111300018")</f>
        <v>#NAME?</v>
      </c>
      <c r="R30" s="4" t="e">
        <f ca="1">[1]!BexGetData("DP_1","00O2TNJGODT0G5Z4TTKYMMBYD","GSON1111300018")</f>
        <v>#NAME?</v>
      </c>
      <c r="S30" s="4" t="e">
        <f ca="1">[1]!BexGetData("DP_1","00O2TNJGODT0G5Z4TTKYMMI9X","GSON1111300018")</f>
        <v>#NAME?</v>
      </c>
      <c r="T30" s="4" t="e">
        <f ca="1">[1]!BexGetData("DP_1","00O2TNJGODT0G5Z4TTKYMMOLH","GSON1111300018")</f>
        <v>#NAME?</v>
      </c>
      <c r="U30" s="4" t="e">
        <f ca="1">[1]!BexGetData("DP_1","00O2TNJGODT0G5Z4TTKYMMUX1","GSON1111300018")</f>
        <v>#NAME?</v>
      </c>
      <c r="V30" s="4" t="e">
        <f ca="1">[1]!BexGetData("DP_1","00O2TNJGODT0G5Z4TTKYMN18L","GSON1111300018")</f>
        <v>#NAME?</v>
      </c>
      <c r="W30" s="4" t="e">
        <f ca="1">[1]!BexGetData("DP_1","00O2TNJGODT0G5Z4TTKYMN7K5","GSON1111300018")</f>
        <v>#NAME?</v>
      </c>
    </row>
    <row r="31" spans="1:23" x14ac:dyDescent="0.2">
      <c r="A31" s="16" t="s">
        <v>1766</v>
      </c>
      <c r="B31" s="7" t="s">
        <v>1767</v>
      </c>
      <c r="C31" s="3" t="e">
        <f ca="1">[1]!BexGetData("DP_1","003N8EMH8GTFRCSWKMPXRR8GU","GSON1111300019")</f>
        <v>#NAME?</v>
      </c>
      <c r="D31" s="3" t="e">
        <f ca="1">[1]!BexGetData("DP_1","003N8EMH8GTFRCSWKMPXRRESE","GSON1111300019")</f>
        <v>#NAME?</v>
      </c>
      <c r="E31" s="8" t="e">
        <f ca="1">[1]!BexGetData("DP_1","003N8EMH8GTFRCSWKMPXRRL3Y","GSON1111300019")</f>
        <v>#NAME?</v>
      </c>
      <c r="F31" s="4" t="e">
        <f ca="1">[1]!BexGetData("DP_1","003N8EMH8GTFRCSWKMPXRRRFI","GSON1111300019")</f>
        <v>#NAME?</v>
      </c>
      <c r="G31" s="4" t="e">
        <f ca="1">[1]!BexGetData("DP_1","003N8EMH8GTFRCSWKMPXRRXR2","GSON1111300019")</f>
        <v>#NAME?</v>
      </c>
      <c r="H31" s="4" t="e">
        <f ca="1">[1]!BexGetData("DP_1","003N8EMH8GTFRCSWKMPXRS42M","GSON1111300019")</f>
        <v>#NAME?</v>
      </c>
      <c r="I31" s="4" t="e">
        <f ca="1">[1]!BexGetData("DP_1","003N8EMH8GTFRCSWKMPXRSAE6","GSON1111300019")</f>
        <v>#NAME?</v>
      </c>
      <c r="J31" s="4" t="e">
        <f ca="1">[1]!BexGetData("DP_1","003N8EMH8GTFRCSWKMPXRSGPQ","GSON1111300019")</f>
        <v>#NAME?</v>
      </c>
      <c r="K31" s="8" t="e">
        <f ca="1">[1]!BexGetData("DP_1","003N8EMH8GTFRIVNUPY288VJH","GSON1111300019")</f>
        <v>#NAME?</v>
      </c>
      <c r="L31" s="8" t="e">
        <f ca="1">[1]!BexGetData("DP_1","003N8EMH8GTFRIVNUPY2891V1","GSON1111300019")</f>
        <v>#NAME?</v>
      </c>
      <c r="M31" s="8" t="e">
        <f ca="1">[1]!BexGetData("DP_1","003N8EMH8GTFRIVOG7KG9IQXA","GSON1111300019")</f>
        <v>#NAME?</v>
      </c>
      <c r="N31" s="8" t="e">
        <f ca="1">[1]!BexGetData("DP_1","003N8EMH8GTFRIVOG7KG9IX8U","GSON1111300019")</f>
        <v>#NAME?</v>
      </c>
      <c r="O31" s="8" t="e">
        <f ca="1">[1]!BexGetData("DP_1","003N8EMH8GTFRIVOG7KG9J3KE","GSON1111300019")</f>
        <v>#NAME?</v>
      </c>
      <c r="P31" s="8" t="e">
        <f ca="1">[1]!BexGetData("DP_1","003N8EMH8GTFRIVOG7KG9J9VY","GSON1111300019")</f>
        <v>#NAME?</v>
      </c>
      <c r="Q31" s="4" t="e">
        <f ca="1">[1]!BexGetData("DP_1","00O2TNJGODT0G5Z4TTKYMM5MT","GSON1111300019")</f>
        <v>#NAME?</v>
      </c>
      <c r="R31" s="4" t="e">
        <f ca="1">[1]!BexGetData("DP_1","00O2TNJGODT0G5Z4TTKYMMBYD","GSON1111300019")</f>
        <v>#NAME?</v>
      </c>
      <c r="S31" s="4" t="e">
        <f ca="1">[1]!BexGetData("DP_1","00O2TNJGODT0G5Z4TTKYMMI9X","GSON1111300019")</f>
        <v>#NAME?</v>
      </c>
      <c r="T31" s="4" t="e">
        <f ca="1">[1]!BexGetData("DP_1","00O2TNJGODT0G5Z4TTKYMMOLH","GSON1111300019")</f>
        <v>#NAME?</v>
      </c>
      <c r="U31" s="4" t="e">
        <f ca="1">[1]!BexGetData("DP_1","00O2TNJGODT0G5Z4TTKYMMUX1","GSON1111300019")</f>
        <v>#NAME?</v>
      </c>
      <c r="V31" s="4" t="e">
        <f ca="1">[1]!BexGetData("DP_1","00O2TNJGODT0G5Z4TTKYMN18L","GSON1111300019")</f>
        <v>#NAME?</v>
      </c>
      <c r="W31" s="4" t="e">
        <f ca="1">[1]!BexGetData("DP_1","00O2TNJGODT0G5Z4TTKYMN7K5","GSON1111300019")</f>
        <v>#NAME?</v>
      </c>
    </row>
    <row r="32" spans="1:23" x14ac:dyDescent="0.2">
      <c r="A32" s="16" t="s">
        <v>1768</v>
      </c>
      <c r="B32" s="7" t="s">
        <v>1769</v>
      </c>
      <c r="C32" s="3" t="e">
        <f ca="1">[1]!BexGetData("DP_1","003N8EMH8GTFRCSWKMPXRR8GU","GSON1111300020")</f>
        <v>#NAME?</v>
      </c>
      <c r="D32" s="3" t="e">
        <f ca="1">[1]!BexGetData("DP_1","003N8EMH8GTFRCSWKMPXRRESE","GSON1111300020")</f>
        <v>#NAME?</v>
      </c>
      <c r="E32" s="8" t="e">
        <f ca="1">[1]!BexGetData("DP_1","003N8EMH8GTFRCSWKMPXRRL3Y","GSON1111300020")</f>
        <v>#NAME?</v>
      </c>
      <c r="F32" s="4" t="e">
        <f ca="1">[1]!BexGetData("DP_1","003N8EMH8GTFRCSWKMPXRRRFI","GSON1111300020")</f>
        <v>#NAME?</v>
      </c>
      <c r="G32" s="4" t="e">
        <f ca="1">[1]!BexGetData("DP_1","003N8EMH8GTFRCSWKMPXRRXR2","GSON1111300020")</f>
        <v>#NAME?</v>
      </c>
      <c r="H32" s="4" t="e">
        <f ca="1">[1]!BexGetData("DP_1","003N8EMH8GTFRCSWKMPXRS42M","GSON1111300020")</f>
        <v>#NAME?</v>
      </c>
      <c r="I32" s="4" t="e">
        <f ca="1">[1]!BexGetData("DP_1","003N8EMH8GTFRCSWKMPXRSAE6","GSON1111300020")</f>
        <v>#NAME?</v>
      </c>
      <c r="J32" s="4" t="e">
        <f ca="1">[1]!BexGetData("DP_1","003N8EMH8GTFRCSWKMPXRSGPQ","GSON1111300020")</f>
        <v>#NAME?</v>
      </c>
      <c r="K32" s="8" t="e">
        <f ca="1">[1]!BexGetData("DP_1","003N8EMH8GTFRIVNUPY288VJH","GSON1111300020")</f>
        <v>#NAME?</v>
      </c>
      <c r="L32" s="8" t="e">
        <f ca="1">[1]!BexGetData("DP_1","003N8EMH8GTFRIVNUPY2891V1","GSON1111300020")</f>
        <v>#NAME?</v>
      </c>
      <c r="M32" s="8" t="e">
        <f ca="1">[1]!BexGetData("DP_1","003N8EMH8GTFRIVOG7KG9IQXA","GSON1111300020")</f>
        <v>#NAME?</v>
      </c>
      <c r="N32" s="8" t="e">
        <f ca="1">[1]!BexGetData("DP_1","003N8EMH8GTFRIVOG7KG9IX8U","GSON1111300020")</f>
        <v>#NAME?</v>
      </c>
      <c r="O32" s="8" t="e">
        <f ca="1">[1]!BexGetData("DP_1","003N8EMH8GTFRIVOG7KG9J3KE","GSON1111300020")</f>
        <v>#NAME?</v>
      </c>
      <c r="P32" s="8" t="e">
        <f ca="1">[1]!BexGetData("DP_1","003N8EMH8GTFRIVOG7KG9J9VY","GSON1111300020")</f>
        <v>#NAME?</v>
      </c>
      <c r="Q32" s="4" t="e">
        <f ca="1">[1]!BexGetData("DP_1","00O2TNJGODT0G5Z4TTKYMM5MT","GSON1111300020")</f>
        <v>#NAME?</v>
      </c>
      <c r="R32" s="4" t="e">
        <f ca="1">[1]!BexGetData("DP_1","00O2TNJGODT0G5Z4TTKYMMBYD","GSON1111300020")</f>
        <v>#NAME?</v>
      </c>
      <c r="S32" s="4" t="e">
        <f ca="1">[1]!BexGetData("DP_1","00O2TNJGODT0G5Z4TTKYMMI9X","GSON1111300020")</f>
        <v>#NAME?</v>
      </c>
      <c r="T32" s="4" t="e">
        <f ca="1">[1]!BexGetData("DP_1","00O2TNJGODT0G5Z4TTKYMMOLH","GSON1111300020")</f>
        <v>#NAME?</v>
      </c>
      <c r="U32" s="4" t="e">
        <f ca="1">[1]!BexGetData("DP_1","00O2TNJGODT0G5Z4TTKYMMUX1","GSON1111300020")</f>
        <v>#NAME?</v>
      </c>
      <c r="V32" s="4" t="e">
        <f ca="1">[1]!BexGetData("DP_1","00O2TNJGODT0G5Z4TTKYMN18L","GSON1111300020")</f>
        <v>#NAME?</v>
      </c>
      <c r="W32" s="4" t="e">
        <f ca="1">[1]!BexGetData("DP_1","00O2TNJGODT0G5Z4TTKYMN7K5","GSON1111300020")</f>
        <v>#NAME?</v>
      </c>
    </row>
    <row r="33" spans="1:23" x14ac:dyDescent="0.2">
      <c r="A33" s="16" t="s">
        <v>1770</v>
      </c>
      <c r="B33" s="7" t="s">
        <v>1771</v>
      </c>
      <c r="C33" s="3" t="e">
        <f ca="1">[1]!BexGetData("DP_1","003N8EMH8GTFRCSWKMPXRR8GU","GSON1111300021")</f>
        <v>#NAME?</v>
      </c>
      <c r="D33" s="3" t="e">
        <f ca="1">[1]!BexGetData("DP_1","003N8EMH8GTFRCSWKMPXRRESE","GSON1111300021")</f>
        <v>#NAME?</v>
      </c>
      <c r="E33" s="8" t="e">
        <f ca="1">[1]!BexGetData("DP_1","003N8EMH8GTFRCSWKMPXRRL3Y","GSON1111300021")</f>
        <v>#NAME?</v>
      </c>
      <c r="F33" s="4" t="e">
        <f ca="1">[1]!BexGetData("DP_1","003N8EMH8GTFRCSWKMPXRRRFI","GSON1111300021")</f>
        <v>#NAME?</v>
      </c>
      <c r="G33" s="4" t="e">
        <f ca="1">[1]!BexGetData("DP_1","003N8EMH8GTFRCSWKMPXRRXR2","GSON1111300021")</f>
        <v>#NAME?</v>
      </c>
      <c r="H33" s="4" t="e">
        <f ca="1">[1]!BexGetData("DP_1","003N8EMH8GTFRCSWKMPXRS42M","GSON1111300021")</f>
        <v>#NAME?</v>
      </c>
      <c r="I33" s="4" t="e">
        <f ca="1">[1]!BexGetData("DP_1","003N8EMH8GTFRCSWKMPXRSAE6","GSON1111300021")</f>
        <v>#NAME?</v>
      </c>
      <c r="J33" s="4" t="e">
        <f ca="1">[1]!BexGetData("DP_1","003N8EMH8GTFRCSWKMPXRSGPQ","GSON1111300021")</f>
        <v>#NAME?</v>
      </c>
      <c r="K33" s="8" t="e">
        <f ca="1">[1]!BexGetData("DP_1","003N8EMH8GTFRIVNUPY288VJH","GSON1111300021")</f>
        <v>#NAME?</v>
      </c>
      <c r="L33" s="8" t="e">
        <f ca="1">[1]!BexGetData("DP_1","003N8EMH8GTFRIVNUPY2891V1","GSON1111300021")</f>
        <v>#NAME?</v>
      </c>
      <c r="M33" s="8" t="e">
        <f ca="1">[1]!BexGetData("DP_1","003N8EMH8GTFRIVOG7KG9IQXA","GSON1111300021")</f>
        <v>#NAME?</v>
      </c>
      <c r="N33" s="8" t="e">
        <f ca="1">[1]!BexGetData("DP_1","003N8EMH8GTFRIVOG7KG9IX8U","GSON1111300021")</f>
        <v>#NAME?</v>
      </c>
      <c r="O33" s="8" t="e">
        <f ca="1">[1]!BexGetData("DP_1","003N8EMH8GTFRIVOG7KG9J3KE","GSON1111300021")</f>
        <v>#NAME?</v>
      </c>
      <c r="P33" s="8" t="e">
        <f ca="1">[1]!BexGetData("DP_1","003N8EMH8GTFRIVOG7KG9J9VY","GSON1111300021")</f>
        <v>#NAME?</v>
      </c>
      <c r="Q33" s="4" t="e">
        <f ca="1">[1]!BexGetData("DP_1","00O2TNJGODT0G5Z4TTKYMM5MT","GSON1111300021")</f>
        <v>#NAME?</v>
      </c>
      <c r="R33" s="4" t="e">
        <f ca="1">[1]!BexGetData("DP_1","00O2TNJGODT0G5Z4TTKYMMBYD","GSON1111300021")</f>
        <v>#NAME?</v>
      </c>
      <c r="S33" s="4" t="e">
        <f ca="1">[1]!BexGetData("DP_1","00O2TNJGODT0G5Z4TTKYMMI9X","GSON1111300021")</f>
        <v>#NAME?</v>
      </c>
      <c r="T33" s="4" t="e">
        <f ca="1">[1]!BexGetData("DP_1","00O2TNJGODT0G5Z4TTKYMMOLH","GSON1111300021")</f>
        <v>#NAME?</v>
      </c>
      <c r="U33" s="4" t="e">
        <f ca="1">[1]!BexGetData("DP_1","00O2TNJGODT0G5Z4TTKYMMUX1","GSON1111300021")</f>
        <v>#NAME?</v>
      </c>
      <c r="V33" s="4" t="e">
        <f ca="1">[1]!BexGetData("DP_1","00O2TNJGODT0G5Z4TTKYMN18L","GSON1111300021")</f>
        <v>#NAME?</v>
      </c>
      <c r="W33" s="4" t="e">
        <f ca="1">[1]!BexGetData("DP_1","00O2TNJGODT0G5Z4TTKYMN7K5","GSON1111300021")</f>
        <v>#NAME?</v>
      </c>
    </row>
    <row r="34" spans="1:23" x14ac:dyDescent="0.2">
      <c r="A34" s="16" t="s">
        <v>1772</v>
      </c>
      <c r="B34" s="7" t="s">
        <v>1773</v>
      </c>
      <c r="C34" s="3" t="e">
        <f ca="1">[1]!BexGetData("DP_1","003N8EMH8GTFRCSWKMPXRR8GU","GSON1111300022")</f>
        <v>#NAME?</v>
      </c>
      <c r="D34" s="3" t="e">
        <f ca="1">[1]!BexGetData("DP_1","003N8EMH8GTFRCSWKMPXRRESE","GSON1111300022")</f>
        <v>#NAME?</v>
      </c>
      <c r="E34" s="8" t="e">
        <f ca="1">[1]!BexGetData("DP_1","003N8EMH8GTFRCSWKMPXRRL3Y","GSON1111300022")</f>
        <v>#NAME?</v>
      </c>
      <c r="F34" s="4" t="e">
        <f ca="1">[1]!BexGetData("DP_1","003N8EMH8GTFRCSWKMPXRRRFI","GSON1111300022")</f>
        <v>#NAME?</v>
      </c>
      <c r="G34" s="4" t="e">
        <f ca="1">[1]!BexGetData("DP_1","003N8EMH8GTFRCSWKMPXRRXR2","GSON1111300022")</f>
        <v>#NAME?</v>
      </c>
      <c r="H34" s="4" t="e">
        <f ca="1">[1]!BexGetData("DP_1","003N8EMH8GTFRCSWKMPXRS42M","GSON1111300022")</f>
        <v>#NAME?</v>
      </c>
      <c r="I34" s="4" t="e">
        <f ca="1">[1]!BexGetData("DP_1","003N8EMH8GTFRCSWKMPXRSAE6","GSON1111300022")</f>
        <v>#NAME?</v>
      </c>
      <c r="J34" s="4" t="e">
        <f ca="1">[1]!BexGetData("DP_1","003N8EMH8GTFRCSWKMPXRSGPQ","GSON1111300022")</f>
        <v>#NAME?</v>
      </c>
      <c r="K34" s="8" t="e">
        <f ca="1">[1]!BexGetData("DP_1","003N8EMH8GTFRIVNUPY288VJH","GSON1111300022")</f>
        <v>#NAME?</v>
      </c>
      <c r="L34" s="8" t="e">
        <f ca="1">[1]!BexGetData("DP_1","003N8EMH8GTFRIVNUPY2891V1","GSON1111300022")</f>
        <v>#NAME?</v>
      </c>
      <c r="M34" s="8" t="e">
        <f ca="1">[1]!BexGetData("DP_1","003N8EMH8GTFRIVOG7KG9IQXA","GSON1111300022")</f>
        <v>#NAME?</v>
      </c>
      <c r="N34" s="8" t="e">
        <f ca="1">[1]!BexGetData("DP_1","003N8EMH8GTFRIVOG7KG9IX8U","GSON1111300022")</f>
        <v>#NAME?</v>
      </c>
      <c r="O34" s="8" t="e">
        <f ca="1">[1]!BexGetData("DP_1","003N8EMH8GTFRIVOG7KG9J3KE","GSON1111300022")</f>
        <v>#NAME?</v>
      </c>
      <c r="P34" s="8" t="e">
        <f ca="1">[1]!BexGetData("DP_1","003N8EMH8GTFRIVOG7KG9J9VY","GSON1111300022")</f>
        <v>#NAME?</v>
      </c>
      <c r="Q34" s="4" t="e">
        <f ca="1">[1]!BexGetData("DP_1","00O2TNJGODT0G5Z4TTKYMM5MT","GSON1111300022")</f>
        <v>#NAME?</v>
      </c>
      <c r="R34" s="4" t="e">
        <f ca="1">[1]!BexGetData("DP_1","00O2TNJGODT0G5Z4TTKYMMBYD","GSON1111300022")</f>
        <v>#NAME?</v>
      </c>
      <c r="S34" s="4" t="e">
        <f ca="1">[1]!BexGetData("DP_1","00O2TNJGODT0G5Z4TTKYMMI9X","GSON1111300022")</f>
        <v>#NAME?</v>
      </c>
      <c r="T34" s="4" t="e">
        <f ca="1">[1]!BexGetData("DP_1","00O2TNJGODT0G5Z4TTKYMMOLH","GSON1111300022")</f>
        <v>#NAME?</v>
      </c>
      <c r="U34" s="4" t="e">
        <f ca="1">[1]!BexGetData("DP_1","00O2TNJGODT0G5Z4TTKYMMUX1","GSON1111300022")</f>
        <v>#NAME?</v>
      </c>
      <c r="V34" s="4" t="e">
        <f ca="1">[1]!BexGetData("DP_1","00O2TNJGODT0G5Z4TTKYMN18L","GSON1111300022")</f>
        <v>#NAME?</v>
      </c>
      <c r="W34" s="4" t="e">
        <f ca="1">[1]!BexGetData("DP_1","00O2TNJGODT0G5Z4TTKYMN7K5","GSON1111300022")</f>
        <v>#NAME?</v>
      </c>
    </row>
    <row r="35" spans="1:23" x14ac:dyDescent="0.2">
      <c r="A35" s="16" t="s">
        <v>1774</v>
      </c>
      <c r="B35" s="7" t="s">
        <v>1775</v>
      </c>
      <c r="C35" s="3" t="e">
        <f ca="1">[1]!BexGetData("DP_1","003N8EMH8GTFRCSWKMPXRR8GU","GSON1111300024")</f>
        <v>#NAME?</v>
      </c>
      <c r="D35" s="3" t="e">
        <f ca="1">[1]!BexGetData("DP_1","003N8EMH8GTFRCSWKMPXRRESE","GSON1111300024")</f>
        <v>#NAME?</v>
      </c>
      <c r="E35" s="8" t="e">
        <f ca="1">[1]!BexGetData("DP_1","003N8EMH8GTFRCSWKMPXRRL3Y","GSON1111300024")</f>
        <v>#NAME?</v>
      </c>
      <c r="F35" s="4" t="e">
        <f ca="1">[1]!BexGetData("DP_1","003N8EMH8GTFRCSWKMPXRRRFI","GSON1111300024")</f>
        <v>#NAME?</v>
      </c>
      <c r="G35" s="4" t="e">
        <f ca="1">[1]!BexGetData("DP_1","003N8EMH8GTFRCSWKMPXRRXR2","GSON1111300024")</f>
        <v>#NAME?</v>
      </c>
      <c r="H35" s="4" t="e">
        <f ca="1">[1]!BexGetData("DP_1","003N8EMH8GTFRCSWKMPXRS42M","GSON1111300024")</f>
        <v>#NAME?</v>
      </c>
      <c r="I35" s="4" t="e">
        <f ca="1">[1]!BexGetData("DP_1","003N8EMH8GTFRCSWKMPXRSAE6","GSON1111300024")</f>
        <v>#NAME?</v>
      </c>
      <c r="J35" s="4" t="e">
        <f ca="1">[1]!BexGetData("DP_1","003N8EMH8GTFRCSWKMPXRSGPQ","GSON1111300024")</f>
        <v>#NAME?</v>
      </c>
      <c r="K35" s="8" t="e">
        <f ca="1">[1]!BexGetData("DP_1","003N8EMH8GTFRIVNUPY288VJH","GSON1111300024")</f>
        <v>#NAME?</v>
      </c>
      <c r="L35" s="8" t="e">
        <f ca="1">[1]!BexGetData("DP_1","003N8EMH8GTFRIVNUPY2891V1","GSON1111300024")</f>
        <v>#NAME?</v>
      </c>
      <c r="M35" s="8" t="e">
        <f ca="1">[1]!BexGetData("DP_1","003N8EMH8GTFRIVOG7KG9IQXA","GSON1111300024")</f>
        <v>#NAME?</v>
      </c>
      <c r="N35" s="8" t="e">
        <f ca="1">[1]!BexGetData("DP_1","003N8EMH8GTFRIVOG7KG9IX8U","GSON1111300024")</f>
        <v>#NAME?</v>
      </c>
      <c r="O35" s="8" t="e">
        <f ca="1">[1]!BexGetData("DP_1","003N8EMH8GTFRIVOG7KG9J3KE","GSON1111300024")</f>
        <v>#NAME?</v>
      </c>
      <c r="P35" s="8" t="e">
        <f ca="1">[1]!BexGetData("DP_1","003N8EMH8GTFRIVOG7KG9J9VY","GSON1111300024")</f>
        <v>#NAME?</v>
      </c>
      <c r="Q35" s="4" t="e">
        <f ca="1">[1]!BexGetData("DP_1","00O2TNJGODT0G5Z4TTKYMM5MT","GSON1111300024")</f>
        <v>#NAME?</v>
      </c>
      <c r="R35" s="4" t="e">
        <f ca="1">[1]!BexGetData("DP_1","00O2TNJGODT0G5Z4TTKYMMBYD","GSON1111300024")</f>
        <v>#NAME?</v>
      </c>
      <c r="S35" s="4" t="e">
        <f ca="1">[1]!BexGetData("DP_1","00O2TNJGODT0G5Z4TTKYMMI9X","GSON1111300024")</f>
        <v>#NAME?</v>
      </c>
      <c r="T35" s="4" t="e">
        <f ca="1">[1]!BexGetData("DP_1","00O2TNJGODT0G5Z4TTKYMMOLH","GSON1111300024")</f>
        <v>#NAME?</v>
      </c>
      <c r="U35" s="4" t="e">
        <f ca="1">[1]!BexGetData("DP_1","00O2TNJGODT0G5Z4TTKYMMUX1","GSON1111300024")</f>
        <v>#NAME?</v>
      </c>
      <c r="V35" s="4" t="e">
        <f ca="1">[1]!BexGetData("DP_1","00O2TNJGODT0G5Z4TTKYMN18L","GSON1111300024")</f>
        <v>#NAME?</v>
      </c>
      <c r="W35" s="4" t="e">
        <f ca="1">[1]!BexGetData("DP_1","00O2TNJGODT0G5Z4TTKYMN7K5","GSON1111300024")</f>
        <v>#NAME?</v>
      </c>
    </row>
    <row r="36" spans="1:23" x14ac:dyDescent="0.2">
      <c r="A36" s="16" t="s">
        <v>1776</v>
      </c>
      <c r="B36" s="7" t="s">
        <v>1777</v>
      </c>
      <c r="C36" s="3" t="e">
        <f ca="1">[1]!BexGetData("DP_1","003N8EMH8GTFRCSWKMPXRR8GU","GSON1111300025")</f>
        <v>#NAME?</v>
      </c>
      <c r="D36" s="3" t="e">
        <f ca="1">[1]!BexGetData("DP_1","003N8EMH8GTFRCSWKMPXRRESE","GSON1111300025")</f>
        <v>#NAME?</v>
      </c>
      <c r="E36" s="8" t="e">
        <f ca="1">[1]!BexGetData("DP_1","003N8EMH8GTFRCSWKMPXRRL3Y","GSON1111300025")</f>
        <v>#NAME?</v>
      </c>
      <c r="F36" s="4" t="e">
        <f ca="1">[1]!BexGetData("DP_1","003N8EMH8GTFRCSWKMPXRRRFI","GSON1111300025")</f>
        <v>#NAME?</v>
      </c>
      <c r="G36" s="4" t="e">
        <f ca="1">[1]!BexGetData("DP_1","003N8EMH8GTFRCSWKMPXRRXR2","GSON1111300025")</f>
        <v>#NAME?</v>
      </c>
      <c r="H36" s="4" t="e">
        <f ca="1">[1]!BexGetData("DP_1","003N8EMH8GTFRCSWKMPXRS42M","GSON1111300025")</f>
        <v>#NAME?</v>
      </c>
      <c r="I36" s="4" t="e">
        <f ca="1">[1]!BexGetData("DP_1","003N8EMH8GTFRCSWKMPXRSAE6","GSON1111300025")</f>
        <v>#NAME?</v>
      </c>
      <c r="J36" s="4" t="e">
        <f ca="1">[1]!BexGetData("DP_1","003N8EMH8GTFRCSWKMPXRSGPQ","GSON1111300025")</f>
        <v>#NAME?</v>
      </c>
      <c r="K36" s="8" t="e">
        <f ca="1">[1]!BexGetData("DP_1","003N8EMH8GTFRIVNUPY288VJH","GSON1111300025")</f>
        <v>#NAME?</v>
      </c>
      <c r="L36" s="8" t="e">
        <f ca="1">[1]!BexGetData("DP_1","003N8EMH8GTFRIVNUPY2891V1","GSON1111300025")</f>
        <v>#NAME?</v>
      </c>
      <c r="M36" s="8" t="e">
        <f ca="1">[1]!BexGetData("DP_1","003N8EMH8GTFRIVOG7KG9IQXA","GSON1111300025")</f>
        <v>#NAME?</v>
      </c>
      <c r="N36" s="8" t="e">
        <f ca="1">[1]!BexGetData("DP_1","003N8EMH8GTFRIVOG7KG9IX8U","GSON1111300025")</f>
        <v>#NAME?</v>
      </c>
      <c r="O36" s="8" t="e">
        <f ca="1">[1]!BexGetData("DP_1","003N8EMH8GTFRIVOG7KG9J3KE","GSON1111300025")</f>
        <v>#NAME?</v>
      </c>
      <c r="P36" s="8" t="e">
        <f ca="1">[1]!BexGetData("DP_1","003N8EMH8GTFRIVOG7KG9J9VY","GSON1111300025")</f>
        <v>#NAME?</v>
      </c>
      <c r="Q36" s="4" t="e">
        <f ca="1">[1]!BexGetData("DP_1","00O2TNJGODT0G5Z4TTKYMM5MT","GSON1111300025")</f>
        <v>#NAME?</v>
      </c>
      <c r="R36" s="4" t="e">
        <f ca="1">[1]!BexGetData("DP_1","00O2TNJGODT0G5Z4TTKYMMBYD","GSON1111300025")</f>
        <v>#NAME?</v>
      </c>
      <c r="S36" s="4" t="e">
        <f ca="1">[1]!BexGetData("DP_1","00O2TNJGODT0G5Z4TTKYMMI9X","GSON1111300025")</f>
        <v>#NAME?</v>
      </c>
      <c r="T36" s="4" t="e">
        <f ca="1">[1]!BexGetData("DP_1","00O2TNJGODT0G5Z4TTKYMMOLH","GSON1111300025")</f>
        <v>#NAME?</v>
      </c>
      <c r="U36" s="4" t="e">
        <f ca="1">[1]!BexGetData("DP_1","00O2TNJGODT0G5Z4TTKYMMUX1","GSON1111300025")</f>
        <v>#NAME?</v>
      </c>
      <c r="V36" s="4" t="e">
        <f ca="1">[1]!BexGetData("DP_1","00O2TNJGODT0G5Z4TTKYMN18L","GSON1111300025")</f>
        <v>#NAME?</v>
      </c>
      <c r="W36" s="4" t="e">
        <f ca="1">[1]!BexGetData("DP_1","00O2TNJGODT0G5Z4TTKYMN7K5","GSON1111300025")</f>
        <v>#NAME?</v>
      </c>
    </row>
    <row r="37" spans="1:23" x14ac:dyDescent="0.2">
      <c r="A37" s="16" t="s">
        <v>1778</v>
      </c>
      <c r="B37" s="7" t="s">
        <v>1779</v>
      </c>
      <c r="C37" s="3" t="e">
        <f ca="1">[1]!BexGetData("DP_1","003N8EMH8GTFRCSWKMPXRR8GU","GSON1111300026")</f>
        <v>#NAME?</v>
      </c>
      <c r="D37" s="3" t="e">
        <f ca="1">[1]!BexGetData("DP_1","003N8EMH8GTFRCSWKMPXRRESE","GSON1111300026")</f>
        <v>#NAME?</v>
      </c>
      <c r="E37" s="8" t="e">
        <f ca="1">[1]!BexGetData("DP_1","003N8EMH8GTFRCSWKMPXRRL3Y","GSON1111300026")</f>
        <v>#NAME?</v>
      </c>
      <c r="F37" s="4" t="e">
        <f ca="1">[1]!BexGetData("DP_1","003N8EMH8GTFRCSWKMPXRRRFI","GSON1111300026")</f>
        <v>#NAME?</v>
      </c>
      <c r="G37" s="4" t="e">
        <f ca="1">[1]!BexGetData("DP_1","003N8EMH8GTFRCSWKMPXRRXR2","GSON1111300026")</f>
        <v>#NAME?</v>
      </c>
      <c r="H37" s="4" t="e">
        <f ca="1">[1]!BexGetData("DP_1","003N8EMH8GTFRCSWKMPXRS42M","GSON1111300026")</f>
        <v>#NAME?</v>
      </c>
      <c r="I37" s="4" t="e">
        <f ca="1">[1]!BexGetData("DP_1","003N8EMH8GTFRCSWKMPXRSAE6","GSON1111300026")</f>
        <v>#NAME?</v>
      </c>
      <c r="J37" s="4" t="e">
        <f ca="1">[1]!BexGetData("DP_1","003N8EMH8GTFRCSWKMPXRSGPQ","GSON1111300026")</f>
        <v>#NAME?</v>
      </c>
      <c r="K37" s="8" t="e">
        <f ca="1">[1]!BexGetData("DP_1","003N8EMH8GTFRIVNUPY288VJH","GSON1111300026")</f>
        <v>#NAME?</v>
      </c>
      <c r="L37" s="8" t="e">
        <f ca="1">[1]!BexGetData("DP_1","003N8EMH8GTFRIVNUPY2891V1","GSON1111300026")</f>
        <v>#NAME?</v>
      </c>
      <c r="M37" s="8" t="e">
        <f ca="1">[1]!BexGetData("DP_1","003N8EMH8GTFRIVOG7KG9IQXA","GSON1111300026")</f>
        <v>#NAME?</v>
      </c>
      <c r="N37" s="8" t="e">
        <f ca="1">[1]!BexGetData("DP_1","003N8EMH8GTFRIVOG7KG9IX8U","GSON1111300026")</f>
        <v>#NAME?</v>
      </c>
      <c r="O37" s="8" t="e">
        <f ca="1">[1]!BexGetData("DP_1","003N8EMH8GTFRIVOG7KG9J3KE","GSON1111300026")</f>
        <v>#NAME?</v>
      </c>
      <c r="P37" s="8" t="e">
        <f ca="1">[1]!BexGetData("DP_1","003N8EMH8GTFRIVOG7KG9J9VY","GSON1111300026")</f>
        <v>#NAME?</v>
      </c>
      <c r="Q37" s="4" t="e">
        <f ca="1">[1]!BexGetData("DP_1","00O2TNJGODT0G5Z4TTKYMM5MT","GSON1111300026")</f>
        <v>#NAME?</v>
      </c>
      <c r="R37" s="4" t="e">
        <f ca="1">[1]!BexGetData("DP_1","00O2TNJGODT0G5Z4TTKYMMBYD","GSON1111300026")</f>
        <v>#NAME?</v>
      </c>
      <c r="S37" s="4" t="e">
        <f ca="1">[1]!BexGetData("DP_1","00O2TNJGODT0G5Z4TTKYMMI9X","GSON1111300026")</f>
        <v>#NAME?</v>
      </c>
      <c r="T37" s="4" t="e">
        <f ca="1">[1]!BexGetData("DP_1","00O2TNJGODT0G5Z4TTKYMMOLH","GSON1111300026")</f>
        <v>#NAME?</v>
      </c>
      <c r="U37" s="4" t="e">
        <f ca="1">[1]!BexGetData("DP_1","00O2TNJGODT0G5Z4TTKYMMUX1","GSON1111300026")</f>
        <v>#NAME?</v>
      </c>
      <c r="V37" s="4" t="e">
        <f ca="1">[1]!BexGetData("DP_1","00O2TNJGODT0G5Z4TTKYMN18L","GSON1111300026")</f>
        <v>#NAME?</v>
      </c>
      <c r="W37" s="4" t="e">
        <f ca="1">[1]!BexGetData("DP_1","00O2TNJGODT0G5Z4TTKYMN7K5","GSON1111300026")</f>
        <v>#NAME?</v>
      </c>
    </row>
    <row r="38" spans="1:23" x14ac:dyDescent="0.2">
      <c r="A38" s="16" t="s">
        <v>1780</v>
      </c>
      <c r="B38" s="7" t="s">
        <v>1781</v>
      </c>
      <c r="C38" s="3" t="e">
        <f ca="1">[1]!BexGetData("DP_1","003N8EMH8GTFRCSWKMPXRR8GU","GSON1111300028")</f>
        <v>#NAME?</v>
      </c>
      <c r="D38" s="3" t="e">
        <f ca="1">[1]!BexGetData("DP_1","003N8EMH8GTFRCSWKMPXRRESE","GSON1111300028")</f>
        <v>#NAME?</v>
      </c>
      <c r="E38" s="8" t="e">
        <f ca="1">[1]!BexGetData("DP_1","003N8EMH8GTFRCSWKMPXRRL3Y","GSON1111300028")</f>
        <v>#NAME?</v>
      </c>
      <c r="F38" s="4" t="e">
        <f ca="1">[1]!BexGetData("DP_1","003N8EMH8GTFRCSWKMPXRRRFI","GSON1111300028")</f>
        <v>#NAME?</v>
      </c>
      <c r="G38" s="4" t="e">
        <f ca="1">[1]!BexGetData("DP_1","003N8EMH8GTFRCSWKMPXRRXR2","GSON1111300028")</f>
        <v>#NAME?</v>
      </c>
      <c r="H38" s="4" t="e">
        <f ca="1">[1]!BexGetData("DP_1","003N8EMH8GTFRCSWKMPXRS42M","GSON1111300028")</f>
        <v>#NAME?</v>
      </c>
      <c r="I38" s="4" t="e">
        <f ca="1">[1]!BexGetData("DP_1","003N8EMH8GTFRCSWKMPXRSAE6","GSON1111300028")</f>
        <v>#NAME?</v>
      </c>
      <c r="J38" s="4" t="e">
        <f ca="1">[1]!BexGetData("DP_1","003N8EMH8GTFRCSWKMPXRSGPQ","GSON1111300028")</f>
        <v>#NAME?</v>
      </c>
      <c r="K38" s="8" t="e">
        <f ca="1">[1]!BexGetData("DP_1","003N8EMH8GTFRIVNUPY288VJH","GSON1111300028")</f>
        <v>#NAME?</v>
      </c>
      <c r="L38" s="8" t="e">
        <f ca="1">[1]!BexGetData("DP_1","003N8EMH8GTFRIVNUPY2891V1","GSON1111300028")</f>
        <v>#NAME?</v>
      </c>
      <c r="M38" s="8" t="e">
        <f ca="1">[1]!BexGetData("DP_1","003N8EMH8GTFRIVOG7KG9IQXA","GSON1111300028")</f>
        <v>#NAME?</v>
      </c>
      <c r="N38" s="8" t="e">
        <f ca="1">[1]!BexGetData("DP_1","003N8EMH8GTFRIVOG7KG9IX8U","GSON1111300028")</f>
        <v>#NAME?</v>
      </c>
      <c r="O38" s="8" t="e">
        <f ca="1">[1]!BexGetData("DP_1","003N8EMH8GTFRIVOG7KG9J3KE","GSON1111300028")</f>
        <v>#NAME?</v>
      </c>
      <c r="P38" s="8" t="e">
        <f ca="1">[1]!BexGetData("DP_1","003N8EMH8GTFRIVOG7KG9J9VY","GSON1111300028")</f>
        <v>#NAME?</v>
      </c>
      <c r="Q38" s="4" t="e">
        <f ca="1">[1]!BexGetData("DP_1","00O2TNJGODT0G5Z4TTKYMM5MT","GSON1111300028")</f>
        <v>#NAME?</v>
      </c>
      <c r="R38" s="4" t="e">
        <f ca="1">[1]!BexGetData("DP_1","00O2TNJGODT0G5Z4TTKYMMBYD","GSON1111300028")</f>
        <v>#NAME?</v>
      </c>
      <c r="S38" s="4" t="e">
        <f ca="1">[1]!BexGetData("DP_1","00O2TNJGODT0G5Z4TTKYMMI9X","GSON1111300028")</f>
        <v>#NAME?</v>
      </c>
      <c r="T38" s="4" t="e">
        <f ca="1">[1]!BexGetData("DP_1","00O2TNJGODT0G5Z4TTKYMMOLH","GSON1111300028")</f>
        <v>#NAME?</v>
      </c>
      <c r="U38" s="4" t="e">
        <f ca="1">[1]!BexGetData("DP_1","00O2TNJGODT0G5Z4TTKYMMUX1","GSON1111300028")</f>
        <v>#NAME?</v>
      </c>
      <c r="V38" s="4" t="e">
        <f ca="1">[1]!BexGetData("DP_1","00O2TNJGODT0G5Z4TTKYMN18L","GSON1111300028")</f>
        <v>#NAME?</v>
      </c>
      <c r="W38" s="4" t="e">
        <f ca="1">[1]!BexGetData("DP_1","00O2TNJGODT0G5Z4TTKYMN7K5","GSON1111300028")</f>
        <v>#NAME?</v>
      </c>
    </row>
    <row r="39" spans="1:23" x14ac:dyDescent="0.2">
      <c r="A39" s="16" t="s">
        <v>1782</v>
      </c>
      <c r="B39" s="7" t="s">
        <v>1783</v>
      </c>
      <c r="C39" s="3" t="e">
        <f ca="1">[1]!BexGetData("DP_1","003N8EMH8GTFRCSWKMPXRR8GU","GSON1111300029")</f>
        <v>#NAME?</v>
      </c>
      <c r="D39" s="3" t="e">
        <f ca="1">[1]!BexGetData("DP_1","003N8EMH8GTFRCSWKMPXRRESE","GSON1111300029")</f>
        <v>#NAME?</v>
      </c>
      <c r="E39" s="8" t="e">
        <f ca="1">[1]!BexGetData("DP_1","003N8EMH8GTFRCSWKMPXRRL3Y","GSON1111300029")</f>
        <v>#NAME?</v>
      </c>
      <c r="F39" s="4" t="e">
        <f ca="1">[1]!BexGetData("DP_1","003N8EMH8GTFRCSWKMPXRRRFI","GSON1111300029")</f>
        <v>#NAME?</v>
      </c>
      <c r="G39" s="4" t="e">
        <f ca="1">[1]!BexGetData("DP_1","003N8EMH8GTFRCSWKMPXRRXR2","GSON1111300029")</f>
        <v>#NAME?</v>
      </c>
      <c r="H39" s="4" t="e">
        <f ca="1">[1]!BexGetData("DP_1","003N8EMH8GTFRCSWKMPXRS42M","GSON1111300029")</f>
        <v>#NAME?</v>
      </c>
      <c r="I39" s="4" t="e">
        <f ca="1">[1]!BexGetData("DP_1","003N8EMH8GTFRCSWKMPXRSAE6","GSON1111300029")</f>
        <v>#NAME?</v>
      </c>
      <c r="J39" s="4" t="e">
        <f ca="1">[1]!BexGetData("DP_1","003N8EMH8GTFRCSWKMPXRSGPQ","GSON1111300029")</f>
        <v>#NAME?</v>
      </c>
      <c r="K39" s="8" t="e">
        <f ca="1">[1]!BexGetData("DP_1","003N8EMH8GTFRIVNUPY288VJH","GSON1111300029")</f>
        <v>#NAME?</v>
      </c>
      <c r="L39" s="8" t="e">
        <f ca="1">[1]!BexGetData("DP_1","003N8EMH8GTFRIVNUPY2891V1","GSON1111300029")</f>
        <v>#NAME?</v>
      </c>
      <c r="M39" s="8" t="e">
        <f ca="1">[1]!BexGetData("DP_1","003N8EMH8GTFRIVOG7KG9IQXA","GSON1111300029")</f>
        <v>#NAME?</v>
      </c>
      <c r="N39" s="8" t="e">
        <f ca="1">[1]!BexGetData("DP_1","003N8EMH8GTFRIVOG7KG9IX8U","GSON1111300029")</f>
        <v>#NAME?</v>
      </c>
      <c r="O39" s="8" t="e">
        <f ca="1">[1]!BexGetData("DP_1","003N8EMH8GTFRIVOG7KG9J3KE","GSON1111300029")</f>
        <v>#NAME?</v>
      </c>
      <c r="P39" s="8" t="e">
        <f ca="1">[1]!BexGetData("DP_1","003N8EMH8GTFRIVOG7KG9J9VY","GSON1111300029")</f>
        <v>#NAME?</v>
      </c>
      <c r="Q39" s="4" t="e">
        <f ca="1">[1]!BexGetData("DP_1","00O2TNJGODT0G5Z4TTKYMM5MT","GSON1111300029")</f>
        <v>#NAME?</v>
      </c>
      <c r="R39" s="4" t="e">
        <f ca="1">[1]!BexGetData("DP_1","00O2TNJGODT0G5Z4TTKYMMBYD","GSON1111300029")</f>
        <v>#NAME?</v>
      </c>
      <c r="S39" s="4" t="e">
        <f ca="1">[1]!BexGetData("DP_1","00O2TNJGODT0G5Z4TTKYMMI9X","GSON1111300029")</f>
        <v>#NAME?</v>
      </c>
      <c r="T39" s="4" t="e">
        <f ca="1">[1]!BexGetData("DP_1","00O2TNJGODT0G5Z4TTKYMMOLH","GSON1111300029")</f>
        <v>#NAME?</v>
      </c>
      <c r="U39" s="4" t="e">
        <f ca="1">[1]!BexGetData("DP_1","00O2TNJGODT0G5Z4TTKYMMUX1","GSON1111300029")</f>
        <v>#NAME?</v>
      </c>
      <c r="V39" s="4" t="e">
        <f ca="1">[1]!BexGetData("DP_1","00O2TNJGODT0G5Z4TTKYMN18L","GSON1111300029")</f>
        <v>#NAME?</v>
      </c>
      <c r="W39" s="4" t="e">
        <f ca="1">[1]!BexGetData("DP_1","00O2TNJGODT0G5Z4TTKYMN7K5","GSON1111300029")</f>
        <v>#NAME?</v>
      </c>
    </row>
    <row r="40" spans="1:23" x14ac:dyDescent="0.2">
      <c r="A40" s="16" t="s">
        <v>1784</v>
      </c>
      <c r="B40" s="7" t="s">
        <v>1785</v>
      </c>
      <c r="C40" s="3" t="e">
        <f ca="1">[1]!BexGetData("DP_1","003N8EMH8GTFRCSWKMPXRR8GU","GSON1111300030")</f>
        <v>#NAME?</v>
      </c>
      <c r="D40" s="3" t="e">
        <f ca="1">[1]!BexGetData("DP_1","003N8EMH8GTFRCSWKMPXRRESE","GSON1111300030")</f>
        <v>#NAME?</v>
      </c>
      <c r="E40" s="8" t="e">
        <f ca="1">[1]!BexGetData("DP_1","003N8EMH8GTFRCSWKMPXRRL3Y","GSON1111300030")</f>
        <v>#NAME?</v>
      </c>
      <c r="F40" s="4" t="e">
        <f ca="1">[1]!BexGetData("DP_1","003N8EMH8GTFRCSWKMPXRRRFI","GSON1111300030")</f>
        <v>#NAME?</v>
      </c>
      <c r="G40" s="4" t="e">
        <f ca="1">[1]!BexGetData("DP_1","003N8EMH8GTFRCSWKMPXRRXR2","GSON1111300030")</f>
        <v>#NAME?</v>
      </c>
      <c r="H40" s="4" t="e">
        <f ca="1">[1]!BexGetData("DP_1","003N8EMH8GTFRCSWKMPXRS42M","GSON1111300030")</f>
        <v>#NAME?</v>
      </c>
      <c r="I40" s="4" t="e">
        <f ca="1">[1]!BexGetData("DP_1","003N8EMH8GTFRCSWKMPXRSAE6","GSON1111300030")</f>
        <v>#NAME?</v>
      </c>
      <c r="J40" s="4" t="e">
        <f ca="1">[1]!BexGetData("DP_1","003N8EMH8GTFRCSWKMPXRSGPQ","GSON1111300030")</f>
        <v>#NAME?</v>
      </c>
      <c r="K40" s="8" t="e">
        <f ca="1">[1]!BexGetData("DP_1","003N8EMH8GTFRIVNUPY288VJH","GSON1111300030")</f>
        <v>#NAME?</v>
      </c>
      <c r="L40" s="8" t="e">
        <f ca="1">[1]!BexGetData("DP_1","003N8EMH8GTFRIVNUPY2891V1","GSON1111300030")</f>
        <v>#NAME?</v>
      </c>
      <c r="M40" s="8" t="e">
        <f ca="1">[1]!BexGetData("DP_1","003N8EMH8GTFRIVOG7KG9IQXA","GSON1111300030")</f>
        <v>#NAME?</v>
      </c>
      <c r="N40" s="8" t="e">
        <f ca="1">[1]!BexGetData("DP_1","003N8EMH8GTFRIVOG7KG9IX8U","GSON1111300030")</f>
        <v>#NAME?</v>
      </c>
      <c r="O40" s="8" t="e">
        <f ca="1">[1]!BexGetData("DP_1","003N8EMH8GTFRIVOG7KG9J3KE","GSON1111300030")</f>
        <v>#NAME?</v>
      </c>
      <c r="P40" s="8" t="e">
        <f ca="1">[1]!BexGetData("DP_1","003N8EMH8GTFRIVOG7KG9J9VY","GSON1111300030")</f>
        <v>#NAME?</v>
      </c>
      <c r="Q40" s="4" t="e">
        <f ca="1">[1]!BexGetData("DP_1","00O2TNJGODT0G5Z4TTKYMM5MT","GSON1111300030")</f>
        <v>#NAME?</v>
      </c>
      <c r="R40" s="4" t="e">
        <f ca="1">[1]!BexGetData("DP_1","00O2TNJGODT0G5Z4TTKYMMBYD","GSON1111300030")</f>
        <v>#NAME?</v>
      </c>
      <c r="S40" s="4" t="e">
        <f ca="1">[1]!BexGetData("DP_1","00O2TNJGODT0G5Z4TTKYMMI9X","GSON1111300030")</f>
        <v>#NAME?</v>
      </c>
      <c r="T40" s="4" t="e">
        <f ca="1">[1]!BexGetData("DP_1","00O2TNJGODT0G5Z4TTKYMMOLH","GSON1111300030")</f>
        <v>#NAME?</v>
      </c>
      <c r="U40" s="4" t="e">
        <f ca="1">[1]!BexGetData("DP_1","00O2TNJGODT0G5Z4TTKYMMUX1","GSON1111300030")</f>
        <v>#NAME?</v>
      </c>
      <c r="V40" s="4" t="e">
        <f ca="1">[1]!BexGetData("DP_1","00O2TNJGODT0G5Z4TTKYMN18L","GSON1111300030")</f>
        <v>#NAME?</v>
      </c>
      <c r="W40" s="4" t="e">
        <f ca="1">[1]!BexGetData("DP_1","00O2TNJGODT0G5Z4TTKYMN7K5","GSON1111300030")</f>
        <v>#NAME?</v>
      </c>
    </row>
    <row r="41" spans="1:23" x14ac:dyDescent="0.2">
      <c r="A41" s="16" t="s">
        <v>1786</v>
      </c>
      <c r="B41" s="7" t="s">
        <v>1787</v>
      </c>
      <c r="C41" s="3" t="e">
        <f ca="1">[1]!BexGetData("DP_1","003N8EMH8GTFRCSWKMPXRR8GU","GSON1111300031")</f>
        <v>#NAME?</v>
      </c>
      <c r="D41" s="3" t="e">
        <f ca="1">[1]!BexGetData("DP_1","003N8EMH8GTFRCSWKMPXRRESE","GSON1111300031")</f>
        <v>#NAME?</v>
      </c>
      <c r="E41" s="8" t="e">
        <f ca="1">[1]!BexGetData("DP_1","003N8EMH8GTFRCSWKMPXRRL3Y","GSON1111300031")</f>
        <v>#NAME?</v>
      </c>
      <c r="F41" s="4" t="e">
        <f ca="1">[1]!BexGetData("DP_1","003N8EMH8GTFRCSWKMPXRRRFI","GSON1111300031")</f>
        <v>#NAME?</v>
      </c>
      <c r="G41" s="4" t="e">
        <f ca="1">[1]!BexGetData("DP_1","003N8EMH8GTFRCSWKMPXRRXR2","GSON1111300031")</f>
        <v>#NAME?</v>
      </c>
      <c r="H41" s="4" t="e">
        <f ca="1">[1]!BexGetData("DP_1","003N8EMH8GTFRCSWKMPXRS42M","GSON1111300031")</f>
        <v>#NAME?</v>
      </c>
      <c r="I41" s="4" t="e">
        <f ca="1">[1]!BexGetData("DP_1","003N8EMH8GTFRCSWKMPXRSAE6","GSON1111300031")</f>
        <v>#NAME?</v>
      </c>
      <c r="J41" s="4" t="e">
        <f ca="1">[1]!BexGetData("DP_1","003N8EMH8GTFRCSWKMPXRSGPQ","GSON1111300031")</f>
        <v>#NAME?</v>
      </c>
      <c r="K41" s="8" t="e">
        <f ca="1">[1]!BexGetData("DP_1","003N8EMH8GTFRIVNUPY288VJH","GSON1111300031")</f>
        <v>#NAME?</v>
      </c>
      <c r="L41" s="8" t="e">
        <f ca="1">[1]!BexGetData("DP_1","003N8EMH8GTFRIVNUPY2891V1","GSON1111300031")</f>
        <v>#NAME?</v>
      </c>
      <c r="M41" s="8" t="e">
        <f ca="1">[1]!BexGetData("DP_1","003N8EMH8GTFRIVOG7KG9IQXA","GSON1111300031")</f>
        <v>#NAME?</v>
      </c>
      <c r="N41" s="8" t="e">
        <f ca="1">[1]!BexGetData("DP_1","003N8EMH8GTFRIVOG7KG9IX8U","GSON1111300031")</f>
        <v>#NAME?</v>
      </c>
      <c r="O41" s="8" t="e">
        <f ca="1">[1]!BexGetData("DP_1","003N8EMH8GTFRIVOG7KG9J3KE","GSON1111300031")</f>
        <v>#NAME?</v>
      </c>
      <c r="P41" s="8" t="e">
        <f ca="1">[1]!BexGetData("DP_1","003N8EMH8GTFRIVOG7KG9J9VY","GSON1111300031")</f>
        <v>#NAME?</v>
      </c>
      <c r="Q41" s="4" t="e">
        <f ca="1">[1]!BexGetData("DP_1","00O2TNJGODT0G5Z4TTKYMM5MT","GSON1111300031")</f>
        <v>#NAME?</v>
      </c>
      <c r="R41" s="4" t="e">
        <f ca="1">[1]!BexGetData("DP_1","00O2TNJGODT0G5Z4TTKYMMBYD","GSON1111300031")</f>
        <v>#NAME?</v>
      </c>
      <c r="S41" s="4" t="e">
        <f ca="1">[1]!BexGetData("DP_1","00O2TNJGODT0G5Z4TTKYMMI9X","GSON1111300031")</f>
        <v>#NAME?</v>
      </c>
      <c r="T41" s="4" t="e">
        <f ca="1">[1]!BexGetData("DP_1","00O2TNJGODT0G5Z4TTKYMMOLH","GSON1111300031")</f>
        <v>#NAME?</v>
      </c>
      <c r="U41" s="4" t="e">
        <f ca="1">[1]!BexGetData("DP_1","00O2TNJGODT0G5Z4TTKYMMUX1","GSON1111300031")</f>
        <v>#NAME?</v>
      </c>
      <c r="V41" s="4" t="e">
        <f ca="1">[1]!BexGetData("DP_1","00O2TNJGODT0G5Z4TTKYMN18L","GSON1111300031")</f>
        <v>#NAME?</v>
      </c>
      <c r="W41" s="4" t="e">
        <f ca="1">[1]!BexGetData("DP_1","00O2TNJGODT0G5Z4TTKYMN7K5","GSON1111300031")</f>
        <v>#NAME?</v>
      </c>
    </row>
    <row r="42" spans="1:23" x14ac:dyDescent="0.2">
      <c r="A42" s="16" t="s">
        <v>1788</v>
      </c>
      <c r="B42" s="7" t="s">
        <v>1789</v>
      </c>
      <c r="C42" s="3" t="e">
        <f ca="1">[1]!BexGetData("DP_1","003N8EMH8GTFRCSWKMPXRR8GU","GSON1111300032")</f>
        <v>#NAME?</v>
      </c>
      <c r="D42" s="3" t="e">
        <f ca="1">[1]!BexGetData("DP_1","003N8EMH8GTFRCSWKMPXRRESE","GSON1111300032")</f>
        <v>#NAME?</v>
      </c>
      <c r="E42" s="8" t="e">
        <f ca="1">[1]!BexGetData("DP_1","003N8EMH8GTFRCSWKMPXRRL3Y","GSON1111300032")</f>
        <v>#NAME?</v>
      </c>
      <c r="F42" s="4" t="e">
        <f ca="1">[1]!BexGetData("DP_1","003N8EMH8GTFRCSWKMPXRRRFI","GSON1111300032")</f>
        <v>#NAME?</v>
      </c>
      <c r="G42" s="4" t="e">
        <f ca="1">[1]!BexGetData("DP_1","003N8EMH8GTFRCSWKMPXRRXR2","GSON1111300032")</f>
        <v>#NAME?</v>
      </c>
      <c r="H42" s="4" t="e">
        <f ca="1">[1]!BexGetData("DP_1","003N8EMH8GTFRCSWKMPXRS42M","GSON1111300032")</f>
        <v>#NAME?</v>
      </c>
      <c r="I42" s="4" t="e">
        <f ca="1">[1]!BexGetData("DP_1","003N8EMH8GTFRCSWKMPXRSAE6","GSON1111300032")</f>
        <v>#NAME?</v>
      </c>
      <c r="J42" s="4" t="e">
        <f ca="1">[1]!BexGetData("DP_1","003N8EMH8GTFRCSWKMPXRSGPQ","GSON1111300032")</f>
        <v>#NAME?</v>
      </c>
      <c r="K42" s="8" t="e">
        <f ca="1">[1]!BexGetData("DP_1","003N8EMH8GTFRIVNUPY288VJH","GSON1111300032")</f>
        <v>#NAME?</v>
      </c>
      <c r="L42" s="8" t="e">
        <f ca="1">[1]!BexGetData("DP_1","003N8EMH8GTFRIVNUPY2891V1","GSON1111300032")</f>
        <v>#NAME?</v>
      </c>
      <c r="M42" s="8" t="e">
        <f ca="1">[1]!BexGetData("DP_1","003N8EMH8GTFRIVOG7KG9IQXA","GSON1111300032")</f>
        <v>#NAME?</v>
      </c>
      <c r="N42" s="8" t="e">
        <f ca="1">[1]!BexGetData("DP_1","003N8EMH8GTFRIVOG7KG9IX8U","GSON1111300032")</f>
        <v>#NAME?</v>
      </c>
      <c r="O42" s="8" t="e">
        <f ca="1">[1]!BexGetData("DP_1","003N8EMH8GTFRIVOG7KG9J3KE","GSON1111300032")</f>
        <v>#NAME?</v>
      </c>
      <c r="P42" s="8" t="e">
        <f ca="1">[1]!BexGetData("DP_1","003N8EMH8GTFRIVOG7KG9J9VY","GSON1111300032")</f>
        <v>#NAME?</v>
      </c>
      <c r="Q42" s="4" t="e">
        <f ca="1">[1]!BexGetData("DP_1","00O2TNJGODT0G5Z4TTKYMM5MT","GSON1111300032")</f>
        <v>#NAME?</v>
      </c>
      <c r="R42" s="4" t="e">
        <f ca="1">[1]!BexGetData("DP_1","00O2TNJGODT0G5Z4TTKYMMBYD","GSON1111300032")</f>
        <v>#NAME?</v>
      </c>
      <c r="S42" s="4" t="e">
        <f ca="1">[1]!BexGetData("DP_1","00O2TNJGODT0G5Z4TTKYMMI9X","GSON1111300032")</f>
        <v>#NAME?</v>
      </c>
      <c r="T42" s="4" t="e">
        <f ca="1">[1]!BexGetData("DP_1","00O2TNJGODT0G5Z4TTKYMMOLH","GSON1111300032")</f>
        <v>#NAME?</v>
      </c>
      <c r="U42" s="4" t="e">
        <f ca="1">[1]!BexGetData("DP_1","00O2TNJGODT0G5Z4TTKYMMUX1","GSON1111300032")</f>
        <v>#NAME?</v>
      </c>
      <c r="V42" s="4" t="e">
        <f ca="1">[1]!BexGetData("DP_1","00O2TNJGODT0G5Z4TTKYMN18L","GSON1111300032")</f>
        <v>#NAME?</v>
      </c>
      <c r="W42" s="4" t="e">
        <f ca="1">[1]!BexGetData("DP_1","00O2TNJGODT0G5Z4TTKYMN7K5","GSON1111300032")</f>
        <v>#NAME?</v>
      </c>
    </row>
    <row r="43" spans="1:23" x14ac:dyDescent="0.2">
      <c r="A43" s="16" t="s">
        <v>1790</v>
      </c>
      <c r="B43" s="7" t="s">
        <v>1791</v>
      </c>
      <c r="C43" s="3" t="e">
        <f ca="1">[1]!BexGetData("DP_1","003N8EMH8GTFRCSWKMPXRR8GU","GSON1111300033")</f>
        <v>#NAME?</v>
      </c>
      <c r="D43" s="3" t="e">
        <f ca="1">[1]!BexGetData("DP_1","003N8EMH8GTFRCSWKMPXRRESE","GSON1111300033")</f>
        <v>#NAME?</v>
      </c>
      <c r="E43" s="8" t="e">
        <f ca="1">[1]!BexGetData("DP_1","003N8EMH8GTFRCSWKMPXRRL3Y","GSON1111300033")</f>
        <v>#NAME?</v>
      </c>
      <c r="F43" s="4" t="e">
        <f ca="1">[1]!BexGetData("DP_1","003N8EMH8GTFRCSWKMPXRRRFI","GSON1111300033")</f>
        <v>#NAME?</v>
      </c>
      <c r="G43" s="4" t="e">
        <f ca="1">[1]!BexGetData("DP_1","003N8EMH8GTFRCSWKMPXRRXR2","GSON1111300033")</f>
        <v>#NAME?</v>
      </c>
      <c r="H43" s="4" t="e">
        <f ca="1">[1]!BexGetData("DP_1","003N8EMH8GTFRCSWKMPXRS42M","GSON1111300033")</f>
        <v>#NAME?</v>
      </c>
      <c r="I43" s="4" t="e">
        <f ca="1">[1]!BexGetData("DP_1","003N8EMH8GTFRCSWKMPXRSAE6","GSON1111300033")</f>
        <v>#NAME?</v>
      </c>
      <c r="J43" s="4" t="e">
        <f ca="1">[1]!BexGetData("DP_1","003N8EMH8GTFRCSWKMPXRSGPQ","GSON1111300033")</f>
        <v>#NAME?</v>
      </c>
      <c r="K43" s="8" t="e">
        <f ca="1">[1]!BexGetData("DP_1","003N8EMH8GTFRIVNUPY288VJH","GSON1111300033")</f>
        <v>#NAME?</v>
      </c>
      <c r="L43" s="8" t="e">
        <f ca="1">[1]!BexGetData("DP_1","003N8EMH8GTFRIVNUPY2891V1","GSON1111300033")</f>
        <v>#NAME?</v>
      </c>
      <c r="M43" s="8" t="e">
        <f ca="1">[1]!BexGetData("DP_1","003N8EMH8GTFRIVOG7KG9IQXA","GSON1111300033")</f>
        <v>#NAME?</v>
      </c>
      <c r="N43" s="8" t="e">
        <f ca="1">[1]!BexGetData("DP_1","003N8EMH8GTFRIVOG7KG9IX8U","GSON1111300033")</f>
        <v>#NAME?</v>
      </c>
      <c r="O43" s="8" t="e">
        <f ca="1">[1]!BexGetData("DP_1","003N8EMH8GTFRIVOG7KG9J3KE","GSON1111300033")</f>
        <v>#NAME?</v>
      </c>
      <c r="P43" s="8" t="e">
        <f ca="1">[1]!BexGetData("DP_1","003N8EMH8GTFRIVOG7KG9J9VY","GSON1111300033")</f>
        <v>#NAME?</v>
      </c>
      <c r="Q43" s="4" t="e">
        <f ca="1">[1]!BexGetData("DP_1","00O2TNJGODT0G5Z4TTKYMM5MT","GSON1111300033")</f>
        <v>#NAME?</v>
      </c>
      <c r="R43" s="4" t="e">
        <f ca="1">[1]!BexGetData("DP_1","00O2TNJGODT0G5Z4TTKYMMBYD","GSON1111300033")</f>
        <v>#NAME?</v>
      </c>
      <c r="S43" s="4" t="e">
        <f ca="1">[1]!BexGetData("DP_1","00O2TNJGODT0G5Z4TTKYMMI9X","GSON1111300033")</f>
        <v>#NAME?</v>
      </c>
      <c r="T43" s="4" t="e">
        <f ca="1">[1]!BexGetData("DP_1","00O2TNJGODT0G5Z4TTKYMMOLH","GSON1111300033")</f>
        <v>#NAME?</v>
      </c>
      <c r="U43" s="4" t="e">
        <f ca="1">[1]!BexGetData("DP_1","00O2TNJGODT0G5Z4TTKYMMUX1","GSON1111300033")</f>
        <v>#NAME?</v>
      </c>
      <c r="V43" s="4" t="e">
        <f ca="1">[1]!BexGetData("DP_1","00O2TNJGODT0G5Z4TTKYMN18L","GSON1111300033")</f>
        <v>#NAME?</v>
      </c>
      <c r="W43" s="4" t="e">
        <f ca="1">[1]!BexGetData("DP_1","00O2TNJGODT0G5Z4TTKYMN7K5","GSON1111300033")</f>
        <v>#NAME?</v>
      </c>
    </row>
    <row r="44" spans="1:23" x14ac:dyDescent="0.2">
      <c r="A44" s="16" t="s">
        <v>1792</v>
      </c>
      <c r="B44" s="7" t="s">
        <v>1793</v>
      </c>
      <c r="C44" s="3" t="e">
        <f ca="1">[1]!BexGetData("DP_1","003N8EMH8GTFRCSWKMPXRR8GU","GSON1111300034")</f>
        <v>#NAME?</v>
      </c>
      <c r="D44" s="3" t="e">
        <f ca="1">[1]!BexGetData("DP_1","003N8EMH8GTFRCSWKMPXRRESE","GSON1111300034")</f>
        <v>#NAME?</v>
      </c>
      <c r="E44" s="8" t="e">
        <f ca="1">[1]!BexGetData("DP_1","003N8EMH8GTFRCSWKMPXRRL3Y","GSON1111300034")</f>
        <v>#NAME?</v>
      </c>
      <c r="F44" s="4" t="e">
        <f ca="1">[1]!BexGetData("DP_1","003N8EMH8GTFRCSWKMPXRRRFI","GSON1111300034")</f>
        <v>#NAME?</v>
      </c>
      <c r="G44" s="4" t="e">
        <f ca="1">[1]!BexGetData("DP_1","003N8EMH8GTFRCSWKMPXRRXR2","GSON1111300034")</f>
        <v>#NAME?</v>
      </c>
      <c r="H44" s="4" t="e">
        <f ca="1">[1]!BexGetData("DP_1","003N8EMH8GTFRCSWKMPXRS42M","GSON1111300034")</f>
        <v>#NAME?</v>
      </c>
      <c r="I44" s="4" t="e">
        <f ca="1">[1]!BexGetData("DP_1","003N8EMH8GTFRCSWKMPXRSAE6","GSON1111300034")</f>
        <v>#NAME?</v>
      </c>
      <c r="J44" s="4" t="e">
        <f ca="1">[1]!BexGetData("DP_1","003N8EMH8GTFRCSWKMPXRSGPQ","GSON1111300034")</f>
        <v>#NAME?</v>
      </c>
      <c r="K44" s="8" t="e">
        <f ca="1">[1]!BexGetData("DP_1","003N8EMH8GTFRIVNUPY288VJH","GSON1111300034")</f>
        <v>#NAME?</v>
      </c>
      <c r="L44" s="8" t="e">
        <f ca="1">[1]!BexGetData("DP_1","003N8EMH8GTFRIVNUPY2891V1","GSON1111300034")</f>
        <v>#NAME?</v>
      </c>
      <c r="M44" s="8" t="e">
        <f ca="1">[1]!BexGetData("DP_1","003N8EMH8GTFRIVOG7KG9IQXA","GSON1111300034")</f>
        <v>#NAME?</v>
      </c>
      <c r="N44" s="8" t="e">
        <f ca="1">[1]!BexGetData("DP_1","003N8EMH8GTFRIVOG7KG9IX8U","GSON1111300034")</f>
        <v>#NAME?</v>
      </c>
      <c r="O44" s="8" t="e">
        <f ca="1">[1]!BexGetData("DP_1","003N8EMH8GTFRIVOG7KG9J3KE","GSON1111300034")</f>
        <v>#NAME?</v>
      </c>
      <c r="P44" s="8" t="e">
        <f ca="1">[1]!BexGetData("DP_1","003N8EMH8GTFRIVOG7KG9J9VY","GSON1111300034")</f>
        <v>#NAME?</v>
      </c>
      <c r="Q44" s="4" t="e">
        <f ca="1">[1]!BexGetData("DP_1","00O2TNJGODT0G5Z4TTKYMM5MT","GSON1111300034")</f>
        <v>#NAME?</v>
      </c>
      <c r="R44" s="4" t="e">
        <f ca="1">[1]!BexGetData("DP_1","00O2TNJGODT0G5Z4TTKYMMBYD","GSON1111300034")</f>
        <v>#NAME?</v>
      </c>
      <c r="S44" s="4" t="e">
        <f ca="1">[1]!BexGetData("DP_1","00O2TNJGODT0G5Z4TTKYMMI9X","GSON1111300034")</f>
        <v>#NAME?</v>
      </c>
      <c r="T44" s="4" t="e">
        <f ca="1">[1]!BexGetData("DP_1","00O2TNJGODT0G5Z4TTKYMMOLH","GSON1111300034")</f>
        <v>#NAME?</v>
      </c>
      <c r="U44" s="4" t="e">
        <f ca="1">[1]!BexGetData("DP_1","00O2TNJGODT0G5Z4TTKYMMUX1","GSON1111300034")</f>
        <v>#NAME?</v>
      </c>
      <c r="V44" s="4" t="e">
        <f ca="1">[1]!BexGetData("DP_1","00O2TNJGODT0G5Z4TTKYMN18L","GSON1111300034")</f>
        <v>#NAME?</v>
      </c>
      <c r="W44" s="4" t="e">
        <f ca="1">[1]!BexGetData("DP_1","00O2TNJGODT0G5Z4TTKYMN7K5","GSON1111300034")</f>
        <v>#NAME?</v>
      </c>
    </row>
    <row r="45" spans="1:23" x14ac:dyDescent="0.2">
      <c r="A45" s="16" t="s">
        <v>1794</v>
      </c>
      <c r="B45" s="7" t="s">
        <v>1795</v>
      </c>
      <c r="C45" s="3" t="e">
        <f ca="1">[1]!BexGetData("DP_1","003N8EMH8GTFRCSWKMPXRR8GU","GSON1111300035")</f>
        <v>#NAME?</v>
      </c>
      <c r="D45" s="3" t="e">
        <f ca="1">[1]!BexGetData("DP_1","003N8EMH8GTFRCSWKMPXRRESE","GSON1111300035")</f>
        <v>#NAME?</v>
      </c>
      <c r="E45" s="8" t="e">
        <f ca="1">[1]!BexGetData("DP_1","003N8EMH8GTFRCSWKMPXRRL3Y","GSON1111300035")</f>
        <v>#NAME?</v>
      </c>
      <c r="F45" s="4" t="e">
        <f ca="1">[1]!BexGetData("DP_1","003N8EMH8GTFRCSWKMPXRRRFI","GSON1111300035")</f>
        <v>#NAME?</v>
      </c>
      <c r="G45" s="4" t="e">
        <f ca="1">[1]!BexGetData("DP_1","003N8EMH8GTFRCSWKMPXRRXR2","GSON1111300035")</f>
        <v>#NAME?</v>
      </c>
      <c r="H45" s="4" t="e">
        <f ca="1">[1]!BexGetData("DP_1","003N8EMH8GTFRCSWKMPXRS42M","GSON1111300035")</f>
        <v>#NAME?</v>
      </c>
      <c r="I45" s="4" t="e">
        <f ca="1">[1]!BexGetData("DP_1","003N8EMH8GTFRCSWKMPXRSAE6","GSON1111300035")</f>
        <v>#NAME?</v>
      </c>
      <c r="J45" s="4" t="e">
        <f ca="1">[1]!BexGetData("DP_1","003N8EMH8GTFRCSWKMPXRSGPQ","GSON1111300035")</f>
        <v>#NAME?</v>
      </c>
      <c r="K45" s="8" t="e">
        <f ca="1">[1]!BexGetData("DP_1","003N8EMH8GTFRIVNUPY288VJH","GSON1111300035")</f>
        <v>#NAME?</v>
      </c>
      <c r="L45" s="8" t="e">
        <f ca="1">[1]!BexGetData("DP_1","003N8EMH8GTFRIVNUPY2891V1","GSON1111300035")</f>
        <v>#NAME?</v>
      </c>
      <c r="M45" s="8" t="e">
        <f ca="1">[1]!BexGetData("DP_1","003N8EMH8GTFRIVOG7KG9IQXA","GSON1111300035")</f>
        <v>#NAME?</v>
      </c>
      <c r="N45" s="8" t="e">
        <f ca="1">[1]!BexGetData("DP_1","003N8EMH8GTFRIVOG7KG9IX8U","GSON1111300035")</f>
        <v>#NAME?</v>
      </c>
      <c r="O45" s="8" t="e">
        <f ca="1">[1]!BexGetData("DP_1","003N8EMH8GTFRIVOG7KG9J3KE","GSON1111300035")</f>
        <v>#NAME?</v>
      </c>
      <c r="P45" s="8" t="e">
        <f ca="1">[1]!BexGetData("DP_1","003N8EMH8GTFRIVOG7KG9J9VY","GSON1111300035")</f>
        <v>#NAME?</v>
      </c>
      <c r="Q45" s="4" t="e">
        <f ca="1">[1]!BexGetData("DP_1","00O2TNJGODT0G5Z4TTKYMM5MT","GSON1111300035")</f>
        <v>#NAME?</v>
      </c>
      <c r="R45" s="4" t="e">
        <f ca="1">[1]!BexGetData("DP_1","00O2TNJGODT0G5Z4TTKYMMBYD","GSON1111300035")</f>
        <v>#NAME?</v>
      </c>
      <c r="S45" s="4" t="e">
        <f ca="1">[1]!BexGetData("DP_1","00O2TNJGODT0G5Z4TTKYMMI9X","GSON1111300035")</f>
        <v>#NAME?</v>
      </c>
      <c r="T45" s="4" t="e">
        <f ca="1">[1]!BexGetData("DP_1","00O2TNJGODT0G5Z4TTKYMMOLH","GSON1111300035")</f>
        <v>#NAME?</v>
      </c>
      <c r="U45" s="4" t="e">
        <f ca="1">[1]!BexGetData("DP_1","00O2TNJGODT0G5Z4TTKYMMUX1","GSON1111300035")</f>
        <v>#NAME?</v>
      </c>
      <c r="V45" s="4" t="e">
        <f ca="1">[1]!BexGetData("DP_1","00O2TNJGODT0G5Z4TTKYMN18L","GSON1111300035")</f>
        <v>#NAME?</v>
      </c>
      <c r="W45" s="4" t="e">
        <f ca="1">[1]!BexGetData("DP_1","00O2TNJGODT0G5Z4TTKYMN7K5","GSON1111300035")</f>
        <v>#NAME?</v>
      </c>
    </row>
    <row r="46" spans="1:23" x14ac:dyDescent="0.2">
      <c r="A46" s="16" t="s">
        <v>1796</v>
      </c>
      <c r="B46" s="7" t="s">
        <v>1797</v>
      </c>
      <c r="C46" s="3" t="e">
        <f ca="1">[1]!BexGetData("DP_1","003N8EMH8GTFRCSWKMPXRR8GU","GSON1111300036")</f>
        <v>#NAME?</v>
      </c>
      <c r="D46" s="3" t="e">
        <f ca="1">[1]!BexGetData("DP_1","003N8EMH8GTFRCSWKMPXRRESE","GSON1111300036")</f>
        <v>#NAME?</v>
      </c>
      <c r="E46" s="8" t="e">
        <f ca="1">[1]!BexGetData("DP_1","003N8EMH8GTFRCSWKMPXRRL3Y","GSON1111300036")</f>
        <v>#NAME?</v>
      </c>
      <c r="F46" s="4" t="e">
        <f ca="1">[1]!BexGetData("DP_1","003N8EMH8GTFRCSWKMPXRRRFI","GSON1111300036")</f>
        <v>#NAME?</v>
      </c>
      <c r="G46" s="4" t="e">
        <f ca="1">[1]!BexGetData("DP_1","003N8EMH8GTFRCSWKMPXRRXR2","GSON1111300036")</f>
        <v>#NAME?</v>
      </c>
      <c r="H46" s="4" t="e">
        <f ca="1">[1]!BexGetData("DP_1","003N8EMH8GTFRCSWKMPXRS42M","GSON1111300036")</f>
        <v>#NAME?</v>
      </c>
      <c r="I46" s="4" t="e">
        <f ca="1">[1]!BexGetData("DP_1","003N8EMH8GTFRCSWKMPXRSAE6","GSON1111300036")</f>
        <v>#NAME?</v>
      </c>
      <c r="J46" s="4" t="e">
        <f ca="1">[1]!BexGetData("DP_1","003N8EMH8GTFRCSWKMPXRSGPQ","GSON1111300036")</f>
        <v>#NAME?</v>
      </c>
      <c r="K46" s="8" t="e">
        <f ca="1">[1]!BexGetData("DP_1","003N8EMH8GTFRIVNUPY288VJH","GSON1111300036")</f>
        <v>#NAME?</v>
      </c>
      <c r="L46" s="8" t="e">
        <f ca="1">[1]!BexGetData("DP_1","003N8EMH8GTFRIVNUPY2891V1","GSON1111300036")</f>
        <v>#NAME?</v>
      </c>
      <c r="M46" s="8" t="e">
        <f ca="1">[1]!BexGetData("DP_1","003N8EMH8GTFRIVOG7KG9IQXA","GSON1111300036")</f>
        <v>#NAME?</v>
      </c>
      <c r="N46" s="8" t="e">
        <f ca="1">[1]!BexGetData("DP_1","003N8EMH8GTFRIVOG7KG9IX8U","GSON1111300036")</f>
        <v>#NAME?</v>
      </c>
      <c r="O46" s="8" t="e">
        <f ca="1">[1]!BexGetData("DP_1","003N8EMH8GTFRIVOG7KG9J3KE","GSON1111300036")</f>
        <v>#NAME?</v>
      </c>
      <c r="P46" s="8" t="e">
        <f ca="1">[1]!BexGetData("DP_1","003N8EMH8GTFRIVOG7KG9J9VY","GSON1111300036")</f>
        <v>#NAME?</v>
      </c>
      <c r="Q46" s="4" t="e">
        <f ca="1">[1]!BexGetData("DP_1","00O2TNJGODT0G5Z4TTKYMM5MT","GSON1111300036")</f>
        <v>#NAME?</v>
      </c>
      <c r="R46" s="4" t="e">
        <f ca="1">[1]!BexGetData("DP_1","00O2TNJGODT0G5Z4TTKYMMBYD","GSON1111300036")</f>
        <v>#NAME?</v>
      </c>
      <c r="S46" s="4" t="e">
        <f ca="1">[1]!BexGetData("DP_1","00O2TNJGODT0G5Z4TTKYMMI9X","GSON1111300036")</f>
        <v>#NAME?</v>
      </c>
      <c r="T46" s="4" t="e">
        <f ca="1">[1]!BexGetData("DP_1","00O2TNJGODT0G5Z4TTKYMMOLH","GSON1111300036")</f>
        <v>#NAME?</v>
      </c>
      <c r="U46" s="4" t="e">
        <f ca="1">[1]!BexGetData("DP_1","00O2TNJGODT0G5Z4TTKYMMUX1","GSON1111300036")</f>
        <v>#NAME?</v>
      </c>
      <c r="V46" s="4" t="e">
        <f ca="1">[1]!BexGetData("DP_1","00O2TNJGODT0G5Z4TTKYMN18L","GSON1111300036")</f>
        <v>#NAME?</v>
      </c>
      <c r="W46" s="4" t="e">
        <f ca="1">[1]!BexGetData("DP_1","00O2TNJGODT0G5Z4TTKYMN7K5","GSON1111300036")</f>
        <v>#NAME?</v>
      </c>
    </row>
    <row r="47" spans="1:23" x14ac:dyDescent="0.2">
      <c r="A47" s="16" t="s">
        <v>1798</v>
      </c>
      <c r="B47" s="7" t="s">
        <v>1799</v>
      </c>
      <c r="C47" s="3" t="e">
        <f ca="1">[1]!BexGetData("DP_1","003N8EMH8GTFRCSWKMPXRR8GU","GSON1111300037")</f>
        <v>#NAME?</v>
      </c>
      <c r="D47" s="3" t="e">
        <f ca="1">[1]!BexGetData("DP_1","003N8EMH8GTFRCSWKMPXRRESE","GSON1111300037")</f>
        <v>#NAME?</v>
      </c>
      <c r="E47" s="8" t="e">
        <f ca="1">[1]!BexGetData("DP_1","003N8EMH8GTFRCSWKMPXRRL3Y","GSON1111300037")</f>
        <v>#NAME?</v>
      </c>
      <c r="F47" s="4" t="e">
        <f ca="1">[1]!BexGetData("DP_1","003N8EMH8GTFRCSWKMPXRRRFI","GSON1111300037")</f>
        <v>#NAME?</v>
      </c>
      <c r="G47" s="4" t="e">
        <f ca="1">[1]!BexGetData("DP_1","003N8EMH8GTFRCSWKMPXRRXR2","GSON1111300037")</f>
        <v>#NAME?</v>
      </c>
      <c r="H47" s="4" t="e">
        <f ca="1">[1]!BexGetData("DP_1","003N8EMH8GTFRCSWKMPXRS42M","GSON1111300037")</f>
        <v>#NAME?</v>
      </c>
      <c r="I47" s="4" t="e">
        <f ca="1">[1]!BexGetData("DP_1","003N8EMH8GTFRCSWKMPXRSAE6","GSON1111300037")</f>
        <v>#NAME?</v>
      </c>
      <c r="J47" s="4" t="e">
        <f ca="1">[1]!BexGetData("DP_1","003N8EMH8GTFRCSWKMPXRSGPQ","GSON1111300037")</f>
        <v>#NAME?</v>
      </c>
      <c r="K47" s="8" t="e">
        <f ca="1">[1]!BexGetData("DP_1","003N8EMH8GTFRIVNUPY288VJH","GSON1111300037")</f>
        <v>#NAME?</v>
      </c>
      <c r="L47" s="8" t="e">
        <f ca="1">[1]!BexGetData("DP_1","003N8EMH8GTFRIVNUPY2891V1","GSON1111300037")</f>
        <v>#NAME?</v>
      </c>
      <c r="M47" s="8" t="e">
        <f ca="1">[1]!BexGetData("DP_1","003N8EMH8GTFRIVOG7KG9IQXA","GSON1111300037")</f>
        <v>#NAME?</v>
      </c>
      <c r="N47" s="8" t="e">
        <f ca="1">[1]!BexGetData("DP_1","003N8EMH8GTFRIVOG7KG9IX8U","GSON1111300037")</f>
        <v>#NAME?</v>
      </c>
      <c r="O47" s="8" t="e">
        <f ca="1">[1]!BexGetData("DP_1","003N8EMH8GTFRIVOG7KG9J3KE","GSON1111300037")</f>
        <v>#NAME?</v>
      </c>
      <c r="P47" s="8" t="e">
        <f ca="1">[1]!BexGetData("DP_1","003N8EMH8GTFRIVOG7KG9J9VY","GSON1111300037")</f>
        <v>#NAME?</v>
      </c>
      <c r="Q47" s="4" t="e">
        <f ca="1">[1]!BexGetData("DP_1","00O2TNJGODT0G5Z4TTKYMM5MT","GSON1111300037")</f>
        <v>#NAME?</v>
      </c>
      <c r="R47" s="4" t="e">
        <f ca="1">[1]!BexGetData("DP_1","00O2TNJGODT0G5Z4TTKYMMBYD","GSON1111300037")</f>
        <v>#NAME?</v>
      </c>
      <c r="S47" s="4" t="e">
        <f ca="1">[1]!BexGetData("DP_1","00O2TNJGODT0G5Z4TTKYMMI9X","GSON1111300037")</f>
        <v>#NAME?</v>
      </c>
      <c r="T47" s="4" t="e">
        <f ca="1">[1]!BexGetData("DP_1","00O2TNJGODT0G5Z4TTKYMMOLH","GSON1111300037")</f>
        <v>#NAME?</v>
      </c>
      <c r="U47" s="4" t="e">
        <f ca="1">[1]!BexGetData("DP_1","00O2TNJGODT0G5Z4TTKYMMUX1","GSON1111300037")</f>
        <v>#NAME?</v>
      </c>
      <c r="V47" s="4" t="e">
        <f ca="1">[1]!BexGetData("DP_1","00O2TNJGODT0G5Z4TTKYMN18L","GSON1111300037")</f>
        <v>#NAME?</v>
      </c>
      <c r="W47" s="4" t="e">
        <f ca="1">[1]!BexGetData("DP_1","00O2TNJGODT0G5Z4TTKYMN7K5","GSON1111300037")</f>
        <v>#NAME?</v>
      </c>
    </row>
    <row r="48" spans="1:23" x14ac:dyDescent="0.2">
      <c r="A48" s="16" t="s">
        <v>1800</v>
      </c>
      <c r="B48" s="7" t="s">
        <v>1801</v>
      </c>
      <c r="C48" s="3" t="e">
        <f ca="1">[1]!BexGetData("DP_1","003N8EMH8GTFRCSWKMPXRR8GU","GSON1111300038")</f>
        <v>#NAME?</v>
      </c>
      <c r="D48" s="3" t="e">
        <f ca="1">[1]!BexGetData("DP_1","003N8EMH8GTFRCSWKMPXRRESE","GSON1111300038")</f>
        <v>#NAME?</v>
      </c>
      <c r="E48" s="8" t="e">
        <f ca="1">[1]!BexGetData("DP_1","003N8EMH8GTFRCSWKMPXRRL3Y","GSON1111300038")</f>
        <v>#NAME?</v>
      </c>
      <c r="F48" s="4" t="e">
        <f ca="1">[1]!BexGetData("DP_1","003N8EMH8GTFRCSWKMPXRRRFI","GSON1111300038")</f>
        <v>#NAME?</v>
      </c>
      <c r="G48" s="4" t="e">
        <f ca="1">[1]!BexGetData("DP_1","003N8EMH8GTFRCSWKMPXRRXR2","GSON1111300038")</f>
        <v>#NAME?</v>
      </c>
      <c r="H48" s="4" t="e">
        <f ca="1">[1]!BexGetData("DP_1","003N8EMH8GTFRCSWKMPXRS42M","GSON1111300038")</f>
        <v>#NAME?</v>
      </c>
      <c r="I48" s="4" t="e">
        <f ca="1">[1]!BexGetData("DP_1","003N8EMH8GTFRCSWKMPXRSAE6","GSON1111300038")</f>
        <v>#NAME?</v>
      </c>
      <c r="J48" s="4" t="e">
        <f ca="1">[1]!BexGetData("DP_1","003N8EMH8GTFRCSWKMPXRSGPQ","GSON1111300038")</f>
        <v>#NAME?</v>
      </c>
      <c r="K48" s="8" t="e">
        <f ca="1">[1]!BexGetData("DP_1","003N8EMH8GTFRIVNUPY288VJH","GSON1111300038")</f>
        <v>#NAME?</v>
      </c>
      <c r="L48" s="8" t="e">
        <f ca="1">[1]!BexGetData("DP_1","003N8EMH8GTFRIVNUPY2891V1","GSON1111300038")</f>
        <v>#NAME?</v>
      </c>
      <c r="M48" s="8" t="e">
        <f ca="1">[1]!BexGetData("DP_1","003N8EMH8GTFRIVOG7KG9IQXA","GSON1111300038")</f>
        <v>#NAME?</v>
      </c>
      <c r="N48" s="8" t="e">
        <f ca="1">[1]!BexGetData("DP_1","003N8EMH8GTFRIVOG7KG9IX8U","GSON1111300038")</f>
        <v>#NAME?</v>
      </c>
      <c r="O48" s="8" t="e">
        <f ca="1">[1]!BexGetData("DP_1","003N8EMH8GTFRIVOG7KG9J3KE","GSON1111300038")</f>
        <v>#NAME?</v>
      </c>
      <c r="P48" s="8" t="e">
        <f ca="1">[1]!BexGetData("DP_1","003N8EMH8GTFRIVOG7KG9J9VY","GSON1111300038")</f>
        <v>#NAME?</v>
      </c>
      <c r="Q48" s="4" t="e">
        <f ca="1">[1]!BexGetData("DP_1","00O2TNJGODT0G5Z4TTKYMM5MT","GSON1111300038")</f>
        <v>#NAME?</v>
      </c>
      <c r="R48" s="4" t="e">
        <f ca="1">[1]!BexGetData("DP_1","00O2TNJGODT0G5Z4TTKYMMBYD","GSON1111300038")</f>
        <v>#NAME?</v>
      </c>
      <c r="S48" s="4" t="e">
        <f ca="1">[1]!BexGetData("DP_1","00O2TNJGODT0G5Z4TTKYMMI9X","GSON1111300038")</f>
        <v>#NAME?</v>
      </c>
      <c r="T48" s="4" t="e">
        <f ca="1">[1]!BexGetData("DP_1","00O2TNJGODT0G5Z4TTKYMMOLH","GSON1111300038")</f>
        <v>#NAME?</v>
      </c>
      <c r="U48" s="4" t="e">
        <f ca="1">[1]!BexGetData("DP_1","00O2TNJGODT0G5Z4TTKYMMUX1","GSON1111300038")</f>
        <v>#NAME?</v>
      </c>
      <c r="V48" s="4" t="e">
        <f ca="1">[1]!BexGetData("DP_1","00O2TNJGODT0G5Z4TTKYMN18L","GSON1111300038")</f>
        <v>#NAME?</v>
      </c>
      <c r="W48" s="4" t="e">
        <f ca="1">[1]!BexGetData("DP_1","00O2TNJGODT0G5Z4TTKYMN7K5","GSON1111300038")</f>
        <v>#NAME?</v>
      </c>
    </row>
    <row r="49" spans="1:23" x14ac:dyDescent="0.2">
      <c r="A49" s="16" t="s">
        <v>1802</v>
      </c>
      <c r="B49" s="7" t="s">
        <v>1803</v>
      </c>
      <c r="C49" s="3" t="e">
        <f ca="1">[1]!BexGetData("DP_1","003N8EMH8GTFRCSWKMPXRR8GU","GSON1111300039")</f>
        <v>#NAME?</v>
      </c>
      <c r="D49" s="3" t="e">
        <f ca="1">[1]!BexGetData("DP_1","003N8EMH8GTFRCSWKMPXRRESE","GSON1111300039")</f>
        <v>#NAME?</v>
      </c>
      <c r="E49" s="8" t="e">
        <f ca="1">[1]!BexGetData("DP_1","003N8EMH8GTFRCSWKMPXRRL3Y","GSON1111300039")</f>
        <v>#NAME?</v>
      </c>
      <c r="F49" s="4" t="e">
        <f ca="1">[1]!BexGetData("DP_1","003N8EMH8GTFRCSWKMPXRRRFI","GSON1111300039")</f>
        <v>#NAME?</v>
      </c>
      <c r="G49" s="4" t="e">
        <f ca="1">[1]!BexGetData("DP_1","003N8EMH8GTFRCSWKMPXRRXR2","GSON1111300039")</f>
        <v>#NAME?</v>
      </c>
      <c r="H49" s="4" t="e">
        <f ca="1">[1]!BexGetData("DP_1","003N8EMH8GTFRCSWKMPXRS42M","GSON1111300039")</f>
        <v>#NAME?</v>
      </c>
      <c r="I49" s="4" t="e">
        <f ca="1">[1]!BexGetData("DP_1","003N8EMH8GTFRCSWKMPXRSAE6","GSON1111300039")</f>
        <v>#NAME?</v>
      </c>
      <c r="J49" s="4" t="e">
        <f ca="1">[1]!BexGetData("DP_1","003N8EMH8GTFRCSWKMPXRSGPQ","GSON1111300039")</f>
        <v>#NAME?</v>
      </c>
      <c r="K49" s="8" t="e">
        <f ca="1">[1]!BexGetData("DP_1","003N8EMH8GTFRIVNUPY288VJH","GSON1111300039")</f>
        <v>#NAME?</v>
      </c>
      <c r="L49" s="8" t="e">
        <f ca="1">[1]!BexGetData("DP_1","003N8EMH8GTFRIVNUPY2891V1","GSON1111300039")</f>
        <v>#NAME?</v>
      </c>
      <c r="M49" s="8" t="e">
        <f ca="1">[1]!BexGetData("DP_1","003N8EMH8GTFRIVOG7KG9IQXA","GSON1111300039")</f>
        <v>#NAME?</v>
      </c>
      <c r="N49" s="8" t="e">
        <f ca="1">[1]!BexGetData("DP_1","003N8EMH8GTFRIVOG7KG9IX8U","GSON1111300039")</f>
        <v>#NAME?</v>
      </c>
      <c r="O49" s="8" t="e">
        <f ca="1">[1]!BexGetData("DP_1","003N8EMH8GTFRIVOG7KG9J3KE","GSON1111300039")</f>
        <v>#NAME?</v>
      </c>
      <c r="P49" s="8" t="e">
        <f ca="1">[1]!BexGetData("DP_1","003N8EMH8GTFRIVOG7KG9J9VY","GSON1111300039")</f>
        <v>#NAME?</v>
      </c>
      <c r="Q49" s="4" t="e">
        <f ca="1">[1]!BexGetData("DP_1","00O2TNJGODT0G5Z4TTKYMM5MT","GSON1111300039")</f>
        <v>#NAME?</v>
      </c>
      <c r="R49" s="4" t="e">
        <f ca="1">[1]!BexGetData("DP_1","00O2TNJGODT0G5Z4TTKYMMBYD","GSON1111300039")</f>
        <v>#NAME?</v>
      </c>
      <c r="S49" s="4" t="e">
        <f ca="1">[1]!BexGetData("DP_1","00O2TNJGODT0G5Z4TTKYMMI9X","GSON1111300039")</f>
        <v>#NAME?</v>
      </c>
      <c r="T49" s="4" t="e">
        <f ca="1">[1]!BexGetData("DP_1","00O2TNJGODT0G5Z4TTKYMMOLH","GSON1111300039")</f>
        <v>#NAME?</v>
      </c>
      <c r="U49" s="4" t="e">
        <f ca="1">[1]!BexGetData("DP_1","00O2TNJGODT0G5Z4TTKYMMUX1","GSON1111300039")</f>
        <v>#NAME?</v>
      </c>
      <c r="V49" s="4" t="e">
        <f ca="1">[1]!BexGetData("DP_1","00O2TNJGODT0G5Z4TTKYMN18L","GSON1111300039")</f>
        <v>#NAME?</v>
      </c>
      <c r="W49" s="4" t="e">
        <f ca="1">[1]!BexGetData("DP_1","00O2TNJGODT0G5Z4TTKYMN7K5","GSON1111300039")</f>
        <v>#NAME?</v>
      </c>
    </row>
    <row r="50" spans="1:23" x14ac:dyDescent="0.2">
      <c r="A50" s="16" t="s">
        <v>1804</v>
      </c>
      <c r="B50" s="7" t="s">
        <v>1805</v>
      </c>
      <c r="C50" s="3" t="e">
        <f ca="1">[1]!BexGetData("DP_1","003N8EMH8GTFRCSWKMPXRR8GU","GSON1111300040")</f>
        <v>#NAME?</v>
      </c>
      <c r="D50" s="3" t="e">
        <f ca="1">[1]!BexGetData("DP_1","003N8EMH8GTFRCSWKMPXRRESE","GSON1111300040")</f>
        <v>#NAME?</v>
      </c>
      <c r="E50" s="3" t="e">
        <f ca="1">[1]!BexGetData("DP_1","003N8EMH8GTFRCSWKMPXRRL3Y","GSON1111300040")</f>
        <v>#NAME?</v>
      </c>
      <c r="F50" s="4" t="e">
        <f ca="1">[1]!BexGetData("DP_1","003N8EMH8GTFRCSWKMPXRRRFI","GSON1111300040")</f>
        <v>#NAME?</v>
      </c>
      <c r="G50" s="4" t="e">
        <f ca="1">[1]!BexGetData("DP_1","003N8EMH8GTFRCSWKMPXRRXR2","GSON1111300040")</f>
        <v>#NAME?</v>
      </c>
      <c r="H50" s="4" t="e">
        <f ca="1">[1]!BexGetData("DP_1","003N8EMH8GTFRCSWKMPXRS42M","GSON1111300040")</f>
        <v>#NAME?</v>
      </c>
      <c r="I50" s="4" t="e">
        <f ca="1">[1]!BexGetData("DP_1","003N8EMH8GTFRCSWKMPXRSAE6","GSON1111300040")</f>
        <v>#NAME?</v>
      </c>
      <c r="J50" s="4" t="e">
        <f ca="1">[1]!BexGetData("DP_1","003N8EMH8GTFRCSWKMPXRSGPQ","GSON1111300040")</f>
        <v>#NAME?</v>
      </c>
      <c r="K50" s="3" t="e">
        <f ca="1">[1]!BexGetData("DP_1","003N8EMH8GTFRIVNUPY288VJH","GSON1111300040")</f>
        <v>#NAME?</v>
      </c>
      <c r="L50" s="3" t="e">
        <f ca="1">[1]!BexGetData("DP_1","003N8EMH8GTFRIVNUPY2891V1","GSON1111300040")</f>
        <v>#NAME?</v>
      </c>
      <c r="M50" s="8" t="e">
        <f ca="1">[1]!BexGetData("DP_1","003N8EMH8GTFRIVOG7KG9IQXA","GSON1111300040")</f>
        <v>#NAME?</v>
      </c>
      <c r="N50" s="3" t="e">
        <f ca="1">[1]!BexGetData("DP_1","003N8EMH8GTFRIVOG7KG9IX8U","GSON1111300040")</f>
        <v>#NAME?</v>
      </c>
      <c r="O50" s="8" t="e">
        <f ca="1">[1]!BexGetData("DP_1","003N8EMH8GTFRIVOG7KG9J3KE","GSON1111300040")</f>
        <v>#NAME?</v>
      </c>
      <c r="P50" s="3" t="e">
        <f ca="1">[1]!BexGetData("DP_1","003N8EMH8GTFRIVOG7KG9J9VY","GSON1111300040")</f>
        <v>#NAME?</v>
      </c>
      <c r="Q50" s="4" t="e">
        <f ca="1">[1]!BexGetData("DP_1","00O2TNJGODT0G5Z4TTKYMM5MT","GSON1111300040")</f>
        <v>#NAME?</v>
      </c>
      <c r="R50" s="4" t="e">
        <f ca="1">[1]!BexGetData("DP_1","00O2TNJGODT0G5Z4TTKYMMBYD","GSON1111300040")</f>
        <v>#NAME?</v>
      </c>
      <c r="S50" s="4" t="e">
        <f ca="1">[1]!BexGetData("DP_1","00O2TNJGODT0G5Z4TTKYMMI9X","GSON1111300040")</f>
        <v>#NAME?</v>
      </c>
      <c r="T50" s="4" t="e">
        <f ca="1">[1]!BexGetData("DP_1","00O2TNJGODT0G5Z4TTKYMMOLH","GSON1111300040")</f>
        <v>#NAME?</v>
      </c>
      <c r="U50" s="4" t="e">
        <f ca="1">[1]!BexGetData("DP_1","00O2TNJGODT0G5Z4TTKYMMUX1","GSON1111300040")</f>
        <v>#NAME?</v>
      </c>
      <c r="V50" s="4" t="e">
        <f ca="1">[1]!BexGetData("DP_1","00O2TNJGODT0G5Z4TTKYMN18L","GSON1111300040")</f>
        <v>#NAME?</v>
      </c>
      <c r="W50" s="4" t="e">
        <f ca="1">[1]!BexGetData("DP_1","00O2TNJGODT0G5Z4TTKYMN7K5","GSON1111300040")</f>
        <v>#NAME?</v>
      </c>
    </row>
    <row r="51" spans="1:23" x14ac:dyDescent="0.2">
      <c r="A51" s="16" t="s">
        <v>1806</v>
      </c>
      <c r="B51" s="7" t="s">
        <v>1807</v>
      </c>
      <c r="C51" s="3" t="e">
        <f ca="1">[1]!BexGetData("DP_1","003N8EMH8GTFRCSWKMPXRR8GU","GSON1111300041")</f>
        <v>#NAME?</v>
      </c>
      <c r="D51" s="3" t="e">
        <f ca="1">[1]!BexGetData("DP_1","003N8EMH8GTFRCSWKMPXRRESE","GSON1111300041")</f>
        <v>#NAME?</v>
      </c>
      <c r="E51" s="8" t="e">
        <f ca="1">[1]!BexGetData("DP_1","003N8EMH8GTFRCSWKMPXRRL3Y","GSON1111300041")</f>
        <v>#NAME?</v>
      </c>
      <c r="F51" s="4" t="e">
        <f ca="1">[1]!BexGetData("DP_1","003N8EMH8GTFRCSWKMPXRRRFI","GSON1111300041")</f>
        <v>#NAME?</v>
      </c>
      <c r="G51" s="4" t="e">
        <f ca="1">[1]!BexGetData("DP_1","003N8EMH8GTFRCSWKMPXRRXR2","GSON1111300041")</f>
        <v>#NAME?</v>
      </c>
      <c r="H51" s="4" t="e">
        <f ca="1">[1]!BexGetData("DP_1","003N8EMH8GTFRCSWKMPXRS42M","GSON1111300041")</f>
        <v>#NAME?</v>
      </c>
      <c r="I51" s="4" t="e">
        <f ca="1">[1]!BexGetData("DP_1","003N8EMH8GTFRCSWKMPXRSAE6","GSON1111300041")</f>
        <v>#NAME?</v>
      </c>
      <c r="J51" s="4" t="e">
        <f ca="1">[1]!BexGetData("DP_1","003N8EMH8GTFRCSWKMPXRSGPQ","GSON1111300041")</f>
        <v>#NAME?</v>
      </c>
      <c r="K51" s="8" t="e">
        <f ca="1">[1]!BexGetData("DP_1","003N8EMH8GTFRIVNUPY288VJH","GSON1111300041")</f>
        <v>#NAME?</v>
      </c>
      <c r="L51" s="8" t="e">
        <f ca="1">[1]!BexGetData("DP_1","003N8EMH8GTFRIVNUPY2891V1","GSON1111300041")</f>
        <v>#NAME?</v>
      </c>
      <c r="M51" s="8" t="e">
        <f ca="1">[1]!BexGetData("DP_1","003N8EMH8GTFRIVOG7KG9IQXA","GSON1111300041")</f>
        <v>#NAME?</v>
      </c>
      <c r="N51" s="8" t="e">
        <f ca="1">[1]!BexGetData("DP_1","003N8EMH8GTFRIVOG7KG9IX8U","GSON1111300041")</f>
        <v>#NAME?</v>
      </c>
      <c r="O51" s="8" t="e">
        <f ca="1">[1]!BexGetData("DP_1","003N8EMH8GTFRIVOG7KG9J3KE","GSON1111300041")</f>
        <v>#NAME?</v>
      </c>
      <c r="P51" s="8" t="e">
        <f ca="1">[1]!BexGetData("DP_1","003N8EMH8GTFRIVOG7KG9J9VY","GSON1111300041")</f>
        <v>#NAME?</v>
      </c>
      <c r="Q51" s="4" t="e">
        <f ca="1">[1]!BexGetData("DP_1","00O2TNJGODT0G5Z4TTKYMM5MT","GSON1111300041")</f>
        <v>#NAME?</v>
      </c>
      <c r="R51" s="4" t="e">
        <f ca="1">[1]!BexGetData("DP_1","00O2TNJGODT0G5Z4TTKYMMBYD","GSON1111300041")</f>
        <v>#NAME?</v>
      </c>
      <c r="S51" s="4" t="e">
        <f ca="1">[1]!BexGetData("DP_1","00O2TNJGODT0G5Z4TTKYMMI9X","GSON1111300041")</f>
        <v>#NAME?</v>
      </c>
      <c r="T51" s="4" t="e">
        <f ca="1">[1]!BexGetData("DP_1","00O2TNJGODT0G5Z4TTKYMMOLH","GSON1111300041")</f>
        <v>#NAME?</v>
      </c>
      <c r="U51" s="4" t="e">
        <f ca="1">[1]!BexGetData("DP_1","00O2TNJGODT0G5Z4TTKYMMUX1","GSON1111300041")</f>
        <v>#NAME?</v>
      </c>
      <c r="V51" s="4" t="e">
        <f ca="1">[1]!BexGetData("DP_1","00O2TNJGODT0G5Z4TTKYMN18L","GSON1111300041")</f>
        <v>#NAME?</v>
      </c>
      <c r="W51" s="4" t="e">
        <f ca="1">[1]!BexGetData("DP_1","00O2TNJGODT0G5Z4TTKYMN7K5","GSON1111300041")</f>
        <v>#NAME?</v>
      </c>
    </row>
    <row r="52" spans="1:23" x14ac:dyDescent="0.2">
      <c r="A52" s="16" t="s">
        <v>1808</v>
      </c>
      <c r="B52" s="7" t="s">
        <v>1809</v>
      </c>
      <c r="C52" s="3" t="e">
        <f ca="1">[1]!BexGetData("DP_1","003N8EMH8GTFRCSWKMPXRR8GU","GSON1111300042")</f>
        <v>#NAME?</v>
      </c>
      <c r="D52" s="3" t="e">
        <f ca="1">[1]!BexGetData("DP_1","003N8EMH8GTFRCSWKMPXRRESE","GSON1111300042")</f>
        <v>#NAME?</v>
      </c>
      <c r="E52" s="8" t="e">
        <f ca="1">[1]!BexGetData("DP_1","003N8EMH8GTFRCSWKMPXRRL3Y","GSON1111300042")</f>
        <v>#NAME?</v>
      </c>
      <c r="F52" s="4" t="e">
        <f ca="1">[1]!BexGetData("DP_1","003N8EMH8GTFRCSWKMPXRRRFI","GSON1111300042")</f>
        <v>#NAME?</v>
      </c>
      <c r="G52" s="4" t="e">
        <f ca="1">[1]!BexGetData("DP_1","003N8EMH8GTFRCSWKMPXRRXR2","GSON1111300042")</f>
        <v>#NAME?</v>
      </c>
      <c r="H52" s="4" t="e">
        <f ca="1">[1]!BexGetData("DP_1","003N8EMH8GTFRCSWKMPXRS42M","GSON1111300042")</f>
        <v>#NAME?</v>
      </c>
      <c r="I52" s="4" t="e">
        <f ca="1">[1]!BexGetData("DP_1","003N8EMH8GTFRCSWKMPXRSAE6","GSON1111300042")</f>
        <v>#NAME?</v>
      </c>
      <c r="J52" s="4" t="e">
        <f ca="1">[1]!BexGetData("DP_1","003N8EMH8GTFRCSWKMPXRSGPQ","GSON1111300042")</f>
        <v>#NAME?</v>
      </c>
      <c r="K52" s="8" t="e">
        <f ca="1">[1]!BexGetData("DP_1","003N8EMH8GTFRIVNUPY288VJH","GSON1111300042")</f>
        <v>#NAME?</v>
      </c>
      <c r="L52" s="8" t="e">
        <f ca="1">[1]!BexGetData("DP_1","003N8EMH8GTFRIVNUPY2891V1","GSON1111300042")</f>
        <v>#NAME?</v>
      </c>
      <c r="M52" s="8" t="e">
        <f ca="1">[1]!BexGetData("DP_1","003N8EMH8GTFRIVOG7KG9IQXA","GSON1111300042")</f>
        <v>#NAME?</v>
      </c>
      <c r="N52" s="8" t="e">
        <f ca="1">[1]!BexGetData("DP_1","003N8EMH8GTFRIVOG7KG9IX8U","GSON1111300042")</f>
        <v>#NAME?</v>
      </c>
      <c r="O52" s="8" t="e">
        <f ca="1">[1]!BexGetData("DP_1","003N8EMH8GTFRIVOG7KG9J3KE","GSON1111300042")</f>
        <v>#NAME?</v>
      </c>
      <c r="P52" s="8" t="e">
        <f ca="1">[1]!BexGetData("DP_1","003N8EMH8GTFRIVOG7KG9J9VY","GSON1111300042")</f>
        <v>#NAME?</v>
      </c>
      <c r="Q52" s="4" t="e">
        <f ca="1">[1]!BexGetData("DP_1","00O2TNJGODT0G5Z4TTKYMM5MT","GSON1111300042")</f>
        <v>#NAME?</v>
      </c>
      <c r="R52" s="4" t="e">
        <f ca="1">[1]!BexGetData("DP_1","00O2TNJGODT0G5Z4TTKYMMBYD","GSON1111300042")</f>
        <v>#NAME?</v>
      </c>
      <c r="S52" s="4" t="e">
        <f ca="1">[1]!BexGetData("DP_1","00O2TNJGODT0G5Z4TTKYMMI9X","GSON1111300042")</f>
        <v>#NAME?</v>
      </c>
      <c r="T52" s="4" t="e">
        <f ca="1">[1]!BexGetData("DP_1","00O2TNJGODT0G5Z4TTKYMMOLH","GSON1111300042")</f>
        <v>#NAME?</v>
      </c>
      <c r="U52" s="4" t="e">
        <f ca="1">[1]!BexGetData("DP_1","00O2TNJGODT0G5Z4TTKYMMUX1","GSON1111300042")</f>
        <v>#NAME?</v>
      </c>
      <c r="V52" s="4" t="e">
        <f ca="1">[1]!BexGetData("DP_1","00O2TNJGODT0G5Z4TTKYMN18L","GSON1111300042")</f>
        <v>#NAME?</v>
      </c>
      <c r="W52" s="4" t="e">
        <f ca="1">[1]!BexGetData("DP_1","00O2TNJGODT0G5Z4TTKYMN7K5","GSON1111300042")</f>
        <v>#NAME?</v>
      </c>
    </row>
    <row r="53" spans="1:23" x14ac:dyDescent="0.2">
      <c r="A53" s="16" t="s">
        <v>1810</v>
      </c>
      <c r="B53" s="7" t="s">
        <v>1811</v>
      </c>
      <c r="C53" s="3" t="e">
        <f ca="1">[1]!BexGetData("DP_1","003N8EMH8GTFRCSWKMPXRR8GU","GSON1111300043")</f>
        <v>#NAME?</v>
      </c>
      <c r="D53" s="3" t="e">
        <f ca="1">[1]!BexGetData("DP_1","003N8EMH8GTFRCSWKMPXRRESE","GSON1111300043")</f>
        <v>#NAME?</v>
      </c>
      <c r="E53" s="8" t="e">
        <f ca="1">[1]!BexGetData("DP_1","003N8EMH8GTFRCSWKMPXRRL3Y","GSON1111300043")</f>
        <v>#NAME?</v>
      </c>
      <c r="F53" s="4" t="e">
        <f ca="1">[1]!BexGetData("DP_1","003N8EMH8GTFRCSWKMPXRRRFI","GSON1111300043")</f>
        <v>#NAME?</v>
      </c>
      <c r="G53" s="4" t="e">
        <f ca="1">[1]!BexGetData("DP_1","003N8EMH8GTFRCSWKMPXRRXR2","GSON1111300043")</f>
        <v>#NAME?</v>
      </c>
      <c r="H53" s="4" t="e">
        <f ca="1">[1]!BexGetData("DP_1","003N8EMH8GTFRCSWKMPXRS42M","GSON1111300043")</f>
        <v>#NAME?</v>
      </c>
      <c r="I53" s="4" t="e">
        <f ca="1">[1]!BexGetData("DP_1","003N8EMH8GTFRCSWKMPXRSAE6","GSON1111300043")</f>
        <v>#NAME?</v>
      </c>
      <c r="J53" s="4" t="e">
        <f ca="1">[1]!BexGetData("DP_1","003N8EMH8GTFRCSWKMPXRSGPQ","GSON1111300043")</f>
        <v>#NAME?</v>
      </c>
      <c r="K53" s="8" t="e">
        <f ca="1">[1]!BexGetData("DP_1","003N8EMH8GTFRIVNUPY288VJH","GSON1111300043")</f>
        <v>#NAME?</v>
      </c>
      <c r="L53" s="8" t="e">
        <f ca="1">[1]!BexGetData("DP_1","003N8EMH8GTFRIVNUPY2891V1","GSON1111300043")</f>
        <v>#NAME?</v>
      </c>
      <c r="M53" s="8" t="e">
        <f ca="1">[1]!BexGetData("DP_1","003N8EMH8GTFRIVOG7KG9IQXA","GSON1111300043")</f>
        <v>#NAME?</v>
      </c>
      <c r="N53" s="8" t="e">
        <f ca="1">[1]!BexGetData("DP_1","003N8EMH8GTFRIVOG7KG9IX8U","GSON1111300043")</f>
        <v>#NAME?</v>
      </c>
      <c r="O53" s="8" t="e">
        <f ca="1">[1]!BexGetData("DP_1","003N8EMH8GTFRIVOG7KG9J3KE","GSON1111300043")</f>
        <v>#NAME?</v>
      </c>
      <c r="P53" s="8" t="e">
        <f ca="1">[1]!BexGetData("DP_1","003N8EMH8GTFRIVOG7KG9J9VY","GSON1111300043")</f>
        <v>#NAME?</v>
      </c>
      <c r="Q53" s="4" t="e">
        <f ca="1">[1]!BexGetData("DP_1","00O2TNJGODT0G5Z4TTKYMM5MT","GSON1111300043")</f>
        <v>#NAME?</v>
      </c>
      <c r="R53" s="4" t="e">
        <f ca="1">[1]!BexGetData("DP_1","00O2TNJGODT0G5Z4TTKYMMBYD","GSON1111300043")</f>
        <v>#NAME?</v>
      </c>
      <c r="S53" s="4" t="e">
        <f ca="1">[1]!BexGetData("DP_1","00O2TNJGODT0G5Z4TTKYMMI9X","GSON1111300043")</f>
        <v>#NAME?</v>
      </c>
      <c r="T53" s="4" t="e">
        <f ca="1">[1]!BexGetData("DP_1","00O2TNJGODT0G5Z4TTKYMMOLH","GSON1111300043")</f>
        <v>#NAME?</v>
      </c>
      <c r="U53" s="4" t="e">
        <f ca="1">[1]!BexGetData("DP_1","00O2TNJGODT0G5Z4TTKYMMUX1","GSON1111300043")</f>
        <v>#NAME?</v>
      </c>
      <c r="V53" s="4" t="e">
        <f ca="1">[1]!BexGetData("DP_1","00O2TNJGODT0G5Z4TTKYMN18L","GSON1111300043")</f>
        <v>#NAME?</v>
      </c>
      <c r="W53" s="4" t="e">
        <f ca="1">[1]!BexGetData("DP_1","00O2TNJGODT0G5Z4TTKYMN7K5","GSON1111300043")</f>
        <v>#NAME?</v>
      </c>
    </row>
    <row r="54" spans="1:23" x14ac:dyDescent="0.2">
      <c r="A54" s="16" t="s">
        <v>1812</v>
      </c>
      <c r="B54" s="7" t="s">
        <v>1813</v>
      </c>
      <c r="C54" s="3" t="e">
        <f ca="1">[1]!BexGetData("DP_1","003N8EMH8GTFRCSWKMPXRR8GU","GSON1111300044")</f>
        <v>#NAME?</v>
      </c>
      <c r="D54" s="3" t="e">
        <f ca="1">[1]!BexGetData("DP_1","003N8EMH8GTFRCSWKMPXRRESE","GSON1111300044")</f>
        <v>#NAME?</v>
      </c>
      <c r="E54" s="8" t="e">
        <f ca="1">[1]!BexGetData("DP_1","003N8EMH8GTFRCSWKMPXRRL3Y","GSON1111300044")</f>
        <v>#NAME?</v>
      </c>
      <c r="F54" s="4" t="e">
        <f ca="1">[1]!BexGetData("DP_1","003N8EMH8GTFRCSWKMPXRRRFI","GSON1111300044")</f>
        <v>#NAME?</v>
      </c>
      <c r="G54" s="4" t="e">
        <f ca="1">[1]!BexGetData("DP_1","003N8EMH8GTFRCSWKMPXRRXR2","GSON1111300044")</f>
        <v>#NAME?</v>
      </c>
      <c r="H54" s="4" t="e">
        <f ca="1">[1]!BexGetData("DP_1","003N8EMH8GTFRCSWKMPXRS42M","GSON1111300044")</f>
        <v>#NAME?</v>
      </c>
      <c r="I54" s="4" t="e">
        <f ca="1">[1]!BexGetData("DP_1","003N8EMH8GTFRCSWKMPXRSAE6","GSON1111300044")</f>
        <v>#NAME?</v>
      </c>
      <c r="J54" s="4" t="e">
        <f ca="1">[1]!BexGetData("DP_1","003N8EMH8GTFRCSWKMPXRSGPQ","GSON1111300044")</f>
        <v>#NAME?</v>
      </c>
      <c r="K54" s="8" t="e">
        <f ca="1">[1]!BexGetData("DP_1","003N8EMH8GTFRIVNUPY288VJH","GSON1111300044")</f>
        <v>#NAME?</v>
      </c>
      <c r="L54" s="8" t="e">
        <f ca="1">[1]!BexGetData("DP_1","003N8EMH8GTFRIVNUPY2891V1","GSON1111300044")</f>
        <v>#NAME?</v>
      </c>
      <c r="M54" s="8" t="e">
        <f ca="1">[1]!BexGetData("DP_1","003N8EMH8GTFRIVOG7KG9IQXA","GSON1111300044")</f>
        <v>#NAME?</v>
      </c>
      <c r="N54" s="8" t="e">
        <f ca="1">[1]!BexGetData("DP_1","003N8EMH8GTFRIVOG7KG9IX8U","GSON1111300044")</f>
        <v>#NAME?</v>
      </c>
      <c r="O54" s="8" t="e">
        <f ca="1">[1]!BexGetData("DP_1","003N8EMH8GTFRIVOG7KG9J3KE","GSON1111300044")</f>
        <v>#NAME?</v>
      </c>
      <c r="P54" s="8" t="e">
        <f ca="1">[1]!BexGetData("DP_1","003N8EMH8GTFRIVOG7KG9J9VY","GSON1111300044")</f>
        <v>#NAME?</v>
      </c>
      <c r="Q54" s="4" t="e">
        <f ca="1">[1]!BexGetData("DP_1","00O2TNJGODT0G5Z4TTKYMM5MT","GSON1111300044")</f>
        <v>#NAME?</v>
      </c>
      <c r="R54" s="4" t="e">
        <f ca="1">[1]!BexGetData("DP_1","00O2TNJGODT0G5Z4TTKYMMBYD","GSON1111300044")</f>
        <v>#NAME?</v>
      </c>
      <c r="S54" s="4" t="e">
        <f ca="1">[1]!BexGetData("DP_1","00O2TNJGODT0G5Z4TTKYMMI9X","GSON1111300044")</f>
        <v>#NAME?</v>
      </c>
      <c r="T54" s="4" t="e">
        <f ca="1">[1]!BexGetData("DP_1","00O2TNJGODT0G5Z4TTKYMMOLH","GSON1111300044")</f>
        <v>#NAME?</v>
      </c>
      <c r="U54" s="4" t="e">
        <f ca="1">[1]!BexGetData("DP_1","00O2TNJGODT0G5Z4TTKYMMUX1","GSON1111300044")</f>
        <v>#NAME?</v>
      </c>
      <c r="V54" s="4" t="e">
        <f ca="1">[1]!BexGetData("DP_1","00O2TNJGODT0G5Z4TTKYMN18L","GSON1111300044")</f>
        <v>#NAME?</v>
      </c>
      <c r="W54" s="4" t="e">
        <f ca="1">[1]!BexGetData("DP_1","00O2TNJGODT0G5Z4TTKYMN7K5","GSON1111300044")</f>
        <v>#NAME?</v>
      </c>
    </row>
    <row r="55" spans="1:23" x14ac:dyDescent="0.2">
      <c r="A55" s="16" t="s">
        <v>1814</v>
      </c>
      <c r="B55" s="7" t="s">
        <v>1815</v>
      </c>
      <c r="C55" s="3" t="e">
        <f ca="1">[1]!BexGetData("DP_1","003N8EMH8GTFRCSWKMPXRR8GU","GSON1111300045")</f>
        <v>#NAME?</v>
      </c>
      <c r="D55" s="3" t="e">
        <f ca="1">[1]!BexGetData("DP_1","003N8EMH8GTFRCSWKMPXRRESE","GSON1111300045")</f>
        <v>#NAME?</v>
      </c>
      <c r="E55" s="8" t="e">
        <f ca="1">[1]!BexGetData("DP_1","003N8EMH8GTFRCSWKMPXRRL3Y","GSON1111300045")</f>
        <v>#NAME?</v>
      </c>
      <c r="F55" s="4" t="e">
        <f ca="1">[1]!BexGetData("DP_1","003N8EMH8GTFRCSWKMPXRRRFI","GSON1111300045")</f>
        <v>#NAME?</v>
      </c>
      <c r="G55" s="4" t="e">
        <f ca="1">[1]!BexGetData("DP_1","003N8EMH8GTFRCSWKMPXRRXR2","GSON1111300045")</f>
        <v>#NAME?</v>
      </c>
      <c r="H55" s="4" t="e">
        <f ca="1">[1]!BexGetData("DP_1","003N8EMH8GTFRCSWKMPXRS42M","GSON1111300045")</f>
        <v>#NAME?</v>
      </c>
      <c r="I55" s="4" t="e">
        <f ca="1">[1]!BexGetData("DP_1","003N8EMH8GTFRCSWKMPXRSAE6","GSON1111300045")</f>
        <v>#NAME?</v>
      </c>
      <c r="J55" s="4" t="e">
        <f ca="1">[1]!BexGetData("DP_1","003N8EMH8GTFRCSWKMPXRSGPQ","GSON1111300045")</f>
        <v>#NAME?</v>
      </c>
      <c r="K55" s="8" t="e">
        <f ca="1">[1]!BexGetData("DP_1","003N8EMH8GTFRIVNUPY288VJH","GSON1111300045")</f>
        <v>#NAME?</v>
      </c>
      <c r="L55" s="8" t="e">
        <f ca="1">[1]!BexGetData("DP_1","003N8EMH8GTFRIVNUPY2891V1","GSON1111300045")</f>
        <v>#NAME?</v>
      </c>
      <c r="M55" s="8" t="e">
        <f ca="1">[1]!BexGetData("DP_1","003N8EMH8GTFRIVOG7KG9IQXA","GSON1111300045")</f>
        <v>#NAME?</v>
      </c>
      <c r="N55" s="8" t="e">
        <f ca="1">[1]!BexGetData("DP_1","003N8EMH8GTFRIVOG7KG9IX8U","GSON1111300045")</f>
        <v>#NAME?</v>
      </c>
      <c r="O55" s="8" t="e">
        <f ca="1">[1]!BexGetData("DP_1","003N8EMH8GTFRIVOG7KG9J3KE","GSON1111300045")</f>
        <v>#NAME?</v>
      </c>
      <c r="P55" s="8" t="e">
        <f ca="1">[1]!BexGetData("DP_1","003N8EMH8GTFRIVOG7KG9J9VY","GSON1111300045")</f>
        <v>#NAME?</v>
      </c>
      <c r="Q55" s="4" t="e">
        <f ca="1">[1]!BexGetData("DP_1","00O2TNJGODT0G5Z4TTKYMM5MT","GSON1111300045")</f>
        <v>#NAME?</v>
      </c>
      <c r="R55" s="4" t="e">
        <f ca="1">[1]!BexGetData("DP_1","00O2TNJGODT0G5Z4TTKYMMBYD","GSON1111300045")</f>
        <v>#NAME?</v>
      </c>
      <c r="S55" s="4" t="e">
        <f ca="1">[1]!BexGetData("DP_1","00O2TNJGODT0G5Z4TTKYMMI9X","GSON1111300045")</f>
        <v>#NAME?</v>
      </c>
      <c r="T55" s="4" t="e">
        <f ca="1">[1]!BexGetData("DP_1","00O2TNJGODT0G5Z4TTKYMMOLH","GSON1111300045")</f>
        <v>#NAME?</v>
      </c>
      <c r="U55" s="4" t="e">
        <f ca="1">[1]!BexGetData("DP_1","00O2TNJGODT0G5Z4TTKYMMUX1","GSON1111300045")</f>
        <v>#NAME?</v>
      </c>
      <c r="V55" s="4" t="e">
        <f ca="1">[1]!BexGetData("DP_1","00O2TNJGODT0G5Z4TTKYMN18L","GSON1111300045")</f>
        <v>#NAME?</v>
      </c>
      <c r="W55" s="4" t="e">
        <f ca="1">[1]!BexGetData("DP_1","00O2TNJGODT0G5Z4TTKYMN7K5","GSON1111300045")</f>
        <v>#NAME?</v>
      </c>
    </row>
    <row r="56" spans="1:23" x14ac:dyDescent="0.2">
      <c r="A56" s="16" t="s">
        <v>1816</v>
      </c>
      <c r="B56" s="7" t="s">
        <v>1817</v>
      </c>
      <c r="C56" s="3" t="e">
        <f ca="1">[1]!BexGetData("DP_1","003N8EMH8GTFRCSWKMPXRR8GU","GSON1111300046")</f>
        <v>#NAME?</v>
      </c>
      <c r="D56" s="3" t="e">
        <f ca="1">[1]!BexGetData("DP_1","003N8EMH8GTFRCSWKMPXRRESE","GSON1111300046")</f>
        <v>#NAME?</v>
      </c>
      <c r="E56" s="8" t="e">
        <f ca="1">[1]!BexGetData("DP_1","003N8EMH8GTFRCSWKMPXRRL3Y","GSON1111300046")</f>
        <v>#NAME?</v>
      </c>
      <c r="F56" s="4" t="e">
        <f ca="1">[1]!BexGetData("DP_1","003N8EMH8GTFRCSWKMPXRRRFI","GSON1111300046")</f>
        <v>#NAME?</v>
      </c>
      <c r="G56" s="4" t="e">
        <f ca="1">[1]!BexGetData("DP_1","003N8EMH8GTFRCSWKMPXRRXR2","GSON1111300046")</f>
        <v>#NAME?</v>
      </c>
      <c r="H56" s="4" t="e">
        <f ca="1">[1]!BexGetData("DP_1","003N8EMH8GTFRCSWKMPXRS42M","GSON1111300046")</f>
        <v>#NAME?</v>
      </c>
      <c r="I56" s="4" t="e">
        <f ca="1">[1]!BexGetData("DP_1","003N8EMH8GTFRCSWKMPXRSAE6","GSON1111300046")</f>
        <v>#NAME?</v>
      </c>
      <c r="J56" s="4" t="e">
        <f ca="1">[1]!BexGetData("DP_1","003N8EMH8GTFRCSWKMPXRSGPQ","GSON1111300046")</f>
        <v>#NAME?</v>
      </c>
      <c r="K56" s="8" t="e">
        <f ca="1">[1]!BexGetData("DP_1","003N8EMH8GTFRIVNUPY288VJH","GSON1111300046")</f>
        <v>#NAME?</v>
      </c>
      <c r="L56" s="8" t="e">
        <f ca="1">[1]!BexGetData("DP_1","003N8EMH8GTFRIVNUPY2891V1","GSON1111300046")</f>
        <v>#NAME?</v>
      </c>
      <c r="M56" s="8" t="e">
        <f ca="1">[1]!BexGetData("DP_1","003N8EMH8GTFRIVOG7KG9IQXA","GSON1111300046")</f>
        <v>#NAME?</v>
      </c>
      <c r="N56" s="8" t="e">
        <f ca="1">[1]!BexGetData("DP_1","003N8EMH8GTFRIVOG7KG9IX8U","GSON1111300046")</f>
        <v>#NAME?</v>
      </c>
      <c r="O56" s="8" t="e">
        <f ca="1">[1]!BexGetData("DP_1","003N8EMH8GTFRIVOG7KG9J3KE","GSON1111300046")</f>
        <v>#NAME?</v>
      </c>
      <c r="P56" s="8" t="e">
        <f ca="1">[1]!BexGetData("DP_1","003N8EMH8GTFRIVOG7KG9J9VY","GSON1111300046")</f>
        <v>#NAME?</v>
      </c>
      <c r="Q56" s="4" t="e">
        <f ca="1">[1]!BexGetData("DP_1","00O2TNJGODT0G5Z4TTKYMM5MT","GSON1111300046")</f>
        <v>#NAME?</v>
      </c>
      <c r="R56" s="4" t="e">
        <f ca="1">[1]!BexGetData("DP_1","00O2TNJGODT0G5Z4TTKYMMBYD","GSON1111300046")</f>
        <v>#NAME?</v>
      </c>
      <c r="S56" s="4" t="e">
        <f ca="1">[1]!BexGetData("DP_1","00O2TNJGODT0G5Z4TTKYMMI9X","GSON1111300046")</f>
        <v>#NAME?</v>
      </c>
      <c r="T56" s="4" t="e">
        <f ca="1">[1]!BexGetData("DP_1","00O2TNJGODT0G5Z4TTKYMMOLH","GSON1111300046")</f>
        <v>#NAME?</v>
      </c>
      <c r="U56" s="4" t="e">
        <f ca="1">[1]!BexGetData("DP_1","00O2TNJGODT0G5Z4TTKYMMUX1","GSON1111300046")</f>
        <v>#NAME?</v>
      </c>
      <c r="V56" s="4" t="e">
        <f ca="1">[1]!BexGetData("DP_1","00O2TNJGODT0G5Z4TTKYMN18L","GSON1111300046")</f>
        <v>#NAME?</v>
      </c>
      <c r="W56" s="4" t="e">
        <f ca="1">[1]!BexGetData("DP_1","00O2TNJGODT0G5Z4TTKYMN7K5","GSON1111300046")</f>
        <v>#NAME?</v>
      </c>
    </row>
    <row r="57" spans="1:23" x14ac:dyDescent="0.2">
      <c r="A57" s="16" t="s">
        <v>1818</v>
      </c>
      <c r="B57" s="7" t="s">
        <v>1819</v>
      </c>
      <c r="C57" s="3" t="e">
        <f ca="1">[1]!BexGetData("DP_1","003N8EMH8GTFRCSWKMPXRR8GU","GSON1111300047")</f>
        <v>#NAME?</v>
      </c>
      <c r="D57" s="3" t="e">
        <f ca="1">[1]!BexGetData("DP_1","003N8EMH8GTFRCSWKMPXRRESE","GSON1111300047")</f>
        <v>#NAME?</v>
      </c>
      <c r="E57" s="8" t="e">
        <f ca="1">[1]!BexGetData("DP_1","003N8EMH8GTFRCSWKMPXRRL3Y","GSON1111300047")</f>
        <v>#NAME?</v>
      </c>
      <c r="F57" s="4" t="e">
        <f ca="1">[1]!BexGetData("DP_1","003N8EMH8GTFRCSWKMPXRRRFI","GSON1111300047")</f>
        <v>#NAME?</v>
      </c>
      <c r="G57" s="4" t="e">
        <f ca="1">[1]!BexGetData("DP_1","003N8EMH8GTFRCSWKMPXRRXR2","GSON1111300047")</f>
        <v>#NAME?</v>
      </c>
      <c r="H57" s="4" t="e">
        <f ca="1">[1]!BexGetData("DP_1","003N8EMH8GTFRCSWKMPXRS42M","GSON1111300047")</f>
        <v>#NAME?</v>
      </c>
      <c r="I57" s="4" t="e">
        <f ca="1">[1]!BexGetData("DP_1","003N8EMH8GTFRCSWKMPXRSAE6","GSON1111300047")</f>
        <v>#NAME?</v>
      </c>
      <c r="J57" s="4" t="e">
        <f ca="1">[1]!BexGetData("DP_1","003N8EMH8GTFRCSWKMPXRSGPQ","GSON1111300047")</f>
        <v>#NAME?</v>
      </c>
      <c r="K57" s="8" t="e">
        <f ca="1">[1]!BexGetData("DP_1","003N8EMH8GTFRIVNUPY288VJH","GSON1111300047")</f>
        <v>#NAME?</v>
      </c>
      <c r="L57" s="8" t="e">
        <f ca="1">[1]!BexGetData("DP_1","003N8EMH8GTFRIVNUPY2891V1","GSON1111300047")</f>
        <v>#NAME?</v>
      </c>
      <c r="M57" s="8" t="e">
        <f ca="1">[1]!BexGetData("DP_1","003N8EMH8GTFRIVOG7KG9IQXA","GSON1111300047")</f>
        <v>#NAME?</v>
      </c>
      <c r="N57" s="8" t="e">
        <f ca="1">[1]!BexGetData("DP_1","003N8EMH8GTFRIVOG7KG9IX8U","GSON1111300047")</f>
        <v>#NAME?</v>
      </c>
      <c r="O57" s="8" t="e">
        <f ca="1">[1]!BexGetData("DP_1","003N8EMH8GTFRIVOG7KG9J3KE","GSON1111300047")</f>
        <v>#NAME?</v>
      </c>
      <c r="P57" s="8" t="e">
        <f ca="1">[1]!BexGetData("DP_1","003N8EMH8GTFRIVOG7KG9J9VY","GSON1111300047")</f>
        <v>#NAME?</v>
      </c>
      <c r="Q57" s="4" t="e">
        <f ca="1">[1]!BexGetData("DP_1","00O2TNJGODT0G5Z4TTKYMM5MT","GSON1111300047")</f>
        <v>#NAME?</v>
      </c>
      <c r="R57" s="4" t="e">
        <f ca="1">[1]!BexGetData("DP_1","00O2TNJGODT0G5Z4TTKYMMBYD","GSON1111300047")</f>
        <v>#NAME?</v>
      </c>
      <c r="S57" s="4" t="e">
        <f ca="1">[1]!BexGetData("DP_1","00O2TNJGODT0G5Z4TTKYMMI9X","GSON1111300047")</f>
        <v>#NAME?</v>
      </c>
      <c r="T57" s="4" t="e">
        <f ca="1">[1]!BexGetData("DP_1","00O2TNJGODT0G5Z4TTKYMMOLH","GSON1111300047")</f>
        <v>#NAME?</v>
      </c>
      <c r="U57" s="4" t="e">
        <f ca="1">[1]!BexGetData("DP_1","00O2TNJGODT0G5Z4TTKYMMUX1","GSON1111300047")</f>
        <v>#NAME?</v>
      </c>
      <c r="V57" s="4" t="e">
        <f ca="1">[1]!BexGetData("DP_1","00O2TNJGODT0G5Z4TTKYMN18L","GSON1111300047")</f>
        <v>#NAME?</v>
      </c>
      <c r="W57" s="4" t="e">
        <f ca="1">[1]!BexGetData("DP_1","00O2TNJGODT0G5Z4TTKYMN7K5","GSON1111300047")</f>
        <v>#NAME?</v>
      </c>
    </row>
    <row r="58" spans="1:23" x14ac:dyDescent="0.2">
      <c r="A58" s="16" t="s">
        <v>1820</v>
      </c>
      <c r="B58" s="7" t="s">
        <v>1821</v>
      </c>
      <c r="C58" s="3" t="e">
        <f ca="1">[1]!BexGetData("DP_1","003N8EMH8GTFRCSWKMPXRR8GU","GSON1111300048")</f>
        <v>#NAME?</v>
      </c>
      <c r="D58" s="3" t="e">
        <f ca="1">[1]!BexGetData("DP_1","003N8EMH8GTFRCSWKMPXRRESE","GSON1111300048")</f>
        <v>#NAME?</v>
      </c>
      <c r="E58" s="8" t="e">
        <f ca="1">[1]!BexGetData("DP_1","003N8EMH8GTFRCSWKMPXRRL3Y","GSON1111300048")</f>
        <v>#NAME?</v>
      </c>
      <c r="F58" s="4" t="e">
        <f ca="1">[1]!BexGetData("DP_1","003N8EMH8GTFRCSWKMPXRRRFI","GSON1111300048")</f>
        <v>#NAME?</v>
      </c>
      <c r="G58" s="4" t="e">
        <f ca="1">[1]!BexGetData("DP_1","003N8EMH8GTFRCSWKMPXRRXR2","GSON1111300048")</f>
        <v>#NAME?</v>
      </c>
      <c r="H58" s="4" t="e">
        <f ca="1">[1]!BexGetData("DP_1","003N8EMH8GTFRCSWKMPXRS42M","GSON1111300048")</f>
        <v>#NAME?</v>
      </c>
      <c r="I58" s="4" t="e">
        <f ca="1">[1]!BexGetData("DP_1","003N8EMH8GTFRCSWKMPXRSAE6","GSON1111300048")</f>
        <v>#NAME?</v>
      </c>
      <c r="J58" s="4" t="e">
        <f ca="1">[1]!BexGetData("DP_1","003N8EMH8GTFRCSWKMPXRSGPQ","GSON1111300048")</f>
        <v>#NAME?</v>
      </c>
      <c r="K58" s="8" t="e">
        <f ca="1">[1]!BexGetData("DP_1","003N8EMH8GTFRIVNUPY288VJH","GSON1111300048")</f>
        <v>#NAME?</v>
      </c>
      <c r="L58" s="8" t="e">
        <f ca="1">[1]!BexGetData("DP_1","003N8EMH8GTFRIVNUPY2891V1","GSON1111300048")</f>
        <v>#NAME?</v>
      </c>
      <c r="M58" s="8" t="e">
        <f ca="1">[1]!BexGetData("DP_1","003N8EMH8GTFRIVOG7KG9IQXA","GSON1111300048")</f>
        <v>#NAME?</v>
      </c>
      <c r="N58" s="8" t="e">
        <f ca="1">[1]!BexGetData("DP_1","003N8EMH8GTFRIVOG7KG9IX8U","GSON1111300048")</f>
        <v>#NAME?</v>
      </c>
      <c r="O58" s="8" t="e">
        <f ca="1">[1]!BexGetData("DP_1","003N8EMH8GTFRIVOG7KG9J3KE","GSON1111300048")</f>
        <v>#NAME?</v>
      </c>
      <c r="P58" s="8" t="e">
        <f ca="1">[1]!BexGetData("DP_1","003N8EMH8GTFRIVOG7KG9J9VY","GSON1111300048")</f>
        <v>#NAME?</v>
      </c>
      <c r="Q58" s="4" t="e">
        <f ca="1">[1]!BexGetData("DP_1","00O2TNJGODT0G5Z4TTKYMM5MT","GSON1111300048")</f>
        <v>#NAME?</v>
      </c>
      <c r="R58" s="4" t="e">
        <f ca="1">[1]!BexGetData("DP_1","00O2TNJGODT0G5Z4TTKYMMBYD","GSON1111300048")</f>
        <v>#NAME?</v>
      </c>
      <c r="S58" s="4" t="e">
        <f ca="1">[1]!BexGetData("DP_1","00O2TNJGODT0G5Z4TTKYMMI9X","GSON1111300048")</f>
        <v>#NAME?</v>
      </c>
      <c r="T58" s="4" t="e">
        <f ca="1">[1]!BexGetData("DP_1","00O2TNJGODT0G5Z4TTKYMMOLH","GSON1111300048")</f>
        <v>#NAME?</v>
      </c>
      <c r="U58" s="4" t="e">
        <f ca="1">[1]!BexGetData("DP_1","00O2TNJGODT0G5Z4TTKYMMUX1","GSON1111300048")</f>
        <v>#NAME?</v>
      </c>
      <c r="V58" s="4" t="e">
        <f ca="1">[1]!BexGetData("DP_1","00O2TNJGODT0G5Z4TTKYMN18L","GSON1111300048")</f>
        <v>#NAME?</v>
      </c>
      <c r="W58" s="4" t="e">
        <f ca="1">[1]!BexGetData("DP_1","00O2TNJGODT0G5Z4TTKYMN7K5","GSON1111300048")</f>
        <v>#NAME?</v>
      </c>
    </row>
    <row r="59" spans="1:23" x14ac:dyDescent="0.2">
      <c r="A59" s="16" t="s">
        <v>1822</v>
      </c>
      <c r="B59" s="7" t="s">
        <v>1823</v>
      </c>
      <c r="C59" s="3" t="e">
        <f ca="1">[1]!BexGetData("DP_1","003N8EMH8GTFRCSWKMPXRR8GU","GSON1111300051")</f>
        <v>#NAME?</v>
      </c>
      <c r="D59" s="3" t="e">
        <f ca="1">[1]!BexGetData("DP_1","003N8EMH8GTFRCSWKMPXRRESE","GSON1111300051")</f>
        <v>#NAME?</v>
      </c>
      <c r="E59" s="8" t="e">
        <f ca="1">[1]!BexGetData("DP_1","003N8EMH8GTFRCSWKMPXRRL3Y","GSON1111300051")</f>
        <v>#NAME?</v>
      </c>
      <c r="F59" s="4" t="e">
        <f ca="1">[1]!BexGetData("DP_1","003N8EMH8GTFRCSWKMPXRRRFI","GSON1111300051")</f>
        <v>#NAME?</v>
      </c>
      <c r="G59" s="4" t="e">
        <f ca="1">[1]!BexGetData("DP_1","003N8EMH8GTFRCSWKMPXRRXR2","GSON1111300051")</f>
        <v>#NAME?</v>
      </c>
      <c r="H59" s="4" t="e">
        <f ca="1">[1]!BexGetData("DP_1","003N8EMH8GTFRCSWKMPXRS42M","GSON1111300051")</f>
        <v>#NAME?</v>
      </c>
      <c r="I59" s="4" t="e">
        <f ca="1">[1]!BexGetData("DP_1","003N8EMH8GTFRCSWKMPXRSAE6","GSON1111300051")</f>
        <v>#NAME?</v>
      </c>
      <c r="J59" s="4" t="e">
        <f ca="1">[1]!BexGetData("DP_1","003N8EMH8GTFRCSWKMPXRSGPQ","GSON1111300051")</f>
        <v>#NAME?</v>
      </c>
      <c r="K59" s="8" t="e">
        <f ca="1">[1]!BexGetData("DP_1","003N8EMH8GTFRIVNUPY288VJH","GSON1111300051")</f>
        <v>#NAME?</v>
      </c>
      <c r="L59" s="8" t="e">
        <f ca="1">[1]!BexGetData("DP_1","003N8EMH8GTFRIVNUPY2891V1","GSON1111300051")</f>
        <v>#NAME?</v>
      </c>
      <c r="M59" s="8" t="e">
        <f ca="1">[1]!BexGetData("DP_1","003N8EMH8GTFRIVOG7KG9IQXA","GSON1111300051")</f>
        <v>#NAME?</v>
      </c>
      <c r="N59" s="8" t="e">
        <f ca="1">[1]!BexGetData("DP_1","003N8EMH8GTFRIVOG7KG9IX8U","GSON1111300051")</f>
        <v>#NAME?</v>
      </c>
      <c r="O59" s="8" t="e">
        <f ca="1">[1]!BexGetData("DP_1","003N8EMH8GTFRIVOG7KG9J3KE","GSON1111300051")</f>
        <v>#NAME?</v>
      </c>
      <c r="P59" s="8" t="e">
        <f ca="1">[1]!BexGetData("DP_1","003N8EMH8GTFRIVOG7KG9J9VY","GSON1111300051")</f>
        <v>#NAME?</v>
      </c>
      <c r="Q59" s="4" t="e">
        <f ca="1">[1]!BexGetData("DP_1","00O2TNJGODT0G5Z4TTKYMM5MT","GSON1111300051")</f>
        <v>#NAME?</v>
      </c>
      <c r="R59" s="4" t="e">
        <f ca="1">[1]!BexGetData("DP_1","00O2TNJGODT0G5Z4TTKYMMBYD","GSON1111300051")</f>
        <v>#NAME?</v>
      </c>
      <c r="S59" s="4" t="e">
        <f ca="1">[1]!BexGetData("DP_1","00O2TNJGODT0G5Z4TTKYMMI9X","GSON1111300051")</f>
        <v>#NAME?</v>
      </c>
      <c r="T59" s="4" t="e">
        <f ca="1">[1]!BexGetData("DP_1","00O2TNJGODT0G5Z4TTKYMMOLH","GSON1111300051")</f>
        <v>#NAME?</v>
      </c>
      <c r="U59" s="4" t="e">
        <f ca="1">[1]!BexGetData("DP_1","00O2TNJGODT0G5Z4TTKYMMUX1","GSON1111300051")</f>
        <v>#NAME?</v>
      </c>
      <c r="V59" s="4" t="e">
        <f ca="1">[1]!BexGetData("DP_1","00O2TNJGODT0G5Z4TTKYMN18L","GSON1111300051")</f>
        <v>#NAME?</v>
      </c>
      <c r="W59" s="4" t="e">
        <f ca="1">[1]!BexGetData("DP_1","00O2TNJGODT0G5Z4TTKYMN7K5","GSON1111300051")</f>
        <v>#NAME?</v>
      </c>
    </row>
    <row r="60" spans="1:23" x14ac:dyDescent="0.2">
      <c r="A60" s="16" t="s">
        <v>1824</v>
      </c>
      <c r="B60" s="7" t="s">
        <v>1825</v>
      </c>
      <c r="C60" s="3" t="e">
        <f ca="1">[1]!BexGetData("DP_1","003N8EMH8GTFRCSWKMPXRR8GU","GSON1111300052")</f>
        <v>#NAME?</v>
      </c>
      <c r="D60" s="3" t="e">
        <f ca="1">[1]!BexGetData("DP_1","003N8EMH8GTFRCSWKMPXRRESE","GSON1111300052")</f>
        <v>#NAME?</v>
      </c>
      <c r="E60" s="8" t="e">
        <f ca="1">[1]!BexGetData("DP_1","003N8EMH8GTFRCSWKMPXRRL3Y","GSON1111300052")</f>
        <v>#NAME?</v>
      </c>
      <c r="F60" s="4" t="e">
        <f ca="1">[1]!BexGetData("DP_1","003N8EMH8GTFRCSWKMPXRRRFI","GSON1111300052")</f>
        <v>#NAME?</v>
      </c>
      <c r="G60" s="4" t="e">
        <f ca="1">[1]!BexGetData("DP_1","003N8EMH8GTFRCSWKMPXRRXR2","GSON1111300052")</f>
        <v>#NAME?</v>
      </c>
      <c r="H60" s="4" t="e">
        <f ca="1">[1]!BexGetData("DP_1","003N8EMH8GTFRCSWKMPXRS42M","GSON1111300052")</f>
        <v>#NAME?</v>
      </c>
      <c r="I60" s="4" t="e">
        <f ca="1">[1]!BexGetData("DP_1","003N8EMH8GTFRCSWKMPXRSAE6","GSON1111300052")</f>
        <v>#NAME?</v>
      </c>
      <c r="J60" s="4" t="e">
        <f ca="1">[1]!BexGetData("DP_1","003N8EMH8GTFRCSWKMPXRSGPQ","GSON1111300052")</f>
        <v>#NAME?</v>
      </c>
      <c r="K60" s="8" t="e">
        <f ca="1">[1]!BexGetData("DP_1","003N8EMH8GTFRIVNUPY288VJH","GSON1111300052")</f>
        <v>#NAME?</v>
      </c>
      <c r="L60" s="8" t="e">
        <f ca="1">[1]!BexGetData("DP_1","003N8EMH8GTFRIVNUPY2891V1","GSON1111300052")</f>
        <v>#NAME?</v>
      </c>
      <c r="M60" s="8" t="e">
        <f ca="1">[1]!BexGetData("DP_1","003N8EMH8GTFRIVOG7KG9IQXA","GSON1111300052")</f>
        <v>#NAME?</v>
      </c>
      <c r="N60" s="8" t="e">
        <f ca="1">[1]!BexGetData("DP_1","003N8EMH8GTFRIVOG7KG9IX8U","GSON1111300052")</f>
        <v>#NAME?</v>
      </c>
      <c r="O60" s="8" t="e">
        <f ca="1">[1]!BexGetData("DP_1","003N8EMH8GTFRIVOG7KG9J3KE","GSON1111300052")</f>
        <v>#NAME?</v>
      </c>
      <c r="P60" s="8" t="e">
        <f ca="1">[1]!BexGetData("DP_1","003N8EMH8GTFRIVOG7KG9J9VY","GSON1111300052")</f>
        <v>#NAME?</v>
      </c>
      <c r="Q60" s="4" t="e">
        <f ca="1">[1]!BexGetData("DP_1","00O2TNJGODT0G5Z4TTKYMM5MT","GSON1111300052")</f>
        <v>#NAME?</v>
      </c>
      <c r="R60" s="4" t="e">
        <f ca="1">[1]!BexGetData("DP_1","00O2TNJGODT0G5Z4TTKYMMBYD","GSON1111300052")</f>
        <v>#NAME?</v>
      </c>
      <c r="S60" s="4" t="e">
        <f ca="1">[1]!BexGetData("DP_1","00O2TNJGODT0G5Z4TTKYMMI9X","GSON1111300052")</f>
        <v>#NAME?</v>
      </c>
      <c r="T60" s="4" t="e">
        <f ca="1">[1]!BexGetData("DP_1","00O2TNJGODT0G5Z4TTKYMMOLH","GSON1111300052")</f>
        <v>#NAME?</v>
      </c>
      <c r="U60" s="4" t="e">
        <f ca="1">[1]!BexGetData("DP_1","00O2TNJGODT0G5Z4TTKYMMUX1","GSON1111300052")</f>
        <v>#NAME?</v>
      </c>
      <c r="V60" s="4" t="e">
        <f ca="1">[1]!BexGetData("DP_1","00O2TNJGODT0G5Z4TTKYMN18L","GSON1111300052")</f>
        <v>#NAME?</v>
      </c>
      <c r="W60" s="4" t="e">
        <f ca="1">[1]!BexGetData("DP_1","00O2TNJGODT0G5Z4TTKYMN7K5","GSON1111300052")</f>
        <v>#NAME?</v>
      </c>
    </row>
    <row r="61" spans="1:23" x14ac:dyDescent="0.2">
      <c r="A61" s="16" t="s">
        <v>1826</v>
      </c>
      <c r="B61" s="7" t="s">
        <v>1827</v>
      </c>
      <c r="C61" s="3" t="e">
        <f ca="1">[1]!BexGetData("DP_1","003N8EMH8GTFRCSWKMPXRR8GU","GSON1111300055")</f>
        <v>#NAME?</v>
      </c>
      <c r="D61" s="3" t="e">
        <f ca="1">[1]!BexGetData("DP_1","003N8EMH8GTFRCSWKMPXRRESE","GSON1111300055")</f>
        <v>#NAME?</v>
      </c>
      <c r="E61" s="8" t="e">
        <f ca="1">[1]!BexGetData("DP_1","003N8EMH8GTFRCSWKMPXRRL3Y","GSON1111300055")</f>
        <v>#NAME?</v>
      </c>
      <c r="F61" s="4" t="e">
        <f ca="1">[1]!BexGetData("DP_1","003N8EMH8GTFRCSWKMPXRRRFI","GSON1111300055")</f>
        <v>#NAME?</v>
      </c>
      <c r="G61" s="4" t="e">
        <f ca="1">[1]!BexGetData("DP_1","003N8EMH8GTFRCSWKMPXRRXR2","GSON1111300055")</f>
        <v>#NAME?</v>
      </c>
      <c r="H61" s="4" t="e">
        <f ca="1">[1]!BexGetData("DP_1","003N8EMH8GTFRCSWKMPXRS42M","GSON1111300055")</f>
        <v>#NAME?</v>
      </c>
      <c r="I61" s="4" t="e">
        <f ca="1">[1]!BexGetData("DP_1","003N8EMH8GTFRCSWKMPXRSAE6","GSON1111300055")</f>
        <v>#NAME?</v>
      </c>
      <c r="J61" s="4" t="e">
        <f ca="1">[1]!BexGetData("DP_1","003N8EMH8GTFRCSWKMPXRSGPQ","GSON1111300055")</f>
        <v>#NAME?</v>
      </c>
      <c r="K61" s="8" t="e">
        <f ca="1">[1]!BexGetData("DP_1","003N8EMH8GTFRIVNUPY288VJH","GSON1111300055")</f>
        <v>#NAME?</v>
      </c>
      <c r="L61" s="8" t="e">
        <f ca="1">[1]!BexGetData("DP_1","003N8EMH8GTFRIVNUPY2891V1","GSON1111300055")</f>
        <v>#NAME?</v>
      </c>
      <c r="M61" s="8" t="e">
        <f ca="1">[1]!BexGetData("DP_1","003N8EMH8GTFRIVOG7KG9IQXA","GSON1111300055")</f>
        <v>#NAME?</v>
      </c>
      <c r="N61" s="8" t="e">
        <f ca="1">[1]!BexGetData("DP_1","003N8EMH8GTFRIVOG7KG9IX8U","GSON1111300055")</f>
        <v>#NAME?</v>
      </c>
      <c r="O61" s="8" t="e">
        <f ca="1">[1]!BexGetData("DP_1","003N8EMH8GTFRIVOG7KG9J3KE","GSON1111300055")</f>
        <v>#NAME?</v>
      </c>
      <c r="P61" s="8" t="e">
        <f ca="1">[1]!BexGetData("DP_1","003N8EMH8GTFRIVOG7KG9J9VY","GSON1111300055")</f>
        <v>#NAME?</v>
      </c>
      <c r="Q61" s="4" t="e">
        <f ca="1">[1]!BexGetData("DP_1","00O2TNJGODT0G5Z4TTKYMM5MT","GSON1111300055")</f>
        <v>#NAME?</v>
      </c>
      <c r="R61" s="4" t="e">
        <f ca="1">[1]!BexGetData("DP_1","00O2TNJGODT0G5Z4TTKYMMBYD","GSON1111300055")</f>
        <v>#NAME?</v>
      </c>
      <c r="S61" s="4" t="e">
        <f ca="1">[1]!BexGetData("DP_1","00O2TNJGODT0G5Z4TTKYMMI9X","GSON1111300055")</f>
        <v>#NAME?</v>
      </c>
      <c r="T61" s="4" t="e">
        <f ca="1">[1]!BexGetData("DP_1","00O2TNJGODT0G5Z4TTKYMMOLH","GSON1111300055")</f>
        <v>#NAME?</v>
      </c>
      <c r="U61" s="4" t="e">
        <f ca="1">[1]!BexGetData("DP_1","00O2TNJGODT0G5Z4TTKYMMUX1","GSON1111300055")</f>
        <v>#NAME?</v>
      </c>
      <c r="V61" s="4" t="e">
        <f ca="1">[1]!BexGetData("DP_1","00O2TNJGODT0G5Z4TTKYMN18L","GSON1111300055")</f>
        <v>#NAME?</v>
      </c>
      <c r="W61" s="4" t="e">
        <f ca="1">[1]!BexGetData("DP_1","00O2TNJGODT0G5Z4TTKYMN7K5","GSON1111300055")</f>
        <v>#NAME?</v>
      </c>
    </row>
    <row r="62" spans="1:23" x14ac:dyDescent="0.2">
      <c r="A62" s="16" t="s">
        <v>1828</v>
      </c>
      <c r="B62" s="7" t="s">
        <v>1829</v>
      </c>
      <c r="C62" s="3" t="e">
        <f ca="1">[1]!BexGetData("DP_1","003N8EMH8GTFRCSWKMPXRR8GU","GSON1111300056")</f>
        <v>#NAME?</v>
      </c>
      <c r="D62" s="3" t="e">
        <f ca="1">[1]!BexGetData("DP_1","003N8EMH8GTFRCSWKMPXRRESE","GSON1111300056")</f>
        <v>#NAME?</v>
      </c>
      <c r="E62" s="8" t="e">
        <f ca="1">[1]!BexGetData("DP_1","003N8EMH8GTFRCSWKMPXRRL3Y","GSON1111300056")</f>
        <v>#NAME?</v>
      </c>
      <c r="F62" s="4" t="e">
        <f ca="1">[1]!BexGetData("DP_1","003N8EMH8GTFRCSWKMPXRRRFI","GSON1111300056")</f>
        <v>#NAME?</v>
      </c>
      <c r="G62" s="4" t="e">
        <f ca="1">[1]!BexGetData("DP_1","003N8EMH8GTFRCSWKMPXRRXR2","GSON1111300056")</f>
        <v>#NAME?</v>
      </c>
      <c r="H62" s="4" t="e">
        <f ca="1">[1]!BexGetData("DP_1","003N8EMH8GTFRCSWKMPXRS42M","GSON1111300056")</f>
        <v>#NAME?</v>
      </c>
      <c r="I62" s="4" t="e">
        <f ca="1">[1]!BexGetData("DP_1","003N8EMH8GTFRCSWKMPXRSAE6","GSON1111300056")</f>
        <v>#NAME?</v>
      </c>
      <c r="J62" s="4" t="e">
        <f ca="1">[1]!BexGetData("DP_1","003N8EMH8GTFRCSWKMPXRSGPQ","GSON1111300056")</f>
        <v>#NAME?</v>
      </c>
      <c r="K62" s="8" t="e">
        <f ca="1">[1]!BexGetData("DP_1","003N8EMH8GTFRIVNUPY288VJH","GSON1111300056")</f>
        <v>#NAME?</v>
      </c>
      <c r="L62" s="8" t="e">
        <f ca="1">[1]!BexGetData("DP_1","003N8EMH8GTFRIVNUPY2891V1","GSON1111300056")</f>
        <v>#NAME?</v>
      </c>
      <c r="M62" s="8" t="e">
        <f ca="1">[1]!BexGetData("DP_1","003N8EMH8GTFRIVOG7KG9IQXA","GSON1111300056")</f>
        <v>#NAME?</v>
      </c>
      <c r="N62" s="8" t="e">
        <f ca="1">[1]!BexGetData("DP_1","003N8EMH8GTFRIVOG7KG9IX8U","GSON1111300056")</f>
        <v>#NAME?</v>
      </c>
      <c r="O62" s="8" t="e">
        <f ca="1">[1]!BexGetData("DP_1","003N8EMH8GTFRIVOG7KG9J3KE","GSON1111300056")</f>
        <v>#NAME?</v>
      </c>
      <c r="P62" s="8" t="e">
        <f ca="1">[1]!BexGetData("DP_1","003N8EMH8GTFRIVOG7KG9J9VY","GSON1111300056")</f>
        <v>#NAME?</v>
      </c>
      <c r="Q62" s="4" t="e">
        <f ca="1">[1]!BexGetData("DP_1","00O2TNJGODT0G5Z4TTKYMM5MT","GSON1111300056")</f>
        <v>#NAME?</v>
      </c>
      <c r="R62" s="4" t="e">
        <f ca="1">[1]!BexGetData("DP_1","00O2TNJGODT0G5Z4TTKYMMBYD","GSON1111300056")</f>
        <v>#NAME?</v>
      </c>
      <c r="S62" s="4" t="e">
        <f ca="1">[1]!BexGetData("DP_1","00O2TNJGODT0G5Z4TTKYMMI9X","GSON1111300056")</f>
        <v>#NAME?</v>
      </c>
      <c r="T62" s="4" t="e">
        <f ca="1">[1]!BexGetData("DP_1","00O2TNJGODT0G5Z4TTKYMMOLH","GSON1111300056")</f>
        <v>#NAME?</v>
      </c>
      <c r="U62" s="4" t="e">
        <f ca="1">[1]!BexGetData("DP_1","00O2TNJGODT0G5Z4TTKYMMUX1","GSON1111300056")</f>
        <v>#NAME?</v>
      </c>
      <c r="V62" s="4" t="e">
        <f ca="1">[1]!BexGetData("DP_1","00O2TNJGODT0G5Z4TTKYMN18L","GSON1111300056")</f>
        <v>#NAME?</v>
      </c>
      <c r="W62" s="4" t="e">
        <f ca="1">[1]!BexGetData("DP_1","00O2TNJGODT0G5Z4TTKYMN7K5","GSON1111300056")</f>
        <v>#NAME?</v>
      </c>
    </row>
    <row r="63" spans="1:23" x14ac:dyDescent="0.2">
      <c r="A63" s="16" t="s">
        <v>1830</v>
      </c>
      <c r="B63" s="7" t="s">
        <v>1831</v>
      </c>
      <c r="C63" s="3" t="e">
        <f ca="1">[1]!BexGetData("DP_1","003N8EMH8GTFRCSWKMPXRR8GU","GSON1111300057")</f>
        <v>#NAME?</v>
      </c>
      <c r="D63" s="3" t="e">
        <f ca="1">[1]!BexGetData("DP_1","003N8EMH8GTFRCSWKMPXRRESE","GSON1111300057")</f>
        <v>#NAME?</v>
      </c>
      <c r="E63" s="8" t="e">
        <f ca="1">[1]!BexGetData("DP_1","003N8EMH8GTFRCSWKMPXRRL3Y","GSON1111300057")</f>
        <v>#NAME?</v>
      </c>
      <c r="F63" s="4" t="e">
        <f ca="1">[1]!BexGetData("DP_1","003N8EMH8GTFRCSWKMPXRRRFI","GSON1111300057")</f>
        <v>#NAME?</v>
      </c>
      <c r="G63" s="4" t="e">
        <f ca="1">[1]!BexGetData("DP_1","003N8EMH8GTFRCSWKMPXRRXR2","GSON1111300057")</f>
        <v>#NAME?</v>
      </c>
      <c r="H63" s="4" t="e">
        <f ca="1">[1]!BexGetData("DP_1","003N8EMH8GTFRCSWKMPXRS42M","GSON1111300057")</f>
        <v>#NAME?</v>
      </c>
      <c r="I63" s="4" t="e">
        <f ca="1">[1]!BexGetData("DP_1","003N8EMH8GTFRCSWKMPXRSAE6","GSON1111300057")</f>
        <v>#NAME?</v>
      </c>
      <c r="J63" s="4" t="e">
        <f ca="1">[1]!BexGetData("DP_1","003N8EMH8GTFRCSWKMPXRSGPQ","GSON1111300057")</f>
        <v>#NAME?</v>
      </c>
      <c r="K63" s="8" t="e">
        <f ca="1">[1]!BexGetData("DP_1","003N8EMH8GTFRIVNUPY288VJH","GSON1111300057")</f>
        <v>#NAME?</v>
      </c>
      <c r="L63" s="8" t="e">
        <f ca="1">[1]!BexGetData("DP_1","003N8EMH8GTFRIVNUPY2891V1","GSON1111300057")</f>
        <v>#NAME?</v>
      </c>
      <c r="M63" s="8" t="e">
        <f ca="1">[1]!BexGetData("DP_1","003N8EMH8GTFRIVOG7KG9IQXA","GSON1111300057")</f>
        <v>#NAME?</v>
      </c>
      <c r="N63" s="8" t="e">
        <f ca="1">[1]!BexGetData("DP_1","003N8EMH8GTFRIVOG7KG9IX8U","GSON1111300057")</f>
        <v>#NAME?</v>
      </c>
      <c r="O63" s="8" t="e">
        <f ca="1">[1]!BexGetData("DP_1","003N8EMH8GTFRIVOG7KG9J3KE","GSON1111300057")</f>
        <v>#NAME?</v>
      </c>
      <c r="P63" s="8" t="e">
        <f ca="1">[1]!BexGetData("DP_1","003N8EMH8GTFRIVOG7KG9J9VY","GSON1111300057")</f>
        <v>#NAME?</v>
      </c>
      <c r="Q63" s="4" t="e">
        <f ca="1">[1]!BexGetData("DP_1","00O2TNJGODT0G5Z4TTKYMM5MT","GSON1111300057")</f>
        <v>#NAME?</v>
      </c>
      <c r="R63" s="4" t="e">
        <f ca="1">[1]!BexGetData("DP_1","00O2TNJGODT0G5Z4TTKYMMBYD","GSON1111300057")</f>
        <v>#NAME?</v>
      </c>
      <c r="S63" s="4" t="e">
        <f ca="1">[1]!BexGetData("DP_1","00O2TNJGODT0G5Z4TTKYMMI9X","GSON1111300057")</f>
        <v>#NAME?</v>
      </c>
      <c r="T63" s="4" t="e">
        <f ca="1">[1]!BexGetData("DP_1","00O2TNJGODT0G5Z4TTKYMMOLH","GSON1111300057")</f>
        <v>#NAME?</v>
      </c>
      <c r="U63" s="4" t="e">
        <f ca="1">[1]!BexGetData("DP_1","00O2TNJGODT0G5Z4TTKYMMUX1","GSON1111300057")</f>
        <v>#NAME?</v>
      </c>
      <c r="V63" s="4" t="e">
        <f ca="1">[1]!BexGetData("DP_1","00O2TNJGODT0G5Z4TTKYMN18L","GSON1111300057")</f>
        <v>#NAME?</v>
      </c>
      <c r="W63" s="4" t="e">
        <f ca="1">[1]!BexGetData("DP_1","00O2TNJGODT0G5Z4TTKYMN7K5","GSON1111300057")</f>
        <v>#NAME?</v>
      </c>
    </row>
    <row r="64" spans="1:23" x14ac:dyDescent="0.2">
      <c r="A64" s="16" t="s">
        <v>1832</v>
      </c>
      <c r="B64" s="7" t="s">
        <v>1833</v>
      </c>
      <c r="C64" s="3" t="e">
        <f ca="1">[1]!BexGetData("DP_1","003N8EMH8GTFRCSWKMPXRR8GU","GSON1111300058")</f>
        <v>#NAME?</v>
      </c>
      <c r="D64" s="3" t="e">
        <f ca="1">[1]!BexGetData("DP_1","003N8EMH8GTFRCSWKMPXRRESE","GSON1111300058")</f>
        <v>#NAME?</v>
      </c>
      <c r="E64" s="8" t="e">
        <f ca="1">[1]!BexGetData("DP_1","003N8EMH8GTFRCSWKMPXRRL3Y","GSON1111300058")</f>
        <v>#NAME?</v>
      </c>
      <c r="F64" s="4" t="e">
        <f ca="1">[1]!BexGetData("DP_1","003N8EMH8GTFRCSWKMPXRRRFI","GSON1111300058")</f>
        <v>#NAME?</v>
      </c>
      <c r="G64" s="4" t="e">
        <f ca="1">[1]!BexGetData("DP_1","003N8EMH8GTFRCSWKMPXRRXR2","GSON1111300058")</f>
        <v>#NAME?</v>
      </c>
      <c r="H64" s="4" t="e">
        <f ca="1">[1]!BexGetData("DP_1","003N8EMH8GTFRCSWKMPXRS42M","GSON1111300058")</f>
        <v>#NAME?</v>
      </c>
      <c r="I64" s="4" t="e">
        <f ca="1">[1]!BexGetData("DP_1","003N8EMH8GTFRCSWKMPXRSAE6","GSON1111300058")</f>
        <v>#NAME?</v>
      </c>
      <c r="J64" s="4" t="e">
        <f ca="1">[1]!BexGetData("DP_1","003N8EMH8GTFRCSWKMPXRSGPQ","GSON1111300058")</f>
        <v>#NAME?</v>
      </c>
      <c r="K64" s="8" t="e">
        <f ca="1">[1]!BexGetData("DP_1","003N8EMH8GTFRIVNUPY288VJH","GSON1111300058")</f>
        <v>#NAME?</v>
      </c>
      <c r="L64" s="8" t="e">
        <f ca="1">[1]!BexGetData("DP_1","003N8EMH8GTFRIVNUPY2891V1","GSON1111300058")</f>
        <v>#NAME?</v>
      </c>
      <c r="M64" s="8" t="e">
        <f ca="1">[1]!BexGetData("DP_1","003N8EMH8GTFRIVOG7KG9IQXA","GSON1111300058")</f>
        <v>#NAME?</v>
      </c>
      <c r="N64" s="8" t="e">
        <f ca="1">[1]!BexGetData("DP_1","003N8EMH8GTFRIVOG7KG9IX8U","GSON1111300058")</f>
        <v>#NAME?</v>
      </c>
      <c r="O64" s="8" t="e">
        <f ca="1">[1]!BexGetData("DP_1","003N8EMH8GTFRIVOG7KG9J3KE","GSON1111300058")</f>
        <v>#NAME?</v>
      </c>
      <c r="P64" s="8" t="e">
        <f ca="1">[1]!BexGetData("DP_1","003N8EMH8GTFRIVOG7KG9J9VY","GSON1111300058")</f>
        <v>#NAME?</v>
      </c>
      <c r="Q64" s="4" t="e">
        <f ca="1">[1]!BexGetData("DP_1","00O2TNJGODT0G5Z4TTKYMM5MT","GSON1111300058")</f>
        <v>#NAME?</v>
      </c>
      <c r="R64" s="4" t="e">
        <f ca="1">[1]!BexGetData("DP_1","00O2TNJGODT0G5Z4TTKYMMBYD","GSON1111300058")</f>
        <v>#NAME?</v>
      </c>
      <c r="S64" s="4" t="e">
        <f ca="1">[1]!BexGetData("DP_1","00O2TNJGODT0G5Z4TTKYMMI9X","GSON1111300058")</f>
        <v>#NAME?</v>
      </c>
      <c r="T64" s="4" t="e">
        <f ca="1">[1]!BexGetData("DP_1","00O2TNJGODT0G5Z4TTKYMMOLH","GSON1111300058")</f>
        <v>#NAME?</v>
      </c>
      <c r="U64" s="4" t="e">
        <f ca="1">[1]!BexGetData("DP_1","00O2TNJGODT0G5Z4TTKYMMUX1","GSON1111300058")</f>
        <v>#NAME?</v>
      </c>
      <c r="V64" s="4" t="e">
        <f ca="1">[1]!BexGetData("DP_1","00O2TNJGODT0G5Z4TTKYMN18L","GSON1111300058")</f>
        <v>#NAME?</v>
      </c>
      <c r="W64" s="4" t="e">
        <f ca="1">[1]!BexGetData("DP_1","00O2TNJGODT0G5Z4TTKYMN7K5","GSON1111300058")</f>
        <v>#NAME?</v>
      </c>
    </row>
    <row r="65" spans="1:23" x14ac:dyDescent="0.2">
      <c r="A65" s="15" t="s">
        <v>3</v>
      </c>
      <c r="B65" s="7" t="s">
        <v>60</v>
      </c>
      <c r="C65" s="3" t="e">
        <f ca="1">[1]!BexGetData("DP_1","003N8EMH8GTFRCSWKMPXRR8GU","GSON1112")</f>
        <v>#NAME?</v>
      </c>
      <c r="D65" s="3" t="e">
        <f ca="1">[1]!BexGetData("DP_1","003N8EMH8GTFRCSWKMPXRRESE","GSON1112")</f>
        <v>#NAME?</v>
      </c>
      <c r="E65" s="3" t="e">
        <f ca="1">[1]!BexGetData("DP_1","003N8EMH8GTFRCSWKMPXRRL3Y","GSON1112")</f>
        <v>#NAME?</v>
      </c>
      <c r="F65" s="3" t="e">
        <f ca="1">[1]!BexGetData("DP_1","003N8EMH8GTFRCSWKMPXRRRFI","GSON1112")</f>
        <v>#NAME?</v>
      </c>
      <c r="G65" s="3" t="e">
        <f ca="1">[1]!BexGetData("DP_1","003N8EMH8GTFRCSWKMPXRRXR2","GSON1112")</f>
        <v>#NAME?</v>
      </c>
      <c r="H65" s="3" t="e">
        <f ca="1">[1]!BexGetData("DP_1","003N8EMH8GTFRCSWKMPXRS42M","GSON1112")</f>
        <v>#NAME?</v>
      </c>
      <c r="I65" s="3" t="e">
        <f ca="1">[1]!BexGetData("DP_1","003N8EMH8GTFRCSWKMPXRSAE6","GSON1112")</f>
        <v>#NAME?</v>
      </c>
      <c r="J65" s="4" t="e">
        <f ca="1">[1]!BexGetData("DP_1","003N8EMH8GTFRCSWKMPXRSGPQ","GSON1112")</f>
        <v>#NAME?</v>
      </c>
      <c r="K65" s="3" t="e">
        <f ca="1">[1]!BexGetData("DP_1","003N8EMH8GTFRIVNUPY288VJH","GSON1112")</f>
        <v>#NAME?</v>
      </c>
      <c r="L65" s="3" t="e">
        <f ca="1">[1]!BexGetData("DP_1","003N8EMH8GTFRIVNUPY2891V1","GSON1112")</f>
        <v>#NAME?</v>
      </c>
      <c r="M65" s="8" t="e">
        <f ca="1">[1]!BexGetData("DP_1","003N8EMH8GTFRIVOG7KG9IQXA","GSON1112")</f>
        <v>#NAME?</v>
      </c>
      <c r="N65" s="3" t="e">
        <f ca="1">[1]!BexGetData("DP_1","003N8EMH8GTFRIVOG7KG9IX8U","GSON1112")</f>
        <v>#NAME?</v>
      </c>
      <c r="O65" s="8" t="e">
        <f ca="1">[1]!BexGetData("DP_1","003N8EMH8GTFRIVOG7KG9J3KE","GSON1112")</f>
        <v>#NAME?</v>
      </c>
      <c r="P65" s="3" t="e">
        <f ca="1">[1]!BexGetData("DP_1","003N8EMH8GTFRIVOG7KG9J9VY","GSON1112")</f>
        <v>#NAME?</v>
      </c>
      <c r="Q65" s="4" t="e">
        <f ca="1">[1]!BexGetData("DP_1","00O2TNJGODT0G5Z4TTKYMM5MT","GSON1112")</f>
        <v>#NAME?</v>
      </c>
      <c r="R65" s="3" t="e">
        <f ca="1">[1]!BexGetData("DP_1","00O2TNJGODT0G5Z4TTKYMMBYD","GSON1112")</f>
        <v>#NAME?</v>
      </c>
      <c r="S65" s="3" t="e">
        <f ca="1">[1]!BexGetData("DP_1","00O2TNJGODT0G5Z4TTKYMMI9X","GSON1112")</f>
        <v>#NAME?</v>
      </c>
      <c r="T65" s="8" t="e">
        <f ca="1">[1]!BexGetData("DP_1","00O2TNJGODT0G5Z4TTKYMMOLH","GSON1112")</f>
        <v>#NAME?</v>
      </c>
      <c r="U65" s="3" t="e">
        <f ca="1">[1]!BexGetData("DP_1","00O2TNJGODT0G5Z4TTKYMMUX1","GSON1112")</f>
        <v>#NAME?</v>
      </c>
      <c r="V65" s="8" t="e">
        <f ca="1">[1]!BexGetData("DP_1","00O2TNJGODT0G5Z4TTKYMN18L","GSON1112")</f>
        <v>#NAME?</v>
      </c>
      <c r="W65" s="3" t="e">
        <f ca="1">[1]!BexGetData("DP_1","00O2TNJGODT0G5Z4TTKYMN7K5","GSON1112")</f>
        <v>#NAME?</v>
      </c>
    </row>
    <row r="66" spans="1:23" x14ac:dyDescent="0.2">
      <c r="A66" s="16" t="s">
        <v>738</v>
      </c>
      <c r="B66" s="7" t="s">
        <v>739</v>
      </c>
      <c r="C66" s="8" t="e">
        <f ca="1">[1]!BexGetData("DP_1","003N8EMH8GTFRCSWKMPXRR8GU","GSON1112010010")</f>
        <v>#NAME?</v>
      </c>
      <c r="D66" s="3" t="e">
        <f ca="1">[1]!BexGetData("DP_1","003N8EMH8GTFRCSWKMPXRRESE","GSON1112010010")</f>
        <v>#NAME?</v>
      </c>
      <c r="E66" s="3" t="e">
        <f ca="1">[1]!BexGetData("DP_1","003N8EMH8GTFRCSWKMPXRRL3Y","GSON1112010010")</f>
        <v>#NAME?</v>
      </c>
      <c r="F66" s="3" t="e">
        <f ca="1">[1]!BexGetData("DP_1","003N8EMH8GTFRCSWKMPXRRRFI","GSON1112010010")</f>
        <v>#NAME?</v>
      </c>
      <c r="G66" s="3" t="e">
        <f ca="1">[1]!BexGetData("DP_1","003N8EMH8GTFRCSWKMPXRRXR2","GSON1112010010")</f>
        <v>#NAME?</v>
      </c>
      <c r="H66" s="8" t="e">
        <f ca="1">[1]!BexGetData("DP_1","003N8EMH8GTFRCSWKMPXRS42M","GSON1112010010")</f>
        <v>#NAME?</v>
      </c>
      <c r="I66" s="3" t="e">
        <f ca="1">[1]!BexGetData("DP_1","003N8EMH8GTFRCSWKMPXRSAE6","GSON1112010010")</f>
        <v>#NAME?</v>
      </c>
      <c r="J66" s="4" t="e">
        <f ca="1">[1]!BexGetData("DP_1","003N8EMH8GTFRCSWKMPXRSGPQ","GSON1112010010")</f>
        <v>#NAME?</v>
      </c>
      <c r="K66" s="3" t="e">
        <f ca="1">[1]!BexGetData("DP_1","003N8EMH8GTFRIVNUPY288VJH","GSON1112010010")</f>
        <v>#NAME?</v>
      </c>
      <c r="L66" s="3" t="e">
        <f ca="1">[1]!BexGetData("DP_1","003N8EMH8GTFRIVNUPY2891V1","GSON1112010010")</f>
        <v>#NAME?</v>
      </c>
      <c r="M66" s="3" t="e">
        <f ca="1">[1]!BexGetData("DP_1","003N8EMH8GTFRIVOG7KG9IQXA","GSON1112010010")</f>
        <v>#NAME?</v>
      </c>
      <c r="N66" s="8" t="e">
        <f ca="1">[1]!BexGetData("DP_1","003N8EMH8GTFRIVOG7KG9IX8U","GSON1112010010")</f>
        <v>#NAME?</v>
      </c>
      <c r="O66" s="3" t="e">
        <f ca="1">[1]!BexGetData("DP_1","003N8EMH8GTFRIVOG7KG9J3KE","GSON1112010010")</f>
        <v>#NAME?</v>
      </c>
      <c r="P66" s="8" t="e">
        <f ca="1">[1]!BexGetData("DP_1","003N8EMH8GTFRIVOG7KG9J9VY","GSON1112010010")</f>
        <v>#NAME?</v>
      </c>
      <c r="Q66" s="4" t="e">
        <f ca="1">[1]!BexGetData("DP_1","00O2TNJGODT0G5Z4TTKYMM5MT","GSON1112010010")</f>
        <v>#NAME?</v>
      </c>
      <c r="R66" s="3" t="e">
        <f ca="1">[1]!BexGetData("DP_1","00O2TNJGODT0G5Z4TTKYMMBYD","GSON1112010010")</f>
        <v>#NAME?</v>
      </c>
      <c r="S66" s="3" t="e">
        <f ca="1">[1]!BexGetData("DP_1","00O2TNJGODT0G5Z4TTKYMMI9X","GSON1112010010")</f>
        <v>#NAME?</v>
      </c>
      <c r="T66" s="8" t="e">
        <f ca="1">[1]!BexGetData("DP_1","00O2TNJGODT0G5Z4TTKYMMOLH","GSON1112010010")</f>
        <v>#NAME?</v>
      </c>
      <c r="U66" s="3" t="e">
        <f ca="1">[1]!BexGetData("DP_1","00O2TNJGODT0G5Z4TTKYMMUX1","GSON1112010010")</f>
        <v>#NAME?</v>
      </c>
      <c r="V66" s="8" t="e">
        <f ca="1">[1]!BexGetData("DP_1","00O2TNJGODT0G5Z4TTKYMN18L","GSON1112010010")</f>
        <v>#NAME?</v>
      </c>
      <c r="W66" s="3" t="e">
        <f ca="1">[1]!BexGetData("DP_1","00O2TNJGODT0G5Z4TTKYMN7K5","GSON1112010010")</f>
        <v>#NAME?</v>
      </c>
    </row>
    <row r="67" spans="1:23" x14ac:dyDescent="0.2">
      <c r="A67" s="16" t="s">
        <v>411</v>
      </c>
      <c r="B67" s="7" t="s">
        <v>412</v>
      </c>
      <c r="C67" s="3" t="e">
        <f ca="1">[1]!BexGetData("DP_1","003N8EMH8GTFRCSWKMPXRR8GU","GSON1112010011")</f>
        <v>#NAME?</v>
      </c>
      <c r="D67" s="3" t="e">
        <f ca="1">[1]!BexGetData("DP_1","003N8EMH8GTFRCSWKMPXRRESE","GSON1112010011")</f>
        <v>#NAME?</v>
      </c>
      <c r="E67" s="8" t="e">
        <f ca="1">[1]!BexGetData("DP_1","003N8EMH8GTFRCSWKMPXRRL3Y","GSON1112010011")</f>
        <v>#NAME?</v>
      </c>
      <c r="F67" s="4" t="e">
        <f ca="1">[1]!BexGetData("DP_1","003N8EMH8GTFRCSWKMPXRRRFI","GSON1112010011")</f>
        <v>#NAME?</v>
      </c>
      <c r="G67" s="4" t="e">
        <f ca="1">[1]!BexGetData("DP_1","003N8EMH8GTFRCSWKMPXRRXR2","GSON1112010011")</f>
        <v>#NAME?</v>
      </c>
      <c r="H67" s="4" t="e">
        <f ca="1">[1]!BexGetData("DP_1","003N8EMH8GTFRCSWKMPXRS42M","GSON1112010011")</f>
        <v>#NAME?</v>
      </c>
      <c r="I67" s="4" t="e">
        <f ca="1">[1]!BexGetData("DP_1","003N8EMH8GTFRCSWKMPXRSAE6","GSON1112010011")</f>
        <v>#NAME?</v>
      </c>
      <c r="J67" s="4" t="e">
        <f ca="1">[1]!BexGetData("DP_1","003N8EMH8GTFRCSWKMPXRSGPQ","GSON1112010011")</f>
        <v>#NAME?</v>
      </c>
      <c r="K67" s="8" t="e">
        <f ca="1">[1]!BexGetData("DP_1","003N8EMH8GTFRIVNUPY288VJH","GSON1112010011")</f>
        <v>#NAME?</v>
      </c>
      <c r="L67" s="8" t="e">
        <f ca="1">[1]!BexGetData("DP_1","003N8EMH8GTFRIVNUPY2891V1","GSON1112010011")</f>
        <v>#NAME?</v>
      </c>
      <c r="M67" s="8" t="e">
        <f ca="1">[1]!BexGetData("DP_1","003N8EMH8GTFRIVOG7KG9IQXA","GSON1112010011")</f>
        <v>#NAME?</v>
      </c>
      <c r="N67" s="8" t="e">
        <f ca="1">[1]!BexGetData("DP_1","003N8EMH8GTFRIVOG7KG9IX8U","GSON1112010011")</f>
        <v>#NAME?</v>
      </c>
      <c r="O67" s="8" t="e">
        <f ca="1">[1]!BexGetData("DP_1","003N8EMH8GTFRIVOG7KG9J3KE","GSON1112010011")</f>
        <v>#NAME?</v>
      </c>
      <c r="P67" s="8" t="e">
        <f ca="1">[1]!BexGetData("DP_1","003N8EMH8GTFRIVOG7KG9J9VY","GSON1112010011")</f>
        <v>#NAME?</v>
      </c>
      <c r="Q67" s="4" t="e">
        <f ca="1">[1]!BexGetData("DP_1","00O2TNJGODT0G5Z4TTKYMM5MT","GSON1112010011")</f>
        <v>#NAME?</v>
      </c>
      <c r="R67" s="4" t="e">
        <f ca="1">[1]!BexGetData("DP_1","00O2TNJGODT0G5Z4TTKYMMBYD","GSON1112010011")</f>
        <v>#NAME?</v>
      </c>
      <c r="S67" s="4" t="e">
        <f ca="1">[1]!BexGetData("DP_1","00O2TNJGODT0G5Z4TTKYMMI9X","GSON1112010011")</f>
        <v>#NAME?</v>
      </c>
      <c r="T67" s="4" t="e">
        <f ca="1">[1]!BexGetData("DP_1","00O2TNJGODT0G5Z4TTKYMMOLH","GSON1112010011")</f>
        <v>#NAME?</v>
      </c>
      <c r="U67" s="4" t="e">
        <f ca="1">[1]!BexGetData("DP_1","00O2TNJGODT0G5Z4TTKYMMUX1","GSON1112010011")</f>
        <v>#NAME?</v>
      </c>
      <c r="V67" s="4" t="e">
        <f ca="1">[1]!BexGetData("DP_1","00O2TNJGODT0G5Z4TTKYMN18L","GSON1112010011")</f>
        <v>#NAME?</v>
      </c>
      <c r="W67" s="4" t="e">
        <f ca="1">[1]!BexGetData("DP_1","00O2TNJGODT0G5Z4TTKYMN7K5","GSON1112010011")</f>
        <v>#NAME?</v>
      </c>
    </row>
    <row r="68" spans="1:23" x14ac:dyDescent="0.2">
      <c r="A68" s="16" t="s">
        <v>1834</v>
      </c>
      <c r="B68" s="7" t="s">
        <v>61</v>
      </c>
      <c r="C68" s="3" t="e">
        <f ca="1">[1]!BexGetData("DP_1","003N8EMH8GTFRCSWKMPXRR8GU","GSON1112010012")</f>
        <v>#NAME?</v>
      </c>
      <c r="D68" s="3" t="e">
        <f ca="1">[1]!BexGetData("DP_1","003N8EMH8GTFRCSWKMPXRRESE","GSON1112010012")</f>
        <v>#NAME?</v>
      </c>
      <c r="E68" s="8" t="e">
        <f ca="1">[1]!BexGetData("DP_1","003N8EMH8GTFRCSWKMPXRRL3Y","GSON1112010012")</f>
        <v>#NAME?</v>
      </c>
      <c r="F68" s="4" t="e">
        <f ca="1">[1]!BexGetData("DP_1","003N8EMH8GTFRCSWKMPXRRRFI","GSON1112010012")</f>
        <v>#NAME?</v>
      </c>
      <c r="G68" s="4" t="e">
        <f ca="1">[1]!BexGetData("DP_1","003N8EMH8GTFRCSWKMPXRRXR2","GSON1112010012")</f>
        <v>#NAME?</v>
      </c>
      <c r="H68" s="4" t="e">
        <f ca="1">[1]!BexGetData("DP_1","003N8EMH8GTFRCSWKMPXRS42M","GSON1112010012")</f>
        <v>#NAME?</v>
      </c>
      <c r="I68" s="4" t="e">
        <f ca="1">[1]!BexGetData("DP_1","003N8EMH8GTFRCSWKMPXRSAE6","GSON1112010012")</f>
        <v>#NAME?</v>
      </c>
      <c r="J68" s="4" t="e">
        <f ca="1">[1]!BexGetData("DP_1","003N8EMH8GTFRCSWKMPXRSGPQ","GSON1112010012")</f>
        <v>#NAME?</v>
      </c>
      <c r="K68" s="8" t="e">
        <f ca="1">[1]!BexGetData("DP_1","003N8EMH8GTFRIVNUPY288VJH","GSON1112010012")</f>
        <v>#NAME?</v>
      </c>
      <c r="L68" s="8" t="e">
        <f ca="1">[1]!BexGetData("DP_1","003N8EMH8GTFRIVNUPY2891V1","GSON1112010012")</f>
        <v>#NAME?</v>
      </c>
      <c r="M68" s="8" t="e">
        <f ca="1">[1]!BexGetData("DP_1","003N8EMH8GTFRIVOG7KG9IQXA","GSON1112010012")</f>
        <v>#NAME?</v>
      </c>
      <c r="N68" s="8" t="e">
        <f ca="1">[1]!BexGetData("DP_1","003N8EMH8GTFRIVOG7KG9IX8U","GSON1112010012")</f>
        <v>#NAME?</v>
      </c>
      <c r="O68" s="8" t="e">
        <f ca="1">[1]!BexGetData("DP_1","003N8EMH8GTFRIVOG7KG9J3KE","GSON1112010012")</f>
        <v>#NAME?</v>
      </c>
      <c r="P68" s="8" t="e">
        <f ca="1">[1]!BexGetData("DP_1","003N8EMH8GTFRIVOG7KG9J9VY","GSON1112010012")</f>
        <v>#NAME?</v>
      </c>
      <c r="Q68" s="4" t="e">
        <f ca="1">[1]!BexGetData("DP_1","00O2TNJGODT0G5Z4TTKYMM5MT","GSON1112010012")</f>
        <v>#NAME?</v>
      </c>
      <c r="R68" s="4" t="e">
        <f ca="1">[1]!BexGetData("DP_1","00O2TNJGODT0G5Z4TTKYMMBYD","GSON1112010012")</f>
        <v>#NAME?</v>
      </c>
      <c r="S68" s="4" t="e">
        <f ca="1">[1]!BexGetData("DP_1","00O2TNJGODT0G5Z4TTKYMMI9X","GSON1112010012")</f>
        <v>#NAME?</v>
      </c>
      <c r="T68" s="4" t="e">
        <f ca="1">[1]!BexGetData("DP_1","00O2TNJGODT0G5Z4TTKYMMOLH","GSON1112010012")</f>
        <v>#NAME?</v>
      </c>
      <c r="U68" s="4" t="e">
        <f ca="1">[1]!BexGetData("DP_1","00O2TNJGODT0G5Z4TTKYMMUX1","GSON1112010012")</f>
        <v>#NAME?</v>
      </c>
      <c r="V68" s="4" t="e">
        <f ca="1">[1]!BexGetData("DP_1","00O2TNJGODT0G5Z4TTKYMN18L","GSON1112010012")</f>
        <v>#NAME?</v>
      </c>
      <c r="W68" s="4" t="e">
        <f ca="1">[1]!BexGetData("DP_1","00O2TNJGODT0G5Z4TTKYMN7K5","GSON1112010012")</f>
        <v>#NAME?</v>
      </c>
    </row>
    <row r="69" spans="1:23" x14ac:dyDescent="0.2">
      <c r="A69" s="16" t="s">
        <v>1835</v>
      </c>
      <c r="B69" s="7" t="s">
        <v>1836</v>
      </c>
      <c r="C69" s="3" t="e">
        <f ca="1">[1]!BexGetData("DP_1","003N8EMH8GTFRCSWKMPXRR8GU","GSON1112010014")</f>
        <v>#NAME?</v>
      </c>
      <c r="D69" s="3" t="e">
        <f ca="1">[1]!BexGetData("DP_1","003N8EMH8GTFRCSWKMPXRRESE","GSON1112010014")</f>
        <v>#NAME?</v>
      </c>
      <c r="E69" s="8" t="e">
        <f ca="1">[1]!BexGetData("DP_1","003N8EMH8GTFRCSWKMPXRRL3Y","GSON1112010014")</f>
        <v>#NAME?</v>
      </c>
      <c r="F69" s="4" t="e">
        <f ca="1">[1]!BexGetData("DP_1","003N8EMH8GTFRCSWKMPXRRRFI","GSON1112010014")</f>
        <v>#NAME?</v>
      </c>
      <c r="G69" s="4" t="e">
        <f ca="1">[1]!BexGetData("DP_1","003N8EMH8GTFRCSWKMPXRRXR2","GSON1112010014")</f>
        <v>#NAME?</v>
      </c>
      <c r="H69" s="4" t="e">
        <f ca="1">[1]!BexGetData("DP_1","003N8EMH8GTFRCSWKMPXRS42M","GSON1112010014")</f>
        <v>#NAME?</v>
      </c>
      <c r="I69" s="4" t="e">
        <f ca="1">[1]!BexGetData("DP_1","003N8EMH8GTFRCSWKMPXRSAE6","GSON1112010014")</f>
        <v>#NAME?</v>
      </c>
      <c r="J69" s="4" t="e">
        <f ca="1">[1]!BexGetData("DP_1","003N8EMH8GTFRCSWKMPXRSGPQ","GSON1112010014")</f>
        <v>#NAME?</v>
      </c>
      <c r="K69" s="8" t="e">
        <f ca="1">[1]!BexGetData("DP_1","003N8EMH8GTFRIVNUPY288VJH","GSON1112010014")</f>
        <v>#NAME?</v>
      </c>
      <c r="L69" s="8" t="e">
        <f ca="1">[1]!BexGetData("DP_1","003N8EMH8GTFRIVNUPY2891V1","GSON1112010014")</f>
        <v>#NAME?</v>
      </c>
      <c r="M69" s="8" t="e">
        <f ca="1">[1]!BexGetData("DP_1","003N8EMH8GTFRIVOG7KG9IQXA","GSON1112010014")</f>
        <v>#NAME?</v>
      </c>
      <c r="N69" s="8" t="e">
        <f ca="1">[1]!BexGetData("DP_1","003N8EMH8GTFRIVOG7KG9IX8U","GSON1112010014")</f>
        <v>#NAME?</v>
      </c>
      <c r="O69" s="8" t="e">
        <f ca="1">[1]!BexGetData("DP_1","003N8EMH8GTFRIVOG7KG9J3KE","GSON1112010014")</f>
        <v>#NAME?</v>
      </c>
      <c r="P69" s="8" t="e">
        <f ca="1">[1]!BexGetData("DP_1","003N8EMH8GTFRIVOG7KG9J9VY","GSON1112010014")</f>
        <v>#NAME?</v>
      </c>
      <c r="Q69" s="4" t="e">
        <f ca="1">[1]!BexGetData("DP_1","00O2TNJGODT0G5Z4TTKYMM5MT","GSON1112010014")</f>
        <v>#NAME?</v>
      </c>
      <c r="R69" s="4" t="e">
        <f ca="1">[1]!BexGetData("DP_1","00O2TNJGODT0G5Z4TTKYMMBYD","GSON1112010014")</f>
        <v>#NAME?</v>
      </c>
      <c r="S69" s="4" t="e">
        <f ca="1">[1]!BexGetData("DP_1","00O2TNJGODT0G5Z4TTKYMMI9X","GSON1112010014")</f>
        <v>#NAME?</v>
      </c>
      <c r="T69" s="4" t="e">
        <f ca="1">[1]!BexGetData("DP_1","00O2TNJGODT0G5Z4TTKYMMOLH","GSON1112010014")</f>
        <v>#NAME?</v>
      </c>
      <c r="U69" s="4" t="e">
        <f ca="1">[1]!BexGetData("DP_1","00O2TNJGODT0G5Z4TTKYMMUX1","GSON1112010014")</f>
        <v>#NAME?</v>
      </c>
      <c r="V69" s="4" t="e">
        <f ca="1">[1]!BexGetData("DP_1","00O2TNJGODT0G5Z4TTKYMN18L","GSON1112010014")</f>
        <v>#NAME?</v>
      </c>
      <c r="W69" s="4" t="e">
        <f ca="1">[1]!BexGetData("DP_1","00O2TNJGODT0G5Z4TTKYMN7K5","GSON1112010014")</f>
        <v>#NAME?</v>
      </c>
    </row>
    <row r="70" spans="1:23" x14ac:dyDescent="0.2">
      <c r="A70" s="16" t="s">
        <v>413</v>
      </c>
      <c r="B70" s="7" t="s">
        <v>414</v>
      </c>
      <c r="C70" s="8" t="e">
        <f ca="1">[1]!BexGetData("DP_1","003N8EMH8GTFRCSWKMPXRR8GU","GSON1112010020")</f>
        <v>#NAME?</v>
      </c>
      <c r="D70" s="8" t="e">
        <f ca="1">[1]!BexGetData("DP_1","003N8EMH8GTFRCSWKMPXRRESE","GSON1112010020")</f>
        <v>#NAME?</v>
      </c>
      <c r="E70" s="3" t="e">
        <f ca="1">[1]!BexGetData("DP_1","003N8EMH8GTFRCSWKMPXRRL3Y","GSON1112010020")</f>
        <v>#NAME?</v>
      </c>
      <c r="F70" s="3" t="e">
        <f ca="1">[1]!BexGetData("DP_1","003N8EMH8GTFRCSWKMPXRRRFI","GSON1112010020")</f>
        <v>#NAME?</v>
      </c>
      <c r="G70" s="3" t="e">
        <f ca="1">[1]!BexGetData("DP_1","003N8EMH8GTFRCSWKMPXRRXR2","GSON1112010020")</f>
        <v>#NAME?</v>
      </c>
      <c r="H70" s="8" t="e">
        <f ca="1">[1]!BexGetData("DP_1","003N8EMH8GTFRCSWKMPXRS42M","GSON1112010020")</f>
        <v>#NAME?</v>
      </c>
      <c r="I70" s="3" t="e">
        <f ca="1">[1]!BexGetData("DP_1","003N8EMH8GTFRCSWKMPXRSAE6","GSON1112010020")</f>
        <v>#NAME?</v>
      </c>
      <c r="J70" s="4" t="e">
        <f ca="1">[1]!BexGetData("DP_1","003N8EMH8GTFRCSWKMPXRSGPQ","GSON1112010020")</f>
        <v>#NAME?</v>
      </c>
      <c r="K70" s="8" t="e">
        <f ca="1">[1]!BexGetData("DP_1","003N8EMH8GTFRIVNUPY288VJH","GSON1112010020")</f>
        <v>#NAME?</v>
      </c>
      <c r="L70" s="8" t="e">
        <f ca="1">[1]!BexGetData("DP_1","003N8EMH8GTFRIVNUPY2891V1","GSON1112010020")</f>
        <v>#NAME?</v>
      </c>
      <c r="M70" s="8" t="e">
        <f ca="1">[1]!BexGetData("DP_1","003N8EMH8GTFRIVOG7KG9IQXA","GSON1112010020")</f>
        <v>#NAME?</v>
      </c>
      <c r="N70" s="8" t="e">
        <f ca="1">[1]!BexGetData("DP_1","003N8EMH8GTFRIVOG7KG9IX8U","GSON1112010020")</f>
        <v>#NAME?</v>
      </c>
      <c r="O70" s="8" t="e">
        <f ca="1">[1]!BexGetData("DP_1","003N8EMH8GTFRIVOG7KG9J3KE","GSON1112010020")</f>
        <v>#NAME?</v>
      </c>
      <c r="P70" s="8" t="e">
        <f ca="1">[1]!BexGetData("DP_1","003N8EMH8GTFRIVOG7KG9J9VY","GSON1112010020")</f>
        <v>#NAME?</v>
      </c>
      <c r="Q70" s="4" t="e">
        <f ca="1">[1]!BexGetData("DP_1","00O2TNJGODT0G5Z4TTKYMM5MT","GSON1112010020")</f>
        <v>#NAME?</v>
      </c>
      <c r="R70" s="3" t="e">
        <f ca="1">[1]!BexGetData("DP_1","00O2TNJGODT0G5Z4TTKYMMBYD","GSON1112010020")</f>
        <v>#NAME?</v>
      </c>
      <c r="S70" s="3" t="e">
        <f ca="1">[1]!BexGetData("DP_1","00O2TNJGODT0G5Z4TTKYMMI9X","GSON1112010020")</f>
        <v>#NAME?</v>
      </c>
      <c r="T70" s="8" t="e">
        <f ca="1">[1]!BexGetData("DP_1","00O2TNJGODT0G5Z4TTKYMMOLH","GSON1112010020")</f>
        <v>#NAME?</v>
      </c>
      <c r="U70" s="3" t="e">
        <f ca="1">[1]!BexGetData("DP_1","00O2TNJGODT0G5Z4TTKYMMUX1","GSON1112010020")</f>
        <v>#NAME?</v>
      </c>
      <c r="V70" s="8" t="e">
        <f ca="1">[1]!BexGetData("DP_1","00O2TNJGODT0G5Z4TTKYMN18L","GSON1112010020")</f>
        <v>#NAME?</v>
      </c>
      <c r="W70" s="3" t="e">
        <f ca="1">[1]!BexGetData("DP_1","00O2TNJGODT0G5Z4TTKYMN7K5","GSON1112010020")</f>
        <v>#NAME?</v>
      </c>
    </row>
    <row r="71" spans="1:23" x14ac:dyDescent="0.2">
      <c r="A71" s="16" t="s">
        <v>1600</v>
      </c>
      <c r="B71" s="7" t="s">
        <v>1601</v>
      </c>
      <c r="C71" s="3" t="e">
        <f ca="1">[1]!BexGetData("DP_1","003N8EMH8GTFRCSWKMPXRR8GU","GSON1112010021")</f>
        <v>#NAME?</v>
      </c>
      <c r="D71" s="3" t="e">
        <f ca="1">[1]!BexGetData("DP_1","003N8EMH8GTFRCSWKMPXRRESE","GSON1112010021")</f>
        <v>#NAME?</v>
      </c>
      <c r="E71" s="8" t="e">
        <f ca="1">[1]!BexGetData("DP_1","003N8EMH8GTFRCSWKMPXRRL3Y","GSON1112010021")</f>
        <v>#NAME?</v>
      </c>
      <c r="F71" s="4" t="e">
        <f ca="1">[1]!BexGetData("DP_1","003N8EMH8GTFRCSWKMPXRRRFI","GSON1112010021")</f>
        <v>#NAME?</v>
      </c>
      <c r="G71" s="4" t="e">
        <f ca="1">[1]!BexGetData("DP_1","003N8EMH8GTFRCSWKMPXRRXR2","GSON1112010021")</f>
        <v>#NAME?</v>
      </c>
      <c r="H71" s="4" t="e">
        <f ca="1">[1]!BexGetData("DP_1","003N8EMH8GTFRCSWKMPXRS42M","GSON1112010021")</f>
        <v>#NAME?</v>
      </c>
      <c r="I71" s="4" t="e">
        <f ca="1">[1]!BexGetData("DP_1","003N8EMH8GTFRCSWKMPXRSAE6","GSON1112010021")</f>
        <v>#NAME?</v>
      </c>
      <c r="J71" s="4" t="e">
        <f ca="1">[1]!BexGetData("DP_1","003N8EMH8GTFRCSWKMPXRSGPQ","GSON1112010021")</f>
        <v>#NAME?</v>
      </c>
      <c r="K71" s="8" t="e">
        <f ca="1">[1]!BexGetData("DP_1","003N8EMH8GTFRIVNUPY288VJH","GSON1112010021")</f>
        <v>#NAME?</v>
      </c>
      <c r="L71" s="8" t="e">
        <f ca="1">[1]!BexGetData("DP_1","003N8EMH8GTFRIVNUPY2891V1","GSON1112010021")</f>
        <v>#NAME?</v>
      </c>
      <c r="M71" s="8" t="e">
        <f ca="1">[1]!BexGetData("DP_1","003N8EMH8GTFRIVOG7KG9IQXA","GSON1112010021")</f>
        <v>#NAME?</v>
      </c>
      <c r="N71" s="8" t="e">
        <f ca="1">[1]!BexGetData("DP_1","003N8EMH8GTFRIVOG7KG9IX8U","GSON1112010021")</f>
        <v>#NAME?</v>
      </c>
      <c r="O71" s="8" t="e">
        <f ca="1">[1]!BexGetData("DP_1","003N8EMH8GTFRIVOG7KG9J3KE","GSON1112010021")</f>
        <v>#NAME?</v>
      </c>
      <c r="P71" s="8" t="e">
        <f ca="1">[1]!BexGetData("DP_1","003N8EMH8GTFRIVOG7KG9J9VY","GSON1112010021")</f>
        <v>#NAME?</v>
      </c>
      <c r="Q71" s="4" t="e">
        <f ca="1">[1]!BexGetData("DP_1","00O2TNJGODT0G5Z4TTKYMM5MT","GSON1112010021")</f>
        <v>#NAME?</v>
      </c>
      <c r="R71" s="4" t="e">
        <f ca="1">[1]!BexGetData("DP_1","00O2TNJGODT0G5Z4TTKYMMBYD","GSON1112010021")</f>
        <v>#NAME?</v>
      </c>
      <c r="S71" s="4" t="e">
        <f ca="1">[1]!BexGetData("DP_1","00O2TNJGODT0G5Z4TTKYMMI9X","GSON1112010021")</f>
        <v>#NAME?</v>
      </c>
      <c r="T71" s="4" t="e">
        <f ca="1">[1]!BexGetData("DP_1","00O2TNJGODT0G5Z4TTKYMMOLH","GSON1112010021")</f>
        <v>#NAME?</v>
      </c>
      <c r="U71" s="4" t="e">
        <f ca="1">[1]!BexGetData("DP_1","00O2TNJGODT0G5Z4TTKYMMUX1","GSON1112010021")</f>
        <v>#NAME?</v>
      </c>
      <c r="V71" s="4" t="e">
        <f ca="1">[1]!BexGetData("DP_1","00O2TNJGODT0G5Z4TTKYMN18L","GSON1112010021")</f>
        <v>#NAME?</v>
      </c>
      <c r="W71" s="4" t="e">
        <f ca="1">[1]!BexGetData("DP_1","00O2TNJGODT0G5Z4TTKYMN7K5","GSON1112010021")</f>
        <v>#NAME?</v>
      </c>
    </row>
    <row r="72" spans="1:23" x14ac:dyDescent="0.2">
      <c r="A72" s="16" t="s">
        <v>740</v>
      </c>
      <c r="B72" s="7" t="s">
        <v>741</v>
      </c>
      <c r="C72" s="8" t="e">
        <f ca="1">[1]!BexGetData("DP_1","003N8EMH8GTFRCSWKMPXRR8GU","GSON1112020010")</f>
        <v>#NAME?</v>
      </c>
      <c r="D72" s="8" t="e">
        <f ca="1">[1]!BexGetData("DP_1","003N8EMH8GTFRCSWKMPXRRESE","GSON1112020010")</f>
        <v>#NAME?</v>
      </c>
      <c r="E72" s="3" t="e">
        <f ca="1">[1]!BexGetData("DP_1","003N8EMH8GTFRCSWKMPXRRL3Y","GSON1112020010")</f>
        <v>#NAME?</v>
      </c>
      <c r="F72" s="3" t="e">
        <f ca="1">[1]!BexGetData("DP_1","003N8EMH8GTFRCSWKMPXRRRFI","GSON1112020010")</f>
        <v>#NAME?</v>
      </c>
      <c r="G72" s="3" t="e">
        <f ca="1">[1]!BexGetData("DP_1","003N8EMH8GTFRCSWKMPXRRXR2","GSON1112020010")</f>
        <v>#NAME?</v>
      </c>
      <c r="H72" s="8" t="e">
        <f ca="1">[1]!BexGetData("DP_1","003N8EMH8GTFRCSWKMPXRS42M","GSON1112020010")</f>
        <v>#NAME?</v>
      </c>
      <c r="I72" s="3" t="e">
        <f ca="1">[1]!BexGetData("DP_1","003N8EMH8GTFRCSWKMPXRSAE6","GSON1112020010")</f>
        <v>#NAME?</v>
      </c>
      <c r="J72" s="4" t="e">
        <f ca="1">[1]!BexGetData("DP_1","003N8EMH8GTFRCSWKMPXRSGPQ","GSON1112020010")</f>
        <v>#NAME?</v>
      </c>
      <c r="K72" s="8" t="e">
        <f ca="1">[1]!BexGetData("DP_1","003N8EMH8GTFRIVNUPY288VJH","GSON1112020010")</f>
        <v>#NAME?</v>
      </c>
      <c r="L72" s="8" t="e">
        <f ca="1">[1]!BexGetData("DP_1","003N8EMH8GTFRIVNUPY2891V1","GSON1112020010")</f>
        <v>#NAME?</v>
      </c>
      <c r="M72" s="8" t="e">
        <f ca="1">[1]!BexGetData("DP_1","003N8EMH8GTFRIVOG7KG9IQXA","GSON1112020010")</f>
        <v>#NAME?</v>
      </c>
      <c r="N72" s="8" t="e">
        <f ca="1">[1]!BexGetData("DP_1","003N8EMH8GTFRIVOG7KG9IX8U","GSON1112020010")</f>
        <v>#NAME?</v>
      </c>
      <c r="O72" s="8" t="e">
        <f ca="1">[1]!BexGetData("DP_1","003N8EMH8GTFRIVOG7KG9J3KE","GSON1112020010")</f>
        <v>#NAME?</v>
      </c>
      <c r="P72" s="8" t="e">
        <f ca="1">[1]!BexGetData("DP_1","003N8EMH8GTFRIVOG7KG9J9VY","GSON1112020010")</f>
        <v>#NAME?</v>
      </c>
      <c r="Q72" s="4" t="e">
        <f ca="1">[1]!BexGetData("DP_1","00O2TNJGODT0G5Z4TTKYMM5MT","GSON1112020010")</f>
        <v>#NAME?</v>
      </c>
      <c r="R72" s="3" t="e">
        <f ca="1">[1]!BexGetData("DP_1","00O2TNJGODT0G5Z4TTKYMMBYD","GSON1112020010")</f>
        <v>#NAME?</v>
      </c>
      <c r="S72" s="3" t="e">
        <f ca="1">[1]!BexGetData("DP_1","00O2TNJGODT0G5Z4TTKYMMI9X","GSON1112020010")</f>
        <v>#NAME?</v>
      </c>
      <c r="T72" s="8" t="e">
        <f ca="1">[1]!BexGetData("DP_1","00O2TNJGODT0G5Z4TTKYMMOLH","GSON1112020010")</f>
        <v>#NAME?</v>
      </c>
      <c r="U72" s="3" t="e">
        <f ca="1">[1]!BexGetData("DP_1","00O2TNJGODT0G5Z4TTKYMMUX1","GSON1112020010")</f>
        <v>#NAME?</v>
      </c>
      <c r="V72" s="8" t="e">
        <f ca="1">[1]!BexGetData("DP_1","00O2TNJGODT0G5Z4TTKYMN18L","GSON1112020010")</f>
        <v>#NAME?</v>
      </c>
      <c r="W72" s="3" t="e">
        <f ca="1">[1]!BexGetData("DP_1","00O2TNJGODT0G5Z4TTKYMN7K5","GSON1112020010")</f>
        <v>#NAME?</v>
      </c>
    </row>
    <row r="73" spans="1:23" x14ac:dyDescent="0.2">
      <c r="A73" s="16" t="s">
        <v>1618</v>
      </c>
      <c r="B73" s="7" t="s">
        <v>1619</v>
      </c>
      <c r="C73" s="3" t="e">
        <f ca="1">[1]!BexGetData("DP_1","003N8EMH8GTFRCSWKMPXRR8GU","GSON1112020020")</f>
        <v>#NAME?</v>
      </c>
      <c r="D73" s="3" t="e">
        <f ca="1">[1]!BexGetData("DP_1","003N8EMH8GTFRCSWKMPXRRESE","GSON1112020020")</f>
        <v>#NAME?</v>
      </c>
      <c r="E73" s="3" t="e">
        <f ca="1">[1]!BexGetData("DP_1","003N8EMH8GTFRCSWKMPXRRL3Y","GSON1112020020")</f>
        <v>#NAME?</v>
      </c>
      <c r="F73" s="3" t="e">
        <f ca="1">[1]!BexGetData("DP_1","003N8EMH8GTFRCSWKMPXRRRFI","GSON1112020020")</f>
        <v>#NAME?</v>
      </c>
      <c r="G73" s="3" t="e">
        <f ca="1">[1]!BexGetData("DP_1","003N8EMH8GTFRCSWKMPXRRXR2","GSON1112020020")</f>
        <v>#NAME?</v>
      </c>
      <c r="H73" s="8" t="e">
        <f ca="1">[1]!BexGetData("DP_1","003N8EMH8GTFRCSWKMPXRS42M","GSON1112020020")</f>
        <v>#NAME?</v>
      </c>
      <c r="I73" s="3" t="e">
        <f ca="1">[1]!BexGetData("DP_1","003N8EMH8GTFRCSWKMPXRSAE6","GSON1112020020")</f>
        <v>#NAME?</v>
      </c>
      <c r="J73" s="4" t="e">
        <f ca="1">[1]!BexGetData("DP_1","003N8EMH8GTFRCSWKMPXRSGPQ","GSON1112020020")</f>
        <v>#NAME?</v>
      </c>
      <c r="K73" s="3" t="e">
        <f ca="1">[1]!BexGetData("DP_1","003N8EMH8GTFRIVNUPY288VJH","GSON1112020020")</f>
        <v>#NAME?</v>
      </c>
      <c r="L73" s="3" t="e">
        <f ca="1">[1]!BexGetData("DP_1","003N8EMH8GTFRIVNUPY2891V1","GSON1112020020")</f>
        <v>#NAME?</v>
      </c>
      <c r="M73" s="8" t="e">
        <f ca="1">[1]!BexGetData("DP_1","003N8EMH8GTFRIVOG7KG9IQXA","GSON1112020020")</f>
        <v>#NAME?</v>
      </c>
      <c r="N73" s="3" t="e">
        <f ca="1">[1]!BexGetData("DP_1","003N8EMH8GTFRIVOG7KG9IX8U","GSON1112020020")</f>
        <v>#NAME?</v>
      </c>
      <c r="O73" s="8" t="e">
        <f ca="1">[1]!BexGetData("DP_1","003N8EMH8GTFRIVOG7KG9J3KE","GSON1112020020")</f>
        <v>#NAME?</v>
      </c>
      <c r="P73" s="3" t="e">
        <f ca="1">[1]!BexGetData("DP_1","003N8EMH8GTFRIVOG7KG9J9VY","GSON1112020020")</f>
        <v>#NAME?</v>
      </c>
      <c r="Q73" s="4" t="e">
        <f ca="1">[1]!BexGetData("DP_1","00O2TNJGODT0G5Z4TTKYMM5MT","GSON1112020020")</f>
        <v>#NAME?</v>
      </c>
      <c r="R73" s="3" t="e">
        <f ca="1">[1]!BexGetData("DP_1","00O2TNJGODT0G5Z4TTKYMMBYD","GSON1112020020")</f>
        <v>#NAME?</v>
      </c>
      <c r="S73" s="3" t="e">
        <f ca="1">[1]!BexGetData("DP_1","00O2TNJGODT0G5Z4TTKYMMI9X","GSON1112020020")</f>
        <v>#NAME?</v>
      </c>
      <c r="T73" s="8" t="e">
        <f ca="1">[1]!BexGetData("DP_1","00O2TNJGODT0G5Z4TTKYMMOLH","GSON1112020020")</f>
        <v>#NAME?</v>
      </c>
      <c r="U73" s="3" t="e">
        <f ca="1">[1]!BexGetData("DP_1","00O2TNJGODT0G5Z4TTKYMMUX1","GSON1112020020")</f>
        <v>#NAME?</v>
      </c>
      <c r="V73" s="8" t="e">
        <f ca="1">[1]!BexGetData("DP_1","00O2TNJGODT0G5Z4TTKYMN18L","GSON1112020020")</f>
        <v>#NAME?</v>
      </c>
      <c r="W73" s="3" t="e">
        <f ca="1">[1]!BexGetData("DP_1","00O2TNJGODT0G5Z4TTKYMN7K5","GSON1112020020")</f>
        <v>#NAME?</v>
      </c>
    </row>
    <row r="74" spans="1:23" x14ac:dyDescent="0.2">
      <c r="A74" s="16" t="s">
        <v>143</v>
      </c>
      <c r="B74" s="7" t="s">
        <v>144</v>
      </c>
      <c r="C74" s="3" t="e">
        <f ca="1">[1]!BexGetData("DP_1","003N8EMH8GTFRCSWKMPXRR8GU","GSON1112020021")</f>
        <v>#NAME?</v>
      </c>
      <c r="D74" s="3" t="e">
        <f ca="1">[1]!BexGetData("DP_1","003N8EMH8GTFRCSWKMPXRRESE","GSON1112020021")</f>
        <v>#NAME?</v>
      </c>
      <c r="E74" s="8" t="e">
        <f ca="1">[1]!BexGetData("DP_1","003N8EMH8GTFRCSWKMPXRRL3Y","GSON1112020021")</f>
        <v>#NAME?</v>
      </c>
      <c r="F74" s="4" t="e">
        <f ca="1">[1]!BexGetData("DP_1","003N8EMH8GTFRCSWKMPXRRRFI","GSON1112020021")</f>
        <v>#NAME?</v>
      </c>
      <c r="G74" s="4" t="e">
        <f ca="1">[1]!BexGetData("DP_1","003N8EMH8GTFRCSWKMPXRRXR2","GSON1112020021")</f>
        <v>#NAME?</v>
      </c>
      <c r="H74" s="4" t="e">
        <f ca="1">[1]!BexGetData("DP_1","003N8EMH8GTFRCSWKMPXRS42M","GSON1112020021")</f>
        <v>#NAME?</v>
      </c>
      <c r="I74" s="4" t="e">
        <f ca="1">[1]!BexGetData("DP_1","003N8EMH8GTFRCSWKMPXRSAE6","GSON1112020021")</f>
        <v>#NAME?</v>
      </c>
      <c r="J74" s="4" t="e">
        <f ca="1">[1]!BexGetData("DP_1","003N8EMH8GTFRCSWKMPXRSGPQ","GSON1112020021")</f>
        <v>#NAME?</v>
      </c>
      <c r="K74" s="8" t="e">
        <f ca="1">[1]!BexGetData("DP_1","003N8EMH8GTFRIVNUPY288VJH","GSON1112020021")</f>
        <v>#NAME?</v>
      </c>
      <c r="L74" s="8" t="e">
        <f ca="1">[1]!BexGetData("DP_1","003N8EMH8GTFRIVNUPY2891V1","GSON1112020021")</f>
        <v>#NAME?</v>
      </c>
      <c r="M74" s="8" t="e">
        <f ca="1">[1]!BexGetData("DP_1","003N8EMH8GTFRIVOG7KG9IQXA","GSON1112020021")</f>
        <v>#NAME?</v>
      </c>
      <c r="N74" s="8" t="e">
        <f ca="1">[1]!BexGetData("DP_1","003N8EMH8GTFRIVOG7KG9IX8U","GSON1112020021")</f>
        <v>#NAME?</v>
      </c>
      <c r="O74" s="8" t="e">
        <f ca="1">[1]!BexGetData("DP_1","003N8EMH8GTFRIVOG7KG9J3KE","GSON1112020021")</f>
        <v>#NAME?</v>
      </c>
      <c r="P74" s="8" t="e">
        <f ca="1">[1]!BexGetData("DP_1","003N8EMH8GTFRIVOG7KG9J9VY","GSON1112020021")</f>
        <v>#NAME?</v>
      </c>
      <c r="Q74" s="4" t="e">
        <f ca="1">[1]!BexGetData("DP_1","00O2TNJGODT0G5Z4TTKYMM5MT","GSON1112020021")</f>
        <v>#NAME?</v>
      </c>
      <c r="R74" s="4" t="e">
        <f ca="1">[1]!BexGetData("DP_1","00O2TNJGODT0G5Z4TTKYMMBYD","GSON1112020021")</f>
        <v>#NAME?</v>
      </c>
      <c r="S74" s="4" t="e">
        <f ca="1">[1]!BexGetData("DP_1","00O2TNJGODT0G5Z4TTKYMMI9X","GSON1112020021")</f>
        <v>#NAME?</v>
      </c>
      <c r="T74" s="4" t="e">
        <f ca="1">[1]!BexGetData("DP_1","00O2TNJGODT0G5Z4TTKYMMOLH","GSON1112020021")</f>
        <v>#NAME?</v>
      </c>
      <c r="U74" s="4" t="e">
        <f ca="1">[1]!BexGetData("DP_1","00O2TNJGODT0G5Z4TTKYMMUX1","GSON1112020021")</f>
        <v>#NAME?</v>
      </c>
      <c r="V74" s="4" t="e">
        <f ca="1">[1]!BexGetData("DP_1","00O2TNJGODT0G5Z4TTKYMN18L","GSON1112020021")</f>
        <v>#NAME?</v>
      </c>
      <c r="W74" s="4" t="e">
        <f ca="1">[1]!BexGetData("DP_1","00O2TNJGODT0G5Z4TTKYMN7K5","GSON1112020021")</f>
        <v>#NAME?</v>
      </c>
    </row>
    <row r="75" spans="1:23" x14ac:dyDescent="0.2">
      <c r="A75" s="16" t="s">
        <v>1837</v>
      </c>
      <c r="B75" s="7" t="s">
        <v>1620</v>
      </c>
      <c r="C75" s="3" t="e">
        <f ca="1">[1]!BexGetData("DP_1","003N8EMH8GTFRCSWKMPXRR8GU","GSON1112020024")</f>
        <v>#NAME?</v>
      </c>
      <c r="D75" s="3" t="e">
        <f ca="1">[1]!BexGetData("DP_1","003N8EMH8GTFRCSWKMPXRRESE","GSON1112020024")</f>
        <v>#NAME?</v>
      </c>
      <c r="E75" s="8" t="e">
        <f ca="1">[1]!BexGetData("DP_1","003N8EMH8GTFRCSWKMPXRRL3Y","GSON1112020024")</f>
        <v>#NAME?</v>
      </c>
      <c r="F75" s="4" t="e">
        <f ca="1">[1]!BexGetData("DP_1","003N8EMH8GTFRCSWKMPXRRRFI","GSON1112020024")</f>
        <v>#NAME?</v>
      </c>
      <c r="G75" s="4" t="e">
        <f ca="1">[1]!BexGetData("DP_1","003N8EMH8GTFRCSWKMPXRRXR2","GSON1112020024")</f>
        <v>#NAME?</v>
      </c>
      <c r="H75" s="4" t="e">
        <f ca="1">[1]!BexGetData("DP_1","003N8EMH8GTFRCSWKMPXRS42M","GSON1112020024")</f>
        <v>#NAME?</v>
      </c>
      <c r="I75" s="4" t="e">
        <f ca="1">[1]!BexGetData("DP_1","003N8EMH8GTFRCSWKMPXRSAE6","GSON1112020024")</f>
        <v>#NAME?</v>
      </c>
      <c r="J75" s="4" t="e">
        <f ca="1">[1]!BexGetData("DP_1","003N8EMH8GTFRCSWKMPXRSGPQ","GSON1112020024")</f>
        <v>#NAME?</v>
      </c>
      <c r="K75" s="8" t="e">
        <f ca="1">[1]!BexGetData("DP_1","003N8EMH8GTFRIVNUPY288VJH","GSON1112020024")</f>
        <v>#NAME?</v>
      </c>
      <c r="L75" s="8" t="e">
        <f ca="1">[1]!BexGetData("DP_1","003N8EMH8GTFRIVNUPY2891V1","GSON1112020024")</f>
        <v>#NAME?</v>
      </c>
      <c r="M75" s="8" t="e">
        <f ca="1">[1]!BexGetData("DP_1","003N8EMH8GTFRIVOG7KG9IQXA","GSON1112020024")</f>
        <v>#NAME?</v>
      </c>
      <c r="N75" s="8" t="e">
        <f ca="1">[1]!BexGetData("DP_1","003N8EMH8GTFRIVOG7KG9IX8U","GSON1112020024")</f>
        <v>#NAME?</v>
      </c>
      <c r="O75" s="8" t="e">
        <f ca="1">[1]!BexGetData("DP_1","003N8EMH8GTFRIVOG7KG9J3KE","GSON1112020024")</f>
        <v>#NAME?</v>
      </c>
      <c r="P75" s="8" t="e">
        <f ca="1">[1]!BexGetData("DP_1","003N8EMH8GTFRIVOG7KG9J9VY","GSON1112020024")</f>
        <v>#NAME?</v>
      </c>
      <c r="Q75" s="4" t="e">
        <f ca="1">[1]!BexGetData("DP_1","00O2TNJGODT0G5Z4TTKYMM5MT","GSON1112020024")</f>
        <v>#NAME?</v>
      </c>
      <c r="R75" s="4" t="e">
        <f ca="1">[1]!BexGetData("DP_1","00O2TNJGODT0G5Z4TTKYMMBYD","GSON1112020024")</f>
        <v>#NAME?</v>
      </c>
      <c r="S75" s="4" t="e">
        <f ca="1">[1]!BexGetData("DP_1","00O2TNJGODT0G5Z4TTKYMMI9X","GSON1112020024")</f>
        <v>#NAME?</v>
      </c>
      <c r="T75" s="4" t="e">
        <f ca="1">[1]!BexGetData("DP_1","00O2TNJGODT0G5Z4TTKYMMOLH","GSON1112020024")</f>
        <v>#NAME?</v>
      </c>
      <c r="U75" s="4" t="e">
        <f ca="1">[1]!BexGetData("DP_1","00O2TNJGODT0G5Z4TTKYMMUX1","GSON1112020024")</f>
        <v>#NAME?</v>
      </c>
      <c r="V75" s="4" t="e">
        <f ca="1">[1]!BexGetData("DP_1","00O2TNJGODT0G5Z4TTKYMN18L","GSON1112020024")</f>
        <v>#NAME?</v>
      </c>
      <c r="W75" s="4" t="e">
        <f ca="1">[1]!BexGetData("DP_1","00O2TNJGODT0G5Z4TTKYMN7K5","GSON1112020024")</f>
        <v>#NAME?</v>
      </c>
    </row>
    <row r="76" spans="1:23" x14ac:dyDescent="0.2">
      <c r="A76" s="16" t="s">
        <v>1621</v>
      </c>
      <c r="B76" s="7" t="s">
        <v>1622</v>
      </c>
      <c r="C76" s="3" t="e">
        <f ca="1">[1]!BexGetData("DP_1","003N8EMH8GTFRCSWKMPXRR8GU","GSON1112020025")</f>
        <v>#NAME?</v>
      </c>
      <c r="D76" s="3" t="e">
        <f ca="1">[1]!BexGetData("DP_1","003N8EMH8GTFRCSWKMPXRRESE","GSON1112020025")</f>
        <v>#NAME?</v>
      </c>
      <c r="E76" s="8" t="e">
        <f ca="1">[1]!BexGetData("DP_1","003N8EMH8GTFRCSWKMPXRRL3Y","GSON1112020025")</f>
        <v>#NAME?</v>
      </c>
      <c r="F76" s="4" t="e">
        <f ca="1">[1]!BexGetData("DP_1","003N8EMH8GTFRCSWKMPXRRRFI","GSON1112020025")</f>
        <v>#NAME?</v>
      </c>
      <c r="G76" s="4" t="e">
        <f ca="1">[1]!BexGetData("DP_1","003N8EMH8GTFRCSWKMPXRRXR2","GSON1112020025")</f>
        <v>#NAME?</v>
      </c>
      <c r="H76" s="4" t="e">
        <f ca="1">[1]!BexGetData("DP_1","003N8EMH8GTFRCSWKMPXRS42M","GSON1112020025")</f>
        <v>#NAME?</v>
      </c>
      <c r="I76" s="4" t="e">
        <f ca="1">[1]!BexGetData("DP_1","003N8EMH8GTFRCSWKMPXRSAE6","GSON1112020025")</f>
        <v>#NAME?</v>
      </c>
      <c r="J76" s="4" t="e">
        <f ca="1">[1]!BexGetData("DP_1","003N8EMH8GTFRCSWKMPXRSGPQ","GSON1112020025")</f>
        <v>#NAME?</v>
      </c>
      <c r="K76" s="8" t="e">
        <f ca="1">[1]!BexGetData("DP_1","003N8EMH8GTFRIVNUPY288VJH","GSON1112020025")</f>
        <v>#NAME?</v>
      </c>
      <c r="L76" s="8" t="e">
        <f ca="1">[1]!BexGetData("DP_1","003N8EMH8GTFRIVNUPY2891V1","GSON1112020025")</f>
        <v>#NAME?</v>
      </c>
      <c r="M76" s="8" t="e">
        <f ca="1">[1]!BexGetData("DP_1","003N8EMH8GTFRIVOG7KG9IQXA","GSON1112020025")</f>
        <v>#NAME?</v>
      </c>
      <c r="N76" s="8" t="e">
        <f ca="1">[1]!BexGetData("DP_1","003N8EMH8GTFRIVOG7KG9IX8U","GSON1112020025")</f>
        <v>#NAME?</v>
      </c>
      <c r="O76" s="8" t="e">
        <f ca="1">[1]!BexGetData("DP_1","003N8EMH8GTFRIVOG7KG9J3KE","GSON1112020025")</f>
        <v>#NAME?</v>
      </c>
      <c r="P76" s="8" t="e">
        <f ca="1">[1]!BexGetData("DP_1","003N8EMH8GTFRIVOG7KG9J9VY","GSON1112020025")</f>
        <v>#NAME?</v>
      </c>
      <c r="Q76" s="4" t="e">
        <f ca="1">[1]!BexGetData("DP_1","00O2TNJGODT0G5Z4TTKYMM5MT","GSON1112020025")</f>
        <v>#NAME?</v>
      </c>
      <c r="R76" s="4" t="e">
        <f ca="1">[1]!BexGetData("DP_1","00O2TNJGODT0G5Z4TTKYMMBYD","GSON1112020025")</f>
        <v>#NAME?</v>
      </c>
      <c r="S76" s="4" t="e">
        <f ca="1">[1]!BexGetData("DP_1","00O2TNJGODT0G5Z4TTKYMMI9X","GSON1112020025")</f>
        <v>#NAME?</v>
      </c>
      <c r="T76" s="4" t="e">
        <f ca="1">[1]!BexGetData("DP_1","00O2TNJGODT0G5Z4TTKYMMOLH","GSON1112020025")</f>
        <v>#NAME?</v>
      </c>
      <c r="U76" s="4" t="e">
        <f ca="1">[1]!BexGetData("DP_1","00O2TNJGODT0G5Z4TTKYMMUX1","GSON1112020025")</f>
        <v>#NAME?</v>
      </c>
      <c r="V76" s="4" t="e">
        <f ca="1">[1]!BexGetData("DP_1","00O2TNJGODT0G5Z4TTKYMN18L","GSON1112020025")</f>
        <v>#NAME?</v>
      </c>
      <c r="W76" s="4" t="e">
        <f ca="1">[1]!BexGetData("DP_1","00O2TNJGODT0G5Z4TTKYMN7K5","GSON1112020025")</f>
        <v>#NAME?</v>
      </c>
    </row>
    <row r="77" spans="1:23" x14ac:dyDescent="0.2">
      <c r="A77" s="16" t="s">
        <v>742</v>
      </c>
      <c r="B77" s="7" t="s">
        <v>743</v>
      </c>
      <c r="C77" s="3" t="e">
        <f ca="1">[1]!BexGetData("DP_1","003N8EMH8GTFRCSWKMPXRR8GU","GSON1112020030")</f>
        <v>#NAME?</v>
      </c>
      <c r="D77" s="3" t="e">
        <f ca="1">[1]!BexGetData("DP_1","003N8EMH8GTFRCSWKMPXRRESE","GSON1112020030")</f>
        <v>#NAME?</v>
      </c>
      <c r="E77" s="8" t="e">
        <f ca="1">[1]!BexGetData("DP_1","003N8EMH8GTFRCSWKMPXRRL3Y","GSON1112020030")</f>
        <v>#NAME?</v>
      </c>
      <c r="F77" s="3" t="e">
        <f ca="1">[1]!BexGetData("DP_1","003N8EMH8GTFRCSWKMPXRRRFI","GSON1112020030")</f>
        <v>#NAME?</v>
      </c>
      <c r="G77" s="3" t="e">
        <f ca="1">[1]!BexGetData("DP_1","003N8EMH8GTFRCSWKMPXRRXR2","GSON1112020030")</f>
        <v>#NAME?</v>
      </c>
      <c r="H77" s="8" t="e">
        <f ca="1">[1]!BexGetData("DP_1","003N8EMH8GTFRCSWKMPXRS42M","GSON1112020030")</f>
        <v>#NAME?</v>
      </c>
      <c r="I77" s="3" t="e">
        <f ca="1">[1]!BexGetData("DP_1","003N8EMH8GTFRCSWKMPXRSAE6","GSON1112020030")</f>
        <v>#NAME?</v>
      </c>
      <c r="J77" s="4" t="e">
        <f ca="1">[1]!BexGetData("DP_1","003N8EMH8GTFRCSWKMPXRSGPQ","GSON1112020030")</f>
        <v>#NAME?</v>
      </c>
      <c r="K77" s="3" t="e">
        <f ca="1">[1]!BexGetData("DP_1","003N8EMH8GTFRIVNUPY288VJH","GSON1112020030")</f>
        <v>#NAME?</v>
      </c>
      <c r="L77" s="3" t="e">
        <f ca="1">[1]!BexGetData("DP_1","003N8EMH8GTFRIVNUPY2891V1","GSON1112020030")</f>
        <v>#NAME?</v>
      </c>
      <c r="M77" s="3" t="e">
        <f ca="1">[1]!BexGetData("DP_1","003N8EMH8GTFRIVOG7KG9IQXA","GSON1112020030")</f>
        <v>#NAME?</v>
      </c>
      <c r="N77" s="8" t="e">
        <f ca="1">[1]!BexGetData("DP_1","003N8EMH8GTFRIVOG7KG9IX8U","GSON1112020030")</f>
        <v>#NAME?</v>
      </c>
      <c r="O77" s="3" t="e">
        <f ca="1">[1]!BexGetData("DP_1","003N8EMH8GTFRIVOG7KG9J3KE","GSON1112020030")</f>
        <v>#NAME?</v>
      </c>
      <c r="P77" s="8" t="e">
        <f ca="1">[1]!BexGetData("DP_1","003N8EMH8GTFRIVOG7KG9J9VY","GSON1112020030")</f>
        <v>#NAME?</v>
      </c>
      <c r="Q77" s="4" t="e">
        <f ca="1">[1]!BexGetData("DP_1","00O2TNJGODT0G5Z4TTKYMM5MT","GSON1112020030")</f>
        <v>#NAME?</v>
      </c>
      <c r="R77" s="3" t="e">
        <f ca="1">[1]!BexGetData("DP_1","00O2TNJGODT0G5Z4TTKYMMBYD","GSON1112020030")</f>
        <v>#NAME?</v>
      </c>
      <c r="S77" s="3" t="e">
        <f ca="1">[1]!BexGetData("DP_1","00O2TNJGODT0G5Z4TTKYMMI9X","GSON1112020030")</f>
        <v>#NAME?</v>
      </c>
      <c r="T77" s="8" t="e">
        <f ca="1">[1]!BexGetData("DP_1","00O2TNJGODT0G5Z4TTKYMMOLH","GSON1112020030")</f>
        <v>#NAME?</v>
      </c>
      <c r="U77" s="3" t="e">
        <f ca="1">[1]!BexGetData("DP_1","00O2TNJGODT0G5Z4TTKYMMUX1","GSON1112020030")</f>
        <v>#NAME?</v>
      </c>
      <c r="V77" s="8" t="e">
        <f ca="1">[1]!BexGetData("DP_1","00O2TNJGODT0G5Z4TTKYMN18L","GSON1112020030")</f>
        <v>#NAME?</v>
      </c>
      <c r="W77" s="3" t="e">
        <f ca="1">[1]!BexGetData("DP_1","00O2TNJGODT0G5Z4TTKYMN7K5","GSON1112020030")</f>
        <v>#NAME?</v>
      </c>
    </row>
    <row r="78" spans="1:23" x14ac:dyDescent="0.2">
      <c r="A78" s="16" t="s">
        <v>744</v>
      </c>
      <c r="B78" s="7" t="s">
        <v>745</v>
      </c>
      <c r="C78" s="3" t="e">
        <f ca="1">[1]!BexGetData("DP_1","003N8EMH8GTFRCSWKMPXRR8GU","GSON1112020031")</f>
        <v>#NAME?</v>
      </c>
      <c r="D78" s="3" t="e">
        <f ca="1">[1]!BexGetData("DP_1","003N8EMH8GTFRCSWKMPXRRESE","GSON1112020031")</f>
        <v>#NAME?</v>
      </c>
      <c r="E78" s="8" t="e">
        <f ca="1">[1]!BexGetData("DP_1","003N8EMH8GTFRCSWKMPXRRL3Y","GSON1112020031")</f>
        <v>#NAME?</v>
      </c>
      <c r="F78" s="4" t="e">
        <f ca="1">[1]!BexGetData("DP_1","003N8EMH8GTFRCSWKMPXRRRFI","GSON1112020031")</f>
        <v>#NAME?</v>
      </c>
      <c r="G78" s="4" t="e">
        <f ca="1">[1]!BexGetData("DP_1","003N8EMH8GTFRCSWKMPXRRXR2","GSON1112020031")</f>
        <v>#NAME?</v>
      </c>
      <c r="H78" s="4" t="e">
        <f ca="1">[1]!BexGetData("DP_1","003N8EMH8GTFRCSWKMPXRS42M","GSON1112020031")</f>
        <v>#NAME?</v>
      </c>
      <c r="I78" s="4" t="e">
        <f ca="1">[1]!BexGetData("DP_1","003N8EMH8GTFRCSWKMPXRSAE6","GSON1112020031")</f>
        <v>#NAME?</v>
      </c>
      <c r="J78" s="4" t="e">
        <f ca="1">[1]!BexGetData("DP_1","003N8EMH8GTFRCSWKMPXRSGPQ","GSON1112020031")</f>
        <v>#NAME?</v>
      </c>
      <c r="K78" s="8" t="e">
        <f ca="1">[1]!BexGetData("DP_1","003N8EMH8GTFRIVNUPY288VJH","GSON1112020031")</f>
        <v>#NAME?</v>
      </c>
      <c r="L78" s="8" t="e">
        <f ca="1">[1]!BexGetData("DP_1","003N8EMH8GTFRIVNUPY2891V1","GSON1112020031")</f>
        <v>#NAME?</v>
      </c>
      <c r="M78" s="8" t="e">
        <f ca="1">[1]!BexGetData("DP_1","003N8EMH8GTFRIVOG7KG9IQXA","GSON1112020031")</f>
        <v>#NAME?</v>
      </c>
      <c r="N78" s="8" t="e">
        <f ca="1">[1]!BexGetData("DP_1","003N8EMH8GTFRIVOG7KG9IX8U","GSON1112020031")</f>
        <v>#NAME?</v>
      </c>
      <c r="O78" s="8" t="e">
        <f ca="1">[1]!BexGetData("DP_1","003N8EMH8GTFRIVOG7KG9J3KE","GSON1112020031")</f>
        <v>#NAME?</v>
      </c>
      <c r="P78" s="8" t="e">
        <f ca="1">[1]!BexGetData("DP_1","003N8EMH8GTFRIVOG7KG9J9VY","GSON1112020031")</f>
        <v>#NAME?</v>
      </c>
      <c r="Q78" s="4" t="e">
        <f ca="1">[1]!BexGetData("DP_1","00O2TNJGODT0G5Z4TTKYMM5MT","GSON1112020031")</f>
        <v>#NAME?</v>
      </c>
      <c r="R78" s="4" t="e">
        <f ca="1">[1]!BexGetData("DP_1","00O2TNJGODT0G5Z4TTKYMMBYD","GSON1112020031")</f>
        <v>#NAME?</v>
      </c>
      <c r="S78" s="4" t="e">
        <f ca="1">[1]!BexGetData("DP_1","00O2TNJGODT0G5Z4TTKYMMI9X","GSON1112020031")</f>
        <v>#NAME?</v>
      </c>
      <c r="T78" s="4" t="e">
        <f ca="1">[1]!BexGetData("DP_1","00O2TNJGODT0G5Z4TTKYMMOLH","GSON1112020031")</f>
        <v>#NAME?</v>
      </c>
      <c r="U78" s="4" t="e">
        <f ca="1">[1]!BexGetData("DP_1","00O2TNJGODT0G5Z4TTKYMMUX1","GSON1112020031")</f>
        <v>#NAME?</v>
      </c>
      <c r="V78" s="4" t="e">
        <f ca="1">[1]!BexGetData("DP_1","00O2TNJGODT0G5Z4TTKYMN18L","GSON1112020031")</f>
        <v>#NAME?</v>
      </c>
      <c r="W78" s="4" t="e">
        <f ca="1">[1]!BexGetData("DP_1","00O2TNJGODT0G5Z4TTKYMN7K5","GSON1112020031")</f>
        <v>#NAME?</v>
      </c>
    </row>
    <row r="79" spans="1:23" x14ac:dyDescent="0.2">
      <c r="A79" s="16" t="s">
        <v>1838</v>
      </c>
      <c r="B79" s="7" t="s">
        <v>746</v>
      </c>
      <c r="C79" s="3" t="e">
        <f ca="1">[1]!BexGetData("DP_1","003N8EMH8GTFRCSWKMPXRR8GU","GSON1112020032")</f>
        <v>#NAME?</v>
      </c>
      <c r="D79" s="3" t="e">
        <f ca="1">[1]!BexGetData("DP_1","003N8EMH8GTFRCSWKMPXRRESE","GSON1112020032")</f>
        <v>#NAME?</v>
      </c>
      <c r="E79" s="8" t="e">
        <f ca="1">[1]!BexGetData("DP_1","003N8EMH8GTFRCSWKMPXRRL3Y","GSON1112020032")</f>
        <v>#NAME?</v>
      </c>
      <c r="F79" s="3" t="e">
        <f ca="1">[1]!BexGetData("DP_1","003N8EMH8GTFRCSWKMPXRRRFI","GSON1112020032")</f>
        <v>#NAME?</v>
      </c>
      <c r="G79" s="8" t="e">
        <f ca="1">[1]!BexGetData("DP_1","003N8EMH8GTFRCSWKMPXRRXR2","GSON1112020032")</f>
        <v>#NAME?</v>
      </c>
      <c r="H79" s="3" t="e">
        <f ca="1">[1]!BexGetData("DP_1","003N8EMH8GTFRCSWKMPXRS42M","GSON1112020032")</f>
        <v>#NAME?</v>
      </c>
      <c r="I79" s="3" t="e">
        <f ca="1">[1]!BexGetData("DP_1","003N8EMH8GTFRCSWKMPXRSAE6","GSON1112020032")</f>
        <v>#NAME?</v>
      </c>
      <c r="J79" s="4" t="e">
        <f ca="1">[1]!BexGetData("DP_1","003N8EMH8GTFRCSWKMPXRSGPQ","GSON1112020032")</f>
        <v>#NAME?</v>
      </c>
      <c r="K79" s="3" t="e">
        <f ca="1">[1]!BexGetData("DP_1","003N8EMH8GTFRIVNUPY288VJH","GSON1112020032")</f>
        <v>#NAME?</v>
      </c>
      <c r="L79" s="3" t="e">
        <f ca="1">[1]!BexGetData("DP_1","003N8EMH8GTFRIVNUPY2891V1","GSON1112020032")</f>
        <v>#NAME?</v>
      </c>
      <c r="M79" s="8" t="e">
        <f ca="1">[1]!BexGetData("DP_1","003N8EMH8GTFRIVOG7KG9IQXA","GSON1112020032")</f>
        <v>#NAME?</v>
      </c>
      <c r="N79" s="3" t="e">
        <f ca="1">[1]!BexGetData("DP_1","003N8EMH8GTFRIVOG7KG9IX8U","GSON1112020032")</f>
        <v>#NAME?</v>
      </c>
      <c r="O79" s="8" t="e">
        <f ca="1">[1]!BexGetData("DP_1","003N8EMH8GTFRIVOG7KG9J3KE","GSON1112020032")</f>
        <v>#NAME?</v>
      </c>
      <c r="P79" s="3" t="e">
        <f ca="1">[1]!BexGetData("DP_1","003N8EMH8GTFRIVOG7KG9J9VY","GSON1112020032")</f>
        <v>#NAME?</v>
      </c>
      <c r="Q79" s="4" t="e">
        <f ca="1">[1]!BexGetData("DP_1","00O2TNJGODT0G5Z4TTKYMM5MT","GSON1112020032")</f>
        <v>#NAME?</v>
      </c>
      <c r="R79" s="3" t="e">
        <f ca="1">[1]!BexGetData("DP_1","00O2TNJGODT0G5Z4TTKYMMBYD","GSON1112020032")</f>
        <v>#NAME?</v>
      </c>
      <c r="S79" s="3" t="e">
        <f ca="1">[1]!BexGetData("DP_1","00O2TNJGODT0G5Z4TTKYMMI9X","GSON1112020032")</f>
        <v>#NAME?</v>
      </c>
      <c r="T79" s="3" t="e">
        <f ca="1">[1]!BexGetData("DP_1","00O2TNJGODT0G5Z4TTKYMMOLH","GSON1112020032")</f>
        <v>#NAME?</v>
      </c>
      <c r="U79" s="8" t="e">
        <f ca="1">[1]!BexGetData("DP_1","00O2TNJGODT0G5Z4TTKYMMUX1","GSON1112020032")</f>
        <v>#NAME?</v>
      </c>
      <c r="V79" s="3" t="e">
        <f ca="1">[1]!BexGetData("DP_1","00O2TNJGODT0G5Z4TTKYMN18L","GSON1112020032")</f>
        <v>#NAME?</v>
      </c>
      <c r="W79" s="8" t="e">
        <f ca="1">[1]!BexGetData("DP_1","00O2TNJGODT0G5Z4TTKYMN7K5","GSON1112020032")</f>
        <v>#NAME?</v>
      </c>
    </row>
    <row r="80" spans="1:23" x14ac:dyDescent="0.2">
      <c r="A80" s="16" t="s">
        <v>747</v>
      </c>
      <c r="B80" s="7" t="s">
        <v>748</v>
      </c>
      <c r="C80" s="3" t="e">
        <f ca="1">[1]!BexGetData("DP_1","003N8EMH8GTFRCSWKMPXRR8GU","GSON1112020033")</f>
        <v>#NAME?</v>
      </c>
      <c r="D80" s="3" t="e">
        <f ca="1">[1]!BexGetData("DP_1","003N8EMH8GTFRCSWKMPXRRESE","GSON1112020033")</f>
        <v>#NAME?</v>
      </c>
      <c r="E80" s="8" t="e">
        <f ca="1">[1]!BexGetData("DP_1","003N8EMH8GTFRCSWKMPXRRL3Y","GSON1112020033")</f>
        <v>#NAME?</v>
      </c>
      <c r="F80" s="4" t="e">
        <f ca="1">[1]!BexGetData("DP_1","003N8EMH8GTFRCSWKMPXRRRFI","GSON1112020033")</f>
        <v>#NAME?</v>
      </c>
      <c r="G80" s="4" t="e">
        <f ca="1">[1]!BexGetData("DP_1","003N8EMH8GTFRCSWKMPXRRXR2","GSON1112020033")</f>
        <v>#NAME?</v>
      </c>
      <c r="H80" s="4" t="e">
        <f ca="1">[1]!BexGetData("DP_1","003N8EMH8GTFRCSWKMPXRS42M","GSON1112020033")</f>
        <v>#NAME?</v>
      </c>
      <c r="I80" s="4" t="e">
        <f ca="1">[1]!BexGetData("DP_1","003N8EMH8GTFRCSWKMPXRSAE6","GSON1112020033")</f>
        <v>#NAME?</v>
      </c>
      <c r="J80" s="4" t="e">
        <f ca="1">[1]!BexGetData("DP_1","003N8EMH8GTFRCSWKMPXRSGPQ","GSON1112020033")</f>
        <v>#NAME?</v>
      </c>
      <c r="K80" s="8" t="e">
        <f ca="1">[1]!BexGetData("DP_1","003N8EMH8GTFRIVNUPY288VJH","GSON1112020033")</f>
        <v>#NAME?</v>
      </c>
      <c r="L80" s="8" t="e">
        <f ca="1">[1]!BexGetData("DP_1","003N8EMH8GTFRIVNUPY2891V1","GSON1112020033")</f>
        <v>#NAME?</v>
      </c>
      <c r="M80" s="8" t="e">
        <f ca="1">[1]!BexGetData("DP_1","003N8EMH8GTFRIVOG7KG9IQXA","GSON1112020033")</f>
        <v>#NAME?</v>
      </c>
      <c r="N80" s="8" t="e">
        <f ca="1">[1]!BexGetData("DP_1","003N8EMH8GTFRIVOG7KG9IX8U","GSON1112020033")</f>
        <v>#NAME?</v>
      </c>
      <c r="O80" s="8" t="e">
        <f ca="1">[1]!BexGetData("DP_1","003N8EMH8GTFRIVOG7KG9J3KE","GSON1112020033")</f>
        <v>#NAME?</v>
      </c>
      <c r="P80" s="8" t="e">
        <f ca="1">[1]!BexGetData("DP_1","003N8EMH8GTFRIVOG7KG9J9VY","GSON1112020033")</f>
        <v>#NAME?</v>
      </c>
      <c r="Q80" s="4" t="e">
        <f ca="1">[1]!BexGetData("DP_1","00O2TNJGODT0G5Z4TTKYMM5MT","GSON1112020033")</f>
        <v>#NAME?</v>
      </c>
      <c r="R80" s="4" t="e">
        <f ca="1">[1]!BexGetData("DP_1","00O2TNJGODT0G5Z4TTKYMMBYD","GSON1112020033")</f>
        <v>#NAME?</v>
      </c>
      <c r="S80" s="4" t="e">
        <f ca="1">[1]!BexGetData("DP_1","00O2TNJGODT0G5Z4TTKYMMI9X","GSON1112020033")</f>
        <v>#NAME?</v>
      </c>
      <c r="T80" s="4" t="e">
        <f ca="1">[1]!BexGetData("DP_1","00O2TNJGODT0G5Z4TTKYMMOLH","GSON1112020033")</f>
        <v>#NAME?</v>
      </c>
      <c r="U80" s="4" t="e">
        <f ca="1">[1]!BexGetData("DP_1","00O2TNJGODT0G5Z4TTKYMMUX1","GSON1112020033")</f>
        <v>#NAME?</v>
      </c>
      <c r="V80" s="4" t="e">
        <f ca="1">[1]!BexGetData("DP_1","00O2TNJGODT0G5Z4TTKYMN18L","GSON1112020033")</f>
        <v>#NAME?</v>
      </c>
      <c r="W80" s="4" t="e">
        <f ca="1">[1]!BexGetData("DP_1","00O2TNJGODT0G5Z4TTKYMN7K5","GSON1112020033")</f>
        <v>#NAME?</v>
      </c>
    </row>
    <row r="81" spans="1:23" x14ac:dyDescent="0.2">
      <c r="A81" s="16" t="s">
        <v>1839</v>
      </c>
      <c r="B81" s="7" t="s">
        <v>749</v>
      </c>
      <c r="C81" s="3" t="e">
        <f ca="1">[1]!BexGetData("DP_1","003N8EMH8GTFRCSWKMPXRR8GU","GSON1112020034")</f>
        <v>#NAME?</v>
      </c>
      <c r="D81" s="3" t="e">
        <f ca="1">[1]!BexGetData("DP_1","003N8EMH8GTFRCSWKMPXRRESE","GSON1112020034")</f>
        <v>#NAME?</v>
      </c>
      <c r="E81" s="8" t="e">
        <f ca="1">[1]!BexGetData("DP_1","003N8EMH8GTFRCSWKMPXRRL3Y","GSON1112020034")</f>
        <v>#NAME?</v>
      </c>
      <c r="F81" s="4" t="e">
        <f ca="1">[1]!BexGetData("DP_1","003N8EMH8GTFRCSWKMPXRRRFI","GSON1112020034")</f>
        <v>#NAME?</v>
      </c>
      <c r="G81" s="4" t="e">
        <f ca="1">[1]!BexGetData("DP_1","003N8EMH8GTFRCSWKMPXRRXR2","GSON1112020034")</f>
        <v>#NAME?</v>
      </c>
      <c r="H81" s="4" t="e">
        <f ca="1">[1]!BexGetData("DP_1","003N8EMH8GTFRCSWKMPXRS42M","GSON1112020034")</f>
        <v>#NAME?</v>
      </c>
      <c r="I81" s="4" t="e">
        <f ca="1">[1]!BexGetData("DP_1","003N8EMH8GTFRCSWKMPXRSAE6","GSON1112020034")</f>
        <v>#NAME?</v>
      </c>
      <c r="J81" s="4" t="e">
        <f ca="1">[1]!BexGetData("DP_1","003N8EMH8GTFRCSWKMPXRSGPQ","GSON1112020034")</f>
        <v>#NAME?</v>
      </c>
      <c r="K81" s="8" t="e">
        <f ca="1">[1]!BexGetData("DP_1","003N8EMH8GTFRIVNUPY288VJH","GSON1112020034")</f>
        <v>#NAME?</v>
      </c>
      <c r="L81" s="8" t="e">
        <f ca="1">[1]!BexGetData("DP_1","003N8EMH8GTFRIVNUPY2891V1","GSON1112020034")</f>
        <v>#NAME?</v>
      </c>
      <c r="M81" s="8" t="e">
        <f ca="1">[1]!BexGetData("DP_1","003N8EMH8GTFRIVOG7KG9IQXA","GSON1112020034")</f>
        <v>#NAME?</v>
      </c>
      <c r="N81" s="8" t="e">
        <f ca="1">[1]!BexGetData("DP_1","003N8EMH8GTFRIVOG7KG9IX8U","GSON1112020034")</f>
        <v>#NAME?</v>
      </c>
      <c r="O81" s="8" t="e">
        <f ca="1">[1]!BexGetData("DP_1","003N8EMH8GTFRIVOG7KG9J3KE","GSON1112020034")</f>
        <v>#NAME?</v>
      </c>
      <c r="P81" s="8" t="e">
        <f ca="1">[1]!BexGetData("DP_1","003N8EMH8GTFRIVOG7KG9J9VY","GSON1112020034")</f>
        <v>#NAME?</v>
      </c>
      <c r="Q81" s="4" t="e">
        <f ca="1">[1]!BexGetData("DP_1","00O2TNJGODT0G5Z4TTKYMM5MT","GSON1112020034")</f>
        <v>#NAME?</v>
      </c>
      <c r="R81" s="4" t="e">
        <f ca="1">[1]!BexGetData("DP_1","00O2TNJGODT0G5Z4TTKYMMBYD","GSON1112020034")</f>
        <v>#NAME?</v>
      </c>
      <c r="S81" s="4" t="e">
        <f ca="1">[1]!BexGetData("DP_1","00O2TNJGODT0G5Z4TTKYMMI9X","GSON1112020034")</f>
        <v>#NAME?</v>
      </c>
      <c r="T81" s="4" t="e">
        <f ca="1">[1]!BexGetData("DP_1","00O2TNJGODT0G5Z4TTKYMMOLH","GSON1112020034")</f>
        <v>#NAME?</v>
      </c>
      <c r="U81" s="4" t="e">
        <f ca="1">[1]!BexGetData("DP_1","00O2TNJGODT0G5Z4TTKYMMUX1","GSON1112020034")</f>
        <v>#NAME?</v>
      </c>
      <c r="V81" s="4" t="e">
        <f ca="1">[1]!BexGetData("DP_1","00O2TNJGODT0G5Z4TTKYMN18L","GSON1112020034")</f>
        <v>#NAME?</v>
      </c>
      <c r="W81" s="4" t="e">
        <f ca="1">[1]!BexGetData("DP_1","00O2TNJGODT0G5Z4TTKYMN7K5","GSON1112020034")</f>
        <v>#NAME?</v>
      </c>
    </row>
    <row r="82" spans="1:23" x14ac:dyDescent="0.2">
      <c r="A82" s="16" t="s">
        <v>1840</v>
      </c>
      <c r="B82" s="7" t="s">
        <v>1841</v>
      </c>
      <c r="C82" s="3" t="e">
        <f ca="1">[1]!BexGetData("DP_1","003N8EMH8GTFRCSWKMPXRR8GU","GSON1112020035")</f>
        <v>#NAME?</v>
      </c>
      <c r="D82" s="3" t="e">
        <f ca="1">[1]!BexGetData("DP_1","003N8EMH8GTFRCSWKMPXRRESE","GSON1112020035")</f>
        <v>#NAME?</v>
      </c>
      <c r="E82" s="8" t="e">
        <f ca="1">[1]!BexGetData("DP_1","003N8EMH8GTFRCSWKMPXRRL3Y","GSON1112020035")</f>
        <v>#NAME?</v>
      </c>
      <c r="F82" s="4" t="e">
        <f ca="1">[1]!BexGetData("DP_1","003N8EMH8GTFRCSWKMPXRRRFI","GSON1112020035")</f>
        <v>#NAME?</v>
      </c>
      <c r="G82" s="4" t="e">
        <f ca="1">[1]!BexGetData("DP_1","003N8EMH8GTFRCSWKMPXRRXR2","GSON1112020035")</f>
        <v>#NAME?</v>
      </c>
      <c r="H82" s="4" t="e">
        <f ca="1">[1]!BexGetData("DP_1","003N8EMH8GTFRCSWKMPXRS42M","GSON1112020035")</f>
        <v>#NAME?</v>
      </c>
      <c r="I82" s="4" t="e">
        <f ca="1">[1]!BexGetData("DP_1","003N8EMH8GTFRCSWKMPXRSAE6","GSON1112020035")</f>
        <v>#NAME?</v>
      </c>
      <c r="J82" s="4" t="e">
        <f ca="1">[1]!BexGetData("DP_1","003N8EMH8GTFRCSWKMPXRSGPQ","GSON1112020035")</f>
        <v>#NAME?</v>
      </c>
      <c r="K82" s="8" t="e">
        <f ca="1">[1]!BexGetData("DP_1","003N8EMH8GTFRIVNUPY288VJH","GSON1112020035")</f>
        <v>#NAME?</v>
      </c>
      <c r="L82" s="8" t="e">
        <f ca="1">[1]!BexGetData("DP_1","003N8EMH8GTFRIVNUPY2891V1","GSON1112020035")</f>
        <v>#NAME?</v>
      </c>
      <c r="M82" s="8" t="e">
        <f ca="1">[1]!BexGetData("DP_1","003N8EMH8GTFRIVOG7KG9IQXA","GSON1112020035")</f>
        <v>#NAME?</v>
      </c>
      <c r="N82" s="8" t="e">
        <f ca="1">[1]!BexGetData("DP_1","003N8EMH8GTFRIVOG7KG9IX8U","GSON1112020035")</f>
        <v>#NAME?</v>
      </c>
      <c r="O82" s="8" t="e">
        <f ca="1">[1]!BexGetData("DP_1","003N8EMH8GTFRIVOG7KG9J3KE","GSON1112020035")</f>
        <v>#NAME?</v>
      </c>
      <c r="P82" s="8" t="e">
        <f ca="1">[1]!BexGetData("DP_1","003N8EMH8GTFRIVOG7KG9J9VY","GSON1112020035")</f>
        <v>#NAME?</v>
      </c>
      <c r="Q82" s="4" t="e">
        <f ca="1">[1]!BexGetData("DP_1","00O2TNJGODT0G5Z4TTKYMM5MT","GSON1112020035")</f>
        <v>#NAME?</v>
      </c>
      <c r="R82" s="4" t="e">
        <f ca="1">[1]!BexGetData("DP_1","00O2TNJGODT0G5Z4TTKYMMBYD","GSON1112020035")</f>
        <v>#NAME?</v>
      </c>
      <c r="S82" s="4" t="e">
        <f ca="1">[1]!BexGetData("DP_1","00O2TNJGODT0G5Z4TTKYMMI9X","GSON1112020035")</f>
        <v>#NAME?</v>
      </c>
      <c r="T82" s="4" t="e">
        <f ca="1">[1]!BexGetData("DP_1","00O2TNJGODT0G5Z4TTKYMMOLH","GSON1112020035")</f>
        <v>#NAME?</v>
      </c>
      <c r="U82" s="4" t="e">
        <f ca="1">[1]!BexGetData("DP_1","00O2TNJGODT0G5Z4TTKYMMUX1","GSON1112020035")</f>
        <v>#NAME?</v>
      </c>
      <c r="V82" s="4" t="e">
        <f ca="1">[1]!BexGetData("DP_1","00O2TNJGODT0G5Z4TTKYMN18L","GSON1112020035")</f>
        <v>#NAME?</v>
      </c>
      <c r="W82" s="4" t="e">
        <f ca="1">[1]!BexGetData("DP_1","00O2TNJGODT0G5Z4TTKYMN7K5","GSON1112020035")</f>
        <v>#NAME?</v>
      </c>
    </row>
    <row r="83" spans="1:23" x14ac:dyDescent="0.2">
      <c r="A83" s="16" t="s">
        <v>1842</v>
      </c>
      <c r="B83" s="7" t="s">
        <v>1843</v>
      </c>
      <c r="C83" s="3" t="e">
        <f ca="1">[1]!BexGetData("DP_1","003N8EMH8GTFRCSWKMPXRR8GU","GSON1112020040")</f>
        <v>#NAME?</v>
      </c>
      <c r="D83" s="8" t="e">
        <f ca="1">[1]!BexGetData("DP_1","003N8EMH8GTFRCSWKMPXRRESE","GSON1112020040")</f>
        <v>#NAME?</v>
      </c>
      <c r="E83" s="3" t="e">
        <f ca="1">[1]!BexGetData("DP_1","003N8EMH8GTFRCSWKMPXRRL3Y","GSON1112020040")</f>
        <v>#NAME?</v>
      </c>
      <c r="F83" s="3" t="e">
        <f ca="1">[1]!BexGetData("DP_1","003N8EMH8GTFRCSWKMPXRRRFI","GSON1112020040")</f>
        <v>#NAME?</v>
      </c>
      <c r="G83" s="3" t="e">
        <f ca="1">[1]!BexGetData("DP_1","003N8EMH8GTFRCSWKMPXRRXR2","GSON1112020040")</f>
        <v>#NAME?</v>
      </c>
      <c r="H83" s="8" t="e">
        <f ca="1">[1]!BexGetData("DP_1","003N8EMH8GTFRCSWKMPXRS42M","GSON1112020040")</f>
        <v>#NAME?</v>
      </c>
      <c r="I83" s="3" t="e">
        <f ca="1">[1]!BexGetData("DP_1","003N8EMH8GTFRCSWKMPXRSAE6","GSON1112020040")</f>
        <v>#NAME?</v>
      </c>
      <c r="J83" s="4" t="e">
        <f ca="1">[1]!BexGetData("DP_1","003N8EMH8GTFRCSWKMPXRSGPQ","GSON1112020040")</f>
        <v>#NAME?</v>
      </c>
      <c r="K83" s="3" t="e">
        <f ca="1">[1]!BexGetData("DP_1","003N8EMH8GTFRIVNUPY288VJH","GSON1112020040")</f>
        <v>#NAME?</v>
      </c>
      <c r="L83" s="3" t="e">
        <f ca="1">[1]!BexGetData("DP_1","003N8EMH8GTFRIVNUPY2891V1","GSON1112020040")</f>
        <v>#NAME?</v>
      </c>
      <c r="M83" s="8" t="e">
        <f ca="1">[1]!BexGetData("DP_1","003N8EMH8GTFRIVOG7KG9IQXA","GSON1112020040")</f>
        <v>#NAME?</v>
      </c>
      <c r="N83" s="3" t="e">
        <f ca="1">[1]!BexGetData("DP_1","003N8EMH8GTFRIVOG7KG9IX8U","GSON1112020040")</f>
        <v>#NAME?</v>
      </c>
      <c r="O83" s="8" t="e">
        <f ca="1">[1]!BexGetData("DP_1","003N8EMH8GTFRIVOG7KG9J3KE","GSON1112020040")</f>
        <v>#NAME?</v>
      </c>
      <c r="P83" s="3" t="e">
        <f ca="1">[1]!BexGetData("DP_1","003N8EMH8GTFRIVOG7KG9J9VY","GSON1112020040")</f>
        <v>#NAME?</v>
      </c>
      <c r="Q83" s="4" t="e">
        <f ca="1">[1]!BexGetData("DP_1","00O2TNJGODT0G5Z4TTKYMM5MT","GSON1112020040")</f>
        <v>#NAME?</v>
      </c>
      <c r="R83" s="3" t="e">
        <f ca="1">[1]!BexGetData("DP_1","00O2TNJGODT0G5Z4TTKYMMBYD","GSON1112020040")</f>
        <v>#NAME?</v>
      </c>
      <c r="S83" s="3" t="e">
        <f ca="1">[1]!BexGetData("DP_1","00O2TNJGODT0G5Z4TTKYMMI9X","GSON1112020040")</f>
        <v>#NAME?</v>
      </c>
      <c r="T83" s="8" t="e">
        <f ca="1">[1]!BexGetData("DP_1","00O2TNJGODT0G5Z4TTKYMMOLH","GSON1112020040")</f>
        <v>#NAME?</v>
      </c>
      <c r="U83" s="3" t="e">
        <f ca="1">[1]!BexGetData("DP_1","00O2TNJGODT0G5Z4TTKYMMUX1","GSON1112020040")</f>
        <v>#NAME?</v>
      </c>
      <c r="V83" s="8" t="e">
        <f ca="1">[1]!BexGetData("DP_1","00O2TNJGODT0G5Z4TTKYMN18L","GSON1112020040")</f>
        <v>#NAME?</v>
      </c>
      <c r="W83" s="3" t="e">
        <f ca="1">[1]!BexGetData("DP_1","00O2TNJGODT0G5Z4TTKYMN7K5","GSON1112020040")</f>
        <v>#NAME?</v>
      </c>
    </row>
    <row r="84" spans="1:23" x14ac:dyDescent="0.2">
      <c r="A84" s="16" t="s">
        <v>1844</v>
      </c>
      <c r="B84" s="7" t="s">
        <v>1845</v>
      </c>
      <c r="C84" s="3" t="e">
        <f ca="1">[1]!BexGetData("DP_1","003N8EMH8GTFRCSWKMPXRR8GU","GSON1112020041")</f>
        <v>#NAME?</v>
      </c>
      <c r="D84" s="3" t="e">
        <f ca="1">[1]!BexGetData("DP_1","003N8EMH8GTFRCSWKMPXRRESE","GSON1112020041")</f>
        <v>#NAME?</v>
      </c>
      <c r="E84" s="8" t="e">
        <f ca="1">[1]!BexGetData("DP_1","003N8EMH8GTFRCSWKMPXRRL3Y","GSON1112020041")</f>
        <v>#NAME?</v>
      </c>
      <c r="F84" s="4" t="e">
        <f ca="1">[1]!BexGetData("DP_1","003N8EMH8GTFRCSWKMPXRRRFI","GSON1112020041")</f>
        <v>#NAME?</v>
      </c>
      <c r="G84" s="4" t="e">
        <f ca="1">[1]!BexGetData("DP_1","003N8EMH8GTFRCSWKMPXRRXR2","GSON1112020041")</f>
        <v>#NAME?</v>
      </c>
      <c r="H84" s="4" t="e">
        <f ca="1">[1]!BexGetData("DP_1","003N8EMH8GTFRCSWKMPXRS42M","GSON1112020041")</f>
        <v>#NAME?</v>
      </c>
      <c r="I84" s="4" t="e">
        <f ca="1">[1]!BexGetData("DP_1","003N8EMH8GTFRCSWKMPXRSAE6","GSON1112020041")</f>
        <v>#NAME?</v>
      </c>
      <c r="J84" s="4" t="e">
        <f ca="1">[1]!BexGetData("DP_1","003N8EMH8GTFRCSWKMPXRSGPQ","GSON1112020041")</f>
        <v>#NAME?</v>
      </c>
      <c r="K84" s="8" t="e">
        <f ca="1">[1]!BexGetData("DP_1","003N8EMH8GTFRIVNUPY288VJH","GSON1112020041")</f>
        <v>#NAME?</v>
      </c>
      <c r="L84" s="8" t="e">
        <f ca="1">[1]!BexGetData("DP_1","003N8EMH8GTFRIVNUPY2891V1","GSON1112020041")</f>
        <v>#NAME?</v>
      </c>
      <c r="M84" s="8" t="e">
        <f ca="1">[1]!BexGetData("DP_1","003N8EMH8GTFRIVOG7KG9IQXA","GSON1112020041")</f>
        <v>#NAME?</v>
      </c>
      <c r="N84" s="8" t="e">
        <f ca="1">[1]!BexGetData("DP_1","003N8EMH8GTFRIVOG7KG9IX8U","GSON1112020041")</f>
        <v>#NAME?</v>
      </c>
      <c r="O84" s="8" t="e">
        <f ca="1">[1]!BexGetData("DP_1","003N8EMH8GTFRIVOG7KG9J3KE","GSON1112020041")</f>
        <v>#NAME?</v>
      </c>
      <c r="P84" s="8" t="e">
        <f ca="1">[1]!BexGetData("DP_1","003N8EMH8GTFRIVOG7KG9J9VY","GSON1112020041")</f>
        <v>#NAME?</v>
      </c>
      <c r="Q84" s="4" t="e">
        <f ca="1">[1]!BexGetData("DP_1","00O2TNJGODT0G5Z4TTKYMM5MT","GSON1112020041")</f>
        <v>#NAME?</v>
      </c>
      <c r="R84" s="4" t="e">
        <f ca="1">[1]!BexGetData("DP_1","00O2TNJGODT0G5Z4TTKYMMBYD","GSON1112020041")</f>
        <v>#NAME?</v>
      </c>
      <c r="S84" s="4" t="e">
        <f ca="1">[1]!BexGetData("DP_1","00O2TNJGODT0G5Z4TTKYMMI9X","GSON1112020041")</f>
        <v>#NAME?</v>
      </c>
      <c r="T84" s="4" t="e">
        <f ca="1">[1]!BexGetData("DP_1","00O2TNJGODT0G5Z4TTKYMMOLH","GSON1112020041")</f>
        <v>#NAME?</v>
      </c>
      <c r="U84" s="4" t="e">
        <f ca="1">[1]!BexGetData("DP_1","00O2TNJGODT0G5Z4TTKYMMUX1","GSON1112020041")</f>
        <v>#NAME?</v>
      </c>
      <c r="V84" s="4" t="e">
        <f ca="1">[1]!BexGetData("DP_1","00O2TNJGODT0G5Z4TTKYMN18L","GSON1112020041")</f>
        <v>#NAME?</v>
      </c>
      <c r="W84" s="4" t="e">
        <f ca="1">[1]!BexGetData("DP_1","00O2TNJGODT0G5Z4TTKYMN7K5","GSON1112020041")</f>
        <v>#NAME?</v>
      </c>
    </row>
    <row r="85" spans="1:23" x14ac:dyDescent="0.2">
      <c r="A85" s="16" t="s">
        <v>1846</v>
      </c>
      <c r="B85" s="7" t="s">
        <v>1847</v>
      </c>
      <c r="C85" s="3" t="e">
        <f ca="1">[1]!BexGetData("DP_1","003N8EMH8GTFRCSWKMPXRR8GU","GSON1112020045")</f>
        <v>#NAME?</v>
      </c>
      <c r="D85" s="3" t="e">
        <f ca="1">[1]!BexGetData("DP_1","003N8EMH8GTFRCSWKMPXRRESE","GSON1112020045")</f>
        <v>#NAME?</v>
      </c>
      <c r="E85" s="8" t="e">
        <f ca="1">[1]!BexGetData("DP_1","003N8EMH8GTFRCSWKMPXRRL3Y","GSON1112020045")</f>
        <v>#NAME?</v>
      </c>
      <c r="F85" s="4" t="e">
        <f ca="1">[1]!BexGetData("DP_1","003N8EMH8GTFRCSWKMPXRRRFI","GSON1112020045")</f>
        <v>#NAME?</v>
      </c>
      <c r="G85" s="4" t="e">
        <f ca="1">[1]!BexGetData("DP_1","003N8EMH8GTFRCSWKMPXRRXR2","GSON1112020045")</f>
        <v>#NAME?</v>
      </c>
      <c r="H85" s="4" t="e">
        <f ca="1">[1]!BexGetData("DP_1","003N8EMH8GTFRCSWKMPXRS42M","GSON1112020045")</f>
        <v>#NAME?</v>
      </c>
      <c r="I85" s="4" t="e">
        <f ca="1">[1]!BexGetData("DP_1","003N8EMH8GTFRCSWKMPXRSAE6","GSON1112020045")</f>
        <v>#NAME?</v>
      </c>
      <c r="J85" s="4" t="e">
        <f ca="1">[1]!BexGetData("DP_1","003N8EMH8GTFRCSWKMPXRSGPQ","GSON1112020045")</f>
        <v>#NAME?</v>
      </c>
      <c r="K85" s="8" t="e">
        <f ca="1">[1]!BexGetData("DP_1","003N8EMH8GTFRIVNUPY288VJH","GSON1112020045")</f>
        <v>#NAME?</v>
      </c>
      <c r="L85" s="8" t="e">
        <f ca="1">[1]!BexGetData("DP_1","003N8EMH8GTFRIVNUPY2891V1","GSON1112020045")</f>
        <v>#NAME?</v>
      </c>
      <c r="M85" s="8" t="e">
        <f ca="1">[1]!BexGetData("DP_1","003N8EMH8GTFRIVOG7KG9IQXA","GSON1112020045")</f>
        <v>#NAME?</v>
      </c>
      <c r="N85" s="8" t="e">
        <f ca="1">[1]!BexGetData("DP_1","003N8EMH8GTFRIVOG7KG9IX8U","GSON1112020045")</f>
        <v>#NAME?</v>
      </c>
      <c r="O85" s="8" t="e">
        <f ca="1">[1]!BexGetData("DP_1","003N8EMH8GTFRIVOG7KG9J3KE","GSON1112020045")</f>
        <v>#NAME?</v>
      </c>
      <c r="P85" s="8" t="e">
        <f ca="1">[1]!BexGetData("DP_1","003N8EMH8GTFRIVOG7KG9J9VY","GSON1112020045")</f>
        <v>#NAME?</v>
      </c>
      <c r="Q85" s="4" t="e">
        <f ca="1">[1]!BexGetData("DP_1","00O2TNJGODT0G5Z4TTKYMM5MT","GSON1112020045")</f>
        <v>#NAME?</v>
      </c>
      <c r="R85" s="4" t="e">
        <f ca="1">[1]!BexGetData("DP_1","00O2TNJGODT0G5Z4TTKYMMBYD","GSON1112020045")</f>
        <v>#NAME?</v>
      </c>
      <c r="S85" s="4" t="e">
        <f ca="1">[1]!BexGetData("DP_1","00O2TNJGODT0G5Z4TTKYMMI9X","GSON1112020045")</f>
        <v>#NAME?</v>
      </c>
      <c r="T85" s="4" t="e">
        <f ca="1">[1]!BexGetData("DP_1","00O2TNJGODT0G5Z4TTKYMMOLH","GSON1112020045")</f>
        <v>#NAME?</v>
      </c>
      <c r="U85" s="4" t="e">
        <f ca="1">[1]!BexGetData("DP_1","00O2TNJGODT0G5Z4TTKYMMUX1","GSON1112020045")</f>
        <v>#NAME?</v>
      </c>
      <c r="V85" s="4" t="e">
        <f ca="1">[1]!BexGetData("DP_1","00O2TNJGODT0G5Z4TTKYMN18L","GSON1112020045")</f>
        <v>#NAME?</v>
      </c>
      <c r="W85" s="4" t="e">
        <f ca="1">[1]!BexGetData("DP_1","00O2TNJGODT0G5Z4TTKYMN7K5","GSON1112020045")</f>
        <v>#NAME?</v>
      </c>
    </row>
    <row r="86" spans="1:23" x14ac:dyDescent="0.2">
      <c r="A86" s="16" t="s">
        <v>1848</v>
      </c>
      <c r="B86" s="7" t="s">
        <v>161</v>
      </c>
      <c r="C86" s="3" t="e">
        <f ca="1">[1]!BexGetData("DP_1","003N8EMH8GTFRCSWKMPXRR8GU","GSON1112030010")</f>
        <v>#NAME?</v>
      </c>
      <c r="D86" s="3" t="e">
        <f ca="1">[1]!BexGetData("DP_1","003N8EMH8GTFRCSWKMPXRRESE","GSON1112030010")</f>
        <v>#NAME?</v>
      </c>
      <c r="E86" s="3" t="e">
        <f ca="1">[1]!BexGetData("DP_1","003N8EMH8GTFRCSWKMPXRRL3Y","GSON1112030010")</f>
        <v>#NAME?</v>
      </c>
      <c r="F86" s="3" t="e">
        <f ca="1">[1]!BexGetData("DP_1","003N8EMH8GTFRCSWKMPXRRRFI","GSON1112030010")</f>
        <v>#NAME?</v>
      </c>
      <c r="G86" s="3" t="e">
        <f ca="1">[1]!BexGetData("DP_1","003N8EMH8GTFRCSWKMPXRRXR2","GSON1112030010")</f>
        <v>#NAME?</v>
      </c>
      <c r="H86" s="3" t="e">
        <f ca="1">[1]!BexGetData("DP_1","003N8EMH8GTFRCSWKMPXRS42M","GSON1112030010")</f>
        <v>#NAME?</v>
      </c>
      <c r="I86" s="3" t="e">
        <f ca="1">[1]!BexGetData("DP_1","003N8EMH8GTFRCSWKMPXRSAE6","GSON1112030010")</f>
        <v>#NAME?</v>
      </c>
      <c r="J86" s="4" t="e">
        <f ca="1">[1]!BexGetData("DP_1","003N8EMH8GTFRCSWKMPXRSGPQ","GSON1112030010")</f>
        <v>#NAME?</v>
      </c>
      <c r="K86" s="3" t="e">
        <f ca="1">[1]!BexGetData("DP_1","003N8EMH8GTFRIVNUPY288VJH","GSON1112030010")</f>
        <v>#NAME?</v>
      </c>
      <c r="L86" s="3" t="e">
        <f ca="1">[1]!BexGetData("DP_1","003N8EMH8GTFRIVNUPY2891V1","GSON1112030010")</f>
        <v>#NAME?</v>
      </c>
      <c r="M86" s="8" t="e">
        <f ca="1">[1]!BexGetData("DP_1","003N8EMH8GTFRIVOG7KG9IQXA","GSON1112030010")</f>
        <v>#NAME?</v>
      </c>
      <c r="N86" s="3" t="e">
        <f ca="1">[1]!BexGetData("DP_1","003N8EMH8GTFRIVOG7KG9IX8U","GSON1112030010")</f>
        <v>#NAME?</v>
      </c>
      <c r="O86" s="8" t="e">
        <f ca="1">[1]!BexGetData("DP_1","003N8EMH8GTFRIVOG7KG9J3KE","GSON1112030010")</f>
        <v>#NAME?</v>
      </c>
      <c r="P86" s="3" t="e">
        <f ca="1">[1]!BexGetData("DP_1","003N8EMH8GTFRIVOG7KG9J9VY","GSON1112030010")</f>
        <v>#NAME?</v>
      </c>
      <c r="Q86" s="4" t="e">
        <f ca="1">[1]!BexGetData("DP_1","00O2TNJGODT0G5Z4TTKYMM5MT","GSON1112030010")</f>
        <v>#NAME?</v>
      </c>
      <c r="R86" s="3" t="e">
        <f ca="1">[1]!BexGetData("DP_1","00O2TNJGODT0G5Z4TTKYMMBYD","GSON1112030010")</f>
        <v>#NAME?</v>
      </c>
      <c r="S86" s="3" t="e">
        <f ca="1">[1]!BexGetData("DP_1","00O2TNJGODT0G5Z4TTKYMMI9X","GSON1112030010")</f>
        <v>#NAME?</v>
      </c>
      <c r="T86" s="8" t="e">
        <f ca="1">[1]!BexGetData("DP_1","00O2TNJGODT0G5Z4TTKYMMOLH","GSON1112030010")</f>
        <v>#NAME?</v>
      </c>
      <c r="U86" s="3" t="e">
        <f ca="1">[1]!BexGetData("DP_1","00O2TNJGODT0G5Z4TTKYMMUX1","GSON1112030010")</f>
        <v>#NAME?</v>
      </c>
      <c r="V86" s="8" t="e">
        <f ca="1">[1]!BexGetData("DP_1","00O2TNJGODT0G5Z4TTKYMN18L","GSON1112030010")</f>
        <v>#NAME?</v>
      </c>
      <c r="W86" s="3" t="e">
        <f ca="1">[1]!BexGetData("DP_1","00O2TNJGODT0G5Z4TTKYMN7K5","GSON1112030010")</f>
        <v>#NAME?</v>
      </c>
    </row>
    <row r="87" spans="1:23" x14ac:dyDescent="0.2">
      <c r="A87" s="16" t="s">
        <v>1849</v>
      </c>
      <c r="B87" s="7" t="s">
        <v>145</v>
      </c>
      <c r="C87" s="3" t="e">
        <f ca="1">[1]!BexGetData("DP_1","003N8EMH8GTFRCSWKMPXRR8GU","GSON1112030011")</f>
        <v>#NAME?</v>
      </c>
      <c r="D87" s="3" t="e">
        <f ca="1">[1]!BexGetData("DP_1","003N8EMH8GTFRCSWKMPXRRESE","GSON1112030011")</f>
        <v>#NAME?</v>
      </c>
      <c r="E87" s="8" t="e">
        <f ca="1">[1]!BexGetData("DP_1","003N8EMH8GTFRCSWKMPXRRL3Y","GSON1112030011")</f>
        <v>#NAME?</v>
      </c>
      <c r="F87" s="4" t="e">
        <f ca="1">[1]!BexGetData("DP_1","003N8EMH8GTFRCSWKMPXRRRFI","GSON1112030011")</f>
        <v>#NAME?</v>
      </c>
      <c r="G87" s="4" t="e">
        <f ca="1">[1]!BexGetData("DP_1","003N8EMH8GTFRCSWKMPXRRXR2","GSON1112030011")</f>
        <v>#NAME?</v>
      </c>
      <c r="H87" s="4" t="e">
        <f ca="1">[1]!BexGetData("DP_1","003N8EMH8GTFRCSWKMPXRS42M","GSON1112030011")</f>
        <v>#NAME?</v>
      </c>
      <c r="I87" s="4" t="e">
        <f ca="1">[1]!BexGetData("DP_1","003N8EMH8GTFRCSWKMPXRSAE6","GSON1112030011")</f>
        <v>#NAME?</v>
      </c>
      <c r="J87" s="4" t="e">
        <f ca="1">[1]!BexGetData("DP_1","003N8EMH8GTFRCSWKMPXRSGPQ","GSON1112030011")</f>
        <v>#NAME?</v>
      </c>
      <c r="K87" s="8" t="e">
        <f ca="1">[1]!BexGetData("DP_1","003N8EMH8GTFRIVNUPY288VJH","GSON1112030011")</f>
        <v>#NAME?</v>
      </c>
      <c r="L87" s="8" t="e">
        <f ca="1">[1]!BexGetData("DP_1","003N8EMH8GTFRIVNUPY2891V1","GSON1112030011")</f>
        <v>#NAME?</v>
      </c>
      <c r="M87" s="8" t="e">
        <f ca="1">[1]!BexGetData("DP_1","003N8EMH8GTFRIVOG7KG9IQXA","GSON1112030011")</f>
        <v>#NAME?</v>
      </c>
      <c r="N87" s="8" t="e">
        <f ca="1">[1]!BexGetData("DP_1","003N8EMH8GTFRIVOG7KG9IX8U","GSON1112030011")</f>
        <v>#NAME?</v>
      </c>
      <c r="O87" s="8" t="e">
        <f ca="1">[1]!BexGetData("DP_1","003N8EMH8GTFRIVOG7KG9J3KE","GSON1112030011")</f>
        <v>#NAME?</v>
      </c>
      <c r="P87" s="8" t="e">
        <f ca="1">[1]!BexGetData("DP_1","003N8EMH8GTFRIVOG7KG9J9VY","GSON1112030011")</f>
        <v>#NAME?</v>
      </c>
      <c r="Q87" s="4" t="e">
        <f ca="1">[1]!BexGetData("DP_1","00O2TNJGODT0G5Z4TTKYMM5MT","GSON1112030011")</f>
        <v>#NAME?</v>
      </c>
      <c r="R87" s="4" t="e">
        <f ca="1">[1]!BexGetData("DP_1","00O2TNJGODT0G5Z4TTKYMMBYD","GSON1112030011")</f>
        <v>#NAME?</v>
      </c>
      <c r="S87" s="4" t="e">
        <f ca="1">[1]!BexGetData("DP_1","00O2TNJGODT0G5Z4TTKYMMI9X","GSON1112030011")</f>
        <v>#NAME?</v>
      </c>
      <c r="T87" s="4" t="e">
        <f ca="1">[1]!BexGetData("DP_1","00O2TNJGODT0G5Z4TTKYMMOLH","GSON1112030011")</f>
        <v>#NAME?</v>
      </c>
      <c r="U87" s="4" t="e">
        <f ca="1">[1]!BexGetData("DP_1","00O2TNJGODT0G5Z4TTKYMMUX1","GSON1112030011")</f>
        <v>#NAME?</v>
      </c>
      <c r="V87" s="4" t="e">
        <f ca="1">[1]!BexGetData("DP_1","00O2TNJGODT0G5Z4TTKYMN18L","GSON1112030011")</f>
        <v>#NAME?</v>
      </c>
      <c r="W87" s="4" t="e">
        <f ca="1">[1]!BexGetData("DP_1","00O2TNJGODT0G5Z4TTKYMN7K5","GSON1112030011")</f>
        <v>#NAME?</v>
      </c>
    </row>
    <row r="88" spans="1:23" x14ac:dyDescent="0.2">
      <c r="A88" s="16" t="s">
        <v>1850</v>
      </c>
      <c r="B88" s="7" t="s">
        <v>62</v>
      </c>
      <c r="C88" s="3" t="e">
        <f ca="1">[1]!BexGetData("DP_1","003N8EMH8GTFRCSWKMPXRR8GU","GSON1112030012")</f>
        <v>#NAME?</v>
      </c>
      <c r="D88" s="3" t="e">
        <f ca="1">[1]!BexGetData("DP_1","003N8EMH8GTFRCSWKMPXRRESE","GSON1112030012")</f>
        <v>#NAME?</v>
      </c>
      <c r="E88" s="3" t="e">
        <f ca="1">[1]!BexGetData("DP_1","003N8EMH8GTFRCSWKMPXRRL3Y","GSON1112030012")</f>
        <v>#NAME?</v>
      </c>
      <c r="F88" s="4" t="e">
        <f ca="1">[1]!BexGetData("DP_1","003N8EMH8GTFRCSWKMPXRRRFI","GSON1112030012")</f>
        <v>#NAME?</v>
      </c>
      <c r="G88" s="4" t="e">
        <f ca="1">[1]!BexGetData("DP_1","003N8EMH8GTFRCSWKMPXRRXR2","GSON1112030012")</f>
        <v>#NAME?</v>
      </c>
      <c r="H88" s="4" t="e">
        <f ca="1">[1]!BexGetData("DP_1","003N8EMH8GTFRCSWKMPXRS42M","GSON1112030012")</f>
        <v>#NAME?</v>
      </c>
      <c r="I88" s="4" t="e">
        <f ca="1">[1]!BexGetData("DP_1","003N8EMH8GTFRCSWKMPXRSAE6","GSON1112030012")</f>
        <v>#NAME?</v>
      </c>
      <c r="J88" s="4" t="e">
        <f ca="1">[1]!BexGetData("DP_1","003N8EMH8GTFRCSWKMPXRSGPQ","GSON1112030012")</f>
        <v>#NAME?</v>
      </c>
      <c r="K88" s="3" t="e">
        <f ca="1">[1]!BexGetData("DP_1","003N8EMH8GTFRIVNUPY288VJH","GSON1112030012")</f>
        <v>#NAME?</v>
      </c>
      <c r="L88" s="3" t="e">
        <f ca="1">[1]!BexGetData("DP_1","003N8EMH8GTFRIVNUPY2891V1","GSON1112030012")</f>
        <v>#NAME?</v>
      </c>
      <c r="M88" s="3" t="e">
        <f ca="1">[1]!BexGetData("DP_1","003N8EMH8GTFRIVOG7KG9IQXA","GSON1112030012")</f>
        <v>#NAME?</v>
      </c>
      <c r="N88" s="8" t="e">
        <f ca="1">[1]!BexGetData("DP_1","003N8EMH8GTFRIVOG7KG9IX8U","GSON1112030012")</f>
        <v>#NAME?</v>
      </c>
      <c r="O88" s="3" t="e">
        <f ca="1">[1]!BexGetData("DP_1","003N8EMH8GTFRIVOG7KG9J3KE","GSON1112030012")</f>
        <v>#NAME?</v>
      </c>
      <c r="P88" s="8" t="e">
        <f ca="1">[1]!BexGetData("DP_1","003N8EMH8GTFRIVOG7KG9J9VY","GSON1112030012")</f>
        <v>#NAME?</v>
      </c>
      <c r="Q88" s="4" t="e">
        <f ca="1">[1]!BexGetData("DP_1","00O2TNJGODT0G5Z4TTKYMM5MT","GSON1112030012")</f>
        <v>#NAME?</v>
      </c>
      <c r="R88" s="4" t="e">
        <f ca="1">[1]!BexGetData("DP_1","00O2TNJGODT0G5Z4TTKYMMBYD","GSON1112030012")</f>
        <v>#NAME?</v>
      </c>
      <c r="S88" s="4" t="e">
        <f ca="1">[1]!BexGetData("DP_1","00O2TNJGODT0G5Z4TTKYMMI9X","GSON1112030012")</f>
        <v>#NAME?</v>
      </c>
      <c r="T88" s="4" t="e">
        <f ca="1">[1]!BexGetData("DP_1","00O2TNJGODT0G5Z4TTKYMMOLH","GSON1112030012")</f>
        <v>#NAME?</v>
      </c>
      <c r="U88" s="4" t="e">
        <f ca="1">[1]!BexGetData("DP_1","00O2TNJGODT0G5Z4TTKYMMUX1","GSON1112030012")</f>
        <v>#NAME?</v>
      </c>
      <c r="V88" s="4" t="e">
        <f ca="1">[1]!BexGetData("DP_1","00O2TNJGODT0G5Z4TTKYMN18L","GSON1112030012")</f>
        <v>#NAME?</v>
      </c>
      <c r="W88" s="4" t="e">
        <f ca="1">[1]!BexGetData("DP_1","00O2TNJGODT0G5Z4TTKYMN7K5","GSON1112030012")</f>
        <v>#NAME?</v>
      </c>
    </row>
    <row r="89" spans="1:23" x14ac:dyDescent="0.2">
      <c r="A89" s="16" t="s">
        <v>1851</v>
      </c>
      <c r="B89" s="7" t="s">
        <v>63</v>
      </c>
      <c r="C89" s="3" t="e">
        <f ca="1">[1]!BexGetData("DP_1","003N8EMH8GTFRCSWKMPXRR8GU","GSON1112030013")</f>
        <v>#NAME?</v>
      </c>
      <c r="D89" s="3" t="e">
        <f ca="1">[1]!BexGetData("DP_1","003N8EMH8GTFRCSWKMPXRRESE","GSON1112030013")</f>
        <v>#NAME?</v>
      </c>
      <c r="E89" s="8" t="e">
        <f ca="1">[1]!BexGetData("DP_1","003N8EMH8GTFRCSWKMPXRRL3Y","GSON1112030013")</f>
        <v>#NAME?</v>
      </c>
      <c r="F89" s="4" t="e">
        <f ca="1">[1]!BexGetData("DP_1","003N8EMH8GTFRCSWKMPXRRRFI","GSON1112030013")</f>
        <v>#NAME?</v>
      </c>
      <c r="G89" s="4" t="e">
        <f ca="1">[1]!BexGetData("DP_1","003N8EMH8GTFRCSWKMPXRRXR2","GSON1112030013")</f>
        <v>#NAME?</v>
      </c>
      <c r="H89" s="4" t="e">
        <f ca="1">[1]!BexGetData("DP_1","003N8EMH8GTFRCSWKMPXRS42M","GSON1112030013")</f>
        <v>#NAME?</v>
      </c>
      <c r="I89" s="4" t="e">
        <f ca="1">[1]!BexGetData("DP_1","003N8EMH8GTFRCSWKMPXRSAE6","GSON1112030013")</f>
        <v>#NAME?</v>
      </c>
      <c r="J89" s="4" t="e">
        <f ca="1">[1]!BexGetData("DP_1","003N8EMH8GTFRCSWKMPXRSGPQ","GSON1112030013")</f>
        <v>#NAME?</v>
      </c>
      <c r="K89" s="8" t="e">
        <f ca="1">[1]!BexGetData("DP_1","003N8EMH8GTFRIVNUPY288VJH","GSON1112030013")</f>
        <v>#NAME?</v>
      </c>
      <c r="L89" s="8" t="e">
        <f ca="1">[1]!BexGetData("DP_1","003N8EMH8GTFRIVNUPY2891V1","GSON1112030013")</f>
        <v>#NAME?</v>
      </c>
      <c r="M89" s="8" t="e">
        <f ca="1">[1]!BexGetData("DP_1","003N8EMH8GTFRIVOG7KG9IQXA","GSON1112030013")</f>
        <v>#NAME?</v>
      </c>
      <c r="N89" s="8" t="e">
        <f ca="1">[1]!BexGetData("DP_1","003N8EMH8GTFRIVOG7KG9IX8U","GSON1112030013")</f>
        <v>#NAME?</v>
      </c>
      <c r="O89" s="8" t="e">
        <f ca="1">[1]!BexGetData("DP_1","003N8EMH8GTFRIVOG7KG9J3KE","GSON1112030013")</f>
        <v>#NAME?</v>
      </c>
      <c r="P89" s="8" t="e">
        <f ca="1">[1]!BexGetData("DP_1","003N8EMH8GTFRIVOG7KG9J9VY","GSON1112030013")</f>
        <v>#NAME?</v>
      </c>
      <c r="Q89" s="4" t="e">
        <f ca="1">[1]!BexGetData("DP_1","00O2TNJGODT0G5Z4TTKYMM5MT","GSON1112030013")</f>
        <v>#NAME?</v>
      </c>
      <c r="R89" s="4" t="e">
        <f ca="1">[1]!BexGetData("DP_1","00O2TNJGODT0G5Z4TTKYMMBYD","GSON1112030013")</f>
        <v>#NAME?</v>
      </c>
      <c r="S89" s="4" t="e">
        <f ca="1">[1]!BexGetData("DP_1","00O2TNJGODT0G5Z4TTKYMMI9X","GSON1112030013")</f>
        <v>#NAME?</v>
      </c>
      <c r="T89" s="4" t="e">
        <f ca="1">[1]!BexGetData("DP_1","00O2TNJGODT0G5Z4TTKYMMOLH","GSON1112030013")</f>
        <v>#NAME?</v>
      </c>
      <c r="U89" s="4" t="e">
        <f ca="1">[1]!BexGetData("DP_1","00O2TNJGODT0G5Z4TTKYMMUX1","GSON1112030013")</f>
        <v>#NAME?</v>
      </c>
      <c r="V89" s="4" t="e">
        <f ca="1">[1]!BexGetData("DP_1","00O2TNJGODT0G5Z4TTKYMN18L","GSON1112030013")</f>
        <v>#NAME?</v>
      </c>
      <c r="W89" s="4" t="e">
        <f ca="1">[1]!BexGetData("DP_1","00O2TNJGODT0G5Z4TTKYMN7K5","GSON1112030013")</f>
        <v>#NAME?</v>
      </c>
    </row>
    <row r="90" spans="1:23" x14ac:dyDescent="0.2">
      <c r="A90" s="16" t="s">
        <v>1852</v>
      </c>
      <c r="B90" s="7" t="s">
        <v>750</v>
      </c>
      <c r="C90" s="3" t="e">
        <f ca="1">[1]!BexGetData("DP_1","003N8EMH8GTFRCSWKMPXRR8GU","GSON1112030014")</f>
        <v>#NAME?</v>
      </c>
      <c r="D90" s="3" t="e">
        <f ca="1">[1]!BexGetData("DP_1","003N8EMH8GTFRCSWKMPXRRESE","GSON1112030014")</f>
        <v>#NAME?</v>
      </c>
      <c r="E90" s="8" t="e">
        <f ca="1">[1]!BexGetData("DP_1","003N8EMH8GTFRCSWKMPXRRL3Y","GSON1112030014")</f>
        <v>#NAME?</v>
      </c>
      <c r="F90" s="4" t="e">
        <f ca="1">[1]!BexGetData("DP_1","003N8EMH8GTFRCSWKMPXRRRFI","GSON1112030014")</f>
        <v>#NAME?</v>
      </c>
      <c r="G90" s="4" t="e">
        <f ca="1">[1]!BexGetData("DP_1","003N8EMH8GTFRCSWKMPXRRXR2","GSON1112030014")</f>
        <v>#NAME?</v>
      </c>
      <c r="H90" s="4" t="e">
        <f ca="1">[1]!BexGetData("DP_1","003N8EMH8GTFRCSWKMPXRS42M","GSON1112030014")</f>
        <v>#NAME?</v>
      </c>
      <c r="I90" s="4" t="e">
        <f ca="1">[1]!BexGetData("DP_1","003N8EMH8GTFRCSWKMPXRSAE6","GSON1112030014")</f>
        <v>#NAME?</v>
      </c>
      <c r="J90" s="4" t="e">
        <f ca="1">[1]!BexGetData("DP_1","003N8EMH8GTFRCSWKMPXRSGPQ","GSON1112030014")</f>
        <v>#NAME?</v>
      </c>
      <c r="K90" s="8" t="e">
        <f ca="1">[1]!BexGetData("DP_1","003N8EMH8GTFRIVNUPY288VJH","GSON1112030014")</f>
        <v>#NAME?</v>
      </c>
      <c r="L90" s="8" t="e">
        <f ca="1">[1]!BexGetData("DP_1","003N8EMH8GTFRIVNUPY2891V1","GSON1112030014")</f>
        <v>#NAME?</v>
      </c>
      <c r="M90" s="8" t="e">
        <f ca="1">[1]!BexGetData("DP_1","003N8EMH8GTFRIVOG7KG9IQXA","GSON1112030014")</f>
        <v>#NAME?</v>
      </c>
      <c r="N90" s="8" t="e">
        <f ca="1">[1]!BexGetData("DP_1","003N8EMH8GTFRIVOG7KG9IX8U","GSON1112030014")</f>
        <v>#NAME?</v>
      </c>
      <c r="O90" s="8" t="e">
        <f ca="1">[1]!BexGetData("DP_1","003N8EMH8GTFRIVOG7KG9J3KE","GSON1112030014")</f>
        <v>#NAME?</v>
      </c>
      <c r="P90" s="8" t="e">
        <f ca="1">[1]!BexGetData("DP_1","003N8EMH8GTFRIVOG7KG9J9VY","GSON1112030014")</f>
        <v>#NAME?</v>
      </c>
      <c r="Q90" s="4" t="e">
        <f ca="1">[1]!BexGetData("DP_1","00O2TNJGODT0G5Z4TTKYMM5MT","GSON1112030014")</f>
        <v>#NAME?</v>
      </c>
      <c r="R90" s="4" t="e">
        <f ca="1">[1]!BexGetData("DP_1","00O2TNJGODT0G5Z4TTKYMMBYD","GSON1112030014")</f>
        <v>#NAME?</v>
      </c>
      <c r="S90" s="4" t="e">
        <f ca="1">[1]!BexGetData("DP_1","00O2TNJGODT0G5Z4TTKYMMI9X","GSON1112030014")</f>
        <v>#NAME?</v>
      </c>
      <c r="T90" s="4" t="e">
        <f ca="1">[1]!BexGetData("DP_1","00O2TNJGODT0G5Z4TTKYMMOLH","GSON1112030014")</f>
        <v>#NAME?</v>
      </c>
      <c r="U90" s="4" t="e">
        <f ca="1">[1]!BexGetData("DP_1","00O2TNJGODT0G5Z4TTKYMMUX1","GSON1112030014")</f>
        <v>#NAME?</v>
      </c>
      <c r="V90" s="4" t="e">
        <f ca="1">[1]!BexGetData("DP_1","00O2TNJGODT0G5Z4TTKYMN18L","GSON1112030014")</f>
        <v>#NAME?</v>
      </c>
      <c r="W90" s="4" t="e">
        <f ca="1">[1]!BexGetData("DP_1","00O2TNJGODT0G5Z4TTKYMN7K5","GSON1112030014")</f>
        <v>#NAME?</v>
      </c>
    </row>
    <row r="91" spans="1:23" x14ac:dyDescent="0.2">
      <c r="A91" s="16" t="s">
        <v>1853</v>
      </c>
      <c r="B91" s="7" t="s">
        <v>162</v>
      </c>
      <c r="C91" s="3" t="e">
        <f ca="1">[1]!BexGetData("DP_1","003N8EMH8GTFRCSWKMPXRR8GU","GSON1112030015")</f>
        <v>#NAME?</v>
      </c>
      <c r="D91" s="3" t="e">
        <f ca="1">[1]!BexGetData("DP_1","003N8EMH8GTFRCSWKMPXRRESE","GSON1112030015")</f>
        <v>#NAME?</v>
      </c>
      <c r="E91" s="8" t="e">
        <f ca="1">[1]!BexGetData("DP_1","003N8EMH8GTFRCSWKMPXRRL3Y","GSON1112030015")</f>
        <v>#NAME?</v>
      </c>
      <c r="F91" s="4" t="e">
        <f ca="1">[1]!BexGetData("DP_1","003N8EMH8GTFRCSWKMPXRRRFI","GSON1112030015")</f>
        <v>#NAME?</v>
      </c>
      <c r="G91" s="4" t="e">
        <f ca="1">[1]!BexGetData("DP_1","003N8EMH8GTFRCSWKMPXRRXR2","GSON1112030015")</f>
        <v>#NAME?</v>
      </c>
      <c r="H91" s="4" t="e">
        <f ca="1">[1]!BexGetData("DP_1","003N8EMH8GTFRCSWKMPXRS42M","GSON1112030015")</f>
        <v>#NAME?</v>
      </c>
      <c r="I91" s="4" t="e">
        <f ca="1">[1]!BexGetData("DP_1","003N8EMH8GTFRCSWKMPXRSAE6","GSON1112030015")</f>
        <v>#NAME?</v>
      </c>
      <c r="J91" s="4" t="e">
        <f ca="1">[1]!BexGetData("DP_1","003N8EMH8GTFRCSWKMPXRSGPQ","GSON1112030015")</f>
        <v>#NAME?</v>
      </c>
      <c r="K91" s="8" t="e">
        <f ca="1">[1]!BexGetData("DP_1","003N8EMH8GTFRIVNUPY288VJH","GSON1112030015")</f>
        <v>#NAME?</v>
      </c>
      <c r="L91" s="8" t="e">
        <f ca="1">[1]!BexGetData("DP_1","003N8EMH8GTFRIVNUPY2891V1","GSON1112030015")</f>
        <v>#NAME?</v>
      </c>
      <c r="M91" s="8" t="e">
        <f ca="1">[1]!BexGetData("DP_1","003N8EMH8GTFRIVOG7KG9IQXA","GSON1112030015")</f>
        <v>#NAME?</v>
      </c>
      <c r="N91" s="8" t="e">
        <f ca="1">[1]!BexGetData("DP_1","003N8EMH8GTFRIVOG7KG9IX8U","GSON1112030015")</f>
        <v>#NAME?</v>
      </c>
      <c r="O91" s="8" t="e">
        <f ca="1">[1]!BexGetData("DP_1","003N8EMH8GTFRIVOG7KG9J3KE","GSON1112030015")</f>
        <v>#NAME?</v>
      </c>
      <c r="P91" s="8" t="e">
        <f ca="1">[1]!BexGetData("DP_1","003N8EMH8GTFRIVOG7KG9J9VY","GSON1112030015")</f>
        <v>#NAME?</v>
      </c>
      <c r="Q91" s="4" t="e">
        <f ca="1">[1]!BexGetData("DP_1","00O2TNJGODT0G5Z4TTKYMM5MT","GSON1112030015")</f>
        <v>#NAME?</v>
      </c>
      <c r="R91" s="4" t="e">
        <f ca="1">[1]!BexGetData("DP_1","00O2TNJGODT0G5Z4TTKYMMBYD","GSON1112030015")</f>
        <v>#NAME?</v>
      </c>
      <c r="S91" s="4" t="e">
        <f ca="1">[1]!BexGetData("DP_1","00O2TNJGODT0G5Z4TTKYMMI9X","GSON1112030015")</f>
        <v>#NAME?</v>
      </c>
      <c r="T91" s="4" t="e">
        <f ca="1">[1]!BexGetData("DP_1","00O2TNJGODT0G5Z4TTKYMMOLH","GSON1112030015")</f>
        <v>#NAME?</v>
      </c>
      <c r="U91" s="4" t="e">
        <f ca="1">[1]!BexGetData("DP_1","00O2TNJGODT0G5Z4TTKYMMUX1","GSON1112030015")</f>
        <v>#NAME?</v>
      </c>
      <c r="V91" s="4" t="e">
        <f ca="1">[1]!BexGetData("DP_1","00O2TNJGODT0G5Z4TTKYMN18L","GSON1112030015")</f>
        <v>#NAME?</v>
      </c>
      <c r="W91" s="4" t="e">
        <f ca="1">[1]!BexGetData("DP_1","00O2TNJGODT0G5Z4TTKYMN7K5","GSON1112030015")</f>
        <v>#NAME?</v>
      </c>
    </row>
    <row r="92" spans="1:23" x14ac:dyDescent="0.2">
      <c r="A92" s="16" t="s">
        <v>1854</v>
      </c>
      <c r="B92" s="7" t="s">
        <v>163</v>
      </c>
      <c r="C92" s="3" t="e">
        <f ca="1">[1]!BexGetData("DP_1","003N8EMH8GTFRCSWKMPXRR8GU","GSON1112030020")</f>
        <v>#NAME?</v>
      </c>
      <c r="D92" s="3" t="e">
        <f ca="1">[1]!BexGetData("DP_1","003N8EMH8GTFRCSWKMPXRRESE","GSON1112030020")</f>
        <v>#NAME?</v>
      </c>
      <c r="E92" s="3" t="e">
        <f ca="1">[1]!BexGetData("DP_1","003N8EMH8GTFRCSWKMPXRRL3Y","GSON1112030020")</f>
        <v>#NAME?</v>
      </c>
      <c r="F92" s="3" t="e">
        <f ca="1">[1]!BexGetData("DP_1","003N8EMH8GTFRCSWKMPXRRRFI","GSON1112030020")</f>
        <v>#NAME?</v>
      </c>
      <c r="G92" s="3" t="e">
        <f ca="1">[1]!BexGetData("DP_1","003N8EMH8GTFRCSWKMPXRRXR2","GSON1112030020")</f>
        <v>#NAME?</v>
      </c>
      <c r="H92" s="8" t="e">
        <f ca="1">[1]!BexGetData("DP_1","003N8EMH8GTFRCSWKMPXRS42M","GSON1112030020")</f>
        <v>#NAME?</v>
      </c>
      <c r="I92" s="3" t="e">
        <f ca="1">[1]!BexGetData("DP_1","003N8EMH8GTFRCSWKMPXRSAE6","GSON1112030020")</f>
        <v>#NAME?</v>
      </c>
      <c r="J92" s="4" t="e">
        <f ca="1">[1]!BexGetData("DP_1","003N8EMH8GTFRCSWKMPXRSGPQ","GSON1112030020")</f>
        <v>#NAME?</v>
      </c>
      <c r="K92" s="3" t="e">
        <f ca="1">[1]!BexGetData("DP_1","003N8EMH8GTFRIVNUPY288VJH","GSON1112030020")</f>
        <v>#NAME?</v>
      </c>
      <c r="L92" s="3" t="e">
        <f ca="1">[1]!BexGetData("DP_1","003N8EMH8GTFRIVNUPY2891V1","GSON1112030020")</f>
        <v>#NAME?</v>
      </c>
      <c r="M92" s="3" t="e">
        <f ca="1">[1]!BexGetData("DP_1","003N8EMH8GTFRIVOG7KG9IQXA","GSON1112030020")</f>
        <v>#NAME?</v>
      </c>
      <c r="N92" s="8" t="e">
        <f ca="1">[1]!BexGetData("DP_1","003N8EMH8GTFRIVOG7KG9IX8U","GSON1112030020")</f>
        <v>#NAME?</v>
      </c>
      <c r="O92" s="3" t="e">
        <f ca="1">[1]!BexGetData("DP_1","003N8EMH8GTFRIVOG7KG9J3KE","GSON1112030020")</f>
        <v>#NAME?</v>
      </c>
      <c r="P92" s="8" t="e">
        <f ca="1">[1]!BexGetData("DP_1","003N8EMH8GTFRIVOG7KG9J9VY","GSON1112030020")</f>
        <v>#NAME?</v>
      </c>
      <c r="Q92" s="4" t="e">
        <f ca="1">[1]!BexGetData("DP_1","00O2TNJGODT0G5Z4TTKYMM5MT","GSON1112030020")</f>
        <v>#NAME?</v>
      </c>
      <c r="R92" s="3" t="e">
        <f ca="1">[1]!BexGetData("DP_1","00O2TNJGODT0G5Z4TTKYMMBYD","GSON1112030020")</f>
        <v>#NAME?</v>
      </c>
      <c r="S92" s="3" t="e">
        <f ca="1">[1]!BexGetData("DP_1","00O2TNJGODT0G5Z4TTKYMMI9X","GSON1112030020")</f>
        <v>#NAME?</v>
      </c>
      <c r="T92" s="8" t="e">
        <f ca="1">[1]!BexGetData("DP_1","00O2TNJGODT0G5Z4TTKYMMOLH","GSON1112030020")</f>
        <v>#NAME?</v>
      </c>
      <c r="U92" s="3" t="e">
        <f ca="1">[1]!BexGetData("DP_1","00O2TNJGODT0G5Z4TTKYMMUX1","GSON1112030020")</f>
        <v>#NAME?</v>
      </c>
      <c r="V92" s="8" t="e">
        <f ca="1">[1]!BexGetData("DP_1","00O2TNJGODT0G5Z4TTKYMN18L","GSON1112030020")</f>
        <v>#NAME?</v>
      </c>
      <c r="W92" s="3" t="e">
        <f ca="1">[1]!BexGetData("DP_1","00O2TNJGODT0G5Z4TTKYMN7K5","GSON1112030020")</f>
        <v>#NAME?</v>
      </c>
    </row>
    <row r="93" spans="1:23" x14ac:dyDescent="0.2">
      <c r="A93" s="16" t="s">
        <v>1855</v>
      </c>
      <c r="B93" s="7" t="s">
        <v>146</v>
      </c>
      <c r="C93" s="3" t="e">
        <f ca="1">[1]!BexGetData("DP_1","003N8EMH8GTFRCSWKMPXRR8GU","GSON1112030021")</f>
        <v>#NAME?</v>
      </c>
      <c r="D93" s="3" t="e">
        <f ca="1">[1]!BexGetData("DP_1","003N8EMH8GTFRCSWKMPXRRESE","GSON1112030021")</f>
        <v>#NAME?</v>
      </c>
      <c r="E93" s="8" t="e">
        <f ca="1">[1]!BexGetData("DP_1","003N8EMH8GTFRCSWKMPXRRL3Y","GSON1112030021")</f>
        <v>#NAME?</v>
      </c>
      <c r="F93" s="3" t="e">
        <f ca="1">[1]!BexGetData("DP_1","003N8EMH8GTFRCSWKMPXRRRFI","GSON1112030021")</f>
        <v>#NAME?</v>
      </c>
      <c r="G93" s="8" t="e">
        <f ca="1">[1]!BexGetData("DP_1","003N8EMH8GTFRCSWKMPXRRXR2","GSON1112030021")</f>
        <v>#NAME?</v>
      </c>
      <c r="H93" s="3" t="e">
        <f ca="1">[1]!BexGetData("DP_1","003N8EMH8GTFRCSWKMPXRS42M","GSON1112030021")</f>
        <v>#NAME?</v>
      </c>
      <c r="I93" s="3" t="e">
        <f ca="1">[1]!BexGetData("DP_1","003N8EMH8GTFRCSWKMPXRSAE6","GSON1112030021")</f>
        <v>#NAME?</v>
      </c>
      <c r="J93" s="4" t="e">
        <f ca="1">[1]!BexGetData("DP_1","003N8EMH8GTFRCSWKMPXRSGPQ","GSON1112030021")</f>
        <v>#NAME?</v>
      </c>
      <c r="K93" s="3" t="e">
        <f ca="1">[1]!BexGetData("DP_1","003N8EMH8GTFRIVNUPY288VJH","GSON1112030021")</f>
        <v>#NAME?</v>
      </c>
      <c r="L93" s="3" t="e">
        <f ca="1">[1]!BexGetData("DP_1","003N8EMH8GTFRIVNUPY2891V1","GSON1112030021")</f>
        <v>#NAME?</v>
      </c>
      <c r="M93" s="8" t="e">
        <f ca="1">[1]!BexGetData("DP_1","003N8EMH8GTFRIVOG7KG9IQXA","GSON1112030021")</f>
        <v>#NAME?</v>
      </c>
      <c r="N93" s="3" t="e">
        <f ca="1">[1]!BexGetData("DP_1","003N8EMH8GTFRIVOG7KG9IX8U","GSON1112030021")</f>
        <v>#NAME?</v>
      </c>
      <c r="O93" s="8" t="e">
        <f ca="1">[1]!BexGetData("DP_1","003N8EMH8GTFRIVOG7KG9J3KE","GSON1112030021")</f>
        <v>#NAME?</v>
      </c>
      <c r="P93" s="3" t="e">
        <f ca="1">[1]!BexGetData("DP_1","003N8EMH8GTFRIVOG7KG9J9VY","GSON1112030021")</f>
        <v>#NAME?</v>
      </c>
      <c r="Q93" s="4" t="e">
        <f ca="1">[1]!BexGetData("DP_1","00O2TNJGODT0G5Z4TTKYMM5MT","GSON1112030021")</f>
        <v>#NAME?</v>
      </c>
      <c r="R93" s="3" t="e">
        <f ca="1">[1]!BexGetData("DP_1","00O2TNJGODT0G5Z4TTKYMMBYD","GSON1112030021")</f>
        <v>#NAME?</v>
      </c>
      <c r="S93" s="3" t="e">
        <f ca="1">[1]!BexGetData("DP_1","00O2TNJGODT0G5Z4TTKYMMI9X","GSON1112030021")</f>
        <v>#NAME?</v>
      </c>
      <c r="T93" s="3" t="e">
        <f ca="1">[1]!BexGetData("DP_1","00O2TNJGODT0G5Z4TTKYMMOLH","GSON1112030021")</f>
        <v>#NAME?</v>
      </c>
      <c r="U93" s="8" t="e">
        <f ca="1">[1]!BexGetData("DP_1","00O2TNJGODT0G5Z4TTKYMMUX1","GSON1112030021")</f>
        <v>#NAME?</v>
      </c>
      <c r="V93" s="3" t="e">
        <f ca="1">[1]!BexGetData("DP_1","00O2TNJGODT0G5Z4TTKYMN18L","GSON1112030021")</f>
        <v>#NAME?</v>
      </c>
      <c r="W93" s="8" t="e">
        <f ca="1">[1]!BexGetData("DP_1","00O2TNJGODT0G5Z4TTKYMN7K5","GSON1112030021")</f>
        <v>#NAME?</v>
      </c>
    </row>
    <row r="94" spans="1:23" x14ac:dyDescent="0.2">
      <c r="A94" s="16" t="s">
        <v>1856</v>
      </c>
      <c r="B94" s="7" t="s">
        <v>164</v>
      </c>
      <c r="C94" s="3" t="e">
        <f ca="1">[1]!BexGetData("DP_1","003N8EMH8GTFRCSWKMPXRR8GU","GSON1112030023")</f>
        <v>#NAME?</v>
      </c>
      <c r="D94" s="3" t="e">
        <f ca="1">[1]!BexGetData("DP_1","003N8EMH8GTFRCSWKMPXRRESE","GSON1112030023")</f>
        <v>#NAME?</v>
      </c>
      <c r="E94" s="3" t="e">
        <f ca="1">[1]!BexGetData("DP_1","003N8EMH8GTFRCSWKMPXRRL3Y","GSON1112030023")</f>
        <v>#NAME?</v>
      </c>
      <c r="F94" s="4" t="e">
        <f ca="1">[1]!BexGetData("DP_1","003N8EMH8GTFRCSWKMPXRRRFI","GSON1112030023")</f>
        <v>#NAME?</v>
      </c>
      <c r="G94" s="4" t="e">
        <f ca="1">[1]!BexGetData("DP_1","003N8EMH8GTFRCSWKMPXRRXR2","GSON1112030023")</f>
        <v>#NAME?</v>
      </c>
      <c r="H94" s="4" t="e">
        <f ca="1">[1]!BexGetData("DP_1","003N8EMH8GTFRCSWKMPXRS42M","GSON1112030023")</f>
        <v>#NAME?</v>
      </c>
      <c r="I94" s="4" t="e">
        <f ca="1">[1]!BexGetData("DP_1","003N8EMH8GTFRCSWKMPXRSAE6","GSON1112030023")</f>
        <v>#NAME?</v>
      </c>
      <c r="J94" s="4" t="e">
        <f ca="1">[1]!BexGetData("DP_1","003N8EMH8GTFRCSWKMPXRSGPQ","GSON1112030023")</f>
        <v>#NAME?</v>
      </c>
      <c r="K94" s="3" t="e">
        <f ca="1">[1]!BexGetData("DP_1","003N8EMH8GTFRIVNUPY288VJH","GSON1112030023")</f>
        <v>#NAME?</v>
      </c>
      <c r="L94" s="3" t="e">
        <f ca="1">[1]!BexGetData("DP_1","003N8EMH8GTFRIVNUPY2891V1","GSON1112030023")</f>
        <v>#NAME?</v>
      </c>
      <c r="M94" s="3" t="e">
        <f ca="1">[1]!BexGetData("DP_1","003N8EMH8GTFRIVOG7KG9IQXA","GSON1112030023")</f>
        <v>#NAME?</v>
      </c>
      <c r="N94" s="8" t="e">
        <f ca="1">[1]!BexGetData("DP_1","003N8EMH8GTFRIVOG7KG9IX8U","GSON1112030023")</f>
        <v>#NAME?</v>
      </c>
      <c r="O94" s="3" t="e">
        <f ca="1">[1]!BexGetData("DP_1","003N8EMH8GTFRIVOG7KG9J3KE","GSON1112030023")</f>
        <v>#NAME?</v>
      </c>
      <c r="P94" s="8" t="e">
        <f ca="1">[1]!BexGetData("DP_1","003N8EMH8GTFRIVOG7KG9J9VY","GSON1112030023")</f>
        <v>#NAME?</v>
      </c>
      <c r="Q94" s="4" t="e">
        <f ca="1">[1]!BexGetData("DP_1","00O2TNJGODT0G5Z4TTKYMM5MT","GSON1112030023")</f>
        <v>#NAME?</v>
      </c>
      <c r="R94" s="4" t="e">
        <f ca="1">[1]!BexGetData("DP_1","00O2TNJGODT0G5Z4TTKYMMBYD","GSON1112030023")</f>
        <v>#NAME?</v>
      </c>
      <c r="S94" s="4" t="e">
        <f ca="1">[1]!BexGetData("DP_1","00O2TNJGODT0G5Z4TTKYMMI9X","GSON1112030023")</f>
        <v>#NAME?</v>
      </c>
      <c r="T94" s="4" t="e">
        <f ca="1">[1]!BexGetData("DP_1","00O2TNJGODT0G5Z4TTKYMMOLH","GSON1112030023")</f>
        <v>#NAME?</v>
      </c>
      <c r="U94" s="4" t="e">
        <f ca="1">[1]!BexGetData("DP_1","00O2TNJGODT0G5Z4TTKYMMUX1","GSON1112030023")</f>
        <v>#NAME?</v>
      </c>
      <c r="V94" s="4" t="e">
        <f ca="1">[1]!BexGetData("DP_1","00O2TNJGODT0G5Z4TTKYMN18L","GSON1112030023")</f>
        <v>#NAME?</v>
      </c>
      <c r="W94" s="4" t="e">
        <f ca="1">[1]!BexGetData("DP_1","00O2TNJGODT0G5Z4TTKYMN7K5","GSON1112030023")</f>
        <v>#NAME?</v>
      </c>
    </row>
    <row r="95" spans="1:23" x14ac:dyDescent="0.2">
      <c r="A95" s="16" t="s">
        <v>1857</v>
      </c>
      <c r="B95" s="7" t="s">
        <v>1858</v>
      </c>
      <c r="C95" s="3" t="e">
        <f ca="1">[1]!BexGetData("DP_1","003N8EMH8GTFRCSWKMPXRR8GU","GSON1112030024")</f>
        <v>#NAME?</v>
      </c>
      <c r="D95" s="3" t="e">
        <f ca="1">[1]!BexGetData("DP_1","003N8EMH8GTFRCSWKMPXRRESE","GSON1112030024")</f>
        <v>#NAME?</v>
      </c>
      <c r="E95" s="8" t="e">
        <f ca="1">[1]!BexGetData("DP_1","003N8EMH8GTFRCSWKMPXRRL3Y","GSON1112030024")</f>
        <v>#NAME?</v>
      </c>
      <c r="F95" s="4" t="e">
        <f ca="1">[1]!BexGetData("DP_1","003N8EMH8GTFRCSWKMPXRRRFI","GSON1112030024")</f>
        <v>#NAME?</v>
      </c>
      <c r="G95" s="4" t="e">
        <f ca="1">[1]!BexGetData("DP_1","003N8EMH8GTFRCSWKMPXRRXR2","GSON1112030024")</f>
        <v>#NAME?</v>
      </c>
      <c r="H95" s="4" t="e">
        <f ca="1">[1]!BexGetData("DP_1","003N8EMH8GTFRCSWKMPXRS42M","GSON1112030024")</f>
        <v>#NAME?</v>
      </c>
      <c r="I95" s="4" t="e">
        <f ca="1">[1]!BexGetData("DP_1","003N8EMH8GTFRCSWKMPXRSAE6","GSON1112030024")</f>
        <v>#NAME?</v>
      </c>
      <c r="J95" s="4" t="e">
        <f ca="1">[1]!BexGetData("DP_1","003N8EMH8GTFRCSWKMPXRSGPQ","GSON1112030024")</f>
        <v>#NAME?</v>
      </c>
      <c r="K95" s="8" t="e">
        <f ca="1">[1]!BexGetData("DP_1","003N8EMH8GTFRIVNUPY288VJH","GSON1112030024")</f>
        <v>#NAME?</v>
      </c>
      <c r="L95" s="8" t="e">
        <f ca="1">[1]!BexGetData("DP_1","003N8EMH8GTFRIVNUPY2891V1","GSON1112030024")</f>
        <v>#NAME?</v>
      </c>
      <c r="M95" s="8" t="e">
        <f ca="1">[1]!BexGetData("DP_1","003N8EMH8GTFRIVOG7KG9IQXA","GSON1112030024")</f>
        <v>#NAME?</v>
      </c>
      <c r="N95" s="8" t="e">
        <f ca="1">[1]!BexGetData("DP_1","003N8EMH8GTFRIVOG7KG9IX8U","GSON1112030024")</f>
        <v>#NAME?</v>
      </c>
      <c r="O95" s="8" t="e">
        <f ca="1">[1]!BexGetData("DP_1","003N8EMH8GTFRIVOG7KG9J3KE","GSON1112030024")</f>
        <v>#NAME?</v>
      </c>
      <c r="P95" s="8" t="e">
        <f ca="1">[1]!BexGetData("DP_1","003N8EMH8GTFRIVOG7KG9J9VY","GSON1112030024")</f>
        <v>#NAME?</v>
      </c>
      <c r="Q95" s="4" t="e">
        <f ca="1">[1]!BexGetData("DP_1","00O2TNJGODT0G5Z4TTKYMM5MT","GSON1112030024")</f>
        <v>#NAME?</v>
      </c>
      <c r="R95" s="4" t="e">
        <f ca="1">[1]!BexGetData("DP_1","00O2TNJGODT0G5Z4TTKYMMBYD","GSON1112030024")</f>
        <v>#NAME?</v>
      </c>
      <c r="S95" s="4" t="e">
        <f ca="1">[1]!BexGetData("DP_1","00O2TNJGODT0G5Z4TTKYMMI9X","GSON1112030024")</f>
        <v>#NAME?</v>
      </c>
      <c r="T95" s="4" t="e">
        <f ca="1">[1]!BexGetData("DP_1","00O2TNJGODT0G5Z4TTKYMMOLH","GSON1112030024")</f>
        <v>#NAME?</v>
      </c>
      <c r="U95" s="4" t="e">
        <f ca="1">[1]!BexGetData("DP_1","00O2TNJGODT0G5Z4TTKYMMUX1","GSON1112030024")</f>
        <v>#NAME?</v>
      </c>
      <c r="V95" s="4" t="e">
        <f ca="1">[1]!BexGetData("DP_1","00O2TNJGODT0G5Z4TTKYMN18L","GSON1112030024")</f>
        <v>#NAME?</v>
      </c>
      <c r="W95" s="4" t="e">
        <f ca="1">[1]!BexGetData("DP_1","00O2TNJGODT0G5Z4TTKYMN7K5","GSON1112030024")</f>
        <v>#NAME?</v>
      </c>
    </row>
    <row r="96" spans="1:23" x14ac:dyDescent="0.2">
      <c r="A96" s="16" t="s">
        <v>1859</v>
      </c>
      <c r="B96" s="7" t="s">
        <v>751</v>
      </c>
      <c r="C96" s="3" t="e">
        <f ca="1">[1]!BexGetData("DP_1","003N8EMH8GTFRCSWKMPXRR8GU","GSON1112030025")</f>
        <v>#NAME?</v>
      </c>
      <c r="D96" s="3" t="e">
        <f ca="1">[1]!BexGetData("DP_1","003N8EMH8GTFRCSWKMPXRRESE","GSON1112030025")</f>
        <v>#NAME?</v>
      </c>
      <c r="E96" s="8" t="e">
        <f ca="1">[1]!BexGetData("DP_1","003N8EMH8GTFRCSWKMPXRRL3Y","GSON1112030025")</f>
        <v>#NAME?</v>
      </c>
      <c r="F96" s="4" t="e">
        <f ca="1">[1]!BexGetData("DP_1","003N8EMH8GTFRCSWKMPXRRRFI","GSON1112030025")</f>
        <v>#NAME?</v>
      </c>
      <c r="G96" s="4" t="e">
        <f ca="1">[1]!BexGetData("DP_1","003N8EMH8GTFRCSWKMPXRRXR2","GSON1112030025")</f>
        <v>#NAME?</v>
      </c>
      <c r="H96" s="4" t="e">
        <f ca="1">[1]!BexGetData("DP_1","003N8EMH8GTFRCSWKMPXRS42M","GSON1112030025")</f>
        <v>#NAME?</v>
      </c>
      <c r="I96" s="4" t="e">
        <f ca="1">[1]!BexGetData("DP_1","003N8EMH8GTFRCSWKMPXRSAE6","GSON1112030025")</f>
        <v>#NAME?</v>
      </c>
      <c r="J96" s="4" t="e">
        <f ca="1">[1]!BexGetData("DP_1","003N8EMH8GTFRCSWKMPXRSGPQ","GSON1112030025")</f>
        <v>#NAME?</v>
      </c>
      <c r="K96" s="8" t="e">
        <f ca="1">[1]!BexGetData("DP_1","003N8EMH8GTFRIVNUPY288VJH","GSON1112030025")</f>
        <v>#NAME?</v>
      </c>
      <c r="L96" s="8" t="e">
        <f ca="1">[1]!BexGetData("DP_1","003N8EMH8GTFRIVNUPY2891V1","GSON1112030025")</f>
        <v>#NAME?</v>
      </c>
      <c r="M96" s="8" t="e">
        <f ca="1">[1]!BexGetData("DP_1","003N8EMH8GTFRIVOG7KG9IQXA","GSON1112030025")</f>
        <v>#NAME?</v>
      </c>
      <c r="N96" s="8" t="e">
        <f ca="1">[1]!BexGetData("DP_1","003N8EMH8GTFRIVOG7KG9IX8U","GSON1112030025")</f>
        <v>#NAME?</v>
      </c>
      <c r="O96" s="8" t="e">
        <f ca="1">[1]!BexGetData("DP_1","003N8EMH8GTFRIVOG7KG9J3KE","GSON1112030025")</f>
        <v>#NAME?</v>
      </c>
      <c r="P96" s="8" t="e">
        <f ca="1">[1]!BexGetData("DP_1","003N8EMH8GTFRIVOG7KG9J9VY","GSON1112030025")</f>
        <v>#NAME?</v>
      </c>
      <c r="Q96" s="4" t="e">
        <f ca="1">[1]!BexGetData("DP_1","00O2TNJGODT0G5Z4TTKYMM5MT","GSON1112030025")</f>
        <v>#NAME?</v>
      </c>
      <c r="R96" s="4" t="e">
        <f ca="1">[1]!BexGetData("DP_1","00O2TNJGODT0G5Z4TTKYMMBYD","GSON1112030025")</f>
        <v>#NAME?</v>
      </c>
      <c r="S96" s="4" t="e">
        <f ca="1">[1]!BexGetData("DP_1","00O2TNJGODT0G5Z4TTKYMMI9X","GSON1112030025")</f>
        <v>#NAME?</v>
      </c>
      <c r="T96" s="4" t="e">
        <f ca="1">[1]!BexGetData("DP_1","00O2TNJGODT0G5Z4TTKYMMOLH","GSON1112030025")</f>
        <v>#NAME?</v>
      </c>
      <c r="U96" s="4" t="e">
        <f ca="1">[1]!BexGetData("DP_1","00O2TNJGODT0G5Z4TTKYMMUX1","GSON1112030025")</f>
        <v>#NAME?</v>
      </c>
      <c r="V96" s="4" t="e">
        <f ca="1">[1]!BexGetData("DP_1","00O2TNJGODT0G5Z4TTKYMN18L","GSON1112030025")</f>
        <v>#NAME?</v>
      </c>
      <c r="W96" s="4" t="e">
        <f ca="1">[1]!BexGetData("DP_1","00O2TNJGODT0G5Z4TTKYMN7K5","GSON1112030025")</f>
        <v>#NAME?</v>
      </c>
    </row>
    <row r="97" spans="1:23" x14ac:dyDescent="0.2">
      <c r="A97" s="16" t="s">
        <v>1860</v>
      </c>
      <c r="B97" s="7" t="s">
        <v>165</v>
      </c>
      <c r="C97" s="3" t="e">
        <f ca="1">[1]!BexGetData("DP_1","003N8EMH8GTFRCSWKMPXRR8GU","GSON1112030030")</f>
        <v>#NAME?</v>
      </c>
      <c r="D97" s="3" t="e">
        <f ca="1">[1]!BexGetData("DP_1","003N8EMH8GTFRCSWKMPXRRESE","GSON1112030030")</f>
        <v>#NAME?</v>
      </c>
      <c r="E97" s="3" t="e">
        <f ca="1">[1]!BexGetData("DP_1","003N8EMH8GTFRCSWKMPXRRL3Y","GSON1112030030")</f>
        <v>#NAME?</v>
      </c>
      <c r="F97" s="3" t="e">
        <f ca="1">[1]!BexGetData("DP_1","003N8EMH8GTFRCSWKMPXRRRFI","GSON1112030030")</f>
        <v>#NAME?</v>
      </c>
      <c r="G97" s="3" t="e">
        <f ca="1">[1]!BexGetData("DP_1","003N8EMH8GTFRCSWKMPXRRXR2","GSON1112030030")</f>
        <v>#NAME?</v>
      </c>
      <c r="H97" s="8" t="e">
        <f ca="1">[1]!BexGetData("DP_1","003N8EMH8GTFRCSWKMPXRS42M","GSON1112030030")</f>
        <v>#NAME?</v>
      </c>
      <c r="I97" s="3" t="e">
        <f ca="1">[1]!BexGetData("DP_1","003N8EMH8GTFRCSWKMPXRSAE6","GSON1112030030")</f>
        <v>#NAME?</v>
      </c>
      <c r="J97" s="4" t="e">
        <f ca="1">[1]!BexGetData("DP_1","003N8EMH8GTFRCSWKMPXRSGPQ","GSON1112030030")</f>
        <v>#NAME?</v>
      </c>
      <c r="K97" s="3" t="e">
        <f ca="1">[1]!BexGetData("DP_1","003N8EMH8GTFRIVNUPY288VJH","GSON1112030030")</f>
        <v>#NAME?</v>
      </c>
      <c r="L97" s="3" t="e">
        <f ca="1">[1]!BexGetData("DP_1","003N8EMH8GTFRIVNUPY2891V1","GSON1112030030")</f>
        <v>#NAME?</v>
      </c>
      <c r="M97" s="8" t="e">
        <f ca="1">[1]!BexGetData("DP_1","003N8EMH8GTFRIVOG7KG9IQXA","GSON1112030030")</f>
        <v>#NAME?</v>
      </c>
      <c r="N97" s="3" t="e">
        <f ca="1">[1]!BexGetData("DP_1","003N8EMH8GTFRIVOG7KG9IX8U","GSON1112030030")</f>
        <v>#NAME?</v>
      </c>
      <c r="O97" s="8" t="e">
        <f ca="1">[1]!BexGetData("DP_1","003N8EMH8GTFRIVOG7KG9J3KE","GSON1112030030")</f>
        <v>#NAME?</v>
      </c>
      <c r="P97" s="3" t="e">
        <f ca="1">[1]!BexGetData("DP_1","003N8EMH8GTFRIVOG7KG9J9VY","GSON1112030030")</f>
        <v>#NAME?</v>
      </c>
      <c r="Q97" s="4" t="e">
        <f ca="1">[1]!BexGetData("DP_1","00O2TNJGODT0G5Z4TTKYMM5MT","GSON1112030030")</f>
        <v>#NAME?</v>
      </c>
      <c r="R97" s="3" t="e">
        <f ca="1">[1]!BexGetData("DP_1","00O2TNJGODT0G5Z4TTKYMMBYD","GSON1112030030")</f>
        <v>#NAME?</v>
      </c>
      <c r="S97" s="3" t="e">
        <f ca="1">[1]!BexGetData("DP_1","00O2TNJGODT0G5Z4TTKYMMI9X","GSON1112030030")</f>
        <v>#NAME?</v>
      </c>
      <c r="T97" s="8" t="e">
        <f ca="1">[1]!BexGetData("DP_1","00O2TNJGODT0G5Z4TTKYMMOLH","GSON1112030030")</f>
        <v>#NAME?</v>
      </c>
      <c r="U97" s="3" t="e">
        <f ca="1">[1]!BexGetData("DP_1","00O2TNJGODT0G5Z4TTKYMMUX1","GSON1112030030")</f>
        <v>#NAME?</v>
      </c>
      <c r="V97" s="8" t="e">
        <f ca="1">[1]!BexGetData("DP_1","00O2TNJGODT0G5Z4TTKYMN18L","GSON1112030030")</f>
        <v>#NAME?</v>
      </c>
      <c r="W97" s="3" t="e">
        <f ca="1">[1]!BexGetData("DP_1","00O2TNJGODT0G5Z4TTKYMN7K5","GSON1112030030")</f>
        <v>#NAME?</v>
      </c>
    </row>
    <row r="98" spans="1:23" x14ac:dyDescent="0.2">
      <c r="A98" s="16" t="s">
        <v>1861</v>
      </c>
      <c r="B98" s="7" t="s">
        <v>147</v>
      </c>
      <c r="C98" s="3" t="e">
        <f ca="1">[1]!BexGetData("DP_1","003N8EMH8GTFRCSWKMPXRR8GU","GSON1112030031")</f>
        <v>#NAME?</v>
      </c>
      <c r="D98" s="3" t="e">
        <f ca="1">[1]!BexGetData("DP_1","003N8EMH8GTFRCSWKMPXRRESE","GSON1112030031")</f>
        <v>#NAME?</v>
      </c>
      <c r="E98" s="8" t="e">
        <f ca="1">[1]!BexGetData("DP_1","003N8EMH8GTFRCSWKMPXRRL3Y","GSON1112030031")</f>
        <v>#NAME?</v>
      </c>
      <c r="F98" s="3" t="e">
        <f ca="1">[1]!BexGetData("DP_1","003N8EMH8GTFRCSWKMPXRRRFI","GSON1112030031")</f>
        <v>#NAME?</v>
      </c>
      <c r="G98" s="3" t="e">
        <f ca="1">[1]!BexGetData("DP_1","003N8EMH8GTFRCSWKMPXRRXR2","GSON1112030031")</f>
        <v>#NAME?</v>
      </c>
      <c r="H98" s="8" t="e">
        <f ca="1">[1]!BexGetData("DP_1","003N8EMH8GTFRCSWKMPXRS42M","GSON1112030031")</f>
        <v>#NAME?</v>
      </c>
      <c r="I98" s="3" t="e">
        <f ca="1">[1]!BexGetData("DP_1","003N8EMH8GTFRCSWKMPXRSAE6","GSON1112030031")</f>
        <v>#NAME?</v>
      </c>
      <c r="J98" s="4" t="e">
        <f ca="1">[1]!BexGetData("DP_1","003N8EMH8GTFRCSWKMPXRSGPQ","GSON1112030031")</f>
        <v>#NAME?</v>
      </c>
      <c r="K98" s="3" t="e">
        <f ca="1">[1]!BexGetData("DP_1","003N8EMH8GTFRIVNUPY288VJH","GSON1112030031")</f>
        <v>#NAME?</v>
      </c>
      <c r="L98" s="3" t="e">
        <f ca="1">[1]!BexGetData("DP_1","003N8EMH8GTFRIVNUPY2891V1","GSON1112030031")</f>
        <v>#NAME?</v>
      </c>
      <c r="M98" s="3" t="e">
        <f ca="1">[1]!BexGetData("DP_1","003N8EMH8GTFRIVOG7KG9IQXA","GSON1112030031")</f>
        <v>#NAME?</v>
      </c>
      <c r="N98" s="8" t="e">
        <f ca="1">[1]!BexGetData("DP_1","003N8EMH8GTFRIVOG7KG9IX8U","GSON1112030031")</f>
        <v>#NAME?</v>
      </c>
      <c r="O98" s="3" t="e">
        <f ca="1">[1]!BexGetData("DP_1","003N8EMH8GTFRIVOG7KG9J3KE","GSON1112030031")</f>
        <v>#NAME?</v>
      </c>
      <c r="P98" s="8" t="e">
        <f ca="1">[1]!BexGetData("DP_1","003N8EMH8GTFRIVOG7KG9J9VY","GSON1112030031")</f>
        <v>#NAME?</v>
      </c>
      <c r="Q98" s="4" t="e">
        <f ca="1">[1]!BexGetData("DP_1","00O2TNJGODT0G5Z4TTKYMM5MT","GSON1112030031")</f>
        <v>#NAME?</v>
      </c>
      <c r="R98" s="3" t="e">
        <f ca="1">[1]!BexGetData("DP_1","00O2TNJGODT0G5Z4TTKYMMBYD","GSON1112030031")</f>
        <v>#NAME?</v>
      </c>
      <c r="S98" s="3" t="e">
        <f ca="1">[1]!BexGetData("DP_1","00O2TNJGODT0G5Z4TTKYMMI9X","GSON1112030031")</f>
        <v>#NAME?</v>
      </c>
      <c r="T98" s="8" t="e">
        <f ca="1">[1]!BexGetData("DP_1","00O2TNJGODT0G5Z4TTKYMMOLH","GSON1112030031")</f>
        <v>#NAME?</v>
      </c>
      <c r="U98" s="3" t="e">
        <f ca="1">[1]!BexGetData("DP_1","00O2TNJGODT0G5Z4TTKYMMUX1","GSON1112030031")</f>
        <v>#NAME?</v>
      </c>
      <c r="V98" s="8" t="e">
        <f ca="1">[1]!BexGetData("DP_1","00O2TNJGODT0G5Z4TTKYMN18L","GSON1112030031")</f>
        <v>#NAME?</v>
      </c>
      <c r="W98" s="3" t="e">
        <f ca="1">[1]!BexGetData("DP_1","00O2TNJGODT0G5Z4TTKYMN7K5","GSON1112030031")</f>
        <v>#NAME?</v>
      </c>
    </row>
    <row r="99" spans="1:23" x14ac:dyDescent="0.2">
      <c r="A99" s="16" t="s">
        <v>1862</v>
      </c>
      <c r="B99" s="7" t="s">
        <v>64</v>
      </c>
      <c r="C99" s="3" t="e">
        <f ca="1">[1]!BexGetData("DP_1","003N8EMH8GTFRCSWKMPXRR8GU","GSON1112030032")</f>
        <v>#NAME?</v>
      </c>
      <c r="D99" s="3" t="e">
        <f ca="1">[1]!BexGetData("DP_1","003N8EMH8GTFRCSWKMPXRRESE","GSON1112030032")</f>
        <v>#NAME?</v>
      </c>
      <c r="E99" s="3" t="e">
        <f ca="1">[1]!BexGetData("DP_1","003N8EMH8GTFRCSWKMPXRRL3Y","GSON1112030032")</f>
        <v>#NAME?</v>
      </c>
      <c r="F99" s="3" t="e">
        <f ca="1">[1]!BexGetData("DP_1","003N8EMH8GTFRCSWKMPXRRRFI","GSON1112030032")</f>
        <v>#NAME?</v>
      </c>
      <c r="G99" s="8" t="e">
        <f ca="1">[1]!BexGetData("DP_1","003N8EMH8GTFRCSWKMPXRRXR2","GSON1112030032")</f>
        <v>#NAME?</v>
      </c>
      <c r="H99" s="3" t="e">
        <f ca="1">[1]!BexGetData("DP_1","003N8EMH8GTFRCSWKMPXRS42M","GSON1112030032")</f>
        <v>#NAME?</v>
      </c>
      <c r="I99" s="3" t="e">
        <f ca="1">[1]!BexGetData("DP_1","003N8EMH8GTFRCSWKMPXRSAE6","GSON1112030032")</f>
        <v>#NAME?</v>
      </c>
      <c r="J99" s="4" t="e">
        <f ca="1">[1]!BexGetData("DP_1","003N8EMH8GTFRCSWKMPXRSGPQ","GSON1112030032")</f>
        <v>#NAME?</v>
      </c>
      <c r="K99" s="3" t="e">
        <f ca="1">[1]!BexGetData("DP_1","003N8EMH8GTFRIVNUPY288VJH","GSON1112030032")</f>
        <v>#NAME?</v>
      </c>
      <c r="L99" s="3" t="e">
        <f ca="1">[1]!BexGetData("DP_1","003N8EMH8GTFRIVNUPY2891V1","GSON1112030032")</f>
        <v>#NAME?</v>
      </c>
      <c r="M99" s="3" t="e">
        <f ca="1">[1]!BexGetData("DP_1","003N8EMH8GTFRIVOG7KG9IQXA","GSON1112030032")</f>
        <v>#NAME?</v>
      </c>
      <c r="N99" s="8" t="e">
        <f ca="1">[1]!BexGetData("DP_1","003N8EMH8GTFRIVOG7KG9IX8U","GSON1112030032")</f>
        <v>#NAME?</v>
      </c>
      <c r="O99" s="3" t="e">
        <f ca="1">[1]!BexGetData("DP_1","003N8EMH8GTFRIVOG7KG9J3KE","GSON1112030032")</f>
        <v>#NAME?</v>
      </c>
      <c r="P99" s="8" t="e">
        <f ca="1">[1]!BexGetData("DP_1","003N8EMH8GTFRIVOG7KG9J9VY","GSON1112030032")</f>
        <v>#NAME?</v>
      </c>
      <c r="Q99" s="4" t="e">
        <f ca="1">[1]!BexGetData("DP_1","00O2TNJGODT0G5Z4TTKYMM5MT","GSON1112030032")</f>
        <v>#NAME?</v>
      </c>
      <c r="R99" s="3" t="e">
        <f ca="1">[1]!BexGetData("DP_1","00O2TNJGODT0G5Z4TTKYMMBYD","GSON1112030032")</f>
        <v>#NAME?</v>
      </c>
      <c r="S99" s="3" t="e">
        <f ca="1">[1]!BexGetData("DP_1","00O2TNJGODT0G5Z4TTKYMMI9X","GSON1112030032")</f>
        <v>#NAME?</v>
      </c>
      <c r="T99" s="3" t="e">
        <f ca="1">[1]!BexGetData("DP_1","00O2TNJGODT0G5Z4TTKYMMOLH","GSON1112030032")</f>
        <v>#NAME?</v>
      </c>
      <c r="U99" s="8" t="e">
        <f ca="1">[1]!BexGetData("DP_1","00O2TNJGODT0G5Z4TTKYMMUX1","GSON1112030032")</f>
        <v>#NAME?</v>
      </c>
      <c r="V99" s="3" t="e">
        <f ca="1">[1]!BexGetData("DP_1","00O2TNJGODT0G5Z4TTKYMN18L","GSON1112030032")</f>
        <v>#NAME?</v>
      </c>
      <c r="W99" s="8" t="e">
        <f ca="1">[1]!BexGetData("DP_1","00O2TNJGODT0G5Z4TTKYMN7K5","GSON1112030032")</f>
        <v>#NAME?</v>
      </c>
    </row>
    <row r="100" spans="1:23" x14ac:dyDescent="0.2">
      <c r="A100" s="16" t="s">
        <v>1863</v>
      </c>
      <c r="B100" s="7" t="s">
        <v>65</v>
      </c>
      <c r="C100" s="3" t="e">
        <f ca="1">[1]!BexGetData("DP_1","003N8EMH8GTFRCSWKMPXRR8GU","GSON1112030033")</f>
        <v>#NAME?</v>
      </c>
      <c r="D100" s="3" t="e">
        <f ca="1">[1]!BexGetData("DP_1","003N8EMH8GTFRCSWKMPXRRESE","GSON1112030033")</f>
        <v>#NAME?</v>
      </c>
      <c r="E100" s="8" t="e">
        <f ca="1">[1]!BexGetData("DP_1","003N8EMH8GTFRCSWKMPXRRL3Y","GSON1112030033")</f>
        <v>#NAME?</v>
      </c>
      <c r="F100" s="4" t="e">
        <f ca="1">[1]!BexGetData("DP_1","003N8EMH8GTFRCSWKMPXRRRFI","GSON1112030033")</f>
        <v>#NAME?</v>
      </c>
      <c r="G100" s="4" t="e">
        <f ca="1">[1]!BexGetData("DP_1","003N8EMH8GTFRCSWKMPXRRXR2","GSON1112030033")</f>
        <v>#NAME?</v>
      </c>
      <c r="H100" s="4" t="e">
        <f ca="1">[1]!BexGetData("DP_1","003N8EMH8GTFRCSWKMPXRS42M","GSON1112030033")</f>
        <v>#NAME?</v>
      </c>
      <c r="I100" s="4" t="e">
        <f ca="1">[1]!BexGetData("DP_1","003N8EMH8GTFRCSWKMPXRSAE6","GSON1112030033")</f>
        <v>#NAME?</v>
      </c>
      <c r="J100" s="4" t="e">
        <f ca="1">[1]!BexGetData("DP_1","003N8EMH8GTFRCSWKMPXRSGPQ","GSON1112030033")</f>
        <v>#NAME?</v>
      </c>
      <c r="K100" s="8" t="e">
        <f ca="1">[1]!BexGetData("DP_1","003N8EMH8GTFRIVNUPY288VJH","GSON1112030033")</f>
        <v>#NAME?</v>
      </c>
      <c r="L100" s="8" t="e">
        <f ca="1">[1]!BexGetData("DP_1","003N8EMH8GTFRIVNUPY2891V1","GSON1112030033")</f>
        <v>#NAME?</v>
      </c>
      <c r="M100" s="8" t="e">
        <f ca="1">[1]!BexGetData("DP_1","003N8EMH8GTFRIVOG7KG9IQXA","GSON1112030033")</f>
        <v>#NAME?</v>
      </c>
      <c r="N100" s="8" t="e">
        <f ca="1">[1]!BexGetData("DP_1","003N8EMH8GTFRIVOG7KG9IX8U","GSON1112030033")</f>
        <v>#NAME?</v>
      </c>
      <c r="O100" s="8" t="e">
        <f ca="1">[1]!BexGetData("DP_1","003N8EMH8GTFRIVOG7KG9J3KE","GSON1112030033")</f>
        <v>#NAME?</v>
      </c>
      <c r="P100" s="8" t="e">
        <f ca="1">[1]!BexGetData("DP_1","003N8EMH8GTFRIVOG7KG9J9VY","GSON1112030033")</f>
        <v>#NAME?</v>
      </c>
      <c r="Q100" s="4" t="e">
        <f ca="1">[1]!BexGetData("DP_1","00O2TNJGODT0G5Z4TTKYMM5MT","GSON1112030033")</f>
        <v>#NAME?</v>
      </c>
      <c r="R100" s="4" t="e">
        <f ca="1">[1]!BexGetData("DP_1","00O2TNJGODT0G5Z4TTKYMMBYD","GSON1112030033")</f>
        <v>#NAME?</v>
      </c>
      <c r="S100" s="4" t="e">
        <f ca="1">[1]!BexGetData("DP_1","00O2TNJGODT0G5Z4TTKYMMI9X","GSON1112030033")</f>
        <v>#NAME?</v>
      </c>
      <c r="T100" s="4" t="e">
        <f ca="1">[1]!BexGetData("DP_1","00O2TNJGODT0G5Z4TTKYMMOLH","GSON1112030033")</f>
        <v>#NAME?</v>
      </c>
      <c r="U100" s="4" t="e">
        <f ca="1">[1]!BexGetData("DP_1","00O2TNJGODT0G5Z4TTKYMMUX1","GSON1112030033")</f>
        <v>#NAME?</v>
      </c>
      <c r="V100" s="4" t="e">
        <f ca="1">[1]!BexGetData("DP_1","00O2TNJGODT0G5Z4TTKYMN18L","GSON1112030033")</f>
        <v>#NAME?</v>
      </c>
      <c r="W100" s="4" t="e">
        <f ca="1">[1]!BexGetData("DP_1","00O2TNJGODT0G5Z4TTKYMN7K5","GSON1112030033")</f>
        <v>#NAME?</v>
      </c>
    </row>
    <row r="101" spans="1:23" x14ac:dyDescent="0.2">
      <c r="A101" s="16" t="s">
        <v>1864</v>
      </c>
      <c r="B101" s="7" t="s">
        <v>752</v>
      </c>
      <c r="C101" s="3" t="e">
        <f ca="1">[1]!BexGetData("DP_1","003N8EMH8GTFRCSWKMPXRR8GU","GSON1112030034")</f>
        <v>#NAME?</v>
      </c>
      <c r="D101" s="3" t="e">
        <f ca="1">[1]!BexGetData("DP_1","003N8EMH8GTFRCSWKMPXRRESE","GSON1112030034")</f>
        <v>#NAME?</v>
      </c>
      <c r="E101" s="8" t="e">
        <f ca="1">[1]!BexGetData("DP_1","003N8EMH8GTFRCSWKMPXRRL3Y","GSON1112030034")</f>
        <v>#NAME?</v>
      </c>
      <c r="F101" s="4" t="e">
        <f ca="1">[1]!BexGetData("DP_1","003N8EMH8GTFRCSWKMPXRRRFI","GSON1112030034")</f>
        <v>#NAME?</v>
      </c>
      <c r="G101" s="4" t="e">
        <f ca="1">[1]!BexGetData("DP_1","003N8EMH8GTFRCSWKMPXRRXR2","GSON1112030034")</f>
        <v>#NAME?</v>
      </c>
      <c r="H101" s="4" t="e">
        <f ca="1">[1]!BexGetData("DP_1","003N8EMH8GTFRCSWKMPXRS42M","GSON1112030034")</f>
        <v>#NAME?</v>
      </c>
      <c r="I101" s="4" t="e">
        <f ca="1">[1]!BexGetData("DP_1","003N8EMH8GTFRCSWKMPXRSAE6","GSON1112030034")</f>
        <v>#NAME?</v>
      </c>
      <c r="J101" s="4" t="e">
        <f ca="1">[1]!BexGetData("DP_1","003N8EMH8GTFRCSWKMPXRSGPQ","GSON1112030034")</f>
        <v>#NAME?</v>
      </c>
      <c r="K101" s="8" t="e">
        <f ca="1">[1]!BexGetData("DP_1","003N8EMH8GTFRIVNUPY288VJH","GSON1112030034")</f>
        <v>#NAME?</v>
      </c>
      <c r="L101" s="8" t="e">
        <f ca="1">[1]!BexGetData("DP_1","003N8EMH8GTFRIVNUPY2891V1","GSON1112030034")</f>
        <v>#NAME?</v>
      </c>
      <c r="M101" s="8" t="e">
        <f ca="1">[1]!BexGetData("DP_1","003N8EMH8GTFRIVOG7KG9IQXA","GSON1112030034")</f>
        <v>#NAME?</v>
      </c>
      <c r="N101" s="8" t="e">
        <f ca="1">[1]!BexGetData("DP_1","003N8EMH8GTFRIVOG7KG9IX8U","GSON1112030034")</f>
        <v>#NAME?</v>
      </c>
      <c r="O101" s="8" t="e">
        <f ca="1">[1]!BexGetData("DP_1","003N8EMH8GTFRIVOG7KG9J3KE","GSON1112030034")</f>
        <v>#NAME?</v>
      </c>
      <c r="P101" s="8" t="e">
        <f ca="1">[1]!BexGetData("DP_1","003N8EMH8GTFRIVOG7KG9J9VY","GSON1112030034")</f>
        <v>#NAME?</v>
      </c>
      <c r="Q101" s="4" t="e">
        <f ca="1">[1]!BexGetData("DP_1","00O2TNJGODT0G5Z4TTKYMM5MT","GSON1112030034")</f>
        <v>#NAME?</v>
      </c>
      <c r="R101" s="4" t="e">
        <f ca="1">[1]!BexGetData("DP_1","00O2TNJGODT0G5Z4TTKYMMBYD","GSON1112030034")</f>
        <v>#NAME?</v>
      </c>
      <c r="S101" s="4" t="e">
        <f ca="1">[1]!BexGetData("DP_1","00O2TNJGODT0G5Z4TTKYMMI9X","GSON1112030034")</f>
        <v>#NAME?</v>
      </c>
      <c r="T101" s="4" t="e">
        <f ca="1">[1]!BexGetData("DP_1","00O2TNJGODT0G5Z4TTKYMMOLH","GSON1112030034")</f>
        <v>#NAME?</v>
      </c>
      <c r="U101" s="4" t="e">
        <f ca="1">[1]!BexGetData("DP_1","00O2TNJGODT0G5Z4TTKYMMUX1","GSON1112030034")</f>
        <v>#NAME?</v>
      </c>
      <c r="V101" s="4" t="e">
        <f ca="1">[1]!BexGetData("DP_1","00O2TNJGODT0G5Z4TTKYMN18L","GSON1112030034")</f>
        <v>#NAME?</v>
      </c>
      <c r="W101" s="4" t="e">
        <f ca="1">[1]!BexGetData("DP_1","00O2TNJGODT0G5Z4TTKYMN7K5","GSON1112030034")</f>
        <v>#NAME?</v>
      </c>
    </row>
    <row r="102" spans="1:23" x14ac:dyDescent="0.2">
      <c r="A102" s="16" t="s">
        <v>1865</v>
      </c>
      <c r="B102" s="7" t="s">
        <v>753</v>
      </c>
      <c r="C102" s="3" t="e">
        <f ca="1">[1]!BexGetData("DP_1","003N8EMH8GTFRCSWKMPXRR8GU","GSON1112030035")</f>
        <v>#NAME?</v>
      </c>
      <c r="D102" s="3" t="e">
        <f ca="1">[1]!BexGetData("DP_1","003N8EMH8GTFRCSWKMPXRRESE","GSON1112030035")</f>
        <v>#NAME?</v>
      </c>
      <c r="E102" s="8" t="e">
        <f ca="1">[1]!BexGetData("DP_1","003N8EMH8GTFRCSWKMPXRRL3Y","GSON1112030035")</f>
        <v>#NAME?</v>
      </c>
      <c r="F102" s="4" t="e">
        <f ca="1">[1]!BexGetData("DP_1","003N8EMH8GTFRCSWKMPXRRRFI","GSON1112030035")</f>
        <v>#NAME?</v>
      </c>
      <c r="G102" s="4" t="e">
        <f ca="1">[1]!BexGetData("DP_1","003N8EMH8GTFRCSWKMPXRRXR2","GSON1112030035")</f>
        <v>#NAME?</v>
      </c>
      <c r="H102" s="4" t="e">
        <f ca="1">[1]!BexGetData("DP_1","003N8EMH8GTFRCSWKMPXRS42M","GSON1112030035")</f>
        <v>#NAME?</v>
      </c>
      <c r="I102" s="4" t="e">
        <f ca="1">[1]!BexGetData("DP_1","003N8EMH8GTFRCSWKMPXRSAE6","GSON1112030035")</f>
        <v>#NAME?</v>
      </c>
      <c r="J102" s="4" t="e">
        <f ca="1">[1]!BexGetData("DP_1","003N8EMH8GTFRCSWKMPXRSGPQ","GSON1112030035")</f>
        <v>#NAME?</v>
      </c>
      <c r="K102" s="8" t="e">
        <f ca="1">[1]!BexGetData("DP_1","003N8EMH8GTFRIVNUPY288VJH","GSON1112030035")</f>
        <v>#NAME?</v>
      </c>
      <c r="L102" s="8" t="e">
        <f ca="1">[1]!BexGetData("DP_1","003N8EMH8GTFRIVNUPY2891V1","GSON1112030035")</f>
        <v>#NAME?</v>
      </c>
      <c r="M102" s="8" t="e">
        <f ca="1">[1]!BexGetData("DP_1","003N8EMH8GTFRIVOG7KG9IQXA","GSON1112030035")</f>
        <v>#NAME?</v>
      </c>
      <c r="N102" s="8" t="e">
        <f ca="1">[1]!BexGetData("DP_1","003N8EMH8GTFRIVOG7KG9IX8U","GSON1112030035")</f>
        <v>#NAME?</v>
      </c>
      <c r="O102" s="8" t="e">
        <f ca="1">[1]!BexGetData("DP_1","003N8EMH8GTFRIVOG7KG9J3KE","GSON1112030035")</f>
        <v>#NAME?</v>
      </c>
      <c r="P102" s="8" t="e">
        <f ca="1">[1]!BexGetData("DP_1","003N8EMH8GTFRIVOG7KG9J9VY","GSON1112030035")</f>
        <v>#NAME?</v>
      </c>
      <c r="Q102" s="4" t="e">
        <f ca="1">[1]!BexGetData("DP_1","00O2TNJGODT0G5Z4TTKYMM5MT","GSON1112030035")</f>
        <v>#NAME?</v>
      </c>
      <c r="R102" s="4" t="e">
        <f ca="1">[1]!BexGetData("DP_1","00O2TNJGODT0G5Z4TTKYMMBYD","GSON1112030035")</f>
        <v>#NAME?</v>
      </c>
      <c r="S102" s="4" t="e">
        <f ca="1">[1]!BexGetData("DP_1","00O2TNJGODT0G5Z4TTKYMMI9X","GSON1112030035")</f>
        <v>#NAME?</v>
      </c>
      <c r="T102" s="4" t="e">
        <f ca="1">[1]!BexGetData("DP_1","00O2TNJGODT0G5Z4TTKYMMOLH","GSON1112030035")</f>
        <v>#NAME?</v>
      </c>
      <c r="U102" s="4" t="e">
        <f ca="1">[1]!BexGetData("DP_1","00O2TNJGODT0G5Z4TTKYMMUX1","GSON1112030035")</f>
        <v>#NAME?</v>
      </c>
      <c r="V102" s="4" t="e">
        <f ca="1">[1]!BexGetData("DP_1","00O2TNJGODT0G5Z4TTKYMN18L","GSON1112030035")</f>
        <v>#NAME?</v>
      </c>
      <c r="W102" s="4" t="e">
        <f ca="1">[1]!BexGetData("DP_1","00O2TNJGODT0G5Z4TTKYMN7K5","GSON1112030035")</f>
        <v>#NAME?</v>
      </c>
    </row>
    <row r="103" spans="1:23" x14ac:dyDescent="0.2">
      <c r="A103" s="16" t="s">
        <v>1866</v>
      </c>
      <c r="B103" s="7" t="s">
        <v>754</v>
      </c>
      <c r="C103" s="3" t="e">
        <f ca="1">[1]!BexGetData("DP_1","003N8EMH8GTFRCSWKMPXRR8GU","GSON1112030040")</f>
        <v>#NAME?</v>
      </c>
      <c r="D103" s="3" t="e">
        <f ca="1">[1]!BexGetData("DP_1","003N8EMH8GTFRCSWKMPXRRESE","GSON1112030040")</f>
        <v>#NAME?</v>
      </c>
      <c r="E103" s="3" t="e">
        <f ca="1">[1]!BexGetData("DP_1","003N8EMH8GTFRCSWKMPXRRL3Y","GSON1112030040")</f>
        <v>#NAME?</v>
      </c>
      <c r="F103" s="3" t="e">
        <f ca="1">[1]!BexGetData("DP_1","003N8EMH8GTFRCSWKMPXRRRFI","GSON1112030040")</f>
        <v>#NAME?</v>
      </c>
      <c r="G103" s="3" t="e">
        <f ca="1">[1]!BexGetData("DP_1","003N8EMH8GTFRCSWKMPXRRXR2","GSON1112030040")</f>
        <v>#NAME?</v>
      </c>
      <c r="H103" s="8" t="e">
        <f ca="1">[1]!BexGetData("DP_1","003N8EMH8GTFRCSWKMPXRS42M","GSON1112030040")</f>
        <v>#NAME?</v>
      </c>
      <c r="I103" s="3" t="e">
        <f ca="1">[1]!BexGetData("DP_1","003N8EMH8GTFRCSWKMPXRSAE6","GSON1112030040")</f>
        <v>#NAME?</v>
      </c>
      <c r="J103" s="4" t="e">
        <f ca="1">[1]!BexGetData("DP_1","003N8EMH8GTFRCSWKMPXRSGPQ","GSON1112030040")</f>
        <v>#NAME?</v>
      </c>
      <c r="K103" s="3" t="e">
        <f ca="1">[1]!BexGetData("DP_1","003N8EMH8GTFRIVNUPY288VJH","GSON1112030040")</f>
        <v>#NAME?</v>
      </c>
      <c r="L103" s="3" t="e">
        <f ca="1">[1]!BexGetData("DP_1","003N8EMH8GTFRIVNUPY2891V1","GSON1112030040")</f>
        <v>#NAME?</v>
      </c>
      <c r="M103" s="3" t="e">
        <f ca="1">[1]!BexGetData("DP_1","003N8EMH8GTFRIVOG7KG9IQXA","GSON1112030040")</f>
        <v>#NAME?</v>
      </c>
      <c r="N103" s="8" t="e">
        <f ca="1">[1]!BexGetData("DP_1","003N8EMH8GTFRIVOG7KG9IX8U","GSON1112030040")</f>
        <v>#NAME?</v>
      </c>
      <c r="O103" s="3" t="e">
        <f ca="1">[1]!BexGetData("DP_1","003N8EMH8GTFRIVOG7KG9J3KE","GSON1112030040")</f>
        <v>#NAME?</v>
      </c>
      <c r="P103" s="8" t="e">
        <f ca="1">[1]!BexGetData("DP_1","003N8EMH8GTFRIVOG7KG9J9VY","GSON1112030040")</f>
        <v>#NAME?</v>
      </c>
      <c r="Q103" s="4" t="e">
        <f ca="1">[1]!BexGetData("DP_1","00O2TNJGODT0G5Z4TTKYMM5MT","GSON1112030040")</f>
        <v>#NAME?</v>
      </c>
      <c r="R103" s="3" t="e">
        <f ca="1">[1]!BexGetData("DP_1","00O2TNJGODT0G5Z4TTKYMMBYD","GSON1112030040")</f>
        <v>#NAME?</v>
      </c>
      <c r="S103" s="3" t="e">
        <f ca="1">[1]!BexGetData("DP_1","00O2TNJGODT0G5Z4TTKYMMI9X","GSON1112030040")</f>
        <v>#NAME?</v>
      </c>
      <c r="T103" s="8" t="e">
        <f ca="1">[1]!BexGetData("DP_1","00O2TNJGODT0G5Z4TTKYMMOLH","GSON1112030040")</f>
        <v>#NAME?</v>
      </c>
      <c r="U103" s="3" t="e">
        <f ca="1">[1]!BexGetData("DP_1","00O2TNJGODT0G5Z4TTKYMMUX1","GSON1112030040")</f>
        <v>#NAME?</v>
      </c>
      <c r="V103" s="8" t="e">
        <f ca="1">[1]!BexGetData("DP_1","00O2TNJGODT0G5Z4TTKYMN18L","GSON1112030040")</f>
        <v>#NAME?</v>
      </c>
      <c r="W103" s="3" t="e">
        <f ca="1">[1]!BexGetData("DP_1","00O2TNJGODT0G5Z4TTKYMN7K5","GSON1112030040")</f>
        <v>#NAME?</v>
      </c>
    </row>
    <row r="104" spans="1:23" x14ac:dyDescent="0.2">
      <c r="A104" s="16" t="s">
        <v>1867</v>
      </c>
      <c r="B104" s="7" t="s">
        <v>415</v>
      </c>
      <c r="C104" s="3" t="e">
        <f ca="1">[1]!BexGetData("DP_1","003N8EMH8GTFRCSWKMPXRR8GU","GSON1112030041")</f>
        <v>#NAME?</v>
      </c>
      <c r="D104" s="3" t="e">
        <f ca="1">[1]!BexGetData("DP_1","003N8EMH8GTFRCSWKMPXRRESE","GSON1112030041")</f>
        <v>#NAME?</v>
      </c>
      <c r="E104" s="8" t="e">
        <f ca="1">[1]!BexGetData("DP_1","003N8EMH8GTFRCSWKMPXRRL3Y","GSON1112030041")</f>
        <v>#NAME?</v>
      </c>
      <c r="F104" s="4" t="e">
        <f ca="1">[1]!BexGetData("DP_1","003N8EMH8GTFRCSWKMPXRRRFI","GSON1112030041")</f>
        <v>#NAME?</v>
      </c>
      <c r="G104" s="4" t="e">
        <f ca="1">[1]!BexGetData("DP_1","003N8EMH8GTFRCSWKMPXRRXR2","GSON1112030041")</f>
        <v>#NAME?</v>
      </c>
      <c r="H104" s="4" t="e">
        <f ca="1">[1]!BexGetData("DP_1","003N8EMH8GTFRCSWKMPXRS42M","GSON1112030041")</f>
        <v>#NAME?</v>
      </c>
      <c r="I104" s="4" t="e">
        <f ca="1">[1]!BexGetData("DP_1","003N8EMH8GTFRCSWKMPXRSAE6","GSON1112030041")</f>
        <v>#NAME?</v>
      </c>
      <c r="J104" s="4" t="e">
        <f ca="1">[1]!BexGetData("DP_1","003N8EMH8GTFRCSWKMPXRSGPQ","GSON1112030041")</f>
        <v>#NAME?</v>
      </c>
      <c r="K104" s="8" t="e">
        <f ca="1">[1]!BexGetData("DP_1","003N8EMH8GTFRIVNUPY288VJH","GSON1112030041")</f>
        <v>#NAME?</v>
      </c>
      <c r="L104" s="8" t="e">
        <f ca="1">[1]!BexGetData("DP_1","003N8EMH8GTFRIVNUPY2891V1","GSON1112030041")</f>
        <v>#NAME?</v>
      </c>
      <c r="M104" s="8" t="e">
        <f ca="1">[1]!BexGetData("DP_1","003N8EMH8GTFRIVOG7KG9IQXA","GSON1112030041")</f>
        <v>#NAME?</v>
      </c>
      <c r="N104" s="8" t="e">
        <f ca="1">[1]!BexGetData("DP_1","003N8EMH8GTFRIVOG7KG9IX8U","GSON1112030041")</f>
        <v>#NAME?</v>
      </c>
      <c r="O104" s="8" t="e">
        <f ca="1">[1]!BexGetData("DP_1","003N8EMH8GTFRIVOG7KG9J3KE","GSON1112030041")</f>
        <v>#NAME?</v>
      </c>
      <c r="P104" s="8" t="e">
        <f ca="1">[1]!BexGetData("DP_1","003N8EMH8GTFRIVOG7KG9J9VY","GSON1112030041")</f>
        <v>#NAME?</v>
      </c>
      <c r="Q104" s="4" t="e">
        <f ca="1">[1]!BexGetData("DP_1","00O2TNJGODT0G5Z4TTKYMM5MT","GSON1112030041")</f>
        <v>#NAME?</v>
      </c>
      <c r="R104" s="4" t="e">
        <f ca="1">[1]!BexGetData("DP_1","00O2TNJGODT0G5Z4TTKYMMBYD","GSON1112030041")</f>
        <v>#NAME?</v>
      </c>
      <c r="S104" s="4" t="e">
        <f ca="1">[1]!BexGetData("DP_1","00O2TNJGODT0G5Z4TTKYMMI9X","GSON1112030041")</f>
        <v>#NAME?</v>
      </c>
      <c r="T104" s="4" t="e">
        <f ca="1">[1]!BexGetData("DP_1","00O2TNJGODT0G5Z4TTKYMMOLH","GSON1112030041")</f>
        <v>#NAME?</v>
      </c>
      <c r="U104" s="4" t="e">
        <f ca="1">[1]!BexGetData("DP_1","00O2TNJGODT0G5Z4TTKYMMUX1","GSON1112030041")</f>
        <v>#NAME?</v>
      </c>
      <c r="V104" s="4" t="e">
        <f ca="1">[1]!BexGetData("DP_1","00O2TNJGODT0G5Z4TTKYMN18L","GSON1112030041")</f>
        <v>#NAME?</v>
      </c>
      <c r="W104" s="4" t="e">
        <f ca="1">[1]!BexGetData("DP_1","00O2TNJGODT0G5Z4TTKYMN7K5","GSON1112030041")</f>
        <v>#NAME?</v>
      </c>
    </row>
    <row r="105" spans="1:23" x14ac:dyDescent="0.2">
      <c r="A105" s="16" t="s">
        <v>1868</v>
      </c>
      <c r="B105" s="7" t="s">
        <v>416</v>
      </c>
      <c r="C105" s="3" t="e">
        <f ca="1">[1]!BexGetData("DP_1","003N8EMH8GTFRCSWKMPXRR8GU","GSON1112030043")</f>
        <v>#NAME?</v>
      </c>
      <c r="D105" s="3" t="e">
        <f ca="1">[1]!BexGetData("DP_1","003N8EMH8GTFRCSWKMPXRRESE","GSON1112030043")</f>
        <v>#NAME?</v>
      </c>
      <c r="E105" s="8" t="e">
        <f ca="1">[1]!BexGetData("DP_1","003N8EMH8GTFRCSWKMPXRRL3Y","GSON1112030043")</f>
        <v>#NAME?</v>
      </c>
      <c r="F105" s="3" t="e">
        <f ca="1">[1]!BexGetData("DP_1","003N8EMH8GTFRCSWKMPXRRRFI","GSON1112030043")</f>
        <v>#NAME?</v>
      </c>
      <c r="G105" s="8" t="e">
        <f ca="1">[1]!BexGetData("DP_1","003N8EMH8GTFRCSWKMPXRRXR2","GSON1112030043")</f>
        <v>#NAME?</v>
      </c>
      <c r="H105" s="3" t="e">
        <f ca="1">[1]!BexGetData("DP_1","003N8EMH8GTFRCSWKMPXRS42M","GSON1112030043")</f>
        <v>#NAME?</v>
      </c>
      <c r="I105" s="3" t="e">
        <f ca="1">[1]!BexGetData("DP_1","003N8EMH8GTFRCSWKMPXRSAE6","GSON1112030043")</f>
        <v>#NAME?</v>
      </c>
      <c r="J105" s="4" t="e">
        <f ca="1">[1]!BexGetData("DP_1","003N8EMH8GTFRCSWKMPXRSGPQ","GSON1112030043")</f>
        <v>#NAME?</v>
      </c>
      <c r="K105" s="3" t="e">
        <f ca="1">[1]!BexGetData("DP_1","003N8EMH8GTFRIVNUPY288VJH","GSON1112030043")</f>
        <v>#NAME?</v>
      </c>
      <c r="L105" s="3" t="e">
        <f ca="1">[1]!BexGetData("DP_1","003N8EMH8GTFRIVNUPY2891V1","GSON1112030043")</f>
        <v>#NAME?</v>
      </c>
      <c r="M105" s="8" t="e">
        <f ca="1">[1]!BexGetData("DP_1","003N8EMH8GTFRIVOG7KG9IQXA","GSON1112030043")</f>
        <v>#NAME?</v>
      </c>
      <c r="N105" s="3" t="e">
        <f ca="1">[1]!BexGetData("DP_1","003N8EMH8GTFRIVOG7KG9IX8U","GSON1112030043")</f>
        <v>#NAME?</v>
      </c>
      <c r="O105" s="8" t="e">
        <f ca="1">[1]!BexGetData("DP_1","003N8EMH8GTFRIVOG7KG9J3KE","GSON1112030043")</f>
        <v>#NAME?</v>
      </c>
      <c r="P105" s="3" t="e">
        <f ca="1">[1]!BexGetData("DP_1","003N8EMH8GTFRIVOG7KG9J9VY","GSON1112030043")</f>
        <v>#NAME?</v>
      </c>
      <c r="Q105" s="4" t="e">
        <f ca="1">[1]!BexGetData("DP_1","00O2TNJGODT0G5Z4TTKYMM5MT","GSON1112030043")</f>
        <v>#NAME?</v>
      </c>
      <c r="R105" s="3" t="e">
        <f ca="1">[1]!BexGetData("DP_1","00O2TNJGODT0G5Z4TTKYMMBYD","GSON1112030043")</f>
        <v>#NAME?</v>
      </c>
      <c r="S105" s="3" t="e">
        <f ca="1">[1]!BexGetData("DP_1","00O2TNJGODT0G5Z4TTKYMMI9X","GSON1112030043")</f>
        <v>#NAME?</v>
      </c>
      <c r="T105" s="3" t="e">
        <f ca="1">[1]!BexGetData("DP_1","00O2TNJGODT0G5Z4TTKYMMOLH","GSON1112030043")</f>
        <v>#NAME?</v>
      </c>
      <c r="U105" s="8" t="e">
        <f ca="1">[1]!BexGetData("DP_1","00O2TNJGODT0G5Z4TTKYMMUX1","GSON1112030043")</f>
        <v>#NAME?</v>
      </c>
      <c r="V105" s="3" t="e">
        <f ca="1">[1]!BexGetData("DP_1","00O2TNJGODT0G5Z4TTKYMN18L","GSON1112030043")</f>
        <v>#NAME?</v>
      </c>
      <c r="W105" s="8" t="e">
        <f ca="1">[1]!BexGetData("DP_1","00O2TNJGODT0G5Z4TTKYMN7K5","GSON1112030043")</f>
        <v>#NAME?</v>
      </c>
    </row>
    <row r="106" spans="1:23" x14ac:dyDescent="0.2">
      <c r="A106" s="16" t="s">
        <v>1869</v>
      </c>
      <c r="B106" s="7" t="s">
        <v>1623</v>
      </c>
      <c r="C106" s="3" t="e">
        <f ca="1">[1]!BexGetData("DP_1","003N8EMH8GTFRCSWKMPXRR8GU","GSON1112030045")</f>
        <v>#NAME?</v>
      </c>
      <c r="D106" s="3" t="e">
        <f ca="1">[1]!BexGetData("DP_1","003N8EMH8GTFRCSWKMPXRRESE","GSON1112030045")</f>
        <v>#NAME?</v>
      </c>
      <c r="E106" s="8" t="e">
        <f ca="1">[1]!BexGetData("DP_1","003N8EMH8GTFRCSWKMPXRRL3Y","GSON1112030045")</f>
        <v>#NAME?</v>
      </c>
      <c r="F106" s="4" t="e">
        <f ca="1">[1]!BexGetData("DP_1","003N8EMH8GTFRCSWKMPXRRRFI","GSON1112030045")</f>
        <v>#NAME?</v>
      </c>
      <c r="G106" s="4" t="e">
        <f ca="1">[1]!BexGetData("DP_1","003N8EMH8GTFRCSWKMPXRRXR2","GSON1112030045")</f>
        <v>#NAME?</v>
      </c>
      <c r="H106" s="4" t="e">
        <f ca="1">[1]!BexGetData("DP_1","003N8EMH8GTFRCSWKMPXRS42M","GSON1112030045")</f>
        <v>#NAME?</v>
      </c>
      <c r="I106" s="4" t="e">
        <f ca="1">[1]!BexGetData("DP_1","003N8EMH8GTFRCSWKMPXRSAE6","GSON1112030045")</f>
        <v>#NAME?</v>
      </c>
      <c r="J106" s="4" t="e">
        <f ca="1">[1]!BexGetData("DP_1","003N8EMH8GTFRCSWKMPXRSGPQ","GSON1112030045")</f>
        <v>#NAME?</v>
      </c>
      <c r="K106" s="8" t="e">
        <f ca="1">[1]!BexGetData("DP_1","003N8EMH8GTFRIVNUPY288VJH","GSON1112030045")</f>
        <v>#NAME?</v>
      </c>
      <c r="L106" s="8" t="e">
        <f ca="1">[1]!BexGetData("DP_1","003N8EMH8GTFRIVNUPY2891V1","GSON1112030045")</f>
        <v>#NAME?</v>
      </c>
      <c r="M106" s="8" t="e">
        <f ca="1">[1]!BexGetData("DP_1","003N8EMH8GTFRIVOG7KG9IQXA","GSON1112030045")</f>
        <v>#NAME?</v>
      </c>
      <c r="N106" s="8" t="e">
        <f ca="1">[1]!BexGetData("DP_1","003N8EMH8GTFRIVOG7KG9IX8U","GSON1112030045")</f>
        <v>#NAME?</v>
      </c>
      <c r="O106" s="8" t="e">
        <f ca="1">[1]!BexGetData("DP_1","003N8EMH8GTFRIVOG7KG9J3KE","GSON1112030045")</f>
        <v>#NAME?</v>
      </c>
      <c r="P106" s="8" t="e">
        <f ca="1">[1]!BexGetData("DP_1","003N8EMH8GTFRIVOG7KG9J9VY","GSON1112030045")</f>
        <v>#NAME?</v>
      </c>
      <c r="Q106" s="4" t="e">
        <f ca="1">[1]!BexGetData("DP_1","00O2TNJGODT0G5Z4TTKYMM5MT","GSON1112030045")</f>
        <v>#NAME?</v>
      </c>
      <c r="R106" s="4" t="e">
        <f ca="1">[1]!BexGetData("DP_1","00O2TNJGODT0G5Z4TTKYMMBYD","GSON1112030045")</f>
        <v>#NAME?</v>
      </c>
      <c r="S106" s="4" t="e">
        <f ca="1">[1]!BexGetData("DP_1","00O2TNJGODT0G5Z4TTKYMMI9X","GSON1112030045")</f>
        <v>#NAME?</v>
      </c>
      <c r="T106" s="4" t="e">
        <f ca="1">[1]!BexGetData("DP_1","00O2TNJGODT0G5Z4TTKYMMOLH","GSON1112030045")</f>
        <v>#NAME?</v>
      </c>
      <c r="U106" s="4" t="e">
        <f ca="1">[1]!BexGetData("DP_1","00O2TNJGODT0G5Z4TTKYMMUX1","GSON1112030045")</f>
        <v>#NAME?</v>
      </c>
      <c r="V106" s="4" t="e">
        <f ca="1">[1]!BexGetData("DP_1","00O2TNJGODT0G5Z4TTKYMN18L","GSON1112030045")</f>
        <v>#NAME?</v>
      </c>
      <c r="W106" s="4" t="e">
        <f ca="1">[1]!BexGetData("DP_1","00O2TNJGODT0G5Z4TTKYMN7K5","GSON1112030045")</f>
        <v>#NAME?</v>
      </c>
    </row>
    <row r="107" spans="1:23" x14ac:dyDescent="0.2">
      <c r="A107" s="16" t="s">
        <v>1870</v>
      </c>
      <c r="B107" s="7" t="s">
        <v>755</v>
      </c>
      <c r="C107" s="3" t="e">
        <f ca="1">[1]!BexGetData("DP_1","003N8EMH8GTFRCSWKMPXRR8GU","GSON1112030060")</f>
        <v>#NAME?</v>
      </c>
      <c r="D107" s="8" t="e">
        <f ca="1">[1]!BexGetData("DP_1","003N8EMH8GTFRCSWKMPXRRESE","GSON1112030060")</f>
        <v>#NAME?</v>
      </c>
      <c r="E107" s="3" t="e">
        <f ca="1">[1]!BexGetData("DP_1","003N8EMH8GTFRCSWKMPXRRL3Y","GSON1112030060")</f>
        <v>#NAME?</v>
      </c>
      <c r="F107" s="3" t="e">
        <f ca="1">[1]!BexGetData("DP_1","003N8EMH8GTFRCSWKMPXRRRFI","GSON1112030060")</f>
        <v>#NAME?</v>
      </c>
      <c r="G107" s="3" t="e">
        <f ca="1">[1]!BexGetData("DP_1","003N8EMH8GTFRCSWKMPXRRXR2","GSON1112030060")</f>
        <v>#NAME?</v>
      </c>
      <c r="H107" s="8" t="e">
        <f ca="1">[1]!BexGetData("DP_1","003N8EMH8GTFRCSWKMPXRS42M","GSON1112030060")</f>
        <v>#NAME?</v>
      </c>
      <c r="I107" s="3" t="e">
        <f ca="1">[1]!BexGetData("DP_1","003N8EMH8GTFRCSWKMPXRSAE6","GSON1112030060")</f>
        <v>#NAME?</v>
      </c>
      <c r="J107" s="4" t="e">
        <f ca="1">[1]!BexGetData("DP_1","003N8EMH8GTFRCSWKMPXRSGPQ","GSON1112030060")</f>
        <v>#NAME?</v>
      </c>
      <c r="K107" s="3" t="e">
        <f ca="1">[1]!BexGetData("DP_1","003N8EMH8GTFRIVNUPY288VJH","GSON1112030060")</f>
        <v>#NAME?</v>
      </c>
      <c r="L107" s="3" t="e">
        <f ca="1">[1]!BexGetData("DP_1","003N8EMH8GTFRIVNUPY2891V1","GSON1112030060")</f>
        <v>#NAME?</v>
      </c>
      <c r="M107" s="8" t="e">
        <f ca="1">[1]!BexGetData("DP_1","003N8EMH8GTFRIVOG7KG9IQXA","GSON1112030060")</f>
        <v>#NAME?</v>
      </c>
      <c r="N107" s="3" t="e">
        <f ca="1">[1]!BexGetData("DP_1","003N8EMH8GTFRIVOG7KG9IX8U","GSON1112030060")</f>
        <v>#NAME?</v>
      </c>
      <c r="O107" s="8" t="e">
        <f ca="1">[1]!BexGetData("DP_1","003N8EMH8GTFRIVOG7KG9J3KE","GSON1112030060")</f>
        <v>#NAME?</v>
      </c>
      <c r="P107" s="3" t="e">
        <f ca="1">[1]!BexGetData("DP_1","003N8EMH8GTFRIVOG7KG9J9VY","GSON1112030060")</f>
        <v>#NAME?</v>
      </c>
      <c r="Q107" s="4" t="e">
        <f ca="1">[1]!BexGetData("DP_1","00O2TNJGODT0G5Z4TTKYMM5MT","GSON1112030060")</f>
        <v>#NAME?</v>
      </c>
      <c r="R107" s="3" t="e">
        <f ca="1">[1]!BexGetData("DP_1","00O2TNJGODT0G5Z4TTKYMMBYD","GSON1112030060")</f>
        <v>#NAME?</v>
      </c>
      <c r="S107" s="3" t="e">
        <f ca="1">[1]!BexGetData("DP_1","00O2TNJGODT0G5Z4TTKYMMI9X","GSON1112030060")</f>
        <v>#NAME?</v>
      </c>
      <c r="T107" s="8" t="e">
        <f ca="1">[1]!BexGetData("DP_1","00O2TNJGODT0G5Z4TTKYMMOLH","GSON1112030060")</f>
        <v>#NAME?</v>
      </c>
      <c r="U107" s="3" t="e">
        <f ca="1">[1]!BexGetData("DP_1","00O2TNJGODT0G5Z4TTKYMMUX1","GSON1112030060")</f>
        <v>#NAME?</v>
      </c>
      <c r="V107" s="8" t="e">
        <f ca="1">[1]!BexGetData("DP_1","00O2TNJGODT0G5Z4TTKYMN18L","GSON1112030060")</f>
        <v>#NAME?</v>
      </c>
      <c r="W107" s="3" t="e">
        <f ca="1">[1]!BexGetData("DP_1","00O2TNJGODT0G5Z4TTKYMN7K5","GSON1112030060")</f>
        <v>#NAME?</v>
      </c>
    </row>
    <row r="108" spans="1:23" x14ac:dyDescent="0.2">
      <c r="A108" s="16" t="s">
        <v>1871</v>
      </c>
      <c r="B108" s="7" t="s">
        <v>756</v>
      </c>
      <c r="C108" s="3" t="e">
        <f ca="1">[1]!BexGetData("DP_1","003N8EMH8GTFRCSWKMPXRR8GU","GSON1112030061")</f>
        <v>#NAME?</v>
      </c>
      <c r="D108" s="3" t="e">
        <f ca="1">[1]!BexGetData("DP_1","003N8EMH8GTFRCSWKMPXRRESE","GSON1112030061")</f>
        <v>#NAME?</v>
      </c>
      <c r="E108" s="8" t="e">
        <f ca="1">[1]!BexGetData("DP_1","003N8EMH8GTFRCSWKMPXRRL3Y","GSON1112030061")</f>
        <v>#NAME?</v>
      </c>
      <c r="F108" s="4" t="e">
        <f ca="1">[1]!BexGetData("DP_1","003N8EMH8GTFRCSWKMPXRRRFI","GSON1112030061")</f>
        <v>#NAME?</v>
      </c>
      <c r="G108" s="4" t="e">
        <f ca="1">[1]!BexGetData("DP_1","003N8EMH8GTFRCSWKMPXRRXR2","GSON1112030061")</f>
        <v>#NAME?</v>
      </c>
      <c r="H108" s="4" t="e">
        <f ca="1">[1]!BexGetData("DP_1","003N8EMH8GTFRCSWKMPXRS42M","GSON1112030061")</f>
        <v>#NAME?</v>
      </c>
      <c r="I108" s="4" t="e">
        <f ca="1">[1]!BexGetData("DP_1","003N8EMH8GTFRCSWKMPXRSAE6","GSON1112030061")</f>
        <v>#NAME?</v>
      </c>
      <c r="J108" s="4" t="e">
        <f ca="1">[1]!BexGetData("DP_1","003N8EMH8GTFRCSWKMPXRSGPQ","GSON1112030061")</f>
        <v>#NAME?</v>
      </c>
      <c r="K108" s="8" t="e">
        <f ca="1">[1]!BexGetData("DP_1","003N8EMH8GTFRIVNUPY288VJH","GSON1112030061")</f>
        <v>#NAME?</v>
      </c>
      <c r="L108" s="8" t="e">
        <f ca="1">[1]!BexGetData("DP_1","003N8EMH8GTFRIVNUPY2891V1","GSON1112030061")</f>
        <v>#NAME?</v>
      </c>
      <c r="M108" s="8" t="e">
        <f ca="1">[1]!BexGetData("DP_1","003N8EMH8GTFRIVOG7KG9IQXA","GSON1112030061")</f>
        <v>#NAME?</v>
      </c>
      <c r="N108" s="8" t="e">
        <f ca="1">[1]!BexGetData("DP_1","003N8EMH8GTFRIVOG7KG9IX8U","GSON1112030061")</f>
        <v>#NAME?</v>
      </c>
      <c r="O108" s="8" t="e">
        <f ca="1">[1]!BexGetData("DP_1","003N8EMH8GTFRIVOG7KG9J3KE","GSON1112030061")</f>
        <v>#NAME?</v>
      </c>
      <c r="P108" s="8" t="e">
        <f ca="1">[1]!BexGetData("DP_1","003N8EMH8GTFRIVOG7KG9J9VY","GSON1112030061")</f>
        <v>#NAME?</v>
      </c>
      <c r="Q108" s="4" t="e">
        <f ca="1">[1]!BexGetData("DP_1","00O2TNJGODT0G5Z4TTKYMM5MT","GSON1112030061")</f>
        <v>#NAME?</v>
      </c>
      <c r="R108" s="4" t="e">
        <f ca="1">[1]!BexGetData("DP_1","00O2TNJGODT0G5Z4TTKYMMBYD","GSON1112030061")</f>
        <v>#NAME?</v>
      </c>
      <c r="S108" s="4" t="e">
        <f ca="1">[1]!BexGetData("DP_1","00O2TNJGODT0G5Z4TTKYMMI9X","GSON1112030061")</f>
        <v>#NAME?</v>
      </c>
      <c r="T108" s="4" t="e">
        <f ca="1">[1]!BexGetData("DP_1","00O2TNJGODT0G5Z4TTKYMMOLH","GSON1112030061")</f>
        <v>#NAME?</v>
      </c>
      <c r="U108" s="4" t="e">
        <f ca="1">[1]!BexGetData("DP_1","00O2TNJGODT0G5Z4TTKYMMUX1","GSON1112030061")</f>
        <v>#NAME?</v>
      </c>
      <c r="V108" s="4" t="e">
        <f ca="1">[1]!BexGetData("DP_1","00O2TNJGODT0G5Z4TTKYMN18L","GSON1112030061")</f>
        <v>#NAME?</v>
      </c>
      <c r="W108" s="4" t="e">
        <f ca="1">[1]!BexGetData("DP_1","00O2TNJGODT0G5Z4TTKYMN7K5","GSON1112030061")</f>
        <v>#NAME?</v>
      </c>
    </row>
    <row r="109" spans="1:23" x14ac:dyDescent="0.2">
      <c r="A109" s="16" t="s">
        <v>1872</v>
      </c>
      <c r="B109" s="7" t="s">
        <v>1873</v>
      </c>
      <c r="C109" s="3" t="e">
        <f ca="1">[1]!BexGetData("DP_1","003N8EMH8GTFRCSWKMPXRR8GU","GSON1112030065")</f>
        <v>#NAME?</v>
      </c>
      <c r="D109" s="3" t="e">
        <f ca="1">[1]!BexGetData("DP_1","003N8EMH8GTFRCSWKMPXRRESE","GSON1112030065")</f>
        <v>#NAME?</v>
      </c>
      <c r="E109" s="8" t="e">
        <f ca="1">[1]!BexGetData("DP_1","003N8EMH8GTFRCSWKMPXRRL3Y","GSON1112030065")</f>
        <v>#NAME?</v>
      </c>
      <c r="F109" s="4" t="e">
        <f ca="1">[1]!BexGetData("DP_1","003N8EMH8GTFRCSWKMPXRRRFI","GSON1112030065")</f>
        <v>#NAME?</v>
      </c>
      <c r="G109" s="4" t="e">
        <f ca="1">[1]!BexGetData("DP_1","003N8EMH8GTFRCSWKMPXRRXR2","GSON1112030065")</f>
        <v>#NAME?</v>
      </c>
      <c r="H109" s="4" t="e">
        <f ca="1">[1]!BexGetData("DP_1","003N8EMH8GTFRCSWKMPXRS42M","GSON1112030065")</f>
        <v>#NAME?</v>
      </c>
      <c r="I109" s="4" t="e">
        <f ca="1">[1]!BexGetData("DP_1","003N8EMH8GTFRCSWKMPXRSAE6","GSON1112030065")</f>
        <v>#NAME?</v>
      </c>
      <c r="J109" s="4" t="e">
        <f ca="1">[1]!BexGetData("DP_1","003N8EMH8GTFRCSWKMPXRSGPQ","GSON1112030065")</f>
        <v>#NAME?</v>
      </c>
      <c r="K109" s="8" t="e">
        <f ca="1">[1]!BexGetData("DP_1","003N8EMH8GTFRIVNUPY288VJH","GSON1112030065")</f>
        <v>#NAME?</v>
      </c>
      <c r="L109" s="8" t="e">
        <f ca="1">[1]!BexGetData("DP_1","003N8EMH8GTFRIVNUPY2891V1","GSON1112030065")</f>
        <v>#NAME?</v>
      </c>
      <c r="M109" s="8" t="e">
        <f ca="1">[1]!BexGetData("DP_1","003N8EMH8GTFRIVOG7KG9IQXA","GSON1112030065")</f>
        <v>#NAME?</v>
      </c>
      <c r="N109" s="8" t="e">
        <f ca="1">[1]!BexGetData("DP_1","003N8EMH8GTFRIVOG7KG9IX8U","GSON1112030065")</f>
        <v>#NAME?</v>
      </c>
      <c r="O109" s="8" t="e">
        <f ca="1">[1]!BexGetData("DP_1","003N8EMH8GTFRIVOG7KG9J3KE","GSON1112030065")</f>
        <v>#NAME?</v>
      </c>
      <c r="P109" s="8" t="e">
        <f ca="1">[1]!BexGetData("DP_1","003N8EMH8GTFRIVOG7KG9J9VY","GSON1112030065")</f>
        <v>#NAME?</v>
      </c>
      <c r="Q109" s="4" t="e">
        <f ca="1">[1]!BexGetData("DP_1","00O2TNJGODT0G5Z4TTKYMM5MT","GSON1112030065")</f>
        <v>#NAME?</v>
      </c>
      <c r="R109" s="4" t="e">
        <f ca="1">[1]!BexGetData("DP_1","00O2TNJGODT0G5Z4TTKYMMBYD","GSON1112030065")</f>
        <v>#NAME?</v>
      </c>
      <c r="S109" s="4" t="e">
        <f ca="1">[1]!BexGetData("DP_1","00O2TNJGODT0G5Z4TTKYMMI9X","GSON1112030065")</f>
        <v>#NAME?</v>
      </c>
      <c r="T109" s="4" t="e">
        <f ca="1">[1]!BexGetData("DP_1","00O2TNJGODT0G5Z4TTKYMMOLH","GSON1112030065")</f>
        <v>#NAME?</v>
      </c>
      <c r="U109" s="4" t="e">
        <f ca="1">[1]!BexGetData("DP_1","00O2TNJGODT0G5Z4TTKYMMUX1","GSON1112030065")</f>
        <v>#NAME?</v>
      </c>
      <c r="V109" s="4" t="e">
        <f ca="1">[1]!BexGetData("DP_1","00O2TNJGODT0G5Z4TTKYMN18L","GSON1112030065")</f>
        <v>#NAME?</v>
      </c>
      <c r="W109" s="4" t="e">
        <f ca="1">[1]!BexGetData("DP_1","00O2TNJGODT0G5Z4TTKYMN7K5","GSON1112030065")</f>
        <v>#NAME?</v>
      </c>
    </row>
    <row r="110" spans="1:23" x14ac:dyDescent="0.2">
      <c r="A110" s="16" t="s">
        <v>1874</v>
      </c>
      <c r="B110" s="7" t="s">
        <v>757</v>
      </c>
      <c r="C110" s="3" t="e">
        <f ca="1">[1]!BexGetData("DP_1","003N8EMH8GTFRCSWKMPXRR8GU","GSON1112030070")</f>
        <v>#NAME?</v>
      </c>
      <c r="D110" s="3" t="e">
        <f ca="1">[1]!BexGetData("DP_1","003N8EMH8GTFRCSWKMPXRRESE","GSON1112030070")</f>
        <v>#NAME?</v>
      </c>
      <c r="E110" s="3" t="e">
        <f ca="1">[1]!BexGetData("DP_1","003N8EMH8GTFRCSWKMPXRRL3Y","GSON1112030070")</f>
        <v>#NAME?</v>
      </c>
      <c r="F110" s="3" t="e">
        <f ca="1">[1]!BexGetData("DP_1","003N8EMH8GTFRCSWKMPXRRRFI","GSON1112030070")</f>
        <v>#NAME?</v>
      </c>
      <c r="G110" s="3" t="e">
        <f ca="1">[1]!BexGetData("DP_1","003N8EMH8GTFRCSWKMPXRRXR2","GSON1112030070")</f>
        <v>#NAME?</v>
      </c>
      <c r="H110" s="8" t="e">
        <f ca="1">[1]!BexGetData("DP_1","003N8EMH8GTFRCSWKMPXRS42M","GSON1112030070")</f>
        <v>#NAME?</v>
      </c>
      <c r="I110" s="3" t="e">
        <f ca="1">[1]!BexGetData("DP_1","003N8EMH8GTFRCSWKMPXRSAE6","GSON1112030070")</f>
        <v>#NAME?</v>
      </c>
      <c r="J110" s="4" t="e">
        <f ca="1">[1]!BexGetData("DP_1","003N8EMH8GTFRCSWKMPXRSGPQ","GSON1112030070")</f>
        <v>#NAME?</v>
      </c>
      <c r="K110" s="3" t="e">
        <f ca="1">[1]!BexGetData("DP_1","003N8EMH8GTFRIVNUPY288VJH","GSON1112030070")</f>
        <v>#NAME?</v>
      </c>
      <c r="L110" s="3" t="e">
        <f ca="1">[1]!BexGetData("DP_1","003N8EMH8GTFRIVNUPY2891V1","GSON1112030070")</f>
        <v>#NAME?</v>
      </c>
      <c r="M110" s="8" t="e">
        <f ca="1">[1]!BexGetData("DP_1","003N8EMH8GTFRIVOG7KG9IQXA","GSON1112030070")</f>
        <v>#NAME?</v>
      </c>
      <c r="N110" s="3" t="e">
        <f ca="1">[1]!BexGetData("DP_1","003N8EMH8GTFRIVOG7KG9IX8U","GSON1112030070")</f>
        <v>#NAME?</v>
      </c>
      <c r="O110" s="8" t="e">
        <f ca="1">[1]!BexGetData("DP_1","003N8EMH8GTFRIVOG7KG9J3KE","GSON1112030070")</f>
        <v>#NAME?</v>
      </c>
      <c r="P110" s="3" t="e">
        <f ca="1">[1]!BexGetData("DP_1","003N8EMH8GTFRIVOG7KG9J9VY","GSON1112030070")</f>
        <v>#NAME?</v>
      </c>
      <c r="Q110" s="4" t="e">
        <f ca="1">[1]!BexGetData("DP_1","00O2TNJGODT0G5Z4TTKYMM5MT","GSON1112030070")</f>
        <v>#NAME?</v>
      </c>
      <c r="R110" s="3" t="e">
        <f ca="1">[1]!BexGetData("DP_1","00O2TNJGODT0G5Z4TTKYMMBYD","GSON1112030070")</f>
        <v>#NAME?</v>
      </c>
      <c r="S110" s="3" t="e">
        <f ca="1">[1]!BexGetData("DP_1","00O2TNJGODT0G5Z4TTKYMMI9X","GSON1112030070")</f>
        <v>#NAME?</v>
      </c>
      <c r="T110" s="8" t="e">
        <f ca="1">[1]!BexGetData("DP_1","00O2TNJGODT0G5Z4TTKYMMOLH","GSON1112030070")</f>
        <v>#NAME?</v>
      </c>
      <c r="U110" s="3" t="e">
        <f ca="1">[1]!BexGetData("DP_1","00O2TNJGODT0G5Z4TTKYMMUX1","GSON1112030070")</f>
        <v>#NAME?</v>
      </c>
      <c r="V110" s="8" t="e">
        <f ca="1">[1]!BexGetData("DP_1","00O2TNJGODT0G5Z4TTKYMN18L","GSON1112030070")</f>
        <v>#NAME?</v>
      </c>
      <c r="W110" s="3" t="e">
        <f ca="1">[1]!BexGetData("DP_1","00O2TNJGODT0G5Z4TTKYMN7K5","GSON1112030070")</f>
        <v>#NAME?</v>
      </c>
    </row>
    <row r="111" spans="1:23" x14ac:dyDescent="0.2">
      <c r="A111" s="16" t="s">
        <v>1875</v>
      </c>
      <c r="B111" s="7" t="s">
        <v>758</v>
      </c>
      <c r="C111" s="3" t="e">
        <f ca="1">[1]!BexGetData("DP_1","003N8EMH8GTFRCSWKMPXRR8GU","GSON1112030071")</f>
        <v>#NAME?</v>
      </c>
      <c r="D111" s="3" t="e">
        <f ca="1">[1]!BexGetData("DP_1","003N8EMH8GTFRCSWKMPXRRESE","GSON1112030071")</f>
        <v>#NAME?</v>
      </c>
      <c r="E111" s="8" t="e">
        <f ca="1">[1]!BexGetData("DP_1","003N8EMH8GTFRCSWKMPXRRL3Y","GSON1112030071")</f>
        <v>#NAME?</v>
      </c>
      <c r="F111" s="4" t="e">
        <f ca="1">[1]!BexGetData("DP_1","003N8EMH8GTFRCSWKMPXRRRFI","GSON1112030071")</f>
        <v>#NAME?</v>
      </c>
      <c r="G111" s="4" t="e">
        <f ca="1">[1]!BexGetData("DP_1","003N8EMH8GTFRCSWKMPXRRXR2","GSON1112030071")</f>
        <v>#NAME?</v>
      </c>
      <c r="H111" s="4" t="e">
        <f ca="1">[1]!BexGetData("DP_1","003N8EMH8GTFRCSWKMPXRS42M","GSON1112030071")</f>
        <v>#NAME?</v>
      </c>
      <c r="I111" s="4" t="e">
        <f ca="1">[1]!BexGetData("DP_1","003N8EMH8GTFRCSWKMPXRSAE6","GSON1112030071")</f>
        <v>#NAME?</v>
      </c>
      <c r="J111" s="4" t="e">
        <f ca="1">[1]!BexGetData("DP_1","003N8EMH8GTFRCSWKMPXRSGPQ","GSON1112030071")</f>
        <v>#NAME?</v>
      </c>
      <c r="K111" s="8" t="e">
        <f ca="1">[1]!BexGetData("DP_1","003N8EMH8GTFRIVNUPY288VJH","GSON1112030071")</f>
        <v>#NAME?</v>
      </c>
      <c r="L111" s="8" t="e">
        <f ca="1">[1]!BexGetData("DP_1","003N8EMH8GTFRIVNUPY2891V1","GSON1112030071")</f>
        <v>#NAME?</v>
      </c>
      <c r="M111" s="8" t="e">
        <f ca="1">[1]!BexGetData("DP_1","003N8EMH8GTFRIVOG7KG9IQXA","GSON1112030071")</f>
        <v>#NAME?</v>
      </c>
      <c r="N111" s="8" t="e">
        <f ca="1">[1]!BexGetData("DP_1","003N8EMH8GTFRIVOG7KG9IX8U","GSON1112030071")</f>
        <v>#NAME?</v>
      </c>
      <c r="O111" s="8" t="e">
        <f ca="1">[1]!BexGetData("DP_1","003N8EMH8GTFRIVOG7KG9J3KE","GSON1112030071")</f>
        <v>#NAME?</v>
      </c>
      <c r="P111" s="8" t="e">
        <f ca="1">[1]!BexGetData("DP_1","003N8EMH8GTFRIVOG7KG9J9VY","GSON1112030071")</f>
        <v>#NAME?</v>
      </c>
      <c r="Q111" s="4" t="e">
        <f ca="1">[1]!BexGetData("DP_1","00O2TNJGODT0G5Z4TTKYMM5MT","GSON1112030071")</f>
        <v>#NAME?</v>
      </c>
      <c r="R111" s="4" t="e">
        <f ca="1">[1]!BexGetData("DP_1","00O2TNJGODT0G5Z4TTKYMMBYD","GSON1112030071")</f>
        <v>#NAME?</v>
      </c>
      <c r="S111" s="4" t="e">
        <f ca="1">[1]!BexGetData("DP_1","00O2TNJGODT0G5Z4TTKYMMI9X","GSON1112030071")</f>
        <v>#NAME?</v>
      </c>
      <c r="T111" s="4" t="e">
        <f ca="1">[1]!BexGetData("DP_1","00O2TNJGODT0G5Z4TTKYMMOLH","GSON1112030071")</f>
        <v>#NAME?</v>
      </c>
      <c r="U111" s="4" t="e">
        <f ca="1">[1]!BexGetData("DP_1","00O2TNJGODT0G5Z4TTKYMMUX1","GSON1112030071")</f>
        <v>#NAME?</v>
      </c>
      <c r="V111" s="4" t="e">
        <f ca="1">[1]!BexGetData("DP_1","00O2TNJGODT0G5Z4TTKYMN18L","GSON1112030071")</f>
        <v>#NAME?</v>
      </c>
      <c r="W111" s="4" t="e">
        <f ca="1">[1]!BexGetData("DP_1","00O2TNJGODT0G5Z4TTKYMN7K5","GSON1112030071")</f>
        <v>#NAME?</v>
      </c>
    </row>
    <row r="112" spans="1:23" x14ac:dyDescent="0.2">
      <c r="A112" s="16" t="s">
        <v>1876</v>
      </c>
      <c r="B112" s="7" t="s">
        <v>1877</v>
      </c>
      <c r="C112" s="3" t="e">
        <f ca="1">[1]!BexGetData("DP_1","003N8EMH8GTFRCSWKMPXRR8GU","GSON1112030075")</f>
        <v>#NAME?</v>
      </c>
      <c r="D112" s="3" t="e">
        <f ca="1">[1]!BexGetData("DP_1","003N8EMH8GTFRCSWKMPXRRESE","GSON1112030075")</f>
        <v>#NAME?</v>
      </c>
      <c r="E112" s="8" t="e">
        <f ca="1">[1]!BexGetData("DP_1","003N8EMH8GTFRCSWKMPXRRL3Y","GSON1112030075")</f>
        <v>#NAME?</v>
      </c>
      <c r="F112" s="4" t="e">
        <f ca="1">[1]!BexGetData("DP_1","003N8EMH8GTFRCSWKMPXRRRFI","GSON1112030075")</f>
        <v>#NAME?</v>
      </c>
      <c r="G112" s="4" t="e">
        <f ca="1">[1]!BexGetData("DP_1","003N8EMH8GTFRCSWKMPXRRXR2","GSON1112030075")</f>
        <v>#NAME?</v>
      </c>
      <c r="H112" s="4" t="e">
        <f ca="1">[1]!BexGetData("DP_1","003N8EMH8GTFRCSWKMPXRS42M","GSON1112030075")</f>
        <v>#NAME?</v>
      </c>
      <c r="I112" s="4" t="e">
        <f ca="1">[1]!BexGetData("DP_1","003N8EMH8GTFRCSWKMPXRSAE6","GSON1112030075")</f>
        <v>#NAME?</v>
      </c>
      <c r="J112" s="4" t="e">
        <f ca="1">[1]!BexGetData("DP_1","003N8EMH8GTFRCSWKMPXRSGPQ","GSON1112030075")</f>
        <v>#NAME?</v>
      </c>
      <c r="K112" s="8" t="e">
        <f ca="1">[1]!BexGetData("DP_1","003N8EMH8GTFRIVNUPY288VJH","GSON1112030075")</f>
        <v>#NAME?</v>
      </c>
      <c r="L112" s="8" t="e">
        <f ca="1">[1]!BexGetData("DP_1","003N8EMH8GTFRIVNUPY2891V1","GSON1112030075")</f>
        <v>#NAME?</v>
      </c>
      <c r="M112" s="8" t="e">
        <f ca="1">[1]!BexGetData("DP_1","003N8EMH8GTFRIVOG7KG9IQXA","GSON1112030075")</f>
        <v>#NAME?</v>
      </c>
      <c r="N112" s="8" t="e">
        <f ca="1">[1]!BexGetData("DP_1","003N8EMH8GTFRIVOG7KG9IX8U","GSON1112030075")</f>
        <v>#NAME?</v>
      </c>
      <c r="O112" s="8" t="e">
        <f ca="1">[1]!BexGetData("DP_1","003N8EMH8GTFRIVOG7KG9J3KE","GSON1112030075")</f>
        <v>#NAME?</v>
      </c>
      <c r="P112" s="8" t="e">
        <f ca="1">[1]!BexGetData("DP_1","003N8EMH8GTFRIVOG7KG9J9VY","GSON1112030075")</f>
        <v>#NAME?</v>
      </c>
      <c r="Q112" s="4" t="e">
        <f ca="1">[1]!BexGetData("DP_1","00O2TNJGODT0G5Z4TTKYMM5MT","GSON1112030075")</f>
        <v>#NAME?</v>
      </c>
      <c r="R112" s="4" t="e">
        <f ca="1">[1]!BexGetData("DP_1","00O2TNJGODT0G5Z4TTKYMMBYD","GSON1112030075")</f>
        <v>#NAME?</v>
      </c>
      <c r="S112" s="4" t="e">
        <f ca="1">[1]!BexGetData("DP_1","00O2TNJGODT0G5Z4TTKYMMI9X","GSON1112030075")</f>
        <v>#NAME?</v>
      </c>
      <c r="T112" s="4" t="e">
        <f ca="1">[1]!BexGetData("DP_1","00O2TNJGODT0G5Z4TTKYMMOLH","GSON1112030075")</f>
        <v>#NAME?</v>
      </c>
      <c r="U112" s="4" t="e">
        <f ca="1">[1]!BexGetData("DP_1","00O2TNJGODT0G5Z4TTKYMMUX1","GSON1112030075")</f>
        <v>#NAME?</v>
      </c>
      <c r="V112" s="4" t="e">
        <f ca="1">[1]!BexGetData("DP_1","00O2TNJGODT0G5Z4TTKYMN18L","GSON1112030075")</f>
        <v>#NAME?</v>
      </c>
      <c r="W112" s="4" t="e">
        <f ca="1">[1]!BexGetData("DP_1","00O2TNJGODT0G5Z4TTKYMN7K5","GSON1112030075")</f>
        <v>#NAME?</v>
      </c>
    </row>
    <row r="113" spans="1:23" x14ac:dyDescent="0.2">
      <c r="A113" s="16" t="s">
        <v>1878</v>
      </c>
      <c r="B113" s="7" t="s">
        <v>759</v>
      </c>
      <c r="C113" s="3" t="e">
        <f ca="1">[1]!BexGetData("DP_1","003N8EMH8GTFRCSWKMPXRR8GU","GSON1112030080")</f>
        <v>#NAME?</v>
      </c>
      <c r="D113" s="8" t="e">
        <f ca="1">[1]!BexGetData("DP_1","003N8EMH8GTFRCSWKMPXRRESE","GSON1112030080")</f>
        <v>#NAME?</v>
      </c>
      <c r="E113" s="3" t="e">
        <f ca="1">[1]!BexGetData("DP_1","003N8EMH8GTFRCSWKMPXRRL3Y","GSON1112030080")</f>
        <v>#NAME?</v>
      </c>
      <c r="F113" s="3" t="e">
        <f ca="1">[1]!BexGetData("DP_1","003N8EMH8GTFRCSWKMPXRRRFI","GSON1112030080")</f>
        <v>#NAME?</v>
      </c>
      <c r="G113" s="3" t="e">
        <f ca="1">[1]!BexGetData("DP_1","003N8EMH8GTFRCSWKMPXRRXR2","GSON1112030080")</f>
        <v>#NAME?</v>
      </c>
      <c r="H113" s="8" t="e">
        <f ca="1">[1]!BexGetData("DP_1","003N8EMH8GTFRCSWKMPXRS42M","GSON1112030080")</f>
        <v>#NAME?</v>
      </c>
      <c r="I113" s="3" t="e">
        <f ca="1">[1]!BexGetData("DP_1","003N8EMH8GTFRCSWKMPXRSAE6","GSON1112030080")</f>
        <v>#NAME?</v>
      </c>
      <c r="J113" s="4" t="e">
        <f ca="1">[1]!BexGetData("DP_1","003N8EMH8GTFRCSWKMPXRSGPQ","GSON1112030080")</f>
        <v>#NAME?</v>
      </c>
      <c r="K113" s="3" t="e">
        <f ca="1">[1]!BexGetData("DP_1","003N8EMH8GTFRIVNUPY288VJH","GSON1112030080")</f>
        <v>#NAME?</v>
      </c>
      <c r="L113" s="3" t="e">
        <f ca="1">[1]!BexGetData("DP_1","003N8EMH8GTFRIVNUPY2891V1","GSON1112030080")</f>
        <v>#NAME?</v>
      </c>
      <c r="M113" s="8" t="e">
        <f ca="1">[1]!BexGetData("DP_1","003N8EMH8GTFRIVOG7KG9IQXA","GSON1112030080")</f>
        <v>#NAME?</v>
      </c>
      <c r="N113" s="3" t="e">
        <f ca="1">[1]!BexGetData("DP_1","003N8EMH8GTFRIVOG7KG9IX8U","GSON1112030080")</f>
        <v>#NAME?</v>
      </c>
      <c r="O113" s="8" t="e">
        <f ca="1">[1]!BexGetData("DP_1","003N8EMH8GTFRIVOG7KG9J3KE","GSON1112030080")</f>
        <v>#NAME?</v>
      </c>
      <c r="P113" s="3" t="e">
        <f ca="1">[1]!BexGetData("DP_1","003N8EMH8GTFRIVOG7KG9J9VY","GSON1112030080")</f>
        <v>#NAME?</v>
      </c>
      <c r="Q113" s="4" t="e">
        <f ca="1">[1]!BexGetData("DP_1","00O2TNJGODT0G5Z4TTKYMM5MT","GSON1112030080")</f>
        <v>#NAME?</v>
      </c>
      <c r="R113" s="3" t="e">
        <f ca="1">[1]!BexGetData("DP_1","00O2TNJGODT0G5Z4TTKYMMBYD","GSON1112030080")</f>
        <v>#NAME?</v>
      </c>
      <c r="S113" s="3" t="e">
        <f ca="1">[1]!BexGetData("DP_1","00O2TNJGODT0G5Z4TTKYMMI9X","GSON1112030080")</f>
        <v>#NAME?</v>
      </c>
      <c r="T113" s="8" t="e">
        <f ca="1">[1]!BexGetData("DP_1","00O2TNJGODT0G5Z4TTKYMMOLH","GSON1112030080")</f>
        <v>#NAME?</v>
      </c>
      <c r="U113" s="3" t="e">
        <f ca="1">[1]!BexGetData("DP_1","00O2TNJGODT0G5Z4TTKYMMUX1","GSON1112030080")</f>
        <v>#NAME?</v>
      </c>
      <c r="V113" s="8" t="e">
        <f ca="1">[1]!BexGetData("DP_1","00O2TNJGODT0G5Z4TTKYMN18L","GSON1112030080")</f>
        <v>#NAME?</v>
      </c>
      <c r="W113" s="3" t="e">
        <f ca="1">[1]!BexGetData("DP_1","00O2TNJGODT0G5Z4TTKYMN7K5","GSON1112030080")</f>
        <v>#NAME?</v>
      </c>
    </row>
    <row r="114" spans="1:23" x14ac:dyDescent="0.2">
      <c r="A114" s="16" t="s">
        <v>1879</v>
      </c>
      <c r="B114" s="7" t="s">
        <v>760</v>
      </c>
      <c r="C114" s="3" t="e">
        <f ca="1">[1]!BexGetData("DP_1","003N8EMH8GTFRCSWKMPXRR8GU","GSON1112030081")</f>
        <v>#NAME?</v>
      </c>
      <c r="D114" s="3" t="e">
        <f ca="1">[1]!BexGetData("DP_1","003N8EMH8GTFRCSWKMPXRRESE","GSON1112030081")</f>
        <v>#NAME?</v>
      </c>
      <c r="E114" s="8" t="e">
        <f ca="1">[1]!BexGetData("DP_1","003N8EMH8GTFRCSWKMPXRRL3Y","GSON1112030081")</f>
        <v>#NAME?</v>
      </c>
      <c r="F114" s="4" t="e">
        <f ca="1">[1]!BexGetData("DP_1","003N8EMH8GTFRCSWKMPXRRRFI","GSON1112030081")</f>
        <v>#NAME?</v>
      </c>
      <c r="G114" s="4" t="e">
        <f ca="1">[1]!BexGetData("DP_1","003N8EMH8GTFRCSWKMPXRRXR2","GSON1112030081")</f>
        <v>#NAME?</v>
      </c>
      <c r="H114" s="4" t="e">
        <f ca="1">[1]!BexGetData("DP_1","003N8EMH8GTFRCSWKMPXRS42M","GSON1112030081")</f>
        <v>#NAME?</v>
      </c>
      <c r="I114" s="4" t="e">
        <f ca="1">[1]!BexGetData("DP_1","003N8EMH8GTFRCSWKMPXRSAE6","GSON1112030081")</f>
        <v>#NAME?</v>
      </c>
      <c r="J114" s="4" t="e">
        <f ca="1">[1]!BexGetData("DP_1","003N8EMH8GTFRCSWKMPXRSGPQ","GSON1112030081")</f>
        <v>#NAME?</v>
      </c>
      <c r="K114" s="8" t="e">
        <f ca="1">[1]!BexGetData("DP_1","003N8EMH8GTFRIVNUPY288VJH","GSON1112030081")</f>
        <v>#NAME?</v>
      </c>
      <c r="L114" s="8" t="e">
        <f ca="1">[1]!BexGetData("DP_1","003N8EMH8GTFRIVNUPY2891V1","GSON1112030081")</f>
        <v>#NAME?</v>
      </c>
      <c r="M114" s="8" t="e">
        <f ca="1">[1]!BexGetData("DP_1","003N8EMH8GTFRIVOG7KG9IQXA","GSON1112030081")</f>
        <v>#NAME?</v>
      </c>
      <c r="N114" s="8" t="e">
        <f ca="1">[1]!BexGetData("DP_1","003N8EMH8GTFRIVOG7KG9IX8U","GSON1112030081")</f>
        <v>#NAME?</v>
      </c>
      <c r="O114" s="8" t="e">
        <f ca="1">[1]!BexGetData("DP_1","003N8EMH8GTFRIVOG7KG9J3KE","GSON1112030081")</f>
        <v>#NAME?</v>
      </c>
      <c r="P114" s="8" t="e">
        <f ca="1">[1]!BexGetData("DP_1","003N8EMH8GTFRIVOG7KG9J9VY","GSON1112030081")</f>
        <v>#NAME?</v>
      </c>
      <c r="Q114" s="4" t="e">
        <f ca="1">[1]!BexGetData("DP_1","00O2TNJGODT0G5Z4TTKYMM5MT","GSON1112030081")</f>
        <v>#NAME?</v>
      </c>
      <c r="R114" s="4" t="e">
        <f ca="1">[1]!BexGetData("DP_1","00O2TNJGODT0G5Z4TTKYMMBYD","GSON1112030081")</f>
        <v>#NAME?</v>
      </c>
      <c r="S114" s="4" t="e">
        <f ca="1">[1]!BexGetData("DP_1","00O2TNJGODT0G5Z4TTKYMMI9X","GSON1112030081")</f>
        <v>#NAME?</v>
      </c>
      <c r="T114" s="4" t="e">
        <f ca="1">[1]!BexGetData("DP_1","00O2TNJGODT0G5Z4TTKYMMOLH","GSON1112030081")</f>
        <v>#NAME?</v>
      </c>
      <c r="U114" s="4" t="e">
        <f ca="1">[1]!BexGetData("DP_1","00O2TNJGODT0G5Z4TTKYMMUX1","GSON1112030081")</f>
        <v>#NAME?</v>
      </c>
      <c r="V114" s="4" t="e">
        <f ca="1">[1]!BexGetData("DP_1","00O2TNJGODT0G5Z4TTKYMN18L","GSON1112030081")</f>
        <v>#NAME?</v>
      </c>
      <c r="W114" s="4" t="e">
        <f ca="1">[1]!BexGetData("DP_1","00O2TNJGODT0G5Z4TTKYMN7K5","GSON1112030081")</f>
        <v>#NAME?</v>
      </c>
    </row>
    <row r="115" spans="1:23" x14ac:dyDescent="0.2">
      <c r="A115" s="16" t="s">
        <v>1880</v>
      </c>
      <c r="B115" s="7" t="s">
        <v>1881</v>
      </c>
      <c r="C115" s="3" t="e">
        <f ca="1">[1]!BexGetData("DP_1","003N8EMH8GTFRCSWKMPXRR8GU","GSON1112030085")</f>
        <v>#NAME?</v>
      </c>
      <c r="D115" s="3" t="e">
        <f ca="1">[1]!BexGetData("DP_1","003N8EMH8GTFRCSWKMPXRRESE","GSON1112030085")</f>
        <v>#NAME?</v>
      </c>
      <c r="E115" s="8" t="e">
        <f ca="1">[1]!BexGetData("DP_1","003N8EMH8GTFRCSWKMPXRRL3Y","GSON1112030085")</f>
        <v>#NAME?</v>
      </c>
      <c r="F115" s="4" t="e">
        <f ca="1">[1]!BexGetData("DP_1","003N8EMH8GTFRCSWKMPXRRRFI","GSON1112030085")</f>
        <v>#NAME?</v>
      </c>
      <c r="G115" s="4" t="e">
        <f ca="1">[1]!BexGetData("DP_1","003N8EMH8GTFRCSWKMPXRRXR2","GSON1112030085")</f>
        <v>#NAME?</v>
      </c>
      <c r="H115" s="4" t="e">
        <f ca="1">[1]!BexGetData("DP_1","003N8EMH8GTFRCSWKMPXRS42M","GSON1112030085")</f>
        <v>#NAME?</v>
      </c>
      <c r="I115" s="4" t="e">
        <f ca="1">[1]!BexGetData("DP_1","003N8EMH8GTFRCSWKMPXRSAE6","GSON1112030085")</f>
        <v>#NAME?</v>
      </c>
      <c r="J115" s="4" t="e">
        <f ca="1">[1]!BexGetData("DP_1","003N8EMH8GTFRCSWKMPXRSGPQ","GSON1112030085")</f>
        <v>#NAME?</v>
      </c>
      <c r="K115" s="8" t="e">
        <f ca="1">[1]!BexGetData("DP_1","003N8EMH8GTFRIVNUPY288VJH","GSON1112030085")</f>
        <v>#NAME?</v>
      </c>
      <c r="L115" s="8" t="e">
        <f ca="1">[1]!BexGetData("DP_1","003N8EMH8GTFRIVNUPY2891V1","GSON1112030085")</f>
        <v>#NAME?</v>
      </c>
      <c r="M115" s="8" t="e">
        <f ca="1">[1]!BexGetData("DP_1","003N8EMH8GTFRIVOG7KG9IQXA","GSON1112030085")</f>
        <v>#NAME?</v>
      </c>
      <c r="N115" s="8" t="e">
        <f ca="1">[1]!BexGetData("DP_1","003N8EMH8GTFRIVOG7KG9IX8U","GSON1112030085")</f>
        <v>#NAME?</v>
      </c>
      <c r="O115" s="8" t="e">
        <f ca="1">[1]!BexGetData("DP_1","003N8EMH8GTFRIVOG7KG9J3KE","GSON1112030085")</f>
        <v>#NAME?</v>
      </c>
      <c r="P115" s="8" t="e">
        <f ca="1">[1]!BexGetData("DP_1","003N8EMH8GTFRIVOG7KG9J9VY","GSON1112030085")</f>
        <v>#NAME?</v>
      </c>
      <c r="Q115" s="4" t="e">
        <f ca="1">[1]!BexGetData("DP_1","00O2TNJGODT0G5Z4TTKYMM5MT","GSON1112030085")</f>
        <v>#NAME?</v>
      </c>
      <c r="R115" s="4" t="e">
        <f ca="1">[1]!BexGetData("DP_1","00O2TNJGODT0G5Z4TTKYMMBYD","GSON1112030085")</f>
        <v>#NAME?</v>
      </c>
      <c r="S115" s="4" t="e">
        <f ca="1">[1]!BexGetData("DP_1","00O2TNJGODT0G5Z4TTKYMMI9X","GSON1112030085")</f>
        <v>#NAME?</v>
      </c>
      <c r="T115" s="4" t="e">
        <f ca="1">[1]!BexGetData("DP_1","00O2TNJGODT0G5Z4TTKYMMOLH","GSON1112030085")</f>
        <v>#NAME?</v>
      </c>
      <c r="U115" s="4" t="e">
        <f ca="1">[1]!BexGetData("DP_1","00O2TNJGODT0G5Z4TTKYMMUX1","GSON1112030085")</f>
        <v>#NAME?</v>
      </c>
      <c r="V115" s="4" t="e">
        <f ca="1">[1]!BexGetData("DP_1","00O2TNJGODT0G5Z4TTKYMN18L","GSON1112030085")</f>
        <v>#NAME?</v>
      </c>
      <c r="W115" s="4" t="e">
        <f ca="1">[1]!BexGetData("DP_1","00O2TNJGODT0G5Z4TTKYMN7K5","GSON1112030085")</f>
        <v>#NAME?</v>
      </c>
    </row>
    <row r="116" spans="1:23" x14ac:dyDescent="0.2">
      <c r="A116" s="16" t="s">
        <v>1882</v>
      </c>
      <c r="B116" s="7" t="s">
        <v>761</v>
      </c>
      <c r="C116" s="3" t="e">
        <f ca="1">[1]!BexGetData("DP_1","003N8EMH8GTFRCSWKMPXRR8GU","GSON1112030090")</f>
        <v>#NAME?</v>
      </c>
      <c r="D116" s="8" t="e">
        <f ca="1">[1]!BexGetData("DP_1","003N8EMH8GTFRCSWKMPXRRESE","GSON1112030090")</f>
        <v>#NAME?</v>
      </c>
      <c r="E116" s="3" t="e">
        <f ca="1">[1]!BexGetData("DP_1","003N8EMH8GTFRCSWKMPXRRL3Y","GSON1112030090")</f>
        <v>#NAME?</v>
      </c>
      <c r="F116" s="3" t="e">
        <f ca="1">[1]!BexGetData("DP_1","003N8EMH8GTFRCSWKMPXRRRFI","GSON1112030090")</f>
        <v>#NAME?</v>
      </c>
      <c r="G116" s="3" t="e">
        <f ca="1">[1]!BexGetData("DP_1","003N8EMH8GTFRCSWKMPXRRXR2","GSON1112030090")</f>
        <v>#NAME?</v>
      </c>
      <c r="H116" s="8" t="e">
        <f ca="1">[1]!BexGetData("DP_1","003N8EMH8GTFRCSWKMPXRS42M","GSON1112030090")</f>
        <v>#NAME?</v>
      </c>
      <c r="I116" s="3" t="e">
        <f ca="1">[1]!BexGetData("DP_1","003N8EMH8GTFRCSWKMPXRSAE6","GSON1112030090")</f>
        <v>#NAME?</v>
      </c>
      <c r="J116" s="4" t="e">
        <f ca="1">[1]!BexGetData("DP_1","003N8EMH8GTFRCSWKMPXRSGPQ","GSON1112030090")</f>
        <v>#NAME?</v>
      </c>
      <c r="K116" s="3" t="e">
        <f ca="1">[1]!BexGetData("DP_1","003N8EMH8GTFRIVNUPY288VJH","GSON1112030090")</f>
        <v>#NAME?</v>
      </c>
      <c r="L116" s="3" t="e">
        <f ca="1">[1]!BexGetData("DP_1","003N8EMH8GTFRIVNUPY2891V1","GSON1112030090")</f>
        <v>#NAME?</v>
      </c>
      <c r="M116" s="8" t="e">
        <f ca="1">[1]!BexGetData("DP_1","003N8EMH8GTFRIVOG7KG9IQXA","GSON1112030090")</f>
        <v>#NAME?</v>
      </c>
      <c r="N116" s="3" t="e">
        <f ca="1">[1]!BexGetData("DP_1","003N8EMH8GTFRIVOG7KG9IX8U","GSON1112030090")</f>
        <v>#NAME?</v>
      </c>
      <c r="O116" s="8" t="e">
        <f ca="1">[1]!BexGetData("DP_1","003N8EMH8GTFRIVOG7KG9J3KE","GSON1112030090")</f>
        <v>#NAME?</v>
      </c>
      <c r="P116" s="3" t="e">
        <f ca="1">[1]!BexGetData("DP_1","003N8EMH8GTFRIVOG7KG9J9VY","GSON1112030090")</f>
        <v>#NAME?</v>
      </c>
      <c r="Q116" s="4" t="e">
        <f ca="1">[1]!BexGetData("DP_1","00O2TNJGODT0G5Z4TTKYMM5MT","GSON1112030090")</f>
        <v>#NAME?</v>
      </c>
      <c r="R116" s="3" t="e">
        <f ca="1">[1]!BexGetData("DP_1","00O2TNJGODT0G5Z4TTKYMMBYD","GSON1112030090")</f>
        <v>#NAME?</v>
      </c>
      <c r="S116" s="3" t="e">
        <f ca="1">[1]!BexGetData("DP_1","00O2TNJGODT0G5Z4TTKYMMI9X","GSON1112030090")</f>
        <v>#NAME?</v>
      </c>
      <c r="T116" s="8" t="e">
        <f ca="1">[1]!BexGetData("DP_1","00O2TNJGODT0G5Z4TTKYMMOLH","GSON1112030090")</f>
        <v>#NAME?</v>
      </c>
      <c r="U116" s="3" t="e">
        <f ca="1">[1]!BexGetData("DP_1","00O2TNJGODT0G5Z4TTKYMMUX1","GSON1112030090")</f>
        <v>#NAME?</v>
      </c>
      <c r="V116" s="8" t="e">
        <f ca="1">[1]!BexGetData("DP_1","00O2TNJGODT0G5Z4TTKYMN18L","GSON1112030090")</f>
        <v>#NAME?</v>
      </c>
      <c r="W116" s="3" t="e">
        <f ca="1">[1]!BexGetData("DP_1","00O2TNJGODT0G5Z4TTKYMN7K5","GSON1112030090")</f>
        <v>#NAME?</v>
      </c>
    </row>
    <row r="117" spans="1:23" x14ac:dyDescent="0.2">
      <c r="A117" s="16" t="s">
        <v>1883</v>
      </c>
      <c r="B117" s="7" t="s">
        <v>644</v>
      </c>
      <c r="C117" s="3" t="e">
        <f ca="1">[1]!BexGetData("DP_1","003N8EMH8GTFRCSWKMPXRR8GU","GSON1112030091")</f>
        <v>#NAME?</v>
      </c>
      <c r="D117" s="3" t="e">
        <f ca="1">[1]!BexGetData("DP_1","003N8EMH8GTFRCSWKMPXRRESE","GSON1112030091")</f>
        <v>#NAME?</v>
      </c>
      <c r="E117" s="8" t="e">
        <f ca="1">[1]!BexGetData("DP_1","003N8EMH8GTFRCSWKMPXRRL3Y","GSON1112030091")</f>
        <v>#NAME?</v>
      </c>
      <c r="F117" s="4" t="e">
        <f ca="1">[1]!BexGetData("DP_1","003N8EMH8GTFRCSWKMPXRRRFI","GSON1112030091")</f>
        <v>#NAME?</v>
      </c>
      <c r="G117" s="4" t="e">
        <f ca="1">[1]!BexGetData("DP_1","003N8EMH8GTFRCSWKMPXRRXR2","GSON1112030091")</f>
        <v>#NAME?</v>
      </c>
      <c r="H117" s="4" t="e">
        <f ca="1">[1]!BexGetData("DP_1","003N8EMH8GTFRCSWKMPXRS42M","GSON1112030091")</f>
        <v>#NAME?</v>
      </c>
      <c r="I117" s="4" t="e">
        <f ca="1">[1]!BexGetData("DP_1","003N8EMH8GTFRCSWKMPXRSAE6","GSON1112030091")</f>
        <v>#NAME?</v>
      </c>
      <c r="J117" s="4" t="e">
        <f ca="1">[1]!BexGetData("DP_1","003N8EMH8GTFRCSWKMPXRSGPQ","GSON1112030091")</f>
        <v>#NAME?</v>
      </c>
      <c r="K117" s="8" t="e">
        <f ca="1">[1]!BexGetData("DP_1","003N8EMH8GTFRIVNUPY288VJH","GSON1112030091")</f>
        <v>#NAME?</v>
      </c>
      <c r="L117" s="8" t="e">
        <f ca="1">[1]!BexGetData("DP_1","003N8EMH8GTFRIVNUPY2891V1","GSON1112030091")</f>
        <v>#NAME?</v>
      </c>
      <c r="M117" s="8" t="e">
        <f ca="1">[1]!BexGetData("DP_1","003N8EMH8GTFRIVOG7KG9IQXA","GSON1112030091")</f>
        <v>#NAME?</v>
      </c>
      <c r="N117" s="8" t="e">
        <f ca="1">[1]!BexGetData("DP_1","003N8EMH8GTFRIVOG7KG9IX8U","GSON1112030091")</f>
        <v>#NAME?</v>
      </c>
      <c r="O117" s="8" t="e">
        <f ca="1">[1]!BexGetData("DP_1","003N8EMH8GTFRIVOG7KG9J3KE","GSON1112030091")</f>
        <v>#NAME?</v>
      </c>
      <c r="P117" s="8" t="e">
        <f ca="1">[1]!BexGetData("DP_1","003N8EMH8GTFRIVOG7KG9J9VY","GSON1112030091")</f>
        <v>#NAME?</v>
      </c>
      <c r="Q117" s="4" t="e">
        <f ca="1">[1]!BexGetData("DP_1","00O2TNJGODT0G5Z4TTKYMM5MT","GSON1112030091")</f>
        <v>#NAME?</v>
      </c>
      <c r="R117" s="4" t="e">
        <f ca="1">[1]!BexGetData("DP_1","00O2TNJGODT0G5Z4TTKYMMBYD","GSON1112030091")</f>
        <v>#NAME?</v>
      </c>
      <c r="S117" s="4" t="e">
        <f ca="1">[1]!BexGetData("DP_1","00O2TNJGODT0G5Z4TTKYMMI9X","GSON1112030091")</f>
        <v>#NAME?</v>
      </c>
      <c r="T117" s="4" t="e">
        <f ca="1">[1]!BexGetData("DP_1","00O2TNJGODT0G5Z4TTKYMMOLH","GSON1112030091")</f>
        <v>#NAME?</v>
      </c>
      <c r="U117" s="4" t="e">
        <f ca="1">[1]!BexGetData("DP_1","00O2TNJGODT0G5Z4TTKYMMUX1","GSON1112030091")</f>
        <v>#NAME?</v>
      </c>
      <c r="V117" s="4" t="e">
        <f ca="1">[1]!BexGetData("DP_1","00O2TNJGODT0G5Z4TTKYMN18L","GSON1112030091")</f>
        <v>#NAME?</v>
      </c>
      <c r="W117" s="4" t="e">
        <f ca="1">[1]!BexGetData("DP_1","00O2TNJGODT0G5Z4TTKYMN7K5","GSON1112030091")</f>
        <v>#NAME?</v>
      </c>
    </row>
    <row r="118" spans="1:23" x14ac:dyDescent="0.2">
      <c r="A118" s="16" t="s">
        <v>1884</v>
      </c>
      <c r="B118" s="7" t="s">
        <v>1885</v>
      </c>
      <c r="C118" s="3" t="e">
        <f ca="1">[1]!BexGetData("DP_1","003N8EMH8GTFRCSWKMPXRR8GU","GSON1112030095")</f>
        <v>#NAME?</v>
      </c>
      <c r="D118" s="3" t="e">
        <f ca="1">[1]!BexGetData("DP_1","003N8EMH8GTFRCSWKMPXRRESE","GSON1112030095")</f>
        <v>#NAME?</v>
      </c>
      <c r="E118" s="8" t="e">
        <f ca="1">[1]!BexGetData("DP_1","003N8EMH8GTFRCSWKMPXRRL3Y","GSON1112030095")</f>
        <v>#NAME?</v>
      </c>
      <c r="F118" s="4" t="e">
        <f ca="1">[1]!BexGetData("DP_1","003N8EMH8GTFRCSWKMPXRRRFI","GSON1112030095")</f>
        <v>#NAME?</v>
      </c>
      <c r="G118" s="4" t="e">
        <f ca="1">[1]!BexGetData("DP_1","003N8EMH8GTFRCSWKMPXRRXR2","GSON1112030095")</f>
        <v>#NAME?</v>
      </c>
      <c r="H118" s="4" t="e">
        <f ca="1">[1]!BexGetData("DP_1","003N8EMH8GTFRCSWKMPXRS42M","GSON1112030095")</f>
        <v>#NAME?</v>
      </c>
      <c r="I118" s="4" t="e">
        <f ca="1">[1]!BexGetData("DP_1","003N8EMH8GTFRCSWKMPXRSAE6","GSON1112030095")</f>
        <v>#NAME?</v>
      </c>
      <c r="J118" s="4" t="e">
        <f ca="1">[1]!BexGetData("DP_1","003N8EMH8GTFRCSWKMPXRSGPQ","GSON1112030095")</f>
        <v>#NAME?</v>
      </c>
      <c r="K118" s="8" t="e">
        <f ca="1">[1]!BexGetData("DP_1","003N8EMH8GTFRIVNUPY288VJH","GSON1112030095")</f>
        <v>#NAME?</v>
      </c>
      <c r="L118" s="8" t="e">
        <f ca="1">[1]!BexGetData("DP_1","003N8EMH8GTFRIVNUPY2891V1","GSON1112030095")</f>
        <v>#NAME?</v>
      </c>
      <c r="M118" s="8" t="e">
        <f ca="1">[1]!BexGetData("DP_1","003N8EMH8GTFRIVOG7KG9IQXA","GSON1112030095")</f>
        <v>#NAME?</v>
      </c>
      <c r="N118" s="8" t="e">
        <f ca="1">[1]!BexGetData("DP_1","003N8EMH8GTFRIVOG7KG9IX8U","GSON1112030095")</f>
        <v>#NAME?</v>
      </c>
      <c r="O118" s="8" t="e">
        <f ca="1">[1]!BexGetData("DP_1","003N8EMH8GTFRIVOG7KG9J3KE","GSON1112030095")</f>
        <v>#NAME?</v>
      </c>
      <c r="P118" s="8" t="e">
        <f ca="1">[1]!BexGetData("DP_1","003N8EMH8GTFRIVOG7KG9J9VY","GSON1112030095")</f>
        <v>#NAME?</v>
      </c>
      <c r="Q118" s="4" t="e">
        <f ca="1">[1]!BexGetData("DP_1","00O2TNJGODT0G5Z4TTKYMM5MT","GSON1112030095")</f>
        <v>#NAME?</v>
      </c>
      <c r="R118" s="4" t="e">
        <f ca="1">[1]!BexGetData("DP_1","00O2TNJGODT0G5Z4TTKYMMBYD","GSON1112030095")</f>
        <v>#NAME?</v>
      </c>
      <c r="S118" s="4" t="e">
        <f ca="1">[1]!BexGetData("DP_1","00O2TNJGODT0G5Z4TTKYMMI9X","GSON1112030095")</f>
        <v>#NAME?</v>
      </c>
      <c r="T118" s="4" t="e">
        <f ca="1">[1]!BexGetData("DP_1","00O2TNJGODT0G5Z4TTKYMMOLH","GSON1112030095")</f>
        <v>#NAME?</v>
      </c>
      <c r="U118" s="4" t="e">
        <f ca="1">[1]!BexGetData("DP_1","00O2TNJGODT0G5Z4TTKYMMUX1","GSON1112030095")</f>
        <v>#NAME?</v>
      </c>
      <c r="V118" s="4" t="e">
        <f ca="1">[1]!BexGetData("DP_1","00O2TNJGODT0G5Z4TTKYMN18L","GSON1112030095")</f>
        <v>#NAME?</v>
      </c>
      <c r="W118" s="4" t="e">
        <f ca="1">[1]!BexGetData("DP_1","00O2TNJGODT0G5Z4TTKYMN7K5","GSON1112030095")</f>
        <v>#NAME?</v>
      </c>
    </row>
    <row r="119" spans="1:23" x14ac:dyDescent="0.2">
      <c r="A119" s="16" t="s">
        <v>1886</v>
      </c>
      <c r="B119" s="7" t="s">
        <v>762</v>
      </c>
      <c r="C119" s="3" t="e">
        <f ca="1">[1]!BexGetData("DP_1","003N8EMH8GTFRCSWKMPXRR8GU","GSON1112030100")</f>
        <v>#NAME?</v>
      </c>
      <c r="D119" s="3" t="e">
        <f ca="1">[1]!BexGetData("DP_1","003N8EMH8GTFRCSWKMPXRRESE","GSON1112030100")</f>
        <v>#NAME?</v>
      </c>
      <c r="E119" s="3" t="e">
        <f ca="1">[1]!BexGetData("DP_1","003N8EMH8GTFRCSWKMPXRRL3Y","GSON1112030100")</f>
        <v>#NAME?</v>
      </c>
      <c r="F119" s="3" t="e">
        <f ca="1">[1]!BexGetData("DP_1","003N8EMH8GTFRCSWKMPXRRRFI","GSON1112030100")</f>
        <v>#NAME?</v>
      </c>
      <c r="G119" s="3" t="e">
        <f ca="1">[1]!BexGetData("DP_1","003N8EMH8GTFRCSWKMPXRRXR2","GSON1112030100")</f>
        <v>#NAME?</v>
      </c>
      <c r="H119" s="8" t="e">
        <f ca="1">[1]!BexGetData("DP_1","003N8EMH8GTFRCSWKMPXRS42M","GSON1112030100")</f>
        <v>#NAME?</v>
      </c>
      <c r="I119" s="3" t="e">
        <f ca="1">[1]!BexGetData("DP_1","003N8EMH8GTFRCSWKMPXRSAE6","GSON1112030100")</f>
        <v>#NAME?</v>
      </c>
      <c r="J119" s="4" t="e">
        <f ca="1">[1]!BexGetData("DP_1","003N8EMH8GTFRCSWKMPXRSGPQ","GSON1112030100")</f>
        <v>#NAME?</v>
      </c>
      <c r="K119" s="3" t="e">
        <f ca="1">[1]!BexGetData("DP_1","003N8EMH8GTFRIVNUPY288VJH","GSON1112030100")</f>
        <v>#NAME?</v>
      </c>
      <c r="L119" s="3" t="e">
        <f ca="1">[1]!BexGetData("DP_1","003N8EMH8GTFRIVNUPY2891V1","GSON1112030100")</f>
        <v>#NAME?</v>
      </c>
      <c r="M119" s="8" t="e">
        <f ca="1">[1]!BexGetData("DP_1","003N8EMH8GTFRIVOG7KG9IQXA","GSON1112030100")</f>
        <v>#NAME?</v>
      </c>
      <c r="N119" s="3" t="e">
        <f ca="1">[1]!BexGetData("DP_1","003N8EMH8GTFRIVOG7KG9IX8U","GSON1112030100")</f>
        <v>#NAME?</v>
      </c>
      <c r="O119" s="8" t="e">
        <f ca="1">[1]!BexGetData("DP_1","003N8EMH8GTFRIVOG7KG9J3KE","GSON1112030100")</f>
        <v>#NAME?</v>
      </c>
      <c r="P119" s="3" t="e">
        <f ca="1">[1]!BexGetData("DP_1","003N8EMH8GTFRIVOG7KG9J9VY","GSON1112030100")</f>
        <v>#NAME?</v>
      </c>
      <c r="Q119" s="4" t="e">
        <f ca="1">[1]!BexGetData("DP_1","00O2TNJGODT0G5Z4TTKYMM5MT","GSON1112030100")</f>
        <v>#NAME?</v>
      </c>
      <c r="R119" s="3" t="e">
        <f ca="1">[1]!BexGetData("DP_1","00O2TNJGODT0G5Z4TTKYMMBYD","GSON1112030100")</f>
        <v>#NAME?</v>
      </c>
      <c r="S119" s="3" t="e">
        <f ca="1">[1]!BexGetData("DP_1","00O2TNJGODT0G5Z4TTKYMMI9X","GSON1112030100")</f>
        <v>#NAME?</v>
      </c>
      <c r="T119" s="8" t="e">
        <f ca="1">[1]!BexGetData("DP_1","00O2TNJGODT0G5Z4TTKYMMOLH","GSON1112030100")</f>
        <v>#NAME?</v>
      </c>
      <c r="U119" s="3" t="e">
        <f ca="1">[1]!BexGetData("DP_1","00O2TNJGODT0G5Z4TTKYMMUX1","GSON1112030100")</f>
        <v>#NAME?</v>
      </c>
      <c r="V119" s="8" t="e">
        <f ca="1">[1]!BexGetData("DP_1","00O2TNJGODT0G5Z4TTKYMN18L","GSON1112030100")</f>
        <v>#NAME?</v>
      </c>
      <c r="W119" s="3" t="e">
        <f ca="1">[1]!BexGetData("DP_1","00O2TNJGODT0G5Z4TTKYMN7K5","GSON1112030100")</f>
        <v>#NAME?</v>
      </c>
    </row>
    <row r="120" spans="1:23" x14ac:dyDescent="0.2">
      <c r="A120" s="16" t="s">
        <v>1887</v>
      </c>
      <c r="B120" s="7" t="s">
        <v>763</v>
      </c>
      <c r="C120" s="3" t="e">
        <f ca="1">[1]!BexGetData("DP_1","003N8EMH8GTFRCSWKMPXRR8GU","GSON1112030101")</f>
        <v>#NAME?</v>
      </c>
      <c r="D120" s="3" t="e">
        <f ca="1">[1]!BexGetData("DP_1","003N8EMH8GTFRCSWKMPXRRESE","GSON1112030101")</f>
        <v>#NAME?</v>
      </c>
      <c r="E120" s="8" t="e">
        <f ca="1">[1]!BexGetData("DP_1","003N8EMH8GTFRCSWKMPXRRL3Y","GSON1112030101")</f>
        <v>#NAME?</v>
      </c>
      <c r="F120" s="4" t="e">
        <f ca="1">[1]!BexGetData("DP_1","003N8EMH8GTFRCSWKMPXRRRFI","GSON1112030101")</f>
        <v>#NAME?</v>
      </c>
      <c r="G120" s="4" t="e">
        <f ca="1">[1]!BexGetData("DP_1","003N8EMH8GTFRCSWKMPXRRXR2","GSON1112030101")</f>
        <v>#NAME?</v>
      </c>
      <c r="H120" s="4" t="e">
        <f ca="1">[1]!BexGetData("DP_1","003N8EMH8GTFRCSWKMPXRS42M","GSON1112030101")</f>
        <v>#NAME?</v>
      </c>
      <c r="I120" s="4" t="e">
        <f ca="1">[1]!BexGetData("DP_1","003N8EMH8GTFRCSWKMPXRSAE6","GSON1112030101")</f>
        <v>#NAME?</v>
      </c>
      <c r="J120" s="4" t="e">
        <f ca="1">[1]!BexGetData("DP_1","003N8EMH8GTFRCSWKMPXRSGPQ","GSON1112030101")</f>
        <v>#NAME?</v>
      </c>
      <c r="K120" s="8" t="e">
        <f ca="1">[1]!BexGetData("DP_1","003N8EMH8GTFRIVNUPY288VJH","GSON1112030101")</f>
        <v>#NAME?</v>
      </c>
      <c r="L120" s="8" t="e">
        <f ca="1">[1]!BexGetData("DP_1","003N8EMH8GTFRIVNUPY2891V1","GSON1112030101")</f>
        <v>#NAME?</v>
      </c>
      <c r="M120" s="8" t="e">
        <f ca="1">[1]!BexGetData("DP_1","003N8EMH8GTFRIVOG7KG9IQXA","GSON1112030101")</f>
        <v>#NAME?</v>
      </c>
      <c r="N120" s="8" t="e">
        <f ca="1">[1]!BexGetData("DP_1","003N8EMH8GTFRIVOG7KG9IX8U","GSON1112030101")</f>
        <v>#NAME?</v>
      </c>
      <c r="O120" s="8" t="e">
        <f ca="1">[1]!BexGetData("DP_1","003N8EMH8GTFRIVOG7KG9J3KE","GSON1112030101")</f>
        <v>#NAME?</v>
      </c>
      <c r="P120" s="8" t="e">
        <f ca="1">[1]!BexGetData("DP_1","003N8EMH8GTFRIVOG7KG9J9VY","GSON1112030101")</f>
        <v>#NAME?</v>
      </c>
      <c r="Q120" s="4" t="e">
        <f ca="1">[1]!BexGetData("DP_1","00O2TNJGODT0G5Z4TTKYMM5MT","GSON1112030101")</f>
        <v>#NAME?</v>
      </c>
      <c r="R120" s="4" t="e">
        <f ca="1">[1]!BexGetData("DP_1","00O2TNJGODT0G5Z4TTKYMMBYD","GSON1112030101")</f>
        <v>#NAME?</v>
      </c>
      <c r="S120" s="4" t="e">
        <f ca="1">[1]!BexGetData("DP_1","00O2TNJGODT0G5Z4TTKYMMI9X","GSON1112030101")</f>
        <v>#NAME?</v>
      </c>
      <c r="T120" s="4" t="e">
        <f ca="1">[1]!BexGetData("DP_1","00O2TNJGODT0G5Z4TTKYMMOLH","GSON1112030101")</f>
        <v>#NAME?</v>
      </c>
      <c r="U120" s="4" t="e">
        <f ca="1">[1]!BexGetData("DP_1","00O2TNJGODT0G5Z4TTKYMMUX1","GSON1112030101")</f>
        <v>#NAME?</v>
      </c>
      <c r="V120" s="4" t="e">
        <f ca="1">[1]!BexGetData("DP_1","00O2TNJGODT0G5Z4TTKYMN18L","GSON1112030101")</f>
        <v>#NAME?</v>
      </c>
      <c r="W120" s="4" t="e">
        <f ca="1">[1]!BexGetData("DP_1","00O2TNJGODT0G5Z4TTKYMN7K5","GSON1112030101")</f>
        <v>#NAME?</v>
      </c>
    </row>
    <row r="121" spans="1:23" x14ac:dyDescent="0.2">
      <c r="A121" s="16" t="s">
        <v>1888</v>
      </c>
      <c r="B121" s="7" t="s">
        <v>1889</v>
      </c>
      <c r="C121" s="3" t="e">
        <f ca="1">[1]!BexGetData("DP_1","003N8EMH8GTFRCSWKMPXRR8GU","GSON1112030105")</f>
        <v>#NAME?</v>
      </c>
      <c r="D121" s="3" t="e">
        <f ca="1">[1]!BexGetData("DP_1","003N8EMH8GTFRCSWKMPXRRESE","GSON1112030105")</f>
        <v>#NAME?</v>
      </c>
      <c r="E121" s="8" t="e">
        <f ca="1">[1]!BexGetData("DP_1","003N8EMH8GTFRCSWKMPXRRL3Y","GSON1112030105")</f>
        <v>#NAME?</v>
      </c>
      <c r="F121" s="4" t="e">
        <f ca="1">[1]!BexGetData("DP_1","003N8EMH8GTFRCSWKMPXRRRFI","GSON1112030105")</f>
        <v>#NAME?</v>
      </c>
      <c r="G121" s="4" t="e">
        <f ca="1">[1]!BexGetData("DP_1","003N8EMH8GTFRCSWKMPXRRXR2","GSON1112030105")</f>
        <v>#NAME?</v>
      </c>
      <c r="H121" s="4" t="e">
        <f ca="1">[1]!BexGetData("DP_1","003N8EMH8GTFRCSWKMPXRS42M","GSON1112030105")</f>
        <v>#NAME?</v>
      </c>
      <c r="I121" s="4" t="e">
        <f ca="1">[1]!BexGetData("DP_1","003N8EMH8GTFRCSWKMPXRSAE6","GSON1112030105")</f>
        <v>#NAME?</v>
      </c>
      <c r="J121" s="4" t="e">
        <f ca="1">[1]!BexGetData("DP_1","003N8EMH8GTFRCSWKMPXRSGPQ","GSON1112030105")</f>
        <v>#NAME?</v>
      </c>
      <c r="K121" s="8" t="e">
        <f ca="1">[1]!BexGetData("DP_1","003N8EMH8GTFRIVNUPY288VJH","GSON1112030105")</f>
        <v>#NAME?</v>
      </c>
      <c r="L121" s="8" t="e">
        <f ca="1">[1]!BexGetData("DP_1","003N8EMH8GTFRIVNUPY2891V1","GSON1112030105")</f>
        <v>#NAME?</v>
      </c>
      <c r="M121" s="8" t="e">
        <f ca="1">[1]!BexGetData("DP_1","003N8EMH8GTFRIVOG7KG9IQXA","GSON1112030105")</f>
        <v>#NAME?</v>
      </c>
      <c r="N121" s="8" t="e">
        <f ca="1">[1]!BexGetData("DP_1","003N8EMH8GTFRIVOG7KG9IX8U","GSON1112030105")</f>
        <v>#NAME?</v>
      </c>
      <c r="O121" s="8" t="e">
        <f ca="1">[1]!BexGetData("DP_1","003N8EMH8GTFRIVOG7KG9J3KE","GSON1112030105")</f>
        <v>#NAME?</v>
      </c>
      <c r="P121" s="8" t="e">
        <f ca="1">[1]!BexGetData("DP_1","003N8EMH8GTFRIVOG7KG9J9VY","GSON1112030105")</f>
        <v>#NAME?</v>
      </c>
      <c r="Q121" s="4" t="e">
        <f ca="1">[1]!BexGetData("DP_1","00O2TNJGODT0G5Z4TTKYMM5MT","GSON1112030105")</f>
        <v>#NAME?</v>
      </c>
      <c r="R121" s="4" t="e">
        <f ca="1">[1]!BexGetData("DP_1","00O2TNJGODT0G5Z4TTKYMMBYD","GSON1112030105")</f>
        <v>#NAME?</v>
      </c>
      <c r="S121" s="4" t="e">
        <f ca="1">[1]!BexGetData("DP_1","00O2TNJGODT0G5Z4TTKYMMI9X","GSON1112030105")</f>
        <v>#NAME?</v>
      </c>
      <c r="T121" s="4" t="e">
        <f ca="1">[1]!BexGetData("DP_1","00O2TNJGODT0G5Z4TTKYMMOLH","GSON1112030105")</f>
        <v>#NAME?</v>
      </c>
      <c r="U121" s="4" t="e">
        <f ca="1">[1]!BexGetData("DP_1","00O2TNJGODT0G5Z4TTKYMMUX1","GSON1112030105")</f>
        <v>#NAME?</v>
      </c>
      <c r="V121" s="4" t="e">
        <f ca="1">[1]!BexGetData("DP_1","00O2TNJGODT0G5Z4TTKYMN18L","GSON1112030105")</f>
        <v>#NAME?</v>
      </c>
      <c r="W121" s="4" t="e">
        <f ca="1">[1]!BexGetData("DP_1","00O2TNJGODT0G5Z4TTKYMN7K5","GSON1112030105")</f>
        <v>#NAME?</v>
      </c>
    </row>
    <row r="122" spans="1:23" x14ac:dyDescent="0.2">
      <c r="A122" s="16" t="s">
        <v>1890</v>
      </c>
      <c r="B122" s="7" t="s">
        <v>1891</v>
      </c>
      <c r="C122" s="8" t="e">
        <f ca="1">[1]!BexGetData("DP_1","003N8EMH8GTFRCSWKMPXRR8GU","GSON1112030110")</f>
        <v>#NAME?</v>
      </c>
      <c r="D122" s="3" t="e">
        <f ca="1">[1]!BexGetData("DP_1","003N8EMH8GTFRCSWKMPXRRESE","GSON1112030110")</f>
        <v>#NAME?</v>
      </c>
      <c r="E122" s="8" t="e">
        <f ca="1">[1]!BexGetData("DP_1","003N8EMH8GTFRCSWKMPXRRL3Y","GSON1112030110")</f>
        <v>#NAME?</v>
      </c>
      <c r="F122" s="3" t="e">
        <f ca="1">[1]!BexGetData("DP_1","003N8EMH8GTFRCSWKMPXRRRFI","GSON1112030110")</f>
        <v>#NAME?</v>
      </c>
      <c r="G122" s="3" t="e">
        <f ca="1">[1]!BexGetData("DP_1","003N8EMH8GTFRCSWKMPXRRXR2","GSON1112030110")</f>
        <v>#NAME?</v>
      </c>
      <c r="H122" s="8" t="e">
        <f ca="1">[1]!BexGetData("DP_1","003N8EMH8GTFRCSWKMPXRS42M","GSON1112030110")</f>
        <v>#NAME?</v>
      </c>
      <c r="I122" s="3" t="e">
        <f ca="1">[1]!BexGetData("DP_1","003N8EMH8GTFRCSWKMPXRSAE6","GSON1112030110")</f>
        <v>#NAME?</v>
      </c>
      <c r="J122" s="4" t="e">
        <f ca="1">[1]!BexGetData("DP_1","003N8EMH8GTFRCSWKMPXRSGPQ","GSON1112030110")</f>
        <v>#NAME?</v>
      </c>
      <c r="K122" s="3" t="e">
        <f ca="1">[1]!BexGetData("DP_1","003N8EMH8GTFRIVNUPY288VJH","GSON1112030110")</f>
        <v>#NAME?</v>
      </c>
      <c r="L122" s="3" t="e">
        <f ca="1">[1]!BexGetData("DP_1","003N8EMH8GTFRIVNUPY2891V1","GSON1112030110")</f>
        <v>#NAME?</v>
      </c>
      <c r="M122" s="3" t="e">
        <f ca="1">[1]!BexGetData("DP_1","003N8EMH8GTFRIVOG7KG9IQXA","GSON1112030110")</f>
        <v>#NAME?</v>
      </c>
      <c r="N122" s="8" t="e">
        <f ca="1">[1]!BexGetData("DP_1","003N8EMH8GTFRIVOG7KG9IX8U","GSON1112030110")</f>
        <v>#NAME?</v>
      </c>
      <c r="O122" s="3" t="e">
        <f ca="1">[1]!BexGetData("DP_1","003N8EMH8GTFRIVOG7KG9J3KE","GSON1112030110")</f>
        <v>#NAME?</v>
      </c>
      <c r="P122" s="8" t="e">
        <f ca="1">[1]!BexGetData("DP_1","003N8EMH8GTFRIVOG7KG9J9VY","GSON1112030110")</f>
        <v>#NAME?</v>
      </c>
      <c r="Q122" s="4" t="e">
        <f ca="1">[1]!BexGetData("DP_1","00O2TNJGODT0G5Z4TTKYMM5MT","GSON1112030110")</f>
        <v>#NAME?</v>
      </c>
      <c r="R122" s="3" t="e">
        <f ca="1">[1]!BexGetData("DP_1","00O2TNJGODT0G5Z4TTKYMMBYD","GSON1112030110")</f>
        <v>#NAME?</v>
      </c>
      <c r="S122" s="3" t="e">
        <f ca="1">[1]!BexGetData("DP_1","00O2TNJGODT0G5Z4TTKYMMI9X","GSON1112030110")</f>
        <v>#NAME?</v>
      </c>
      <c r="T122" s="8" t="e">
        <f ca="1">[1]!BexGetData("DP_1","00O2TNJGODT0G5Z4TTKYMMOLH","GSON1112030110")</f>
        <v>#NAME?</v>
      </c>
      <c r="U122" s="3" t="e">
        <f ca="1">[1]!BexGetData("DP_1","00O2TNJGODT0G5Z4TTKYMMUX1","GSON1112030110")</f>
        <v>#NAME?</v>
      </c>
      <c r="V122" s="8" t="e">
        <f ca="1">[1]!BexGetData("DP_1","00O2TNJGODT0G5Z4TTKYMN18L","GSON1112030110")</f>
        <v>#NAME?</v>
      </c>
      <c r="W122" s="3" t="e">
        <f ca="1">[1]!BexGetData("DP_1","00O2TNJGODT0G5Z4TTKYMN7K5","GSON1112030110")</f>
        <v>#NAME?</v>
      </c>
    </row>
    <row r="123" spans="1:23" x14ac:dyDescent="0.2">
      <c r="A123" s="16" t="s">
        <v>1892</v>
      </c>
      <c r="B123" s="7" t="s">
        <v>1893</v>
      </c>
      <c r="C123" s="3" t="e">
        <f ca="1">[1]!BexGetData("DP_1","003N8EMH8GTFRCSWKMPXRR8GU","GSON1112030113")</f>
        <v>#NAME?</v>
      </c>
      <c r="D123" s="3" t="e">
        <f ca="1">[1]!BexGetData("DP_1","003N8EMH8GTFRCSWKMPXRRESE","GSON1112030113")</f>
        <v>#NAME?</v>
      </c>
      <c r="E123" s="8" t="e">
        <f ca="1">[1]!BexGetData("DP_1","003N8EMH8GTFRCSWKMPXRRL3Y","GSON1112030113")</f>
        <v>#NAME?</v>
      </c>
      <c r="F123" s="4" t="e">
        <f ca="1">[1]!BexGetData("DP_1","003N8EMH8GTFRCSWKMPXRRRFI","GSON1112030113")</f>
        <v>#NAME?</v>
      </c>
      <c r="G123" s="4" t="e">
        <f ca="1">[1]!BexGetData("DP_1","003N8EMH8GTFRCSWKMPXRRXR2","GSON1112030113")</f>
        <v>#NAME?</v>
      </c>
      <c r="H123" s="4" t="e">
        <f ca="1">[1]!BexGetData("DP_1","003N8EMH8GTFRCSWKMPXRS42M","GSON1112030113")</f>
        <v>#NAME?</v>
      </c>
      <c r="I123" s="4" t="e">
        <f ca="1">[1]!BexGetData("DP_1","003N8EMH8GTFRCSWKMPXRSAE6","GSON1112030113")</f>
        <v>#NAME?</v>
      </c>
      <c r="J123" s="4" t="e">
        <f ca="1">[1]!BexGetData("DP_1","003N8EMH8GTFRCSWKMPXRSGPQ","GSON1112030113")</f>
        <v>#NAME?</v>
      </c>
      <c r="K123" s="8" t="e">
        <f ca="1">[1]!BexGetData("DP_1","003N8EMH8GTFRIVNUPY288VJH","GSON1112030113")</f>
        <v>#NAME?</v>
      </c>
      <c r="L123" s="8" t="e">
        <f ca="1">[1]!BexGetData("DP_1","003N8EMH8GTFRIVNUPY2891V1","GSON1112030113")</f>
        <v>#NAME?</v>
      </c>
      <c r="M123" s="8" t="e">
        <f ca="1">[1]!BexGetData("DP_1","003N8EMH8GTFRIVOG7KG9IQXA","GSON1112030113")</f>
        <v>#NAME?</v>
      </c>
      <c r="N123" s="8" t="e">
        <f ca="1">[1]!BexGetData("DP_1","003N8EMH8GTFRIVOG7KG9IX8U","GSON1112030113")</f>
        <v>#NAME?</v>
      </c>
      <c r="O123" s="8" t="e">
        <f ca="1">[1]!BexGetData("DP_1","003N8EMH8GTFRIVOG7KG9J3KE","GSON1112030113")</f>
        <v>#NAME?</v>
      </c>
      <c r="P123" s="8" t="e">
        <f ca="1">[1]!BexGetData("DP_1","003N8EMH8GTFRIVOG7KG9J9VY","GSON1112030113")</f>
        <v>#NAME?</v>
      </c>
      <c r="Q123" s="4" t="e">
        <f ca="1">[1]!BexGetData("DP_1","00O2TNJGODT0G5Z4TTKYMM5MT","GSON1112030113")</f>
        <v>#NAME?</v>
      </c>
      <c r="R123" s="4" t="e">
        <f ca="1">[1]!BexGetData("DP_1","00O2TNJGODT0G5Z4TTKYMMBYD","GSON1112030113")</f>
        <v>#NAME?</v>
      </c>
      <c r="S123" s="4" t="e">
        <f ca="1">[1]!BexGetData("DP_1","00O2TNJGODT0G5Z4TTKYMMI9X","GSON1112030113")</f>
        <v>#NAME?</v>
      </c>
      <c r="T123" s="4" t="e">
        <f ca="1">[1]!BexGetData("DP_1","00O2TNJGODT0G5Z4TTKYMMOLH","GSON1112030113")</f>
        <v>#NAME?</v>
      </c>
      <c r="U123" s="4" t="e">
        <f ca="1">[1]!BexGetData("DP_1","00O2TNJGODT0G5Z4TTKYMMUX1","GSON1112030113")</f>
        <v>#NAME?</v>
      </c>
      <c r="V123" s="4" t="e">
        <f ca="1">[1]!BexGetData("DP_1","00O2TNJGODT0G5Z4TTKYMN18L","GSON1112030113")</f>
        <v>#NAME?</v>
      </c>
      <c r="W123" s="4" t="e">
        <f ca="1">[1]!BexGetData("DP_1","00O2TNJGODT0G5Z4TTKYMN7K5","GSON1112030113")</f>
        <v>#NAME?</v>
      </c>
    </row>
    <row r="124" spans="1:23" x14ac:dyDescent="0.2">
      <c r="A124" s="16" t="s">
        <v>1894</v>
      </c>
      <c r="B124" s="7" t="s">
        <v>764</v>
      </c>
      <c r="C124" s="3" t="e">
        <f ca="1">[1]!BexGetData("DP_1","003N8EMH8GTFRCSWKMPXRR8GU","GSON1112030120")</f>
        <v>#NAME?</v>
      </c>
      <c r="D124" s="3" t="e">
        <f ca="1">[1]!BexGetData("DP_1","003N8EMH8GTFRCSWKMPXRRESE","GSON1112030120")</f>
        <v>#NAME?</v>
      </c>
      <c r="E124" s="8" t="e">
        <f ca="1">[1]!BexGetData("DP_1","003N8EMH8GTFRCSWKMPXRRL3Y","GSON1112030120")</f>
        <v>#NAME?</v>
      </c>
      <c r="F124" s="3" t="e">
        <f ca="1">[1]!BexGetData("DP_1","003N8EMH8GTFRCSWKMPXRRRFI","GSON1112030120")</f>
        <v>#NAME?</v>
      </c>
      <c r="G124" s="3" t="e">
        <f ca="1">[1]!BexGetData("DP_1","003N8EMH8GTFRCSWKMPXRRXR2","GSON1112030120")</f>
        <v>#NAME?</v>
      </c>
      <c r="H124" s="8" t="e">
        <f ca="1">[1]!BexGetData("DP_1","003N8EMH8GTFRCSWKMPXRS42M","GSON1112030120")</f>
        <v>#NAME?</v>
      </c>
      <c r="I124" s="3" t="e">
        <f ca="1">[1]!BexGetData("DP_1","003N8EMH8GTFRCSWKMPXRSAE6","GSON1112030120")</f>
        <v>#NAME?</v>
      </c>
      <c r="J124" s="4" t="e">
        <f ca="1">[1]!BexGetData("DP_1","003N8EMH8GTFRCSWKMPXRSGPQ","GSON1112030120")</f>
        <v>#NAME?</v>
      </c>
      <c r="K124" s="3" t="e">
        <f ca="1">[1]!BexGetData("DP_1","003N8EMH8GTFRIVNUPY288VJH","GSON1112030120")</f>
        <v>#NAME?</v>
      </c>
      <c r="L124" s="3" t="e">
        <f ca="1">[1]!BexGetData("DP_1","003N8EMH8GTFRIVNUPY2891V1","GSON1112030120")</f>
        <v>#NAME?</v>
      </c>
      <c r="M124" s="3" t="e">
        <f ca="1">[1]!BexGetData("DP_1","003N8EMH8GTFRIVOG7KG9IQXA","GSON1112030120")</f>
        <v>#NAME?</v>
      </c>
      <c r="N124" s="8" t="e">
        <f ca="1">[1]!BexGetData("DP_1","003N8EMH8GTFRIVOG7KG9IX8U","GSON1112030120")</f>
        <v>#NAME?</v>
      </c>
      <c r="O124" s="3" t="e">
        <f ca="1">[1]!BexGetData("DP_1","003N8EMH8GTFRIVOG7KG9J3KE","GSON1112030120")</f>
        <v>#NAME?</v>
      </c>
      <c r="P124" s="8" t="e">
        <f ca="1">[1]!BexGetData("DP_1","003N8EMH8GTFRIVOG7KG9J9VY","GSON1112030120")</f>
        <v>#NAME?</v>
      </c>
      <c r="Q124" s="4" t="e">
        <f ca="1">[1]!BexGetData("DP_1","00O2TNJGODT0G5Z4TTKYMM5MT","GSON1112030120")</f>
        <v>#NAME?</v>
      </c>
      <c r="R124" s="3" t="e">
        <f ca="1">[1]!BexGetData("DP_1","00O2TNJGODT0G5Z4TTKYMMBYD","GSON1112030120")</f>
        <v>#NAME?</v>
      </c>
      <c r="S124" s="3" t="e">
        <f ca="1">[1]!BexGetData("DP_1","00O2TNJGODT0G5Z4TTKYMMI9X","GSON1112030120")</f>
        <v>#NAME?</v>
      </c>
      <c r="T124" s="8" t="e">
        <f ca="1">[1]!BexGetData("DP_1","00O2TNJGODT0G5Z4TTKYMMOLH","GSON1112030120")</f>
        <v>#NAME?</v>
      </c>
      <c r="U124" s="3" t="e">
        <f ca="1">[1]!BexGetData("DP_1","00O2TNJGODT0G5Z4TTKYMMUX1","GSON1112030120")</f>
        <v>#NAME?</v>
      </c>
      <c r="V124" s="8" t="e">
        <f ca="1">[1]!BexGetData("DP_1","00O2TNJGODT0G5Z4TTKYMN18L","GSON1112030120")</f>
        <v>#NAME?</v>
      </c>
      <c r="W124" s="3" t="e">
        <f ca="1">[1]!BexGetData("DP_1","00O2TNJGODT0G5Z4TTKYMN7K5","GSON1112030120")</f>
        <v>#NAME?</v>
      </c>
    </row>
    <row r="125" spans="1:23" x14ac:dyDescent="0.2">
      <c r="A125" s="16" t="s">
        <v>1895</v>
      </c>
      <c r="B125" s="7" t="s">
        <v>765</v>
      </c>
      <c r="C125" s="3" t="e">
        <f ca="1">[1]!BexGetData("DP_1","003N8EMH8GTFRCSWKMPXRR8GU","GSON1112030121")</f>
        <v>#NAME?</v>
      </c>
      <c r="D125" s="3" t="e">
        <f ca="1">[1]!BexGetData("DP_1","003N8EMH8GTFRCSWKMPXRRESE","GSON1112030121")</f>
        <v>#NAME?</v>
      </c>
      <c r="E125" s="8" t="e">
        <f ca="1">[1]!BexGetData("DP_1","003N8EMH8GTFRCSWKMPXRRL3Y","GSON1112030121")</f>
        <v>#NAME?</v>
      </c>
      <c r="F125" s="4" t="e">
        <f ca="1">[1]!BexGetData("DP_1","003N8EMH8GTFRCSWKMPXRRRFI","GSON1112030121")</f>
        <v>#NAME?</v>
      </c>
      <c r="G125" s="4" t="e">
        <f ca="1">[1]!BexGetData("DP_1","003N8EMH8GTFRCSWKMPXRRXR2","GSON1112030121")</f>
        <v>#NAME?</v>
      </c>
      <c r="H125" s="4" t="e">
        <f ca="1">[1]!BexGetData("DP_1","003N8EMH8GTFRCSWKMPXRS42M","GSON1112030121")</f>
        <v>#NAME?</v>
      </c>
      <c r="I125" s="4" t="e">
        <f ca="1">[1]!BexGetData("DP_1","003N8EMH8GTFRCSWKMPXRSAE6","GSON1112030121")</f>
        <v>#NAME?</v>
      </c>
      <c r="J125" s="4" t="e">
        <f ca="1">[1]!BexGetData("DP_1","003N8EMH8GTFRCSWKMPXRSGPQ","GSON1112030121")</f>
        <v>#NAME?</v>
      </c>
      <c r="K125" s="8" t="e">
        <f ca="1">[1]!BexGetData("DP_1","003N8EMH8GTFRIVNUPY288VJH","GSON1112030121")</f>
        <v>#NAME?</v>
      </c>
      <c r="L125" s="8" t="e">
        <f ca="1">[1]!BexGetData("DP_1","003N8EMH8GTFRIVNUPY2891V1","GSON1112030121")</f>
        <v>#NAME?</v>
      </c>
      <c r="M125" s="8" t="e">
        <f ca="1">[1]!BexGetData("DP_1","003N8EMH8GTFRIVOG7KG9IQXA","GSON1112030121")</f>
        <v>#NAME?</v>
      </c>
      <c r="N125" s="8" t="e">
        <f ca="1">[1]!BexGetData("DP_1","003N8EMH8GTFRIVOG7KG9IX8U","GSON1112030121")</f>
        <v>#NAME?</v>
      </c>
      <c r="O125" s="8" t="e">
        <f ca="1">[1]!BexGetData("DP_1","003N8EMH8GTFRIVOG7KG9J3KE","GSON1112030121")</f>
        <v>#NAME?</v>
      </c>
      <c r="P125" s="8" t="e">
        <f ca="1">[1]!BexGetData("DP_1","003N8EMH8GTFRIVOG7KG9J9VY","GSON1112030121")</f>
        <v>#NAME?</v>
      </c>
      <c r="Q125" s="4" t="e">
        <f ca="1">[1]!BexGetData("DP_1","00O2TNJGODT0G5Z4TTKYMM5MT","GSON1112030121")</f>
        <v>#NAME?</v>
      </c>
      <c r="R125" s="4" t="e">
        <f ca="1">[1]!BexGetData("DP_1","00O2TNJGODT0G5Z4TTKYMMBYD","GSON1112030121")</f>
        <v>#NAME?</v>
      </c>
      <c r="S125" s="4" t="e">
        <f ca="1">[1]!BexGetData("DP_1","00O2TNJGODT0G5Z4TTKYMMI9X","GSON1112030121")</f>
        <v>#NAME?</v>
      </c>
      <c r="T125" s="4" t="e">
        <f ca="1">[1]!BexGetData("DP_1","00O2TNJGODT0G5Z4TTKYMMOLH","GSON1112030121")</f>
        <v>#NAME?</v>
      </c>
      <c r="U125" s="4" t="e">
        <f ca="1">[1]!BexGetData("DP_1","00O2TNJGODT0G5Z4TTKYMMUX1","GSON1112030121")</f>
        <v>#NAME?</v>
      </c>
      <c r="V125" s="4" t="e">
        <f ca="1">[1]!BexGetData("DP_1","00O2TNJGODT0G5Z4TTKYMN18L","GSON1112030121")</f>
        <v>#NAME?</v>
      </c>
      <c r="W125" s="4" t="e">
        <f ca="1">[1]!BexGetData("DP_1","00O2TNJGODT0G5Z4TTKYMN7K5","GSON1112030121")</f>
        <v>#NAME?</v>
      </c>
    </row>
    <row r="126" spans="1:23" x14ac:dyDescent="0.2">
      <c r="A126" s="16" t="s">
        <v>1896</v>
      </c>
      <c r="B126" s="7" t="s">
        <v>1897</v>
      </c>
      <c r="C126" s="3" t="e">
        <f ca="1">[1]!BexGetData("DP_1","003N8EMH8GTFRCSWKMPXRR8GU","GSON1112030123")</f>
        <v>#NAME?</v>
      </c>
      <c r="D126" s="3" t="e">
        <f ca="1">[1]!BexGetData("DP_1","003N8EMH8GTFRCSWKMPXRRESE","GSON1112030123")</f>
        <v>#NAME?</v>
      </c>
      <c r="E126" s="8" t="e">
        <f ca="1">[1]!BexGetData("DP_1","003N8EMH8GTFRCSWKMPXRRL3Y","GSON1112030123")</f>
        <v>#NAME?</v>
      </c>
      <c r="F126" s="4" t="e">
        <f ca="1">[1]!BexGetData("DP_1","003N8EMH8GTFRCSWKMPXRRRFI","GSON1112030123")</f>
        <v>#NAME?</v>
      </c>
      <c r="G126" s="4" t="e">
        <f ca="1">[1]!BexGetData("DP_1","003N8EMH8GTFRCSWKMPXRRXR2","GSON1112030123")</f>
        <v>#NAME?</v>
      </c>
      <c r="H126" s="4" t="e">
        <f ca="1">[1]!BexGetData("DP_1","003N8EMH8GTFRCSWKMPXRS42M","GSON1112030123")</f>
        <v>#NAME?</v>
      </c>
      <c r="I126" s="4" t="e">
        <f ca="1">[1]!BexGetData("DP_1","003N8EMH8GTFRCSWKMPXRSAE6","GSON1112030123")</f>
        <v>#NAME?</v>
      </c>
      <c r="J126" s="4" t="e">
        <f ca="1">[1]!BexGetData("DP_1","003N8EMH8GTFRCSWKMPXRSGPQ","GSON1112030123")</f>
        <v>#NAME?</v>
      </c>
      <c r="K126" s="8" t="e">
        <f ca="1">[1]!BexGetData("DP_1","003N8EMH8GTFRIVNUPY288VJH","GSON1112030123")</f>
        <v>#NAME?</v>
      </c>
      <c r="L126" s="8" t="e">
        <f ca="1">[1]!BexGetData("DP_1","003N8EMH8GTFRIVNUPY2891V1","GSON1112030123")</f>
        <v>#NAME?</v>
      </c>
      <c r="M126" s="8" t="e">
        <f ca="1">[1]!BexGetData("DP_1","003N8EMH8GTFRIVOG7KG9IQXA","GSON1112030123")</f>
        <v>#NAME?</v>
      </c>
      <c r="N126" s="8" t="e">
        <f ca="1">[1]!BexGetData("DP_1","003N8EMH8GTFRIVOG7KG9IX8U","GSON1112030123")</f>
        <v>#NAME?</v>
      </c>
      <c r="O126" s="8" t="e">
        <f ca="1">[1]!BexGetData("DP_1","003N8EMH8GTFRIVOG7KG9J3KE","GSON1112030123")</f>
        <v>#NAME?</v>
      </c>
      <c r="P126" s="8" t="e">
        <f ca="1">[1]!BexGetData("DP_1","003N8EMH8GTFRIVOG7KG9J9VY","GSON1112030123")</f>
        <v>#NAME?</v>
      </c>
      <c r="Q126" s="4" t="e">
        <f ca="1">[1]!BexGetData("DP_1","00O2TNJGODT0G5Z4TTKYMM5MT","GSON1112030123")</f>
        <v>#NAME?</v>
      </c>
      <c r="R126" s="4" t="e">
        <f ca="1">[1]!BexGetData("DP_1","00O2TNJGODT0G5Z4TTKYMMBYD","GSON1112030123")</f>
        <v>#NAME?</v>
      </c>
      <c r="S126" s="4" t="e">
        <f ca="1">[1]!BexGetData("DP_1","00O2TNJGODT0G5Z4TTKYMMI9X","GSON1112030123")</f>
        <v>#NAME?</v>
      </c>
      <c r="T126" s="4" t="e">
        <f ca="1">[1]!BexGetData("DP_1","00O2TNJGODT0G5Z4TTKYMMOLH","GSON1112030123")</f>
        <v>#NAME?</v>
      </c>
      <c r="U126" s="4" t="e">
        <f ca="1">[1]!BexGetData("DP_1","00O2TNJGODT0G5Z4TTKYMMUX1","GSON1112030123")</f>
        <v>#NAME?</v>
      </c>
      <c r="V126" s="4" t="e">
        <f ca="1">[1]!BexGetData("DP_1","00O2TNJGODT0G5Z4TTKYMN18L","GSON1112030123")</f>
        <v>#NAME?</v>
      </c>
      <c r="W126" s="4" t="e">
        <f ca="1">[1]!BexGetData("DP_1","00O2TNJGODT0G5Z4TTKYMN7K5","GSON1112030123")</f>
        <v>#NAME?</v>
      </c>
    </row>
    <row r="127" spans="1:23" x14ac:dyDescent="0.2">
      <c r="A127" s="16" t="s">
        <v>1898</v>
      </c>
      <c r="B127" s="7" t="s">
        <v>1899</v>
      </c>
      <c r="C127" s="3" t="e">
        <f ca="1">[1]!BexGetData("DP_1","003N8EMH8GTFRCSWKMPXRR8GU","GSON1112030125")</f>
        <v>#NAME?</v>
      </c>
      <c r="D127" s="3" t="e">
        <f ca="1">[1]!BexGetData("DP_1","003N8EMH8GTFRCSWKMPXRRESE","GSON1112030125")</f>
        <v>#NAME?</v>
      </c>
      <c r="E127" s="8" t="e">
        <f ca="1">[1]!BexGetData("DP_1","003N8EMH8GTFRCSWKMPXRRL3Y","GSON1112030125")</f>
        <v>#NAME?</v>
      </c>
      <c r="F127" s="4" t="e">
        <f ca="1">[1]!BexGetData("DP_1","003N8EMH8GTFRCSWKMPXRRRFI","GSON1112030125")</f>
        <v>#NAME?</v>
      </c>
      <c r="G127" s="4" t="e">
        <f ca="1">[1]!BexGetData("DP_1","003N8EMH8GTFRCSWKMPXRRXR2","GSON1112030125")</f>
        <v>#NAME?</v>
      </c>
      <c r="H127" s="4" t="e">
        <f ca="1">[1]!BexGetData("DP_1","003N8EMH8GTFRCSWKMPXRS42M","GSON1112030125")</f>
        <v>#NAME?</v>
      </c>
      <c r="I127" s="4" t="e">
        <f ca="1">[1]!BexGetData("DP_1","003N8EMH8GTFRCSWKMPXRSAE6","GSON1112030125")</f>
        <v>#NAME?</v>
      </c>
      <c r="J127" s="4" t="e">
        <f ca="1">[1]!BexGetData("DP_1","003N8EMH8GTFRCSWKMPXRSGPQ","GSON1112030125")</f>
        <v>#NAME?</v>
      </c>
      <c r="K127" s="8" t="e">
        <f ca="1">[1]!BexGetData("DP_1","003N8EMH8GTFRIVNUPY288VJH","GSON1112030125")</f>
        <v>#NAME?</v>
      </c>
      <c r="L127" s="8" t="e">
        <f ca="1">[1]!BexGetData("DP_1","003N8EMH8GTFRIVNUPY2891V1","GSON1112030125")</f>
        <v>#NAME?</v>
      </c>
      <c r="M127" s="8" t="e">
        <f ca="1">[1]!BexGetData("DP_1","003N8EMH8GTFRIVOG7KG9IQXA","GSON1112030125")</f>
        <v>#NAME?</v>
      </c>
      <c r="N127" s="8" t="e">
        <f ca="1">[1]!BexGetData("DP_1","003N8EMH8GTFRIVOG7KG9IX8U","GSON1112030125")</f>
        <v>#NAME?</v>
      </c>
      <c r="O127" s="8" t="e">
        <f ca="1">[1]!BexGetData("DP_1","003N8EMH8GTFRIVOG7KG9J3KE","GSON1112030125")</f>
        <v>#NAME?</v>
      </c>
      <c r="P127" s="8" t="e">
        <f ca="1">[1]!BexGetData("DP_1","003N8EMH8GTFRIVOG7KG9J9VY","GSON1112030125")</f>
        <v>#NAME?</v>
      </c>
      <c r="Q127" s="4" t="e">
        <f ca="1">[1]!BexGetData("DP_1","00O2TNJGODT0G5Z4TTKYMM5MT","GSON1112030125")</f>
        <v>#NAME?</v>
      </c>
      <c r="R127" s="4" t="e">
        <f ca="1">[1]!BexGetData("DP_1","00O2TNJGODT0G5Z4TTKYMMBYD","GSON1112030125")</f>
        <v>#NAME?</v>
      </c>
      <c r="S127" s="4" t="e">
        <f ca="1">[1]!BexGetData("DP_1","00O2TNJGODT0G5Z4TTKYMMI9X","GSON1112030125")</f>
        <v>#NAME?</v>
      </c>
      <c r="T127" s="4" t="e">
        <f ca="1">[1]!BexGetData("DP_1","00O2TNJGODT0G5Z4TTKYMMOLH","GSON1112030125")</f>
        <v>#NAME?</v>
      </c>
      <c r="U127" s="4" t="e">
        <f ca="1">[1]!BexGetData("DP_1","00O2TNJGODT0G5Z4TTKYMMUX1","GSON1112030125")</f>
        <v>#NAME?</v>
      </c>
      <c r="V127" s="4" t="e">
        <f ca="1">[1]!BexGetData("DP_1","00O2TNJGODT0G5Z4TTKYMN18L","GSON1112030125")</f>
        <v>#NAME?</v>
      </c>
      <c r="W127" s="4" t="e">
        <f ca="1">[1]!BexGetData("DP_1","00O2TNJGODT0G5Z4TTKYMN7K5","GSON1112030125")</f>
        <v>#NAME?</v>
      </c>
    </row>
    <row r="128" spans="1:23" x14ac:dyDescent="0.2">
      <c r="A128" s="16" t="s">
        <v>1900</v>
      </c>
      <c r="B128" s="7" t="s">
        <v>1901</v>
      </c>
      <c r="C128" s="8" t="e">
        <f ca="1">[1]!BexGetData("DP_1","003N8EMH8GTFRCSWKMPXRR8GU","GSON1112030130")</f>
        <v>#NAME?</v>
      </c>
      <c r="D128" s="3" t="e">
        <f ca="1">[1]!BexGetData("DP_1","003N8EMH8GTFRCSWKMPXRRESE","GSON1112030130")</f>
        <v>#NAME?</v>
      </c>
      <c r="E128" s="8" t="e">
        <f ca="1">[1]!BexGetData("DP_1","003N8EMH8GTFRCSWKMPXRRL3Y","GSON1112030130")</f>
        <v>#NAME?</v>
      </c>
      <c r="F128" s="3" t="e">
        <f ca="1">[1]!BexGetData("DP_1","003N8EMH8GTFRCSWKMPXRRRFI","GSON1112030130")</f>
        <v>#NAME?</v>
      </c>
      <c r="G128" s="3" t="e">
        <f ca="1">[1]!BexGetData("DP_1","003N8EMH8GTFRCSWKMPXRRXR2","GSON1112030130")</f>
        <v>#NAME?</v>
      </c>
      <c r="H128" s="8" t="e">
        <f ca="1">[1]!BexGetData("DP_1","003N8EMH8GTFRCSWKMPXRS42M","GSON1112030130")</f>
        <v>#NAME?</v>
      </c>
      <c r="I128" s="3" t="e">
        <f ca="1">[1]!BexGetData("DP_1","003N8EMH8GTFRCSWKMPXRSAE6","GSON1112030130")</f>
        <v>#NAME?</v>
      </c>
      <c r="J128" s="4" t="e">
        <f ca="1">[1]!BexGetData("DP_1","003N8EMH8GTFRCSWKMPXRSGPQ","GSON1112030130")</f>
        <v>#NAME?</v>
      </c>
      <c r="K128" s="3" t="e">
        <f ca="1">[1]!BexGetData("DP_1","003N8EMH8GTFRIVNUPY288VJH","GSON1112030130")</f>
        <v>#NAME?</v>
      </c>
      <c r="L128" s="3" t="e">
        <f ca="1">[1]!BexGetData("DP_1","003N8EMH8GTFRIVNUPY2891V1","GSON1112030130")</f>
        <v>#NAME?</v>
      </c>
      <c r="M128" s="3" t="e">
        <f ca="1">[1]!BexGetData("DP_1","003N8EMH8GTFRIVOG7KG9IQXA","GSON1112030130")</f>
        <v>#NAME?</v>
      </c>
      <c r="N128" s="8" t="e">
        <f ca="1">[1]!BexGetData("DP_1","003N8EMH8GTFRIVOG7KG9IX8U","GSON1112030130")</f>
        <v>#NAME?</v>
      </c>
      <c r="O128" s="3" t="e">
        <f ca="1">[1]!BexGetData("DP_1","003N8EMH8GTFRIVOG7KG9J3KE","GSON1112030130")</f>
        <v>#NAME?</v>
      </c>
      <c r="P128" s="8" t="e">
        <f ca="1">[1]!BexGetData("DP_1","003N8EMH8GTFRIVOG7KG9J9VY","GSON1112030130")</f>
        <v>#NAME?</v>
      </c>
      <c r="Q128" s="4" t="e">
        <f ca="1">[1]!BexGetData("DP_1","00O2TNJGODT0G5Z4TTKYMM5MT","GSON1112030130")</f>
        <v>#NAME?</v>
      </c>
      <c r="R128" s="3" t="e">
        <f ca="1">[1]!BexGetData("DP_1","00O2TNJGODT0G5Z4TTKYMMBYD","GSON1112030130")</f>
        <v>#NAME?</v>
      </c>
      <c r="S128" s="3" t="e">
        <f ca="1">[1]!BexGetData("DP_1","00O2TNJGODT0G5Z4TTKYMMI9X","GSON1112030130")</f>
        <v>#NAME?</v>
      </c>
      <c r="T128" s="8" t="e">
        <f ca="1">[1]!BexGetData("DP_1","00O2TNJGODT0G5Z4TTKYMMOLH","GSON1112030130")</f>
        <v>#NAME?</v>
      </c>
      <c r="U128" s="3" t="e">
        <f ca="1">[1]!BexGetData("DP_1","00O2TNJGODT0G5Z4TTKYMMUX1","GSON1112030130")</f>
        <v>#NAME?</v>
      </c>
      <c r="V128" s="8" t="e">
        <f ca="1">[1]!BexGetData("DP_1","00O2TNJGODT0G5Z4TTKYMN18L","GSON1112030130")</f>
        <v>#NAME?</v>
      </c>
      <c r="W128" s="3" t="e">
        <f ca="1">[1]!BexGetData("DP_1","00O2TNJGODT0G5Z4TTKYMN7K5","GSON1112030130")</f>
        <v>#NAME?</v>
      </c>
    </row>
    <row r="129" spans="1:23" x14ac:dyDescent="0.2">
      <c r="A129" s="16" t="s">
        <v>1902</v>
      </c>
      <c r="B129" s="7" t="s">
        <v>1903</v>
      </c>
      <c r="C129" s="3" t="e">
        <f ca="1">[1]!BexGetData("DP_1","003N8EMH8GTFRCSWKMPXRR8GU","GSON1112030133")</f>
        <v>#NAME?</v>
      </c>
      <c r="D129" s="3" t="e">
        <f ca="1">[1]!BexGetData("DP_1","003N8EMH8GTFRCSWKMPXRRESE","GSON1112030133")</f>
        <v>#NAME?</v>
      </c>
      <c r="E129" s="8" t="e">
        <f ca="1">[1]!BexGetData("DP_1","003N8EMH8GTFRCSWKMPXRRL3Y","GSON1112030133")</f>
        <v>#NAME?</v>
      </c>
      <c r="F129" s="4" t="e">
        <f ca="1">[1]!BexGetData("DP_1","003N8EMH8GTFRCSWKMPXRRRFI","GSON1112030133")</f>
        <v>#NAME?</v>
      </c>
      <c r="G129" s="4" t="e">
        <f ca="1">[1]!BexGetData("DP_1","003N8EMH8GTFRCSWKMPXRRXR2","GSON1112030133")</f>
        <v>#NAME?</v>
      </c>
      <c r="H129" s="4" t="e">
        <f ca="1">[1]!BexGetData("DP_1","003N8EMH8GTFRCSWKMPXRS42M","GSON1112030133")</f>
        <v>#NAME?</v>
      </c>
      <c r="I129" s="4" t="e">
        <f ca="1">[1]!BexGetData("DP_1","003N8EMH8GTFRCSWKMPXRSAE6","GSON1112030133")</f>
        <v>#NAME?</v>
      </c>
      <c r="J129" s="4" t="e">
        <f ca="1">[1]!BexGetData("DP_1","003N8EMH8GTFRCSWKMPXRSGPQ","GSON1112030133")</f>
        <v>#NAME?</v>
      </c>
      <c r="K129" s="8" t="e">
        <f ca="1">[1]!BexGetData("DP_1","003N8EMH8GTFRIVNUPY288VJH","GSON1112030133")</f>
        <v>#NAME?</v>
      </c>
      <c r="L129" s="8" t="e">
        <f ca="1">[1]!BexGetData("DP_1","003N8EMH8GTFRIVNUPY2891V1","GSON1112030133")</f>
        <v>#NAME?</v>
      </c>
      <c r="M129" s="8" t="e">
        <f ca="1">[1]!BexGetData("DP_1","003N8EMH8GTFRIVOG7KG9IQXA","GSON1112030133")</f>
        <v>#NAME?</v>
      </c>
      <c r="N129" s="8" t="e">
        <f ca="1">[1]!BexGetData("DP_1","003N8EMH8GTFRIVOG7KG9IX8U","GSON1112030133")</f>
        <v>#NAME?</v>
      </c>
      <c r="O129" s="8" t="e">
        <f ca="1">[1]!BexGetData("DP_1","003N8EMH8GTFRIVOG7KG9J3KE","GSON1112030133")</f>
        <v>#NAME?</v>
      </c>
      <c r="P129" s="8" t="e">
        <f ca="1">[1]!BexGetData("DP_1","003N8EMH8GTFRIVOG7KG9J9VY","GSON1112030133")</f>
        <v>#NAME?</v>
      </c>
      <c r="Q129" s="4" t="e">
        <f ca="1">[1]!BexGetData("DP_1","00O2TNJGODT0G5Z4TTKYMM5MT","GSON1112030133")</f>
        <v>#NAME?</v>
      </c>
      <c r="R129" s="4" t="e">
        <f ca="1">[1]!BexGetData("DP_1","00O2TNJGODT0G5Z4TTKYMMBYD","GSON1112030133")</f>
        <v>#NAME?</v>
      </c>
      <c r="S129" s="4" t="e">
        <f ca="1">[1]!BexGetData("DP_1","00O2TNJGODT0G5Z4TTKYMMI9X","GSON1112030133")</f>
        <v>#NAME?</v>
      </c>
      <c r="T129" s="4" t="e">
        <f ca="1">[1]!BexGetData("DP_1","00O2TNJGODT0G5Z4TTKYMMOLH","GSON1112030133")</f>
        <v>#NAME?</v>
      </c>
      <c r="U129" s="4" t="e">
        <f ca="1">[1]!BexGetData("DP_1","00O2TNJGODT0G5Z4TTKYMMUX1","GSON1112030133")</f>
        <v>#NAME?</v>
      </c>
      <c r="V129" s="4" t="e">
        <f ca="1">[1]!BexGetData("DP_1","00O2TNJGODT0G5Z4TTKYMN18L","GSON1112030133")</f>
        <v>#NAME?</v>
      </c>
      <c r="W129" s="4" t="e">
        <f ca="1">[1]!BexGetData("DP_1","00O2TNJGODT0G5Z4TTKYMN7K5","GSON1112030133")</f>
        <v>#NAME?</v>
      </c>
    </row>
    <row r="130" spans="1:23" x14ac:dyDescent="0.2">
      <c r="A130" s="16" t="s">
        <v>766</v>
      </c>
      <c r="B130" s="7" t="s">
        <v>767</v>
      </c>
      <c r="C130" s="3" t="e">
        <f ca="1">[1]!BexGetData("DP_1","003N8EMH8GTFRCSWKMPXRR8GU","GSON1112030140")</f>
        <v>#NAME?</v>
      </c>
      <c r="D130" s="8" t="e">
        <f ca="1">[1]!BexGetData("DP_1","003N8EMH8GTFRCSWKMPXRRESE","GSON1112030140")</f>
        <v>#NAME?</v>
      </c>
      <c r="E130" s="3" t="e">
        <f ca="1">[1]!BexGetData("DP_1","003N8EMH8GTFRCSWKMPXRRL3Y","GSON1112030140")</f>
        <v>#NAME?</v>
      </c>
      <c r="F130" s="3" t="e">
        <f ca="1">[1]!BexGetData("DP_1","003N8EMH8GTFRCSWKMPXRRRFI","GSON1112030140")</f>
        <v>#NAME?</v>
      </c>
      <c r="G130" s="3" t="e">
        <f ca="1">[1]!BexGetData("DP_1","003N8EMH8GTFRCSWKMPXRRXR2","GSON1112030140")</f>
        <v>#NAME?</v>
      </c>
      <c r="H130" s="8" t="e">
        <f ca="1">[1]!BexGetData("DP_1","003N8EMH8GTFRCSWKMPXRS42M","GSON1112030140")</f>
        <v>#NAME?</v>
      </c>
      <c r="I130" s="3" t="e">
        <f ca="1">[1]!BexGetData("DP_1","003N8EMH8GTFRCSWKMPXRSAE6","GSON1112030140")</f>
        <v>#NAME?</v>
      </c>
      <c r="J130" s="4" t="e">
        <f ca="1">[1]!BexGetData("DP_1","003N8EMH8GTFRCSWKMPXRSGPQ","GSON1112030140")</f>
        <v>#NAME?</v>
      </c>
      <c r="K130" s="3" t="e">
        <f ca="1">[1]!BexGetData("DP_1","003N8EMH8GTFRIVNUPY288VJH","GSON1112030140")</f>
        <v>#NAME?</v>
      </c>
      <c r="L130" s="3" t="e">
        <f ca="1">[1]!BexGetData("DP_1","003N8EMH8GTFRIVNUPY2891V1","GSON1112030140")</f>
        <v>#NAME?</v>
      </c>
      <c r="M130" s="8" t="e">
        <f ca="1">[1]!BexGetData("DP_1","003N8EMH8GTFRIVOG7KG9IQXA","GSON1112030140")</f>
        <v>#NAME?</v>
      </c>
      <c r="N130" s="3" t="e">
        <f ca="1">[1]!BexGetData("DP_1","003N8EMH8GTFRIVOG7KG9IX8U","GSON1112030140")</f>
        <v>#NAME?</v>
      </c>
      <c r="O130" s="8" t="e">
        <f ca="1">[1]!BexGetData("DP_1","003N8EMH8GTFRIVOG7KG9J3KE","GSON1112030140")</f>
        <v>#NAME?</v>
      </c>
      <c r="P130" s="3" t="e">
        <f ca="1">[1]!BexGetData("DP_1","003N8EMH8GTFRIVOG7KG9J9VY","GSON1112030140")</f>
        <v>#NAME?</v>
      </c>
      <c r="Q130" s="4" t="e">
        <f ca="1">[1]!BexGetData("DP_1","00O2TNJGODT0G5Z4TTKYMM5MT","GSON1112030140")</f>
        <v>#NAME?</v>
      </c>
      <c r="R130" s="3" t="e">
        <f ca="1">[1]!BexGetData("DP_1","00O2TNJGODT0G5Z4TTKYMMBYD","GSON1112030140")</f>
        <v>#NAME?</v>
      </c>
      <c r="S130" s="3" t="e">
        <f ca="1">[1]!BexGetData("DP_1","00O2TNJGODT0G5Z4TTKYMMI9X","GSON1112030140")</f>
        <v>#NAME?</v>
      </c>
      <c r="T130" s="8" t="e">
        <f ca="1">[1]!BexGetData("DP_1","00O2TNJGODT0G5Z4TTKYMMOLH","GSON1112030140")</f>
        <v>#NAME?</v>
      </c>
      <c r="U130" s="3" t="e">
        <f ca="1">[1]!BexGetData("DP_1","00O2TNJGODT0G5Z4TTKYMMUX1","GSON1112030140")</f>
        <v>#NAME?</v>
      </c>
      <c r="V130" s="8" t="e">
        <f ca="1">[1]!BexGetData("DP_1","00O2TNJGODT0G5Z4TTKYMN18L","GSON1112030140")</f>
        <v>#NAME?</v>
      </c>
      <c r="W130" s="3" t="e">
        <f ca="1">[1]!BexGetData("DP_1","00O2TNJGODT0G5Z4TTKYMN7K5","GSON1112030140")</f>
        <v>#NAME?</v>
      </c>
    </row>
    <row r="131" spans="1:23" x14ac:dyDescent="0.2">
      <c r="A131" s="16" t="s">
        <v>1904</v>
      </c>
      <c r="B131" s="7" t="s">
        <v>768</v>
      </c>
      <c r="C131" s="3" t="e">
        <f ca="1">[1]!BexGetData("DP_1","003N8EMH8GTFRCSWKMPXRR8GU","GSON1112030141")</f>
        <v>#NAME?</v>
      </c>
      <c r="D131" s="3" t="e">
        <f ca="1">[1]!BexGetData("DP_1","003N8EMH8GTFRCSWKMPXRRESE","GSON1112030141")</f>
        <v>#NAME?</v>
      </c>
      <c r="E131" s="8" t="e">
        <f ca="1">[1]!BexGetData("DP_1","003N8EMH8GTFRCSWKMPXRRL3Y","GSON1112030141")</f>
        <v>#NAME?</v>
      </c>
      <c r="F131" s="4" t="e">
        <f ca="1">[1]!BexGetData("DP_1","003N8EMH8GTFRCSWKMPXRRRFI","GSON1112030141")</f>
        <v>#NAME?</v>
      </c>
      <c r="G131" s="4" t="e">
        <f ca="1">[1]!BexGetData("DP_1","003N8EMH8GTFRCSWKMPXRRXR2","GSON1112030141")</f>
        <v>#NAME?</v>
      </c>
      <c r="H131" s="4" t="e">
        <f ca="1">[1]!BexGetData("DP_1","003N8EMH8GTFRCSWKMPXRS42M","GSON1112030141")</f>
        <v>#NAME?</v>
      </c>
      <c r="I131" s="4" t="e">
        <f ca="1">[1]!BexGetData("DP_1","003N8EMH8GTFRCSWKMPXRSAE6","GSON1112030141")</f>
        <v>#NAME?</v>
      </c>
      <c r="J131" s="4" t="e">
        <f ca="1">[1]!BexGetData("DP_1","003N8EMH8GTFRCSWKMPXRSGPQ","GSON1112030141")</f>
        <v>#NAME?</v>
      </c>
      <c r="K131" s="8" t="e">
        <f ca="1">[1]!BexGetData("DP_1","003N8EMH8GTFRIVNUPY288VJH","GSON1112030141")</f>
        <v>#NAME?</v>
      </c>
      <c r="L131" s="8" t="e">
        <f ca="1">[1]!BexGetData("DP_1","003N8EMH8GTFRIVNUPY2891V1","GSON1112030141")</f>
        <v>#NAME?</v>
      </c>
      <c r="M131" s="8" t="e">
        <f ca="1">[1]!BexGetData("DP_1","003N8EMH8GTFRIVOG7KG9IQXA","GSON1112030141")</f>
        <v>#NAME?</v>
      </c>
      <c r="N131" s="8" t="e">
        <f ca="1">[1]!BexGetData("DP_1","003N8EMH8GTFRIVOG7KG9IX8U","GSON1112030141")</f>
        <v>#NAME?</v>
      </c>
      <c r="O131" s="8" t="e">
        <f ca="1">[1]!BexGetData("DP_1","003N8EMH8GTFRIVOG7KG9J3KE","GSON1112030141")</f>
        <v>#NAME?</v>
      </c>
      <c r="P131" s="8" t="e">
        <f ca="1">[1]!BexGetData("DP_1","003N8EMH8GTFRIVOG7KG9J9VY","GSON1112030141")</f>
        <v>#NAME?</v>
      </c>
      <c r="Q131" s="4" t="e">
        <f ca="1">[1]!BexGetData("DP_1","00O2TNJGODT0G5Z4TTKYMM5MT","GSON1112030141")</f>
        <v>#NAME?</v>
      </c>
      <c r="R131" s="4" t="e">
        <f ca="1">[1]!BexGetData("DP_1","00O2TNJGODT0G5Z4TTKYMMBYD","GSON1112030141")</f>
        <v>#NAME?</v>
      </c>
      <c r="S131" s="4" t="e">
        <f ca="1">[1]!BexGetData("DP_1","00O2TNJGODT0G5Z4TTKYMMI9X","GSON1112030141")</f>
        <v>#NAME?</v>
      </c>
      <c r="T131" s="4" t="e">
        <f ca="1">[1]!BexGetData("DP_1","00O2TNJGODT0G5Z4TTKYMMOLH","GSON1112030141")</f>
        <v>#NAME?</v>
      </c>
      <c r="U131" s="4" t="e">
        <f ca="1">[1]!BexGetData("DP_1","00O2TNJGODT0G5Z4TTKYMMUX1","GSON1112030141")</f>
        <v>#NAME?</v>
      </c>
      <c r="V131" s="4" t="e">
        <f ca="1">[1]!BexGetData("DP_1","00O2TNJGODT0G5Z4TTKYMN18L","GSON1112030141")</f>
        <v>#NAME?</v>
      </c>
      <c r="W131" s="4" t="e">
        <f ca="1">[1]!BexGetData("DP_1","00O2TNJGODT0G5Z4TTKYMN7K5","GSON1112030141")</f>
        <v>#NAME?</v>
      </c>
    </row>
    <row r="132" spans="1:23" x14ac:dyDescent="0.2">
      <c r="A132" s="16" t="s">
        <v>1905</v>
      </c>
      <c r="B132" s="7" t="s">
        <v>1906</v>
      </c>
      <c r="C132" s="3" t="e">
        <f ca="1">[1]!BexGetData("DP_1","003N8EMH8GTFRCSWKMPXRR8GU","GSON1112030145")</f>
        <v>#NAME?</v>
      </c>
      <c r="D132" s="3" t="e">
        <f ca="1">[1]!BexGetData("DP_1","003N8EMH8GTFRCSWKMPXRRESE","GSON1112030145")</f>
        <v>#NAME?</v>
      </c>
      <c r="E132" s="8" t="e">
        <f ca="1">[1]!BexGetData("DP_1","003N8EMH8GTFRCSWKMPXRRL3Y","GSON1112030145")</f>
        <v>#NAME?</v>
      </c>
      <c r="F132" s="4" t="e">
        <f ca="1">[1]!BexGetData("DP_1","003N8EMH8GTFRCSWKMPXRRRFI","GSON1112030145")</f>
        <v>#NAME?</v>
      </c>
      <c r="G132" s="4" t="e">
        <f ca="1">[1]!BexGetData("DP_1","003N8EMH8GTFRCSWKMPXRRXR2","GSON1112030145")</f>
        <v>#NAME?</v>
      </c>
      <c r="H132" s="4" t="e">
        <f ca="1">[1]!BexGetData("DP_1","003N8EMH8GTFRCSWKMPXRS42M","GSON1112030145")</f>
        <v>#NAME?</v>
      </c>
      <c r="I132" s="4" t="e">
        <f ca="1">[1]!BexGetData("DP_1","003N8EMH8GTFRCSWKMPXRSAE6","GSON1112030145")</f>
        <v>#NAME?</v>
      </c>
      <c r="J132" s="4" t="e">
        <f ca="1">[1]!BexGetData("DP_1","003N8EMH8GTFRCSWKMPXRSGPQ","GSON1112030145")</f>
        <v>#NAME?</v>
      </c>
      <c r="K132" s="8" t="e">
        <f ca="1">[1]!BexGetData("DP_1","003N8EMH8GTFRIVNUPY288VJH","GSON1112030145")</f>
        <v>#NAME?</v>
      </c>
      <c r="L132" s="8" t="e">
        <f ca="1">[1]!BexGetData("DP_1","003N8EMH8GTFRIVNUPY2891V1","GSON1112030145")</f>
        <v>#NAME?</v>
      </c>
      <c r="M132" s="8" t="e">
        <f ca="1">[1]!BexGetData("DP_1","003N8EMH8GTFRIVOG7KG9IQXA","GSON1112030145")</f>
        <v>#NAME?</v>
      </c>
      <c r="N132" s="8" t="e">
        <f ca="1">[1]!BexGetData("DP_1","003N8EMH8GTFRIVOG7KG9IX8U","GSON1112030145")</f>
        <v>#NAME?</v>
      </c>
      <c r="O132" s="8" t="e">
        <f ca="1">[1]!BexGetData("DP_1","003N8EMH8GTFRIVOG7KG9J3KE","GSON1112030145")</f>
        <v>#NAME?</v>
      </c>
      <c r="P132" s="8" t="e">
        <f ca="1">[1]!BexGetData("DP_1","003N8EMH8GTFRIVOG7KG9J9VY","GSON1112030145")</f>
        <v>#NAME?</v>
      </c>
      <c r="Q132" s="4" t="e">
        <f ca="1">[1]!BexGetData("DP_1","00O2TNJGODT0G5Z4TTKYMM5MT","GSON1112030145")</f>
        <v>#NAME?</v>
      </c>
      <c r="R132" s="4" t="e">
        <f ca="1">[1]!BexGetData("DP_1","00O2TNJGODT0G5Z4TTKYMMBYD","GSON1112030145")</f>
        <v>#NAME?</v>
      </c>
      <c r="S132" s="4" t="e">
        <f ca="1">[1]!BexGetData("DP_1","00O2TNJGODT0G5Z4TTKYMMI9X","GSON1112030145")</f>
        <v>#NAME?</v>
      </c>
      <c r="T132" s="4" t="e">
        <f ca="1">[1]!BexGetData("DP_1","00O2TNJGODT0G5Z4TTKYMMOLH","GSON1112030145")</f>
        <v>#NAME?</v>
      </c>
      <c r="U132" s="4" t="e">
        <f ca="1">[1]!BexGetData("DP_1","00O2TNJGODT0G5Z4TTKYMMUX1","GSON1112030145")</f>
        <v>#NAME?</v>
      </c>
      <c r="V132" s="4" t="e">
        <f ca="1">[1]!BexGetData("DP_1","00O2TNJGODT0G5Z4TTKYMN18L","GSON1112030145")</f>
        <v>#NAME?</v>
      </c>
      <c r="W132" s="4" t="e">
        <f ca="1">[1]!BexGetData("DP_1","00O2TNJGODT0G5Z4TTKYMN7K5","GSON1112030145")</f>
        <v>#NAME?</v>
      </c>
    </row>
    <row r="133" spans="1:23" x14ac:dyDescent="0.2">
      <c r="A133" s="16" t="s">
        <v>1907</v>
      </c>
      <c r="B133" s="7" t="s">
        <v>1908</v>
      </c>
      <c r="C133" s="3" t="e">
        <f ca="1">[1]!BexGetData("DP_1","003N8EMH8GTFRCSWKMPXRR8GU","GSON1112030160")</f>
        <v>#NAME?</v>
      </c>
      <c r="D133" s="3" t="e">
        <f ca="1">[1]!BexGetData("DP_1","003N8EMH8GTFRCSWKMPXRRESE","GSON1112030160")</f>
        <v>#NAME?</v>
      </c>
      <c r="E133" s="8" t="e">
        <f ca="1">[1]!BexGetData("DP_1","003N8EMH8GTFRCSWKMPXRRL3Y","GSON1112030160")</f>
        <v>#NAME?</v>
      </c>
      <c r="F133" s="3" t="e">
        <f ca="1">[1]!BexGetData("DP_1","003N8EMH8GTFRCSWKMPXRRRFI","GSON1112030160")</f>
        <v>#NAME?</v>
      </c>
      <c r="G133" s="3" t="e">
        <f ca="1">[1]!BexGetData("DP_1","003N8EMH8GTFRCSWKMPXRRXR2","GSON1112030160")</f>
        <v>#NAME?</v>
      </c>
      <c r="H133" s="8" t="e">
        <f ca="1">[1]!BexGetData("DP_1","003N8EMH8GTFRCSWKMPXRS42M","GSON1112030160")</f>
        <v>#NAME?</v>
      </c>
      <c r="I133" s="3" t="e">
        <f ca="1">[1]!BexGetData("DP_1","003N8EMH8GTFRCSWKMPXRSAE6","GSON1112030160")</f>
        <v>#NAME?</v>
      </c>
      <c r="J133" s="4" t="e">
        <f ca="1">[1]!BexGetData("DP_1","003N8EMH8GTFRCSWKMPXRSGPQ","GSON1112030160")</f>
        <v>#NAME?</v>
      </c>
      <c r="K133" s="3" t="e">
        <f ca="1">[1]!BexGetData("DP_1","003N8EMH8GTFRIVNUPY288VJH","GSON1112030160")</f>
        <v>#NAME?</v>
      </c>
      <c r="L133" s="3" t="e">
        <f ca="1">[1]!BexGetData("DP_1","003N8EMH8GTFRIVNUPY2891V1","GSON1112030160")</f>
        <v>#NAME?</v>
      </c>
      <c r="M133" s="3" t="e">
        <f ca="1">[1]!BexGetData("DP_1","003N8EMH8GTFRIVOG7KG9IQXA","GSON1112030160")</f>
        <v>#NAME?</v>
      </c>
      <c r="N133" s="8" t="e">
        <f ca="1">[1]!BexGetData("DP_1","003N8EMH8GTFRIVOG7KG9IX8U","GSON1112030160")</f>
        <v>#NAME?</v>
      </c>
      <c r="O133" s="3" t="e">
        <f ca="1">[1]!BexGetData("DP_1","003N8EMH8GTFRIVOG7KG9J3KE","GSON1112030160")</f>
        <v>#NAME?</v>
      </c>
      <c r="P133" s="8" t="e">
        <f ca="1">[1]!BexGetData("DP_1","003N8EMH8GTFRIVOG7KG9J9VY","GSON1112030160")</f>
        <v>#NAME?</v>
      </c>
      <c r="Q133" s="4" t="e">
        <f ca="1">[1]!BexGetData("DP_1","00O2TNJGODT0G5Z4TTKYMM5MT","GSON1112030160")</f>
        <v>#NAME?</v>
      </c>
      <c r="R133" s="3" t="e">
        <f ca="1">[1]!BexGetData("DP_1","00O2TNJGODT0G5Z4TTKYMMBYD","GSON1112030160")</f>
        <v>#NAME?</v>
      </c>
      <c r="S133" s="3" t="e">
        <f ca="1">[1]!BexGetData("DP_1","00O2TNJGODT0G5Z4TTKYMMI9X","GSON1112030160")</f>
        <v>#NAME?</v>
      </c>
      <c r="T133" s="8" t="e">
        <f ca="1">[1]!BexGetData("DP_1","00O2TNJGODT0G5Z4TTKYMMOLH","GSON1112030160")</f>
        <v>#NAME?</v>
      </c>
      <c r="U133" s="3" t="e">
        <f ca="1">[1]!BexGetData("DP_1","00O2TNJGODT0G5Z4TTKYMMUX1","GSON1112030160")</f>
        <v>#NAME?</v>
      </c>
      <c r="V133" s="8" t="e">
        <f ca="1">[1]!BexGetData("DP_1","00O2TNJGODT0G5Z4TTKYMN18L","GSON1112030160")</f>
        <v>#NAME?</v>
      </c>
      <c r="W133" s="3" t="e">
        <f ca="1">[1]!BexGetData("DP_1","00O2TNJGODT0G5Z4TTKYMN7K5","GSON1112030160")</f>
        <v>#NAME?</v>
      </c>
    </row>
    <row r="134" spans="1:23" x14ac:dyDescent="0.2">
      <c r="A134" s="16" t="s">
        <v>1909</v>
      </c>
      <c r="B134" s="7" t="s">
        <v>1910</v>
      </c>
      <c r="C134" s="3" t="e">
        <f ca="1">[1]!BexGetData("DP_1","003N8EMH8GTFRCSWKMPXRR8GU","GSON1112030161")</f>
        <v>#NAME?</v>
      </c>
      <c r="D134" s="3" t="e">
        <f ca="1">[1]!BexGetData("DP_1","003N8EMH8GTFRCSWKMPXRRESE","GSON1112030161")</f>
        <v>#NAME?</v>
      </c>
      <c r="E134" s="8" t="e">
        <f ca="1">[1]!BexGetData("DP_1","003N8EMH8GTFRCSWKMPXRRL3Y","GSON1112030161")</f>
        <v>#NAME?</v>
      </c>
      <c r="F134" s="4" t="e">
        <f ca="1">[1]!BexGetData("DP_1","003N8EMH8GTFRCSWKMPXRRRFI","GSON1112030161")</f>
        <v>#NAME?</v>
      </c>
      <c r="G134" s="4" t="e">
        <f ca="1">[1]!BexGetData("DP_1","003N8EMH8GTFRCSWKMPXRRXR2","GSON1112030161")</f>
        <v>#NAME?</v>
      </c>
      <c r="H134" s="4" t="e">
        <f ca="1">[1]!BexGetData("DP_1","003N8EMH8GTFRCSWKMPXRS42M","GSON1112030161")</f>
        <v>#NAME?</v>
      </c>
      <c r="I134" s="4" t="e">
        <f ca="1">[1]!BexGetData("DP_1","003N8EMH8GTFRCSWKMPXRSAE6","GSON1112030161")</f>
        <v>#NAME?</v>
      </c>
      <c r="J134" s="4" t="e">
        <f ca="1">[1]!BexGetData("DP_1","003N8EMH8GTFRCSWKMPXRSGPQ","GSON1112030161")</f>
        <v>#NAME?</v>
      </c>
      <c r="K134" s="8" t="e">
        <f ca="1">[1]!BexGetData("DP_1","003N8EMH8GTFRIVNUPY288VJH","GSON1112030161")</f>
        <v>#NAME?</v>
      </c>
      <c r="L134" s="8" t="e">
        <f ca="1">[1]!BexGetData("DP_1","003N8EMH8GTFRIVNUPY2891V1","GSON1112030161")</f>
        <v>#NAME?</v>
      </c>
      <c r="M134" s="8" t="e">
        <f ca="1">[1]!BexGetData("DP_1","003N8EMH8GTFRIVOG7KG9IQXA","GSON1112030161")</f>
        <v>#NAME?</v>
      </c>
      <c r="N134" s="8" t="e">
        <f ca="1">[1]!BexGetData("DP_1","003N8EMH8GTFRIVOG7KG9IX8U","GSON1112030161")</f>
        <v>#NAME?</v>
      </c>
      <c r="O134" s="8" t="e">
        <f ca="1">[1]!BexGetData("DP_1","003N8EMH8GTFRIVOG7KG9J3KE","GSON1112030161")</f>
        <v>#NAME?</v>
      </c>
      <c r="P134" s="8" t="e">
        <f ca="1">[1]!BexGetData("DP_1","003N8EMH8GTFRIVOG7KG9J9VY","GSON1112030161")</f>
        <v>#NAME?</v>
      </c>
      <c r="Q134" s="4" t="e">
        <f ca="1">[1]!BexGetData("DP_1","00O2TNJGODT0G5Z4TTKYMM5MT","GSON1112030161")</f>
        <v>#NAME?</v>
      </c>
      <c r="R134" s="4" t="e">
        <f ca="1">[1]!BexGetData("DP_1","00O2TNJGODT0G5Z4TTKYMMBYD","GSON1112030161")</f>
        <v>#NAME?</v>
      </c>
      <c r="S134" s="4" t="e">
        <f ca="1">[1]!BexGetData("DP_1","00O2TNJGODT0G5Z4TTKYMMI9X","GSON1112030161")</f>
        <v>#NAME?</v>
      </c>
      <c r="T134" s="4" t="e">
        <f ca="1">[1]!BexGetData("DP_1","00O2TNJGODT0G5Z4TTKYMMOLH","GSON1112030161")</f>
        <v>#NAME?</v>
      </c>
      <c r="U134" s="4" t="e">
        <f ca="1">[1]!BexGetData("DP_1","00O2TNJGODT0G5Z4TTKYMMUX1","GSON1112030161")</f>
        <v>#NAME?</v>
      </c>
      <c r="V134" s="4" t="e">
        <f ca="1">[1]!BexGetData("DP_1","00O2TNJGODT0G5Z4TTKYMN18L","GSON1112030161")</f>
        <v>#NAME?</v>
      </c>
      <c r="W134" s="4" t="e">
        <f ca="1">[1]!BexGetData("DP_1","00O2TNJGODT0G5Z4TTKYMN7K5","GSON1112030161")</f>
        <v>#NAME?</v>
      </c>
    </row>
    <row r="135" spans="1:23" x14ac:dyDescent="0.2">
      <c r="A135" s="16" t="s">
        <v>1911</v>
      </c>
      <c r="B135" s="7" t="s">
        <v>1912</v>
      </c>
      <c r="C135" s="3" t="e">
        <f ca="1">[1]!BexGetData("DP_1","003N8EMH8GTFRCSWKMPXRR8GU","GSON1112030163")</f>
        <v>#NAME?</v>
      </c>
      <c r="D135" s="3" t="e">
        <f ca="1">[1]!BexGetData("DP_1","003N8EMH8GTFRCSWKMPXRRESE","GSON1112030163")</f>
        <v>#NAME?</v>
      </c>
      <c r="E135" s="8" t="e">
        <f ca="1">[1]!BexGetData("DP_1","003N8EMH8GTFRCSWKMPXRRL3Y","GSON1112030163")</f>
        <v>#NAME?</v>
      </c>
      <c r="F135" s="4" t="e">
        <f ca="1">[1]!BexGetData("DP_1","003N8EMH8GTFRCSWKMPXRRRFI","GSON1112030163")</f>
        <v>#NAME?</v>
      </c>
      <c r="G135" s="4" t="e">
        <f ca="1">[1]!BexGetData("DP_1","003N8EMH8GTFRCSWKMPXRRXR2","GSON1112030163")</f>
        <v>#NAME?</v>
      </c>
      <c r="H135" s="4" t="e">
        <f ca="1">[1]!BexGetData("DP_1","003N8EMH8GTFRCSWKMPXRS42M","GSON1112030163")</f>
        <v>#NAME?</v>
      </c>
      <c r="I135" s="4" t="e">
        <f ca="1">[1]!BexGetData("DP_1","003N8EMH8GTFRCSWKMPXRSAE6","GSON1112030163")</f>
        <v>#NAME?</v>
      </c>
      <c r="J135" s="4" t="e">
        <f ca="1">[1]!BexGetData("DP_1","003N8EMH8GTFRCSWKMPXRSGPQ","GSON1112030163")</f>
        <v>#NAME?</v>
      </c>
      <c r="K135" s="8" t="e">
        <f ca="1">[1]!BexGetData("DP_1","003N8EMH8GTFRIVNUPY288VJH","GSON1112030163")</f>
        <v>#NAME?</v>
      </c>
      <c r="L135" s="8" t="e">
        <f ca="1">[1]!BexGetData("DP_1","003N8EMH8GTFRIVNUPY2891V1","GSON1112030163")</f>
        <v>#NAME?</v>
      </c>
      <c r="M135" s="8" t="e">
        <f ca="1">[1]!BexGetData("DP_1","003N8EMH8GTFRIVOG7KG9IQXA","GSON1112030163")</f>
        <v>#NAME?</v>
      </c>
      <c r="N135" s="8" t="e">
        <f ca="1">[1]!BexGetData("DP_1","003N8EMH8GTFRIVOG7KG9IX8U","GSON1112030163")</f>
        <v>#NAME?</v>
      </c>
      <c r="O135" s="8" t="e">
        <f ca="1">[1]!BexGetData("DP_1","003N8EMH8GTFRIVOG7KG9J3KE","GSON1112030163")</f>
        <v>#NAME?</v>
      </c>
      <c r="P135" s="8" t="e">
        <f ca="1">[1]!BexGetData("DP_1","003N8EMH8GTFRIVOG7KG9J9VY","GSON1112030163")</f>
        <v>#NAME?</v>
      </c>
      <c r="Q135" s="4" t="e">
        <f ca="1">[1]!BexGetData("DP_1","00O2TNJGODT0G5Z4TTKYMM5MT","GSON1112030163")</f>
        <v>#NAME?</v>
      </c>
      <c r="R135" s="4" t="e">
        <f ca="1">[1]!BexGetData("DP_1","00O2TNJGODT0G5Z4TTKYMMBYD","GSON1112030163")</f>
        <v>#NAME?</v>
      </c>
      <c r="S135" s="4" t="e">
        <f ca="1">[1]!BexGetData("DP_1","00O2TNJGODT0G5Z4TTKYMMI9X","GSON1112030163")</f>
        <v>#NAME?</v>
      </c>
      <c r="T135" s="4" t="e">
        <f ca="1">[1]!BexGetData("DP_1","00O2TNJGODT0G5Z4TTKYMMOLH","GSON1112030163")</f>
        <v>#NAME?</v>
      </c>
      <c r="U135" s="4" t="e">
        <f ca="1">[1]!BexGetData("DP_1","00O2TNJGODT0G5Z4TTKYMMUX1","GSON1112030163")</f>
        <v>#NAME?</v>
      </c>
      <c r="V135" s="4" t="e">
        <f ca="1">[1]!BexGetData("DP_1","00O2TNJGODT0G5Z4TTKYMN18L","GSON1112030163")</f>
        <v>#NAME?</v>
      </c>
      <c r="W135" s="4" t="e">
        <f ca="1">[1]!BexGetData("DP_1","00O2TNJGODT0G5Z4TTKYMN7K5","GSON1112030163")</f>
        <v>#NAME?</v>
      </c>
    </row>
    <row r="136" spans="1:23" x14ac:dyDescent="0.2">
      <c r="A136" s="16" t="s">
        <v>1913</v>
      </c>
      <c r="B136" s="7" t="s">
        <v>1914</v>
      </c>
      <c r="C136" s="3" t="e">
        <f ca="1">[1]!BexGetData("DP_1","003N8EMH8GTFRCSWKMPXRR8GU","GSON1112030164")</f>
        <v>#NAME?</v>
      </c>
      <c r="D136" s="3" t="e">
        <f ca="1">[1]!BexGetData("DP_1","003N8EMH8GTFRCSWKMPXRRESE","GSON1112030164")</f>
        <v>#NAME?</v>
      </c>
      <c r="E136" s="8" t="e">
        <f ca="1">[1]!BexGetData("DP_1","003N8EMH8GTFRCSWKMPXRRL3Y","GSON1112030164")</f>
        <v>#NAME?</v>
      </c>
      <c r="F136" s="4" t="e">
        <f ca="1">[1]!BexGetData("DP_1","003N8EMH8GTFRCSWKMPXRRRFI","GSON1112030164")</f>
        <v>#NAME?</v>
      </c>
      <c r="G136" s="4" t="e">
        <f ca="1">[1]!BexGetData("DP_1","003N8EMH8GTFRCSWKMPXRRXR2","GSON1112030164")</f>
        <v>#NAME?</v>
      </c>
      <c r="H136" s="4" t="e">
        <f ca="1">[1]!BexGetData("DP_1","003N8EMH8GTFRCSWKMPXRS42M","GSON1112030164")</f>
        <v>#NAME?</v>
      </c>
      <c r="I136" s="4" t="e">
        <f ca="1">[1]!BexGetData("DP_1","003N8EMH8GTFRCSWKMPXRSAE6","GSON1112030164")</f>
        <v>#NAME?</v>
      </c>
      <c r="J136" s="4" t="e">
        <f ca="1">[1]!BexGetData("DP_1","003N8EMH8GTFRCSWKMPXRSGPQ","GSON1112030164")</f>
        <v>#NAME?</v>
      </c>
      <c r="K136" s="8" t="e">
        <f ca="1">[1]!BexGetData("DP_1","003N8EMH8GTFRIVNUPY288VJH","GSON1112030164")</f>
        <v>#NAME?</v>
      </c>
      <c r="L136" s="8" t="e">
        <f ca="1">[1]!BexGetData("DP_1","003N8EMH8GTFRIVNUPY2891V1","GSON1112030164")</f>
        <v>#NAME?</v>
      </c>
      <c r="M136" s="8" t="e">
        <f ca="1">[1]!BexGetData("DP_1","003N8EMH8GTFRIVOG7KG9IQXA","GSON1112030164")</f>
        <v>#NAME?</v>
      </c>
      <c r="N136" s="8" t="e">
        <f ca="1">[1]!BexGetData("DP_1","003N8EMH8GTFRIVOG7KG9IX8U","GSON1112030164")</f>
        <v>#NAME?</v>
      </c>
      <c r="O136" s="8" t="e">
        <f ca="1">[1]!BexGetData("DP_1","003N8EMH8GTFRIVOG7KG9J3KE","GSON1112030164")</f>
        <v>#NAME?</v>
      </c>
      <c r="P136" s="8" t="e">
        <f ca="1">[1]!BexGetData("DP_1","003N8EMH8GTFRIVOG7KG9J9VY","GSON1112030164")</f>
        <v>#NAME?</v>
      </c>
      <c r="Q136" s="4" t="e">
        <f ca="1">[1]!BexGetData("DP_1","00O2TNJGODT0G5Z4TTKYMM5MT","GSON1112030164")</f>
        <v>#NAME?</v>
      </c>
      <c r="R136" s="4" t="e">
        <f ca="1">[1]!BexGetData("DP_1","00O2TNJGODT0G5Z4TTKYMMBYD","GSON1112030164")</f>
        <v>#NAME?</v>
      </c>
      <c r="S136" s="4" t="e">
        <f ca="1">[1]!BexGetData("DP_1","00O2TNJGODT0G5Z4TTKYMMI9X","GSON1112030164")</f>
        <v>#NAME?</v>
      </c>
      <c r="T136" s="4" t="e">
        <f ca="1">[1]!BexGetData("DP_1","00O2TNJGODT0G5Z4TTKYMMOLH","GSON1112030164")</f>
        <v>#NAME?</v>
      </c>
      <c r="U136" s="4" t="e">
        <f ca="1">[1]!BexGetData("DP_1","00O2TNJGODT0G5Z4TTKYMMUX1","GSON1112030164")</f>
        <v>#NAME?</v>
      </c>
      <c r="V136" s="4" t="e">
        <f ca="1">[1]!BexGetData("DP_1","00O2TNJGODT0G5Z4TTKYMN18L","GSON1112030164")</f>
        <v>#NAME?</v>
      </c>
      <c r="W136" s="4" t="e">
        <f ca="1">[1]!BexGetData("DP_1","00O2TNJGODT0G5Z4TTKYMN7K5","GSON1112030164")</f>
        <v>#NAME?</v>
      </c>
    </row>
    <row r="137" spans="1:23" x14ac:dyDescent="0.2">
      <c r="A137" s="16" t="s">
        <v>1915</v>
      </c>
      <c r="B137" s="7" t="s">
        <v>1916</v>
      </c>
      <c r="C137" s="3" t="e">
        <f ca="1">[1]!BexGetData("DP_1","003N8EMH8GTFRCSWKMPXRR8GU","GSON1112030165")</f>
        <v>#NAME?</v>
      </c>
      <c r="D137" s="3" t="e">
        <f ca="1">[1]!BexGetData("DP_1","003N8EMH8GTFRCSWKMPXRRESE","GSON1112030165")</f>
        <v>#NAME?</v>
      </c>
      <c r="E137" s="8" t="e">
        <f ca="1">[1]!BexGetData("DP_1","003N8EMH8GTFRCSWKMPXRRL3Y","GSON1112030165")</f>
        <v>#NAME?</v>
      </c>
      <c r="F137" s="4" t="e">
        <f ca="1">[1]!BexGetData("DP_1","003N8EMH8GTFRCSWKMPXRRRFI","GSON1112030165")</f>
        <v>#NAME?</v>
      </c>
      <c r="G137" s="4" t="e">
        <f ca="1">[1]!BexGetData("DP_1","003N8EMH8GTFRCSWKMPXRRXR2","GSON1112030165")</f>
        <v>#NAME?</v>
      </c>
      <c r="H137" s="4" t="e">
        <f ca="1">[1]!BexGetData("DP_1","003N8EMH8GTFRCSWKMPXRS42M","GSON1112030165")</f>
        <v>#NAME?</v>
      </c>
      <c r="I137" s="4" t="e">
        <f ca="1">[1]!BexGetData("DP_1","003N8EMH8GTFRCSWKMPXRSAE6","GSON1112030165")</f>
        <v>#NAME?</v>
      </c>
      <c r="J137" s="4" t="e">
        <f ca="1">[1]!BexGetData("DP_1","003N8EMH8GTFRCSWKMPXRSGPQ","GSON1112030165")</f>
        <v>#NAME?</v>
      </c>
      <c r="K137" s="8" t="e">
        <f ca="1">[1]!BexGetData("DP_1","003N8EMH8GTFRIVNUPY288VJH","GSON1112030165")</f>
        <v>#NAME?</v>
      </c>
      <c r="L137" s="8" t="e">
        <f ca="1">[1]!BexGetData("DP_1","003N8EMH8GTFRIVNUPY2891V1","GSON1112030165")</f>
        <v>#NAME?</v>
      </c>
      <c r="M137" s="8" t="e">
        <f ca="1">[1]!BexGetData("DP_1","003N8EMH8GTFRIVOG7KG9IQXA","GSON1112030165")</f>
        <v>#NAME?</v>
      </c>
      <c r="N137" s="8" t="e">
        <f ca="1">[1]!BexGetData("DP_1","003N8EMH8GTFRIVOG7KG9IX8U","GSON1112030165")</f>
        <v>#NAME?</v>
      </c>
      <c r="O137" s="8" t="e">
        <f ca="1">[1]!BexGetData("DP_1","003N8EMH8GTFRIVOG7KG9J3KE","GSON1112030165")</f>
        <v>#NAME?</v>
      </c>
      <c r="P137" s="8" t="e">
        <f ca="1">[1]!BexGetData("DP_1","003N8EMH8GTFRIVOG7KG9J9VY","GSON1112030165")</f>
        <v>#NAME?</v>
      </c>
      <c r="Q137" s="4" t="e">
        <f ca="1">[1]!BexGetData("DP_1","00O2TNJGODT0G5Z4TTKYMM5MT","GSON1112030165")</f>
        <v>#NAME?</v>
      </c>
      <c r="R137" s="4" t="e">
        <f ca="1">[1]!BexGetData("DP_1","00O2TNJGODT0G5Z4TTKYMMBYD","GSON1112030165")</f>
        <v>#NAME?</v>
      </c>
      <c r="S137" s="4" t="e">
        <f ca="1">[1]!BexGetData("DP_1","00O2TNJGODT0G5Z4TTKYMMI9X","GSON1112030165")</f>
        <v>#NAME?</v>
      </c>
      <c r="T137" s="4" t="e">
        <f ca="1">[1]!BexGetData("DP_1","00O2TNJGODT0G5Z4TTKYMMOLH","GSON1112030165")</f>
        <v>#NAME?</v>
      </c>
      <c r="U137" s="4" t="e">
        <f ca="1">[1]!BexGetData("DP_1","00O2TNJGODT0G5Z4TTKYMMUX1","GSON1112030165")</f>
        <v>#NAME?</v>
      </c>
      <c r="V137" s="4" t="e">
        <f ca="1">[1]!BexGetData("DP_1","00O2TNJGODT0G5Z4TTKYMN18L","GSON1112030165")</f>
        <v>#NAME?</v>
      </c>
      <c r="W137" s="4" t="e">
        <f ca="1">[1]!BexGetData("DP_1","00O2TNJGODT0G5Z4TTKYMN7K5","GSON1112030165")</f>
        <v>#NAME?</v>
      </c>
    </row>
    <row r="138" spans="1:23" x14ac:dyDescent="0.2">
      <c r="A138" s="16" t="s">
        <v>1917</v>
      </c>
      <c r="B138" s="7" t="s">
        <v>769</v>
      </c>
      <c r="C138" s="3" t="e">
        <f ca="1">[1]!BexGetData("DP_1","003N8EMH8GTFRCSWKMPXRR8GU","GSON1112030170")</f>
        <v>#NAME?</v>
      </c>
      <c r="D138" s="3" t="e">
        <f ca="1">[1]!BexGetData("DP_1","003N8EMH8GTFRCSWKMPXRRESE","GSON1112030170")</f>
        <v>#NAME?</v>
      </c>
      <c r="E138" s="3" t="e">
        <f ca="1">[1]!BexGetData("DP_1","003N8EMH8GTFRCSWKMPXRRL3Y","GSON1112030170")</f>
        <v>#NAME?</v>
      </c>
      <c r="F138" s="3" t="e">
        <f ca="1">[1]!BexGetData("DP_1","003N8EMH8GTFRCSWKMPXRRRFI","GSON1112030170")</f>
        <v>#NAME?</v>
      </c>
      <c r="G138" s="3" t="e">
        <f ca="1">[1]!BexGetData("DP_1","003N8EMH8GTFRCSWKMPXRRXR2","GSON1112030170")</f>
        <v>#NAME?</v>
      </c>
      <c r="H138" s="8" t="e">
        <f ca="1">[1]!BexGetData("DP_1","003N8EMH8GTFRCSWKMPXRS42M","GSON1112030170")</f>
        <v>#NAME?</v>
      </c>
      <c r="I138" s="3" t="e">
        <f ca="1">[1]!BexGetData("DP_1","003N8EMH8GTFRCSWKMPXRSAE6","GSON1112030170")</f>
        <v>#NAME?</v>
      </c>
      <c r="J138" s="4" t="e">
        <f ca="1">[1]!BexGetData("DP_1","003N8EMH8GTFRCSWKMPXRSGPQ","GSON1112030170")</f>
        <v>#NAME?</v>
      </c>
      <c r="K138" s="3" t="e">
        <f ca="1">[1]!BexGetData("DP_1","003N8EMH8GTFRIVNUPY288VJH","GSON1112030170")</f>
        <v>#NAME?</v>
      </c>
      <c r="L138" s="3" t="e">
        <f ca="1">[1]!BexGetData("DP_1","003N8EMH8GTFRIVNUPY2891V1","GSON1112030170")</f>
        <v>#NAME?</v>
      </c>
      <c r="M138" s="8" t="e">
        <f ca="1">[1]!BexGetData("DP_1","003N8EMH8GTFRIVOG7KG9IQXA","GSON1112030170")</f>
        <v>#NAME?</v>
      </c>
      <c r="N138" s="3" t="e">
        <f ca="1">[1]!BexGetData("DP_1","003N8EMH8GTFRIVOG7KG9IX8U","GSON1112030170")</f>
        <v>#NAME?</v>
      </c>
      <c r="O138" s="8" t="e">
        <f ca="1">[1]!BexGetData("DP_1","003N8EMH8GTFRIVOG7KG9J3KE","GSON1112030170")</f>
        <v>#NAME?</v>
      </c>
      <c r="P138" s="3" t="e">
        <f ca="1">[1]!BexGetData("DP_1","003N8EMH8GTFRIVOG7KG9J9VY","GSON1112030170")</f>
        <v>#NAME?</v>
      </c>
      <c r="Q138" s="4" t="e">
        <f ca="1">[1]!BexGetData("DP_1","00O2TNJGODT0G5Z4TTKYMM5MT","GSON1112030170")</f>
        <v>#NAME?</v>
      </c>
      <c r="R138" s="3" t="e">
        <f ca="1">[1]!BexGetData("DP_1","00O2TNJGODT0G5Z4TTKYMMBYD","GSON1112030170")</f>
        <v>#NAME?</v>
      </c>
      <c r="S138" s="3" t="e">
        <f ca="1">[1]!BexGetData("DP_1","00O2TNJGODT0G5Z4TTKYMMI9X","GSON1112030170")</f>
        <v>#NAME?</v>
      </c>
      <c r="T138" s="8" t="e">
        <f ca="1">[1]!BexGetData("DP_1","00O2TNJGODT0G5Z4TTKYMMOLH","GSON1112030170")</f>
        <v>#NAME?</v>
      </c>
      <c r="U138" s="3" t="e">
        <f ca="1">[1]!BexGetData("DP_1","00O2TNJGODT0G5Z4TTKYMMUX1","GSON1112030170")</f>
        <v>#NAME?</v>
      </c>
      <c r="V138" s="8" t="e">
        <f ca="1">[1]!BexGetData("DP_1","00O2TNJGODT0G5Z4TTKYMN18L","GSON1112030170")</f>
        <v>#NAME?</v>
      </c>
      <c r="W138" s="3" t="e">
        <f ca="1">[1]!BexGetData("DP_1","00O2TNJGODT0G5Z4TTKYMN7K5","GSON1112030170")</f>
        <v>#NAME?</v>
      </c>
    </row>
    <row r="139" spans="1:23" x14ac:dyDescent="0.2">
      <c r="A139" s="16" t="s">
        <v>1918</v>
      </c>
      <c r="B139" s="7" t="s">
        <v>645</v>
      </c>
      <c r="C139" s="3" t="e">
        <f ca="1">[1]!BexGetData("DP_1","003N8EMH8GTFRCSWKMPXRR8GU","GSON1112030171")</f>
        <v>#NAME?</v>
      </c>
      <c r="D139" s="3" t="e">
        <f ca="1">[1]!BexGetData("DP_1","003N8EMH8GTFRCSWKMPXRRESE","GSON1112030171")</f>
        <v>#NAME?</v>
      </c>
      <c r="E139" s="8" t="e">
        <f ca="1">[1]!BexGetData("DP_1","003N8EMH8GTFRCSWKMPXRRL3Y","GSON1112030171")</f>
        <v>#NAME?</v>
      </c>
      <c r="F139" s="4" t="e">
        <f ca="1">[1]!BexGetData("DP_1","003N8EMH8GTFRCSWKMPXRRRFI","GSON1112030171")</f>
        <v>#NAME?</v>
      </c>
      <c r="G139" s="4" t="e">
        <f ca="1">[1]!BexGetData("DP_1","003N8EMH8GTFRCSWKMPXRRXR2","GSON1112030171")</f>
        <v>#NAME?</v>
      </c>
      <c r="H139" s="4" t="e">
        <f ca="1">[1]!BexGetData("DP_1","003N8EMH8GTFRCSWKMPXRS42M","GSON1112030171")</f>
        <v>#NAME?</v>
      </c>
      <c r="I139" s="4" t="e">
        <f ca="1">[1]!BexGetData("DP_1","003N8EMH8GTFRCSWKMPXRSAE6","GSON1112030171")</f>
        <v>#NAME?</v>
      </c>
      <c r="J139" s="4" t="e">
        <f ca="1">[1]!BexGetData("DP_1","003N8EMH8GTFRCSWKMPXRSGPQ","GSON1112030171")</f>
        <v>#NAME?</v>
      </c>
      <c r="K139" s="8" t="e">
        <f ca="1">[1]!BexGetData("DP_1","003N8EMH8GTFRIVNUPY288VJH","GSON1112030171")</f>
        <v>#NAME?</v>
      </c>
      <c r="L139" s="8" t="e">
        <f ca="1">[1]!BexGetData("DP_1","003N8EMH8GTFRIVNUPY2891V1","GSON1112030171")</f>
        <v>#NAME?</v>
      </c>
      <c r="M139" s="8" t="e">
        <f ca="1">[1]!BexGetData("DP_1","003N8EMH8GTFRIVOG7KG9IQXA","GSON1112030171")</f>
        <v>#NAME?</v>
      </c>
      <c r="N139" s="8" t="e">
        <f ca="1">[1]!BexGetData("DP_1","003N8EMH8GTFRIVOG7KG9IX8U","GSON1112030171")</f>
        <v>#NAME?</v>
      </c>
      <c r="O139" s="8" t="e">
        <f ca="1">[1]!BexGetData("DP_1","003N8EMH8GTFRIVOG7KG9J3KE","GSON1112030171")</f>
        <v>#NAME?</v>
      </c>
      <c r="P139" s="8" t="e">
        <f ca="1">[1]!BexGetData("DP_1","003N8EMH8GTFRIVOG7KG9J9VY","GSON1112030171")</f>
        <v>#NAME?</v>
      </c>
      <c r="Q139" s="4" t="e">
        <f ca="1">[1]!BexGetData("DP_1","00O2TNJGODT0G5Z4TTKYMM5MT","GSON1112030171")</f>
        <v>#NAME?</v>
      </c>
      <c r="R139" s="4" t="e">
        <f ca="1">[1]!BexGetData("DP_1","00O2TNJGODT0G5Z4TTKYMMBYD","GSON1112030171")</f>
        <v>#NAME?</v>
      </c>
      <c r="S139" s="4" t="e">
        <f ca="1">[1]!BexGetData("DP_1","00O2TNJGODT0G5Z4TTKYMMI9X","GSON1112030171")</f>
        <v>#NAME?</v>
      </c>
      <c r="T139" s="4" t="e">
        <f ca="1">[1]!BexGetData("DP_1","00O2TNJGODT0G5Z4TTKYMMOLH","GSON1112030171")</f>
        <v>#NAME?</v>
      </c>
      <c r="U139" s="4" t="e">
        <f ca="1">[1]!BexGetData("DP_1","00O2TNJGODT0G5Z4TTKYMMUX1","GSON1112030171")</f>
        <v>#NAME?</v>
      </c>
      <c r="V139" s="4" t="e">
        <f ca="1">[1]!BexGetData("DP_1","00O2TNJGODT0G5Z4TTKYMN18L","GSON1112030171")</f>
        <v>#NAME?</v>
      </c>
      <c r="W139" s="4" t="e">
        <f ca="1">[1]!BexGetData("DP_1","00O2TNJGODT0G5Z4TTKYMN7K5","GSON1112030171")</f>
        <v>#NAME?</v>
      </c>
    </row>
    <row r="140" spans="1:23" x14ac:dyDescent="0.2">
      <c r="A140" s="16" t="s">
        <v>1919</v>
      </c>
      <c r="B140" s="7" t="s">
        <v>770</v>
      </c>
      <c r="C140" s="3" t="e">
        <f ca="1">[1]!BexGetData("DP_1","003N8EMH8GTFRCSWKMPXRR8GU","GSON1112030174")</f>
        <v>#NAME?</v>
      </c>
      <c r="D140" s="3" t="e">
        <f ca="1">[1]!BexGetData("DP_1","003N8EMH8GTFRCSWKMPXRRESE","GSON1112030174")</f>
        <v>#NAME?</v>
      </c>
      <c r="E140" s="8" t="e">
        <f ca="1">[1]!BexGetData("DP_1","003N8EMH8GTFRCSWKMPXRRL3Y","GSON1112030174")</f>
        <v>#NAME?</v>
      </c>
      <c r="F140" s="4" t="e">
        <f ca="1">[1]!BexGetData("DP_1","003N8EMH8GTFRCSWKMPXRRRFI","GSON1112030174")</f>
        <v>#NAME?</v>
      </c>
      <c r="G140" s="4" t="e">
        <f ca="1">[1]!BexGetData("DP_1","003N8EMH8GTFRCSWKMPXRRXR2","GSON1112030174")</f>
        <v>#NAME?</v>
      </c>
      <c r="H140" s="4" t="e">
        <f ca="1">[1]!BexGetData("DP_1","003N8EMH8GTFRCSWKMPXRS42M","GSON1112030174")</f>
        <v>#NAME?</v>
      </c>
      <c r="I140" s="4" t="e">
        <f ca="1">[1]!BexGetData("DP_1","003N8EMH8GTFRCSWKMPXRSAE6","GSON1112030174")</f>
        <v>#NAME?</v>
      </c>
      <c r="J140" s="4" t="e">
        <f ca="1">[1]!BexGetData("DP_1","003N8EMH8GTFRCSWKMPXRSGPQ","GSON1112030174")</f>
        <v>#NAME?</v>
      </c>
      <c r="K140" s="8" t="e">
        <f ca="1">[1]!BexGetData("DP_1","003N8EMH8GTFRIVNUPY288VJH","GSON1112030174")</f>
        <v>#NAME?</v>
      </c>
      <c r="L140" s="8" t="e">
        <f ca="1">[1]!BexGetData("DP_1","003N8EMH8GTFRIVNUPY2891V1","GSON1112030174")</f>
        <v>#NAME?</v>
      </c>
      <c r="M140" s="8" t="e">
        <f ca="1">[1]!BexGetData("DP_1","003N8EMH8GTFRIVOG7KG9IQXA","GSON1112030174")</f>
        <v>#NAME?</v>
      </c>
      <c r="N140" s="8" t="e">
        <f ca="1">[1]!BexGetData("DP_1","003N8EMH8GTFRIVOG7KG9IX8U","GSON1112030174")</f>
        <v>#NAME?</v>
      </c>
      <c r="O140" s="8" t="e">
        <f ca="1">[1]!BexGetData("DP_1","003N8EMH8GTFRIVOG7KG9J3KE","GSON1112030174")</f>
        <v>#NAME?</v>
      </c>
      <c r="P140" s="8" t="e">
        <f ca="1">[1]!BexGetData("DP_1","003N8EMH8GTFRIVOG7KG9J9VY","GSON1112030174")</f>
        <v>#NAME?</v>
      </c>
      <c r="Q140" s="4" t="e">
        <f ca="1">[1]!BexGetData("DP_1","00O2TNJGODT0G5Z4TTKYMM5MT","GSON1112030174")</f>
        <v>#NAME?</v>
      </c>
      <c r="R140" s="4" t="e">
        <f ca="1">[1]!BexGetData("DP_1","00O2TNJGODT0G5Z4TTKYMMBYD","GSON1112030174")</f>
        <v>#NAME?</v>
      </c>
      <c r="S140" s="4" t="e">
        <f ca="1">[1]!BexGetData("DP_1","00O2TNJGODT0G5Z4TTKYMMI9X","GSON1112030174")</f>
        <v>#NAME?</v>
      </c>
      <c r="T140" s="4" t="e">
        <f ca="1">[1]!BexGetData("DP_1","00O2TNJGODT0G5Z4TTKYMMOLH","GSON1112030174")</f>
        <v>#NAME?</v>
      </c>
      <c r="U140" s="4" t="e">
        <f ca="1">[1]!BexGetData("DP_1","00O2TNJGODT0G5Z4TTKYMMUX1","GSON1112030174")</f>
        <v>#NAME?</v>
      </c>
      <c r="V140" s="4" t="e">
        <f ca="1">[1]!BexGetData("DP_1","00O2TNJGODT0G5Z4TTKYMN18L","GSON1112030174")</f>
        <v>#NAME?</v>
      </c>
      <c r="W140" s="4" t="e">
        <f ca="1">[1]!BexGetData("DP_1","00O2TNJGODT0G5Z4TTKYMN7K5","GSON1112030174")</f>
        <v>#NAME?</v>
      </c>
    </row>
    <row r="141" spans="1:23" x14ac:dyDescent="0.2">
      <c r="A141" s="16" t="s">
        <v>1920</v>
      </c>
      <c r="B141" s="7" t="s">
        <v>1921</v>
      </c>
      <c r="C141" s="3" t="e">
        <f ca="1">[1]!BexGetData("DP_1","003N8EMH8GTFRCSWKMPXRR8GU","GSON1112030175")</f>
        <v>#NAME?</v>
      </c>
      <c r="D141" s="3" t="e">
        <f ca="1">[1]!BexGetData("DP_1","003N8EMH8GTFRCSWKMPXRRESE","GSON1112030175")</f>
        <v>#NAME?</v>
      </c>
      <c r="E141" s="8" t="e">
        <f ca="1">[1]!BexGetData("DP_1","003N8EMH8GTFRCSWKMPXRRL3Y","GSON1112030175")</f>
        <v>#NAME?</v>
      </c>
      <c r="F141" s="4" t="e">
        <f ca="1">[1]!BexGetData("DP_1","003N8EMH8GTFRCSWKMPXRRRFI","GSON1112030175")</f>
        <v>#NAME?</v>
      </c>
      <c r="G141" s="4" t="e">
        <f ca="1">[1]!BexGetData("DP_1","003N8EMH8GTFRCSWKMPXRRXR2","GSON1112030175")</f>
        <v>#NAME?</v>
      </c>
      <c r="H141" s="4" t="e">
        <f ca="1">[1]!BexGetData("DP_1","003N8EMH8GTFRCSWKMPXRS42M","GSON1112030175")</f>
        <v>#NAME?</v>
      </c>
      <c r="I141" s="4" t="e">
        <f ca="1">[1]!BexGetData("DP_1","003N8EMH8GTFRCSWKMPXRSAE6","GSON1112030175")</f>
        <v>#NAME?</v>
      </c>
      <c r="J141" s="4" t="e">
        <f ca="1">[1]!BexGetData("DP_1","003N8EMH8GTFRCSWKMPXRSGPQ","GSON1112030175")</f>
        <v>#NAME?</v>
      </c>
      <c r="K141" s="8" t="e">
        <f ca="1">[1]!BexGetData("DP_1","003N8EMH8GTFRIVNUPY288VJH","GSON1112030175")</f>
        <v>#NAME?</v>
      </c>
      <c r="L141" s="8" t="e">
        <f ca="1">[1]!BexGetData("DP_1","003N8EMH8GTFRIVNUPY2891V1","GSON1112030175")</f>
        <v>#NAME?</v>
      </c>
      <c r="M141" s="8" t="e">
        <f ca="1">[1]!BexGetData("DP_1","003N8EMH8GTFRIVOG7KG9IQXA","GSON1112030175")</f>
        <v>#NAME?</v>
      </c>
      <c r="N141" s="8" t="e">
        <f ca="1">[1]!BexGetData("DP_1","003N8EMH8GTFRIVOG7KG9IX8U","GSON1112030175")</f>
        <v>#NAME?</v>
      </c>
      <c r="O141" s="8" t="e">
        <f ca="1">[1]!BexGetData("DP_1","003N8EMH8GTFRIVOG7KG9J3KE","GSON1112030175")</f>
        <v>#NAME?</v>
      </c>
      <c r="P141" s="8" t="e">
        <f ca="1">[1]!BexGetData("DP_1","003N8EMH8GTFRIVOG7KG9J9VY","GSON1112030175")</f>
        <v>#NAME?</v>
      </c>
      <c r="Q141" s="4" t="e">
        <f ca="1">[1]!BexGetData("DP_1","00O2TNJGODT0G5Z4TTKYMM5MT","GSON1112030175")</f>
        <v>#NAME?</v>
      </c>
      <c r="R141" s="4" t="e">
        <f ca="1">[1]!BexGetData("DP_1","00O2TNJGODT0G5Z4TTKYMMBYD","GSON1112030175")</f>
        <v>#NAME?</v>
      </c>
      <c r="S141" s="4" t="e">
        <f ca="1">[1]!BexGetData("DP_1","00O2TNJGODT0G5Z4TTKYMMI9X","GSON1112030175")</f>
        <v>#NAME?</v>
      </c>
      <c r="T141" s="4" t="e">
        <f ca="1">[1]!BexGetData("DP_1","00O2TNJGODT0G5Z4TTKYMMOLH","GSON1112030175")</f>
        <v>#NAME?</v>
      </c>
      <c r="U141" s="4" t="e">
        <f ca="1">[1]!BexGetData("DP_1","00O2TNJGODT0G5Z4TTKYMMUX1","GSON1112030175")</f>
        <v>#NAME?</v>
      </c>
      <c r="V141" s="4" t="e">
        <f ca="1">[1]!BexGetData("DP_1","00O2TNJGODT0G5Z4TTKYMN18L","GSON1112030175")</f>
        <v>#NAME?</v>
      </c>
      <c r="W141" s="4" t="e">
        <f ca="1">[1]!BexGetData("DP_1","00O2TNJGODT0G5Z4TTKYMN7K5","GSON1112030175")</f>
        <v>#NAME?</v>
      </c>
    </row>
    <row r="142" spans="1:23" x14ac:dyDescent="0.2">
      <c r="A142" s="16" t="s">
        <v>1922</v>
      </c>
      <c r="B142" s="7" t="s">
        <v>771</v>
      </c>
      <c r="C142" s="3" t="e">
        <f ca="1">[1]!BexGetData("DP_1","003N8EMH8GTFRCSWKMPXRR8GU","GSON1112030180")</f>
        <v>#NAME?</v>
      </c>
      <c r="D142" s="3" t="e">
        <f ca="1">[1]!BexGetData("DP_1","003N8EMH8GTFRCSWKMPXRRESE","GSON1112030180")</f>
        <v>#NAME?</v>
      </c>
      <c r="E142" s="3" t="e">
        <f ca="1">[1]!BexGetData("DP_1","003N8EMH8GTFRCSWKMPXRRL3Y","GSON1112030180")</f>
        <v>#NAME?</v>
      </c>
      <c r="F142" s="3" t="e">
        <f ca="1">[1]!BexGetData("DP_1","003N8EMH8GTFRCSWKMPXRRRFI","GSON1112030180")</f>
        <v>#NAME?</v>
      </c>
      <c r="G142" s="3" t="e">
        <f ca="1">[1]!BexGetData("DP_1","003N8EMH8GTFRCSWKMPXRRXR2","GSON1112030180")</f>
        <v>#NAME?</v>
      </c>
      <c r="H142" s="8" t="e">
        <f ca="1">[1]!BexGetData("DP_1","003N8EMH8GTFRCSWKMPXRS42M","GSON1112030180")</f>
        <v>#NAME?</v>
      </c>
      <c r="I142" s="3" t="e">
        <f ca="1">[1]!BexGetData("DP_1","003N8EMH8GTFRCSWKMPXRSAE6","GSON1112030180")</f>
        <v>#NAME?</v>
      </c>
      <c r="J142" s="4" t="e">
        <f ca="1">[1]!BexGetData("DP_1","003N8EMH8GTFRCSWKMPXRSGPQ","GSON1112030180")</f>
        <v>#NAME?</v>
      </c>
      <c r="K142" s="3" t="e">
        <f ca="1">[1]!BexGetData("DP_1","003N8EMH8GTFRIVNUPY288VJH","GSON1112030180")</f>
        <v>#NAME?</v>
      </c>
      <c r="L142" s="3" t="e">
        <f ca="1">[1]!BexGetData("DP_1","003N8EMH8GTFRIVNUPY2891V1","GSON1112030180")</f>
        <v>#NAME?</v>
      </c>
      <c r="M142" s="8" t="e">
        <f ca="1">[1]!BexGetData("DP_1","003N8EMH8GTFRIVOG7KG9IQXA","GSON1112030180")</f>
        <v>#NAME?</v>
      </c>
      <c r="N142" s="3" t="e">
        <f ca="1">[1]!BexGetData("DP_1","003N8EMH8GTFRIVOG7KG9IX8U","GSON1112030180")</f>
        <v>#NAME?</v>
      </c>
      <c r="O142" s="8" t="e">
        <f ca="1">[1]!BexGetData("DP_1","003N8EMH8GTFRIVOG7KG9J3KE","GSON1112030180")</f>
        <v>#NAME?</v>
      </c>
      <c r="P142" s="3" t="e">
        <f ca="1">[1]!BexGetData("DP_1","003N8EMH8GTFRIVOG7KG9J9VY","GSON1112030180")</f>
        <v>#NAME?</v>
      </c>
      <c r="Q142" s="4" t="e">
        <f ca="1">[1]!BexGetData("DP_1","00O2TNJGODT0G5Z4TTKYMM5MT","GSON1112030180")</f>
        <v>#NAME?</v>
      </c>
      <c r="R142" s="3" t="e">
        <f ca="1">[1]!BexGetData("DP_1","00O2TNJGODT0G5Z4TTKYMMBYD","GSON1112030180")</f>
        <v>#NAME?</v>
      </c>
      <c r="S142" s="3" t="e">
        <f ca="1">[1]!BexGetData("DP_1","00O2TNJGODT0G5Z4TTKYMMI9X","GSON1112030180")</f>
        <v>#NAME?</v>
      </c>
      <c r="T142" s="8" t="e">
        <f ca="1">[1]!BexGetData("DP_1","00O2TNJGODT0G5Z4TTKYMMOLH","GSON1112030180")</f>
        <v>#NAME?</v>
      </c>
      <c r="U142" s="3" t="e">
        <f ca="1">[1]!BexGetData("DP_1","00O2TNJGODT0G5Z4TTKYMMUX1","GSON1112030180")</f>
        <v>#NAME?</v>
      </c>
      <c r="V142" s="8" t="e">
        <f ca="1">[1]!BexGetData("DP_1","00O2TNJGODT0G5Z4TTKYMN18L","GSON1112030180")</f>
        <v>#NAME?</v>
      </c>
      <c r="W142" s="3" t="e">
        <f ca="1">[1]!BexGetData("DP_1","00O2TNJGODT0G5Z4TTKYMN7K5","GSON1112030180")</f>
        <v>#NAME?</v>
      </c>
    </row>
    <row r="143" spans="1:23" x14ac:dyDescent="0.2">
      <c r="A143" s="16" t="s">
        <v>1923</v>
      </c>
      <c r="B143" s="7" t="s">
        <v>772</v>
      </c>
      <c r="C143" s="3" t="e">
        <f ca="1">[1]!BexGetData("DP_1","003N8EMH8GTFRCSWKMPXRR8GU","GSON1112030181")</f>
        <v>#NAME?</v>
      </c>
      <c r="D143" s="3" t="e">
        <f ca="1">[1]!BexGetData("DP_1","003N8EMH8GTFRCSWKMPXRRESE","GSON1112030181")</f>
        <v>#NAME?</v>
      </c>
      <c r="E143" s="8" t="e">
        <f ca="1">[1]!BexGetData("DP_1","003N8EMH8GTFRCSWKMPXRRL3Y","GSON1112030181")</f>
        <v>#NAME?</v>
      </c>
      <c r="F143" s="4" t="e">
        <f ca="1">[1]!BexGetData("DP_1","003N8EMH8GTFRCSWKMPXRRRFI","GSON1112030181")</f>
        <v>#NAME?</v>
      </c>
      <c r="G143" s="4" t="e">
        <f ca="1">[1]!BexGetData("DP_1","003N8EMH8GTFRCSWKMPXRRXR2","GSON1112030181")</f>
        <v>#NAME?</v>
      </c>
      <c r="H143" s="4" t="e">
        <f ca="1">[1]!BexGetData("DP_1","003N8EMH8GTFRCSWKMPXRS42M","GSON1112030181")</f>
        <v>#NAME?</v>
      </c>
      <c r="I143" s="4" t="e">
        <f ca="1">[1]!BexGetData("DP_1","003N8EMH8GTFRCSWKMPXRSAE6","GSON1112030181")</f>
        <v>#NAME?</v>
      </c>
      <c r="J143" s="4" t="e">
        <f ca="1">[1]!BexGetData("DP_1","003N8EMH8GTFRCSWKMPXRSGPQ","GSON1112030181")</f>
        <v>#NAME?</v>
      </c>
      <c r="K143" s="8" t="e">
        <f ca="1">[1]!BexGetData("DP_1","003N8EMH8GTFRIVNUPY288VJH","GSON1112030181")</f>
        <v>#NAME?</v>
      </c>
      <c r="L143" s="8" t="e">
        <f ca="1">[1]!BexGetData("DP_1","003N8EMH8GTFRIVNUPY2891V1","GSON1112030181")</f>
        <v>#NAME?</v>
      </c>
      <c r="M143" s="8" t="e">
        <f ca="1">[1]!BexGetData("DP_1","003N8EMH8GTFRIVOG7KG9IQXA","GSON1112030181")</f>
        <v>#NAME?</v>
      </c>
      <c r="N143" s="8" t="e">
        <f ca="1">[1]!BexGetData("DP_1","003N8EMH8GTFRIVOG7KG9IX8U","GSON1112030181")</f>
        <v>#NAME?</v>
      </c>
      <c r="O143" s="8" t="e">
        <f ca="1">[1]!BexGetData("DP_1","003N8EMH8GTFRIVOG7KG9J3KE","GSON1112030181")</f>
        <v>#NAME?</v>
      </c>
      <c r="P143" s="8" t="e">
        <f ca="1">[1]!BexGetData("DP_1","003N8EMH8GTFRIVOG7KG9J9VY","GSON1112030181")</f>
        <v>#NAME?</v>
      </c>
      <c r="Q143" s="4" t="e">
        <f ca="1">[1]!BexGetData("DP_1","00O2TNJGODT0G5Z4TTKYMM5MT","GSON1112030181")</f>
        <v>#NAME?</v>
      </c>
      <c r="R143" s="4" t="e">
        <f ca="1">[1]!BexGetData("DP_1","00O2TNJGODT0G5Z4TTKYMMBYD","GSON1112030181")</f>
        <v>#NAME?</v>
      </c>
      <c r="S143" s="4" t="e">
        <f ca="1">[1]!BexGetData("DP_1","00O2TNJGODT0G5Z4TTKYMMI9X","GSON1112030181")</f>
        <v>#NAME?</v>
      </c>
      <c r="T143" s="4" t="e">
        <f ca="1">[1]!BexGetData("DP_1","00O2TNJGODT0G5Z4TTKYMMOLH","GSON1112030181")</f>
        <v>#NAME?</v>
      </c>
      <c r="U143" s="4" t="e">
        <f ca="1">[1]!BexGetData("DP_1","00O2TNJGODT0G5Z4TTKYMMUX1","GSON1112030181")</f>
        <v>#NAME?</v>
      </c>
      <c r="V143" s="4" t="e">
        <f ca="1">[1]!BexGetData("DP_1","00O2TNJGODT0G5Z4TTKYMN18L","GSON1112030181")</f>
        <v>#NAME?</v>
      </c>
      <c r="W143" s="4" t="e">
        <f ca="1">[1]!BexGetData("DP_1","00O2TNJGODT0G5Z4TTKYMN7K5","GSON1112030181")</f>
        <v>#NAME?</v>
      </c>
    </row>
    <row r="144" spans="1:23" x14ac:dyDescent="0.2">
      <c r="A144" s="16" t="s">
        <v>1924</v>
      </c>
      <c r="B144" s="7" t="s">
        <v>1925</v>
      </c>
      <c r="C144" s="3" t="e">
        <f ca="1">[1]!BexGetData("DP_1","003N8EMH8GTFRCSWKMPXRR8GU","GSON1112030185")</f>
        <v>#NAME?</v>
      </c>
      <c r="D144" s="3" t="e">
        <f ca="1">[1]!BexGetData("DP_1","003N8EMH8GTFRCSWKMPXRRESE","GSON1112030185")</f>
        <v>#NAME?</v>
      </c>
      <c r="E144" s="8" t="e">
        <f ca="1">[1]!BexGetData("DP_1","003N8EMH8GTFRCSWKMPXRRL3Y","GSON1112030185")</f>
        <v>#NAME?</v>
      </c>
      <c r="F144" s="4" t="e">
        <f ca="1">[1]!BexGetData("DP_1","003N8EMH8GTFRCSWKMPXRRRFI","GSON1112030185")</f>
        <v>#NAME?</v>
      </c>
      <c r="G144" s="4" t="e">
        <f ca="1">[1]!BexGetData("DP_1","003N8EMH8GTFRCSWKMPXRRXR2","GSON1112030185")</f>
        <v>#NAME?</v>
      </c>
      <c r="H144" s="4" t="e">
        <f ca="1">[1]!BexGetData("DP_1","003N8EMH8GTFRCSWKMPXRS42M","GSON1112030185")</f>
        <v>#NAME?</v>
      </c>
      <c r="I144" s="4" t="e">
        <f ca="1">[1]!BexGetData("DP_1","003N8EMH8GTFRCSWKMPXRSAE6","GSON1112030185")</f>
        <v>#NAME?</v>
      </c>
      <c r="J144" s="4" t="e">
        <f ca="1">[1]!BexGetData("DP_1","003N8EMH8GTFRCSWKMPXRSGPQ","GSON1112030185")</f>
        <v>#NAME?</v>
      </c>
      <c r="K144" s="8" t="e">
        <f ca="1">[1]!BexGetData("DP_1","003N8EMH8GTFRIVNUPY288VJH","GSON1112030185")</f>
        <v>#NAME?</v>
      </c>
      <c r="L144" s="8" t="e">
        <f ca="1">[1]!BexGetData("DP_1","003N8EMH8GTFRIVNUPY2891V1","GSON1112030185")</f>
        <v>#NAME?</v>
      </c>
      <c r="M144" s="8" t="e">
        <f ca="1">[1]!BexGetData("DP_1","003N8EMH8GTFRIVOG7KG9IQXA","GSON1112030185")</f>
        <v>#NAME?</v>
      </c>
      <c r="N144" s="8" t="e">
        <f ca="1">[1]!BexGetData("DP_1","003N8EMH8GTFRIVOG7KG9IX8U","GSON1112030185")</f>
        <v>#NAME?</v>
      </c>
      <c r="O144" s="8" t="e">
        <f ca="1">[1]!BexGetData("DP_1","003N8EMH8GTFRIVOG7KG9J3KE","GSON1112030185")</f>
        <v>#NAME?</v>
      </c>
      <c r="P144" s="8" t="e">
        <f ca="1">[1]!BexGetData("DP_1","003N8EMH8GTFRIVOG7KG9J9VY","GSON1112030185")</f>
        <v>#NAME?</v>
      </c>
      <c r="Q144" s="4" t="e">
        <f ca="1">[1]!BexGetData("DP_1","00O2TNJGODT0G5Z4TTKYMM5MT","GSON1112030185")</f>
        <v>#NAME?</v>
      </c>
      <c r="R144" s="4" t="e">
        <f ca="1">[1]!BexGetData("DP_1","00O2TNJGODT0G5Z4TTKYMMBYD","GSON1112030185")</f>
        <v>#NAME?</v>
      </c>
      <c r="S144" s="4" t="e">
        <f ca="1">[1]!BexGetData("DP_1","00O2TNJGODT0G5Z4TTKYMMI9X","GSON1112030185")</f>
        <v>#NAME?</v>
      </c>
      <c r="T144" s="4" t="e">
        <f ca="1">[1]!BexGetData("DP_1","00O2TNJGODT0G5Z4TTKYMMOLH","GSON1112030185")</f>
        <v>#NAME?</v>
      </c>
      <c r="U144" s="4" t="e">
        <f ca="1">[1]!BexGetData("DP_1","00O2TNJGODT0G5Z4TTKYMMUX1","GSON1112030185")</f>
        <v>#NAME?</v>
      </c>
      <c r="V144" s="4" t="e">
        <f ca="1">[1]!BexGetData("DP_1","00O2TNJGODT0G5Z4TTKYMN18L","GSON1112030185")</f>
        <v>#NAME?</v>
      </c>
      <c r="W144" s="4" t="e">
        <f ca="1">[1]!BexGetData("DP_1","00O2TNJGODT0G5Z4TTKYMN7K5","GSON1112030185")</f>
        <v>#NAME?</v>
      </c>
    </row>
    <row r="145" spans="1:23" x14ac:dyDescent="0.2">
      <c r="A145" s="16" t="s">
        <v>1926</v>
      </c>
      <c r="B145" s="7" t="s">
        <v>1927</v>
      </c>
      <c r="C145" s="8" t="e">
        <f ca="1">[1]!BexGetData("DP_1","003N8EMH8GTFRCSWKMPXRR8GU","GSON1112030190")</f>
        <v>#NAME?</v>
      </c>
      <c r="D145" s="3" t="e">
        <f ca="1">[1]!BexGetData("DP_1","003N8EMH8GTFRCSWKMPXRRESE","GSON1112030190")</f>
        <v>#NAME?</v>
      </c>
      <c r="E145" s="8" t="e">
        <f ca="1">[1]!BexGetData("DP_1","003N8EMH8GTFRCSWKMPXRRL3Y","GSON1112030190")</f>
        <v>#NAME?</v>
      </c>
      <c r="F145" s="3" t="e">
        <f ca="1">[1]!BexGetData("DP_1","003N8EMH8GTFRCSWKMPXRRRFI","GSON1112030190")</f>
        <v>#NAME?</v>
      </c>
      <c r="G145" s="3" t="e">
        <f ca="1">[1]!BexGetData("DP_1","003N8EMH8GTFRCSWKMPXRRXR2","GSON1112030190")</f>
        <v>#NAME?</v>
      </c>
      <c r="H145" s="8" t="e">
        <f ca="1">[1]!BexGetData("DP_1","003N8EMH8GTFRCSWKMPXRS42M","GSON1112030190")</f>
        <v>#NAME?</v>
      </c>
      <c r="I145" s="3" t="e">
        <f ca="1">[1]!BexGetData("DP_1","003N8EMH8GTFRCSWKMPXRSAE6","GSON1112030190")</f>
        <v>#NAME?</v>
      </c>
      <c r="J145" s="4" t="e">
        <f ca="1">[1]!BexGetData("DP_1","003N8EMH8GTFRCSWKMPXRSGPQ","GSON1112030190")</f>
        <v>#NAME?</v>
      </c>
      <c r="K145" s="3" t="e">
        <f ca="1">[1]!BexGetData("DP_1","003N8EMH8GTFRIVNUPY288VJH","GSON1112030190")</f>
        <v>#NAME?</v>
      </c>
      <c r="L145" s="3" t="e">
        <f ca="1">[1]!BexGetData("DP_1","003N8EMH8GTFRIVNUPY2891V1","GSON1112030190")</f>
        <v>#NAME?</v>
      </c>
      <c r="M145" s="3" t="e">
        <f ca="1">[1]!BexGetData("DP_1","003N8EMH8GTFRIVOG7KG9IQXA","GSON1112030190")</f>
        <v>#NAME?</v>
      </c>
      <c r="N145" s="8" t="e">
        <f ca="1">[1]!BexGetData("DP_1","003N8EMH8GTFRIVOG7KG9IX8U","GSON1112030190")</f>
        <v>#NAME?</v>
      </c>
      <c r="O145" s="3" t="e">
        <f ca="1">[1]!BexGetData("DP_1","003N8EMH8GTFRIVOG7KG9J3KE","GSON1112030190")</f>
        <v>#NAME?</v>
      </c>
      <c r="P145" s="8" t="e">
        <f ca="1">[1]!BexGetData("DP_1","003N8EMH8GTFRIVOG7KG9J9VY","GSON1112030190")</f>
        <v>#NAME?</v>
      </c>
      <c r="Q145" s="4" t="e">
        <f ca="1">[1]!BexGetData("DP_1","00O2TNJGODT0G5Z4TTKYMM5MT","GSON1112030190")</f>
        <v>#NAME?</v>
      </c>
      <c r="R145" s="3" t="e">
        <f ca="1">[1]!BexGetData("DP_1","00O2TNJGODT0G5Z4TTKYMMBYD","GSON1112030190")</f>
        <v>#NAME?</v>
      </c>
      <c r="S145" s="3" t="e">
        <f ca="1">[1]!BexGetData("DP_1","00O2TNJGODT0G5Z4TTKYMMI9X","GSON1112030190")</f>
        <v>#NAME?</v>
      </c>
      <c r="T145" s="8" t="e">
        <f ca="1">[1]!BexGetData("DP_1","00O2TNJGODT0G5Z4TTKYMMOLH","GSON1112030190")</f>
        <v>#NAME?</v>
      </c>
      <c r="U145" s="3" t="e">
        <f ca="1">[1]!BexGetData("DP_1","00O2TNJGODT0G5Z4TTKYMMUX1","GSON1112030190")</f>
        <v>#NAME?</v>
      </c>
      <c r="V145" s="8" t="e">
        <f ca="1">[1]!BexGetData("DP_1","00O2TNJGODT0G5Z4TTKYMN18L","GSON1112030190")</f>
        <v>#NAME?</v>
      </c>
      <c r="W145" s="3" t="e">
        <f ca="1">[1]!BexGetData("DP_1","00O2TNJGODT0G5Z4TTKYMN7K5","GSON1112030190")</f>
        <v>#NAME?</v>
      </c>
    </row>
    <row r="146" spans="1:23" x14ac:dyDescent="0.2">
      <c r="A146" s="16" t="s">
        <v>1928</v>
      </c>
      <c r="B146" s="7" t="s">
        <v>1929</v>
      </c>
      <c r="C146" s="3" t="e">
        <f ca="1">[1]!BexGetData("DP_1","003N8EMH8GTFRCSWKMPXRR8GU","GSON1112030193")</f>
        <v>#NAME?</v>
      </c>
      <c r="D146" s="3" t="e">
        <f ca="1">[1]!BexGetData("DP_1","003N8EMH8GTFRCSWKMPXRRESE","GSON1112030193")</f>
        <v>#NAME?</v>
      </c>
      <c r="E146" s="8" t="e">
        <f ca="1">[1]!BexGetData("DP_1","003N8EMH8GTFRCSWKMPXRRL3Y","GSON1112030193")</f>
        <v>#NAME?</v>
      </c>
      <c r="F146" s="4" t="e">
        <f ca="1">[1]!BexGetData("DP_1","003N8EMH8GTFRCSWKMPXRRRFI","GSON1112030193")</f>
        <v>#NAME?</v>
      </c>
      <c r="G146" s="4" t="e">
        <f ca="1">[1]!BexGetData("DP_1","003N8EMH8GTFRCSWKMPXRRXR2","GSON1112030193")</f>
        <v>#NAME?</v>
      </c>
      <c r="H146" s="4" t="e">
        <f ca="1">[1]!BexGetData("DP_1","003N8EMH8GTFRCSWKMPXRS42M","GSON1112030193")</f>
        <v>#NAME?</v>
      </c>
      <c r="I146" s="4" t="e">
        <f ca="1">[1]!BexGetData("DP_1","003N8EMH8GTFRCSWKMPXRSAE6","GSON1112030193")</f>
        <v>#NAME?</v>
      </c>
      <c r="J146" s="4" t="e">
        <f ca="1">[1]!BexGetData("DP_1","003N8EMH8GTFRCSWKMPXRSGPQ","GSON1112030193")</f>
        <v>#NAME?</v>
      </c>
      <c r="K146" s="8" t="e">
        <f ca="1">[1]!BexGetData("DP_1","003N8EMH8GTFRIVNUPY288VJH","GSON1112030193")</f>
        <v>#NAME?</v>
      </c>
      <c r="L146" s="8" t="e">
        <f ca="1">[1]!BexGetData("DP_1","003N8EMH8GTFRIVNUPY2891V1","GSON1112030193")</f>
        <v>#NAME?</v>
      </c>
      <c r="M146" s="8" t="e">
        <f ca="1">[1]!BexGetData("DP_1","003N8EMH8GTFRIVOG7KG9IQXA","GSON1112030193")</f>
        <v>#NAME?</v>
      </c>
      <c r="N146" s="8" t="e">
        <f ca="1">[1]!BexGetData("DP_1","003N8EMH8GTFRIVOG7KG9IX8U","GSON1112030193")</f>
        <v>#NAME?</v>
      </c>
      <c r="O146" s="8" t="e">
        <f ca="1">[1]!BexGetData("DP_1","003N8EMH8GTFRIVOG7KG9J3KE","GSON1112030193")</f>
        <v>#NAME?</v>
      </c>
      <c r="P146" s="8" t="e">
        <f ca="1">[1]!BexGetData("DP_1","003N8EMH8GTFRIVOG7KG9J9VY","GSON1112030193")</f>
        <v>#NAME?</v>
      </c>
      <c r="Q146" s="4" t="e">
        <f ca="1">[1]!BexGetData("DP_1","00O2TNJGODT0G5Z4TTKYMM5MT","GSON1112030193")</f>
        <v>#NAME?</v>
      </c>
      <c r="R146" s="4" t="e">
        <f ca="1">[1]!BexGetData("DP_1","00O2TNJGODT0G5Z4TTKYMMBYD","GSON1112030193")</f>
        <v>#NAME?</v>
      </c>
      <c r="S146" s="4" t="e">
        <f ca="1">[1]!BexGetData("DP_1","00O2TNJGODT0G5Z4TTKYMMI9X","GSON1112030193")</f>
        <v>#NAME?</v>
      </c>
      <c r="T146" s="4" t="e">
        <f ca="1">[1]!BexGetData("DP_1","00O2TNJGODT0G5Z4TTKYMMOLH","GSON1112030193")</f>
        <v>#NAME?</v>
      </c>
      <c r="U146" s="4" t="e">
        <f ca="1">[1]!BexGetData("DP_1","00O2TNJGODT0G5Z4TTKYMMUX1","GSON1112030193")</f>
        <v>#NAME?</v>
      </c>
      <c r="V146" s="4" t="e">
        <f ca="1">[1]!BexGetData("DP_1","00O2TNJGODT0G5Z4TTKYMN18L","GSON1112030193")</f>
        <v>#NAME?</v>
      </c>
      <c r="W146" s="4" t="e">
        <f ca="1">[1]!BexGetData("DP_1","00O2TNJGODT0G5Z4TTKYMN7K5","GSON1112030193")</f>
        <v>#NAME?</v>
      </c>
    </row>
    <row r="147" spans="1:23" x14ac:dyDescent="0.2">
      <c r="A147" s="16" t="s">
        <v>1930</v>
      </c>
      <c r="B147" s="7" t="s">
        <v>1931</v>
      </c>
      <c r="C147" s="8" t="e">
        <f ca="1">[1]!BexGetData("DP_1","003N8EMH8GTFRCSWKMPXRR8GU","GSON1112030200")</f>
        <v>#NAME?</v>
      </c>
      <c r="D147" s="3" t="e">
        <f ca="1">[1]!BexGetData("DP_1","003N8EMH8GTFRCSWKMPXRRESE","GSON1112030200")</f>
        <v>#NAME?</v>
      </c>
      <c r="E147" s="8" t="e">
        <f ca="1">[1]!BexGetData("DP_1","003N8EMH8GTFRCSWKMPXRRL3Y","GSON1112030200")</f>
        <v>#NAME?</v>
      </c>
      <c r="F147" s="3" t="e">
        <f ca="1">[1]!BexGetData("DP_1","003N8EMH8GTFRCSWKMPXRRRFI","GSON1112030200")</f>
        <v>#NAME?</v>
      </c>
      <c r="G147" s="3" t="e">
        <f ca="1">[1]!BexGetData("DP_1","003N8EMH8GTFRCSWKMPXRRXR2","GSON1112030200")</f>
        <v>#NAME?</v>
      </c>
      <c r="H147" s="8" t="e">
        <f ca="1">[1]!BexGetData("DP_1","003N8EMH8GTFRCSWKMPXRS42M","GSON1112030200")</f>
        <v>#NAME?</v>
      </c>
      <c r="I147" s="3" t="e">
        <f ca="1">[1]!BexGetData("DP_1","003N8EMH8GTFRCSWKMPXRSAE6","GSON1112030200")</f>
        <v>#NAME?</v>
      </c>
      <c r="J147" s="4" t="e">
        <f ca="1">[1]!BexGetData("DP_1","003N8EMH8GTFRCSWKMPXRSGPQ","GSON1112030200")</f>
        <v>#NAME?</v>
      </c>
      <c r="K147" s="3" t="e">
        <f ca="1">[1]!BexGetData("DP_1","003N8EMH8GTFRIVNUPY288VJH","GSON1112030200")</f>
        <v>#NAME?</v>
      </c>
      <c r="L147" s="3" t="e">
        <f ca="1">[1]!BexGetData("DP_1","003N8EMH8GTFRIVNUPY2891V1","GSON1112030200")</f>
        <v>#NAME?</v>
      </c>
      <c r="M147" s="3" t="e">
        <f ca="1">[1]!BexGetData("DP_1","003N8EMH8GTFRIVOG7KG9IQXA","GSON1112030200")</f>
        <v>#NAME?</v>
      </c>
      <c r="N147" s="8" t="e">
        <f ca="1">[1]!BexGetData("DP_1","003N8EMH8GTFRIVOG7KG9IX8U","GSON1112030200")</f>
        <v>#NAME?</v>
      </c>
      <c r="O147" s="3" t="e">
        <f ca="1">[1]!BexGetData("DP_1","003N8EMH8GTFRIVOG7KG9J3KE","GSON1112030200")</f>
        <v>#NAME?</v>
      </c>
      <c r="P147" s="8" t="e">
        <f ca="1">[1]!BexGetData("DP_1","003N8EMH8GTFRIVOG7KG9J9VY","GSON1112030200")</f>
        <v>#NAME?</v>
      </c>
      <c r="Q147" s="4" t="e">
        <f ca="1">[1]!BexGetData("DP_1","00O2TNJGODT0G5Z4TTKYMM5MT","GSON1112030200")</f>
        <v>#NAME?</v>
      </c>
      <c r="R147" s="3" t="e">
        <f ca="1">[1]!BexGetData("DP_1","00O2TNJGODT0G5Z4TTKYMMBYD","GSON1112030200")</f>
        <v>#NAME?</v>
      </c>
      <c r="S147" s="3" t="e">
        <f ca="1">[1]!BexGetData("DP_1","00O2TNJGODT0G5Z4TTKYMMI9X","GSON1112030200")</f>
        <v>#NAME?</v>
      </c>
      <c r="T147" s="8" t="e">
        <f ca="1">[1]!BexGetData("DP_1","00O2TNJGODT0G5Z4TTKYMMOLH","GSON1112030200")</f>
        <v>#NAME?</v>
      </c>
      <c r="U147" s="3" t="e">
        <f ca="1">[1]!BexGetData("DP_1","00O2TNJGODT0G5Z4TTKYMMUX1","GSON1112030200")</f>
        <v>#NAME?</v>
      </c>
      <c r="V147" s="8" t="e">
        <f ca="1">[1]!BexGetData("DP_1","00O2TNJGODT0G5Z4TTKYMN18L","GSON1112030200")</f>
        <v>#NAME?</v>
      </c>
      <c r="W147" s="3" t="e">
        <f ca="1">[1]!BexGetData("DP_1","00O2TNJGODT0G5Z4TTKYMN7K5","GSON1112030200")</f>
        <v>#NAME?</v>
      </c>
    </row>
    <row r="148" spans="1:23" x14ac:dyDescent="0.2">
      <c r="A148" s="16" t="s">
        <v>1932</v>
      </c>
      <c r="B148" s="7" t="s">
        <v>773</v>
      </c>
      <c r="C148" s="3" t="e">
        <f ca="1">[1]!BexGetData("DP_1","003N8EMH8GTFRCSWKMPXRR8GU","GSON1112030203")</f>
        <v>#NAME?</v>
      </c>
      <c r="D148" s="3" t="e">
        <f ca="1">[1]!BexGetData("DP_1","003N8EMH8GTFRCSWKMPXRRESE","GSON1112030203")</f>
        <v>#NAME?</v>
      </c>
      <c r="E148" s="8" t="e">
        <f ca="1">[1]!BexGetData("DP_1","003N8EMH8GTFRCSWKMPXRRL3Y","GSON1112030203")</f>
        <v>#NAME?</v>
      </c>
      <c r="F148" s="4" t="e">
        <f ca="1">[1]!BexGetData("DP_1","003N8EMH8GTFRCSWKMPXRRRFI","GSON1112030203")</f>
        <v>#NAME?</v>
      </c>
      <c r="G148" s="4" t="e">
        <f ca="1">[1]!BexGetData("DP_1","003N8EMH8GTFRCSWKMPXRRXR2","GSON1112030203")</f>
        <v>#NAME?</v>
      </c>
      <c r="H148" s="4" t="e">
        <f ca="1">[1]!BexGetData("DP_1","003N8EMH8GTFRCSWKMPXRS42M","GSON1112030203")</f>
        <v>#NAME?</v>
      </c>
      <c r="I148" s="4" t="e">
        <f ca="1">[1]!BexGetData("DP_1","003N8EMH8GTFRCSWKMPXRSAE6","GSON1112030203")</f>
        <v>#NAME?</v>
      </c>
      <c r="J148" s="4" t="e">
        <f ca="1">[1]!BexGetData("DP_1","003N8EMH8GTFRCSWKMPXRSGPQ","GSON1112030203")</f>
        <v>#NAME?</v>
      </c>
      <c r="K148" s="8" t="e">
        <f ca="1">[1]!BexGetData("DP_1","003N8EMH8GTFRIVNUPY288VJH","GSON1112030203")</f>
        <v>#NAME?</v>
      </c>
      <c r="L148" s="8" t="e">
        <f ca="1">[1]!BexGetData("DP_1","003N8EMH8GTFRIVNUPY2891V1","GSON1112030203")</f>
        <v>#NAME?</v>
      </c>
      <c r="M148" s="8" t="e">
        <f ca="1">[1]!BexGetData("DP_1","003N8EMH8GTFRIVOG7KG9IQXA","GSON1112030203")</f>
        <v>#NAME?</v>
      </c>
      <c r="N148" s="8" t="e">
        <f ca="1">[1]!BexGetData("DP_1","003N8EMH8GTFRIVOG7KG9IX8U","GSON1112030203")</f>
        <v>#NAME?</v>
      </c>
      <c r="O148" s="8" t="e">
        <f ca="1">[1]!BexGetData("DP_1","003N8EMH8GTFRIVOG7KG9J3KE","GSON1112030203")</f>
        <v>#NAME?</v>
      </c>
      <c r="P148" s="8" t="e">
        <f ca="1">[1]!BexGetData("DP_1","003N8EMH8GTFRIVOG7KG9J9VY","GSON1112030203")</f>
        <v>#NAME?</v>
      </c>
      <c r="Q148" s="4" t="e">
        <f ca="1">[1]!BexGetData("DP_1","00O2TNJGODT0G5Z4TTKYMM5MT","GSON1112030203")</f>
        <v>#NAME?</v>
      </c>
      <c r="R148" s="4" t="e">
        <f ca="1">[1]!BexGetData("DP_1","00O2TNJGODT0G5Z4TTKYMMBYD","GSON1112030203")</f>
        <v>#NAME?</v>
      </c>
      <c r="S148" s="4" t="e">
        <f ca="1">[1]!BexGetData("DP_1","00O2TNJGODT0G5Z4TTKYMMI9X","GSON1112030203")</f>
        <v>#NAME?</v>
      </c>
      <c r="T148" s="4" t="e">
        <f ca="1">[1]!BexGetData("DP_1","00O2TNJGODT0G5Z4TTKYMMOLH","GSON1112030203")</f>
        <v>#NAME?</v>
      </c>
      <c r="U148" s="4" t="e">
        <f ca="1">[1]!BexGetData("DP_1","00O2TNJGODT0G5Z4TTKYMMUX1","GSON1112030203")</f>
        <v>#NAME?</v>
      </c>
      <c r="V148" s="4" t="e">
        <f ca="1">[1]!BexGetData("DP_1","00O2TNJGODT0G5Z4TTKYMN18L","GSON1112030203")</f>
        <v>#NAME?</v>
      </c>
      <c r="W148" s="4" t="e">
        <f ca="1">[1]!BexGetData("DP_1","00O2TNJGODT0G5Z4TTKYMN7K5","GSON1112030203")</f>
        <v>#NAME?</v>
      </c>
    </row>
    <row r="149" spans="1:23" x14ac:dyDescent="0.2">
      <c r="A149" s="16" t="s">
        <v>1933</v>
      </c>
      <c r="B149" s="7" t="s">
        <v>1934</v>
      </c>
      <c r="C149" s="8" t="e">
        <f ca="1">[1]!BexGetData("DP_1","003N8EMH8GTFRCSWKMPXRR8GU","GSON1112030220")</f>
        <v>#NAME?</v>
      </c>
      <c r="D149" s="3" t="e">
        <f ca="1">[1]!BexGetData("DP_1","003N8EMH8GTFRCSWKMPXRRESE","GSON1112030220")</f>
        <v>#NAME?</v>
      </c>
      <c r="E149" s="8" t="e">
        <f ca="1">[1]!BexGetData("DP_1","003N8EMH8GTFRCSWKMPXRRL3Y","GSON1112030220")</f>
        <v>#NAME?</v>
      </c>
      <c r="F149" s="3" t="e">
        <f ca="1">[1]!BexGetData("DP_1","003N8EMH8GTFRCSWKMPXRRRFI","GSON1112030220")</f>
        <v>#NAME?</v>
      </c>
      <c r="G149" s="3" t="e">
        <f ca="1">[1]!BexGetData("DP_1","003N8EMH8GTFRCSWKMPXRRXR2","GSON1112030220")</f>
        <v>#NAME?</v>
      </c>
      <c r="H149" s="8" t="e">
        <f ca="1">[1]!BexGetData("DP_1","003N8EMH8GTFRCSWKMPXRS42M","GSON1112030220")</f>
        <v>#NAME?</v>
      </c>
      <c r="I149" s="3" t="e">
        <f ca="1">[1]!BexGetData("DP_1","003N8EMH8GTFRCSWKMPXRSAE6","GSON1112030220")</f>
        <v>#NAME?</v>
      </c>
      <c r="J149" s="4" t="e">
        <f ca="1">[1]!BexGetData("DP_1","003N8EMH8GTFRCSWKMPXRSGPQ","GSON1112030220")</f>
        <v>#NAME?</v>
      </c>
      <c r="K149" s="3" t="e">
        <f ca="1">[1]!BexGetData("DP_1","003N8EMH8GTFRIVNUPY288VJH","GSON1112030220")</f>
        <v>#NAME?</v>
      </c>
      <c r="L149" s="3" t="e">
        <f ca="1">[1]!BexGetData("DP_1","003N8EMH8GTFRIVNUPY2891V1","GSON1112030220")</f>
        <v>#NAME?</v>
      </c>
      <c r="M149" s="3" t="e">
        <f ca="1">[1]!BexGetData("DP_1","003N8EMH8GTFRIVOG7KG9IQXA","GSON1112030220")</f>
        <v>#NAME?</v>
      </c>
      <c r="N149" s="8" t="e">
        <f ca="1">[1]!BexGetData("DP_1","003N8EMH8GTFRIVOG7KG9IX8U","GSON1112030220")</f>
        <v>#NAME?</v>
      </c>
      <c r="O149" s="3" t="e">
        <f ca="1">[1]!BexGetData("DP_1","003N8EMH8GTFRIVOG7KG9J3KE","GSON1112030220")</f>
        <v>#NAME?</v>
      </c>
      <c r="P149" s="8" t="e">
        <f ca="1">[1]!BexGetData("DP_1","003N8EMH8GTFRIVOG7KG9J9VY","GSON1112030220")</f>
        <v>#NAME?</v>
      </c>
      <c r="Q149" s="4" t="e">
        <f ca="1">[1]!BexGetData("DP_1","00O2TNJGODT0G5Z4TTKYMM5MT","GSON1112030220")</f>
        <v>#NAME?</v>
      </c>
      <c r="R149" s="3" t="e">
        <f ca="1">[1]!BexGetData("DP_1","00O2TNJGODT0G5Z4TTKYMMBYD","GSON1112030220")</f>
        <v>#NAME?</v>
      </c>
      <c r="S149" s="3" t="e">
        <f ca="1">[1]!BexGetData("DP_1","00O2TNJGODT0G5Z4TTKYMMI9X","GSON1112030220")</f>
        <v>#NAME?</v>
      </c>
      <c r="T149" s="8" t="e">
        <f ca="1">[1]!BexGetData("DP_1","00O2TNJGODT0G5Z4TTKYMMOLH","GSON1112030220")</f>
        <v>#NAME?</v>
      </c>
      <c r="U149" s="3" t="e">
        <f ca="1">[1]!BexGetData("DP_1","00O2TNJGODT0G5Z4TTKYMMUX1","GSON1112030220")</f>
        <v>#NAME?</v>
      </c>
      <c r="V149" s="8" t="e">
        <f ca="1">[1]!BexGetData("DP_1","00O2TNJGODT0G5Z4TTKYMN18L","GSON1112030220")</f>
        <v>#NAME?</v>
      </c>
      <c r="W149" s="3" t="e">
        <f ca="1">[1]!BexGetData("DP_1","00O2TNJGODT0G5Z4TTKYMN7K5","GSON1112030220")</f>
        <v>#NAME?</v>
      </c>
    </row>
    <row r="150" spans="1:23" x14ac:dyDescent="0.2">
      <c r="A150" s="16" t="s">
        <v>1935</v>
      </c>
      <c r="B150" s="7" t="s">
        <v>1936</v>
      </c>
      <c r="C150" s="3" t="e">
        <f ca="1">[1]!BexGetData("DP_1","003N8EMH8GTFRCSWKMPXRR8GU","GSON1112030223")</f>
        <v>#NAME?</v>
      </c>
      <c r="D150" s="3" t="e">
        <f ca="1">[1]!BexGetData("DP_1","003N8EMH8GTFRCSWKMPXRRESE","GSON1112030223")</f>
        <v>#NAME?</v>
      </c>
      <c r="E150" s="8" t="e">
        <f ca="1">[1]!BexGetData("DP_1","003N8EMH8GTFRCSWKMPXRRL3Y","GSON1112030223")</f>
        <v>#NAME?</v>
      </c>
      <c r="F150" s="4" t="e">
        <f ca="1">[1]!BexGetData("DP_1","003N8EMH8GTFRCSWKMPXRRRFI","GSON1112030223")</f>
        <v>#NAME?</v>
      </c>
      <c r="G150" s="4" t="e">
        <f ca="1">[1]!BexGetData("DP_1","003N8EMH8GTFRCSWKMPXRRXR2","GSON1112030223")</f>
        <v>#NAME?</v>
      </c>
      <c r="H150" s="4" t="e">
        <f ca="1">[1]!BexGetData("DP_1","003N8EMH8GTFRCSWKMPXRS42M","GSON1112030223")</f>
        <v>#NAME?</v>
      </c>
      <c r="I150" s="4" t="e">
        <f ca="1">[1]!BexGetData("DP_1","003N8EMH8GTFRCSWKMPXRSAE6","GSON1112030223")</f>
        <v>#NAME?</v>
      </c>
      <c r="J150" s="4" t="e">
        <f ca="1">[1]!BexGetData("DP_1","003N8EMH8GTFRCSWKMPXRSGPQ","GSON1112030223")</f>
        <v>#NAME?</v>
      </c>
      <c r="K150" s="8" t="e">
        <f ca="1">[1]!BexGetData("DP_1","003N8EMH8GTFRIVNUPY288VJH","GSON1112030223")</f>
        <v>#NAME?</v>
      </c>
      <c r="L150" s="8" t="e">
        <f ca="1">[1]!BexGetData("DP_1","003N8EMH8GTFRIVNUPY2891V1","GSON1112030223")</f>
        <v>#NAME?</v>
      </c>
      <c r="M150" s="8" t="e">
        <f ca="1">[1]!BexGetData("DP_1","003N8EMH8GTFRIVOG7KG9IQXA","GSON1112030223")</f>
        <v>#NAME?</v>
      </c>
      <c r="N150" s="8" t="e">
        <f ca="1">[1]!BexGetData("DP_1","003N8EMH8GTFRIVOG7KG9IX8U","GSON1112030223")</f>
        <v>#NAME?</v>
      </c>
      <c r="O150" s="8" t="e">
        <f ca="1">[1]!BexGetData("DP_1","003N8EMH8GTFRIVOG7KG9J3KE","GSON1112030223")</f>
        <v>#NAME?</v>
      </c>
      <c r="P150" s="8" t="e">
        <f ca="1">[1]!BexGetData("DP_1","003N8EMH8GTFRIVOG7KG9J9VY","GSON1112030223")</f>
        <v>#NAME?</v>
      </c>
      <c r="Q150" s="4" t="e">
        <f ca="1">[1]!BexGetData("DP_1","00O2TNJGODT0G5Z4TTKYMM5MT","GSON1112030223")</f>
        <v>#NAME?</v>
      </c>
      <c r="R150" s="4" t="e">
        <f ca="1">[1]!BexGetData("DP_1","00O2TNJGODT0G5Z4TTKYMMBYD","GSON1112030223")</f>
        <v>#NAME?</v>
      </c>
      <c r="S150" s="4" t="e">
        <f ca="1">[1]!BexGetData("DP_1","00O2TNJGODT0G5Z4TTKYMMI9X","GSON1112030223")</f>
        <v>#NAME?</v>
      </c>
      <c r="T150" s="4" t="e">
        <f ca="1">[1]!BexGetData("DP_1","00O2TNJGODT0G5Z4TTKYMMOLH","GSON1112030223")</f>
        <v>#NAME?</v>
      </c>
      <c r="U150" s="4" t="e">
        <f ca="1">[1]!BexGetData("DP_1","00O2TNJGODT0G5Z4TTKYMMUX1","GSON1112030223")</f>
        <v>#NAME?</v>
      </c>
      <c r="V150" s="4" t="e">
        <f ca="1">[1]!BexGetData("DP_1","00O2TNJGODT0G5Z4TTKYMN18L","GSON1112030223")</f>
        <v>#NAME?</v>
      </c>
      <c r="W150" s="4" t="e">
        <f ca="1">[1]!BexGetData("DP_1","00O2TNJGODT0G5Z4TTKYMN7K5","GSON1112030223")</f>
        <v>#NAME?</v>
      </c>
    </row>
    <row r="151" spans="1:23" x14ac:dyDescent="0.2">
      <c r="A151" s="16" t="s">
        <v>1937</v>
      </c>
      <c r="B151" s="7" t="s">
        <v>774</v>
      </c>
      <c r="C151" s="3" t="e">
        <f ca="1">[1]!BexGetData("DP_1","003N8EMH8GTFRCSWKMPXRR8GU","GSON1112030230")</f>
        <v>#NAME?</v>
      </c>
      <c r="D151" s="8" t="e">
        <f ca="1">[1]!BexGetData("DP_1","003N8EMH8GTFRCSWKMPXRRESE","GSON1112030230")</f>
        <v>#NAME?</v>
      </c>
      <c r="E151" s="3" t="e">
        <f ca="1">[1]!BexGetData("DP_1","003N8EMH8GTFRCSWKMPXRRL3Y","GSON1112030230")</f>
        <v>#NAME?</v>
      </c>
      <c r="F151" s="3" t="e">
        <f ca="1">[1]!BexGetData("DP_1","003N8EMH8GTFRCSWKMPXRRRFI","GSON1112030230")</f>
        <v>#NAME?</v>
      </c>
      <c r="G151" s="3" t="e">
        <f ca="1">[1]!BexGetData("DP_1","003N8EMH8GTFRCSWKMPXRRXR2","GSON1112030230")</f>
        <v>#NAME?</v>
      </c>
      <c r="H151" s="8" t="e">
        <f ca="1">[1]!BexGetData("DP_1","003N8EMH8GTFRCSWKMPXRS42M","GSON1112030230")</f>
        <v>#NAME?</v>
      </c>
      <c r="I151" s="3" t="e">
        <f ca="1">[1]!BexGetData("DP_1","003N8EMH8GTFRCSWKMPXRSAE6","GSON1112030230")</f>
        <v>#NAME?</v>
      </c>
      <c r="J151" s="4" t="e">
        <f ca="1">[1]!BexGetData("DP_1","003N8EMH8GTFRCSWKMPXRSGPQ","GSON1112030230")</f>
        <v>#NAME?</v>
      </c>
      <c r="K151" s="3" t="e">
        <f ca="1">[1]!BexGetData("DP_1","003N8EMH8GTFRIVNUPY288VJH","GSON1112030230")</f>
        <v>#NAME?</v>
      </c>
      <c r="L151" s="3" t="e">
        <f ca="1">[1]!BexGetData("DP_1","003N8EMH8GTFRIVNUPY2891V1","GSON1112030230")</f>
        <v>#NAME?</v>
      </c>
      <c r="M151" s="8" t="e">
        <f ca="1">[1]!BexGetData("DP_1","003N8EMH8GTFRIVOG7KG9IQXA","GSON1112030230")</f>
        <v>#NAME?</v>
      </c>
      <c r="N151" s="3" t="e">
        <f ca="1">[1]!BexGetData("DP_1","003N8EMH8GTFRIVOG7KG9IX8U","GSON1112030230")</f>
        <v>#NAME?</v>
      </c>
      <c r="O151" s="8" t="e">
        <f ca="1">[1]!BexGetData("DP_1","003N8EMH8GTFRIVOG7KG9J3KE","GSON1112030230")</f>
        <v>#NAME?</v>
      </c>
      <c r="P151" s="3" t="e">
        <f ca="1">[1]!BexGetData("DP_1","003N8EMH8GTFRIVOG7KG9J9VY","GSON1112030230")</f>
        <v>#NAME?</v>
      </c>
      <c r="Q151" s="4" t="e">
        <f ca="1">[1]!BexGetData("DP_1","00O2TNJGODT0G5Z4TTKYMM5MT","GSON1112030230")</f>
        <v>#NAME?</v>
      </c>
      <c r="R151" s="3" t="e">
        <f ca="1">[1]!BexGetData("DP_1","00O2TNJGODT0G5Z4TTKYMMBYD","GSON1112030230")</f>
        <v>#NAME?</v>
      </c>
      <c r="S151" s="3" t="e">
        <f ca="1">[1]!BexGetData("DP_1","00O2TNJGODT0G5Z4TTKYMMI9X","GSON1112030230")</f>
        <v>#NAME?</v>
      </c>
      <c r="T151" s="8" t="e">
        <f ca="1">[1]!BexGetData("DP_1","00O2TNJGODT0G5Z4TTKYMMOLH","GSON1112030230")</f>
        <v>#NAME?</v>
      </c>
      <c r="U151" s="3" t="e">
        <f ca="1">[1]!BexGetData("DP_1","00O2TNJGODT0G5Z4TTKYMMUX1","GSON1112030230")</f>
        <v>#NAME?</v>
      </c>
      <c r="V151" s="8" t="e">
        <f ca="1">[1]!BexGetData("DP_1","00O2TNJGODT0G5Z4TTKYMN18L","GSON1112030230")</f>
        <v>#NAME?</v>
      </c>
      <c r="W151" s="3" t="e">
        <f ca="1">[1]!BexGetData("DP_1","00O2TNJGODT0G5Z4TTKYMN7K5","GSON1112030230")</f>
        <v>#NAME?</v>
      </c>
    </row>
    <row r="152" spans="1:23" x14ac:dyDescent="0.2">
      <c r="A152" s="16" t="s">
        <v>1938</v>
      </c>
      <c r="B152" s="7" t="s">
        <v>166</v>
      </c>
      <c r="C152" s="3" t="e">
        <f ca="1">[1]!BexGetData("DP_1","003N8EMH8GTFRCSWKMPXRR8GU","GSON1112030231")</f>
        <v>#NAME?</v>
      </c>
      <c r="D152" s="3" t="e">
        <f ca="1">[1]!BexGetData("DP_1","003N8EMH8GTFRCSWKMPXRRESE","GSON1112030231")</f>
        <v>#NAME?</v>
      </c>
      <c r="E152" s="8" t="e">
        <f ca="1">[1]!BexGetData("DP_1","003N8EMH8GTFRCSWKMPXRRL3Y","GSON1112030231")</f>
        <v>#NAME?</v>
      </c>
      <c r="F152" s="4" t="e">
        <f ca="1">[1]!BexGetData("DP_1","003N8EMH8GTFRCSWKMPXRRRFI","GSON1112030231")</f>
        <v>#NAME?</v>
      </c>
      <c r="G152" s="4" t="e">
        <f ca="1">[1]!BexGetData("DP_1","003N8EMH8GTFRCSWKMPXRRXR2","GSON1112030231")</f>
        <v>#NAME?</v>
      </c>
      <c r="H152" s="4" t="e">
        <f ca="1">[1]!BexGetData("DP_1","003N8EMH8GTFRCSWKMPXRS42M","GSON1112030231")</f>
        <v>#NAME?</v>
      </c>
      <c r="I152" s="4" t="e">
        <f ca="1">[1]!BexGetData("DP_1","003N8EMH8GTFRCSWKMPXRSAE6","GSON1112030231")</f>
        <v>#NAME?</v>
      </c>
      <c r="J152" s="4" t="e">
        <f ca="1">[1]!BexGetData("DP_1","003N8EMH8GTFRCSWKMPXRSGPQ","GSON1112030231")</f>
        <v>#NAME?</v>
      </c>
      <c r="K152" s="8" t="e">
        <f ca="1">[1]!BexGetData("DP_1","003N8EMH8GTFRIVNUPY288VJH","GSON1112030231")</f>
        <v>#NAME?</v>
      </c>
      <c r="L152" s="8" t="e">
        <f ca="1">[1]!BexGetData("DP_1","003N8EMH8GTFRIVNUPY2891V1","GSON1112030231")</f>
        <v>#NAME?</v>
      </c>
      <c r="M152" s="8" t="e">
        <f ca="1">[1]!BexGetData("DP_1","003N8EMH8GTFRIVOG7KG9IQXA","GSON1112030231")</f>
        <v>#NAME?</v>
      </c>
      <c r="N152" s="8" t="e">
        <f ca="1">[1]!BexGetData("DP_1","003N8EMH8GTFRIVOG7KG9IX8U","GSON1112030231")</f>
        <v>#NAME?</v>
      </c>
      <c r="O152" s="8" t="e">
        <f ca="1">[1]!BexGetData("DP_1","003N8EMH8GTFRIVOG7KG9J3KE","GSON1112030231")</f>
        <v>#NAME?</v>
      </c>
      <c r="P152" s="8" t="e">
        <f ca="1">[1]!BexGetData("DP_1","003N8EMH8GTFRIVOG7KG9J9VY","GSON1112030231")</f>
        <v>#NAME?</v>
      </c>
      <c r="Q152" s="4" t="e">
        <f ca="1">[1]!BexGetData("DP_1","00O2TNJGODT0G5Z4TTKYMM5MT","GSON1112030231")</f>
        <v>#NAME?</v>
      </c>
      <c r="R152" s="4" t="e">
        <f ca="1">[1]!BexGetData("DP_1","00O2TNJGODT0G5Z4TTKYMMBYD","GSON1112030231")</f>
        <v>#NAME?</v>
      </c>
      <c r="S152" s="4" t="e">
        <f ca="1">[1]!BexGetData("DP_1","00O2TNJGODT0G5Z4TTKYMMI9X","GSON1112030231")</f>
        <v>#NAME?</v>
      </c>
      <c r="T152" s="4" t="e">
        <f ca="1">[1]!BexGetData("DP_1","00O2TNJGODT0G5Z4TTKYMMOLH","GSON1112030231")</f>
        <v>#NAME?</v>
      </c>
      <c r="U152" s="4" t="e">
        <f ca="1">[1]!BexGetData("DP_1","00O2TNJGODT0G5Z4TTKYMMUX1","GSON1112030231")</f>
        <v>#NAME?</v>
      </c>
      <c r="V152" s="4" t="e">
        <f ca="1">[1]!BexGetData("DP_1","00O2TNJGODT0G5Z4TTKYMN18L","GSON1112030231")</f>
        <v>#NAME?</v>
      </c>
      <c r="W152" s="4" t="e">
        <f ca="1">[1]!BexGetData("DP_1","00O2TNJGODT0G5Z4TTKYMN7K5","GSON1112030231")</f>
        <v>#NAME?</v>
      </c>
    </row>
    <row r="153" spans="1:23" x14ac:dyDescent="0.2">
      <c r="A153" s="16" t="s">
        <v>1939</v>
      </c>
      <c r="B153" s="7" t="s">
        <v>1940</v>
      </c>
      <c r="C153" s="3" t="e">
        <f ca="1">[1]!BexGetData("DP_1","003N8EMH8GTFRCSWKMPXRR8GU","GSON1112030235")</f>
        <v>#NAME?</v>
      </c>
      <c r="D153" s="3" t="e">
        <f ca="1">[1]!BexGetData("DP_1","003N8EMH8GTFRCSWKMPXRRESE","GSON1112030235")</f>
        <v>#NAME?</v>
      </c>
      <c r="E153" s="8" t="e">
        <f ca="1">[1]!BexGetData("DP_1","003N8EMH8GTFRCSWKMPXRRL3Y","GSON1112030235")</f>
        <v>#NAME?</v>
      </c>
      <c r="F153" s="4" t="e">
        <f ca="1">[1]!BexGetData("DP_1","003N8EMH8GTFRCSWKMPXRRRFI","GSON1112030235")</f>
        <v>#NAME?</v>
      </c>
      <c r="G153" s="4" t="e">
        <f ca="1">[1]!BexGetData("DP_1","003N8EMH8GTFRCSWKMPXRRXR2","GSON1112030235")</f>
        <v>#NAME?</v>
      </c>
      <c r="H153" s="4" t="e">
        <f ca="1">[1]!BexGetData("DP_1","003N8EMH8GTFRCSWKMPXRS42M","GSON1112030235")</f>
        <v>#NAME?</v>
      </c>
      <c r="I153" s="4" t="e">
        <f ca="1">[1]!BexGetData("DP_1","003N8EMH8GTFRCSWKMPXRSAE6","GSON1112030235")</f>
        <v>#NAME?</v>
      </c>
      <c r="J153" s="4" t="e">
        <f ca="1">[1]!BexGetData("DP_1","003N8EMH8GTFRCSWKMPXRSGPQ","GSON1112030235")</f>
        <v>#NAME?</v>
      </c>
      <c r="K153" s="8" t="e">
        <f ca="1">[1]!BexGetData("DP_1","003N8EMH8GTFRIVNUPY288VJH","GSON1112030235")</f>
        <v>#NAME?</v>
      </c>
      <c r="L153" s="8" t="e">
        <f ca="1">[1]!BexGetData("DP_1","003N8EMH8GTFRIVNUPY2891V1","GSON1112030235")</f>
        <v>#NAME?</v>
      </c>
      <c r="M153" s="8" t="e">
        <f ca="1">[1]!BexGetData("DP_1","003N8EMH8GTFRIVOG7KG9IQXA","GSON1112030235")</f>
        <v>#NAME?</v>
      </c>
      <c r="N153" s="8" t="e">
        <f ca="1">[1]!BexGetData("DP_1","003N8EMH8GTFRIVOG7KG9IX8U","GSON1112030235")</f>
        <v>#NAME?</v>
      </c>
      <c r="O153" s="8" t="e">
        <f ca="1">[1]!BexGetData("DP_1","003N8EMH8GTFRIVOG7KG9J3KE","GSON1112030235")</f>
        <v>#NAME?</v>
      </c>
      <c r="P153" s="8" t="e">
        <f ca="1">[1]!BexGetData("DP_1","003N8EMH8GTFRIVOG7KG9J9VY","GSON1112030235")</f>
        <v>#NAME?</v>
      </c>
      <c r="Q153" s="4" t="e">
        <f ca="1">[1]!BexGetData("DP_1","00O2TNJGODT0G5Z4TTKYMM5MT","GSON1112030235")</f>
        <v>#NAME?</v>
      </c>
      <c r="R153" s="4" t="e">
        <f ca="1">[1]!BexGetData("DP_1","00O2TNJGODT0G5Z4TTKYMMBYD","GSON1112030235")</f>
        <v>#NAME?</v>
      </c>
      <c r="S153" s="4" t="e">
        <f ca="1">[1]!BexGetData("DP_1","00O2TNJGODT0G5Z4TTKYMMI9X","GSON1112030235")</f>
        <v>#NAME?</v>
      </c>
      <c r="T153" s="4" t="e">
        <f ca="1">[1]!BexGetData("DP_1","00O2TNJGODT0G5Z4TTKYMMOLH","GSON1112030235")</f>
        <v>#NAME?</v>
      </c>
      <c r="U153" s="4" t="e">
        <f ca="1">[1]!BexGetData("DP_1","00O2TNJGODT0G5Z4TTKYMMUX1","GSON1112030235")</f>
        <v>#NAME?</v>
      </c>
      <c r="V153" s="4" t="e">
        <f ca="1">[1]!BexGetData("DP_1","00O2TNJGODT0G5Z4TTKYMN18L","GSON1112030235")</f>
        <v>#NAME?</v>
      </c>
      <c r="W153" s="4" t="e">
        <f ca="1">[1]!BexGetData("DP_1","00O2TNJGODT0G5Z4TTKYMN7K5","GSON1112030235")</f>
        <v>#NAME?</v>
      </c>
    </row>
    <row r="154" spans="1:23" x14ac:dyDescent="0.2">
      <c r="A154" s="16" t="s">
        <v>1941</v>
      </c>
      <c r="B154" s="7" t="s">
        <v>775</v>
      </c>
      <c r="C154" s="3" t="e">
        <f ca="1">[1]!BexGetData("DP_1","003N8EMH8GTFRCSWKMPXRR8GU","GSON1112030240")</f>
        <v>#NAME?</v>
      </c>
      <c r="D154" s="3" t="e">
        <f ca="1">[1]!BexGetData("DP_1","003N8EMH8GTFRCSWKMPXRRESE","GSON1112030240")</f>
        <v>#NAME?</v>
      </c>
      <c r="E154" s="3" t="e">
        <f ca="1">[1]!BexGetData("DP_1","003N8EMH8GTFRCSWKMPXRRL3Y","GSON1112030240")</f>
        <v>#NAME?</v>
      </c>
      <c r="F154" s="3" t="e">
        <f ca="1">[1]!BexGetData("DP_1","003N8EMH8GTFRCSWKMPXRRRFI","GSON1112030240")</f>
        <v>#NAME?</v>
      </c>
      <c r="G154" s="3" t="e">
        <f ca="1">[1]!BexGetData("DP_1","003N8EMH8GTFRCSWKMPXRRXR2","GSON1112030240")</f>
        <v>#NAME?</v>
      </c>
      <c r="H154" s="8" t="e">
        <f ca="1">[1]!BexGetData("DP_1","003N8EMH8GTFRCSWKMPXRS42M","GSON1112030240")</f>
        <v>#NAME?</v>
      </c>
      <c r="I154" s="3" t="e">
        <f ca="1">[1]!BexGetData("DP_1","003N8EMH8GTFRCSWKMPXRSAE6","GSON1112030240")</f>
        <v>#NAME?</v>
      </c>
      <c r="J154" s="4" t="e">
        <f ca="1">[1]!BexGetData("DP_1","003N8EMH8GTFRCSWKMPXRSGPQ","GSON1112030240")</f>
        <v>#NAME?</v>
      </c>
      <c r="K154" s="3" t="e">
        <f ca="1">[1]!BexGetData("DP_1","003N8EMH8GTFRIVNUPY288VJH","GSON1112030240")</f>
        <v>#NAME?</v>
      </c>
      <c r="L154" s="3" t="e">
        <f ca="1">[1]!BexGetData("DP_1","003N8EMH8GTFRIVNUPY2891V1","GSON1112030240")</f>
        <v>#NAME?</v>
      </c>
      <c r="M154" s="8" t="e">
        <f ca="1">[1]!BexGetData("DP_1","003N8EMH8GTFRIVOG7KG9IQXA","GSON1112030240")</f>
        <v>#NAME?</v>
      </c>
      <c r="N154" s="3" t="e">
        <f ca="1">[1]!BexGetData("DP_1","003N8EMH8GTFRIVOG7KG9IX8U","GSON1112030240")</f>
        <v>#NAME?</v>
      </c>
      <c r="O154" s="8" t="e">
        <f ca="1">[1]!BexGetData("DP_1","003N8EMH8GTFRIVOG7KG9J3KE","GSON1112030240")</f>
        <v>#NAME?</v>
      </c>
      <c r="P154" s="3" t="e">
        <f ca="1">[1]!BexGetData("DP_1","003N8EMH8GTFRIVOG7KG9J9VY","GSON1112030240")</f>
        <v>#NAME?</v>
      </c>
      <c r="Q154" s="4" t="e">
        <f ca="1">[1]!BexGetData("DP_1","00O2TNJGODT0G5Z4TTKYMM5MT","GSON1112030240")</f>
        <v>#NAME?</v>
      </c>
      <c r="R154" s="3" t="e">
        <f ca="1">[1]!BexGetData("DP_1","00O2TNJGODT0G5Z4TTKYMMBYD","GSON1112030240")</f>
        <v>#NAME?</v>
      </c>
      <c r="S154" s="3" t="e">
        <f ca="1">[1]!BexGetData("DP_1","00O2TNJGODT0G5Z4TTKYMMI9X","GSON1112030240")</f>
        <v>#NAME?</v>
      </c>
      <c r="T154" s="8" t="e">
        <f ca="1">[1]!BexGetData("DP_1","00O2TNJGODT0G5Z4TTKYMMOLH","GSON1112030240")</f>
        <v>#NAME?</v>
      </c>
      <c r="U154" s="3" t="e">
        <f ca="1">[1]!BexGetData("DP_1","00O2TNJGODT0G5Z4TTKYMMUX1","GSON1112030240")</f>
        <v>#NAME?</v>
      </c>
      <c r="V154" s="8" t="e">
        <f ca="1">[1]!BexGetData("DP_1","00O2TNJGODT0G5Z4TTKYMN18L","GSON1112030240")</f>
        <v>#NAME?</v>
      </c>
      <c r="W154" s="3" t="e">
        <f ca="1">[1]!BexGetData("DP_1","00O2TNJGODT0G5Z4TTKYMN7K5","GSON1112030240")</f>
        <v>#NAME?</v>
      </c>
    </row>
    <row r="155" spans="1:23" x14ac:dyDescent="0.2">
      <c r="A155" s="16" t="s">
        <v>1942</v>
      </c>
      <c r="B155" s="7" t="s">
        <v>776</v>
      </c>
      <c r="C155" s="3" t="e">
        <f ca="1">[1]!BexGetData("DP_1","003N8EMH8GTFRCSWKMPXRR8GU","GSON1112030241")</f>
        <v>#NAME?</v>
      </c>
      <c r="D155" s="3" t="e">
        <f ca="1">[1]!BexGetData("DP_1","003N8EMH8GTFRCSWKMPXRRESE","GSON1112030241")</f>
        <v>#NAME?</v>
      </c>
      <c r="E155" s="8" t="e">
        <f ca="1">[1]!BexGetData("DP_1","003N8EMH8GTFRCSWKMPXRRL3Y","GSON1112030241")</f>
        <v>#NAME?</v>
      </c>
      <c r="F155" s="4" t="e">
        <f ca="1">[1]!BexGetData("DP_1","003N8EMH8GTFRCSWKMPXRRRFI","GSON1112030241")</f>
        <v>#NAME?</v>
      </c>
      <c r="G155" s="4" t="e">
        <f ca="1">[1]!BexGetData("DP_1","003N8EMH8GTFRCSWKMPXRRXR2","GSON1112030241")</f>
        <v>#NAME?</v>
      </c>
      <c r="H155" s="4" t="e">
        <f ca="1">[1]!BexGetData("DP_1","003N8EMH8GTFRCSWKMPXRS42M","GSON1112030241")</f>
        <v>#NAME?</v>
      </c>
      <c r="I155" s="4" t="e">
        <f ca="1">[1]!BexGetData("DP_1","003N8EMH8GTFRCSWKMPXRSAE6","GSON1112030241")</f>
        <v>#NAME?</v>
      </c>
      <c r="J155" s="4" t="e">
        <f ca="1">[1]!BexGetData("DP_1","003N8EMH8GTFRCSWKMPXRSGPQ","GSON1112030241")</f>
        <v>#NAME?</v>
      </c>
      <c r="K155" s="8" t="e">
        <f ca="1">[1]!BexGetData("DP_1","003N8EMH8GTFRIVNUPY288VJH","GSON1112030241")</f>
        <v>#NAME?</v>
      </c>
      <c r="L155" s="8" t="e">
        <f ca="1">[1]!BexGetData("DP_1","003N8EMH8GTFRIVNUPY2891V1","GSON1112030241")</f>
        <v>#NAME?</v>
      </c>
      <c r="M155" s="8" t="e">
        <f ca="1">[1]!BexGetData("DP_1","003N8EMH8GTFRIVOG7KG9IQXA","GSON1112030241")</f>
        <v>#NAME?</v>
      </c>
      <c r="N155" s="8" t="e">
        <f ca="1">[1]!BexGetData("DP_1","003N8EMH8GTFRIVOG7KG9IX8U","GSON1112030241")</f>
        <v>#NAME?</v>
      </c>
      <c r="O155" s="8" t="e">
        <f ca="1">[1]!BexGetData("DP_1","003N8EMH8GTFRIVOG7KG9J3KE","GSON1112030241")</f>
        <v>#NAME?</v>
      </c>
      <c r="P155" s="8" t="e">
        <f ca="1">[1]!BexGetData("DP_1","003N8EMH8GTFRIVOG7KG9J9VY","GSON1112030241")</f>
        <v>#NAME?</v>
      </c>
      <c r="Q155" s="4" t="e">
        <f ca="1">[1]!BexGetData("DP_1","00O2TNJGODT0G5Z4TTKYMM5MT","GSON1112030241")</f>
        <v>#NAME?</v>
      </c>
      <c r="R155" s="4" t="e">
        <f ca="1">[1]!BexGetData("DP_1","00O2TNJGODT0G5Z4TTKYMMBYD","GSON1112030241")</f>
        <v>#NAME?</v>
      </c>
      <c r="S155" s="4" t="e">
        <f ca="1">[1]!BexGetData("DP_1","00O2TNJGODT0G5Z4TTKYMMI9X","GSON1112030241")</f>
        <v>#NAME?</v>
      </c>
      <c r="T155" s="4" t="e">
        <f ca="1">[1]!BexGetData("DP_1","00O2TNJGODT0G5Z4TTKYMMOLH","GSON1112030241")</f>
        <v>#NAME?</v>
      </c>
      <c r="U155" s="4" t="e">
        <f ca="1">[1]!BexGetData("DP_1","00O2TNJGODT0G5Z4TTKYMMUX1","GSON1112030241")</f>
        <v>#NAME?</v>
      </c>
      <c r="V155" s="4" t="e">
        <f ca="1">[1]!BexGetData("DP_1","00O2TNJGODT0G5Z4TTKYMN18L","GSON1112030241")</f>
        <v>#NAME?</v>
      </c>
      <c r="W155" s="4" t="e">
        <f ca="1">[1]!BexGetData("DP_1","00O2TNJGODT0G5Z4TTKYMN7K5","GSON1112030241")</f>
        <v>#NAME?</v>
      </c>
    </row>
    <row r="156" spans="1:23" x14ac:dyDescent="0.2">
      <c r="A156" s="16" t="s">
        <v>1943</v>
      </c>
      <c r="B156" s="7" t="s">
        <v>1944</v>
      </c>
      <c r="C156" s="3" t="e">
        <f ca="1">[1]!BexGetData("DP_1","003N8EMH8GTFRCSWKMPXRR8GU","GSON1112030242")</f>
        <v>#NAME?</v>
      </c>
      <c r="D156" s="3" t="e">
        <f ca="1">[1]!BexGetData("DP_1","003N8EMH8GTFRCSWKMPXRRESE","GSON1112030242")</f>
        <v>#NAME?</v>
      </c>
      <c r="E156" s="8" t="e">
        <f ca="1">[1]!BexGetData("DP_1","003N8EMH8GTFRCSWKMPXRRL3Y","GSON1112030242")</f>
        <v>#NAME?</v>
      </c>
      <c r="F156" s="4" t="e">
        <f ca="1">[1]!BexGetData("DP_1","003N8EMH8GTFRCSWKMPXRRRFI","GSON1112030242")</f>
        <v>#NAME?</v>
      </c>
      <c r="G156" s="4" t="e">
        <f ca="1">[1]!BexGetData("DP_1","003N8EMH8GTFRCSWKMPXRRXR2","GSON1112030242")</f>
        <v>#NAME?</v>
      </c>
      <c r="H156" s="4" t="e">
        <f ca="1">[1]!BexGetData("DP_1","003N8EMH8GTFRCSWKMPXRS42M","GSON1112030242")</f>
        <v>#NAME?</v>
      </c>
      <c r="I156" s="4" t="e">
        <f ca="1">[1]!BexGetData("DP_1","003N8EMH8GTFRCSWKMPXRSAE6","GSON1112030242")</f>
        <v>#NAME?</v>
      </c>
      <c r="J156" s="4" t="e">
        <f ca="1">[1]!BexGetData("DP_1","003N8EMH8GTFRCSWKMPXRSGPQ","GSON1112030242")</f>
        <v>#NAME?</v>
      </c>
      <c r="K156" s="8" t="e">
        <f ca="1">[1]!BexGetData("DP_1","003N8EMH8GTFRIVNUPY288VJH","GSON1112030242")</f>
        <v>#NAME?</v>
      </c>
      <c r="L156" s="8" t="e">
        <f ca="1">[1]!BexGetData("DP_1","003N8EMH8GTFRIVNUPY2891V1","GSON1112030242")</f>
        <v>#NAME?</v>
      </c>
      <c r="M156" s="8" t="e">
        <f ca="1">[1]!BexGetData("DP_1","003N8EMH8GTFRIVOG7KG9IQXA","GSON1112030242")</f>
        <v>#NAME?</v>
      </c>
      <c r="N156" s="8" t="e">
        <f ca="1">[1]!BexGetData("DP_1","003N8EMH8GTFRIVOG7KG9IX8U","GSON1112030242")</f>
        <v>#NAME?</v>
      </c>
      <c r="O156" s="8" t="e">
        <f ca="1">[1]!BexGetData("DP_1","003N8EMH8GTFRIVOG7KG9J3KE","GSON1112030242")</f>
        <v>#NAME?</v>
      </c>
      <c r="P156" s="8" t="e">
        <f ca="1">[1]!BexGetData("DP_1","003N8EMH8GTFRIVOG7KG9J9VY","GSON1112030242")</f>
        <v>#NAME?</v>
      </c>
      <c r="Q156" s="4" t="e">
        <f ca="1">[1]!BexGetData("DP_1","00O2TNJGODT0G5Z4TTKYMM5MT","GSON1112030242")</f>
        <v>#NAME?</v>
      </c>
      <c r="R156" s="4" t="e">
        <f ca="1">[1]!BexGetData("DP_1","00O2TNJGODT0G5Z4TTKYMMBYD","GSON1112030242")</f>
        <v>#NAME?</v>
      </c>
      <c r="S156" s="4" t="e">
        <f ca="1">[1]!BexGetData("DP_1","00O2TNJGODT0G5Z4TTKYMMI9X","GSON1112030242")</f>
        <v>#NAME?</v>
      </c>
      <c r="T156" s="4" t="e">
        <f ca="1">[1]!BexGetData("DP_1","00O2TNJGODT0G5Z4TTKYMMOLH","GSON1112030242")</f>
        <v>#NAME?</v>
      </c>
      <c r="U156" s="4" t="e">
        <f ca="1">[1]!BexGetData("DP_1","00O2TNJGODT0G5Z4TTKYMMUX1","GSON1112030242")</f>
        <v>#NAME?</v>
      </c>
      <c r="V156" s="4" t="e">
        <f ca="1">[1]!BexGetData("DP_1","00O2TNJGODT0G5Z4TTKYMN18L","GSON1112030242")</f>
        <v>#NAME?</v>
      </c>
      <c r="W156" s="4" t="e">
        <f ca="1">[1]!BexGetData("DP_1","00O2TNJGODT0G5Z4TTKYMN7K5","GSON1112030242")</f>
        <v>#NAME?</v>
      </c>
    </row>
    <row r="157" spans="1:23" x14ac:dyDescent="0.2">
      <c r="A157" s="16" t="s">
        <v>1945</v>
      </c>
      <c r="B157" s="7" t="s">
        <v>1946</v>
      </c>
      <c r="C157" s="3" t="e">
        <f ca="1">[1]!BexGetData("DP_1","003N8EMH8GTFRCSWKMPXRR8GU","GSON1112030243")</f>
        <v>#NAME?</v>
      </c>
      <c r="D157" s="3" t="e">
        <f ca="1">[1]!BexGetData("DP_1","003N8EMH8GTFRCSWKMPXRRESE","GSON1112030243")</f>
        <v>#NAME?</v>
      </c>
      <c r="E157" s="8" t="e">
        <f ca="1">[1]!BexGetData("DP_1","003N8EMH8GTFRCSWKMPXRRL3Y","GSON1112030243")</f>
        <v>#NAME?</v>
      </c>
      <c r="F157" s="3" t="e">
        <f ca="1">[1]!BexGetData("DP_1","003N8EMH8GTFRCSWKMPXRRRFI","GSON1112030243")</f>
        <v>#NAME?</v>
      </c>
      <c r="G157" s="8" t="e">
        <f ca="1">[1]!BexGetData("DP_1","003N8EMH8GTFRCSWKMPXRRXR2","GSON1112030243")</f>
        <v>#NAME?</v>
      </c>
      <c r="H157" s="3" t="e">
        <f ca="1">[1]!BexGetData("DP_1","003N8EMH8GTFRCSWKMPXRS42M","GSON1112030243")</f>
        <v>#NAME?</v>
      </c>
      <c r="I157" s="3" t="e">
        <f ca="1">[1]!BexGetData("DP_1","003N8EMH8GTFRCSWKMPXRSAE6","GSON1112030243")</f>
        <v>#NAME?</v>
      </c>
      <c r="J157" s="4" t="e">
        <f ca="1">[1]!BexGetData("DP_1","003N8EMH8GTFRCSWKMPXRSGPQ","GSON1112030243")</f>
        <v>#NAME?</v>
      </c>
      <c r="K157" s="3" t="e">
        <f ca="1">[1]!BexGetData("DP_1","003N8EMH8GTFRIVNUPY288VJH","GSON1112030243")</f>
        <v>#NAME?</v>
      </c>
      <c r="L157" s="3" t="e">
        <f ca="1">[1]!BexGetData("DP_1","003N8EMH8GTFRIVNUPY2891V1","GSON1112030243")</f>
        <v>#NAME?</v>
      </c>
      <c r="M157" s="8" t="e">
        <f ca="1">[1]!BexGetData("DP_1","003N8EMH8GTFRIVOG7KG9IQXA","GSON1112030243")</f>
        <v>#NAME?</v>
      </c>
      <c r="N157" s="3" t="e">
        <f ca="1">[1]!BexGetData("DP_1","003N8EMH8GTFRIVOG7KG9IX8U","GSON1112030243")</f>
        <v>#NAME?</v>
      </c>
      <c r="O157" s="8" t="e">
        <f ca="1">[1]!BexGetData("DP_1","003N8EMH8GTFRIVOG7KG9J3KE","GSON1112030243")</f>
        <v>#NAME?</v>
      </c>
      <c r="P157" s="3" t="e">
        <f ca="1">[1]!BexGetData("DP_1","003N8EMH8GTFRIVOG7KG9J9VY","GSON1112030243")</f>
        <v>#NAME?</v>
      </c>
      <c r="Q157" s="4" t="e">
        <f ca="1">[1]!BexGetData("DP_1","00O2TNJGODT0G5Z4TTKYMM5MT","GSON1112030243")</f>
        <v>#NAME?</v>
      </c>
      <c r="R157" s="3" t="e">
        <f ca="1">[1]!BexGetData("DP_1","00O2TNJGODT0G5Z4TTKYMMBYD","GSON1112030243")</f>
        <v>#NAME?</v>
      </c>
      <c r="S157" s="3" t="e">
        <f ca="1">[1]!BexGetData("DP_1","00O2TNJGODT0G5Z4TTKYMMI9X","GSON1112030243")</f>
        <v>#NAME?</v>
      </c>
      <c r="T157" s="3" t="e">
        <f ca="1">[1]!BexGetData("DP_1","00O2TNJGODT0G5Z4TTKYMMOLH","GSON1112030243")</f>
        <v>#NAME?</v>
      </c>
      <c r="U157" s="8" t="e">
        <f ca="1">[1]!BexGetData("DP_1","00O2TNJGODT0G5Z4TTKYMMUX1","GSON1112030243")</f>
        <v>#NAME?</v>
      </c>
      <c r="V157" s="3" t="e">
        <f ca="1">[1]!BexGetData("DP_1","00O2TNJGODT0G5Z4TTKYMN18L","GSON1112030243")</f>
        <v>#NAME?</v>
      </c>
      <c r="W157" s="8" t="e">
        <f ca="1">[1]!BexGetData("DP_1","00O2TNJGODT0G5Z4TTKYMN7K5","GSON1112030243")</f>
        <v>#NAME?</v>
      </c>
    </row>
    <row r="158" spans="1:23" x14ac:dyDescent="0.2">
      <c r="A158" s="16" t="s">
        <v>1947</v>
      </c>
      <c r="B158" s="7" t="s">
        <v>1948</v>
      </c>
      <c r="C158" s="3" t="e">
        <f ca="1">[1]!BexGetData("DP_1","003N8EMH8GTFRCSWKMPXRR8GU","GSON1112030244")</f>
        <v>#NAME?</v>
      </c>
      <c r="D158" s="3" t="e">
        <f ca="1">[1]!BexGetData("DP_1","003N8EMH8GTFRCSWKMPXRRESE","GSON1112030244")</f>
        <v>#NAME?</v>
      </c>
      <c r="E158" s="8" t="e">
        <f ca="1">[1]!BexGetData("DP_1","003N8EMH8GTFRCSWKMPXRRL3Y","GSON1112030244")</f>
        <v>#NAME?</v>
      </c>
      <c r="F158" s="4" t="e">
        <f ca="1">[1]!BexGetData("DP_1","003N8EMH8GTFRCSWKMPXRRRFI","GSON1112030244")</f>
        <v>#NAME?</v>
      </c>
      <c r="G158" s="4" t="e">
        <f ca="1">[1]!BexGetData("DP_1","003N8EMH8GTFRCSWKMPXRRXR2","GSON1112030244")</f>
        <v>#NAME?</v>
      </c>
      <c r="H158" s="4" t="e">
        <f ca="1">[1]!BexGetData("DP_1","003N8EMH8GTFRCSWKMPXRS42M","GSON1112030244")</f>
        <v>#NAME?</v>
      </c>
      <c r="I158" s="4" t="e">
        <f ca="1">[1]!BexGetData("DP_1","003N8EMH8GTFRCSWKMPXRSAE6","GSON1112030244")</f>
        <v>#NAME?</v>
      </c>
      <c r="J158" s="4" t="e">
        <f ca="1">[1]!BexGetData("DP_1","003N8EMH8GTFRCSWKMPXRSGPQ","GSON1112030244")</f>
        <v>#NAME?</v>
      </c>
      <c r="K158" s="8" t="e">
        <f ca="1">[1]!BexGetData("DP_1","003N8EMH8GTFRIVNUPY288VJH","GSON1112030244")</f>
        <v>#NAME?</v>
      </c>
      <c r="L158" s="8" t="e">
        <f ca="1">[1]!BexGetData("DP_1","003N8EMH8GTFRIVNUPY2891V1","GSON1112030244")</f>
        <v>#NAME?</v>
      </c>
      <c r="M158" s="8" t="e">
        <f ca="1">[1]!BexGetData("DP_1","003N8EMH8GTFRIVOG7KG9IQXA","GSON1112030244")</f>
        <v>#NAME?</v>
      </c>
      <c r="N158" s="8" t="e">
        <f ca="1">[1]!BexGetData("DP_1","003N8EMH8GTFRIVOG7KG9IX8U","GSON1112030244")</f>
        <v>#NAME?</v>
      </c>
      <c r="O158" s="8" t="e">
        <f ca="1">[1]!BexGetData("DP_1","003N8EMH8GTFRIVOG7KG9J3KE","GSON1112030244")</f>
        <v>#NAME?</v>
      </c>
      <c r="P158" s="8" t="e">
        <f ca="1">[1]!BexGetData("DP_1","003N8EMH8GTFRIVOG7KG9J9VY","GSON1112030244")</f>
        <v>#NAME?</v>
      </c>
      <c r="Q158" s="4" t="e">
        <f ca="1">[1]!BexGetData("DP_1","00O2TNJGODT0G5Z4TTKYMM5MT","GSON1112030244")</f>
        <v>#NAME?</v>
      </c>
      <c r="R158" s="4" t="e">
        <f ca="1">[1]!BexGetData("DP_1","00O2TNJGODT0G5Z4TTKYMMBYD","GSON1112030244")</f>
        <v>#NAME?</v>
      </c>
      <c r="S158" s="4" t="e">
        <f ca="1">[1]!BexGetData("DP_1","00O2TNJGODT0G5Z4TTKYMMI9X","GSON1112030244")</f>
        <v>#NAME?</v>
      </c>
      <c r="T158" s="4" t="e">
        <f ca="1">[1]!BexGetData("DP_1","00O2TNJGODT0G5Z4TTKYMMOLH","GSON1112030244")</f>
        <v>#NAME?</v>
      </c>
      <c r="U158" s="4" t="e">
        <f ca="1">[1]!BexGetData("DP_1","00O2TNJGODT0G5Z4TTKYMMUX1","GSON1112030244")</f>
        <v>#NAME?</v>
      </c>
      <c r="V158" s="4" t="e">
        <f ca="1">[1]!BexGetData("DP_1","00O2TNJGODT0G5Z4TTKYMN18L","GSON1112030244")</f>
        <v>#NAME?</v>
      </c>
      <c r="W158" s="4" t="e">
        <f ca="1">[1]!BexGetData("DP_1","00O2TNJGODT0G5Z4TTKYMN7K5","GSON1112030244")</f>
        <v>#NAME?</v>
      </c>
    </row>
    <row r="159" spans="1:23" x14ac:dyDescent="0.2">
      <c r="A159" s="16" t="s">
        <v>1949</v>
      </c>
      <c r="B159" s="7" t="s">
        <v>1950</v>
      </c>
      <c r="C159" s="3" t="e">
        <f ca="1">[1]!BexGetData("DP_1","003N8EMH8GTFRCSWKMPXRR8GU","GSON1112030245")</f>
        <v>#NAME?</v>
      </c>
      <c r="D159" s="3" t="e">
        <f ca="1">[1]!BexGetData("DP_1","003N8EMH8GTFRCSWKMPXRRESE","GSON1112030245")</f>
        <v>#NAME?</v>
      </c>
      <c r="E159" s="8" t="e">
        <f ca="1">[1]!BexGetData("DP_1","003N8EMH8GTFRCSWKMPXRRL3Y","GSON1112030245")</f>
        <v>#NAME?</v>
      </c>
      <c r="F159" s="4" t="e">
        <f ca="1">[1]!BexGetData("DP_1","003N8EMH8GTFRCSWKMPXRRRFI","GSON1112030245")</f>
        <v>#NAME?</v>
      </c>
      <c r="G159" s="4" t="e">
        <f ca="1">[1]!BexGetData("DP_1","003N8EMH8GTFRCSWKMPXRRXR2","GSON1112030245")</f>
        <v>#NAME?</v>
      </c>
      <c r="H159" s="4" t="e">
        <f ca="1">[1]!BexGetData("DP_1","003N8EMH8GTFRCSWKMPXRS42M","GSON1112030245")</f>
        <v>#NAME?</v>
      </c>
      <c r="I159" s="4" t="e">
        <f ca="1">[1]!BexGetData("DP_1","003N8EMH8GTFRCSWKMPXRSAE6","GSON1112030245")</f>
        <v>#NAME?</v>
      </c>
      <c r="J159" s="4" t="e">
        <f ca="1">[1]!BexGetData("DP_1","003N8EMH8GTFRCSWKMPXRSGPQ","GSON1112030245")</f>
        <v>#NAME?</v>
      </c>
      <c r="K159" s="8" t="e">
        <f ca="1">[1]!BexGetData("DP_1","003N8EMH8GTFRIVNUPY288VJH","GSON1112030245")</f>
        <v>#NAME?</v>
      </c>
      <c r="L159" s="8" t="e">
        <f ca="1">[1]!BexGetData("DP_1","003N8EMH8GTFRIVNUPY2891V1","GSON1112030245")</f>
        <v>#NAME?</v>
      </c>
      <c r="M159" s="8" t="e">
        <f ca="1">[1]!BexGetData("DP_1","003N8EMH8GTFRIVOG7KG9IQXA","GSON1112030245")</f>
        <v>#NAME?</v>
      </c>
      <c r="N159" s="8" t="e">
        <f ca="1">[1]!BexGetData("DP_1","003N8EMH8GTFRIVOG7KG9IX8U","GSON1112030245")</f>
        <v>#NAME?</v>
      </c>
      <c r="O159" s="8" t="e">
        <f ca="1">[1]!BexGetData("DP_1","003N8EMH8GTFRIVOG7KG9J3KE","GSON1112030245")</f>
        <v>#NAME?</v>
      </c>
      <c r="P159" s="8" t="e">
        <f ca="1">[1]!BexGetData("DP_1","003N8EMH8GTFRIVOG7KG9J9VY","GSON1112030245")</f>
        <v>#NAME?</v>
      </c>
      <c r="Q159" s="4" t="e">
        <f ca="1">[1]!BexGetData("DP_1","00O2TNJGODT0G5Z4TTKYMM5MT","GSON1112030245")</f>
        <v>#NAME?</v>
      </c>
      <c r="R159" s="4" t="e">
        <f ca="1">[1]!BexGetData("DP_1","00O2TNJGODT0G5Z4TTKYMMBYD","GSON1112030245")</f>
        <v>#NAME?</v>
      </c>
      <c r="S159" s="4" t="e">
        <f ca="1">[1]!BexGetData("DP_1","00O2TNJGODT0G5Z4TTKYMMI9X","GSON1112030245")</f>
        <v>#NAME?</v>
      </c>
      <c r="T159" s="4" t="e">
        <f ca="1">[1]!BexGetData("DP_1","00O2TNJGODT0G5Z4TTKYMMOLH","GSON1112030245")</f>
        <v>#NAME?</v>
      </c>
      <c r="U159" s="4" t="e">
        <f ca="1">[1]!BexGetData("DP_1","00O2TNJGODT0G5Z4TTKYMMUX1","GSON1112030245")</f>
        <v>#NAME?</v>
      </c>
      <c r="V159" s="4" t="e">
        <f ca="1">[1]!BexGetData("DP_1","00O2TNJGODT0G5Z4TTKYMN18L","GSON1112030245")</f>
        <v>#NAME?</v>
      </c>
      <c r="W159" s="4" t="e">
        <f ca="1">[1]!BexGetData("DP_1","00O2TNJGODT0G5Z4TTKYMN7K5","GSON1112030245")</f>
        <v>#NAME?</v>
      </c>
    </row>
    <row r="160" spans="1:23" x14ac:dyDescent="0.2">
      <c r="A160" s="16" t="s">
        <v>1951</v>
      </c>
      <c r="B160" s="7" t="s">
        <v>777</v>
      </c>
      <c r="C160" s="3" t="e">
        <f ca="1">[1]!BexGetData("DP_1","003N8EMH8GTFRCSWKMPXRR8GU","GSON1112030250")</f>
        <v>#NAME?</v>
      </c>
      <c r="D160" s="8" t="e">
        <f ca="1">[1]!BexGetData("DP_1","003N8EMH8GTFRCSWKMPXRRESE","GSON1112030250")</f>
        <v>#NAME?</v>
      </c>
      <c r="E160" s="3" t="e">
        <f ca="1">[1]!BexGetData("DP_1","003N8EMH8GTFRCSWKMPXRRL3Y","GSON1112030250")</f>
        <v>#NAME?</v>
      </c>
      <c r="F160" s="3" t="e">
        <f ca="1">[1]!BexGetData("DP_1","003N8EMH8GTFRCSWKMPXRRRFI","GSON1112030250")</f>
        <v>#NAME?</v>
      </c>
      <c r="G160" s="3" t="e">
        <f ca="1">[1]!BexGetData("DP_1","003N8EMH8GTFRCSWKMPXRRXR2","GSON1112030250")</f>
        <v>#NAME?</v>
      </c>
      <c r="H160" s="8" t="e">
        <f ca="1">[1]!BexGetData("DP_1","003N8EMH8GTFRCSWKMPXRS42M","GSON1112030250")</f>
        <v>#NAME?</v>
      </c>
      <c r="I160" s="3" t="e">
        <f ca="1">[1]!BexGetData("DP_1","003N8EMH8GTFRCSWKMPXRSAE6","GSON1112030250")</f>
        <v>#NAME?</v>
      </c>
      <c r="J160" s="4" t="e">
        <f ca="1">[1]!BexGetData("DP_1","003N8EMH8GTFRCSWKMPXRSGPQ","GSON1112030250")</f>
        <v>#NAME?</v>
      </c>
      <c r="K160" s="3" t="e">
        <f ca="1">[1]!BexGetData("DP_1","003N8EMH8GTFRIVNUPY288VJH","GSON1112030250")</f>
        <v>#NAME?</v>
      </c>
      <c r="L160" s="3" t="e">
        <f ca="1">[1]!BexGetData("DP_1","003N8EMH8GTFRIVNUPY2891V1","GSON1112030250")</f>
        <v>#NAME?</v>
      </c>
      <c r="M160" s="8" t="e">
        <f ca="1">[1]!BexGetData("DP_1","003N8EMH8GTFRIVOG7KG9IQXA","GSON1112030250")</f>
        <v>#NAME?</v>
      </c>
      <c r="N160" s="3" t="e">
        <f ca="1">[1]!BexGetData("DP_1","003N8EMH8GTFRIVOG7KG9IX8U","GSON1112030250")</f>
        <v>#NAME?</v>
      </c>
      <c r="O160" s="8" t="e">
        <f ca="1">[1]!BexGetData("DP_1","003N8EMH8GTFRIVOG7KG9J3KE","GSON1112030250")</f>
        <v>#NAME?</v>
      </c>
      <c r="P160" s="3" t="e">
        <f ca="1">[1]!BexGetData("DP_1","003N8EMH8GTFRIVOG7KG9J9VY","GSON1112030250")</f>
        <v>#NAME?</v>
      </c>
      <c r="Q160" s="4" t="e">
        <f ca="1">[1]!BexGetData("DP_1","00O2TNJGODT0G5Z4TTKYMM5MT","GSON1112030250")</f>
        <v>#NAME?</v>
      </c>
      <c r="R160" s="3" t="e">
        <f ca="1">[1]!BexGetData("DP_1","00O2TNJGODT0G5Z4TTKYMMBYD","GSON1112030250")</f>
        <v>#NAME?</v>
      </c>
      <c r="S160" s="3" t="e">
        <f ca="1">[1]!BexGetData("DP_1","00O2TNJGODT0G5Z4TTKYMMI9X","GSON1112030250")</f>
        <v>#NAME?</v>
      </c>
      <c r="T160" s="8" t="e">
        <f ca="1">[1]!BexGetData("DP_1","00O2TNJGODT0G5Z4TTKYMMOLH","GSON1112030250")</f>
        <v>#NAME?</v>
      </c>
      <c r="U160" s="3" t="e">
        <f ca="1">[1]!BexGetData("DP_1","00O2TNJGODT0G5Z4TTKYMMUX1","GSON1112030250")</f>
        <v>#NAME?</v>
      </c>
      <c r="V160" s="8" t="e">
        <f ca="1">[1]!BexGetData("DP_1","00O2TNJGODT0G5Z4TTKYMN18L","GSON1112030250")</f>
        <v>#NAME?</v>
      </c>
      <c r="W160" s="3" t="e">
        <f ca="1">[1]!BexGetData("DP_1","00O2TNJGODT0G5Z4TTKYMN7K5","GSON1112030250")</f>
        <v>#NAME?</v>
      </c>
    </row>
    <row r="161" spans="1:23" x14ac:dyDescent="0.2">
      <c r="A161" s="16" t="s">
        <v>1952</v>
      </c>
      <c r="B161" s="7" t="s">
        <v>646</v>
      </c>
      <c r="C161" s="3" t="e">
        <f ca="1">[1]!BexGetData("DP_1","003N8EMH8GTFRCSWKMPXRR8GU","GSON1112030251")</f>
        <v>#NAME?</v>
      </c>
      <c r="D161" s="3" t="e">
        <f ca="1">[1]!BexGetData("DP_1","003N8EMH8GTFRCSWKMPXRRESE","GSON1112030251")</f>
        <v>#NAME?</v>
      </c>
      <c r="E161" s="8" t="e">
        <f ca="1">[1]!BexGetData("DP_1","003N8EMH8GTFRCSWKMPXRRL3Y","GSON1112030251")</f>
        <v>#NAME?</v>
      </c>
      <c r="F161" s="4" t="e">
        <f ca="1">[1]!BexGetData("DP_1","003N8EMH8GTFRCSWKMPXRRRFI","GSON1112030251")</f>
        <v>#NAME?</v>
      </c>
      <c r="G161" s="4" t="e">
        <f ca="1">[1]!BexGetData("DP_1","003N8EMH8GTFRCSWKMPXRRXR2","GSON1112030251")</f>
        <v>#NAME?</v>
      </c>
      <c r="H161" s="4" t="e">
        <f ca="1">[1]!BexGetData("DP_1","003N8EMH8GTFRCSWKMPXRS42M","GSON1112030251")</f>
        <v>#NAME?</v>
      </c>
      <c r="I161" s="4" t="e">
        <f ca="1">[1]!BexGetData("DP_1","003N8EMH8GTFRCSWKMPXRSAE6","GSON1112030251")</f>
        <v>#NAME?</v>
      </c>
      <c r="J161" s="4" t="e">
        <f ca="1">[1]!BexGetData("DP_1","003N8EMH8GTFRCSWKMPXRSGPQ","GSON1112030251")</f>
        <v>#NAME?</v>
      </c>
      <c r="K161" s="8" t="e">
        <f ca="1">[1]!BexGetData("DP_1","003N8EMH8GTFRIVNUPY288VJH","GSON1112030251")</f>
        <v>#NAME?</v>
      </c>
      <c r="L161" s="8" t="e">
        <f ca="1">[1]!BexGetData("DP_1","003N8EMH8GTFRIVNUPY2891V1","GSON1112030251")</f>
        <v>#NAME?</v>
      </c>
      <c r="M161" s="8" t="e">
        <f ca="1">[1]!BexGetData("DP_1","003N8EMH8GTFRIVOG7KG9IQXA","GSON1112030251")</f>
        <v>#NAME?</v>
      </c>
      <c r="N161" s="8" t="e">
        <f ca="1">[1]!BexGetData("DP_1","003N8EMH8GTFRIVOG7KG9IX8U","GSON1112030251")</f>
        <v>#NAME?</v>
      </c>
      <c r="O161" s="8" t="e">
        <f ca="1">[1]!BexGetData("DP_1","003N8EMH8GTFRIVOG7KG9J3KE","GSON1112030251")</f>
        <v>#NAME?</v>
      </c>
      <c r="P161" s="8" t="e">
        <f ca="1">[1]!BexGetData("DP_1","003N8EMH8GTFRIVOG7KG9J9VY","GSON1112030251")</f>
        <v>#NAME?</v>
      </c>
      <c r="Q161" s="4" t="e">
        <f ca="1">[1]!BexGetData("DP_1","00O2TNJGODT0G5Z4TTKYMM5MT","GSON1112030251")</f>
        <v>#NAME?</v>
      </c>
      <c r="R161" s="4" t="e">
        <f ca="1">[1]!BexGetData("DP_1","00O2TNJGODT0G5Z4TTKYMMBYD","GSON1112030251")</f>
        <v>#NAME?</v>
      </c>
      <c r="S161" s="4" t="e">
        <f ca="1">[1]!BexGetData("DP_1","00O2TNJGODT0G5Z4TTKYMMI9X","GSON1112030251")</f>
        <v>#NAME?</v>
      </c>
      <c r="T161" s="4" t="e">
        <f ca="1">[1]!BexGetData("DP_1","00O2TNJGODT0G5Z4TTKYMMOLH","GSON1112030251")</f>
        <v>#NAME?</v>
      </c>
      <c r="U161" s="4" t="e">
        <f ca="1">[1]!BexGetData("DP_1","00O2TNJGODT0G5Z4TTKYMMUX1","GSON1112030251")</f>
        <v>#NAME?</v>
      </c>
      <c r="V161" s="4" t="e">
        <f ca="1">[1]!BexGetData("DP_1","00O2TNJGODT0G5Z4TTKYMN18L","GSON1112030251")</f>
        <v>#NAME?</v>
      </c>
      <c r="W161" s="4" t="e">
        <f ca="1">[1]!BexGetData("DP_1","00O2TNJGODT0G5Z4TTKYMN7K5","GSON1112030251")</f>
        <v>#NAME?</v>
      </c>
    </row>
    <row r="162" spans="1:23" x14ac:dyDescent="0.2">
      <c r="A162" s="16" t="s">
        <v>1953</v>
      </c>
      <c r="B162" s="7" t="s">
        <v>1954</v>
      </c>
      <c r="C162" s="3" t="e">
        <f ca="1">[1]!BexGetData("DP_1","003N8EMH8GTFRCSWKMPXRR8GU","GSON1112030254")</f>
        <v>#NAME?</v>
      </c>
      <c r="D162" s="3" t="e">
        <f ca="1">[1]!BexGetData("DP_1","003N8EMH8GTFRCSWKMPXRRESE","GSON1112030254")</f>
        <v>#NAME?</v>
      </c>
      <c r="E162" s="8" t="e">
        <f ca="1">[1]!BexGetData("DP_1","003N8EMH8GTFRCSWKMPXRRL3Y","GSON1112030254")</f>
        <v>#NAME?</v>
      </c>
      <c r="F162" s="4" t="e">
        <f ca="1">[1]!BexGetData("DP_1","003N8EMH8GTFRCSWKMPXRRRFI","GSON1112030254")</f>
        <v>#NAME?</v>
      </c>
      <c r="G162" s="4" t="e">
        <f ca="1">[1]!BexGetData("DP_1","003N8EMH8GTFRCSWKMPXRRXR2","GSON1112030254")</f>
        <v>#NAME?</v>
      </c>
      <c r="H162" s="4" t="e">
        <f ca="1">[1]!BexGetData("DP_1","003N8EMH8GTFRCSWKMPXRS42M","GSON1112030254")</f>
        <v>#NAME?</v>
      </c>
      <c r="I162" s="4" t="e">
        <f ca="1">[1]!BexGetData("DP_1","003N8EMH8GTFRCSWKMPXRSAE6","GSON1112030254")</f>
        <v>#NAME?</v>
      </c>
      <c r="J162" s="4" t="e">
        <f ca="1">[1]!BexGetData("DP_1","003N8EMH8GTFRCSWKMPXRSGPQ","GSON1112030254")</f>
        <v>#NAME?</v>
      </c>
      <c r="K162" s="8" t="e">
        <f ca="1">[1]!BexGetData("DP_1","003N8EMH8GTFRIVNUPY288VJH","GSON1112030254")</f>
        <v>#NAME?</v>
      </c>
      <c r="L162" s="8" t="e">
        <f ca="1">[1]!BexGetData("DP_1","003N8EMH8GTFRIVNUPY2891V1","GSON1112030254")</f>
        <v>#NAME?</v>
      </c>
      <c r="M162" s="8" t="e">
        <f ca="1">[1]!BexGetData("DP_1","003N8EMH8GTFRIVOG7KG9IQXA","GSON1112030254")</f>
        <v>#NAME?</v>
      </c>
      <c r="N162" s="8" t="e">
        <f ca="1">[1]!BexGetData("DP_1","003N8EMH8GTFRIVOG7KG9IX8U","GSON1112030254")</f>
        <v>#NAME?</v>
      </c>
      <c r="O162" s="8" t="e">
        <f ca="1">[1]!BexGetData("DP_1","003N8EMH8GTFRIVOG7KG9J3KE","GSON1112030254")</f>
        <v>#NAME?</v>
      </c>
      <c r="P162" s="8" t="e">
        <f ca="1">[1]!BexGetData("DP_1","003N8EMH8GTFRIVOG7KG9J9VY","GSON1112030254")</f>
        <v>#NAME?</v>
      </c>
      <c r="Q162" s="4" t="e">
        <f ca="1">[1]!BexGetData("DP_1","00O2TNJGODT0G5Z4TTKYMM5MT","GSON1112030254")</f>
        <v>#NAME?</v>
      </c>
      <c r="R162" s="4" t="e">
        <f ca="1">[1]!BexGetData("DP_1","00O2TNJGODT0G5Z4TTKYMMBYD","GSON1112030254")</f>
        <v>#NAME?</v>
      </c>
      <c r="S162" s="4" t="e">
        <f ca="1">[1]!BexGetData("DP_1","00O2TNJGODT0G5Z4TTKYMMI9X","GSON1112030254")</f>
        <v>#NAME?</v>
      </c>
      <c r="T162" s="4" t="e">
        <f ca="1">[1]!BexGetData("DP_1","00O2TNJGODT0G5Z4TTKYMMOLH","GSON1112030254")</f>
        <v>#NAME?</v>
      </c>
      <c r="U162" s="4" t="e">
        <f ca="1">[1]!BexGetData("DP_1","00O2TNJGODT0G5Z4TTKYMMUX1","GSON1112030254")</f>
        <v>#NAME?</v>
      </c>
      <c r="V162" s="4" t="e">
        <f ca="1">[1]!BexGetData("DP_1","00O2TNJGODT0G5Z4TTKYMN18L","GSON1112030254")</f>
        <v>#NAME?</v>
      </c>
      <c r="W162" s="4" t="e">
        <f ca="1">[1]!BexGetData("DP_1","00O2TNJGODT0G5Z4TTKYMN7K5","GSON1112030254")</f>
        <v>#NAME?</v>
      </c>
    </row>
    <row r="163" spans="1:23" x14ac:dyDescent="0.2">
      <c r="A163" s="16" t="s">
        <v>1955</v>
      </c>
      <c r="B163" s="7" t="s">
        <v>1956</v>
      </c>
      <c r="C163" s="3" t="e">
        <f ca="1">[1]!BexGetData("DP_1","003N8EMH8GTFRCSWKMPXRR8GU","GSON1112030255")</f>
        <v>#NAME?</v>
      </c>
      <c r="D163" s="3" t="e">
        <f ca="1">[1]!BexGetData("DP_1","003N8EMH8GTFRCSWKMPXRRESE","GSON1112030255")</f>
        <v>#NAME?</v>
      </c>
      <c r="E163" s="8" t="e">
        <f ca="1">[1]!BexGetData("DP_1","003N8EMH8GTFRCSWKMPXRRL3Y","GSON1112030255")</f>
        <v>#NAME?</v>
      </c>
      <c r="F163" s="4" t="e">
        <f ca="1">[1]!BexGetData("DP_1","003N8EMH8GTFRCSWKMPXRRRFI","GSON1112030255")</f>
        <v>#NAME?</v>
      </c>
      <c r="G163" s="4" t="e">
        <f ca="1">[1]!BexGetData("DP_1","003N8EMH8GTFRCSWKMPXRRXR2","GSON1112030255")</f>
        <v>#NAME?</v>
      </c>
      <c r="H163" s="4" t="e">
        <f ca="1">[1]!BexGetData("DP_1","003N8EMH8GTFRCSWKMPXRS42M","GSON1112030255")</f>
        <v>#NAME?</v>
      </c>
      <c r="I163" s="4" t="e">
        <f ca="1">[1]!BexGetData("DP_1","003N8EMH8GTFRCSWKMPXRSAE6","GSON1112030255")</f>
        <v>#NAME?</v>
      </c>
      <c r="J163" s="4" t="e">
        <f ca="1">[1]!BexGetData("DP_1","003N8EMH8GTFRCSWKMPXRSGPQ","GSON1112030255")</f>
        <v>#NAME?</v>
      </c>
      <c r="K163" s="8" t="e">
        <f ca="1">[1]!BexGetData("DP_1","003N8EMH8GTFRIVNUPY288VJH","GSON1112030255")</f>
        <v>#NAME?</v>
      </c>
      <c r="L163" s="8" t="e">
        <f ca="1">[1]!BexGetData("DP_1","003N8EMH8GTFRIVNUPY2891V1","GSON1112030255")</f>
        <v>#NAME?</v>
      </c>
      <c r="M163" s="8" t="e">
        <f ca="1">[1]!BexGetData("DP_1","003N8EMH8GTFRIVOG7KG9IQXA","GSON1112030255")</f>
        <v>#NAME?</v>
      </c>
      <c r="N163" s="8" t="e">
        <f ca="1">[1]!BexGetData("DP_1","003N8EMH8GTFRIVOG7KG9IX8U","GSON1112030255")</f>
        <v>#NAME?</v>
      </c>
      <c r="O163" s="8" t="e">
        <f ca="1">[1]!BexGetData("DP_1","003N8EMH8GTFRIVOG7KG9J3KE","GSON1112030255")</f>
        <v>#NAME?</v>
      </c>
      <c r="P163" s="8" t="e">
        <f ca="1">[1]!BexGetData("DP_1","003N8EMH8GTFRIVOG7KG9J9VY","GSON1112030255")</f>
        <v>#NAME?</v>
      </c>
      <c r="Q163" s="4" t="e">
        <f ca="1">[1]!BexGetData("DP_1","00O2TNJGODT0G5Z4TTKYMM5MT","GSON1112030255")</f>
        <v>#NAME?</v>
      </c>
      <c r="R163" s="4" t="e">
        <f ca="1">[1]!BexGetData("DP_1","00O2TNJGODT0G5Z4TTKYMMBYD","GSON1112030255")</f>
        <v>#NAME?</v>
      </c>
      <c r="S163" s="4" t="e">
        <f ca="1">[1]!BexGetData("DP_1","00O2TNJGODT0G5Z4TTKYMMI9X","GSON1112030255")</f>
        <v>#NAME?</v>
      </c>
      <c r="T163" s="4" t="e">
        <f ca="1">[1]!BexGetData("DP_1","00O2TNJGODT0G5Z4TTKYMMOLH","GSON1112030255")</f>
        <v>#NAME?</v>
      </c>
      <c r="U163" s="4" t="e">
        <f ca="1">[1]!BexGetData("DP_1","00O2TNJGODT0G5Z4TTKYMMUX1","GSON1112030255")</f>
        <v>#NAME?</v>
      </c>
      <c r="V163" s="4" t="e">
        <f ca="1">[1]!BexGetData("DP_1","00O2TNJGODT0G5Z4TTKYMN18L","GSON1112030255")</f>
        <v>#NAME?</v>
      </c>
      <c r="W163" s="4" t="e">
        <f ca="1">[1]!BexGetData("DP_1","00O2TNJGODT0G5Z4TTKYMN7K5","GSON1112030255")</f>
        <v>#NAME?</v>
      </c>
    </row>
    <row r="164" spans="1:23" x14ac:dyDescent="0.2">
      <c r="A164" s="16" t="s">
        <v>1957</v>
      </c>
      <c r="B164" s="7" t="s">
        <v>1958</v>
      </c>
      <c r="C164" s="8" t="e">
        <f ca="1">[1]!BexGetData("DP_1","003N8EMH8GTFRCSWKMPXRR8GU","GSON1112030260")</f>
        <v>#NAME?</v>
      </c>
      <c r="D164" s="8" t="e">
        <f ca="1">[1]!BexGetData("DP_1","003N8EMH8GTFRCSWKMPXRRESE","GSON1112030260")</f>
        <v>#NAME?</v>
      </c>
      <c r="E164" s="3" t="e">
        <f ca="1">[1]!BexGetData("DP_1","003N8EMH8GTFRCSWKMPXRRL3Y","GSON1112030260")</f>
        <v>#NAME?</v>
      </c>
      <c r="F164" s="3" t="e">
        <f ca="1">[1]!BexGetData("DP_1","003N8EMH8GTFRCSWKMPXRRRFI","GSON1112030260")</f>
        <v>#NAME?</v>
      </c>
      <c r="G164" s="3" t="e">
        <f ca="1">[1]!BexGetData("DP_1","003N8EMH8GTFRCSWKMPXRRXR2","GSON1112030260")</f>
        <v>#NAME?</v>
      </c>
      <c r="H164" s="8" t="e">
        <f ca="1">[1]!BexGetData("DP_1","003N8EMH8GTFRCSWKMPXRS42M","GSON1112030260")</f>
        <v>#NAME?</v>
      </c>
      <c r="I164" s="3" t="e">
        <f ca="1">[1]!BexGetData("DP_1","003N8EMH8GTFRCSWKMPXRSAE6","GSON1112030260")</f>
        <v>#NAME?</v>
      </c>
      <c r="J164" s="4" t="e">
        <f ca="1">[1]!BexGetData("DP_1","003N8EMH8GTFRCSWKMPXRSGPQ","GSON1112030260")</f>
        <v>#NAME?</v>
      </c>
      <c r="K164" s="8" t="e">
        <f ca="1">[1]!BexGetData("DP_1","003N8EMH8GTFRIVNUPY288VJH","GSON1112030260")</f>
        <v>#NAME?</v>
      </c>
      <c r="L164" s="8" t="e">
        <f ca="1">[1]!BexGetData("DP_1","003N8EMH8GTFRIVNUPY2891V1","GSON1112030260")</f>
        <v>#NAME?</v>
      </c>
      <c r="M164" s="8" t="e">
        <f ca="1">[1]!BexGetData("DP_1","003N8EMH8GTFRIVOG7KG9IQXA","GSON1112030260")</f>
        <v>#NAME?</v>
      </c>
      <c r="N164" s="8" t="e">
        <f ca="1">[1]!BexGetData("DP_1","003N8EMH8GTFRIVOG7KG9IX8U","GSON1112030260")</f>
        <v>#NAME?</v>
      </c>
      <c r="O164" s="8" t="e">
        <f ca="1">[1]!BexGetData("DP_1","003N8EMH8GTFRIVOG7KG9J3KE","GSON1112030260")</f>
        <v>#NAME?</v>
      </c>
      <c r="P164" s="8" t="e">
        <f ca="1">[1]!BexGetData("DP_1","003N8EMH8GTFRIVOG7KG9J9VY","GSON1112030260")</f>
        <v>#NAME?</v>
      </c>
      <c r="Q164" s="4" t="e">
        <f ca="1">[1]!BexGetData("DP_1","00O2TNJGODT0G5Z4TTKYMM5MT","GSON1112030260")</f>
        <v>#NAME?</v>
      </c>
      <c r="R164" s="3" t="e">
        <f ca="1">[1]!BexGetData("DP_1","00O2TNJGODT0G5Z4TTKYMMBYD","GSON1112030260")</f>
        <v>#NAME?</v>
      </c>
      <c r="S164" s="3" t="e">
        <f ca="1">[1]!BexGetData("DP_1","00O2TNJGODT0G5Z4TTKYMMI9X","GSON1112030260")</f>
        <v>#NAME?</v>
      </c>
      <c r="T164" s="8" t="e">
        <f ca="1">[1]!BexGetData("DP_1","00O2TNJGODT0G5Z4TTKYMMOLH","GSON1112030260")</f>
        <v>#NAME?</v>
      </c>
      <c r="U164" s="3" t="e">
        <f ca="1">[1]!BexGetData("DP_1","00O2TNJGODT0G5Z4TTKYMMUX1","GSON1112030260")</f>
        <v>#NAME?</v>
      </c>
      <c r="V164" s="8" t="e">
        <f ca="1">[1]!BexGetData("DP_1","00O2TNJGODT0G5Z4TTKYMN18L","GSON1112030260")</f>
        <v>#NAME?</v>
      </c>
      <c r="W164" s="3" t="e">
        <f ca="1">[1]!BexGetData("DP_1","00O2TNJGODT0G5Z4TTKYMN7K5","GSON1112030260")</f>
        <v>#NAME?</v>
      </c>
    </row>
    <row r="165" spans="1:23" x14ac:dyDescent="0.2">
      <c r="A165" s="16" t="s">
        <v>1959</v>
      </c>
      <c r="B165" s="7" t="s">
        <v>1624</v>
      </c>
      <c r="C165" s="8" t="e">
        <f ca="1">[1]!BexGetData("DP_1","003N8EMH8GTFRCSWKMPXRR8GU","GSON1112030270")</f>
        <v>#NAME?</v>
      </c>
      <c r="D165" s="8" t="e">
        <f ca="1">[1]!BexGetData("DP_1","003N8EMH8GTFRCSWKMPXRRESE","GSON1112030270")</f>
        <v>#NAME?</v>
      </c>
      <c r="E165" s="3" t="e">
        <f ca="1">[1]!BexGetData("DP_1","003N8EMH8GTFRCSWKMPXRRL3Y","GSON1112030270")</f>
        <v>#NAME?</v>
      </c>
      <c r="F165" s="3" t="e">
        <f ca="1">[1]!BexGetData("DP_1","003N8EMH8GTFRCSWKMPXRRRFI","GSON1112030270")</f>
        <v>#NAME?</v>
      </c>
      <c r="G165" s="3" t="e">
        <f ca="1">[1]!BexGetData("DP_1","003N8EMH8GTFRCSWKMPXRRXR2","GSON1112030270")</f>
        <v>#NAME?</v>
      </c>
      <c r="H165" s="8" t="e">
        <f ca="1">[1]!BexGetData("DP_1","003N8EMH8GTFRCSWKMPXRS42M","GSON1112030270")</f>
        <v>#NAME?</v>
      </c>
      <c r="I165" s="3" t="e">
        <f ca="1">[1]!BexGetData("DP_1","003N8EMH8GTFRCSWKMPXRSAE6","GSON1112030270")</f>
        <v>#NAME?</v>
      </c>
      <c r="J165" s="4" t="e">
        <f ca="1">[1]!BexGetData("DP_1","003N8EMH8GTFRCSWKMPXRSGPQ","GSON1112030270")</f>
        <v>#NAME?</v>
      </c>
      <c r="K165" s="8" t="e">
        <f ca="1">[1]!BexGetData("DP_1","003N8EMH8GTFRIVNUPY288VJH","GSON1112030270")</f>
        <v>#NAME?</v>
      </c>
      <c r="L165" s="8" t="e">
        <f ca="1">[1]!BexGetData("DP_1","003N8EMH8GTFRIVNUPY2891V1","GSON1112030270")</f>
        <v>#NAME?</v>
      </c>
      <c r="M165" s="8" t="e">
        <f ca="1">[1]!BexGetData("DP_1","003N8EMH8GTFRIVOG7KG9IQXA","GSON1112030270")</f>
        <v>#NAME?</v>
      </c>
      <c r="N165" s="8" t="e">
        <f ca="1">[1]!BexGetData("DP_1","003N8EMH8GTFRIVOG7KG9IX8U","GSON1112030270")</f>
        <v>#NAME?</v>
      </c>
      <c r="O165" s="8" t="e">
        <f ca="1">[1]!BexGetData("DP_1","003N8EMH8GTFRIVOG7KG9J3KE","GSON1112030270")</f>
        <v>#NAME?</v>
      </c>
      <c r="P165" s="8" t="e">
        <f ca="1">[1]!BexGetData("DP_1","003N8EMH8GTFRIVOG7KG9J9VY","GSON1112030270")</f>
        <v>#NAME?</v>
      </c>
      <c r="Q165" s="4" t="e">
        <f ca="1">[1]!BexGetData("DP_1","00O2TNJGODT0G5Z4TTKYMM5MT","GSON1112030270")</f>
        <v>#NAME?</v>
      </c>
      <c r="R165" s="3" t="e">
        <f ca="1">[1]!BexGetData("DP_1","00O2TNJGODT0G5Z4TTKYMMBYD","GSON1112030270")</f>
        <v>#NAME?</v>
      </c>
      <c r="S165" s="3" t="e">
        <f ca="1">[1]!BexGetData("DP_1","00O2TNJGODT0G5Z4TTKYMMI9X","GSON1112030270")</f>
        <v>#NAME?</v>
      </c>
      <c r="T165" s="8" t="e">
        <f ca="1">[1]!BexGetData("DP_1","00O2TNJGODT0G5Z4TTKYMMOLH","GSON1112030270")</f>
        <v>#NAME?</v>
      </c>
      <c r="U165" s="3" t="e">
        <f ca="1">[1]!BexGetData("DP_1","00O2TNJGODT0G5Z4TTKYMMUX1","GSON1112030270")</f>
        <v>#NAME?</v>
      </c>
      <c r="V165" s="8" t="e">
        <f ca="1">[1]!BexGetData("DP_1","00O2TNJGODT0G5Z4TTKYMN18L","GSON1112030270")</f>
        <v>#NAME?</v>
      </c>
      <c r="W165" s="3" t="e">
        <f ca="1">[1]!BexGetData("DP_1","00O2TNJGODT0G5Z4TTKYMN7K5","GSON1112030270")</f>
        <v>#NAME?</v>
      </c>
    </row>
    <row r="166" spans="1:23" x14ac:dyDescent="0.2">
      <c r="A166" s="16" t="s">
        <v>1960</v>
      </c>
      <c r="B166" s="7" t="s">
        <v>778</v>
      </c>
      <c r="C166" s="3" t="e">
        <f ca="1">[1]!BexGetData("DP_1","003N8EMH8GTFRCSWKMPXRR8GU","GSON1112030280")</f>
        <v>#NAME?</v>
      </c>
      <c r="D166" s="8" t="e">
        <f ca="1">[1]!BexGetData("DP_1","003N8EMH8GTFRCSWKMPXRRESE","GSON1112030280")</f>
        <v>#NAME?</v>
      </c>
      <c r="E166" s="3" t="e">
        <f ca="1">[1]!BexGetData("DP_1","003N8EMH8GTFRCSWKMPXRRL3Y","GSON1112030280")</f>
        <v>#NAME?</v>
      </c>
      <c r="F166" s="3" t="e">
        <f ca="1">[1]!BexGetData("DP_1","003N8EMH8GTFRCSWKMPXRRRFI","GSON1112030280")</f>
        <v>#NAME?</v>
      </c>
      <c r="G166" s="3" t="e">
        <f ca="1">[1]!BexGetData("DP_1","003N8EMH8GTFRCSWKMPXRRXR2","GSON1112030280")</f>
        <v>#NAME?</v>
      </c>
      <c r="H166" s="8" t="e">
        <f ca="1">[1]!BexGetData("DP_1","003N8EMH8GTFRCSWKMPXRS42M","GSON1112030280")</f>
        <v>#NAME?</v>
      </c>
      <c r="I166" s="3" t="e">
        <f ca="1">[1]!BexGetData("DP_1","003N8EMH8GTFRCSWKMPXRSAE6","GSON1112030280")</f>
        <v>#NAME?</v>
      </c>
      <c r="J166" s="4" t="e">
        <f ca="1">[1]!BexGetData("DP_1","003N8EMH8GTFRCSWKMPXRSGPQ","GSON1112030280")</f>
        <v>#NAME?</v>
      </c>
      <c r="K166" s="3" t="e">
        <f ca="1">[1]!BexGetData("DP_1","003N8EMH8GTFRIVNUPY288VJH","GSON1112030280")</f>
        <v>#NAME?</v>
      </c>
      <c r="L166" s="3" t="e">
        <f ca="1">[1]!BexGetData("DP_1","003N8EMH8GTFRIVNUPY2891V1","GSON1112030280")</f>
        <v>#NAME?</v>
      </c>
      <c r="M166" s="8" t="e">
        <f ca="1">[1]!BexGetData("DP_1","003N8EMH8GTFRIVOG7KG9IQXA","GSON1112030280")</f>
        <v>#NAME?</v>
      </c>
      <c r="N166" s="3" t="e">
        <f ca="1">[1]!BexGetData("DP_1","003N8EMH8GTFRIVOG7KG9IX8U","GSON1112030280")</f>
        <v>#NAME?</v>
      </c>
      <c r="O166" s="8" t="e">
        <f ca="1">[1]!BexGetData("DP_1","003N8EMH8GTFRIVOG7KG9J3KE","GSON1112030280")</f>
        <v>#NAME?</v>
      </c>
      <c r="P166" s="3" t="e">
        <f ca="1">[1]!BexGetData("DP_1","003N8EMH8GTFRIVOG7KG9J9VY","GSON1112030280")</f>
        <v>#NAME?</v>
      </c>
      <c r="Q166" s="4" t="e">
        <f ca="1">[1]!BexGetData("DP_1","00O2TNJGODT0G5Z4TTKYMM5MT","GSON1112030280")</f>
        <v>#NAME?</v>
      </c>
      <c r="R166" s="3" t="e">
        <f ca="1">[1]!BexGetData("DP_1","00O2TNJGODT0G5Z4TTKYMMBYD","GSON1112030280")</f>
        <v>#NAME?</v>
      </c>
      <c r="S166" s="3" t="e">
        <f ca="1">[1]!BexGetData("DP_1","00O2TNJGODT0G5Z4TTKYMMI9X","GSON1112030280")</f>
        <v>#NAME?</v>
      </c>
      <c r="T166" s="8" t="e">
        <f ca="1">[1]!BexGetData("DP_1","00O2TNJGODT0G5Z4TTKYMMOLH","GSON1112030280")</f>
        <v>#NAME?</v>
      </c>
      <c r="U166" s="3" t="e">
        <f ca="1">[1]!BexGetData("DP_1","00O2TNJGODT0G5Z4TTKYMMUX1","GSON1112030280")</f>
        <v>#NAME?</v>
      </c>
      <c r="V166" s="8" t="e">
        <f ca="1">[1]!BexGetData("DP_1","00O2TNJGODT0G5Z4TTKYMN18L","GSON1112030280")</f>
        <v>#NAME?</v>
      </c>
      <c r="W166" s="3" t="e">
        <f ca="1">[1]!BexGetData("DP_1","00O2TNJGODT0G5Z4TTKYMN7K5","GSON1112030280")</f>
        <v>#NAME?</v>
      </c>
    </row>
    <row r="167" spans="1:23" x14ac:dyDescent="0.2">
      <c r="A167" s="16" t="s">
        <v>1961</v>
      </c>
      <c r="B167" s="7" t="s">
        <v>647</v>
      </c>
      <c r="C167" s="3" t="e">
        <f ca="1">[1]!BexGetData("DP_1","003N8EMH8GTFRCSWKMPXRR8GU","GSON1112030281")</f>
        <v>#NAME?</v>
      </c>
      <c r="D167" s="3" t="e">
        <f ca="1">[1]!BexGetData("DP_1","003N8EMH8GTFRCSWKMPXRRESE","GSON1112030281")</f>
        <v>#NAME?</v>
      </c>
      <c r="E167" s="8" t="e">
        <f ca="1">[1]!BexGetData("DP_1","003N8EMH8GTFRCSWKMPXRRL3Y","GSON1112030281")</f>
        <v>#NAME?</v>
      </c>
      <c r="F167" s="4" t="e">
        <f ca="1">[1]!BexGetData("DP_1","003N8EMH8GTFRCSWKMPXRRRFI","GSON1112030281")</f>
        <v>#NAME?</v>
      </c>
      <c r="G167" s="4" t="e">
        <f ca="1">[1]!BexGetData("DP_1","003N8EMH8GTFRCSWKMPXRRXR2","GSON1112030281")</f>
        <v>#NAME?</v>
      </c>
      <c r="H167" s="4" t="e">
        <f ca="1">[1]!BexGetData("DP_1","003N8EMH8GTFRCSWKMPXRS42M","GSON1112030281")</f>
        <v>#NAME?</v>
      </c>
      <c r="I167" s="4" t="e">
        <f ca="1">[1]!BexGetData("DP_1","003N8EMH8GTFRCSWKMPXRSAE6","GSON1112030281")</f>
        <v>#NAME?</v>
      </c>
      <c r="J167" s="4" t="e">
        <f ca="1">[1]!BexGetData("DP_1","003N8EMH8GTFRCSWKMPXRSGPQ","GSON1112030281")</f>
        <v>#NAME?</v>
      </c>
      <c r="K167" s="8" t="e">
        <f ca="1">[1]!BexGetData("DP_1","003N8EMH8GTFRIVNUPY288VJH","GSON1112030281")</f>
        <v>#NAME?</v>
      </c>
      <c r="L167" s="8" t="e">
        <f ca="1">[1]!BexGetData("DP_1","003N8EMH8GTFRIVNUPY2891V1","GSON1112030281")</f>
        <v>#NAME?</v>
      </c>
      <c r="M167" s="8" t="e">
        <f ca="1">[1]!BexGetData("DP_1","003N8EMH8GTFRIVOG7KG9IQXA","GSON1112030281")</f>
        <v>#NAME?</v>
      </c>
      <c r="N167" s="8" t="e">
        <f ca="1">[1]!BexGetData("DP_1","003N8EMH8GTFRIVOG7KG9IX8U","GSON1112030281")</f>
        <v>#NAME?</v>
      </c>
      <c r="O167" s="8" t="e">
        <f ca="1">[1]!BexGetData("DP_1","003N8EMH8GTFRIVOG7KG9J3KE","GSON1112030281")</f>
        <v>#NAME?</v>
      </c>
      <c r="P167" s="8" t="e">
        <f ca="1">[1]!BexGetData("DP_1","003N8EMH8GTFRIVOG7KG9J9VY","GSON1112030281")</f>
        <v>#NAME?</v>
      </c>
      <c r="Q167" s="4" t="e">
        <f ca="1">[1]!BexGetData("DP_1","00O2TNJGODT0G5Z4TTKYMM5MT","GSON1112030281")</f>
        <v>#NAME?</v>
      </c>
      <c r="R167" s="4" t="e">
        <f ca="1">[1]!BexGetData("DP_1","00O2TNJGODT0G5Z4TTKYMMBYD","GSON1112030281")</f>
        <v>#NAME?</v>
      </c>
      <c r="S167" s="4" t="e">
        <f ca="1">[1]!BexGetData("DP_1","00O2TNJGODT0G5Z4TTKYMMI9X","GSON1112030281")</f>
        <v>#NAME?</v>
      </c>
      <c r="T167" s="4" t="e">
        <f ca="1">[1]!BexGetData("DP_1","00O2TNJGODT0G5Z4TTKYMMOLH","GSON1112030281")</f>
        <v>#NAME?</v>
      </c>
      <c r="U167" s="4" t="e">
        <f ca="1">[1]!BexGetData("DP_1","00O2TNJGODT0G5Z4TTKYMMUX1","GSON1112030281")</f>
        <v>#NAME?</v>
      </c>
      <c r="V167" s="4" t="e">
        <f ca="1">[1]!BexGetData("DP_1","00O2TNJGODT0G5Z4TTKYMN18L","GSON1112030281")</f>
        <v>#NAME?</v>
      </c>
      <c r="W167" s="4" t="e">
        <f ca="1">[1]!BexGetData("DP_1","00O2TNJGODT0G5Z4TTKYMN7K5","GSON1112030281")</f>
        <v>#NAME?</v>
      </c>
    </row>
    <row r="168" spans="1:23" x14ac:dyDescent="0.2">
      <c r="A168" s="16" t="s">
        <v>1962</v>
      </c>
      <c r="B168" s="7" t="s">
        <v>1963</v>
      </c>
      <c r="C168" s="3" t="e">
        <f ca="1">[1]!BexGetData("DP_1","003N8EMH8GTFRCSWKMPXRR8GU","GSON1112030285")</f>
        <v>#NAME?</v>
      </c>
      <c r="D168" s="3" t="e">
        <f ca="1">[1]!BexGetData("DP_1","003N8EMH8GTFRCSWKMPXRRESE","GSON1112030285")</f>
        <v>#NAME?</v>
      </c>
      <c r="E168" s="8" t="e">
        <f ca="1">[1]!BexGetData("DP_1","003N8EMH8GTFRCSWKMPXRRL3Y","GSON1112030285")</f>
        <v>#NAME?</v>
      </c>
      <c r="F168" s="4" t="e">
        <f ca="1">[1]!BexGetData("DP_1","003N8EMH8GTFRCSWKMPXRRRFI","GSON1112030285")</f>
        <v>#NAME?</v>
      </c>
      <c r="G168" s="4" t="e">
        <f ca="1">[1]!BexGetData("DP_1","003N8EMH8GTFRCSWKMPXRRXR2","GSON1112030285")</f>
        <v>#NAME?</v>
      </c>
      <c r="H168" s="4" t="e">
        <f ca="1">[1]!BexGetData("DP_1","003N8EMH8GTFRCSWKMPXRS42M","GSON1112030285")</f>
        <v>#NAME?</v>
      </c>
      <c r="I168" s="4" t="e">
        <f ca="1">[1]!BexGetData("DP_1","003N8EMH8GTFRCSWKMPXRSAE6","GSON1112030285")</f>
        <v>#NAME?</v>
      </c>
      <c r="J168" s="4" t="e">
        <f ca="1">[1]!BexGetData("DP_1","003N8EMH8GTFRCSWKMPXRSGPQ","GSON1112030285")</f>
        <v>#NAME?</v>
      </c>
      <c r="K168" s="8" t="e">
        <f ca="1">[1]!BexGetData("DP_1","003N8EMH8GTFRIVNUPY288VJH","GSON1112030285")</f>
        <v>#NAME?</v>
      </c>
      <c r="L168" s="8" t="e">
        <f ca="1">[1]!BexGetData("DP_1","003N8EMH8GTFRIVNUPY2891V1","GSON1112030285")</f>
        <v>#NAME?</v>
      </c>
      <c r="M168" s="8" t="e">
        <f ca="1">[1]!BexGetData("DP_1","003N8EMH8GTFRIVOG7KG9IQXA","GSON1112030285")</f>
        <v>#NAME?</v>
      </c>
      <c r="N168" s="8" t="e">
        <f ca="1">[1]!BexGetData("DP_1","003N8EMH8GTFRIVOG7KG9IX8U","GSON1112030285")</f>
        <v>#NAME?</v>
      </c>
      <c r="O168" s="8" t="e">
        <f ca="1">[1]!BexGetData("DP_1","003N8EMH8GTFRIVOG7KG9J3KE","GSON1112030285")</f>
        <v>#NAME?</v>
      </c>
      <c r="P168" s="8" t="e">
        <f ca="1">[1]!BexGetData("DP_1","003N8EMH8GTFRIVOG7KG9J9VY","GSON1112030285")</f>
        <v>#NAME?</v>
      </c>
      <c r="Q168" s="4" t="e">
        <f ca="1">[1]!BexGetData("DP_1","00O2TNJGODT0G5Z4TTKYMM5MT","GSON1112030285")</f>
        <v>#NAME?</v>
      </c>
      <c r="R168" s="4" t="e">
        <f ca="1">[1]!BexGetData("DP_1","00O2TNJGODT0G5Z4TTKYMMBYD","GSON1112030285")</f>
        <v>#NAME?</v>
      </c>
      <c r="S168" s="4" t="e">
        <f ca="1">[1]!BexGetData("DP_1","00O2TNJGODT0G5Z4TTKYMMI9X","GSON1112030285")</f>
        <v>#NAME?</v>
      </c>
      <c r="T168" s="4" t="e">
        <f ca="1">[1]!BexGetData("DP_1","00O2TNJGODT0G5Z4TTKYMMOLH","GSON1112030285")</f>
        <v>#NAME?</v>
      </c>
      <c r="U168" s="4" t="e">
        <f ca="1">[1]!BexGetData("DP_1","00O2TNJGODT0G5Z4TTKYMMUX1","GSON1112030285")</f>
        <v>#NAME?</v>
      </c>
      <c r="V168" s="4" t="e">
        <f ca="1">[1]!BexGetData("DP_1","00O2TNJGODT0G5Z4TTKYMN18L","GSON1112030285")</f>
        <v>#NAME?</v>
      </c>
      <c r="W168" s="4" t="e">
        <f ca="1">[1]!BexGetData("DP_1","00O2TNJGODT0G5Z4TTKYMN7K5","GSON1112030285")</f>
        <v>#NAME?</v>
      </c>
    </row>
    <row r="169" spans="1:23" x14ac:dyDescent="0.2">
      <c r="A169" s="16" t="s">
        <v>1964</v>
      </c>
      <c r="B169" s="7" t="s">
        <v>779</v>
      </c>
      <c r="C169" s="3" t="e">
        <f ca="1">[1]!BexGetData("DP_1","003N8EMH8GTFRCSWKMPXRR8GU","GSON1112030290")</f>
        <v>#NAME?</v>
      </c>
      <c r="D169" s="3" t="e">
        <f ca="1">[1]!BexGetData("DP_1","003N8EMH8GTFRCSWKMPXRRESE","GSON1112030290")</f>
        <v>#NAME?</v>
      </c>
      <c r="E169" s="3" t="e">
        <f ca="1">[1]!BexGetData("DP_1","003N8EMH8GTFRCSWKMPXRRL3Y","GSON1112030290")</f>
        <v>#NAME?</v>
      </c>
      <c r="F169" s="3" t="e">
        <f ca="1">[1]!BexGetData("DP_1","003N8EMH8GTFRCSWKMPXRRRFI","GSON1112030290")</f>
        <v>#NAME?</v>
      </c>
      <c r="G169" s="3" t="e">
        <f ca="1">[1]!BexGetData("DP_1","003N8EMH8GTFRCSWKMPXRRXR2","GSON1112030290")</f>
        <v>#NAME?</v>
      </c>
      <c r="H169" s="8" t="e">
        <f ca="1">[1]!BexGetData("DP_1","003N8EMH8GTFRCSWKMPXRS42M","GSON1112030290")</f>
        <v>#NAME?</v>
      </c>
      <c r="I169" s="3" t="e">
        <f ca="1">[1]!BexGetData("DP_1","003N8EMH8GTFRCSWKMPXRSAE6","GSON1112030290")</f>
        <v>#NAME?</v>
      </c>
      <c r="J169" s="4" t="e">
        <f ca="1">[1]!BexGetData("DP_1","003N8EMH8GTFRCSWKMPXRSGPQ","GSON1112030290")</f>
        <v>#NAME?</v>
      </c>
      <c r="K169" s="3" t="e">
        <f ca="1">[1]!BexGetData("DP_1","003N8EMH8GTFRIVNUPY288VJH","GSON1112030290")</f>
        <v>#NAME?</v>
      </c>
      <c r="L169" s="3" t="e">
        <f ca="1">[1]!BexGetData("DP_1","003N8EMH8GTFRIVNUPY2891V1","GSON1112030290")</f>
        <v>#NAME?</v>
      </c>
      <c r="M169" s="3" t="e">
        <f ca="1">[1]!BexGetData("DP_1","003N8EMH8GTFRIVOG7KG9IQXA","GSON1112030290")</f>
        <v>#NAME?</v>
      </c>
      <c r="N169" s="8" t="e">
        <f ca="1">[1]!BexGetData("DP_1","003N8EMH8GTFRIVOG7KG9IX8U","GSON1112030290")</f>
        <v>#NAME?</v>
      </c>
      <c r="O169" s="3" t="e">
        <f ca="1">[1]!BexGetData("DP_1","003N8EMH8GTFRIVOG7KG9J3KE","GSON1112030290")</f>
        <v>#NAME?</v>
      </c>
      <c r="P169" s="8" t="e">
        <f ca="1">[1]!BexGetData("DP_1","003N8EMH8GTFRIVOG7KG9J9VY","GSON1112030290")</f>
        <v>#NAME?</v>
      </c>
      <c r="Q169" s="4" t="e">
        <f ca="1">[1]!BexGetData("DP_1","00O2TNJGODT0G5Z4TTKYMM5MT","GSON1112030290")</f>
        <v>#NAME?</v>
      </c>
      <c r="R169" s="3" t="e">
        <f ca="1">[1]!BexGetData("DP_1","00O2TNJGODT0G5Z4TTKYMMBYD","GSON1112030290")</f>
        <v>#NAME?</v>
      </c>
      <c r="S169" s="3" t="e">
        <f ca="1">[1]!BexGetData("DP_1","00O2TNJGODT0G5Z4TTKYMMI9X","GSON1112030290")</f>
        <v>#NAME?</v>
      </c>
      <c r="T169" s="8" t="e">
        <f ca="1">[1]!BexGetData("DP_1","00O2TNJGODT0G5Z4TTKYMMOLH","GSON1112030290")</f>
        <v>#NAME?</v>
      </c>
      <c r="U169" s="3" t="e">
        <f ca="1">[1]!BexGetData("DP_1","00O2TNJGODT0G5Z4TTKYMMUX1","GSON1112030290")</f>
        <v>#NAME?</v>
      </c>
      <c r="V169" s="8" t="e">
        <f ca="1">[1]!BexGetData("DP_1","00O2TNJGODT0G5Z4TTKYMN18L","GSON1112030290")</f>
        <v>#NAME?</v>
      </c>
      <c r="W169" s="3" t="e">
        <f ca="1">[1]!BexGetData("DP_1","00O2TNJGODT0G5Z4TTKYMN7K5","GSON1112030290")</f>
        <v>#NAME?</v>
      </c>
    </row>
    <row r="170" spans="1:23" x14ac:dyDescent="0.2">
      <c r="A170" s="16" t="s">
        <v>1965</v>
      </c>
      <c r="B170" s="7" t="s">
        <v>780</v>
      </c>
      <c r="C170" s="3" t="e">
        <f ca="1">[1]!BexGetData("DP_1","003N8EMH8GTFRCSWKMPXRR8GU","GSON1112030291")</f>
        <v>#NAME?</v>
      </c>
      <c r="D170" s="3" t="e">
        <f ca="1">[1]!BexGetData("DP_1","003N8EMH8GTFRCSWKMPXRRESE","GSON1112030291")</f>
        <v>#NAME?</v>
      </c>
      <c r="E170" s="8" t="e">
        <f ca="1">[1]!BexGetData("DP_1","003N8EMH8GTFRCSWKMPXRRL3Y","GSON1112030291")</f>
        <v>#NAME?</v>
      </c>
      <c r="F170" s="4" t="e">
        <f ca="1">[1]!BexGetData("DP_1","003N8EMH8GTFRCSWKMPXRRRFI","GSON1112030291")</f>
        <v>#NAME?</v>
      </c>
      <c r="G170" s="4" t="e">
        <f ca="1">[1]!BexGetData("DP_1","003N8EMH8GTFRCSWKMPXRRXR2","GSON1112030291")</f>
        <v>#NAME?</v>
      </c>
      <c r="H170" s="4" t="e">
        <f ca="1">[1]!BexGetData("DP_1","003N8EMH8GTFRCSWKMPXRS42M","GSON1112030291")</f>
        <v>#NAME?</v>
      </c>
      <c r="I170" s="4" t="e">
        <f ca="1">[1]!BexGetData("DP_1","003N8EMH8GTFRCSWKMPXRSAE6","GSON1112030291")</f>
        <v>#NAME?</v>
      </c>
      <c r="J170" s="4" t="e">
        <f ca="1">[1]!BexGetData("DP_1","003N8EMH8GTFRCSWKMPXRSGPQ","GSON1112030291")</f>
        <v>#NAME?</v>
      </c>
      <c r="K170" s="8" t="e">
        <f ca="1">[1]!BexGetData("DP_1","003N8EMH8GTFRIVNUPY288VJH","GSON1112030291")</f>
        <v>#NAME?</v>
      </c>
      <c r="L170" s="8" t="e">
        <f ca="1">[1]!BexGetData("DP_1","003N8EMH8GTFRIVNUPY2891V1","GSON1112030291")</f>
        <v>#NAME?</v>
      </c>
      <c r="M170" s="8" t="e">
        <f ca="1">[1]!BexGetData("DP_1","003N8EMH8GTFRIVOG7KG9IQXA","GSON1112030291")</f>
        <v>#NAME?</v>
      </c>
      <c r="N170" s="8" t="e">
        <f ca="1">[1]!BexGetData("DP_1","003N8EMH8GTFRIVOG7KG9IX8U","GSON1112030291")</f>
        <v>#NAME?</v>
      </c>
      <c r="O170" s="8" t="e">
        <f ca="1">[1]!BexGetData("DP_1","003N8EMH8GTFRIVOG7KG9J3KE","GSON1112030291")</f>
        <v>#NAME?</v>
      </c>
      <c r="P170" s="8" t="e">
        <f ca="1">[1]!BexGetData("DP_1","003N8EMH8GTFRIVOG7KG9J9VY","GSON1112030291")</f>
        <v>#NAME?</v>
      </c>
      <c r="Q170" s="4" t="e">
        <f ca="1">[1]!BexGetData("DP_1","00O2TNJGODT0G5Z4TTKYMM5MT","GSON1112030291")</f>
        <v>#NAME?</v>
      </c>
      <c r="R170" s="4" t="e">
        <f ca="1">[1]!BexGetData("DP_1","00O2TNJGODT0G5Z4TTKYMMBYD","GSON1112030291")</f>
        <v>#NAME?</v>
      </c>
      <c r="S170" s="4" t="e">
        <f ca="1">[1]!BexGetData("DP_1","00O2TNJGODT0G5Z4TTKYMMI9X","GSON1112030291")</f>
        <v>#NAME?</v>
      </c>
      <c r="T170" s="4" t="e">
        <f ca="1">[1]!BexGetData("DP_1","00O2TNJGODT0G5Z4TTKYMMOLH","GSON1112030291")</f>
        <v>#NAME?</v>
      </c>
      <c r="U170" s="4" t="e">
        <f ca="1">[1]!BexGetData("DP_1","00O2TNJGODT0G5Z4TTKYMMUX1","GSON1112030291")</f>
        <v>#NAME?</v>
      </c>
      <c r="V170" s="4" t="e">
        <f ca="1">[1]!BexGetData("DP_1","00O2TNJGODT0G5Z4TTKYMN18L","GSON1112030291")</f>
        <v>#NAME?</v>
      </c>
      <c r="W170" s="4" t="e">
        <f ca="1">[1]!BexGetData("DP_1","00O2TNJGODT0G5Z4TTKYMN7K5","GSON1112030291")</f>
        <v>#NAME?</v>
      </c>
    </row>
    <row r="171" spans="1:23" x14ac:dyDescent="0.2">
      <c r="A171" s="16" t="s">
        <v>1966</v>
      </c>
      <c r="B171" s="7" t="s">
        <v>1967</v>
      </c>
      <c r="C171" s="3" t="e">
        <f ca="1">[1]!BexGetData("DP_1","003N8EMH8GTFRCSWKMPXRR8GU","GSON1112030293")</f>
        <v>#NAME?</v>
      </c>
      <c r="D171" s="3" t="e">
        <f ca="1">[1]!BexGetData("DP_1","003N8EMH8GTFRCSWKMPXRRESE","GSON1112030293")</f>
        <v>#NAME?</v>
      </c>
      <c r="E171" s="8" t="e">
        <f ca="1">[1]!BexGetData("DP_1","003N8EMH8GTFRCSWKMPXRRL3Y","GSON1112030293")</f>
        <v>#NAME?</v>
      </c>
      <c r="F171" s="4" t="e">
        <f ca="1">[1]!BexGetData("DP_1","003N8EMH8GTFRCSWKMPXRRRFI","GSON1112030293")</f>
        <v>#NAME?</v>
      </c>
      <c r="G171" s="4" t="e">
        <f ca="1">[1]!BexGetData("DP_1","003N8EMH8GTFRCSWKMPXRRXR2","GSON1112030293")</f>
        <v>#NAME?</v>
      </c>
      <c r="H171" s="4" t="e">
        <f ca="1">[1]!BexGetData("DP_1","003N8EMH8GTFRCSWKMPXRS42M","GSON1112030293")</f>
        <v>#NAME?</v>
      </c>
      <c r="I171" s="4" t="e">
        <f ca="1">[1]!BexGetData("DP_1","003N8EMH8GTFRCSWKMPXRSAE6","GSON1112030293")</f>
        <v>#NAME?</v>
      </c>
      <c r="J171" s="4" t="e">
        <f ca="1">[1]!BexGetData("DP_1","003N8EMH8GTFRCSWKMPXRSGPQ","GSON1112030293")</f>
        <v>#NAME?</v>
      </c>
      <c r="K171" s="8" t="e">
        <f ca="1">[1]!BexGetData("DP_1","003N8EMH8GTFRIVNUPY288VJH","GSON1112030293")</f>
        <v>#NAME?</v>
      </c>
      <c r="L171" s="8" t="e">
        <f ca="1">[1]!BexGetData("DP_1","003N8EMH8GTFRIVNUPY2891V1","GSON1112030293")</f>
        <v>#NAME?</v>
      </c>
      <c r="M171" s="8" t="e">
        <f ca="1">[1]!BexGetData("DP_1","003N8EMH8GTFRIVOG7KG9IQXA","GSON1112030293")</f>
        <v>#NAME?</v>
      </c>
      <c r="N171" s="8" t="e">
        <f ca="1">[1]!BexGetData("DP_1","003N8EMH8GTFRIVOG7KG9IX8U","GSON1112030293")</f>
        <v>#NAME?</v>
      </c>
      <c r="O171" s="8" t="e">
        <f ca="1">[1]!BexGetData("DP_1","003N8EMH8GTFRIVOG7KG9J3KE","GSON1112030293")</f>
        <v>#NAME?</v>
      </c>
      <c r="P171" s="8" t="e">
        <f ca="1">[1]!BexGetData("DP_1","003N8EMH8GTFRIVOG7KG9J9VY","GSON1112030293")</f>
        <v>#NAME?</v>
      </c>
      <c r="Q171" s="4" t="e">
        <f ca="1">[1]!BexGetData("DP_1","00O2TNJGODT0G5Z4TTKYMM5MT","GSON1112030293")</f>
        <v>#NAME?</v>
      </c>
      <c r="R171" s="4" t="e">
        <f ca="1">[1]!BexGetData("DP_1","00O2TNJGODT0G5Z4TTKYMMBYD","GSON1112030293")</f>
        <v>#NAME?</v>
      </c>
      <c r="S171" s="4" t="e">
        <f ca="1">[1]!BexGetData("DP_1","00O2TNJGODT0G5Z4TTKYMMI9X","GSON1112030293")</f>
        <v>#NAME?</v>
      </c>
      <c r="T171" s="4" t="e">
        <f ca="1">[1]!BexGetData("DP_1","00O2TNJGODT0G5Z4TTKYMMOLH","GSON1112030293")</f>
        <v>#NAME?</v>
      </c>
      <c r="U171" s="4" t="e">
        <f ca="1">[1]!BexGetData("DP_1","00O2TNJGODT0G5Z4TTKYMMUX1","GSON1112030293")</f>
        <v>#NAME?</v>
      </c>
      <c r="V171" s="4" t="e">
        <f ca="1">[1]!BexGetData("DP_1","00O2TNJGODT0G5Z4TTKYMN18L","GSON1112030293")</f>
        <v>#NAME?</v>
      </c>
      <c r="W171" s="4" t="e">
        <f ca="1">[1]!BexGetData("DP_1","00O2TNJGODT0G5Z4TTKYMN7K5","GSON1112030293")</f>
        <v>#NAME?</v>
      </c>
    </row>
    <row r="172" spans="1:23" x14ac:dyDescent="0.2">
      <c r="A172" s="16" t="s">
        <v>1968</v>
      </c>
      <c r="B172" s="7" t="s">
        <v>1969</v>
      </c>
      <c r="C172" s="3" t="e">
        <f ca="1">[1]!BexGetData("DP_1","003N8EMH8GTFRCSWKMPXRR8GU","GSON1112030295")</f>
        <v>#NAME?</v>
      </c>
      <c r="D172" s="3" t="e">
        <f ca="1">[1]!BexGetData("DP_1","003N8EMH8GTFRCSWKMPXRRESE","GSON1112030295")</f>
        <v>#NAME?</v>
      </c>
      <c r="E172" s="8" t="e">
        <f ca="1">[1]!BexGetData("DP_1","003N8EMH8GTFRCSWKMPXRRL3Y","GSON1112030295")</f>
        <v>#NAME?</v>
      </c>
      <c r="F172" s="4" t="e">
        <f ca="1">[1]!BexGetData("DP_1","003N8EMH8GTFRCSWKMPXRRRFI","GSON1112030295")</f>
        <v>#NAME?</v>
      </c>
      <c r="G172" s="4" t="e">
        <f ca="1">[1]!BexGetData("DP_1","003N8EMH8GTFRCSWKMPXRRXR2","GSON1112030295")</f>
        <v>#NAME?</v>
      </c>
      <c r="H172" s="4" t="e">
        <f ca="1">[1]!BexGetData("DP_1","003N8EMH8GTFRCSWKMPXRS42M","GSON1112030295")</f>
        <v>#NAME?</v>
      </c>
      <c r="I172" s="4" t="e">
        <f ca="1">[1]!BexGetData("DP_1","003N8EMH8GTFRCSWKMPXRSAE6","GSON1112030295")</f>
        <v>#NAME?</v>
      </c>
      <c r="J172" s="4" t="e">
        <f ca="1">[1]!BexGetData("DP_1","003N8EMH8GTFRCSWKMPXRSGPQ","GSON1112030295")</f>
        <v>#NAME?</v>
      </c>
      <c r="K172" s="8" t="e">
        <f ca="1">[1]!BexGetData("DP_1","003N8EMH8GTFRIVNUPY288VJH","GSON1112030295")</f>
        <v>#NAME?</v>
      </c>
      <c r="L172" s="8" t="e">
        <f ca="1">[1]!BexGetData("DP_1","003N8EMH8GTFRIVNUPY2891V1","GSON1112030295")</f>
        <v>#NAME?</v>
      </c>
      <c r="M172" s="8" t="e">
        <f ca="1">[1]!BexGetData("DP_1","003N8EMH8GTFRIVOG7KG9IQXA","GSON1112030295")</f>
        <v>#NAME?</v>
      </c>
      <c r="N172" s="8" t="e">
        <f ca="1">[1]!BexGetData("DP_1","003N8EMH8GTFRIVOG7KG9IX8U","GSON1112030295")</f>
        <v>#NAME?</v>
      </c>
      <c r="O172" s="8" t="e">
        <f ca="1">[1]!BexGetData("DP_1","003N8EMH8GTFRIVOG7KG9J3KE","GSON1112030295")</f>
        <v>#NAME?</v>
      </c>
      <c r="P172" s="8" t="e">
        <f ca="1">[1]!BexGetData("DP_1","003N8EMH8GTFRIVOG7KG9J9VY","GSON1112030295")</f>
        <v>#NAME?</v>
      </c>
      <c r="Q172" s="4" t="e">
        <f ca="1">[1]!BexGetData("DP_1","00O2TNJGODT0G5Z4TTKYMM5MT","GSON1112030295")</f>
        <v>#NAME?</v>
      </c>
      <c r="R172" s="4" t="e">
        <f ca="1">[1]!BexGetData("DP_1","00O2TNJGODT0G5Z4TTKYMMBYD","GSON1112030295")</f>
        <v>#NAME?</v>
      </c>
      <c r="S172" s="4" t="e">
        <f ca="1">[1]!BexGetData("DP_1","00O2TNJGODT0G5Z4TTKYMMI9X","GSON1112030295")</f>
        <v>#NAME?</v>
      </c>
      <c r="T172" s="4" t="e">
        <f ca="1">[1]!BexGetData("DP_1","00O2TNJGODT0G5Z4TTKYMMOLH","GSON1112030295")</f>
        <v>#NAME?</v>
      </c>
      <c r="U172" s="4" t="e">
        <f ca="1">[1]!BexGetData("DP_1","00O2TNJGODT0G5Z4TTKYMMUX1","GSON1112030295")</f>
        <v>#NAME?</v>
      </c>
      <c r="V172" s="4" t="e">
        <f ca="1">[1]!BexGetData("DP_1","00O2TNJGODT0G5Z4TTKYMN18L","GSON1112030295")</f>
        <v>#NAME?</v>
      </c>
      <c r="W172" s="4" t="e">
        <f ca="1">[1]!BexGetData("DP_1","00O2TNJGODT0G5Z4TTKYMN7K5","GSON1112030295")</f>
        <v>#NAME?</v>
      </c>
    </row>
    <row r="173" spans="1:23" x14ac:dyDescent="0.2">
      <c r="A173" s="16" t="s">
        <v>1970</v>
      </c>
      <c r="B173" s="7" t="s">
        <v>781</v>
      </c>
      <c r="C173" s="3" t="e">
        <f ca="1">[1]!BexGetData("DP_1","003N8EMH8GTFRCSWKMPXRR8GU","GSON1112030300")</f>
        <v>#NAME?</v>
      </c>
      <c r="D173" s="3" t="e">
        <f ca="1">[1]!BexGetData("DP_1","003N8EMH8GTFRCSWKMPXRRESE","GSON1112030300")</f>
        <v>#NAME?</v>
      </c>
      <c r="E173" s="3" t="e">
        <f ca="1">[1]!BexGetData("DP_1","003N8EMH8GTFRCSWKMPXRRL3Y","GSON1112030300")</f>
        <v>#NAME?</v>
      </c>
      <c r="F173" s="3" t="e">
        <f ca="1">[1]!BexGetData("DP_1","003N8EMH8GTFRCSWKMPXRRRFI","GSON1112030300")</f>
        <v>#NAME?</v>
      </c>
      <c r="G173" s="3" t="e">
        <f ca="1">[1]!BexGetData("DP_1","003N8EMH8GTFRCSWKMPXRRXR2","GSON1112030300")</f>
        <v>#NAME?</v>
      </c>
      <c r="H173" s="8" t="e">
        <f ca="1">[1]!BexGetData("DP_1","003N8EMH8GTFRCSWKMPXRS42M","GSON1112030300")</f>
        <v>#NAME?</v>
      </c>
      <c r="I173" s="3" t="e">
        <f ca="1">[1]!BexGetData("DP_1","003N8EMH8GTFRCSWKMPXRSAE6","GSON1112030300")</f>
        <v>#NAME?</v>
      </c>
      <c r="J173" s="4" t="e">
        <f ca="1">[1]!BexGetData("DP_1","003N8EMH8GTFRCSWKMPXRSGPQ","GSON1112030300")</f>
        <v>#NAME?</v>
      </c>
      <c r="K173" s="3" t="e">
        <f ca="1">[1]!BexGetData("DP_1","003N8EMH8GTFRIVNUPY288VJH","GSON1112030300")</f>
        <v>#NAME?</v>
      </c>
      <c r="L173" s="3" t="e">
        <f ca="1">[1]!BexGetData("DP_1","003N8EMH8GTFRIVNUPY2891V1","GSON1112030300")</f>
        <v>#NAME?</v>
      </c>
      <c r="M173" s="8" t="e">
        <f ca="1">[1]!BexGetData("DP_1","003N8EMH8GTFRIVOG7KG9IQXA","GSON1112030300")</f>
        <v>#NAME?</v>
      </c>
      <c r="N173" s="3" t="e">
        <f ca="1">[1]!BexGetData("DP_1","003N8EMH8GTFRIVOG7KG9IX8U","GSON1112030300")</f>
        <v>#NAME?</v>
      </c>
      <c r="O173" s="8" t="e">
        <f ca="1">[1]!BexGetData("DP_1","003N8EMH8GTFRIVOG7KG9J3KE","GSON1112030300")</f>
        <v>#NAME?</v>
      </c>
      <c r="P173" s="3" t="e">
        <f ca="1">[1]!BexGetData("DP_1","003N8EMH8GTFRIVOG7KG9J9VY","GSON1112030300")</f>
        <v>#NAME?</v>
      </c>
      <c r="Q173" s="4" t="e">
        <f ca="1">[1]!BexGetData("DP_1","00O2TNJGODT0G5Z4TTKYMM5MT","GSON1112030300")</f>
        <v>#NAME?</v>
      </c>
      <c r="R173" s="3" t="e">
        <f ca="1">[1]!BexGetData("DP_1","00O2TNJGODT0G5Z4TTKYMMBYD","GSON1112030300")</f>
        <v>#NAME?</v>
      </c>
      <c r="S173" s="3" t="e">
        <f ca="1">[1]!BexGetData("DP_1","00O2TNJGODT0G5Z4TTKYMMI9X","GSON1112030300")</f>
        <v>#NAME?</v>
      </c>
      <c r="T173" s="8" t="e">
        <f ca="1">[1]!BexGetData("DP_1","00O2TNJGODT0G5Z4TTKYMMOLH","GSON1112030300")</f>
        <v>#NAME?</v>
      </c>
      <c r="U173" s="3" t="e">
        <f ca="1">[1]!BexGetData("DP_1","00O2TNJGODT0G5Z4TTKYMMUX1","GSON1112030300")</f>
        <v>#NAME?</v>
      </c>
      <c r="V173" s="8" t="e">
        <f ca="1">[1]!BexGetData("DP_1","00O2TNJGODT0G5Z4TTKYMN18L","GSON1112030300")</f>
        <v>#NAME?</v>
      </c>
      <c r="W173" s="3" t="e">
        <f ca="1">[1]!BexGetData("DP_1","00O2TNJGODT0G5Z4TTKYMN7K5","GSON1112030300")</f>
        <v>#NAME?</v>
      </c>
    </row>
    <row r="174" spans="1:23" x14ac:dyDescent="0.2">
      <c r="A174" s="16" t="s">
        <v>1971</v>
      </c>
      <c r="B174" s="7" t="s">
        <v>782</v>
      </c>
      <c r="C174" s="3" t="e">
        <f ca="1">[1]!BexGetData("DP_1","003N8EMH8GTFRCSWKMPXRR8GU","GSON1112030301")</f>
        <v>#NAME?</v>
      </c>
      <c r="D174" s="3" t="e">
        <f ca="1">[1]!BexGetData("DP_1","003N8EMH8GTFRCSWKMPXRRESE","GSON1112030301")</f>
        <v>#NAME?</v>
      </c>
      <c r="E174" s="8" t="e">
        <f ca="1">[1]!BexGetData("DP_1","003N8EMH8GTFRCSWKMPXRRL3Y","GSON1112030301")</f>
        <v>#NAME?</v>
      </c>
      <c r="F174" s="4" t="e">
        <f ca="1">[1]!BexGetData("DP_1","003N8EMH8GTFRCSWKMPXRRRFI","GSON1112030301")</f>
        <v>#NAME?</v>
      </c>
      <c r="G174" s="4" t="e">
        <f ca="1">[1]!BexGetData("DP_1","003N8EMH8GTFRCSWKMPXRRXR2","GSON1112030301")</f>
        <v>#NAME?</v>
      </c>
      <c r="H174" s="4" t="e">
        <f ca="1">[1]!BexGetData("DP_1","003N8EMH8GTFRCSWKMPXRS42M","GSON1112030301")</f>
        <v>#NAME?</v>
      </c>
      <c r="I174" s="4" t="e">
        <f ca="1">[1]!BexGetData("DP_1","003N8EMH8GTFRCSWKMPXRSAE6","GSON1112030301")</f>
        <v>#NAME?</v>
      </c>
      <c r="J174" s="4" t="e">
        <f ca="1">[1]!BexGetData("DP_1","003N8EMH8GTFRCSWKMPXRSGPQ","GSON1112030301")</f>
        <v>#NAME?</v>
      </c>
      <c r="K174" s="8" t="e">
        <f ca="1">[1]!BexGetData("DP_1","003N8EMH8GTFRIVNUPY288VJH","GSON1112030301")</f>
        <v>#NAME?</v>
      </c>
      <c r="L174" s="8" t="e">
        <f ca="1">[1]!BexGetData("DP_1","003N8EMH8GTFRIVNUPY2891V1","GSON1112030301")</f>
        <v>#NAME?</v>
      </c>
      <c r="M174" s="8" t="e">
        <f ca="1">[1]!BexGetData("DP_1","003N8EMH8GTFRIVOG7KG9IQXA","GSON1112030301")</f>
        <v>#NAME?</v>
      </c>
      <c r="N174" s="8" t="e">
        <f ca="1">[1]!BexGetData("DP_1","003N8EMH8GTFRIVOG7KG9IX8U","GSON1112030301")</f>
        <v>#NAME?</v>
      </c>
      <c r="O174" s="8" t="e">
        <f ca="1">[1]!BexGetData("DP_1","003N8EMH8GTFRIVOG7KG9J3KE","GSON1112030301")</f>
        <v>#NAME?</v>
      </c>
      <c r="P174" s="8" t="e">
        <f ca="1">[1]!BexGetData("DP_1","003N8EMH8GTFRIVOG7KG9J9VY","GSON1112030301")</f>
        <v>#NAME?</v>
      </c>
      <c r="Q174" s="4" t="e">
        <f ca="1">[1]!BexGetData("DP_1","00O2TNJGODT0G5Z4TTKYMM5MT","GSON1112030301")</f>
        <v>#NAME?</v>
      </c>
      <c r="R174" s="4" t="e">
        <f ca="1">[1]!BexGetData("DP_1","00O2TNJGODT0G5Z4TTKYMMBYD","GSON1112030301")</f>
        <v>#NAME?</v>
      </c>
      <c r="S174" s="4" t="e">
        <f ca="1">[1]!BexGetData("DP_1","00O2TNJGODT0G5Z4TTKYMMI9X","GSON1112030301")</f>
        <v>#NAME?</v>
      </c>
      <c r="T174" s="4" t="e">
        <f ca="1">[1]!BexGetData("DP_1","00O2TNJGODT0G5Z4TTKYMMOLH","GSON1112030301")</f>
        <v>#NAME?</v>
      </c>
      <c r="U174" s="4" t="e">
        <f ca="1">[1]!BexGetData("DP_1","00O2TNJGODT0G5Z4TTKYMMUX1","GSON1112030301")</f>
        <v>#NAME?</v>
      </c>
      <c r="V174" s="4" t="e">
        <f ca="1">[1]!BexGetData("DP_1","00O2TNJGODT0G5Z4TTKYMN18L","GSON1112030301")</f>
        <v>#NAME?</v>
      </c>
      <c r="W174" s="4" t="e">
        <f ca="1">[1]!BexGetData("DP_1","00O2TNJGODT0G5Z4TTKYMN7K5","GSON1112030301")</f>
        <v>#NAME?</v>
      </c>
    </row>
    <row r="175" spans="1:23" x14ac:dyDescent="0.2">
      <c r="A175" s="16" t="s">
        <v>1972</v>
      </c>
      <c r="B175" s="7" t="s">
        <v>1973</v>
      </c>
      <c r="C175" s="3" t="e">
        <f ca="1">[1]!BexGetData("DP_1","003N8EMH8GTFRCSWKMPXRR8GU","GSON1112030303")</f>
        <v>#NAME?</v>
      </c>
      <c r="D175" s="3" t="e">
        <f ca="1">[1]!BexGetData("DP_1","003N8EMH8GTFRCSWKMPXRRESE","GSON1112030303")</f>
        <v>#NAME?</v>
      </c>
      <c r="E175" s="8" t="e">
        <f ca="1">[1]!BexGetData("DP_1","003N8EMH8GTFRCSWKMPXRRL3Y","GSON1112030303")</f>
        <v>#NAME?</v>
      </c>
      <c r="F175" s="4" t="e">
        <f ca="1">[1]!BexGetData("DP_1","003N8EMH8GTFRCSWKMPXRRRFI","GSON1112030303")</f>
        <v>#NAME?</v>
      </c>
      <c r="G175" s="4" t="e">
        <f ca="1">[1]!BexGetData("DP_1","003N8EMH8GTFRCSWKMPXRRXR2","GSON1112030303")</f>
        <v>#NAME?</v>
      </c>
      <c r="H175" s="4" t="e">
        <f ca="1">[1]!BexGetData("DP_1","003N8EMH8GTFRCSWKMPXRS42M","GSON1112030303")</f>
        <v>#NAME?</v>
      </c>
      <c r="I175" s="4" t="e">
        <f ca="1">[1]!BexGetData("DP_1","003N8EMH8GTFRCSWKMPXRSAE6","GSON1112030303")</f>
        <v>#NAME?</v>
      </c>
      <c r="J175" s="4" t="e">
        <f ca="1">[1]!BexGetData("DP_1","003N8EMH8GTFRCSWKMPXRSGPQ","GSON1112030303")</f>
        <v>#NAME?</v>
      </c>
      <c r="K175" s="8" t="e">
        <f ca="1">[1]!BexGetData("DP_1","003N8EMH8GTFRIVNUPY288VJH","GSON1112030303")</f>
        <v>#NAME?</v>
      </c>
      <c r="L175" s="8" t="e">
        <f ca="1">[1]!BexGetData("DP_1","003N8EMH8GTFRIVNUPY2891V1","GSON1112030303")</f>
        <v>#NAME?</v>
      </c>
      <c r="M175" s="8" t="e">
        <f ca="1">[1]!BexGetData("DP_1","003N8EMH8GTFRIVOG7KG9IQXA","GSON1112030303")</f>
        <v>#NAME?</v>
      </c>
      <c r="N175" s="8" t="e">
        <f ca="1">[1]!BexGetData("DP_1","003N8EMH8GTFRIVOG7KG9IX8U","GSON1112030303")</f>
        <v>#NAME?</v>
      </c>
      <c r="O175" s="8" t="e">
        <f ca="1">[1]!BexGetData("DP_1","003N8EMH8GTFRIVOG7KG9J3KE","GSON1112030303")</f>
        <v>#NAME?</v>
      </c>
      <c r="P175" s="8" t="e">
        <f ca="1">[1]!BexGetData("DP_1","003N8EMH8GTFRIVOG7KG9J9VY","GSON1112030303")</f>
        <v>#NAME?</v>
      </c>
      <c r="Q175" s="4" t="e">
        <f ca="1">[1]!BexGetData("DP_1","00O2TNJGODT0G5Z4TTKYMM5MT","GSON1112030303")</f>
        <v>#NAME?</v>
      </c>
      <c r="R175" s="4" t="e">
        <f ca="1">[1]!BexGetData("DP_1","00O2TNJGODT0G5Z4TTKYMMBYD","GSON1112030303")</f>
        <v>#NAME?</v>
      </c>
      <c r="S175" s="4" t="e">
        <f ca="1">[1]!BexGetData("DP_1","00O2TNJGODT0G5Z4TTKYMMI9X","GSON1112030303")</f>
        <v>#NAME?</v>
      </c>
      <c r="T175" s="4" t="e">
        <f ca="1">[1]!BexGetData("DP_1","00O2TNJGODT0G5Z4TTKYMMOLH","GSON1112030303")</f>
        <v>#NAME?</v>
      </c>
      <c r="U175" s="4" t="e">
        <f ca="1">[1]!BexGetData("DP_1","00O2TNJGODT0G5Z4TTKYMMUX1","GSON1112030303")</f>
        <v>#NAME?</v>
      </c>
      <c r="V175" s="4" t="e">
        <f ca="1">[1]!BexGetData("DP_1","00O2TNJGODT0G5Z4TTKYMN18L","GSON1112030303")</f>
        <v>#NAME?</v>
      </c>
      <c r="W175" s="4" t="e">
        <f ca="1">[1]!BexGetData("DP_1","00O2TNJGODT0G5Z4TTKYMN7K5","GSON1112030303")</f>
        <v>#NAME?</v>
      </c>
    </row>
    <row r="176" spans="1:23" x14ac:dyDescent="0.2">
      <c r="A176" s="16" t="s">
        <v>1974</v>
      </c>
      <c r="B176" s="7" t="s">
        <v>1975</v>
      </c>
      <c r="C176" s="3" t="e">
        <f ca="1">[1]!BexGetData("DP_1","003N8EMH8GTFRCSWKMPXRR8GU","GSON1112030305")</f>
        <v>#NAME?</v>
      </c>
      <c r="D176" s="3" t="e">
        <f ca="1">[1]!BexGetData("DP_1","003N8EMH8GTFRCSWKMPXRRESE","GSON1112030305")</f>
        <v>#NAME?</v>
      </c>
      <c r="E176" s="8" t="e">
        <f ca="1">[1]!BexGetData("DP_1","003N8EMH8GTFRCSWKMPXRRL3Y","GSON1112030305")</f>
        <v>#NAME?</v>
      </c>
      <c r="F176" s="4" t="e">
        <f ca="1">[1]!BexGetData("DP_1","003N8EMH8GTFRCSWKMPXRRRFI","GSON1112030305")</f>
        <v>#NAME?</v>
      </c>
      <c r="G176" s="4" t="e">
        <f ca="1">[1]!BexGetData("DP_1","003N8EMH8GTFRCSWKMPXRRXR2","GSON1112030305")</f>
        <v>#NAME?</v>
      </c>
      <c r="H176" s="4" t="e">
        <f ca="1">[1]!BexGetData("DP_1","003N8EMH8GTFRCSWKMPXRS42M","GSON1112030305")</f>
        <v>#NAME?</v>
      </c>
      <c r="I176" s="4" t="e">
        <f ca="1">[1]!BexGetData("DP_1","003N8EMH8GTFRCSWKMPXRSAE6","GSON1112030305")</f>
        <v>#NAME?</v>
      </c>
      <c r="J176" s="4" t="e">
        <f ca="1">[1]!BexGetData("DP_1","003N8EMH8GTFRCSWKMPXRSGPQ","GSON1112030305")</f>
        <v>#NAME?</v>
      </c>
      <c r="K176" s="8" t="e">
        <f ca="1">[1]!BexGetData("DP_1","003N8EMH8GTFRIVNUPY288VJH","GSON1112030305")</f>
        <v>#NAME?</v>
      </c>
      <c r="L176" s="8" t="e">
        <f ca="1">[1]!BexGetData("DP_1","003N8EMH8GTFRIVNUPY2891V1","GSON1112030305")</f>
        <v>#NAME?</v>
      </c>
      <c r="M176" s="8" t="e">
        <f ca="1">[1]!BexGetData("DP_1","003N8EMH8GTFRIVOG7KG9IQXA","GSON1112030305")</f>
        <v>#NAME?</v>
      </c>
      <c r="N176" s="8" t="e">
        <f ca="1">[1]!BexGetData("DP_1","003N8EMH8GTFRIVOG7KG9IX8U","GSON1112030305")</f>
        <v>#NAME?</v>
      </c>
      <c r="O176" s="8" t="e">
        <f ca="1">[1]!BexGetData("DP_1","003N8EMH8GTFRIVOG7KG9J3KE","GSON1112030305")</f>
        <v>#NAME?</v>
      </c>
      <c r="P176" s="8" t="e">
        <f ca="1">[1]!BexGetData("DP_1","003N8EMH8GTFRIVOG7KG9J9VY","GSON1112030305")</f>
        <v>#NAME?</v>
      </c>
      <c r="Q176" s="4" t="e">
        <f ca="1">[1]!BexGetData("DP_1","00O2TNJGODT0G5Z4TTKYMM5MT","GSON1112030305")</f>
        <v>#NAME?</v>
      </c>
      <c r="R176" s="4" t="e">
        <f ca="1">[1]!BexGetData("DP_1","00O2TNJGODT0G5Z4TTKYMMBYD","GSON1112030305")</f>
        <v>#NAME?</v>
      </c>
      <c r="S176" s="4" t="e">
        <f ca="1">[1]!BexGetData("DP_1","00O2TNJGODT0G5Z4TTKYMMI9X","GSON1112030305")</f>
        <v>#NAME?</v>
      </c>
      <c r="T176" s="4" t="e">
        <f ca="1">[1]!BexGetData("DP_1","00O2TNJGODT0G5Z4TTKYMMOLH","GSON1112030305")</f>
        <v>#NAME?</v>
      </c>
      <c r="U176" s="4" t="e">
        <f ca="1">[1]!BexGetData("DP_1","00O2TNJGODT0G5Z4TTKYMMUX1","GSON1112030305")</f>
        <v>#NAME?</v>
      </c>
      <c r="V176" s="4" t="e">
        <f ca="1">[1]!BexGetData("DP_1","00O2TNJGODT0G5Z4TTKYMN18L","GSON1112030305")</f>
        <v>#NAME?</v>
      </c>
      <c r="W176" s="4" t="e">
        <f ca="1">[1]!BexGetData("DP_1","00O2TNJGODT0G5Z4TTKYMN7K5","GSON1112030305")</f>
        <v>#NAME?</v>
      </c>
    </row>
    <row r="177" spans="1:23" x14ac:dyDescent="0.2">
      <c r="A177" s="16" t="s">
        <v>1976</v>
      </c>
      <c r="B177" s="7" t="s">
        <v>783</v>
      </c>
      <c r="C177" s="3" t="e">
        <f ca="1">[1]!BexGetData("DP_1","003N8EMH8GTFRCSWKMPXRR8GU","GSON1112030310")</f>
        <v>#NAME?</v>
      </c>
      <c r="D177" s="3" t="e">
        <f ca="1">[1]!BexGetData("DP_1","003N8EMH8GTFRCSWKMPXRRESE","GSON1112030310")</f>
        <v>#NAME?</v>
      </c>
      <c r="E177" s="3" t="e">
        <f ca="1">[1]!BexGetData("DP_1","003N8EMH8GTFRCSWKMPXRRL3Y","GSON1112030310")</f>
        <v>#NAME?</v>
      </c>
      <c r="F177" s="3" t="e">
        <f ca="1">[1]!BexGetData("DP_1","003N8EMH8GTFRCSWKMPXRRRFI","GSON1112030310")</f>
        <v>#NAME?</v>
      </c>
      <c r="G177" s="3" t="e">
        <f ca="1">[1]!BexGetData("DP_1","003N8EMH8GTFRCSWKMPXRRXR2","GSON1112030310")</f>
        <v>#NAME?</v>
      </c>
      <c r="H177" s="8" t="e">
        <f ca="1">[1]!BexGetData("DP_1","003N8EMH8GTFRCSWKMPXRS42M","GSON1112030310")</f>
        <v>#NAME?</v>
      </c>
      <c r="I177" s="3" t="e">
        <f ca="1">[1]!BexGetData("DP_1","003N8EMH8GTFRCSWKMPXRSAE6","GSON1112030310")</f>
        <v>#NAME?</v>
      </c>
      <c r="J177" s="4" t="e">
        <f ca="1">[1]!BexGetData("DP_1","003N8EMH8GTFRCSWKMPXRSGPQ","GSON1112030310")</f>
        <v>#NAME?</v>
      </c>
      <c r="K177" s="3" t="e">
        <f ca="1">[1]!BexGetData("DP_1","003N8EMH8GTFRIVNUPY288VJH","GSON1112030310")</f>
        <v>#NAME?</v>
      </c>
      <c r="L177" s="3" t="e">
        <f ca="1">[1]!BexGetData("DP_1","003N8EMH8GTFRIVNUPY2891V1","GSON1112030310")</f>
        <v>#NAME?</v>
      </c>
      <c r="M177" s="8" t="e">
        <f ca="1">[1]!BexGetData("DP_1","003N8EMH8GTFRIVOG7KG9IQXA","GSON1112030310")</f>
        <v>#NAME?</v>
      </c>
      <c r="N177" s="3" t="e">
        <f ca="1">[1]!BexGetData("DP_1","003N8EMH8GTFRIVOG7KG9IX8U","GSON1112030310")</f>
        <v>#NAME?</v>
      </c>
      <c r="O177" s="8" t="e">
        <f ca="1">[1]!BexGetData("DP_1","003N8EMH8GTFRIVOG7KG9J3KE","GSON1112030310")</f>
        <v>#NAME?</v>
      </c>
      <c r="P177" s="3" t="e">
        <f ca="1">[1]!BexGetData("DP_1","003N8EMH8GTFRIVOG7KG9J9VY","GSON1112030310")</f>
        <v>#NAME?</v>
      </c>
      <c r="Q177" s="4" t="e">
        <f ca="1">[1]!BexGetData("DP_1","00O2TNJGODT0G5Z4TTKYMM5MT","GSON1112030310")</f>
        <v>#NAME?</v>
      </c>
      <c r="R177" s="3" t="e">
        <f ca="1">[1]!BexGetData("DP_1","00O2TNJGODT0G5Z4TTKYMMBYD","GSON1112030310")</f>
        <v>#NAME?</v>
      </c>
      <c r="S177" s="3" t="e">
        <f ca="1">[1]!BexGetData("DP_1","00O2TNJGODT0G5Z4TTKYMMI9X","GSON1112030310")</f>
        <v>#NAME?</v>
      </c>
      <c r="T177" s="8" t="e">
        <f ca="1">[1]!BexGetData("DP_1","00O2TNJGODT0G5Z4TTKYMMOLH","GSON1112030310")</f>
        <v>#NAME?</v>
      </c>
      <c r="U177" s="3" t="e">
        <f ca="1">[1]!BexGetData("DP_1","00O2TNJGODT0G5Z4TTKYMMUX1","GSON1112030310")</f>
        <v>#NAME?</v>
      </c>
      <c r="V177" s="8" t="e">
        <f ca="1">[1]!BexGetData("DP_1","00O2TNJGODT0G5Z4TTKYMN18L","GSON1112030310")</f>
        <v>#NAME?</v>
      </c>
      <c r="W177" s="3" t="e">
        <f ca="1">[1]!BexGetData("DP_1","00O2TNJGODT0G5Z4TTKYMN7K5","GSON1112030310")</f>
        <v>#NAME?</v>
      </c>
    </row>
    <row r="178" spans="1:23" x14ac:dyDescent="0.2">
      <c r="A178" s="16" t="s">
        <v>1977</v>
      </c>
      <c r="B178" s="7" t="s">
        <v>784</v>
      </c>
      <c r="C178" s="3" t="e">
        <f ca="1">[1]!BexGetData("DP_1","003N8EMH8GTFRCSWKMPXRR8GU","GSON1112030311")</f>
        <v>#NAME?</v>
      </c>
      <c r="D178" s="3" t="e">
        <f ca="1">[1]!BexGetData("DP_1","003N8EMH8GTFRCSWKMPXRRESE","GSON1112030311")</f>
        <v>#NAME?</v>
      </c>
      <c r="E178" s="8" t="e">
        <f ca="1">[1]!BexGetData("DP_1","003N8EMH8GTFRCSWKMPXRRL3Y","GSON1112030311")</f>
        <v>#NAME?</v>
      </c>
      <c r="F178" s="4" t="e">
        <f ca="1">[1]!BexGetData("DP_1","003N8EMH8GTFRCSWKMPXRRRFI","GSON1112030311")</f>
        <v>#NAME?</v>
      </c>
      <c r="G178" s="4" t="e">
        <f ca="1">[1]!BexGetData("DP_1","003N8EMH8GTFRCSWKMPXRRXR2","GSON1112030311")</f>
        <v>#NAME?</v>
      </c>
      <c r="H178" s="4" t="e">
        <f ca="1">[1]!BexGetData("DP_1","003N8EMH8GTFRCSWKMPXRS42M","GSON1112030311")</f>
        <v>#NAME?</v>
      </c>
      <c r="I178" s="4" t="e">
        <f ca="1">[1]!BexGetData("DP_1","003N8EMH8GTFRCSWKMPXRSAE6","GSON1112030311")</f>
        <v>#NAME?</v>
      </c>
      <c r="J178" s="4" t="e">
        <f ca="1">[1]!BexGetData("DP_1","003N8EMH8GTFRCSWKMPXRSGPQ","GSON1112030311")</f>
        <v>#NAME?</v>
      </c>
      <c r="K178" s="8" t="e">
        <f ca="1">[1]!BexGetData("DP_1","003N8EMH8GTFRIVNUPY288VJH","GSON1112030311")</f>
        <v>#NAME?</v>
      </c>
      <c r="L178" s="8" t="e">
        <f ca="1">[1]!BexGetData("DP_1","003N8EMH8GTFRIVNUPY2891V1","GSON1112030311")</f>
        <v>#NAME?</v>
      </c>
      <c r="M178" s="8" t="e">
        <f ca="1">[1]!BexGetData("DP_1","003N8EMH8GTFRIVOG7KG9IQXA","GSON1112030311")</f>
        <v>#NAME?</v>
      </c>
      <c r="N178" s="8" t="e">
        <f ca="1">[1]!BexGetData("DP_1","003N8EMH8GTFRIVOG7KG9IX8U","GSON1112030311")</f>
        <v>#NAME?</v>
      </c>
      <c r="O178" s="8" t="e">
        <f ca="1">[1]!BexGetData("DP_1","003N8EMH8GTFRIVOG7KG9J3KE","GSON1112030311")</f>
        <v>#NAME?</v>
      </c>
      <c r="P178" s="8" t="e">
        <f ca="1">[1]!BexGetData("DP_1","003N8EMH8GTFRIVOG7KG9J9VY","GSON1112030311")</f>
        <v>#NAME?</v>
      </c>
      <c r="Q178" s="4" t="e">
        <f ca="1">[1]!BexGetData("DP_1","00O2TNJGODT0G5Z4TTKYMM5MT","GSON1112030311")</f>
        <v>#NAME?</v>
      </c>
      <c r="R178" s="4" t="e">
        <f ca="1">[1]!BexGetData("DP_1","00O2TNJGODT0G5Z4TTKYMMBYD","GSON1112030311")</f>
        <v>#NAME?</v>
      </c>
      <c r="S178" s="4" t="e">
        <f ca="1">[1]!BexGetData("DP_1","00O2TNJGODT0G5Z4TTKYMMI9X","GSON1112030311")</f>
        <v>#NAME?</v>
      </c>
      <c r="T178" s="4" t="e">
        <f ca="1">[1]!BexGetData("DP_1","00O2TNJGODT0G5Z4TTKYMMOLH","GSON1112030311")</f>
        <v>#NAME?</v>
      </c>
      <c r="U178" s="4" t="e">
        <f ca="1">[1]!BexGetData("DP_1","00O2TNJGODT0G5Z4TTKYMMUX1","GSON1112030311")</f>
        <v>#NAME?</v>
      </c>
      <c r="V178" s="4" t="e">
        <f ca="1">[1]!BexGetData("DP_1","00O2TNJGODT0G5Z4TTKYMN18L","GSON1112030311")</f>
        <v>#NAME?</v>
      </c>
      <c r="W178" s="4" t="e">
        <f ca="1">[1]!BexGetData("DP_1","00O2TNJGODT0G5Z4TTKYMN7K5","GSON1112030311")</f>
        <v>#NAME?</v>
      </c>
    </row>
    <row r="179" spans="1:23" x14ac:dyDescent="0.2">
      <c r="A179" s="16" t="s">
        <v>1978</v>
      </c>
      <c r="B179" s="7" t="s">
        <v>1979</v>
      </c>
      <c r="C179" s="3" t="e">
        <f ca="1">[1]!BexGetData("DP_1","003N8EMH8GTFRCSWKMPXRR8GU","GSON1112030313")</f>
        <v>#NAME?</v>
      </c>
      <c r="D179" s="3" t="e">
        <f ca="1">[1]!BexGetData("DP_1","003N8EMH8GTFRCSWKMPXRRESE","GSON1112030313")</f>
        <v>#NAME?</v>
      </c>
      <c r="E179" s="8" t="e">
        <f ca="1">[1]!BexGetData("DP_1","003N8EMH8GTFRCSWKMPXRRL3Y","GSON1112030313")</f>
        <v>#NAME?</v>
      </c>
      <c r="F179" s="4" t="e">
        <f ca="1">[1]!BexGetData("DP_1","003N8EMH8GTFRCSWKMPXRRRFI","GSON1112030313")</f>
        <v>#NAME?</v>
      </c>
      <c r="G179" s="4" t="e">
        <f ca="1">[1]!BexGetData("DP_1","003N8EMH8GTFRCSWKMPXRRXR2","GSON1112030313")</f>
        <v>#NAME?</v>
      </c>
      <c r="H179" s="4" t="e">
        <f ca="1">[1]!BexGetData("DP_1","003N8EMH8GTFRCSWKMPXRS42M","GSON1112030313")</f>
        <v>#NAME?</v>
      </c>
      <c r="I179" s="4" t="e">
        <f ca="1">[1]!BexGetData("DP_1","003N8EMH8GTFRCSWKMPXRSAE6","GSON1112030313")</f>
        <v>#NAME?</v>
      </c>
      <c r="J179" s="4" t="e">
        <f ca="1">[1]!BexGetData("DP_1","003N8EMH8GTFRCSWKMPXRSGPQ","GSON1112030313")</f>
        <v>#NAME?</v>
      </c>
      <c r="K179" s="8" t="e">
        <f ca="1">[1]!BexGetData("DP_1","003N8EMH8GTFRIVNUPY288VJH","GSON1112030313")</f>
        <v>#NAME?</v>
      </c>
      <c r="L179" s="8" t="e">
        <f ca="1">[1]!BexGetData("DP_1","003N8EMH8GTFRIVNUPY2891V1","GSON1112030313")</f>
        <v>#NAME?</v>
      </c>
      <c r="M179" s="8" t="e">
        <f ca="1">[1]!BexGetData("DP_1","003N8EMH8GTFRIVOG7KG9IQXA","GSON1112030313")</f>
        <v>#NAME?</v>
      </c>
      <c r="N179" s="8" t="e">
        <f ca="1">[1]!BexGetData("DP_1","003N8EMH8GTFRIVOG7KG9IX8U","GSON1112030313")</f>
        <v>#NAME?</v>
      </c>
      <c r="O179" s="8" t="e">
        <f ca="1">[1]!BexGetData("DP_1","003N8EMH8GTFRIVOG7KG9J3KE","GSON1112030313")</f>
        <v>#NAME?</v>
      </c>
      <c r="P179" s="8" t="e">
        <f ca="1">[1]!BexGetData("DP_1","003N8EMH8GTFRIVOG7KG9J9VY","GSON1112030313")</f>
        <v>#NAME?</v>
      </c>
      <c r="Q179" s="4" t="e">
        <f ca="1">[1]!BexGetData("DP_1","00O2TNJGODT0G5Z4TTKYMM5MT","GSON1112030313")</f>
        <v>#NAME?</v>
      </c>
      <c r="R179" s="4" t="e">
        <f ca="1">[1]!BexGetData("DP_1","00O2TNJGODT0G5Z4TTKYMMBYD","GSON1112030313")</f>
        <v>#NAME?</v>
      </c>
      <c r="S179" s="4" t="e">
        <f ca="1">[1]!BexGetData("DP_1","00O2TNJGODT0G5Z4TTKYMMI9X","GSON1112030313")</f>
        <v>#NAME?</v>
      </c>
      <c r="T179" s="4" t="e">
        <f ca="1">[1]!BexGetData("DP_1","00O2TNJGODT0G5Z4TTKYMMOLH","GSON1112030313")</f>
        <v>#NAME?</v>
      </c>
      <c r="U179" s="4" t="e">
        <f ca="1">[1]!BexGetData("DP_1","00O2TNJGODT0G5Z4TTKYMMUX1","GSON1112030313")</f>
        <v>#NAME?</v>
      </c>
      <c r="V179" s="4" t="e">
        <f ca="1">[1]!BexGetData("DP_1","00O2TNJGODT0G5Z4TTKYMN18L","GSON1112030313")</f>
        <v>#NAME?</v>
      </c>
      <c r="W179" s="4" t="e">
        <f ca="1">[1]!BexGetData("DP_1","00O2TNJGODT0G5Z4TTKYMN7K5","GSON1112030313")</f>
        <v>#NAME?</v>
      </c>
    </row>
    <row r="180" spans="1:23" x14ac:dyDescent="0.2">
      <c r="A180" s="16" t="s">
        <v>1980</v>
      </c>
      <c r="B180" s="7" t="s">
        <v>1981</v>
      </c>
      <c r="C180" s="3" t="e">
        <f ca="1">[1]!BexGetData("DP_1","003N8EMH8GTFRCSWKMPXRR8GU","GSON1112030315")</f>
        <v>#NAME?</v>
      </c>
      <c r="D180" s="3" t="e">
        <f ca="1">[1]!BexGetData("DP_1","003N8EMH8GTFRCSWKMPXRRESE","GSON1112030315")</f>
        <v>#NAME?</v>
      </c>
      <c r="E180" s="8" t="e">
        <f ca="1">[1]!BexGetData("DP_1","003N8EMH8GTFRCSWKMPXRRL3Y","GSON1112030315")</f>
        <v>#NAME?</v>
      </c>
      <c r="F180" s="4" t="e">
        <f ca="1">[1]!BexGetData("DP_1","003N8EMH8GTFRCSWKMPXRRRFI","GSON1112030315")</f>
        <v>#NAME?</v>
      </c>
      <c r="G180" s="4" t="e">
        <f ca="1">[1]!BexGetData("DP_1","003N8EMH8GTFRCSWKMPXRRXR2","GSON1112030315")</f>
        <v>#NAME?</v>
      </c>
      <c r="H180" s="4" t="e">
        <f ca="1">[1]!BexGetData("DP_1","003N8EMH8GTFRCSWKMPXRS42M","GSON1112030315")</f>
        <v>#NAME?</v>
      </c>
      <c r="I180" s="4" t="e">
        <f ca="1">[1]!BexGetData("DP_1","003N8EMH8GTFRCSWKMPXRSAE6","GSON1112030315")</f>
        <v>#NAME?</v>
      </c>
      <c r="J180" s="4" t="e">
        <f ca="1">[1]!BexGetData("DP_1","003N8EMH8GTFRCSWKMPXRSGPQ","GSON1112030315")</f>
        <v>#NAME?</v>
      </c>
      <c r="K180" s="8" t="e">
        <f ca="1">[1]!BexGetData("DP_1","003N8EMH8GTFRIVNUPY288VJH","GSON1112030315")</f>
        <v>#NAME?</v>
      </c>
      <c r="L180" s="8" t="e">
        <f ca="1">[1]!BexGetData("DP_1","003N8EMH8GTFRIVNUPY2891V1","GSON1112030315")</f>
        <v>#NAME?</v>
      </c>
      <c r="M180" s="8" t="e">
        <f ca="1">[1]!BexGetData("DP_1","003N8EMH8GTFRIVOG7KG9IQXA","GSON1112030315")</f>
        <v>#NAME?</v>
      </c>
      <c r="N180" s="8" t="e">
        <f ca="1">[1]!BexGetData("DP_1","003N8EMH8GTFRIVOG7KG9IX8U","GSON1112030315")</f>
        <v>#NAME?</v>
      </c>
      <c r="O180" s="8" t="e">
        <f ca="1">[1]!BexGetData("DP_1","003N8EMH8GTFRIVOG7KG9J3KE","GSON1112030315")</f>
        <v>#NAME?</v>
      </c>
      <c r="P180" s="8" t="e">
        <f ca="1">[1]!BexGetData("DP_1","003N8EMH8GTFRIVOG7KG9J9VY","GSON1112030315")</f>
        <v>#NAME?</v>
      </c>
      <c r="Q180" s="4" t="e">
        <f ca="1">[1]!BexGetData("DP_1","00O2TNJGODT0G5Z4TTKYMM5MT","GSON1112030315")</f>
        <v>#NAME?</v>
      </c>
      <c r="R180" s="4" t="e">
        <f ca="1">[1]!BexGetData("DP_1","00O2TNJGODT0G5Z4TTKYMMBYD","GSON1112030315")</f>
        <v>#NAME?</v>
      </c>
      <c r="S180" s="4" t="e">
        <f ca="1">[1]!BexGetData("DP_1","00O2TNJGODT0G5Z4TTKYMMI9X","GSON1112030315")</f>
        <v>#NAME?</v>
      </c>
      <c r="T180" s="4" t="e">
        <f ca="1">[1]!BexGetData("DP_1","00O2TNJGODT0G5Z4TTKYMMOLH","GSON1112030315")</f>
        <v>#NAME?</v>
      </c>
      <c r="U180" s="4" t="e">
        <f ca="1">[1]!BexGetData("DP_1","00O2TNJGODT0G5Z4TTKYMMUX1","GSON1112030315")</f>
        <v>#NAME?</v>
      </c>
      <c r="V180" s="4" t="e">
        <f ca="1">[1]!BexGetData("DP_1","00O2TNJGODT0G5Z4TTKYMN18L","GSON1112030315")</f>
        <v>#NAME?</v>
      </c>
      <c r="W180" s="4" t="e">
        <f ca="1">[1]!BexGetData("DP_1","00O2TNJGODT0G5Z4TTKYMN7K5","GSON1112030315")</f>
        <v>#NAME?</v>
      </c>
    </row>
    <row r="181" spans="1:23" x14ac:dyDescent="0.2">
      <c r="A181" s="16" t="s">
        <v>1982</v>
      </c>
      <c r="B181" s="7" t="s">
        <v>785</v>
      </c>
      <c r="C181" s="3" t="e">
        <f ca="1">[1]!BexGetData("DP_1","003N8EMH8GTFRCSWKMPXRR8GU","GSON1112030320")</f>
        <v>#NAME?</v>
      </c>
      <c r="D181" s="3" t="e">
        <f ca="1">[1]!BexGetData("DP_1","003N8EMH8GTFRCSWKMPXRRESE","GSON1112030320")</f>
        <v>#NAME?</v>
      </c>
      <c r="E181" s="8" t="e">
        <f ca="1">[1]!BexGetData("DP_1","003N8EMH8GTFRCSWKMPXRRL3Y","GSON1112030320")</f>
        <v>#NAME?</v>
      </c>
      <c r="F181" s="3" t="e">
        <f ca="1">[1]!BexGetData("DP_1","003N8EMH8GTFRCSWKMPXRRRFI","GSON1112030320")</f>
        <v>#NAME?</v>
      </c>
      <c r="G181" s="3" t="e">
        <f ca="1">[1]!BexGetData("DP_1","003N8EMH8GTFRCSWKMPXRRXR2","GSON1112030320")</f>
        <v>#NAME?</v>
      </c>
      <c r="H181" s="8" t="e">
        <f ca="1">[1]!BexGetData("DP_1","003N8EMH8GTFRCSWKMPXRS42M","GSON1112030320")</f>
        <v>#NAME?</v>
      </c>
      <c r="I181" s="3" t="e">
        <f ca="1">[1]!BexGetData("DP_1","003N8EMH8GTFRCSWKMPXRSAE6","GSON1112030320")</f>
        <v>#NAME?</v>
      </c>
      <c r="J181" s="4" t="e">
        <f ca="1">[1]!BexGetData("DP_1","003N8EMH8GTFRCSWKMPXRSGPQ","GSON1112030320")</f>
        <v>#NAME?</v>
      </c>
      <c r="K181" s="3" t="e">
        <f ca="1">[1]!BexGetData("DP_1","003N8EMH8GTFRIVNUPY288VJH","GSON1112030320")</f>
        <v>#NAME?</v>
      </c>
      <c r="L181" s="3" t="e">
        <f ca="1">[1]!BexGetData("DP_1","003N8EMH8GTFRIVNUPY2891V1","GSON1112030320")</f>
        <v>#NAME?</v>
      </c>
      <c r="M181" s="3" t="e">
        <f ca="1">[1]!BexGetData("DP_1","003N8EMH8GTFRIVOG7KG9IQXA","GSON1112030320")</f>
        <v>#NAME?</v>
      </c>
      <c r="N181" s="8" t="e">
        <f ca="1">[1]!BexGetData("DP_1","003N8EMH8GTFRIVOG7KG9IX8U","GSON1112030320")</f>
        <v>#NAME?</v>
      </c>
      <c r="O181" s="3" t="e">
        <f ca="1">[1]!BexGetData("DP_1","003N8EMH8GTFRIVOG7KG9J3KE","GSON1112030320")</f>
        <v>#NAME?</v>
      </c>
      <c r="P181" s="8" t="e">
        <f ca="1">[1]!BexGetData("DP_1","003N8EMH8GTFRIVOG7KG9J9VY","GSON1112030320")</f>
        <v>#NAME?</v>
      </c>
      <c r="Q181" s="4" t="e">
        <f ca="1">[1]!BexGetData("DP_1","00O2TNJGODT0G5Z4TTKYMM5MT","GSON1112030320")</f>
        <v>#NAME?</v>
      </c>
      <c r="R181" s="3" t="e">
        <f ca="1">[1]!BexGetData("DP_1","00O2TNJGODT0G5Z4TTKYMMBYD","GSON1112030320")</f>
        <v>#NAME?</v>
      </c>
      <c r="S181" s="3" t="e">
        <f ca="1">[1]!BexGetData("DP_1","00O2TNJGODT0G5Z4TTKYMMI9X","GSON1112030320")</f>
        <v>#NAME?</v>
      </c>
      <c r="T181" s="8" t="e">
        <f ca="1">[1]!BexGetData("DP_1","00O2TNJGODT0G5Z4TTKYMMOLH","GSON1112030320")</f>
        <v>#NAME?</v>
      </c>
      <c r="U181" s="3" t="e">
        <f ca="1">[1]!BexGetData("DP_1","00O2TNJGODT0G5Z4TTKYMMUX1","GSON1112030320")</f>
        <v>#NAME?</v>
      </c>
      <c r="V181" s="8" t="e">
        <f ca="1">[1]!BexGetData("DP_1","00O2TNJGODT0G5Z4TTKYMN18L","GSON1112030320")</f>
        <v>#NAME?</v>
      </c>
      <c r="W181" s="3" t="e">
        <f ca="1">[1]!BexGetData("DP_1","00O2TNJGODT0G5Z4TTKYMN7K5","GSON1112030320")</f>
        <v>#NAME?</v>
      </c>
    </row>
    <row r="182" spans="1:23" x14ac:dyDescent="0.2">
      <c r="A182" s="16" t="s">
        <v>1983</v>
      </c>
      <c r="B182" s="7" t="s">
        <v>786</v>
      </c>
      <c r="C182" s="3" t="e">
        <f ca="1">[1]!BexGetData("DP_1","003N8EMH8GTFRCSWKMPXRR8GU","GSON1112030321")</f>
        <v>#NAME?</v>
      </c>
      <c r="D182" s="3" t="e">
        <f ca="1">[1]!BexGetData("DP_1","003N8EMH8GTFRCSWKMPXRRESE","GSON1112030321")</f>
        <v>#NAME?</v>
      </c>
      <c r="E182" s="8" t="e">
        <f ca="1">[1]!BexGetData("DP_1","003N8EMH8GTFRCSWKMPXRRL3Y","GSON1112030321")</f>
        <v>#NAME?</v>
      </c>
      <c r="F182" s="4" t="e">
        <f ca="1">[1]!BexGetData("DP_1","003N8EMH8GTFRCSWKMPXRRRFI","GSON1112030321")</f>
        <v>#NAME?</v>
      </c>
      <c r="G182" s="4" t="e">
        <f ca="1">[1]!BexGetData("DP_1","003N8EMH8GTFRCSWKMPXRRXR2","GSON1112030321")</f>
        <v>#NAME?</v>
      </c>
      <c r="H182" s="4" t="e">
        <f ca="1">[1]!BexGetData("DP_1","003N8EMH8GTFRCSWKMPXRS42M","GSON1112030321")</f>
        <v>#NAME?</v>
      </c>
      <c r="I182" s="4" t="e">
        <f ca="1">[1]!BexGetData("DP_1","003N8EMH8GTFRCSWKMPXRSAE6","GSON1112030321")</f>
        <v>#NAME?</v>
      </c>
      <c r="J182" s="4" t="e">
        <f ca="1">[1]!BexGetData("DP_1","003N8EMH8GTFRCSWKMPXRSGPQ","GSON1112030321")</f>
        <v>#NAME?</v>
      </c>
      <c r="K182" s="8" t="e">
        <f ca="1">[1]!BexGetData("DP_1","003N8EMH8GTFRIVNUPY288VJH","GSON1112030321")</f>
        <v>#NAME?</v>
      </c>
      <c r="L182" s="8" t="e">
        <f ca="1">[1]!BexGetData("DP_1","003N8EMH8GTFRIVNUPY2891V1","GSON1112030321")</f>
        <v>#NAME?</v>
      </c>
      <c r="M182" s="8" t="e">
        <f ca="1">[1]!BexGetData("DP_1","003N8EMH8GTFRIVOG7KG9IQXA","GSON1112030321")</f>
        <v>#NAME?</v>
      </c>
      <c r="N182" s="8" t="e">
        <f ca="1">[1]!BexGetData("DP_1","003N8EMH8GTFRIVOG7KG9IX8U","GSON1112030321")</f>
        <v>#NAME?</v>
      </c>
      <c r="O182" s="8" t="e">
        <f ca="1">[1]!BexGetData("DP_1","003N8EMH8GTFRIVOG7KG9J3KE","GSON1112030321")</f>
        <v>#NAME?</v>
      </c>
      <c r="P182" s="8" t="e">
        <f ca="1">[1]!BexGetData("DP_1","003N8EMH8GTFRIVOG7KG9J9VY","GSON1112030321")</f>
        <v>#NAME?</v>
      </c>
      <c r="Q182" s="4" t="e">
        <f ca="1">[1]!BexGetData("DP_1","00O2TNJGODT0G5Z4TTKYMM5MT","GSON1112030321")</f>
        <v>#NAME?</v>
      </c>
      <c r="R182" s="4" t="e">
        <f ca="1">[1]!BexGetData("DP_1","00O2TNJGODT0G5Z4TTKYMMBYD","GSON1112030321")</f>
        <v>#NAME?</v>
      </c>
      <c r="S182" s="4" t="e">
        <f ca="1">[1]!BexGetData("DP_1","00O2TNJGODT0G5Z4TTKYMMI9X","GSON1112030321")</f>
        <v>#NAME?</v>
      </c>
      <c r="T182" s="4" t="e">
        <f ca="1">[1]!BexGetData("DP_1","00O2TNJGODT0G5Z4TTKYMMOLH","GSON1112030321")</f>
        <v>#NAME?</v>
      </c>
      <c r="U182" s="4" t="e">
        <f ca="1">[1]!BexGetData("DP_1","00O2TNJGODT0G5Z4TTKYMMUX1","GSON1112030321")</f>
        <v>#NAME?</v>
      </c>
      <c r="V182" s="4" t="e">
        <f ca="1">[1]!BexGetData("DP_1","00O2TNJGODT0G5Z4TTKYMN18L","GSON1112030321")</f>
        <v>#NAME?</v>
      </c>
      <c r="W182" s="4" t="e">
        <f ca="1">[1]!BexGetData("DP_1","00O2TNJGODT0G5Z4TTKYMN7K5","GSON1112030321")</f>
        <v>#NAME?</v>
      </c>
    </row>
    <row r="183" spans="1:23" x14ac:dyDescent="0.2">
      <c r="A183" s="16" t="s">
        <v>1984</v>
      </c>
      <c r="B183" s="7" t="s">
        <v>1985</v>
      </c>
      <c r="C183" s="3" t="e">
        <f ca="1">[1]!BexGetData("DP_1","003N8EMH8GTFRCSWKMPXRR8GU","GSON1112030323")</f>
        <v>#NAME?</v>
      </c>
      <c r="D183" s="3" t="e">
        <f ca="1">[1]!BexGetData("DP_1","003N8EMH8GTFRCSWKMPXRRESE","GSON1112030323")</f>
        <v>#NAME?</v>
      </c>
      <c r="E183" s="8" t="e">
        <f ca="1">[1]!BexGetData("DP_1","003N8EMH8GTFRCSWKMPXRRL3Y","GSON1112030323")</f>
        <v>#NAME?</v>
      </c>
      <c r="F183" s="4" t="e">
        <f ca="1">[1]!BexGetData("DP_1","003N8EMH8GTFRCSWKMPXRRRFI","GSON1112030323")</f>
        <v>#NAME?</v>
      </c>
      <c r="G183" s="4" t="e">
        <f ca="1">[1]!BexGetData("DP_1","003N8EMH8GTFRCSWKMPXRRXR2","GSON1112030323")</f>
        <v>#NAME?</v>
      </c>
      <c r="H183" s="4" t="e">
        <f ca="1">[1]!BexGetData("DP_1","003N8EMH8GTFRCSWKMPXRS42M","GSON1112030323")</f>
        <v>#NAME?</v>
      </c>
      <c r="I183" s="4" t="e">
        <f ca="1">[1]!BexGetData("DP_1","003N8EMH8GTFRCSWKMPXRSAE6","GSON1112030323")</f>
        <v>#NAME?</v>
      </c>
      <c r="J183" s="4" t="e">
        <f ca="1">[1]!BexGetData("DP_1","003N8EMH8GTFRCSWKMPXRSGPQ","GSON1112030323")</f>
        <v>#NAME?</v>
      </c>
      <c r="K183" s="8" t="e">
        <f ca="1">[1]!BexGetData("DP_1","003N8EMH8GTFRIVNUPY288VJH","GSON1112030323")</f>
        <v>#NAME?</v>
      </c>
      <c r="L183" s="8" t="e">
        <f ca="1">[1]!BexGetData("DP_1","003N8EMH8GTFRIVNUPY2891V1","GSON1112030323")</f>
        <v>#NAME?</v>
      </c>
      <c r="M183" s="8" t="e">
        <f ca="1">[1]!BexGetData("DP_1","003N8EMH8GTFRIVOG7KG9IQXA","GSON1112030323")</f>
        <v>#NAME?</v>
      </c>
      <c r="N183" s="8" t="e">
        <f ca="1">[1]!BexGetData("DP_1","003N8EMH8GTFRIVOG7KG9IX8U","GSON1112030323")</f>
        <v>#NAME?</v>
      </c>
      <c r="O183" s="8" t="e">
        <f ca="1">[1]!BexGetData("DP_1","003N8EMH8GTFRIVOG7KG9J3KE","GSON1112030323")</f>
        <v>#NAME?</v>
      </c>
      <c r="P183" s="8" t="e">
        <f ca="1">[1]!BexGetData("DP_1","003N8EMH8GTFRIVOG7KG9J9VY","GSON1112030323")</f>
        <v>#NAME?</v>
      </c>
      <c r="Q183" s="4" t="e">
        <f ca="1">[1]!BexGetData("DP_1","00O2TNJGODT0G5Z4TTKYMM5MT","GSON1112030323")</f>
        <v>#NAME?</v>
      </c>
      <c r="R183" s="4" t="e">
        <f ca="1">[1]!BexGetData("DP_1","00O2TNJGODT0G5Z4TTKYMMBYD","GSON1112030323")</f>
        <v>#NAME?</v>
      </c>
      <c r="S183" s="4" t="e">
        <f ca="1">[1]!BexGetData("DP_1","00O2TNJGODT0G5Z4TTKYMMI9X","GSON1112030323")</f>
        <v>#NAME?</v>
      </c>
      <c r="T183" s="4" t="e">
        <f ca="1">[1]!BexGetData("DP_1","00O2TNJGODT0G5Z4TTKYMMOLH","GSON1112030323")</f>
        <v>#NAME?</v>
      </c>
      <c r="U183" s="4" t="e">
        <f ca="1">[1]!BexGetData("DP_1","00O2TNJGODT0G5Z4TTKYMMUX1","GSON1112030323")</f>
        <v>#NAME?</v>
      </c>
      <c r="V183" s="4" t="e">
        <f ca="1">[1]!BexGetData("DP_1","00O2TNJGODT0G5Z4TTKYMN18L","GSON1112030323")</f>
        <v>#NAME?</v>
      </c>
      <c r="W183" s="4" t="e">
        <f ca="1">[1]!BexGetData("DP_1","00O2TNJGODT0G5Z4TTKYMN7K5","GSON1112030323")</f>
        <v>#NAME?</v>
      </c>
    </row>
    <row r="184" spans="1:23" x14ac:dyDescent="0.2">
      <c r="A184" s="16" t="s">
        <v>1986</v>
      </c>
      <c r="B184" s="7" t="s">
        <v>1987</v>
      </c>
      <c r="C184" s="3" t="e">
        <f ca="1">[1]!BexGetData("DP_1","003N8EMH8GTFRCSWKMPXRR8GU","GSON1112030325")</f>
        <v>#NAME?</v>
      </c>
      <c r="D184" s="3" t="e">
        <f ca="1">[1]!BexGetData("DP_1","003N8EMH8GTFRCSWKMPXRRESE","GSON1112030325")</f>
        <v>#NAME?</v>
      </c>
      <c r="E184" s="8" t="e">
        <f ca="1">[1]!BexGetData("DP_1","003N8EMH8GTFRCSWKMPXRRL3Y","GSON1112030325")</f>
        <v>#NAME?</v>
      </c>
      <c r="F184" s="4" t="e">
        <f ca="1">[1]!BexGetData("DP_1","003N8EMH8GTFRCSWKMPXRRRFI","GSON1112030325")</f>
        <v>#NAME?</v>
      </c>
      <c r="G184" s="4" t="e">
        <f ca="1">[1]!BexGetData("DP_1","003N8EMH8GTFRCSWKMPXRRXR2","GSON1112030325")</f>
        <v>#NAME?</v>
      </c>
      <c r="H184" s="4" t="e">
        <f ca="1">[1]!BexGetData("DP_1","003N8EMH8GTFRCSWKMPXRS42M","GSON1112030325")</f>
        <v>#NAME?</v>
      </c>
      <c r="I184" s="4" t="e">
        <f ca="1">[1]!BexGetData("DP_1","003N8EMH8GTFRCSWKMPXRSAE6","GSON1112030325")</f>
        <v>#NAME?</v>
      </c>
      <c r="J184" s="4" t="e">
        <f ca="1">[1]!BexGetData("DP_1","003N8EMH8GTFRCSWKMPXRSGPQ","GSON1112030325")</f>
        <v>#NAME?</v>
      </c>
      <c r="K184" s="8" t="e">
        <f ca="1">[1]!BexGetData("DP_1","003N8EMH8GTFRIVNUPY288VJH","GSON1112030325")</f>
        <v>#NAME?</v>
      </c>
      <c r="L184" s="8" t="e">
        <f ca="1">[1]!BexGetData("DP_1","003N8EMH8GTFRIVNUPY2891V1","GSON1112030325")</f>
        <v>#NAME?</v>
      </c>
      <c r="M184" s="8" t="e">
        <f ca="1">[1]!BexGetData("DP_1","003N8EMH8GTFRIVOG7KG9IQXA","GSON1112030325")</f>
        <v>#NAME?</v>
      </c>
      <c r="N184" s="8" t="e">
        <f ca="1">[1]!BexGetData("DP_1","003N8EMH8GTFRIVOG7KG9IX8U","GSON1112030325")</f>
        <v>#NAME?</v>
      </c>
      <c r="O184" s="8" t="e">
        <f ca="1">[1]!BexGetData("DP_1","003N8EMH8GTFRIVOG7KG9J3KE","GSON1112030325")</f>
        <v>#NAME?</v>
      </c>
      <c r="P184" s="8" t="e">
        <f ca="1">[1]!BexGetData("DP_1","003N8EMH8GTFRIVOG7KG9J9VY","GSON1112030325")</f>
        <v>#NAME?</v>
      </c>
      <c r="Q184" s="4" t="e">
        <f ca="1">[1]!BexGetData("DP_1","00O2TNJGODT0G5Z4TTKYMM5MT","GSON1112030325")</f>
        <v>#NAME?</v>
      </c>
      <c r="R184" s="4" t="e">
        <f ca="1">[1]!BexGetData("DP_1","00O2TNJGODT0G5Z4TTKYMMBYD","GSON1112030325")</f>
        <v>#NAME?</v>
      </c>
      <c r="S184" s="4" t="e">
        <f ca="1">[1]!BexGetData("DP_1","00O2TNJGODT0G5Z4TTKYMMI9X","GSON1112030325")</f>
        <v>#NAME?</v>
      </c>
      <c r="T184" s="4" t="e">
        <f ca="1">[1]!BexGetData("DP_1","00O2TNJGODT0G5Z4TTKYMMOLH","GSON1112030325")</f>
        <v>#NAME?</v>
      </c>
      <c r="U184" s="4" t="e">
        <f ca="1">[1]!BexGetData("DP_1","00O2TNJGODT0G5Z4TTKYMMUX1","GSON1112030325")</f>
        <v>#NAME?</v>
      </c>
      <c r="V184" s="4" t="e">
        <f ca="1">[1]!BexGetData("DP_1","00O2TNJGODT0G5Z4TTKYMN18L","GSON1112030325")</f>
        <v>#NAME?</v>
      </c>
      <c r="W184" s="4" t="e">
        <f ca="1">[1]!BexGetData("DP_1","00O2TNJGODT0G5Z4TTKYMN7K5","GSON1112030325")</f>
        <v>#NAME?</v>
      </c>
    </row>
    <row r="185" spans="1:23" x14ac:dyDescent="0.2">
      <c r="A185" s="16" t="s">
        <v>1988</v>
      </c>
      <c r="B185" s="7" t="s">
        <v>1625</v>
      </c>
      <c r="C185" s="3" t="e">
        <f ca="1">[1]!BexGetData("DP_1","003N8EMH8GTFRCSWKMPXRR8GU","GSON1112030330")</f>
        <v>#NAME?</v>
      </c>
      <c r="D185" s="3" t="e">
        <f ca="1">[1]!BexGetData("DP_1","003N8EMH8GTFRCSWKMPXRRESE","GSON1112030330")</f>
        <v>#NAME?</v>
      </c>
      <c r="E185" s="3" t="e">
        <f ca="1">[1]!BexGetData("DP_1","003N8EMH8GTFRCSWKMPXRRL3Y","GSON1112030330")</f>
        <v>#NAME?</v>
      </c>
      <c r="F185" s="3" t="e">
        <f ca="1">[1]!BexGetData("DP_1","003N8EMH8GTFRCSWKMPXRRRFI","GSON1112030330")</f>
        <v>#NAME?</v>
      </c>
      <c r="G185" s="3" t="e">
        <f ca="1">[1]!BexGetData("DP_1","003N8EMH8GTFRCSWKMPXRRXR2","GSON1112030330")</f>
        <v>#NAME?</v>
      </c>
      <c r="H185" s="8" t="e">
        <f ca="1">[1]!BexGetData("DP_1","003N8EMH8GTFRCSWKMPXRS42M","GSON1112030330")</f>
        <v>#NAME?</v>
      </c>
      <c r="I185" s="3" t="e">
        <f ca="1">[1]!BexGetData("DP_1","003N8EMH8GTFRCSWKMPXRSAE6","GSON1112030330")</f>
        <v>#NAME?</v>
      </c>
      <c r="J185" s="4" t="e">
        <f ca="1">[1]!BexGetData("DP_1","003N8EMH8GTFRCSWKMPXRSGPQ","GSON1112030330")</f>
        <v>#NAME?</v>
      </c>
      <c r="K185" s="3" t="e">
        <f ca="1">[1]!BexGetData("DP_1","003N8EMH8GTFRIVNUPY288VJH","GSON1112030330")</f>
        <v>#NAME?</v>
      </c>
      <c r="L185" s="3" t="e">
        <f ca="1">[1]!BexGetData("DP_1","003N8EMH8GTFRIVNUPY2891V1","GSON1112030330")</f>
        <v>#NAME?</v>
      </c>
      <c r="M185" s="8" t="e">
        <f ca="1">[1]!BexGetData("DP_1","003N8EMH8GTFRIVOG7KG9IQXA","GSON1112030330")</f>
        <v>#NAME?</v>
      </c>
      <c r="N185" s="3" t="e">
        <f ca="1">[1]!BexGetData("DP_1","003N8EMH8GTFRIVOG7KG9IX8U","GSON1112030330")</f>
        <v>#NAME?</v>
      </c>
      <c r="O185" s="8" t="e">
        <f ca="1">[1]!BexGetData("DP_1","003N8EMH8GTFRIVOG7KG9J3KE","GSON1112030330")</f>
        <v>#NAME?</v>
      </c>
      <c r="P185" s="3" t="e">
        <f ca="1">[1]!BexGetData("DP_1","003N8EMH8GTFRIVOG7KG9J9VY","GSON1112030330")</f>
        <v>#NAME?</v>
      </c>
      <c r="Q185" s="4" t="e">
        <f ca="1">[1]!BexGetData("DP_1","00O2TNJGODT0G5Z4TTKYMM5MT","GSON1112030330")</f>
        <v>#NAME?</v>
      </c>
      <c r="R185" s="3" t="e">
        <f ca="1">[1]!BexGetData("DP_1","00O2TNJGODT0G5Z4TTKYMMBYD","GSON1112030330")</f>
        <v>#NAME?</v>
      </c>
      <c r="S185" s="3" t="e">
        <f ca="1">[1]!BexGetData("DP_1","00O2TNJGODT0G5Z4TTKYMMI9X","GSON1112030330")</f>
        <v>#NAME?</v>
      </c>
      <c r="T185" s="8" t="e">
        <f ca="1">[1]!BexGetData("DP_1","00O2TNJGODT0G5Z4TTKYMMOLH","GSON1112030330")</f>
        <v>#NAME?</v>
      </c>
      <c r="U185" s="3" t="e">
        <f ca="1">[1]!BexGetData("DP_1","00O2TNJGODT0G5Z4TTKYMMUX1","GSON1112030330")</f>
        <v>#NAME?</v>
      </c>
      <c r="V185" s="8" t="e">
        <f ca="1">[1]!BexGetData("DP_1","00O2TNJGODT0G5Z4TTKYMN18L","GSON1112030330")</f>
        <v>#NAME?</v>
      </c>
      <c r="W185" s="3" t="e">
        <f ca="1">[1]!BexGetData("DP_1","00O2TNJGODT0G5Z4TTKYMN7K5","GSON1112030330")</f>
        <v>#NAME?</v>
      </c>
    </row>
    <row r="186" spans="1:23" x14ac:dyDescent="0.2">
      <c r="A186" s="16" t="s">
        <v>1989</v>
      </c>
      <c r="B186" s="7" t="s">
        <v>1626</v>
      </c>
      <c r="C186" s="3" t="e">
        <f ca="1">[1]!BexGetData("DP_1","003N8EMH8GTFRCSWKMPXRR8GU","GSON1112030331")</f>
        <v>#NAME?</v>
      </c>
      <c r="D186" s="3" t="e">
        <f ca="1">[1]!BexGetData("DP_1","003N8EMH8GTFRCSWKMPXRRESE","GSON1112030331")</f>
        <v>#NAME?</v>
      </c>
      <c r="E186" s="8" t="e">
        <f ca="1">[1]!BexGetData("DP_1","003N8EMH8GTFRCSWKMPXRRL3Y","GSON1112030331")</f>
        <v>#NAME?</v>
      </c>
      <c r="F186" s="4" t="e">
        <f ca="1">[1]!BexGetData("DP_1","003N8EMH8GTFRCSWKMPXRRRFI","GSON1112030331")</f>
        <v>#NAME?</v>
      </c>
      <c r="G186" s="4" t="e">
        <f ca="1">[1]!BexGetData("DP_1","003N8EMH8GTFRCSWKMPXRRXR2","GSON1112030331")</f>
        <v>#NAME?</v>
      </c>
      <c r="H186" s="4" t="e">
        <f ca="1">[1]!BexGetData("DP_1","003N8EMH8GTFRCSWKMPXRS42M","GSON1112030331")</f>
        <v>#NAME?</v>
      </c>
      <c r="I186" s="4" t="e">
        <f ca="1">[1]!BexGetData("DP_1","003N8EMH8GTFRCSWKMPXRSAE6","GSON1112030331")</f>
        <v>#NAME?</v>
      </c>
      <c r="J186" s="4" t="e">
        <f ca="1">[1]!BexGetData("DP_1","003N8EMH8GTFRCSWKMPXRSGPQ","GSON1112030331")</f>
        <v>#NAME?</v>
      </c>
      <c r="K186" s="8" t="e">
        <f ca="1">[1]!BexGetData("DP_1","003N8EMH8GTFRIVNUPY288VJH","GSON1112030331")</f>
        <v>#NAME?</v>
      </c>
      <c r="L186" s="8" t="e">
        <f ca="1">[1]!BexGetData("DP_1","003N8EMH8GTFRIVNUPY2891V1","GSON1112030331")</f>
        <v>#NAME?</v>
      </c>
      <c r="M186" s="8" t="e">
        <f ca="1">[1]!BexGetData("DP_1","003N8EMH8GTFRIVOG7KG9IQXA","GSON1112030331")</f>
        <v>#NAME?</v>
      </c>
      <c r="N186" s="8" t="e">
        <f ca="1">[1]!BexGetData("DP_1","003N8EMH8GTFRIVOG7KG9IX8U","GSON1112030331")</f>
        <v>#NAME?</v>
      </c>
      <c r="O186" s="8" t="e">
        <f ca="1">[1]!BexGetData("DP_1","003N8EMH8GTFRIVOG7KG9J3KE","GSON1112030331")</f>
        <v>#NAME?</v>
      </c>
      <c r="P186" s="8" t="e">
        <f ca="1">[1]!BexGetData("DP_1","003N8EMH8GTFRIVOG7KG9J9VY","GSON1112030331")</f>
        <v>#NAME?</v>
      </c>
      <c r="Q186" s="4" t="e">
        <f ca="1">[1]!BexGetData("DP_1","00O2TNJGODT0G5Z4TTKYMM5MT","GSON1112030331")</f>
        <v>#NAME?</v>
      </c>
      <c r="R186" s="4" t="e">
        <f ca="1">[1]!BexGetData("DP_1","00O2TNJGODT0G5Z4TTKYMMBYD","GSON1112030331")</f>
        <v>#NAME?</v>
      </c>
      <c r="S186" s="4" t="e">
        <f ca="1">[1]!BexGetData("DP_1","00O2TNJGODT0G5Z4TTKYMMI9X","GSON1112030331")</f>
        <v>#NAME?</v>
      </c>
      <c r="T186" s="4" t="e">
        <f ca="1">[1]!BexGetData("DP_1","00O2TNJGODT0G5Z4TTKYMMOLH","GSON1112030331")</f>
        <v>#NAME?</v>
      </c>
      <c r="U186" s="4" t="e">
        <f ca="1">[1]!BexGetData("DP_1","00O2TNJGODT0G5Z4TTKYMMUX1","GSON1112030331")</f>
        <v>#NAME?</v>
      </c>
      <c r="V186" s="4" t="e">
        <f ca="1">[1]!BexGetData("DP_1","00O2TNJGODT0G5Z4TTKYMN18L","GSON1112030331")</f>
        <v>#NAME?</v>
      </c>
      <c r="W186" s="4" t="e">
        <f ca="1">[1]!BexGetData("DP_1","00O2TNJGODT0G5Z4TTKYMN7K5","GSON1112030331")</f>
        <v>#NAME?</v>
      </c>
    </row>
    <row r="187" spans="1:23" x14ac:dyDescent="0.2">
      <c r="A187" s="16" t="s">
        <v>1990</v>
      </c>
      <c r="B187" s="7" t="s">
        <v>1991</v>
      </c>
      <c r="C187" s="3" t="e">
        <f ca="1">[1]!BexGetData("DP_1","003N8EMH8GTFRCSWKMPXRR8GU","GSON1112030333")</f>
        <v>#NAME?</v>
      </c>
      <c r="D187" s="3" t="e">
        <f ca="1">[1]!BexGetData("DP_1","003N8EMH8GTFRCSWKMPXRRESE","GSON1112030333")</f>
        <v>#NAME?</v>
      </c>
      <c r="E187" s="8" t="e">
        <f ca="1">[1]!BexGetData("DP_1","003N8EMH8GTFRCSWKMPXRRL3Y","GSON1112030333")</f>
        <v>#NAME?</v>
      </c>
      <c r="F187" s="4" t="e">
        <f ca="1">[1]!BexGetData("DP_1","003N8EMH8GTFRCSWKMPXRRRFI","GSON1112030333")</f>
        <v>#NAME?</v>
      </c>
      <c r="G187" s="4" t="e">
        <f ca="1">[1]!BexGetData("DP_1","003N8EMH8GTFRCSWKMPXRRXR2","GSON1112030333")</f>
        <v>#NAME?</v>
      </c>
      <c r="H187" s="4" t="e">
        <f ca="1">[1]!BexGetData("DP_1","003N8EMH8GTFRCSWKMPXRS42M","GSON1112030333")</f>
        <v>#NAME?</v>
      </c>
      <c r="I187" s="4" t="e">
        <f ca="1">[1]!BexGetData("DP_1","003N8EMH8GTFRCSWKMPXRSAE6","GSON1112030333")</f>
        <v>#NAME?</v>
      </c>
      <c r="J187" s="4" t="e">
        <f ca="1">[1]!BexGetData("DP_1","003N8EMH8GTFRCSWKMPXRSGPQ","GSON1112030333")</f>
        <v>#NAME?</v>
      </c>
      <c r="K187" s="8" t="e">
        <f ca="1">[1]!BexGetData("DP_1","003N8EMH8GTFRIVNUPY288VJH","GSON1112030333")</f>
        <v>#NAME?</v>
      </c>
      <c r="L187" s="8" t="e">
        <f ca="1">[1]!BexGetData("DP_1","003N8EMH8GTFRIVNUPY2891V1","GSON1112030333")</f>
        <v>#NAME?</v>
      </c>
      <c r="M187" s="8" t="e">
        <f ca="1">[1]!BexGetData("DP_1","003N8EMH8GTFRIVOG7KG9IQXA","GSON1112030333")</f>
        <v>#NAME?</v>
      </c>
      <c r="N187" s="8" t="e">
        <f ca="1">[1]!BexGetData("DP_1","003N8EMH8GTFRIVOG7KG9IX8U","GSON1112030333")</f>
        <v>#NAME?</v>
      </c>
      <c r="O187" s="8" t="e">
        <f ca="1">[1]!BexGetData("DP_1","003N8EMH8GTFRIVOG7KG9J3KE","GSON1112030333")</f>
        <v>#NAME?</v>
      </c>
      <c r="P187" s="8" t="e">
        <f ca="1">[1]!BexGetData("DP_1","003N8EMH8GTFRIVOG7KG9J9VY","GSON1112030333")</f>
        <v>#NAME?</v>
      </c>
      <c r="Q187" s="4" t="e">
        <f ca="1">[1]!BexGetData("DP_1","00O2TNJGODT0G5Z4TTKYMM5MT","GSON1112030333")</f>
        <v>#NAME?</v>
      </c>
      <c r="R187" s="4" t="e">
        <f ca="1">[1]!BexGetData("DP_1","00O2TNJGODT0G5Z4TTKYMMBYD","GSON1112030333")</f>
        <v>#NAME?</v>
      </c>
      <c r="S187" s="4" t="e">
        <f ca="1">[1]!BexGetData("DP_1","00O2TNJGODT0G5Z4TTKYMMI9X","GSON1112030333")</f>
        <v>#NAME?</v>
      </c>
      <c r="T187" s="4" t="e">
        <f ca="1">[1]!BexGetData("DP_1","00O2TNJGODT0G5Z4TTKYMMOLH","GSON1112030333")</f>
        <v>#NAME?</v>
      </c>
      <c r="U187" s="4" t="e">
        <f ca="1">[1]!BexGetData("DP_1","00O2TNJGODT0G5Z4TTKYMMUX1","GSON1112030333")</f>
        <v>#NAME?</v>
      </c>
      <c r="V187" s="4" t="e">
        <f ca="1">[1]!BexGetData("DP_1","00O2TNJGODT0G5Z4TTKYMN18L","GSON1112030333")</f>
        <v>#NAME?</v>
      </c>
      <c r="W187" s="4" t="e">
        <f ca="1">[1]!BexGetData("DP_1","00O2TNJGODT0G5Z4TTKYMN7K5","GSON1112030333")</f>
        <v>#NAME?</v>
      </c>
    </row>
    <row r="188" spans="1:23" x14ac:dyDescent="0.2">
      <c r="A188" s="16" t="s">
        <v>1992</v>
      </c>
      <c r="B188" s="7" t="s">
        <v>1993</v>
      </c>
      <c r="C188" s="3" t="e">
        <f ca="1">[1]!BexGetData("DP_1","003N8EMH8GTFRCSWKMPXRR8GU","GSON1112030335")</f>
        <v>#NAME?</v>
      </c>
      <c r="D188" s="3" t="e">
        <f ca="1">[1]!BexGetData("DP_1","003N8EMH8GTFRCSWKMPXRRESE","GSON1112030335")</f>
        <v>#NAME?</v>
      </c>
      <c r="E188" s="8" t="e">
        <f ca="1">[1]!BexGetData("DP_1","003N8EMH8GTFRCSWKMPXRRL3Y","GSON1112030335")</f>
        <v>#NAME?</v>
      </c>
      <c r="F188" s="4" t="e">
        <f ca="1">[1]!BexGetData("DP_1","003N8EMH8GTFRCSWKMPXRRRFI","GSON1112030335")</f>
        <v>#NAME?</v>
      </c>
      <c r="G188" s="4" t="e">
        <f ca="1">[1]!BexGetData("DP_1","003N8EMH8GTFRCSWKMPXRRXR2","GSON1112030335")</f>
        <v>#NAME?</v>
      </c>
      <c r="H188" s="4" t="e">
        <f ca="1">[1]!BexGetData("DP_1","003N8EMH8GTFRCSWKMPXRS42M","GSON1112030335")</f>
        <v>#NAME?</v>
      </c>
      <c r="I188" s="4" t="e">
        <f ca="1">[1]!BexGetData("DP_1","003N8EMH8GTFRCSWKMPXRSAE6","GSON1112030335")</f>
        <v>#NAME?</v>
      </c>
      <c r="J188" s="4" t="e">
        <f ca="1">[1]!BexGetData("DP_1","003N8EMH8GTFRCSWKMPXRSGPQ","GSON1112030335")</f>
        <v>#NAME?</v>
      </c>
      <c r="K188" s="8" t="e">
        <f ca="1">[1]!BexGetData("DP_1","003N8EMH8GTFRIVNUPY288VJH","GSON1112030335")</f>
        <v>#NAME?</v>
      </c>
      <c r="L188" s="8" t="e">
        <f ca="1">[1]!BexGetData("DP_1","003N8EMH8GTFRIVNUPY2891V1","GSON1112030335")</f>
        <v>#NAME?</v>
      </c>
      <c r="M188" s="8" t="e">
        <f ca="1">[1]!BexGetData("DP_1","003N8EMH8GTFRIVOG7KG9IQXA","GSON1112030335")</f>
        <v>#NAME?</v>
      </c>
      <c r="N188" s="8" t="e">
        <f ca="1">[1]!BexGetData("DP_1","003N8EMH8GTFRIVOG7KG9IX8U","GSON1112030335")</f>
        <v>#NAME?</v>
      </c>
      <c r="O188" s="8" t="e">
        <f ca="1">[1]!BexGetData("DP_1","003N8EMH8GTFRIVOG7KG9J3KE","GSON1112030335")</f>
        <v>#NAME?</v>
      </c>
      <c r="P188" s="8" t="e">
        <f ca="1">[1]!BexGetData("DP_1","003N8EMH8GTFRIVOG7KG9J9VY","GSON1112030335")</f>
        <v>#NAME?</v>
      </c>
      <c r="Q188" s="4" t="e">
        <f ca="1">[1]!BexGetData("DP_1","00O2TNJGODT0G5Z4TTKYMM5MT","GSON1112030335")</f>
        <v>#NAME?</v>
      </c>
      <c r="R188" s="4" t="e">
        <f ca="1">[1]!BexGetData("DP_1","00O2TNJGODT0G5Z4TTKYMMBYD","GSON1112030335")</f>
        <v>#NAME?</v>
      </c>
      <c r="S188" s="4" t="e">
        <f ca="1">[1]!BexGetData("DP_1","00O2TNJGODT0G5Z4TTKYMMI9X","GSON1112030335")</f>
        <v>#NAME?</v>
      </c>
      <c r="T188" s="4" t="e">
        <f ca="1">[1]!BexGetData("DP_1","00O2TNJGODT0G5Z4TTKYMMOLH","GSON1112030335")</f>
        <v>#NAME?</v>
      </c>
      <c r="U188" s="4" t="e">
        <f ca="1">[1]!BexGetData("DP_1","00O2TNJGODT0G5Z4TTKYMMUX1","GSON1112030335")</f>
        <v>#NAME?</v>
      </c>
      <c r="V188" s="4" t="e">
        <f ca="1">[1]!BexGetData("DP_1","00O2TNJGODT0G5Z4TTKYMN18L","GSON1112030335")</f>
        <v>#NAME?</v>
      </c>
      <c r="W188" s="4" t="e">
        <f ca="1">[1]!BexGetData("DP_1","00O2TNJGODT0G5Z4TTKYMN7K5","GSON1112030335")</f>
        <v>#NAME?</v>
      </c>
    </row>
    <row r="189" spans="1:23" x14ac:dyDescent="0.2">
      <c r="A189" s="16" t="s">
        <v>1994</v>
      </c>
      <c r="B189" s="7" t="s">
        <v>787</v>
      </c>
      <c r="C189" s="3" t="e">
        <f ca="1">[1]!BexGetData("DP_1","003N8EMH8GTFRCSWKMPXRR8GU","GSON1112030340")</f>
        <v>#NAME?</v>
      </c>
      <c r="D189" s="3" t="e">
        <f ca="1">[1]!BexGetData("DP_1","003N8EMH8GTFRCSWKMPXRRESE","GSON1112030340")</f>
        <v>#NAME?</v>
      </c>
      <c r="E189" s="3" t="e">
        <f ca="1">[1]!BexGetData("DP_1","003N8EMH8GTFRCSWKMPXRRL3Y","GSON1112030340")</f>
        <v>#NAME?</v>
      </c>
      <c r="F189" s="3" t="e">
        <f ca="1">[1]!BexGetData("DP_1","003N8EMH8GTFRCSWKMPXRRRFI","GSON1112030340")</f>
        <v>#NAME?</v>
      </c>
      <c r="G189" s="3" t="e">
        <f ca="1">[1]!BexGetData("DP_1","003N8EMH8GTFRCSWKMPXRRXR2","GSON1112030340")</f>
        <v>#NAME?</v>
      </c>
      <c r="H189" s="8" t="e">
        <f ca="1">[1]!BexGetData("DP_1","003N8EMH8GTFRCSWKMPXRS42M","GSON1112030340")</f>
        <v>#NAME?</v>
      </c>
      <c r="I189" s="3" t="e">
        <f ca="1">[1]!BexGetData("DP_1","003N8EMH8GTFRCSWKMPXRSAE6","GSON1112030340")</f>
        <v>#NAME?</v>
      </c>
      <c r="J189" s="4" t="e">
        <f ca="1">[1]!BexGetData("DP_1","003N8EMH8GTFRCSWKMPXRSGPQ","GSON1112030340")</f>
        <v>#NAME?</v>
      </c>
      <c r="K189" s="3" t="e">
        <f ca="1">[1]!BexGetData("DP_1","003N8EMH8GTFRIVNUPY288VJH","GSON1112030340")</f>
        <v>#NAME?</v>
      </c>
      <c r="L189" s="3" t="e">
        <f ca="1">[1]!BexGetData("DP_1","003N8EMH8GTFRIVNUPY2891V1","GSON1112030340")</f>
        <v>#NAME?</v>
      </c>
      <c r="M189" s="8" t="e">
        <f ca="1">[1]!BexGetData("DP_1","003N8EMH8GTFRIVOG7KG9IQXA","GSON1112030340")</f>
        <v>#NAME?</v>
      </c>
      <c r="N189" s="3" t="e">
        <f ca="1">[1]!BexGetData("DP_1","003N8EMH8GTFRIVOG7KG9IX8U","GSON1112030340")</f>
        <v>#NAME?</v>
      </c>
      <c r="O189" s="8" t="e">
        <f ca="1">[1]!BexGetData("DP_1","003N8EMH8GTFRIVOG7KG9J3KE","GSON1112030340")</f>
        <v>#NAME?</v>
      </c>
      <c r="P189" s="3" t="e">
        <f ca="1">[1]!BexGetData("DP_1","003N8EMH8GTFRIVOG7KG9J9VY","GSON1112030340")</f>
        <v>#NAME?</v>
      </c>
      <c r="Q189" s="4" t="e">
        <f ca="1">[1]!BexGetData("DP_1","00O2TNJGODT0G5Z4TTKYMM5MT","GSON1112030340")</f>
        <v>#NAME?</v>
      </c>
      <c r="R189" s="3" t="e">
        <f ca="1">[1]!BexGetData("DP_1","00O2TNJGODT0G5Z4TTKYMMBYD","GSON1112030340")</f>
        <v>#NAME?</v>
      </c>
      <c r="S189" s="3" t="e">
        <f ca="1">[1]!BexGetData("DP_1","00O2TNJGODT0G5Z4TTKYMMI9X","GSON1112030340")</f>
        <v>#NAME?</v>
      </c>
      <c r="T189" s="8" t="e">
        <f ca="1">[1]!BexGetData("DP_1","00O2TNJGODT0G5Z4TTKYMMOLH","GSON1112030340")</f>
        <v>#NAME?</v>
      </c>
      <c r="U189" s="3" t="e">
        <f ca="1">[1]!BexGetData("DP_1","00O2TNJGODT0G5Z4TTKYMMUX1","GSON1112030340")</f>
        <v>#NAME?</v>
      </c>
      <c r="V189" s="8" t="e">
        <f ca="1">[1]!BexGetData("DP_1","00O2TNJGODT0G5Z4TTKYMN18L","GSON1112030340")</f>
        <v>#NAME?</v>
      </c>
      <c r="W189" s="3" t="e">
        <f ca="1">[1]!BexGetData("DP_1","00O2TNJGODT0G5Z4TTKYMN7K5","GSON1112030340")</f>
        <v>#NAME?</v>
      </c>
    </row>
    <row r="190" spans="1:23" x14ac:dyDescent="0.2">
      <c r="A190" s="16" t="s">
        <v>1995</v>
      </c>
      <c r="B190" s="7" t="s">
        <v>788</v>
      </c>
      <c r="C190" s="3" t="e">
        <f ca="1">[1]!BexGetData("DP_1","003N8EMH8GTFRCSWKMPXRR8GU","GSON1112030341")</f>
        <v>#NAME?</v>
      </c>
      <c r="D190" s="3" t="e">
        <f ca="1">[1]!BexGetData("DP_1","003N8EMH8GTFRCSWKMPXRRESE","GSON1112030341")</f>
        <v>#NAME?</v>
      </c>
      <c r="E190" s="8" t="e">
        <f ca="1">[1]!BexGetData("DP_1","003N8EMH8GTFRCSWKMPXRRL3Y","GSON1112030341")</f>
        <v>#NAME?</v>
      </c>
      <c r="F190" s="4" t="e">
        <f ca="1">[1]!BexGetData("DP_1","003N8EMH8GTFRCSWKMPXRRRFI","GSON1112030341")</f>
        <v>#NAME?</v>
      </c>
      <c r="G190" s="4" t="e">
        <f ca="1">[1]!BexGetData("DP_1","003N8EMH8GTFRCSWKMPXRRXR2","GSON1112030341")</f>
        <v>#NAME?</v>
      </c>
      <c r="H190" s="4" t="e">
        <f ca="1">[1]!BexGetData("DP_1","003N8EMH8GTFRCSWKMPXRS42M","GSON1112030341")</f>
        <v>#NAME?</v>
      </c>
      <c r="I190" s="4" t="e">
        <f ca="1">[1]!BexGetData("DP_1","003N8EMH8GTFRCSWKMPXRSAE6","GSON1112030341")</f>
        <v>#NAME?</v>
      </c>
      <c r="J190" s="4" t="e">
        <f ca="1">[1]!BexGetData("DP_1","003N8EMH8GTFRCSWKMPXRSGPQ","GSON1112030341")</f>
        <v>#NAME?</v>
      </c>
      <c r="K190" s="8" t="e">
        <f ca="1">[1]!BexGetData("DP_1","003N8EMH8GTFRIVNUPY288VJH","GSON1112030341")</f>
        <v>#NAME?</v>
      </c>
      <c r="L190" s="8" t="e">
        <f ca="1">[1]!BexGetData("DP_1","003N8EMH8GTFRIVNUPY2891V1","GSON1112030341")</f>
        <v>#NAME?</v>
      </c>
      <c r="M190" s="8" t="e">
        <f ca="1">[1]!BexGetData("DP_1","003N8EMH8GTFRIVOG7KG9IQXA","GSON1112030341")</f>
        <v>#NAME?</v>
      </c>
      <c r="N190" s="8" t="e">
        <f ca="1">[1]!BexGetData("DP_1","003N8EMH8GTFRIVOG7KG9IX8U","GSON1112030341")</f>
        <v>#NAME?</v>
      </c>
      <c r="O190" s="8" t="e">
        <f ca="1">[1]!BexGetData("DP_1","003N8EMH8GTFRIVOG7KG9J3KE","GSON1112030341")</f>
        <v>#NAME?</v>
      </c>
      <c r="P190" s="8" t="e">
        <f ca="1">[1]!BexGetData("DP_1","003N8EMH8GTFRIVOG7KG9J9VY","GSON1112030341")</f>
        <v>#NAME?</v>
      </c>
      <c r="Q190" s="4" t="e">
        <f ca="1">[1]!BexGetData("DP_1","00O2TNJGODT0G5Z4TTKYMM5MT","GSON1112030341")</f>
        <v>#NAME?</v>
      </c>
      <c r="R190" s="4" t="e">
        <f ca="1">[1]!BexGetData("DP_1","00O2TNJGODT0G5Z4TTKYMMBYD","GSON1112030341")</f>
        <v>#NAME?</v>
      </c>
      <c r="S190" s="4" t="e">
        <f ca="1">[1]!BexGetData("DP_1","00O2TNJGODT0G5Z4TTKYMMI9X","GSON1112030341")</f>
        <v>#NAME?</v>
      </c>
      <c r="T190" s="4" t="e">
        <f ca="1">[1]!BexGetData("DP_1","00O2TNJGODT0G5Z4TTKYMMOLH","GSON1112030341")</f>
        <v>#NAME?</v>
      </c>
      <c r="U190" s="4" t="e">
        <f ca="1">[1]!BexGetData("DP_1","00O2TNJGODT0G5Z4TTKYMMUX1","GSON1112030341")</f>
        <v>#NAME?</v>
      </c>
      <c r="V190" s="4" t="e">
        <f ca="1">[1]!BexGetData("DP_1","00O2TNJGODT0G5Z4TTKYMN18L","GSON1112030341")</f>
        <v>#NAME?</v>
      </c>
      <c r="W190" s="4" t="e">
        <f ca="1">[1]!BexGetData("DP_1","00O2TNJGODT0G5Z4TTKYMN7K5","GSON1112030341")</f>
        <v>#NAME?</v>
      </c>
    </row>
    <row r="191" spans="1:23" x14ac:dyDescent="0.2">
      <c r="A191" s="16" t="s">
        <v>1996</v>
      </c>
      <c r="B191" s="7" t="s">
        <v>1997</v>
      </c>
      <c r="C191" s="3" t="e">
        <f ca="1">[1]!BexGetData("DP_1","003N8EMH8GTFRCSWKMPXRR8GU","GSON1112030343")</f>
        <v>#NAME?</v>
      </c>
      <c r="D191" s="3" t="e">
        <f ca="1">[1]!BexGetData("DP_1","003N8EMH8GTFRCSWKMPXRRESE","GSON1112030343")</f>
        <v>#NAME?</v>
      </c>
      <c r="E191" s="8" t="e">
        <f ca="1">[1]!BexGetData("DP_1","003N8EMH8GTFRCSWKMPXRRL3Y","GSON1112030343")</f>
        <v>#NAME?</v>
      </c>
      <c r="F191" s="4" t="e">
        <f ca="1">[1]!BexGetData("DP_1","003N8EMH8GTFRCSWKMPXRRRFI","GSON1112030343")</f>
        <v>#NAME?</v>
      </c>
      <c r="G191" s="4" t="e">
        <f ca="1">[1]!BexGetData("DP_1","003N8EMH8GTFRCSWKMPXRRXR2","GSON1112030343")</f>
        <v>#NAME?</v>
      </c>
      <c r="H191" s="4" t="e">
        <f ca="1">[1]!BexGetData("DP_1","003N8EMH8GTFRCSWKMPXRS42M","GSON1112030343")</f>
        <v>#NAME?</v>
      </c>
      <c r="I191" s="4" t="e">
        <f ca="1">[1]!BexGetData("DP_1","003N8EMH8GTFRCSWKMPXRSAE6","GSON1112030343")</f>
        <v>#NAME?</v>
      </c>
      <c r="J191" s="4" t="e">
        <f ca="1">[1]!BexGetData("DP_1","003N8EMH8GTFRCSWKMPXRSGPQ","GSON1112030343")</f>
        <v>#NAME?</v>
      </c>
      <c r="K191" s="8" t="e">
        <f ca="1">[1]!BexGetData("DP_1","003N8EMH8GTFRIVNUPY288VJH","GSON1112030343")</f>
        <v>#NAME?</v>
      </c>
      <c r="L191" s="8" t="e">
        <f ca="1">[1]!BexGetData("DP_1","003N8EMH8GTFRIVNUPY2891V1","GSON1112030343")</f>
        <v>#NAME?</v>
      </c>
      <c r="M191" s="8" t="e">
        <f ca="1">[1]!BexGetData("DP_1","003N8EMH8GTFRIVOG7KG9IQXA","GSON1112030343")</f>
        <v>#NAME?</v>
      </c>
      <c r="N191" s="8" t="e">
        <f ca="1">[1]!BexGetData("DP_1","003N8EMH8GTFRIVOG7KG9IX8U","GSON1112030343")</f>
        <v>#NAME?</v>
      </c>
      <c r="O191" s="8" t="e">
        <f ca="1">[1]!BexGetData("DP_1","003N8EMH8GTFRIVOG7KG9J3KE","GSON1112030343")</f>
        <v>#NAME?</v>
      </c>
      <c r="P191" s="8" t="e">
        <f ca="1">[1]!BexGetData("DP_1","003N8EMH8GTFRIVOG7KG9J9VY","GSON1112030343")</f>
        <v>#NAME?</v>
      </c>
      <c r="Q191" s="4" t="e">
        <f ca="1">[1]!BexGetData("DP_1","00O2TNJGODT0G5Z4TTKYMM5MT","GSON1112030343")</f>
        <v>#NAME?</v>
      </c>
      <c r="R191" s="4" t="e">
        <f ca="1">[1]!BexGetData("DP_1","00O2TNJGODT0G5Z4TTKYMMBYD","GSON1112030343")</f>
        <v>#NAME?</v>
      </c>
      <c r="S191" s="4" t="e">
        <f ca="1">[1]!BexGetData("DP_1","00O2TNJGODT0G5Z4TTKYMMI9X","GSON1112030343")</f>
        <v>#NAME?</v>
      </c>
      <c r="T191" s="4" t="e">
        <f ca="1">[1]!BexGetData("DP_1","00O2TNJGODT0G5Z4TTKYMMOLH","GSON1112030343")</f>
        <v>#NAME?</v>
      </c>
      <c r="U191" s="4" t="e">
        <f ca="1">[1]!BexGetData("DP_1","00O2TNJGODT0G5Z4TTKYMMUX1","GSON1112030343")</f>
        <v>#NAME?</v>
      </c>
      <c r="V191" s="4" t="e">
        <f ca="1">[1]!BexGetData("DP_1","00O2TNJGODT0G5Z4TTKYMN18L","GSON1112030343")</f>
        <v>#NAME?</v>
      </c>
      <c r="W191" s="4" t="e">
        <f ca="1">[1]!BexGetData("DP_1","00O2TNJGODT0G5Z4TTKYMN7K5","GSON1112030343")</f>
        <v>#NAME?</v>
      </c>
    </row>
    <row r="192" spans="1:23" x14ac:dyDescent="0.2">
      <c r="A192" s="16" t="s">
        <v>1998</v>
      </c>
      <c r="B192" s="7" t="s">
        <v>1999</v>
      </c>
      <c r="C192" s="3" t="e">
        <f ca="1">[1]!BexGetData("DP_1","003N8EMH8GTFRCSWKMPXRR8GU","GSON1112030345")</f>
        <v>#NAME?</v>
      </c>
      <c r="D192" s="3" t="e">
        <f ca="1">[1]!BexGetData("DP_1","003N8EMH8GTFRCSWKMPXRRESE","GSON1112030345")</f>
        <v>#NAME?</v>
      </c>
      <c r="E192" s="8" t="e">
        <f ca="1">[1]!BexGetData("DP_1","003N8EMH8GTFRCSWKMPXRRL3Y","GSON1112030345")</f>
        <v>#NAME?</v>
      </c>
      <c r="F192" s="4" t="e">
        <f ca="1">[1]!BexGetData("DP_1","003N8EMH8GTFRCSWKMPXRRRFI","GSON1112030345")</f>
        <v>#NAME?</v>
      </c>
      <c r="G192" s="4" t="e">
        <f ca="1">[1]!BexGetData("DP_1","003N8EMH8GTFRCSWKMPXRRXR2","GSON1112030345")</f>
        <v>#NAME?</v>
      </c>
      <c r="H192" s="4" t="e">
        <f ca="1">[1]!BexGetData("DP_1","003N8EMH8GTFRCSWKMPXRS42M","GSON1112030345")</f>
        <v>#NAME?</v>
      </c>
      <c r="I192" s="4" t="e">
        <f ca="1">[1]!BexGetData("DP_1","003N8EMH8GTFRCSWKMPXRSAE6","GSON1112030345")</f>
        <v>#NAME?</v>
      </c>
      <c r="J192" s="4" t="e">
        <f ca="1">[1]!BexGetData("DP_1","003N8EMH8GTFRCSWKMPXRSGPQ","GSON1112030345")</f>
        <v>#NAME?</v>
      </c>
      <c r="K192" s="8" t="e">
        <f ca="1">[1]!BexGetData("DP_1","003N8EMH8GTFRIVNUPY288VJH","GSON1112030345")</f>
        <v>#NAME?</v>
      </c>
      <c r="L192" s="8" t="e">
        <f ca="1">[1]!BexGetData("DP_1","003N8EMH8GTFRIVNUPY2891V1","GSON1112030345")</f>
        <v>#NAME?</v>
      </c>
      <c r="M192" s="8" t="e">
        <f ca="1">[1]!BexGetData("DP_1","003N8EMH8GTFRIVOG7KG9IQXA","GSON1112030345")</f>
        <v>#NAME?</v>
      </c>
      <c r="N192" s="8" t="e">
        <f ca="1">[1]!BexGetData("DP_1","003N8EMH8GTFRIVOG7KG9IX8U","GSON1112030345")</f>
        <v>#NAME?</v>
      </c>
      <c r="O192" s="8" t="e">
        <f ca="1">[1]!BexGetData("DP_1","003N8EMH8GTFRIVOG7KG9J3KE","GSON1112030345")</f>
        <v>#NAME?</v>
      </c>
      <c r="P192" s="8" t="e">
        <f ca="1">[1]!BexGetData("DP_1","003N8EMH8GTFRIVOG7KG9J9VY","GSON1112030345")</f>
        <v>#NAME?</v>
      </c>
      <c r="Q192" s="4" t="e">
        <f ca="1">[1]!BexGetData("DP_1","00O2TNJGODT0G5Z4TTKYMM5MT","GSON1112030345")</f>
        <v>#NAME?</v>
      </c>
      <c r="R192" s="4" t="e">
        <f ca="1">[1]!BexGetData("DP_1","00O2TNJGODT0G5Z4TTKYMMBYD","GSON1112030345")</f>
        <v>#NAME?</v>
      </c>
      <c r="S192" s="4" t="e">
        <f ca="1">[1]!BexGetData("DP_1","00O2TNJGODT0G5Z4TTKYMMI9X","GSON1112030345")</f>
        <v>#NAME?</v>
      </c>
      <c r="T192" s="4" t="e">
        <f ca="1">[1]!BexGetData("DP_1","00O2TNJGODT0G5Z4TTKYMMOLH","GSON1112030345")</f>
        <v>#NAME?</v>
      </c>
      <c r="U192" s="4" t="e">
        <f ca="1">[1]!BexGetData("DP_1","00O2TNJGODT0G5Z4TTKYMMUX1","GSON1112030345")</f>
        <v>#NAME?</v>
      </c>
      <c r="V192" s="4" t="e">
        <f ca="1">[1]!BexGetData("DP_1","00O2TNJGODT0G5Z4TTKYMN18L","GSON1112030345")</f>
        <v>#NAME?</v>
      </c>
      <c r="W192" s="4" t="e">
        <f ca="1">[1]!BexGetData("DP_1","00O2TNJGODT0G5Z4TTKYMN7K5","GSON1112030345")</f>
        <v>#NAME?</v>
      </c>
    </row>
    <row r="193" spans="1:23" x14ac:dyDescent="0.2">
      <c r="A193" s="16" t="s">
        <v>2000</v>
      </c>
      <c r="B193" s="7" t="s">
        <v>789</v>
      </c>
      <c r="C193" s="3" t="e">
        <f ca="1">[1]!BexGetData("DP_1","003N8EMH8GTFRCSWKMPXRR8GU","GSON1112030350")</f>
        <v>#NAME?</v>
      </c>
      <c r="D193" s="3" t="e">
        <f ca="1">[1]!BexGetData("DP_1","003N8EMH8GTFRCSWKMPXRRESE","GSON1112030350")</f>
        <v>#NAME?</v>
      </c>
      <c r="E193" s="8" t="e">
        <f ca="1">[1]!BexGetData("DP_1","003N8EMH8GTFRCSWKMPXRRL3Y","GSON1112030350")</f>
        <v>#NAME?</v>
      </c>
      <c r="F193" s="3" t="e">
        <f ca="1">[1]!BexGetData("DP_1","003N8EMH8GTFRCSWKMPXRRRFI","GSON1112030350")</f>
        <v>#NAME?</v>
      </c>
      <c r="G193" s="3" t="e">
        <f ca="1">[1]!BexGetData("DP_1","003N8EMH8GTFRCSWKMPXRRXR2","GSON1112030350")</f>
        <v>#NAME?</v>
      </c>
      <c r="H193" s="8" t="e">
        <f ca="1">[1]!BexGetData("DP_1","003N8EMH8GTFRCSWKMPXRS42M","GSON1112030350")</f>
        <v>#NAME?</v>
      </c>
      <c r="I193" s="3" t="e">
        <f ca="1">[1]!BexGetData("DP_1","003N8EMH8GTFRCSWKMPXRSAE6","GSON1112030350")</f>
        <v>#NAME?</v>
      </c>
      <c r="J193" s="4" t="e">
        <f ca="1">[1]!BexGetData("DP_1","003N8EMH8GTFRCSWKMPXRSGPQ","GSON1112030350")</f>
        <v>#NAME?</v>
      </c>
      <c r="K193" s="3" t="e">
        <f ca="1">[1]!BexGetData("DP_1","003N8EMH8GTFRIVNUPY288VJH","GSON1112030350")</f>
        <v>#NAME?</v>
      </c>
      <c r="L193" s="3" t="e">
        <f ca="1">[1]!BexGetData("DP_1","003N8EMH8GTFRIVNUPY2891V1","GSON1112030350")</f>
        <v>#NAME?</v>
      </c>
      <c r="M193" s="3" t="e">
        <f ca="1">[1]!BexGetData("DP_1","003N8EMH8GTFRIVOG7KG9IQXA","GSON1112030350")</f>
        <v>#NAME?</v>
      </c>
      <c r="N193" s="8" t="e">
        <f ca="1">[1]!BexGetData("DP_1","003N8EMH8GTFRIVOG7KG9IX8U","GSON1112030350")</f>
        <v>#NAME?</v>
      </c>
      <c r="O193" s="3" t="e">
        <f ca="1">[1]!BexGetData("DP_1","003N8EMH8GTFRIVOG7KG9J3KE","GSON1112030350")</f>
        <v>#NAME?</v>
      </c>
      <c r="P193" s="8" t="e">
        <f ca="1">[1]!BexGetData("DP_1","003N8EMH8GTFRIVOG7KG9J9VY","GSON1112030350")</f>
        <v>#NAME?</v>
      </c>
      <c r="Q193" s="4" t="e">
        <f ca="1">[1]!BexGetData("DP_1","00O2TNJGODT0G5Z4TTKYMM5MT","GSON1112030350")</f>
        <v>#NAME?</v>
      </c>
      <c r="R193" s="3" t="e">
        <f ca="1">[1]!BexGetData("DP_1","00O2TNJGODT0G5Z4TTKYMMBYD","GSON1112030350")</f>
        <v>#NAME?</v>
      </c>
      <c r="S193" s="3" t="e">
        <f ca="1">[1]!BexGetData("DP_1","00O2TNJGODT0G5Z4TTKYMMI9X","GSON1112030350")</f>
        <v>#NAME?</v>
      </c>
      <c r="T193" s="8" t="e">
        <f ca="1">[1]!BexGetData("DP_1","00O2TNJGODT0G5Z4TTKYMMOLH","GSON1112030350")</f>
        <v>#NAME?</v>
      </c>
      <c r="U193" s="3" t="e">
        <f ca="1">[1]!BexGetData("DP_1","00O2TNJGODT0G5Z4TTKYMMUX1","GSON1112030350")</f>
        <v>#NAME?</v>
      </c>
      <c r="V193" s="8" t="e">
        <f ca="1">[1]!BexGetData("DP_1","00O2TNJGODT0G5Z4TTKYMN18L","GSON1112030350")</f>
        <v>#NAME?</v>
      </c>
      <c r="W193" s="3" t="e">
        <f ca="1">[1]!BexGetData("DP_1","00O2TNJGODT0G5Z4TTKYMN7K5","GSON1112030350")</f>
        <v>#NAME?</v>
      </c>
    </row>
    <row r="194" spans="1:23" x14ac:dyDescent="0.2">
      <c r="A194" s="16" t="s">
        <v>2001</v>
      </c>
      <c r="B194" s="7" t="s">
        <v>790</v>
      </c>
      <c r="C194" s="3" t="e">
        <f ca="1">[1]!BexGetData("DP_1","003N8EMH8GTFRCSWKMPXRR8GU","GSON1112030351")</f>
        <v>#NAME?</v>
      </c>
      <c r="D194" s="3" t="e">
        <f ca="1">[1]!BexGetData("DP_1","003N8EMH8GTFRCSWKMPXRRESE","GSON1112030351")</f>
        <v>#NAME?</v>
      </c>
      <c r="E194" s="8" t="e">
        <f ca="1">[1]!BexGetData("DP_1","003N8EMH8GTFRCSWKMPXRRL3Y","GSON1112030351")</f>
        <v>#NAME?</v>
      </c>
      <c r="F194" s="4" t="e">
        <f ca="1">[1]!BexGetData("DP_1","003N8EMH8GTFRCSWKMPXRRRFI","GSON1112030351")</f>
        <v>#NAME?</v>
      </c>
      <c r="G194" s="4" t="e">
        <f ca="1">[1]!BexGetData("DP_1","003N8EMH8GTFRCSWKMPXRRXR2","GSON1112030351")</f>
        <v>#NAME?</v>
      </c>
      <c r="H194" s="4" t="e">
        <f ca="1">[1]!BexGetData("DP_1","003N8EMH8GTFRCSWKMPXRS42M","GSON1112030351")</f>
        <v>#NAME?</v>
      </c>
      <c r="I194" s="4" t="e">
        <f ca="1">[1]!BexGetData("DP_1","003N8EMH8GTFRCSWKMPXRSAE6","GSON1112030351")</f>
        <v>#NAME?</v>
      </c>
      <c r="J194" s="4" t="e">
        <f ca="1">[1]!BexGetData("DP_1","003N8EMH8GTFRCSWKMPXRSGPQ","GSON1112030351")</f>
        <v>#NAME?</v>
      </c>
      <c r="K194" s="8" t="e">
        <f ca="1">[1]!BexGetData("DP_1","003N8EMH8GTFRIVNUPY288VJH","GSON1112030351")</f>
        <v>#NAME?</v>
      </c>
      <c r="L194" s="8" t="e">
        <f ca="1">[1]!BexGetData("DP_1","003N8EMH8GTFRIVNUPY2891V1","GSON1112030351")</f>
        <v>#NAME?</v>
      </c>
      <c r="M194" s="8" t="e">
        <f ca="1">[1]!BexGetData("DP_1","003N8EMH8GTFRIVOG7KG9IQXA","GSON1112030351")</f>
        <v>#NAME?</v>
      </c>
      <c r="N194" s="8" t="e">
        <f ca="1">[1]!BexGetData("DP_1","003N8EMH8GTFRIVOG7KG9IX8U","GSON1112030351")</f>
        <v>#NAME?</v>
      </c>
      <c r="O194" s="8" t="e">
        <f ca="1">[1]!BexGetData("DP_1","003N8EMH8GTFRIVOG7KG9J3KE","GSON1112030351")</f>
        <v>#NAME?</v>
      </c>
      <c r="P194" s="8" t="e">
        <f ca="1">[1]!BexGetData("DP_1","003N8EMH8GTFRIVOG7KG9J9VY","GSON1112030351")</f>
        <v>#NAME?</v>
      </c>
      <c r="Q194" s="4" t="e">
        <f ca="1">[1]!BexGetData("DP_1","00O2TNJGODT0G5Z4TTKYMM5MT","GSON1112030351")</f>
        <v>#NAME?</v>
      </c>
      <c r="R194" s="4" t="e">
        <f ca="1">[1]!BexGetData("DP_1","00O2TNJGODT0G5Z4TTKYMMBYD","GSON1112030351")</f>
        <v>#NAME?</v>
      </c>
      <c r="S194" s="4" t="e">
        <f ca="1">[1]!BexGetData("DP_1","00O2TNJGODT0G5Z4TTKYMMI9X","GSON1112030351")</f>
        <v>#NAME?</v>
      </c>
      <c r="T194" s="4" t="e">
        <f ca="1">[1]!BexGetData("DP_1","00O2TNJGODT0G5Z4TTKYMMOLH","GSON1112030351")</f>
        <v>#NAME?</v>
      </c>
      <c r="U194" s="4" t="e">
        <f ca="1">[1]!BexGetData("DP_1","00O2TNJGODT0G5Z4TTKYMMUX1","GSON1112030351")</f>
        <v>#NAME?</v>
      </c>
      <c r="V194" s="4" t="e">
        <f ca="1">[1]!BexGetData("DP_1","00O2TNJGODT0G5Z4TTKYMN18L","GSON1112030351")</f>
        <v>#NAME?</v>
      </c>
      <c r="W194" s="4" t="e">
        <f ca="1">[1]!BexGetData("DP_1","00O2TNJGODT0G5Z4TTKYMN7K5","GSON1112030351")</f>
        <v>#NAME?</v>
      </c>
    </row>
    <row r="195" spans="1:23" x14ac:dyDescent="0.2">
      <c r="A195" s="16" t="s">
        <v>2002</v>
      </c>
      <c r="B195" s="7" t="s">
        <v>2003</v>
      </c>
      <c r="C195" s="3" t="e">
        <f ca="1">[1]!BexGetData("DP_1","003N8EMH8GTFRCSWKMPXRR8GU","GSON1112030353")</f>
        <v>#NAME?</v>
      </c>
      <c r="D195" s="3" t="e">
        <f ca="1">[1]!BexGetData("DP_1","003N8EMH8GTFRCSWKMPXRRESE","GSON1112030353")</f>
        <v>#NAME?</v>
      </c>
      <c r="E195" s="8" t="e">
        <f ca="1">[1]!BexGetData("DP_1","003N8EMH8GTFRCSWKMPXRRL3Y","GSON1112030353")</f>
        <v>#NAME?</v>
      </c>
      <c r="F195" s="4" t="e">
        <f ca="1">[1]!BexGetData("DP_1","003N8EMH8GTFRCSWKMPXRRRFI","GSON1112030353")</f>
        <v>#NAME?</v>
      </c>
      <c r="G195" s="4" t="e">
        <f ca="1">[1]!BexGetData("DP_1","003N8EMH8GTFRCSWKMPXRRXR2","GSON1112030353")</f>
        <v>#NAME?</v>
      </c>
      <c r="H195" s="4" t="e">
        <f ca="1">[1]!BexGetData("DP_1","003N8EMH8GTFRCSWKMPXRS42M","GSON1112030353")</f>
        <v>#NAME?</v>
      </c>
      <c r="I195" s="4" t="e">
        <f ca="1">[1]!BexGetData("DP_1","003N8EMH8GTFRCSWKMPXRSAE6","GSON1112030353")</f>
        <v>#NAME?</v>
      </c>
      <c r="J195" s="4" t="e">
        <f ca="1">[1]!BexGetData("DP_1","003N8EMH8GTFRCSWKMPXRSGPQ","GSON1112030353")</f>
        <v>#NAME?</v>
      </c>
      <c r="K195" s="8" t="e">
        <f ca="1">[1]!BexGetData("DP_1","003N8EMH8GTFRIVNUPY288VJH","GSON1112030353")</f>
        <v>#NAME?</v>
      </c>
      <c r="L195" s="8" t="e">
        <f ca="1">[1]!BexGetData("DP_1","003N8EMH8GTFRIVNUPY2891V1","GSON1112030353")</f>
        <v>#NAME?</v>
      </c>
      <c r="M195" s="8" t="e">
        <f ca="1">[1]!BexGetData("DP_1","003N8EMH8GTFRIVOG7KG9IQXA","GSON1112030353")</f>
        <v>#NAME?</v>
      </c>
      <c r="N195" s="8" t="e">
        <f ca="1">[1]!BexGetData("DP_1","003N8EMH8GTFRIVOG7KG9IX8U","GSON1112030353")</f>
        <v>#NAME?</v>
      </c>
      <c r="O195" s="8" t="e">
        <f ca="1">[1]!BexGetData("DP_1","003N8EMH8GTFRIVOG7KG9J3KE","GSON1112030353")</f>
        <v>#NAME?</v>
      </c>
      <c r="P195" s="8" t="e">
        <f ca="1">[1]!BexGetData("DP_1","003N8EMH8GTFRIVOG7KG9J9VY","GSON1112030353")</f>
        <v>#NAME?</v>
      </c>
      <c r="Q195" s="4" t="e">
        <f ca="1">[1]!BexGetData("DP_1","00O2TNJGODT0G5Z4TTKYMM5MT","GSON1112030353")</f>
        <v>#NAME?</v>
      </c>
      <c r="R195" s="4" t="e">
        <f ca="1">[1]!BexGetData("DP_1","00O2TNJGODT0G5Z4TTKYMMBYD","GSON1112030353")</f>
        <v>#NAME?</v>
      </c>
      <c r="S195" s="4" t="e">
        <f ca="1">[1]!BexGetData("DP_1","00O2TNJGODT0G5Z4TTKYMMI9X","GSON1112030353")</f>
        <v>#NAME?</v>
      </c>
      <c r="T195" s="4" t="e">
        <f ca="1">[1]!BexGetData("DP_1","00O2TNJGODT0G5Z4TTKYMMOLH","GSON1112030353")</f>
        <v>#NAME?</v>
      </c>
      <c r="U195" s="4" t="e">
        <f ca="1">[1]!BexGetData("DP_1","00O2TNJGODT0G5Z4TTKYMMUX1","GSON1112030353")</f>
        <v>#NAME?</v>
      </c>
      <c r="V195" s="4" t="e">
        <f ca="1">[1]!BexGetData("DP_1","00O2TNJGODT0G5Z4TTKYMN18L","GSON1112030353")</f>
        <v>#NAME?</v>
      </c>
      <c r="W195" s="4" t="e">
        <f ca="1">[1]!BexGetData("DP_1","00O2TNJGODT0G5Z4TTKYMN7K5","GSON1112030353")</f>
        <v>#NAME?</v>
      </c>
    </row>
    <row r="196" spans="1:23" x14ac:dyDescent="0.2">
      <c r="A196" s="16" t="s">
        <v>2004</v>
      </c>
      <c r="B196" s="7" t="s">
        <v>2005</v>
      </c>
      <c r="C196" s="3" t="e">
        <f ca="1">[1]!BexGetData("DP_1","003N8EMH8GTFRCSWKMPXRR8GU","GSON1112030355")</f>
        <v>#NAME?</v>
      </c>
      <c r="D196" s="3" t="e">
        <f ca="1">[1]!BexGetData("DP_1","003N8EMH8GTFRCSWKMPXRRESE","GSON1112030355")</f>
        <v>#NAME?</v>
      </c>
      <c r="E196" s="8" t="e">
        <f ca="1">[1]!BexGetData("DP_1","003N8EMH8GTFRCSWKMPXRRL3Y","GSON1112030355")</f>
        <v>#NAME?</v>
      </c>
      <c r="F196" s="4" t="e">
        <f ca="1">[1]!BexGetData("DP_1","003N8EMH8GTFRCSWKMPXRRRFI","GSON1112030355")</f>
        <v>#NAME?</v>
      </c>
      <c r="G196" s="4" t="e">
        <f ca="1">[1]!BexGetData("DP_1","003N8EMH8GTFRCSWKMPXRRXR2","GSON1112030355")</f>
        <v>#NAME?</v>
      </c>
      <c r="H196" s="4" t="e">
        <f ca="1">[1]!BexGetData("DP_1","003N8EMH8GTFRCSWKMPXRS42M","GSON1112030355")</f>
        <v>#NAME?</v>
      </c>
      <c r="I196" s="4" t="e">
        <f ca="1">[1]!BexGetData("DP_1","003N8EMH8GTFRCSWKMPXRSAE6","GSON1112030355")</f>
        <v>#NAME?</v>
      </c>
      <c r="J196" s="4" t="e">
        <f ca="1">[1]!BexGetData("DP_1","003N8EMH8GTFRCSWKMPXRSGPQ","GSON1112030355")</f>
        <v>#NAME?</v>
      </c>
      <c r="K196" s="8" t="e">
        <f ca="1">[1]!BexGetData("DP_1","003N8EMH8GTFRIVNUPY288VJH","GSON1112030355")</f>
        <v>#NAME?</v>
      </c>
      <c r="L196" s="8" t="e">
        <f ca="1">[1]!BexGetData("DP_1","003N8EMH8GTFRIVNUPY2891V1","GSON1112030355")</f>
        <v>#NAME?</v>
      </c>
      <c r="M196" s="8" t="e">
        <f ca="1">[1]!BexGetData("DP_1","003N8EMH8GTFRIVOG7KG9IQXA","GSON1112030355")</f>
        <v>#NAME?</v>
      </c>
      <c r="N196" s="8" t="e">
        <f ca="1">[1]!BexGetData("DP_1","003N8EMH8GTFRIVOG7KG9IX8U","GSON1112030355")</f>
        <v>#NAME?</v>
      </c>
      <c r="O196" s="8" t="e">
        <f ca="1">[1]!BexGetData("DP_1","003N8EMH8GTFRIVOG7KG9J3KE","GSON1112030355")</f>
        <v>#NAME?</v>
      </c>
      <c r="P196" s="8" t="e">
        <f ca="1">[1]!BexGetData("DP_1","003N8EMH8GTFRIVOG7KG9J9VY","GSON1112030355")</f>
        <v>#NAME?</v>
      </c>
      <c r="Q196" s="4" t="e">
        <f ca="1">[1]!BexGetData("DP_1","00O2TNJGODT0G5Z4TTKYMM5MT","GSON1112030355")</f>
        <v>#NAME?</v>
      </c>
      <c r="R196" s="4" t="e">
        <f ca="1">[1]!BexGetData("DP_1","00O2TNJGODT0G5Z4TTKYMMBYD","GSON1112030355")</f>
        <v>#NAME?</v>
      </c>
      <c r="S196" s="4" t="e">
        <f ca="1">[1]!BexGetData("DP_1","00O2TNJGODT0G5Z4TTKYMMI9X","GSON1112030355")</f>
        <v>#NAME?</v>
      </c>
      <c r="T196" s="4" t="e">
        <f ca="1">[1]!BexGetData("DP_1","00O2TNJGODT0G5Z4TTKYMMOLH","GSON1112030355")</f>
        <v>#NAME?</v>
      </c>
      <c r="U196" s="4" t="e">
        <f ca="1">[1]!BexGetData("DP_1","00O2TNJGODT0G5Z4TTKYMMUX1","GSON1112030355")</f>
        <v>#NAME?</v>
      </c>
      <c r="V196" s="4" t="e">
        <f ca="1">[1]!BexGetData("DP_1","00O2TNJGODT0G5Z4TTKYMN18L","GSON1112030355")</f>
        <v>#NAME?</v>
      </c>
      <c r="W196" s="4" t="e">
        <f ca="1">[1]!BexGetData("DP_1","00O2TNJGODT0G5Z4TTKYMN7K5","GSON1112030355")</f>
        <v>#NAME?</v>
      </c>
    </row>
    <row r="197" spans="1:23" x14ac:dyDescent="0.2">
      <c r="A197" s="16" t="s">
        <v>2006</v>
      </c>
      <c r="B197" s="7" t="s">
        <v>2007</v>
      </c>
      <c r="C197" s="8" t="e">
        <f ca="1">[1]!BexGetData("DP_1","003N8EMH8GTFRCSWKMPXRR8GU","GSON1112030360")</f>
        <v>#NAME?</v>
      </c>
      <c r="D197" s="8" t="e">
        <f ca="1">[1]!BexGetData("DP_1","003N8EMH8GTFRCSWKMPXRRESE","GSON1112030360")</f>
        <v>#NAME?</v>
      </c>
      <c r="E197" s="3" t="e">
        <f ca="1">[1]!BexGetData("DP_1","003N8EMH8GTFRCSWKMPXRRL3Y","GSON1112030360")</f>
        <v>#NAME?</v>
      </c>
      <c r="F197" s="3" t="e">
        <f ca="1">[1]!BexGetData("DP_1","003N8EMH8GTFRCSWKMPXRRRFI","GSON1112030360")</f>
        <v>#NAME?</v>
      </c>
      <c r="G197" s="3" t="e">
        <f ca="1">[1]!BexGetData("DP_1","003N8EMH8GTFRCSWKMPXRRXR2","GSON1112030360")</f>
        <v>#NAME?</v>
      </c>
      <c r="H197" s="8" t="e">
        <f ca="1">[1]!BexGetData("DP_1","003N8EMH8GTFRCSWKMPXRS42M","GSON1112030360")</f>
        <v>#NAME?</v>
      </c>
      <c r="I197" s="3" t="e">
        <f ca="1">[1]!BexGetData("DP_1","003N8EMH8GTFRCSWKMPXRSAE6","GSON1112030360")</f>
        <v>#NAME?</v>
      </c>
      <c r="J197" s="4" t="e">
        <f ca="1">[1]!BexGetData("DP_1","003N8EMH8GTFRCSWKMPXRSGPQ","GSON1112030360")</f>
        <v>#NAME?</v>
      </c>
      <c r="K197" s="8" t="e">
        <f ca="1">[1]!BexGetData("DP_1","003N8EMH8GTFRIVNUPY288VJH","GSON1112030360")</f>
        <v>#NAME?</v>
      </c>
      <c r="L197" s="8" t="e">
        <f ca="1">[1]!BexGetData("DP_1","003N8EMH8GTFRIVNUPY2891V1","GSON1112030360")</f>
        <v>#NAME?</v>
      </c>
      <c r="M197" s="8" t="e">
        <f ca="1">[1]!BexGetData("DP_1","003N8EMH8GTFRIVOG7KG9IQXA","GSON1112030360")</f>
        <v>#NAME?</v>
      </c>
      <c r="N197" s="8" t="e">
        <f ca="1">[1]!BexGetData("DP_1","003N8EMH8GTFRIVOG7KG9IX8U","GSON1112030360")</f>
        <v>#NAME?</v>
      </c>
      <c r="O197" s="8" t="e">
        <f ca="1">[1]!BexGetData("DP_1","003N8EMH8GTFRIVOG7KG9J3KE","GSON1112030360")</f>
        <v>#NAME?</v>
      </c>
      <c r="P197" s="8" t="e">
        <f ca="1">[1]!BexGetData("DP_1","003N8EMH8GTFRIVOG7KG9J9VY","GSON1112030360")</f>
        <v>#NAME?</v>
      </c>
      <c r="Q197" s="4" t="e">
        <f ca="1">[1]!BexGetData("DP_1","00O2TNJGODT0G5Z4TTKYMM5MT","GSON1112030360")</f>
        <v>#NAME?</v>
      </c>
      <c r="R197" s="3" t="e">
        <f ca="1">[1]!BexGetData("DP_1","00O2TNJGODT0G5Z4TTKYMMBYD","GSON1112030360")</f>
        <v>#NAME?</v>
      </c>
      <c r="S197" s="3" t="e">
        <f ca="1">[1]!BexGetData("DP_1","00O2TNJGODT0G5Z4TTKYMMI9X","GSON1112030360")</f>
        <v>#NAME?</v>
      </c>
      <c r="T197" s="8" t="e">
        <f ca="1">[1]!BexGetData("DP_1","00O2TNJGODT0G5Z4TTKYMMOLH","GSON1112030360")</f>
        <v>#NAME?</v>
      </c>
      <c r="U197" s="3" t="e">
        <f ca="1">[1]!BexGetData("DP_1","00O2TNJGODT0G5Z4TTKYMMUX1","GSON1112030360")</f>
        <v>#NAME?</v>
      </c>
      <c r="V197" s="8" t="e">
        <f ca="1">[1]!BexGetData("DP_1","00O2TNJGODT0G5Z4TTKYMN18L","GSON1112030360")</f>
        <v>#NAME?</v>
      </c>
      <c r="W197" s="3" t="e">
        <f ca="1">[1]!BexGetData("DP_1","00O2TNJGODT0G5Z4TTKYMN7K5","GSON1112030360")</f>
        <v>#NAME?</v>
      </c>
    </row>
    <row r="198" spans="1:23" x14ac:dyDescent="0.2">
      <c r="A198" s="16" t="s">
        <v>2008</v>
      </c>
      <c r="B198" s="7" t="s">
        <v>2009</v>
      </c>
      <c r="C198" s="3" t="e">
        <f ca="1">[1]!BexGetData("DP_1","003N8EMH8GTFRCSWKMPXRR8GU","GSON1112030365")</f>
        <v>#NAME?</v>
      </c>
      <c r="D198" s="3" t="e">
        <f ca="1">[1]!BexGetData("DP_1","003N8EMH8GTFRCSWKMPXRRESE","GSON1112030365")</f>
        <v>#NAME?</v>
      </c>
      <c r="E198" s="8" t="e">
        <f ca="1">[1]!BexGetData("DP_1","003N8EMH8GTFRCSWKMPXRRL3Y","GSON1112030365")</f>
        <v>#NAME?</v>
      </c>
      <c r="F198" s="4" t="e">
        <f ca="1">[1]!BexGetData("DP_1","003N8EMH8GTFRCSWKMPXRRRFI","GSON1112030365")</f>
        <v>#NAME?</v>
      </c>
      <c r="G198" s="4" t="e">
        <f ca="1">[1]!BexGetData("DP_1","003N8EMH8GTFRCSWKMPXRRXR2","GSON1112030365")</f>
        <v>#NAME?</v>
      </c>
      <c r="H198" s="4" t="e">
        <f ca="1">[1]!BexGetData("DP_1","003N8EMH8GTFRCSWKMPXRS42M","GSON1112030365")</f>
        <v>#NAME?</v>
      </c>
      <c r="I198" s="4" t="e">
        <f ca="1">[1]!BexGetData("DP_1","003N8EMH8GTFRCSWKMPXRSAE6","GSON1112030365")</f>
        <v>#NAME?</v>
      </c>
      <c r="J198" s="4" t="e">
        <f ca="1">[1]!BexGetData("DP_1","003N8EMH8GTFRCSWKMPXRSGPQ","GSON1112030365")</f>
        <v>#NAME?</v>
      </c>
      <c r="K198" s="8" t="e">
        <f ca="1">[1]!BexGetData("DP_1","003N8EMH8GTFRIVNUPY288VJH","GSON1112030365")</f>
        <v>#NAME?</v>
      </c>
      <c r="L198" s="8" t="e">
        <f ca="1">[1]!BexGetData("DP_1","003N8EMH8GTFRIVNUPY2891V1","GSON1112030365")</f>
        <v>#NAME?</v>
      </c>
      <c r="M198" s="8" t="e">
        <f ca="1">[1]!BexGetData("DP_1","003N8EMH8GTFRIVOG7KG9IQXA","GSON1112030365")</f>
        <v>#NAME?</v>
      </c>
      <c r="N198" s="8" t="e">
        <f ca="1">[1]!BexGetData("DP_1","003N8EMH8GTFRIVOG7KG9IX8U","GSON1112030365")</f>
        <v>#NAME?</v>
      </c>
      <c r="O198" s="8" t="e">
        <f ca="1">[1]!BexGetData("DP_1","003N8EMH8GTFRIVOG7KG9J3KE","GSON1112030365")</f>
        <v>#NAME?</v>
      </c>
      <c r="P198" s="8" t="e">
        <f ca="1">[1]!BexGetData("DP_1","003N8EMH8GTFRIVOG7KG9J9VY","GSON1112030365")</f>
        <v>#NAME?</v>
      </c>
      <c r="Q198" s="4" t="e">
        <f ca="1">[1]!BexGetData("DP_1","00O2TNJGODT0G5Z4TTKYMM5MT","GSON1112030365")</f>
        <v>#NAME?</v>
      </c>
      <c r="R198" s="4" t="e">
        <f ca="1">[1]!BexGetData("DP_1","00O2TNJGODT0G5Z4TTKYMMBYD","GSON1112030365")</f>
        <v>#NAME?</v>
      </c>
      <c r="S198" s="4" t="e">
        <f ca="1">[1]!BexGetData("DP_1","00O2TNJGODT0G5Z4TTKYMMI9X","GSON1112030365")</f>
        <v>#NAME?</v>
      </c>
      <c r="T198" s="4" t="e">
        <f ca="1">[1]!BexGetData("DP_1","00O2TNJGODT0G5Z4TTKYMMOLH","GSON1112030365")</f>
        <v>#NAME?</v>
      </c>
      <c r="U198" s="4" t="e">
        <f ca="1">[1]!BexGetData("DP_1","00O2TNJGODT0G5Z4TTKYMMUX1","GSON1112030365")</f>
        <v>#NAME?</v>
      </c>
      <c r="V198" s="4" t="e">
        <f ca="1">[1]!BexGetData("DP_1","00O2TNJGODT0G5Z4TTKYMN18L","GSON1112030365")</f>
        <v>#NAME?</v>
      </c>
      <c r="W198" s="4" t="e">
        <f ca="1">[1]!BexGetData("DP_1","00O2TNJGODT0G5Z4TTKYMN7K5","GSON1112030365")</f>
        <v>#NAME?</v>
      </c>
    </row>
    <row r="199" spans="1:23" x14ac:dyDescent="0.2">
      <c r="A199" s="16" t="s">
        <v>2010</v>
      </c>
      <c r="B199" s="7" t="s">
        <v>791</v>
      </c>
      <c r="C199" s="3" t="e">
        <f ca="1">[1]!BexGetData("DP_1","003N8EMH8GTFRCSWKMPXRR8GU","GSON1112030370")</f>
        <v>#NAME?</v>
      </c>
      <c r="D199" s="3" t="e">
        <f ca="1">[1]!BexGetData("DP_1","003N8EMH8GTFRCSWKMPXRRESE","GSON1112030370")</f>
        <v>#NAME?</v>
      </c>
      <c r="E199" s="3" t="e">
        <f ca="1">[1]!BexGetData("DP_1","003N8EMH8GTFRCSWKMPXRRL3Y","GSON1112030370")</f>
        <v>#NAME?</v>
      </c>
      <c r="F199" s="3" t="e">
        <f ca="1">[1]!BexGetData("DP_1","003N8EMH8GTFRCSWKMPXRRRFI","GSON1112030370")</f>
        <v>#NAME?</v>
      </c>
      <c r="G199" s="3" t="e">
        <f ca="1">[1]!BexGetData("DP_1","003N8EMH8GTFRCSWKMPXRRXR2","GSON1112030370")</f>
        <v>#NAME?</v>
      </c>
      <c r="H199" s="8" t="e">
        <f ca="1">[1]!BexGetData("DP_1","003N8EMH8GTFRCSWKMPXRS42M","GSON1112030370")</f>
        <v>#NAME?</v>
      </c>
      <c r="I199" s="3" t="e">
        <f ca="1">[1]!BexGetData("DP_1","003N8EMH8GTFRCSWKMPXRSAE6","GSON1112030370")</f>
        <v>#NAME?</v>
      </c>
      <c r="J199" s="4" t="e">
        <f ca="1">[1]!BexGetData("DP_1","003N8EMH8GTFRCSWKMPXRSGPQ","GSON1112030370")</f>
        <v>#NAME?</v>
      </c>
      <c r="K199" s="3" t="e">
        <f ca="1">[1]!BexGetData("DP_1","003N8EMH8GTFRIVNUPY288VJH","GSON1112030370")</f>
        <v>#NAME?</v>
      </c>
      <c r="L199" s="3" t="e">
        <f ca="1">[1]!BexGetData("DP_1","003N8EMH8GTFRIVNUPY2891V1","GSON1112030370")</f>
        <v>#NAME?</v>
      </c>
      <c r="M199" s="3" t="e">
        <f ca="1">[1]!BexGetData("DP_1","003N8EMH8GTFRIVOG7KG9IQXA","GSON1112030370")</f>
        <v>#NAME?</v>
      </c>
      <c r="N199" s="8" t="e">
        <f ca="1">[1]!BexGetData("DP_1","003N8EMH8GTFRIVOG7KG9IX8U","GSON1112030370")</f>
        <v>#NAME?</v>
      </c>
      <c r="O199" s="3" t="e">
        <f ca="1">[1]!BexGetData("DP_1","003N8EMH8GTFRIVOG7KG9J3KE","GSON1112030370")</f>
        <v>#NAME?</v>
      </c>
      <c r="P199" s="8" t="e">
        <f ca="1">[1]!BexGetData("DP_1","003N8EMH8GTFRIVOG7KG9J9VY","GSON1112030370")</f>
        <v>#NAME?</v>
      </c>
      <c r="Q199" s="4" t="e">
        <f ca="1">[1]!BexGetData("DP_1","00O2TNJGODT0G5Z4TTKYMM5MT","GSON1112030370")</f>
        <v>#NAME?</v>
      </c>
      <c r="R199" s="3" t="e">
        <f ca="1">[1]!BexGetData("DP_1","00O2TNJGODT0G5Z4TTKYMMBYD","GSON1112030370")</f>
        <v>#NAME?</v>
      </c>
      <c r="S199" s="3" t="e">
        <f ca="1">[1]!BexGetData("DP_1","00O2TNJGODT0G5Z4TTKYMMI9X","GSON1112030370")</f>
        <v>#NAME?</v>
      </c>
      <c r="T199" s="8" t="e">
        <f ca="1">[1]!BexGetData("DP_1","00O2TNJGODT0G5Z4TTKYMMOLH","GSON1112030370")</f>
        <v>#NAME?</v>
      </c>
      <c r="U199" s="3" t="e">
        <f ca="1">[1]!BexGetData("DP_1","00O2TNJGODT0G5Z4TTKYMMUX1","GSON1112030370")</f>
        <v>#NAME?</v>
      </c>
      <c r="V199" s="8" t="e">
        <f ca="1">[1]!BexGetData("DP_1","00O2TNJGODT0G5Z4TTKYMN18L","GSON1112030370")</f>
        <v>#NAME?</v>
      </c>
      <c r="W199" s="3" t="e">
        <f ca="1">[1]!BexGetData("DP_1","00O2TNJGODT0G5Z4TTKYMN7K5","GSON1112030370")</f>
        <v>#NAME?</v>
      </c>
    </row>
    <row r="200" spans="1:23" x14ac:dyDescent="0.2">
      <c r="A200" s="16" t="s">
        <v>2011</v>
      </c>
      <c r="B200" s="7" t="s">
        <v>792</v>
      </c>
      <c r="C200" s="3" t="e">
        <f ca="1">[1]!BexGetData("DP_1","003N8EMH8GTFRCSWKMPXRR8GU","GSON1112030371")</f>
        <v>#NAME?</v>
      </c>
      <c r="D200" s="3" t="e">
        <f ca="1">[1]!BexGetData("DP_1","003N8EMH8GTFRCSWKMPXRRESE","GSON1112030371")</f>
        <v>#NAME?</v>
      </c>
      <c r="E200" s="8" t="e">
        <f ca="1">[1]!BexGetData("DP_1","003N8EMH8GTFRCSWKMPXRRL3Y","GSON1112030371")</f>
        <v>#NAME?</v>
      </c>
      <c r="F200" s="4" t="e">
        <f ca="1">[1]!BexGetData("DP_1","003N8EMH8GTFRCSWKMPXRRRFI","GSON1112030371")</f>
        <v>#NAME?</v>
      </c>
      <c r="G200" s="4" t="e">
        <f ca="1">[1]!BexGetData("DP_1","003N8EMH8GTFRCSWKMPXRRXR2","GSON1112030371")</f>
        <v>#NAME?</v>
      </c>
      <c r="H200" s="4" t="e">
        <f ca="1">[1]!BexGetData("DP_1","003N8EMH8GTFRCSWKMPXRS42M","GSON1112030371")</f>
        <v>#NAME?</v>
      </c>
      <c r="I200" s="4" t="e">
        <f ca="1">[1]!BexGetData("DP_1","003N8EMH8GTFRCSWKMPXRSAE6","GSON1112030371")</f>
        <v>#NAME?</v>
      </c>
      <c r="J200" s="4" t="e">
        <f ca="1">[1]!BexGetData("DP_1","003N8EMH8GTFRCSWKMPXRSGPQ","GSON1112030371")</f>
        <v>#NAME?</v>
      </c>
      <c r="K200" s="8" t="e">
        <f ca="1">[1]!BexGetData("DP_1","003N8EMH8GTFRIVNUPY288VJH","GSON1112030371")</f>
        <v>#NAME?</v>
      </c>
      <c r="L200" s="8" t="e">
        <f ca="1">[1]!BexGetData("DP_1","003N8EMH8GTFRIVNUPY2891V1","GSON1112030371")</f>
        <v>#NAME?</v>
      </c>
      <c r="M200" s="8" t="e">
        <f ca="1">[1]!BexGetData("DP_1","003N8EMH8GTFRIVOG7KG9IQXA","GSON1112030371")</f>
        <v>#NAME?</v>
      </c>
      <c r="N200" s="8" t="e">
        <f ca="1">[1]!BexGetData("DP_1","003N8EMH8GTFRIVOG7KG9IX8U","GSON1112030371")</f>
        <v>#NAME?</v>
      </c>
      <c r="O200" s="8" t="e">
        <f ca="1">[1]!BexGetData("DP_1","003N8EMH8GTFRIVOG7KG9J3KE","GSON1112030371")</f>
        <v>#NAME?</v>
      </c>
      <c r="P200" s="8" t="e">
        <f ca="1">[1]!BexGetData("DP_1","003N8EMH8GTFRIVOG7KG9J9VY","GSON1112030371")</f>
        <v>#NAME?</v>
      </c>
      <c r="Q200" s="4" t="e">
        <f ca="1">[1]!BexGetData("DP_1","00O2TNJGODT0G5Z4TTKYMM5MT","GSON1112030371")</f>
        <v>#NAME?</v>
      </c>
      <c r="R200" s="4" t="e">
        <f ca="1">[1]!BexGetData("DP_1","00O2TNJGODT0G5Z4TTKYMMBYD","GSON1112030371")</f>
        <v>#NAME?</v>
      </c>
      <c r="S200" s="4" t="e">
        <f ca="1">[1]!BexGetData("DP_1","00O2TNJGODT0G5Z4TTKYMMI9X","GSON1112030371")</f>
        <v>#NAME?</v>
      </c>
      <c r="T200" s="4" t="e">
        <f ca="1">[1]!BexGetData("DP_1","00O2TNJGODT0G5Z4TTKYMMOLH","GSON1112030371")</f>
        <v>#NAME?</v>
      </c>
      <c r="U200" s="4" t="e">
        <f ca="1">[1]!BexGetData("DP_1","00O2TNJGODT0G5Z4TTKYMMUX1","GSON1112030371")</f>
        <v>#NAME?</v>
      </c>
      <c r="V200" s="4" t="e">
        <f ca="1">[1]!BexGetData("DP_1","00O2TNJGODT0G5Z4TTKYMN18L","GSON1112030371")</f>
        <v>#NAME?</v>
      </c>
      <c r="W200" s="4" t="e">
        <f ca="1">[1]!BexGetData("DP_1","00O2TNJGODT0G5Z4TTKYMN7K5","GSON1112030371")</f>
        <v>#NAME?</v>
      </c>
    </row>
    <row r="201" spans="1:23" x14ac:dyDescent="0.2">
      <c r="A201" s="16" t="s">
        <v>2012</v>
      </c>
      <c r="B201" s="7" t="s">
        <v>2013</v>
      </c>
      <c r="C201" s="3" t="e">
        <f ca="1">[1]!BexGetData("DP_1","003N8EMH8GTFRCSWKMPXRR8GU","GSON1112030373")</f>
        <v>#NAME?</v>
      </c>
      <c r="D201" s="3" t="e">
        <f ca="1">[1]!BexGetData("DP_1","003N8EMH8GTFRCSWKMPXRRESE","GSON1112030373")</f>
        <v>#NAME?</v>
      </c>
      <c r="E201" s="8" t="e">
        <f ca="1">[1]!BexGetData("DP_1","003N8EMH8GTFRCSWKMPXRRL3Y","GSON1112030373")</f>
        <v>#NAME?</v>
      </c>
      <c r="F201" s="4" t="e">
        <f ca="1">[1]!BexGetData("DP_1","003N8EMH8GTFRCSWKMPXRRRFI","GSON1112030373")</f>
        <v>#NAME?</v>
      </c>
      <c r="G201" s="4" t="e">
        <f ca="1">[1]!BexGetData("DP_1","003N8EMH8GTFRCSWKMPXRRXR2","GSON1112030373")</f>
        <v>#NAME?</v>
      </c>
      <c r="H201" s="4" t="e">
        <f ca="1">[1]!BexGetData("DP_1","003N8EMH8GTFRCSWKMPXRS42M","GSON1112030373")</f>
        <v>#NAME?</v>
      </c>
      <c r="I201" s="4" t="e">
        <f ca="1">[1]!BexGetData("DP_1","003N8EMH8GTFRCSWKMPXRSAE6","GSON1112030373")</f>
        <v>#NAME?</v>
      </c>
      <c r="J201" s="4" t="e">
        <f ca="1">[1]!BexGetData("DP_1","003N8EMH8GTFRCSWKMPXRSGPQ","GSON1112030373")</f>
        <v>#NAME?</v>
      </c>
      <c r="K201" s="8" t="e">
        <f ca="1">[1]!BexGetData("DP_1","003N8EMH8GTFRIVNUPY288VJH","GSON1112030373")</f>
        <v>#NAME?</v>
      </c>
      <c r="L201" s="8" t="e">
        <f ca="1">[1]!BexGetData("DP_1","003N8EMH8GTFRIVNUPY2891V1","GSON1112030373")</f>
        <v>#NAME?</v>
      </c>
      <c r="M201" s="8" t="e">
        <f ca="1">[1]!BexGetData("DP_1","003N8EMH8GTFRIVOG7KG9IQXA","GSON1112030373")</f>
        <v>#NAME?</v>
      </c>
      <c r="N201" s="8" t="e">
        <f ca="1">[1]!BexGetData("DP_1","003N8EMH8GTFRIVOG7KG9IX8U","GSON1112030373")</f>
        <v>#NAME?</v>
      </c>
      <c r="O201" s="8" t="e">
        <f ca="1">[1]!BexGetData("DP_1","003N8EMH8GTFRIVOG7KG9J3KE","GSON1112030373")</f>
        <v>#NAME?</v>
      </c>
      <c r="P201" s="8" t="e">
        <f ca="1">[1]!BexGetData("DP_1","003N8EMH8GTFRIVOG7KG9J9VY","GSON1112030373")</f>
        <v>#NAME?</v>
      </c>
      <c r="Q201" s="4" t="e">
        <f ca="1">[1]!BexGetData("DP_1","00O2TNJGODT0G5Z4TTKYMM5MT","GSON1112030373")</f>
        <v>#NAME?</v>
      </c>
      <c r="R201" s="4" t="e">
        <f ca="1">[1]!BexGetData("DP_1","00O2TNJGODT0G5Z4TTKYMMBYD","GSON1112030373")</f>
        <v>#NAME?</v>
      </c>
      <c r="S201" s="4" t="e">
        <f ca="1">[1]!BexGetData("DP_1","00O2TNJGODT0G5Z4TTKYMMI9X","GSON1112030373")</f>
        <v>#NAME?</v>
      </c>
      <c r="T201" s="4" t="e">
        <f ca="1">[1]!BexGetData("DP_1","00O2TNJGODT0G5Z4TTKYMMOLH","GSON1112030373")</f>
        <v>#NAME?</v>
      </c>
      <c r="U201" s="4" t="e">
        <f ca="1">[1]!BexGetData("DP_1","00O2TNJGODT0G5Z4TTKYMMUX1","GSON1112030373")</f>
        <v>#NAME?</v>
      </c>
      <c r="V201" s="4" t="e">
        <f ca="1">[1]!BexGetData("DP_1","00O2TNJGODT0G5Z4TTKYMN18L","GSON1112030373")</f>
        <v>#NAME?</v>
      </c>
      <c r="W201" s="4" t="e">
        <f ca="1">[1]!BexGetData("DP_1","00O2TNJGODT0G5Z4TTKYMN7K5","GSON1112030373")</f>
        <v>#NAME?</v>
      </c>
    </row>
    <row r="202" spans="1:23" x14ac:dyDescent="0.2">
      <c r="A202" s="16" t="s">
        <v>2014</v>
      </c>
      <c r="B202" s="7" t="s">
        <v>2015</v>
      </c>
      <c r="C202" s="3" t="e">
        <f ca="1">[1]!BexGetData("DP_1","003N8EMH8GTFRCSWKMPXRR8GU","GSON1112030375")</f>
        <v>#NAME?</v>
      </c>
      <c r="D202" s="3" t="e">
        <f ca="1">[1]!BexGetData("DP_1","003N8EMH8GTFRCSWKMPXRRESE","GSON1112030375")</f>
        <v>#NAME?</v>
      </c>
      <c r="E202" s="8" t="e">
        <f ca="1">[1]!BexGetData("DP_1","003N8EMH8GTFRCSWKMPXRRL3Y","GSON1112030375")</f>
        <v>#NAME?</v>
      </c>
      <c r="F202" s="4" t="e">
        <f ca="1">[1]!BexGetData("DP_1","003N8EMH8GTFRCSWKMPXRRRFI","GSON1112030375")</f>
        <v>#NAME?</v>
      </c>
      <c r="G202" s="4" t="e">
        <f ca="1">[1]!BexGetData("DP_1","003N8EMH8GTFRCSWKMPXRRXR2","GSON1112030375")</f>
        <v>#NAME?</v>
      </c>
      <c r="H202" s="4" t="e">
        <f ca="1">[1]!BexGetData("DP_1","003N8EMH8GTFRCSWKMPXRS42M","GSON1112030375")</f>
        <v>#NAME?</v>
      </c>
      <c r="I202" s="4" t="e">
        <f ca="1">[1]!BexGetData("DP_1","003N8EMH8GTFRCSWKMPXRSAE6","GSON1112030375")</f>
        <v>#NAME?</v>
      </c>
      <c r="J202" s="4" t="e">
        <f ca="1">[1]!BexGetData("DP_1","003N8EMH8GTFRCSWKMPXRSGPQ","GSON1112030375")</f>
        <v>#NAME?</v>
      </c>
      <c r="K202" s="8" t="e">
        <f ca="1">[1]!BexGetData("DP_1","003N8EMH8GTFRIVNUPY288VJH","GSON1112030375")</f>
        <v>#NAME?</v>
      </c>
      <c r="L202" s="8" t="e">
        <f ca="1">[1]!BexGetData("DP_1","003N8EMH8GTFRIVNUPY2891V1","GSON1112030375")</f>
        <v>#NAME?</v>
      </c>
      <c r="M202" s="8" t="e">
        <f ca="1">[1]!BexGetData("DP_1","003N8EMH8GTFRIVOG7KG9IQXA","GSON1112030375")</f>
        <v>#NAME?</v>
      </c>
      <c r="N202" s="8" t="e">
        <f ca="1">[1]!BexGetData("DP_1","003N8EMH8GTFRIVOG7KG9IX8U","GSON1112030375")</f>
        <v>#NAME?</v>
      </c>
      <c r="O202" s="8" t="e">
        <f ca="1">[1]!BexGetData("DP_1","003N8EMH8GTFRIVOG7KG9J3KE","GSON1112030375")</f>
        <v>#NAME?</v>
      </c>
      <c r="P202" s="8" t="e">
        <f ca="1">[1]!BexGetData("DP_1","003N8EMH8GTFRIVOG7KG9J9VY","GSON1112030375")</f>
        <v>#NAME?</v>
      </c>
      <c r="Q202" s="4" t="e">
        <f ca="1">[1]!BexGetData("DP_1","00O2TNJGODT0G5Z4TTKYMM5MT","GSON1112030375")</f>
        <v>#NAME?</v>
      </c>
      <c r="R202" s="4" t="e">
        <f ca="1">[1]!BexGetData("DP_1","00O2TNJGODT0G5Z4TTKYMMBYD","GSON1112030375")</f>
        <v>#NAME?</v>
      </c>
      <c r="S202" s="4" t="e">
        <f ca="1">[1]!BexGetData("DP_1","00O2TNJGODT0G5Z4TTKYMMI9X","GSON1112030375")</f>
        <v>#NAME?</v>
      </c>
      <c r="T202" s="4" t="e">
        <f ca="1">[1]!BexGetData("DP_1","00O2TNJGODT0G5Z4TTKYMMOLH","GSON1112030375")</f>
        <v>#NAME?</v>
      </c>
      <c r="U202" s="4" t="e">
        <f ca="1">[1]!BexGetData("DP_1","00O2TNJGODT0G5Z4TTKYMMUX1","GSON1112030375")</f>
        <v>#NAME?</v>
      </c>
      <c r="V202" s="4" t="e">
        <f ca="1">[1]!BexGetData("DP_1","00O2TNJGODT0G5Z4TTKYMN18L","GSON1112030375")</f>
        <v>#NAME?</v>
      </c>
      <c r="W202" s="4" t="e">
        <f ca="1">[1]!BexGetData("DP_1","00O2TNJGODT0G5Z4TTKYMN7K5","GSON1112030375")</f>
        <v>#NAME?</v>
      </c>
    </row>
    <row r="203" spans="1:23" x14ac:dyDescent="0.2">
      <c r="A203" s="16" t="s">
        <v>2016</v>
      </c>
      <c r="B203" s="7" t="s">
        <v>793</v>
      </c>
      <c r="C203" s="3" t="e">
        <f ca="1">[1]!BexGetData("DP_1","003N8EMH8GTFRCSWKMPXRR8GU","GSON1112030380")</f>
        <v>#NAME?</v>
      </c>
      <c r="D203" s="3" t="e">
        <f ca="1">[1]!BexGetData("DP_1","003N8EMH8GTFRCSWKMPXRRESE","GSON1112030380")</f>
        <v>#NAME?</v>
      </c>
      <c r="E203" s="3" t="e">
        <f ca="1">[1]!BexGetData("DP_1","003N8EMH8GTFRCSWKMPXRRL3Y","GSON1112030380")</f>
        <v>#NAME?</v>
      </c>
      <c r="F203" s="3" t="e">
        <f ca="1">[1]!BexGetData("DP_1","003N8EMH8GTFRCSWKMPXRRRFI","GSON1112030380")</f>
        <v>#NAME?</v>
      </c>
      <c r="G203" s="3" t="e">
        <f ca="1">[1]!BexGetData("DP_1","003N8EMH8GTFRCSWKMPXRRXR2","GSON1112030380")</f>
        <v>#NAME?</v>
      </c>
      <c r="H203" s="8" t="e">
        <f ca="1">[1]!BexGetData("DP_1","003N8EMH8GTFRCSWKMPXRS42M","GSON1112030380")</f>
        <v>#NAME?</v>
      </c>
      <c r="I203" s="3" t="e">
        <f ca="1">[1]!BexGetData("DP_1","003N8EMH8GTFRCSWKMPXRSAE6","GSON1112030380")</f>
        <v>#NAME?</v>
      </c>
      <c r="J203" s="4" t="e">
        <f ca="1">[1]!BexGetData("DP_1","003N8EMH8GTFRCSWKMPXRSGPQ","GSON1112030380")</f>
        <v>#NAME?</v>
      </c>
      <c r="K203" s="3" t="e">
        <f ca="1">[1]!BexGetData("DP_1","003N8EMH8GTFRIVNUPY288VJH","GSON1112030380")</f>
        <v>#NAME?</v>
      </c>
      <c r="L203" s="3" t="e">
        <f ca="1">[1]!BexGetData("DP_1","003N8EMH8GTFRIVNUPY2891V1","GSON1112030380")</f>
        <v>#NAME?</v>
      </c>
      <c r="M203" s="3" t="e">
        <f ca="1">[1]!BexGetData("DP_1","003N8EMH8GTFRIVOG7KG9IQXA","GSON1112030380")</f>
        <v>#NAME?</v>
      </c>
      <c r="N203" s="8" t="e">
        <f ca="1">[1]!BexGetData("DP_1","003N8EMH8GTFRIVOG7KG9IX8U","GSON1112030380")</f>
        <v>#NAME?</v>
      </c>
      <c r="O203" s="3" t="e">
        <f ca="1">[1]!BexGetData("DP_1","003N8EMH8GTFRIVOG7KG9J3KE","GSON1112030380")</f>
        <v>#NAME?</v>
      </c>
      <c r="P203" s="8" t="e">
        <f ca="1">[1]!BexGetData("DP_1","003N8EMH8GTFRIVOG7KG9J9VY","GSON1112030380")</f>
        <v>#NAME?</v>
      </c>
      <c r="Q203" s="4" t="e">
        <f ca="1">[1]!BexGetData("DP_1","00O2TNJGODT0G5Z4TTKYMM5MT","GSON1112030380")</f>
        <v>#NAME?</v>
      </c>
      <c r="R203" s="3" t="e">
        <f ca="1">[1]!BexGetData("DP_1","00O2TNJGODT0G5Z4TTKYMMBYD","GSON1112030380")</f>
        <v>#NAME?</v>
      </c>
      <c r="S203" s="3" t="e">
        <f ca="1">[1]!BexGetData("DP_1","00O2TNJGODT0G5Z4TTKYMMI9X","GSON1112030380")</f>
        <v>#NAME?</v>
      </c>
      <c r="T203" s="8" t="e">
        <f ca="1">[1]!BexGetData("DP_1","00O2TNJGODT0G5Z4TTKYMMOLH","GSON1112030380")</f>
        <v>#NAME?</v>
      </c>
      <c r="U203" s="3" t="e">
        <f ca="1">[1]!BexGetData("DP_1","00O2TNJGODT0G5Z4TTKYMMUX1","GSON1112030380")</f>
        <v>#NAME?</v>
      </c>
      <c r="V203" s="8" t="e">
        <f ca="1">[1]!BexGetData("DP_1","00O2TNJGODT0G5Z4TTKYMN18L","GSON1112030380")</f>
        <v>#NAME?</v>
      </c>
      <c r="W203" s="3" t="e">
        <f ca="1">[1]!BexGetData("DP_1","00O2TNJGODT0G5Z4TTKYMN7K5","GSON1112030380")</f>
        <v>#NAME?</v>
      </c>
    </row>
    <row r="204" spans="1:23" x14ac:dyDescent="0.2">
      <c r="A204" s="16" t="s">
        <v>2017</v>
      </c>
      <c r="B204" s="7" t="s">
        <v>794</v>
      </c>
      <c r="C204" s="3" t="e">
        <f ca="1">[1]!BexGetData("DP_1","003N8EMH8GTFRCSWKMPXRR8GU","GSON1112030381")</f>
        <v>#NAME?</v>
      </c>
      <c r="D204" s="3" t="e">
        <f ca="1">[1]!BexGetData("DP_1","003N8EMH8GTFRCSWKMPXRRESE","GSON1112030381")</f>
        <v>#NAME?</v>
      </c>
      <c r="E204" s="8" t="e">
        <f ca="1">[1]!BexGetData("DP_1","003N8EMH8GTFRCSWKMPXRRL3Y","GSON1112030381")</f>
        <v>#NAME?</v>
      </c>
      <c r="F204" s="4" t="e">
        <f ca="1">[1]!BexGetData("DP_1","003N8EMH8GTFRCSWKMPXRRRFI","GSON1112030381")</f>
        <v>#NAME?</v>
      </c>
      <c r="G204" s="4" t="e">
        <f ca="1">[1]!BexGetData("DP_1","003N8EMH8GTFRCSWKMPXRRXR2","GSON1112030381")</f>
        <v>#NAME?</v>
      </c>
      <c r="H204" s="4" t="e">
        <f ca="1">[1]!BexGetData("DP_1","003N8EMH8GTFRCSWKMPXRS42M","GSON1112030381")</f>
        <v>#NAME?</v>
      </c>
      <c r="I204" s="4" t="e">
        <f ca="1">[1]!BexGetData("DP_1","003N8EMH8GTFRCSWKMPXRSAE6","GSON1112030381")</f>
        <v>#NAME?</v>
      </c>
      <c r="J204" s="4" t="e">
        <f ca="1">[1]!BexGetData("DP_1","003N8EMH8GTFRCSWKMPXRSGPQ","GSON1112030381")</f>
        <v>#NAME?</v>
      </c>
      <c r="K204" s="8" t="e">
        <f ca="1">[1]!BexGetData("DP_1","003N8EMH8GTFRIVNUPY288VJH","GSON1112030381")</f>
        <v>#NAME?</v>
      </c>
      <c r="L204" s="8" t="e">
        <f ca="1">[1]!BexGetData("DP_1","003N8EMH8GTFRIVNUPY2891V1","GSON1112030381")</f>
        <v>#NAME?</v>
      </c>
      <c r="M204" s="8" t="e">
        <f ca="1">[1]!BexGetData("DP_1","003N8EMH8GTFRIVOG7KG9IQXA","GSON1112030381")</f>
        <v>#NAME?</v>
      </c>
      <c r="N204" s="8" t="e">
        <f ca="1">[1]!BexGetData("DP_1","003N8EMH8GTFRIVOG7KG9IX8U","GSON1112030381")</f>
        <v>#NAME?</v>
      </c>
      <c r="O204" s="8" t="e">
        <f ca="1">[1]!BexGetData("DP_1","003N8EMH8GTFRIVOG7KG9J3KE","GSON1112030381")</f>
        <v>#NAME?</v>
      </c>
      <c r="P204" s="8" t="e">
        <f ca="1">[1]!BexGetData("DP_1","003N8EMH8GTFRIVOG7KG9J9VY","GSON1112030381")</f>
        <v>#NAME?</v>
      </c>
      <c r="Q204" s="4" t="e">
        <f ca="1">[1]!BexGetData("DP_1","00O2TNJGODT0G5Z4TTKYMM5MT","GSON1112030381")</f>
        <v>#NAME?</v>
      </c>
      <c r="R204" s="4" t="e">
        <f ca="1">[1]!BexGetData("DP_1","00O2TNJGODT0G5Z4TTKYMMBYD","GSON1112030381")</f>
        <v>#NAME?</v>
      </c>
      <c r="S204" s="4" t="e">
        <f ca="1">[1]!BexGetData("DP_1","00O2TNJGODT0G5Z4TTKYMMI9X","GSON1112030381")</f>
        <v>#NAME?</v>
      </c>
      <c r="T204" s="4" t="e">
        <f ca="1">[1]!BexGetData("DP_1","00O2TNJGODT0G5Z4TTKYMMOLH","GSON1112030381")</f>
        <v>#NAME?</v>
      </c>
      <c r="U204" s="4" t="e">
        <f ca="1">[1]!BexGetData("DP_1","00O2TNJGODT0G5Z4TTKYMMUX1","GSON1112030381")</f>
        <v>#NAME?</v>
      </c>
      <c r="V204" s="4" t="e">
        <f ca="1">[1]!BexGetData("DP_1","00O2TNJGODT0G5Z4TTKYMN18L","GSON1112030381")</f>
        <v>#NAME?</v>
      </c>
      <c r="W204" s="4" t="e">
        <f ca="1">[1]!BexGetData("DP_1","00O2TNJGODT0G5Z4TTKYMN7K5","GSON1112030381")</f>
        <v>#NAME?</v>
      </c>
    </row>
    <row r="205" spans="1:23" x14ac:dyDescent="0.2">
      <c r="A205" s="16" t="s">
        <v>2018</v>
      </c>
      <c r="B205" s="7" t="s">
        <v>2019</v>
      </c>
      <c r="C205" s="3" t="e">
        <f ca="1">[1]!BexGetData("DP_1","003N8EMH8GTFRCSWKMPXRR8GU","GSON1112030383")</f>
        <v>#NAME?</v>
      </c>
      <c r="D205" s="3" t="e">
        <f ca="1">[1]!BexGetData("DP_1","003N8EMH8GTFRCSWKMPXRRESE","GSON1112030383")</f>
        <v>#NAME?</v>
      </c>
      <c r="E205" s="8" t="e">
        <f ca="1">[1]!BexGetData("DP_1","003N8EMH8GTFRCSWKMPXRRL3Y","GSON1112030383")</f>
        <v>#NAME?</v>
      </c>
      <c r="F205" s="4" t="e">
        <f ca="1">[1]!BexGetData("DP_1","003N8EMH8GTFRCSWKMPXRRRFI","GSON1112030383")</f>
        <v>#NAME?</v>
      </c>
      <c r="G205" s="4" t="e">
        <f ca="1">[1]!BexGetData("DP_1","003N8EMH8GTFRCSWKMPXRRXR2","GSON1112030383")</f>
        <v>#NAME?</v>
      </c>
      <c r="H205" s="4" t="e">
        <f ca="1">[1]!BexGetData("DP_1","003N8EMH8GTFRCSWKMPXRS42M","GSON1112030383")</f>
        <v>#NAME?</v>
      </c>
      <c r="I205" s="4" t="e">
        <f ca="1">[1]!BexGetData("DP_1","003N8EMH8GTFRCSWKMPXRSAE6","GSON1112030383")</f>
        <v>#NAME?</v>
      </c>
      <c r="J205" s="4" t="e">
        <f ca="1">[1]!BexGetData("DP_1","003N8EMH8GTFRCSWKMPXRSGPQ","GSON1112030383")</f>
        <v>#NAME?</v>
      </c>
      <c r="K205" s="8" t="e">
        <f ca="1">[1]!BexGetData("DP_1","003N8EMH8GTFRIVNUPY288VJH","GSON1112030383")</f>
        <v>#NAME?</v>
      </c>
      <c r="L205" s="8" t="e">
        <f ca="1">[1]!BexGetData("DP_1","003N8EMH8GTFRIVNUPY2891V1","GSON1112030383")</f>
        <v>#NAME?</v>
      </c>
      <c r="M205" s="8" t="e">
        <f ca="1">[1]!BexGetData("DP_1","003N8EMH8GTFRIVOG7KG9IQXA","GSON1112030383")</f>
        <v>#NAME?</v>
      </c>
      <c r="N205" s="8" t="e">
        <f ca="1">[1]!BexGetData("DP_1","003N8EMH8GTFRIVOG7KG9IX8U","GSON1112030383")</f>
        <v>#NAME?</v>
      </c>
      <c r="O205" s="8" t="e">
        <f ca="1">[1]!BexGetData("DP_1","003N8EMH8GTFRIVOG7KG9J3KE","GSON1112030383")</f>
        <v>#NAME?</v>
      </c>
      <c r="P205" s="8" t="e">
        <f ca="1">[1]!BexGetData("DP_1","003N8EMH8GTFRIVOG7KG9J9VY","GSON1112030383")</f>
        <v>#NAME?</v>
      </c>
      <c r="Q205" s="4" t="e">
        <f ca="1">[1]!BexGetData("DP_1","00O2TNJGODT0G5Z4TTKYMM5MT","GSON1112030383")</f>
        <v>#NAME?</v>
      </c>
      <c r="R205" s="4" t="e">
        <f ca="1">[1]!BexGetData("DP_1","00O2TNJGODT0G5Z4TTKYMMBYD","GSON1112030383")</f>
        <v>#NAME?</v>
      </c>
      <c r="S205" s="4" t="e">
        <f ca="1">[1]!BexGetData("DP_1","00O2TNJGODT0G5Z4TTKYMMI9X","GSON1112030383")</f>
        <v>#NAME?</v>
      </c>
      <c r="T205" s="4" t="e">
        <f ca="1">[1]!BexGetData("DP_1","00O2TNJGODT0G5Z4TTKYMMOLH","GSON1112030383")</f>
        <v>#NAME?</v>
      </c>
      <c r="U205" s="4" t="e">
        <f ca="1">[1]!BexGetData("DP_1","00O2TNJGODT0G5Z4TTKYMMUX1","GSON1112030383")</f>
        <v>#NAME?</v>
      </c>
      <c r="V205" s="4" t="e">
        <f ca="1">[1]!BexGetData("DP_1","00O2TNJGODT0G5Z4TTKYMN18L","GSON1112030383")</f>
        <v>#NAME?</v>
      </c>
      <c r="W205" s="4" t="e">
        <f ca="1">[1]!BexGetData("DP_1","00O2TNJGODT0G5Z4TTKYMN7K5","GSON1112030383")</f>
        <v>#NAME?</v>
      </c>
    </row>
    <row r="206" spans="1:23" x14ac:dyDescent="0.2">
      <c r="A206" s="16" t="s">
        <v>2020</v>
      </c>
      <c r="B206" s="7" t="s">
        <v>2021</v>
      </c>
      <c r="C206" s="3" t="e">
        <f ca="1">[1]!BexGetData("DP_1","003N8EMH8GTFRCSWKMPXRR8GU","GSON1112030385")</f>
        <v>#NAME?</v>
      </c>
      <c r="D206" s="3" t="e">
        <f ca="1">[1]!BexGetData("DP_1","003N8EMH8GTFRCSWKMPXRRESE","GSON1112030385")</f>
        <v>#NAME?</v>
      </c>
      <c r="E206" s="8" t="e">
        <f ca="1">[1]!BexGetData("DP_1","003N8EMH8GTFRCSWKMPXRRL3Y","GSON1112030385")</f>
        <v>#NAME?</v>
      </c>
      <c r="F206" s="4" t="e">
        <f ca="1">[1]!BexGetData("DP_1","003N8EMH8GTFRCSWKMPXRRRFI","GSON1112030385")</f>
        <v>#NAME?</v>
      </c>
      <c r="G206" s="4" t="e">
        <f ca="1">[1]!BexGetData("DP_1","003N8EMH8GTFRCSWKMPXRRXR2","GSON1112030385")</f>
        <v>#NAME?</v>
      </c>
      <c r="H206" s="4" t="e">
        <f ca="1">[1]!BexGetData("DP_1","003N8EMH8GTFRCSWKMPXRS42M","GSON1112030385")</f>
        <v>#NAME?</v>
      </c>
      <c r="I206" s="4" t="e">
        <f ca="1">[1]!BexGetData("DP_1","003N8EMH8GTFRCSWKMPXRSAE6","GSON1112030385")</f>
        <v>#NAME?</v>
      </c>
      <c r="J206" s="4" t="e">
        <f ca="1">[1]!BexGetData("DP_1","003N8EMH8GTFRCSWKMPXRSGPQ","GSON1112030385")</f>
        <v>#NAME?</v>
      </c>
      <c r="K206" s="8" t="e">
        <f ca="1">[1]!BexGetData("DP_1","003N8EMH8GTFRIVNUPY288VJH","GSON1112030385")</f>
        <v>#NAME?</v>
      </c>
      <c r="L206" s="8" t="e">
        <f ca="1">[1]!BexGetData("DP_1","003N8EMH8GTFRIVNUPY2891V1","GSON1112030385")</f>
        <v>#NAME?</v>
      </c>
      <c r="M206" s="8" t="e">
        <f ca="1">[1]!BexGetData("DP_1","003N8EMH8GTFRIVOG7KG9IQXA","GSON1112030385")</f>
        <v>#NAME?</v>
      </c>
      <c r="N206" s="8" t="e">
        <f ca="1">[1]!BexGetData("DP_1","003N8EMH8GTFRIVOG7KG9IX8U","GSON1112030385")</f>
        <v>#NAME?</v>
      </c>
      <c r="O206" s="8" t="e">
        <f ca="1">[1]!BexGetData("DP_1","003N8EMH8GTFRIVOG7KG9J3KE","GSON1112030385")</f>
        <v>#NAME?</v>
      </c>
      <c r="P206" s="8" t="e">
        <f ca="1">[1]!BexGetData("DP_1","003N8EMH8GTFRIVOG7KG9J9VY","GSON1112030385")</f>
        <v>#NAME?</v>
      </c>
      <c r="Q206" s="4" t="e">
        <f ca="1">[1]!BexGetData("DP_1","00O2TNJGODT0G5Z4TTKYMM5MT","GSON1112030385")</f>
        <v>#NAME?</v>
      </c>
      <c r="R206" s="4" t="e">
        <f ca="1">[1]!BexGetData("DP_1","00O2TNJGODT0G5Z4TTKYMMBYD","GSON1112030385")</f>
        <v>#NAME?</v>
      </c>
      <c r="S206" s="4" t="e">
        <f ca="1">[1]!BexGetData("DP_1","00O2TNJGODT0G5Z4TTKYMMI9X","GSON1112030385")</f>
        <v>#NAME?</v>
      </c>
      <c r="T206" s="4" t="e">
        <f ca="1">[1]!BexGetData("DP_1","00O2TNJGODT0G5Z4TTKYMMOLH","GSON1112030385")</f>
        <v>#NAME?</v>
      </c>
      <c r="U206" s="4" t="e">
        <f ca="1">[1]!BexGetData("DP_1","00O2TNJGODT0G5Z4TTKYMMUX1","GSON1112030385")</f>
        <v>#NAME?</v>
      </c>
      <c r="V206" s="4" t="e">
        <f ca="1">[1]!BexGetData("DP_1","00O2TNJGODT0G5Z4TTKYMN18L","GSON1112030385")</f>
        <v>#NAME?</v>
      </c>
      <c r="W206" s="4" t="e">
        <f ca="1">[1]!BexGetData("DP_1","00O2TNJGODT0G5Z4TTKYMN7K5","GSON1112030385")</f>
        <v>#NAME?</v>
      </c>
    </row>
    <row r="207" spans="1:23" x14ac:dyDescent="0.2">
      <c r="A207" s="16" t="s">
        <v>2022</v>
      </c>
      <c r="B207" s="7" t="s">
        <v>795</v>
      </c>
      <c r="C207" s="3" t="e">
        <f ca="1">[1]!BexGetData("DP_1","003N8EMH8GTFRCSWKMPXRR8GU","GSON1112030390")</f>
        <v>#NAME?</v>
      </c>
      <c r="D207" s="3" t="e">
        <f ca="1">[1]!BexGetData("DP_1","003N8EMH8GTFRCSWKMPXRRESE","GSON1112030390")</f>
        <v>#NAME?</v>
      </c>
      <c r="E207" s="3" t="e">
        <f ca="1">[1]!BexGetData("DP_1","003N8EMH8GTFRCSWKMPXRRL3Y","GSON1112030390")</f>
        <v>#NAME?</v>
      </c>
      <c r="F207" s="3" t="e">
        <f ca="1">[1]!BexGetData("DP_1","003N8EMH8GTFRCSWKMPXRRRFI","GSON1112030390")</f>
        <v>#NAME?</v>
      </c>
      <c r="G207" s="3" t="e">
        <f ca="1">[1]!BexGetData("DP_1","003N8EMH8GTFRCSWKMPXRRXR2","GSON1112030390")</f>
        <v>#NAME?</v>
      </c>
      <c r="H207" s="8" t="e">
        <f ca="1">[1]!BexGetData("DP_1","003N8EMH8GTFRCSWKMPXRS42M","GSON1112030390")</f>
        <v>#NAME?</v>
      </c>
      <c r="I207" s="3" t="e">
        <f ca="1">[1]!BexGetData("DP_1","003N8EMH8GTFRCSWKMPXRSAE6","GSON1112030390")</f>
        <v>#NAME?</v>
      </c>
      <c r="J207" s="4" t="e">
        <f ca="1">[1]!BexGetData("DP_1","003N8EMH8GTFRCSWKMPXRSGPQ","GSON1112030390")</f>
        <v>#NAME?</v>
      </c>
      <c r="K207" s="3" t="e">
        <f ca="1">[1]!BexGetData("DP_1","003N8EMH8GTFRIVNUPY288VJH","GSON1112030390")</f>
        <v>#NAME?</v>
      </c>
      <c r="L207" s="3" t="e">
        <f ca="1">[1]!BexGetData("DP_1","003N8EMH8GTFRIVNUPY2891V1","GSON1112030390")</f>
        <v>#NAME?</v>
      </c>
      <c r="M207" s="8" t="e">
        <f ca="1">[1]!BexGetData("DP_1","003N8EMH8GTFRIVOG7KG9IQXA","GSON1112030390")</f>
        <v>#NAME?</v>
      </c>
      <c r="N207" s="3" t="e">
        <f ca="1">[1]!BexGetData("DP_1","003N8EMH8GTFRIVOG7KG9IX8U","GSON1112030390")</f>
        <v>#NAME?</v>
      </c>
      <c r="O207" s="8" t="e">
        <f ca="1">[1]!BexGetData("DP_1","003N8EMH8GTFRIVOG7KG9J3KE","GSON1112030390")</f>
        <v>#NAME?</v>
      </c>
      <c r="P207" s="3" t="e">
        <f ca="1">[1]!BexGetData("DP_1","003N8EMH8GTFRIVOG7KG9J9VY","GSON1112030390")</f>
        <v>#NAME?</v>
      </c>
      <c r="Q207" s="4" t="e">
        <f ca="1">[1]!BexGetData("DP_1","00O2TNJGODT0G5Z4TTKYMM5MT","GSON1112030390")</f>
        <v>#NAME?</v>
      </c>
      <c r="R207" s="3" t="e">
        <f ca="1">[1]!BexGetData("DP_1","00O2TNJGODT0G5Z4TTKYMMBYD","GSON1112030390")</f>
        <v>#NAME?</v>
      </c>
      <c r="S207" s="3" t="e">
        <f ca="1">[1]!BexGetData("DP_1","00O2TNJGODT0G5Z4TTKYMMI9X","GSON1112030390")</f>
        <v>#NAME?</v>
      </c>
      <c r="T207" s="8" t="e">
        <f ca="1">[1]!BexGetData("DP_1","00O2TNJGODT0G5Z4TTKYMMOLH","GSON1112030390")</f>
        <v>#NAME?</v>
      </c>
      <c r="U207" s="3" t="e">
        <f ca="1">[1]!BexGetData("DP_1","00O2TNJGODT0G5Z4TTKYMMUX1","GSON1112030390")</f>
        <v>#NAME?</v>
      </c>
      <c r="V207" s="8" t="e">
        <f ca="1">[1]!BexGetData("DP_1","00O2TNJGODT0G5Z4TTKYMN18L","GSON1112030390")</f>
        <v>#NAME?</v>
      </c>
      <c r="W207" s="3" t="e">
        <f ca="1">[1]!BexGetData("DP_1","00O2TNJGODT0G5Z4TTKYMN7K5","GSON1112030390")</f>
        <v>#NAME?</v>
      </c>
    </row>
    <row r="208" spans="1:23" x14ac:dyDescent="0.2">
      <c r="A208" s="16" t="s">
        <v>2023</v>
      </c>
      <c r="B208" s="7" t="s">
        <v>796</v>
      </c>
      <c r="C208" s="3" t="e">
        <f ca="1">[1]!BexGetData("DP_1","003N8EMH8GTFRCSWKMPXRR8GU","GSON1112030391")</f>
        <v>#NAME?</v>
      </c>
      <c r="D208" s="3" t="e">
        <f ca="1">[1]!BexGetData("DP_1","003N8EMH8GTFRCSWKMPXRRESE","GSON1112030391")</f>
        <v>#NAME?</v>
      </c>
      <c r="E208" s="8" t="e">
        <f ca="1">[1]!BexGetData("DP_1","003N8EMH8GTFRCSWKMPXRRL3Y","GSON1112030391")</f>
        <v>#NAME?</v>
      </c>
      <c r="F208" s="4" t="e">
        <f ca="1">[1]!BexGetData("DP_1","003N8EMH8GTFRCSWKMPXRRRFI","GSON1112030391")</f>
        <v>#NAME?</v>
      </c>
      <c r="G208" s="4" t="e">
        <f ca="1">[1]!BexGetData("DP_1","003N8EMH8GTFRCSWKMPXRRXR2","GSON1112030391")</f>
        <v>#NAME?</v>
      </c>
      <c r="H208" s="4" t="e">
        <f ca="1">[1]!BexGetData("DP_1","003N8EMH8GTFRCSWKMPXRS42M","GSON1112030391")</f>
        <v>#NAME?</v>
      </c>
      <c r="I208" s="4" t="e">
        <f ca="1">[1]!BexGetData("DP_1","003N8EMH8GTFRCSWKMPXRSAE6","GSON1112030391")</f>
        <v>#NAME?</v>
      </c>
      <c r="J208" s="4" t="e">
        <f ca="1">[1]!BexGetData("DP_1","003N8EMH8GTFRCSWKMPXRSGPQ","GSON1112030391")</f>
        <v>#NAME?</v>
      </c>
      <c r="K208" s="8" t="e">
        <f ca="1">[1]!BexGetData("DP_1","003N8EMH8GTFRIVNUPY288VJH","GSON1112030391")</f>
        <v>#NAME?</v>
      </c>
      <c r="L208" s="8" t="e">
        <f ca="1">[1]!BexGetData("DP_1","003N8EMH8GTFRIVNUPY2891V1","GSON1112030391")</f>
        <v>#NAME?</v>
      </c>
      <c r="M208" s="8" t="e">
        <f ca="1">[1]!BexGetData("DP_1","003N8EMH8GTFRIVOG7KG9IQXA","GSON1112030391")</f>
        <v>#NAME?</v>
      </c>
      <c r="N208" s="8" t="e">
        <f ca="1">[1]!BexGetData("DP_1","003N8EMH8GTFRIVOG7KG9IX8U","GSON1112030391")</f>
        <v>#NAME?</v>
      </c>
      <c r="O208" s="8" t="e">
        <f ca="1">[1]!BexGetData("DP_1","003N8EMH8GTFRIVOG7KG9J3KE","GSON1112030391")</f>
        <v>#NAME?</v>
      </c>
      <c r="P208" s="8" t="e">
        <f ca="1">[1]!BexGetData("DP_1","003N8EMH8GTFRIVOG7KG9J9VY","GSON1112030391")</f>
        <v>#NAME?</v>
      </c>
      <c r="Q208" s="4" t="e">
        <f ca="1">[1]!BexGetData("DP_1","00O2TNJGODT0G5Z4TTKYMM5MT","GSON1112030391")</f>
        <v>#NAME?</v>
      </c>
      <c r="R208" s="4" t="e">
        <f ca="1">[1]!BexGetData("DP_1","00O2TNJGODT0G5Z4TTKYMMBYD","GSON1112030391")</f>
        <v>#NAME?</v>
      </c>
      <c r="S208" s="4" t="e">
        <f ca="1">[1]!BexGetData("DP_1","00O2TNJGODT0G5Z4TTKYMMI9X","GSON1112030391")</f>
        <v>#NAME?</v>
      </c>
      <c r="T208" s="4" t="e">
        <f ca="1">[1]!BexGetData("DP_1","00O2TNJGODT0G5Z4TTKYMMOLH","GSON1112030391")</f>
        <v>#NAME?</v>
      </c>
      <c r="U208" s="4" t="e">
        <f ca="1">[1]!BexGetData("DP_1","00O2TNJGODT0G5Z4TTKYMMUX1","GSON1112030391")</f>
        <v>#NAME?</v>
      </c>
      <c r="V208" s="4" t="e">
        <f ca="1">[1]!BexGetData("DP_1","00O2TNJGODT0G5Z4TTKYMN18L","GSON1112030391")</f>
        <v>#NAME?</v>
      </c>
      <c r="W208" s="4" t="e">
        <f ca="1">[1]!BexGetData("DP_1","00O2TNJGODT0G5Z4TTKYMN7K5","GSON1112030391")</f>
        <v>#NAME?</v>
      </c>
    </row>
    <row r="209" spans="1:23" x14ac:dyDescent="0.2">
      <c r="A209" s="16" t="s">
        <v>2024</v>
      </c>
      <c r="B209" s="7" t="s">
        <v>2025</v>
      </c>
      <c r="C209" s="3" t="e">
        <f ca="1">[1]!BexGetData("DP_1","003N8EMH8GTFRCSWKMPXRR8GU","GSON1112030392")</f>
        <v>#NAME?</v>
      </c>
      <c r="D209" s="3" t="e">
        <f ca="1">[1]!BexGetData("DP_1","003N8EMH8GTFRCSWKMPXRRESE","GSON1112030392")</f>
        <v>#NAME?</v>
      </c>
      <c r="E209" s="8" t="e">
        <f ca="1">[1]!BexGetData("DP_1","003N8EMH8GTFRCSWKMPXRRL3Y","GSON1112030392")</f>
        <v>#NAME?</v>
      </c>
      <c r="F209" s="4" t="e">
        <f ca="1">[1]!BexGetData("DP_1","003N8EMH8GTFRCSWKMPXRRRFI","GSON1112030392")</f>
        <v>#NAME?</v>
      </c>
      <c r="G209" s="4" t="e">
        <f ca="1">[1]!BexGetData("DP_1","003N8EMH8GTFRCSWKMPXRRXR2","GSON1112030392")</f>
        <v>#NAME?</v>
      </c>
      <c r="H209" s="4" t="e">
        <f ca="1">[1]!BexGetData("DP_1","003N8EMH8GTFRCSWKMPXRS42M","GSON1112030392")</f>
        <v>#NAME?</v>
      </c>
      <c r="I209" s="4" t="e">
        <f ca="1">[1]!BexGetData("DP_1","003N8EMH8GTFRCSWKMPXRSAE6","GSON1112030392")</f>
        <v>#NAME?</v>
      </c>
      <c r="J209" s="4" t="e">
        <f ca="1">[1]!BexGetData("DP_1","003N8EMH8GTFRCSWKMPXRSGPQ","GSON1112030392")</f>
        <v>#NAME?</v>
      </c>
      <c r="K209" s="8" t="e">
        <f ca="1">[1]!BexGetData("DP_1","003N8EMH8GTFRIVNUPY288VJH","GSON1112030392")</f>
        <v>#NAME?</v>
      </c>
      <c r="L209" s="8" t="e">
        <f ca="1">[1]!BexGetData("DP_1","003N8EMH8GTFRIVNUPY2891V1","GSON1112030392")</f>
        <v>#NAME?</v>
      </c>
      <c r="M209" s="8" t="e">
        <f ca="1">[1]!BexGetData("DP_1","003N8EMH8GTFRIVOG7KG9IQXA","GSON1112030392")</f>
        <v>#NAME?</v>
      </c>
      <c r="N209" s="8" t="e">
        <f ca="1">[1]!BexGetData("DP_1","003N8EMH8GTFRIVOG7KG9IX8U","GSON1112030392")</f>
        <v>#NAME?</v>
      </c>
      <c r="O209" s="8" t="e">
        <f ca="1">[1]!BexGetData("DP_1","003N8EMH8GTFRIVOG7KG9J3KE","GSON1112030392")</f>
        <v>#NAME?</v>
      </c>
      <c r="P209" s="8" t="e">
        <f ca="1">[1]!BexGetData("DP_1","003N8EMH8GTFRIVOG7KG9J9VY","GSON1112030392")</f>
        <v>#NAME?</v>
      </c>
      <c r="Q209" s="4" t="e">
        <f ca="1">[1]!BexGetData("DP_1","00O2TNJGODT0G5Z4TTKYMM5MT","GSON1112030392")</f>
        <v>#NAME?</v>
      </c>
      <c r="R209" s="4" t="e">
        <f ca="1">[1]!BexGetData("DP_1","00O2TNJGODT0G5Z4TTKYMMBYD","GSON1112030392")</f>
        <v>#NAME?</v>
      </c>
      <c r="S209" s="4" t="e">
        <f ca="1">[1]!BexGetData("DP_1","00O2TNJGODT0G5Z4TTKYMMI9X","GSON1112030392")</f>
        <v>#NAME?</v>
      </c>
      <c r="T209" s="4" t="e">
        <f ca="1">[1]!BexGetData("DP_1","00O2TNJGODT0G5Z4TTKYMMOLH","GSON1112030392")</f>
        <v>#NAME?</v>
      </c>
      <c r="U209" s="4" t="e">
        <f ca="1">[1]!BexGetData("DP_1","00O2TNJGODT0G5Z4TTKYMMUX1","GSON1112030392")</f>
        <v>#NAME?</v>
      </c>
      <c r="V209" s="4" t="e">
        <f ca="1">[1]!BexGetData("DP_1","00O2TNJGODT0G5Z4TTKYMN18L","GSON1112030392")</f>
        <v>#NAME?</v>
      </c>
      <c r="W209" s="4" t="e">
        <f ca="1">[1]!BexGetData("DP_1","00O2TNJGODT0G5Z4TTKYMN7K5","GSON1112030392")</f>
        <v>#NAME?</v>
      </c>
    </row>
    <row r="210" spans="1:23" x14ac:dyDescent="0.2">
      <c r="A210" s="16" t="s">
        <v>2026</v>
      </c>
      <c r="B210" s="7" t="s">
        <v>2027</v>
      </c>
      <c r="C210" s="3" t="e">
        <f ca="1">[1]!BexGetData("DP_1","003N8EMH8GTFRCSWKMPXRR8GU","GSON1112030395")</f>
        <v>#NAME?</v>
      </c>
      <c r="D210" s="3" t="e">
        <f ca="1">[1]!BexGetData("DP_1","003N8EMH8GTFRCSWKMPXRRESE","GSON1112030395")</f>
        <v>#NAME?</v>
      </c>
      <c r="E210" s="8" t="e">
        <f ca="1">[1]!BexGetData("DP_1","003N8EMH8GTFRCSWKMPXRRL3Y","GSON1112030395")</f>
        <v>#NAME?</v>
      </c>
      <c r="F210" s="4" t="e">
        <f ca="1">[1]!BexGetData("DP_1","003N8EMH8GTFRCSWKMPXRRRFI","GSON1112030395")</f>
        <v>#NAME?</v>
      </c>
      <c r="G210" s="4" t="e">
        <f ca="1">[1]!BexGetData("DP_1","003N8EMH8GTFRCSWKMPXRRXR2","GSON1112030395")</f>
        <v>#NAME?</v>
      </c>
      <c r="H210" s="4" t="e">
        <f ca="1">[1]!BexGetData("DP_1","003N8EMH8GTFRCSWKMPXRS42M","GSON1112030395")</f>
        <v>#NAME?</v>
      </c>
      <c r="I210" s="4" t="e">
        <f ca="1">[1]!BexGetData("DP_1","003N8EMH8GTFRCSWKMPXRSAE6","GSON1112030395")</f>
        <v>#NAME?</v>
      </c>
      <c r="J210" s="4" t="e">
        <f ca="1">[1]!BexGetData("DP_1","003N8EMH8GTFRCSWKMPXRSGPQ","GSON1112030395")</f>
        <v>#NAME?</v>
      </c>
      <c r="K210" s="8" t="e">
        <f ca="1">[1]!BexGetData("DP_1","003N8EMH8GTFRIVNUPY288VJH","GSON1112030395")</f>
        <v>#NAME?</v>
      </c>
      <c r="L210" s="8" t="e">
        <f ca="1">[1]!BexGetData("DP_1","003N8EMH8GTFRIVNUPY2891V1","GSON1112030395")</f>
        <v>#NAME?</v>
      </c>
      <c r="M210" s="8" t="e">
        <f ca="1">[1]!BexGetData("DP_1","003N8EMH8GTFRIVOG7KG9IQXA","GSON1112030395")</f>
        <v>#NAME?</v>
      </c>
      <c r="N210" s="8" t="e">
        <f ca="1">[1]!BexGetData("DP_1","003N8EMH8GTFRIVOG7KG9IX8U","GSON1112030395")</f>
        <v>#NAME?</v>
      </c>
      <c r="O210" s="8" t="e">
        <f ca="1">[1]!BexGetData("DP_1","003N8EMH8GTFRIVOG7KG9J3KE","GSON1112030395")</f>
        <v>#NAME?</v>
      </c>
      <c r="P210" s="8" t="e">
        <f ca="1">[1]!BexGetData("DP_1","003N8EMH8GTFRIVOG7KG9J9VY","GSON1112030395")</f>
        <v>#NAME?</v>
      </c>
      <c r="Q210" s="4" t="e">
        <f ca="1">[1]!BexGetData("DP_1","00O2TNJGODT0G5Z4TTKYMM5MT","GSON1112030395")</f>
        <v>#NAME?</v>
      </c>
      <c r="R210" s="4" t="e">
        <f ca="1">[1]!BexGetData("DP_1","00O2TNJGODT0G5Z4TTKYMMBYD","GSON1112030395")</f>
        <v>#NAME?</v>
      </c>
      <c r="S210" s="4" t="e">
        <f ca="1">[1]!BexGetData("DP_1","00O2TNJGODT0G5Z4TTKYMMI9X","GSON1112030395")</f>
        <v>#NAME?</v>
      </c>
      <c r="T210" s="4" t="e">
        <f ca="1">[1]!BexGetData("DP_1","00O2TNJGODT0G5Z4TTKYMMOLH","GSON1112030395")</f>
        <v>#NAME?</v>
      </c>
      <c r="U210" s="4" t="e">
        <f ca="1">[1]!BexGetData("DP_1","00O2TNJGODT0G5Z4TTKYMMUX1","GSON1112030395")</f>
        <v>#NAME?</v>
      </c>
      <c r="V210" s="4" t="e">
        <f ca="1">[1]!BexGetData("DP_1","00O2TNJGODT0G5Z4TTKYMN18L","GSON1112030395")</f>
        <v>#NAME?</v>
      </c>
      <c r="W210" s="4" t="e">
        <f ca="1">[1]!BexGetData("DP_1","00O2TNJGODT0G5Z4TTKYMN7K5","GSON1112030395")</f>
        <v>#NAME?</v>
      </c>
    </row>
    <row r="211" spans="1:23" x14ac:dyDescent="0.2">
      <c r="A211" s="16" t="s">
        <v>2028</v>
      </c>
      <c r="B211" s="7" t="s">
        <v>797</v>
      </c>
      <c r="C211" s="3" t="e">
        <f ca="1">[1]!BexGetData("DP_1","003N8EMH8GTFRCSWKMPXRR8GU","GSON1112030490")</f>
        <v>#NAME?</v>
      </c>
      <c r="D211" s="3" t="e">
        <f ca="1">[1]!BexGetData("DP_1","003N8EMH8GTFRCSWKMPXRRESE","GSON1112030490")</f>
        <v>#NAME?</v>
      </c>
      <c r="E211" s="3" t="e">
        <f ca="1">[1]!BexGetData("DP_1","003N8EMH8GTFRCSWKMPXRRL3Y","GSON1112030490")</f>
        <v>#NAME?</v>
      </c>
      <c r="F211" s="3" t="e">
        <f ca="1">[1]!BexGetData("DP_1","003N8EMH8GTFRCSWKMPXRRRFI","GSON1112030490")</f>
        <v>#NAME?</v>
      </c>
      <c r="G211" s="3" t="e">
        <f ca="1">[1]!BexGetData("DP_1","003N8EMH8GTFRCSWKMPXRRXR2","GSON1112030490")</f>
        <v>#NAME?</v>
      </c>
      <c r="H211" s="8" t="e">
        <f ca="1">[1]!BexGetData("DP_1","003N8EMH8GTFRCSWKMPXRS42M","GSON1112030490")</f>
        <v>#NAME?</v>
      </c>
      <c r="I211" s="3" t="e">
        <f ca="1">[1]!BexGetData("DP_1","003N8EMH8GTFRCSWKMPXRSAE6","GSON1112030490")</f>
        <v>#NAME?</v>
      </c>
      <c r="J211" s="4" t="e">
        <f ca="1">[1]!BexGetData("DP_1","003N8EMH8GTFRCSWKMPXRSGPQ","GSON1112030490")</f>
        <v>#NAME?</v>
      </c>
      <c r="K211" s="3" t="e">
        <f ca="1">[1]!BexGetData("DP_1","003N8EMH8GTFRIVNUPY288VJH","GSON1112030490")</f>
        <v>#NAME?</v>
      </c>
      <c r="L211" s="3" t="e">
        <f ca="1">[1]!BexGetData("DP_1","003N8EMH8GTFRIVNUPY2891V1","GSON1112030490")</f>
        <v>#NAME?</v>
      </c>
      <c r="M211" s="3" t="e">
        <f ca="1">[1]!BexGetData("DP_1","003N8EMH8GTFRIVOG7KG9IQXA","GSON1112030490")</f>
        <v>#NAME?</v>
      </c>
      <c r="N211" s="8" t="e">
        <f ca="1">[1]!BexGetData("DP_1","003N8EMH8GTFRIVOG7KG9IX8U","GSON1112030490")</f>
        <v>#NAME?</v>
      </c>
      <c r="O211" s="3" t="e">
        <f ca="1">[1]!BexGetData("DP_1","003N8EMH8GTFRIVOG7KG9J3KE","GSON1112030490")</f>
        <v>#NAME?</v>
      </c>
      <c r="P211" s="8" t="e">
        <f ca="1">[1]!BexGetData("DP_1","003N8EMH8GTFRIVOG7KG9J9VY","GSON1112030490")</f>
        <v>#NAME?</v>
      </c>
      <c r="Q211" s="4" t="e">
        <f ca="1">[1]!BexGetData("DP_1","00O2TNJGODT0G5Z4TTKYMM5MT","GSON1112030490")</f>
        <v>#NAME?</v>
      </c>
      <c r="R211" s="3" t="e">
        <f ca="1">[1]!BexGetData("DP_1","00O2TNJGODT0G5Z4TTKYMMBYD","GSON1112030490")</f>
        <v>#NAME?</v>
      </c>
      <c r="S211" s="3" t="e">
        <f ca="1">[1]!BexGetData("DP_1","00O2TNJGODT0G5Z4TTKYMMI9X","GSON1112030490")</f>
        <v>#NAME?</v>
      </c>
      <c r="T211" s="8" t="e">
        <f ca="1">[1]!BexGetData("DP_1","00O2TNJGODT0G5Z4TTKYMMOLH","GSON1112030490")</f>
        <v>#NAME?</v>
      </c>
      <c r="U211" s="3" t="e">
        <f ca="1">[1]!BexGetData("DP_1","00O2TNJGODT0G5Z4TTKYMMUX1","GSON1112030490")</f>
        <v>#NAME?</v>
      </c>
      <c r="V211" s="8" t="e">
        <f ca="1">[1]!BexGetData("DP_1","00O2TNJGODT0G5Z4TTKYMN18L","GSON1112030490")</f>
        <v>#NAME?</v>
      </c>
      <c r="W211" s="3" t="e">
        <f ca="1">[1]!BexGetData("DP_1","00O2TNJGODT0G5Z4TTKYMN7K5","GSON1112030490")</f>
        <v>#NAME?</v>
      </c>
    </row>
    <row r="212" spans="1:23" x14ac:dyDescent="0.2">
      <c r="A212" s="16" t="s">
        <v>2029</v>
      </c>
      <c r="B212" s="7" t="s">
        <v>417</v>
      </c>
      <c r="C212" s="3" t="e">
        <f ca="1">[1]!BexGetData("DP_1","003N8EMH8GTFRCSWKMPXRR8GU","GSON1112030491")</f>
        <v>#NAME?</v>
      </c>
      <c r="D212" s="3" t="e">
        <f ca="1">[1]!BexGetData("DP_1","003N8EMH8GTFRCSWKMPXRRESE","GSON1112030491")</f>
        <v>#NAME?</v>
      </c>
      <c r="E212" s="3" t="e">
        <f ca="1">[1]!BexGetData("DP_1","003N8EMH8GTFRCSWKMPXRRL3Y","GSON1112030491")</f>
        <v>#NAME?</v>
      </c>
      <c r="F212" s="3" t="e">
        <f ca="1">[1]!BexGetData("DP_1","003N8EMH8GTFRCSWKMPXRRRFI","GSON1112030491")</f>
        <v>#NAME?</v>
      </c>
      <c r="G212" s="3" t="e">
        <f ca="1">[1]!BexGetData("DP_1","003N8EMH8GTFRCSWKMPXRRXR2","GSON1112030491")</f>
        <v>#NAME?</v>
      </c>
      <c r="H212" s="8" t="e">
        <f ca="1">[1]!BexGetData("DP_1","003N8EMH8GTFRCSWKMPXRS42M","GSON1112030491")</f>
        <v>#NAME?</v>
      </c>
      <c r="I212" s="3" t="e">
        <f ca="1">[1]!BexGetData("DP_1","003N8EMH8GTFRCSWKMPXRSAE6","GSON1112030491")</f>
        <v>#NAME?</v>
      </c>
      <c r="J212" s="4" t="e">
        <f ca="1">[1]!BexGetData("DP_1","003N8EMH8GTFRCSWKMPXRSGPQ","GSON1112030491")</f>
        <v>#NAME?</v>
      </c>
      <c r="K212" s="3" t="e">
        <f ca="1">[1]!BexGetData("DP_1","003N8EMH8GTFRIVNUPY288VJH","GSON1112030491")</f>
        <v>#NAME?</v>
      </c>
      <c r="L212" s="3" t="e">
        <f ca="1">[1]!BexGetData("DP_1","003N8EMH8GTFRIVNUPY2891V1","GSON1112030491")</f>
        <v>#NAME?</v>
      </c>
      <c r="M212" s="8" t="e">
        <f ca="1">[1]!BexGetData("DP_1","003N8EMH8GTFRIVOG7KG9IQXA","GSON1112030491")</f>
        <v>#NAME?</v>
      </c>
      <c r="N212" s="3" t="e">
        <f ca="1">[1]!BexGetData("DP_1","003N8EMH8GTFRIVOG7KG9IX8U","GSON1112030491")</f>
        <v>#NAME?</v>
      </c>
      <c r="O212" s="8" t="e">
        <f ca="1">[1]!BexGetData("DP_1","003N8EMH8GTFRIVOG7KG9J3KE","GSON1112030491")</f>
        <v>#NAME?</v>
      </c>
      <c r="P212" s="3" t="e">
        <f ca="1">[1]!BexGetData("DP_1","003N8EMH8GTFRIVOG7KG9J9VY","GSON1112030491")</f>
        <v>#NAME?</v>
      </c>
      <c r="Q212" s="4" t="e">
        <f ca="1">[1]!BexGetData("DP_1","00O2TNJGODT0G5Z4TTKYMM5MT","GSON1112030491")</f>
        <v>#NAME?</v>
      </c>
      <c r="R212" s="3" t="e">
        <f ca="1">[1]!BexGetData("DP_1","00O2TNJGODT0G5Z4TTKYMMBYD","GSON1112030491")</f>
        <v>#NAME?</v>
      </c>
      <c r="S212" s="3" t="e">
        <f ca="1">[1]!BexGetData("DP_1","00O2TNJGODT0G5Z4TTKYMMI9X","GSON1112030491")</f>
        <v>#NAME?</v>
      </c>
      <c r="T212" s="8" t="e">
        <f ca="1">[1]!BexGetData("DP_1","00O2TNJGODT0G5Z4TTKYMMOLH","GSON1112030491")</f>
        <v>#NAME?</v>
      </c>
      <c r="U212" s="3" t="e">
        <f ca="1">[1]!BexGetData("DP_1","00O2TNJGODT0G5Z4TTKYMMUX1","GSON1112030491")</f>
        <v>#NAME?</v>
      </c>
      <c r="V212" s="8" t="e">
        <f ca="1">[1]!BexGetData("DP_1","00O2TNJGODT0G5Z4TTKYMN18L","GSON1112030491")</f>
        <v>#NAME?</v>
      </c>
      <c r="W212" s="3" t="e">
        <f ca="1">[1]!BexGetData("DP_1","00O2TNJGODT0G5Z4TTKYMN7K5","GSON1112030491")</f>
        <v>#NAME?</v>
      </c>
    </row>
    <row r="213" spans="1:23" x14ac:dyDescent="0.2">
      <c r="A213" s="16" t="s">
        <v>2030</v>
      </c>
      <c r="B213" s="7" t="s">
        <v>798</v>
      </c>
      <c r="C213" s="3" t="e">
        <f ca="1">[1]!BexGetData("DP_1","003N8EMH8GTFRCSWKMPXRR8GU","GSON1112030492")</f>
        <v>#NAME?</v>
      </c>
      <c r="D213" s="3" t="e">
        <f ca="1">[1]!BexGetData("DP_1","003N8EMH8GTFRCSWKMPXRRESE","GSON1112030492")</f>
        <v>#NAME?</v>
      </c>
      <c r="E213" s="8" t="e">
        <f ca="1">[1]!BexGetData("DP_1","003N8EMH8GTFRCSWKMPXRRL3Y","GSON1112030492")</f>
        <v>#NAME?</v>
      </c>
      <c r="F213" s="4" t="e">
        <f ca="1">[1]!BexGetData("DP_1","003N8EMH8GTFRCSWKMPXRRRFI","GSON1112030492")</f>
        <v>#NAME?</v>
      </c>
      <c r="G213" s="4" t="e">
        <f ca="1">[1]!BexGetData("DP_1","003N8EMH8GTFRCSWKMPXRRXR2","GSON1112030492")</f>
        <v>#NAME?</v>
      </c>
      <c r="H213" s="4" t="e">
        <f ca="1">[1]!BexGetData("DP_1","003N8EMH8GTFRCSWKMPXRS42M","GSON1112030492")</f>
        <v>#NAME?</v>
      </c>
      <c r="I213" s="4" t="e">
        <f ca="1">[1]!BexGetData("DP_1","003N8EMH8GTFRCSWKMPXRSAE6","GSON1112030492")</f>
        <v>#NAME?</v>
      </c>
      <c r="J213" s="4" t="e">
        <f ca="1">[1]!BexGetData("DP_1","003N8EMH8GTFRCSWKMPXRSGPQ","GSON1112030492")</f>
        <v>#NAME?</v>
      </c>
      <c r="K213" s="8" t="e">
        <f ca="1">[1]!BexGetData("DP_1","003N8EMH8GTFRIVNUPY288VJH","GSON1112030492")</f>
        <v>#NAME?</v>
      </c>
      <c r="L213" s="8" t="e">
        <f ca="1">[1]!BexGetData("DP_1","003N8EMH8GTFRIVNUPY2891V1","GSON1112030492")</f>
        <v>#NAME?</v>
      </c>
      <c r="M213" s="8" t="e">
        <f ca="1">[1]!BexGetData("DP_1","003N8EMH8GTFRIVOG7KG9IQXA","GSON1112030492")</f>
        <v>#NAME?</v>
      </c>
      <c r="N213" s="8" t="e">
        <f ca="1">[1]!BexGetData("DP_1","003N8EMH8GTFRIVOG7KG9IX8U","GSON1112030492")</f>
        <v>#NAME?</v>
      </c>
      <c r="O213" s="8" t="e">
        <f ca="1">[1]!BexGetData("DP_1","003N8EMH8GTFRIVOG7KG9J3KE","GSON1112030492")</f>
        <v>#NAME?</v>
      </c>
      <c r="P213" s="8" t="e">
        <f ca="1">[1]!BexGetData("DP_1","003N8EMH8GTFRIVOG7KG9J9VY","GSON1112030492")</f>
        <v>#NAME?</v>
      </c>
      <c r="Q213" s="4" t="e">
        <f ca="1">[1]!BexGetData("DP_1","00O2TNJGODT0G5Z4TTKYMM5MT","GSON1112030492")</f>
        <v>#NAME?</v>
      </c>
      <c r="R213" s="4" t="e">
        <f ca="1">[1]!BexGetData("DP_1","00O2TNJGODT0G5Z4TTKYMMBYD","GSON1112030492")</f>
        <v>#NAME?</v>
      </c>
      <c r="S213" s="4" t="e">
        <f ca="1">[1]!BexGetData("DP_1","00O2TNJGODT0G5Z4TTKYMMI9X","GSON1112030492")</f>
        <v>#NAME?</v>
      </c>
      <c r="T213" s="4" t="e">
        <f ca="1">[1]!BexGetData("DP_1","00O2TNJGODT0G5Z4TTKYMMOLH","GSON1112030492")</f>
        <v>#NAME?</v>
      </c>
      <c r="U213" s="4" t="e">
        <f ca="1">[1]!BexGetData("DP_1","00O2TNJGODT0G5Z4TTKYMMUX1","GSON1112030492")</f>
        <v>#NAME?</v>
      </c>
      <c r="V213" s="4" t="e">
        <f ca="1">[1]!BexGetData("DP_1","00O2TNJGODT0G5Z4TTKYMN18L","GSON1112030492")</f>
        <v>#NAME?</v>
      </c>
      <c r="W213" s="4" t="e">
        <f ca="1">[1]!BexGetData("DP_1","00O2TNJGODT0G5Z4TTKYMN7K5","GSON1112030492")</f>
        <v>#NAME?</v>
      </c>
    </row>
    <row r="214" spans="1:23" x14ac:dyDescent="0.2">
      <c r="A214" s="16" t="s">
        <v>2031</v>
      </c>
      <c r="B214" s="7" t="s">
        <v>799</v>
      </c>
      <c r="C214" s="3" t="e">
        <f ca="1">[1]!BexGetData("DP_1","003N8EMH8GTFRCSWKMPXRR8GU","GSON1112030493")</f>
        <v>#NAME?</v>
      </c>
      <c r="D214" s="3" t="e">
        <f ca="1">[1]!BexGetData("DP_1","003N8EMH8GTFRCSWKMPXRRESE","GSON1112030493")</f>
        <v>#NAME?</v>
      </c>
      <c r="E214" s="8" t="e">
        <f ca="1">[1]!BexGetData("DP_1","003N8EMH8GTFRCSWKMPXRRL3Y","GSON1112030493")</f>
        <v>#NAME?</v>
      </c>
      <c r="F214" s="4" t="e">
        <f ca="1">[1]!BexGetData("DP_1","003N8EMH8GTFRCSWKMPXRRRFI","GSON1112030493")</f>
        <v>#NAME?</v>
      </c>
      <c r="G214" s="4" t="e">
        <f ca="1">[1]!BexGetData("DP_1","003N8EMH8GTFRCSWKMPXRRXR2","GSON1112030493")</f>
        <v>#NAME?</v>
      </c>
      <c r="H214" s="4" t="e">
        <f ca="1">[1]!BexGetData("DP_1","003N8EMH8GTFRCSWKMPXRS42M","GSON1112030493")</f>
        <v>#NAME?</v>
      </c>
      <c r="I214" s="4" t="e">
        <f ca="1">[1]!BexGetData("DP_1","003N8EMH8GTFRCSWKMPXRSAE6","GSON1112030493")</f>
        <v>#NAME?</v>
      </c>
      <c r="J214" s="4" t="e">
        <f ca="1">[1]!BexGetData("DP_1","003N8EMH8GTFRCSWKMPXRSGPQ","GSON1112030493")</f>
        <v>#NAME?</v>
      </c>
      <c r="K214" s="8" t="e">
        <f ca="1">[1]!BexGetData("DP_1","003N8EMH8GTFRIVNUPY288VJH","GSON1112030493")</f>
        <v>#NAME?</v>
      </c>
      <c r="L214" s="8" t="e">
        <f ca="1">[1]!BexGetData("DP_1","003N8EMH8GTFRIVNUPY2891V1","GSON1112030493")</f>
        <v>#NAME?</v>
      </c>
      <c r="M214" s="8" t="e">
        <f ca="1">[1]!BexGetData("DP_1","003N8EMH8GTFRIVOG7KG9IQXA","GSON1112030493")</f>
        <v>#NAME?</v>
      </c>
      <c r="N214" s="8" t="e">
        <f ca="1">[1]!BexGetData("DP_1","003N8EMH8GTFRIVOG7KG9IX8U","GSON1112030493")</f>
        <v>#NAME?</v>
      </c>
      <c r="O214" s="8" t="e">
        <f ca="1">[1]!BexGetData("DP_1","003N8EMH8GTFRIVOG7KG9J3KE","GSON1112030493")</f>
        <v>#NAME?</v>
      </c>
      <c r="P214" s="8" t="e">
        <f ca="1">[1]!BexGetData("DP_1","003N8EMH8GTFRIVOG7KG9J9VY","GSON1112030493")</f>
        <v>#NAME?</v>
      </c>
      <c r="Q214" s="4" t="e">
        <f ca="1">[1]!BexGetData("DP_1","00O2TNJGODT0G5Z4TTKYMM5MT","GSON1112030493")</f>
        <v>#NAME?</v>
      </c>
      <c r="R214" s="4" t="e">
        <f ca="1">[1]!BexGetData("DP_1","00O2TNJGODT0G5Z4TTKYMMBYD","GSON1112030493")</f>
        <v>#NAME?</v>
      </c>
      <c r="S214" s="4" t="e">
        <f ca="1">[1]!BexGetData("DP_1","00O2TNJGODT0G5Z4TTKYMMI9X","GSON1112030493")</f>
        <v>#NAME?</v>
      </c>
      <c r="T214" s="4" t="e">
        <f ca="1">[1]!BexGetData("DP_1","00O2TNJGODT0G5Z4TTKYMMOLH","GSON1112030493")</f>
        <v>#NAME?</v>
      </c>
      <c r="U214" s="4" t="e">
        <f ca="1">[1]!BexGetData("DP_1","00O2TNJGODT0G5Z4TTKYMMUX1","GSON1112030493")</f>
        <v>#NAME?</v>
      </c>
      <c r="V214" s="4" t="e">
        <f ca="1">[1]!BexGetData("DP_1","00O2TNJGODT0G5Z4TTKYMN18L","GSON1112030493")</f>
        <v>#NAME?</v>
      </c>
      <c r="W214" s="4" t="e">
        <f ca="1">[1]!BexGetData("DP_1","00O2TNJGODT0G5Z4TTKYMN7K5","GSON1112030493")</f>
        <v>#NAME?</v>
      </c>
    </row>
    <row r="215" spans="1:23" x14ac:dyDescent="0.2">
      <c r="A215" s="16" t="s">
        <v>2032</v>
      </c>
      <c r="B215" s="7" t="s">
        <v>800</v>
      </c>
      <c r="C215" s="3" t="e">
        <f ca="1">[1]!BexGetData("DP_1","003N8EMH8GTFRCSWKMPXRR8GU","GSON1112030494")</f>
        <v>#NAME?</v>
      </c>
      <c r="D215" s="3" t="e">
        <f ca="1">[1]!BexGetData("DP_1","003N8EMH8GTFRCSWKMPXRRESE","GSON1112030494")</f>
        <v>#NAME?</v>
      </c>
      <c r="E215" s="8" t="e">
        <f ca="1">[1]!BexGetData("DP_1","003N8EMH8GTFRCSWKMPXRRL3Y","GSON1112030494")</f>
        <v>#NAME?</v>
      </c>
      <c r="F215" s="4" t="e">
        <f ca="1">[1]!BexGetData("DP_1","003N8EMH8GTFRCSWKMPXRRRFI","GSON1112030494")</f>
        <v>#NAME?</v>
      </c>
      <c r="G215" s="4" t="e">
        <f ca="1">[1]!BexGetData("DP_1","003N8EMH8GTFRCSWKMPXRRXR2","GSON1112030494")</f>
        <v>#NAME?</v>
      </c>
      <c r="H215" s="4" t="e">
        <f ca="1">[1]!BexGetData("DP_1","003N8EMH8GTFRCSWKMPXRS42M","GSON1112030494")</f>
        <v>#NAME?</v>
      </c>
      <c r="I215" s="4" t="e">
        <f ca="1">[1]!BexGetData("DP_1","003N8EMH8GTFRCSWKMPXRSAE6","GSON1112030494")</f>
        <v>#NAME?</v>
      </c>
      <c r="J215" s="4" t="e">
        <f ca="1">[1]!BexGetData("DP_1","003N8EMH8GTFRCSWKMPXRSGPQ","GSON1112030494")</f>
        <v>#NAME?</v>
      </c>
      <c r="K215" s="8" t="e">
        <f ca="1">[1]!BexGetData("DP_1","003N8EMH8GTFRIVNUPY288VJH","GSON1112030494")</f>
        <v>#NAME?</v>
      </c>
      <c r="L215" s="8" t="e">
        <f ca="1">[1]!BexGetData("DP_1","003N8EMH8GTFRIVNUPY2891V1","GSON1112030494")</f>
        <v>#NAME?</v>
      </c>
      <c r="M215" s="8" t="e">
        <f ca="1">[1]!BexGetData("DP_1","003N8EMH8GTFRIVOG7KG9IQXA","GSON1112030494")</f>
        <v>#NAME?</v>
      </c>
      <c r="N215" s="8" t="e">
        <f ca="1">[1]!BexGetData("DP_1","003N8EMH8GTFRIVOG7KG9IX8U","GSON1112030494")</f>
        <v>#NAME?</v>
      </c>
      <c r="O215" s="8" t="e">
        <f ca="1">[1]!BexGetData("DP_1","003N8EMH8GTFRIVOG7KG9J3KE","GSON1112030494")</f>
        <v>#NAME?</v>
      </c>
      <c r="P215" s="8" t="e">
        <f ca="1">[1]!BexGetData("DP_1","003N8EMH8GTFRIVOG7KG9J9VY","GSON1112030494")</f>
        <v>#NAME?</v>
      </c>
      <c r="Q215" s="4" t="e">
        <f ca="1">[1]!BexGetData("DP_1","00O2TNJGODT0G5Z4TTKYMM5MT","GSON1112030494")</f>
        <v>#NAME?</v>
      </c>
      <c r="R215" s="4" t="e">
        <f ca="1">[1]!BexGetData("DP_1","00O2TNJGODT0G5Z4TTKYMMBYD","GSON1112030494")</f>
        <v>#NAME?</v>
      </c>
      <c r="S215" s="4" t="e">
        <f ca="1">[1]!BexGetData("DP_1","00O2TNJGODT0G5Z4TTKYMMI9X","GSON1112030494")</f>
        <v>#NAME?</v>
      </c>
      <c r="T215" s="4" t="e">
        <f ca="1">[1]!BexGetData("DP_1","00O2TNJGODT0G5Z4TTKYMMOLH","GSON1112030494")</f>
        <v>#NAME?</v>
      </c>
      <c r="U215" s="4" t="e">
        <f ca="1">[1]!BexGetData("DP_1","00O2TNJGODT0G5Z4TTKYMMUX1","GSON1112030494")</f>
        <v>#NAME?</v>
      </c>
      <c r="V215" s="4" t="e">
        <f ca="1">[1]!BexGetData("DP_1","00O2TNJGODT0G5Z4TTKYMN18L","GSON1112030494")</f>
        <v>#NAME?</v>
      </c>
      <c r="W215" s="4" t="e">
        <f ca="1">[1]!BexGetData("DP_1","00O2TNJGODT0G5Z4TTKYMN7K5","GSON1112030494")</f>
        <v>#NAME?</v>
      </c>
    </row>
    <row r="216" spans="1:23" x14ac:dyDescent="0.2">
      <c r="A216" s="16" t="s">
        <v>2033</v>
      </c>
      <c r="B216" s="7" t="s">
        <v>801</v>
      </c>
      <c r="C216" s="3" t="e">
        <f ca="1">[1]!BexGetData("DP_1","003N8EMH8GTFRCSWKMPXRR8GU","GSON1112030500")</f>
        <v>#NAME?</v>
      </c>
      <c r="D216" s="3" t="e">
        <f ca="1">[1]!BexGetData("DP_1","003N8EMH8GTFRCSWKMPXRRESE","GSON1112030500")</f>
        <v>#NAME?</v>
      </c>
      <c r="E216" s="3" t="e">
        <f ca="1">[1]!BexGetData("DP_1","003N8EMH8GTFRCSWKMPXRRL3Y","GSON1112030500")</f>
        <v>#NAME?</v>
      </c>
      <c r="F216" s="3" t="e">
        <f ca="1">[1]!BexGetData("DP_1","003N8EMH8GTFRCSWKMPXRRRFI","GSON1112030500")</f>
        <v>#NAME?</v>
      </c>
      <c r="G216" s="3" t="e">
        <f ca="1">[1]!BexGetData("DP_1","003N8EMH8GTFRCSWKMPXRRXR2","GSON1112030500")</f>
        <v>#NAME?</v>
      </c>
      <c r="H216" s="8" t="e">
        <f ca="1">[1]!BexGetData("DP_1","003N8EMH8GTFRCSWKMPXRS42M","GSON1112030500")</f>
        <v>#NAME?</v>
      </c>
      <c r="I216" s="3" t="e">
        <f ca="1">[1]!BexGetData("DP_1","003N8EMH8GTFRCSWKMPXRSAE6","GSON1112030500")</f>
        <v>#NAME?</v>
      </c>
      <c r="J216" s="4" t="e">
        <f ca="1">[1]!BexGetData("DP_1","003N8EMH8GTFRCSWKMPXRSGPQ","GSON1112030500")</f>
        <v>#NAME?</v>
      </c>
      <c r="K216" s="3" t="e">
        <f ca="1">[1]!BexGetData("DP_1","003N8EMH8GTFRIVNUPY288VJH","GSON1112030500")</f>
        <v>#NAME?</v>
      </c>
      <c r="L216" s="3" t="e">
        <f ca="1">[1]!BexGetData("DP_1","003N8EMH8GTFRIVNUPY2891V1","GSON1112030500")</f>
        <v>#NAME?</v>
      </c>
      <c r="M216" s="3" t="e">
        <f ca="1">[1]!BexGetData("DP_1","003N8EMH8GTFRIVOG7KG9IQXA","GSON1112030500")</f>
        <v>#NAME?</v>
      </c>
      <c r="N216" s="8" t="e">
        <f ca="1">[1]!BexGetData("DP_1","003N8EMH8GTFRIVOG7KG9IX8U","GSON1112030500")</f>
        <v>#NAME?</v>
      </c>
      <c r="O216" s="3" t="e">
        <f ca="1">[1]!BexGetData("DP_1","003N8EMH8GTFRIVOG7KG9J3KE","GSON1112030500")</f>
        <v>#NAME?</v>
      </c>
      <c r="P216" s="8" t="e">
        <f ca="1">[1]!BexGetData("DP_1","003N8EMH8GTFRIVOG7KG9J9VY","GSON1112030500")</f>
        <v>#NAME?</v>
      </c>
      <c r="Q216" s="4" t="e">
        <f ca="1">[1]!BexGetData("DP_1","00O2TNJGODT0G5Z4TTKYMM5MT","GSON1112030500")</f>
        <v>#NAME?</v>
      </c>
      <c r="R216" s="3" t="e">
        <f ca="1">[1]!BexGetData("DP_1","00O2TNJGODT0G5Z4TTKYMMBYD","GSON1112030500")</f>
        <v>#NAME?</v>
      </c>
      <c r="S216" s="3" t="e">
        <f ca="1">[1]!BexGetData("DP_1","00O2TNJGODT0G5Z4TTKYMMI9X","GSON1112030500")</f>
        <v>#NAME?</v>
      </c>
      <c r="T216" s="8" t="e">
        <f ca="1">[1]!BexGetData("DP_1","00O2TNJGODT0G5Z4TTKYMMOLH","GSON1112030500")</f>
        <v>#NAME?</v>
      </c>
      <c r="U216" s="3" t="e">
        <f ca="1">[1]!BexGetData("DP_1","00O2TNJGODT0G5Z4TTKYMMUX1","GSON1112030500")</f>
        <v>#NAME?</v>
      </c>
      <c r="V216" s="8" t="e">
        <f ca="1">[1]!BexGetData("DP_1","00O2TNJGODT0G5Z4TTKYMN18L","GSON1112030500")</f>
        <v>#NAME?</v>
      </c>
      <c r="W216" s="3" t="e">
        <f ca="1">[1]!BexGetData("DP_1","00O2TNJGODT0G5Z4TTKYMN7K5","GSON1112030500")</f>
        <v>#NAME?</v>
      </c>
    </row>
    <row r="217" spans="1:23" x14ac:dyDescent="0.2">
      <c r="A217" s="16" t="s">
        <v>2034</v>
      </c>
      <c r="B217" s="7" t="s">
        <v>802</v>
      </c>
      <c r="C217" s="3" t="e">
        <f ca="1">[1]!BexGetData("DP_1","003N8EMH8GTFRCSWKMPXRR8GU","GSON1112030501")</f>
        <v>#NAME?</v>
      </c>
      <c r="D217" s="3" t="e">
        <f ca="1">[1]!BexGetData("DP_1","003N8EMH8GTFRCSWKMPXRRESE","GSON1112030501")</f>
        <v>#NAME?</v>
      </c>
      <c r="E217" s="3" t="e">
        <f ca="1">[1]!BexGetData("DP_1","003N8EMH8GTFRCSWKMPXRRL3Y","GSON1112030501")</f>
        <v>#NAME?</v>
      </c>
      <c r="F217" s="3" t="e">
        <f ca="1">[1]!BexGetData("DP_1","003N8EMH8GTFRCSWKMPXRRRFI","GSON1112030501")</f>
        <v>#NAME?</v>
      </c>
      <c r="G217" s="3" t="e">
        <f ca="1">[1]!BexGetData("DP_1","003N8EMH8GTFRCSWKMPXRRXR2","GSON1112030501")</f>
        <v>#NAME?</v>
      </c>
      <c r="H217" s="8" t="e">
        <f ca="1">[1]!BexGetData("DP_1","003N8EMH8GTFRCSWKMPXRS42M","GSON1112030501")</f>
        <v>#NAME?</v>
      </c>
      <c r="I217" s="3" t="e">
        <f ca="1">[1]!BexGetData("DP_1","003N8EMH8GTFRCSWKMPXRSAE6","GSON1112030501")</f>
        <v>#NAME?</v>
      </c>
      <c r="J217" s="4" t="e">
        <f ca="1">[1]!BexGetData("DP_1","003N8EMH8GTFRCSWKMPXRSGPQ","GSON1112030501")</f>
        <v>#NAME?</v>
      </c>
      <c r="K217" s="3" t="e">
        <f ca="1">[1]!BexGetData("DP_1","003N8EMH8GTFRIVNUPY288VJH","GSON1112030501")</f>
        <v>#NAME?</v>
      </c>
      <c r="L217" s="3" t="e">
        <f ca="1">[1]!BexGetData("DP_1","003N8EMH8GTFRIVNUPY2891V1","GSON1112030501")</f>
        <v>#NAME?</v>
      </c>
      <c r="M217" s="3" t="e">
        <f ca="1">[1]!BexGetData("DP_1","003N8EMH8GTFRIVOG7KG9IQXA","GSON1112030501")</f>
        <v>#NAME?</v>
      </c>
      <c r="N217" s="8" t="e">
        <f ca="1">[1]!BexGetData("DP_1","003N8EMH8GTFRIVOG7KG9IX8U","GSON1112030501")</f>
        <v>#NAME?</v>
      </c>
      <c r="O217" s="3" t="e">
        <f ca="1">[1]!BexGetData("DP_1","003N8EMH8GTFRIVOG7KG9J3KE","GSON1112030501")</f>
        <v>#NAME?</v>
      </c>
      <c r="P217" s="8" t="e">
        <f ca="1">[1]!BexGetData("DP_1","003N8EMH8GTFRIVOG7KG9J9VY","GSON1112030501")</f>
        <v>#NAME?</v>
      </c>
      <c r="Q217" s="4" t="e">
        <f ca="1">[1]!BexGetData("DP_1","00O2TNJGODT0G5Z4TTKYMM5MT","GSON1112030501")</f>
        <v>#NAME?</v>
      </c>
      <c r="R217" s="3" t="e">
        <f ca="1">[1]!BexGetData("DP_1","00O2TNJGODT0G5Z4TTKYMMBYD","GSON1112030501")</f>
        <v>#NAME?</v>
      </c>
      <c r="S217" s="3" t="e">
        <f ca="1">[1]!BexGetData("DP_1","00O2TNJGODT0G5Z4TTKYMMI9X","GSON1112030501")</f>
        <v>#NAME?</v>
      </c>
      <c r="T217" s="8" t="e">
        <f ca="1">[1]!BexGetData("DP_1","00O2TNJGODT0G5Z4TTKYMMOLH","GSON1112030501")</f>
        <v>#NAME?</v>
      </c>
      <c r="U217" s="3" t="e">
        <f ca="1">[1]!BexGetData("DP_1","00O2TNJGODT0G5Z4TTKYMMUX1","GSON1112030501")</f>
        <v>#NAME?</v>
      </c>
      <c r="V217" s="8" t="e">
        <f ca="1">[1]!BexGetData("DP_1","00O2TNJGODT0G5Z4TTKYMN18L","GSON1112030501")</f>
        <v>#NAME?</v>
      </c>
      <c r="W217" s="3" t="e">
        <f ca="1">[1]!BexGetData("DP_1","00O2TNJGODT0G5Z4TTKYMN7K5","GSON1112030501")</f>
        <v>#NAME?</v>
      </c>
    </row>
    <row r="218" spans="1:23" x14ac:dyDescent="0.2">
      <c r="A218" s="16" t="s">
        <v>2035</v>
      </c>
      <c r="B218" s="7" t="s">
        <v>2036</v>
      </c>
      <c r="C218" s="3" t="e">
        <f ca="1">[1]!BexGetData("DP_1","003N8EMH8GTFRCSWKMPXRR8GU","GSON1112030502")</f>
        <v>#NAME?</v>
      </c>
      <c r="D218" s="3" t="e">
        <f ca="1">[1]!BexGetData("DP_1","003N8EMH8GTFRCSWKMPXRRESE","GSON1112030502")</f>
        <v>#NAME?</v>
      </c>
      <c r="E218" s="3" t="e">
        <f ca="1">[1]!BexGetData("DP_1","003N8EMH8GTFRCSWKMPXRRL3Y","GSON1112030502")</f>
        <v>#NAME?</v>
      </c>
      <c r="F218" s="4" t="e">
        <f ca="1">[1]!BexGetData("DP_1","003N8EMH8GTFRCSWKMPXRRRFI","GSON1112030502")</f>
        <v>#NAME?</v>
      </c>
      <c r="G218" s="4" t="e">
        <f ca="1">[1]!BexGetData("DP_1","003N8EMH8GTFRCSWKMPXRRXR2","GSON1112030502")</f>
        <v>#NAME?</v>
      </c>
      <c r="H218" s="4" t="e">
        <f ca="1">[1]!BexGetData("DP_1","003N8EMH8GTFRCSWKMPXRS42M","GSON1112030502")</f>
        <v>#NAME?</v>
      </c>
      <c r="I218" s="4" t="e">
        <f ca="1">[1]!BexGetData("DP_1","003N8EMH8GTFRCSWKMPXRSAE6","GSON1112030502")</f>
        <v>#NAME?</v>
      </c>
      <c r="J218" s="4" t="e">
        <f ca="1">[1]!BexGetData("DP_1","003N8EMH8GTFRCSWKMPXRSGPQ","GSON1112030502")</f>
        <v>#NAME?</v>
      </c>
      <c r="K218" s="3" t="e">
        <f ca="1">[1]!BexGetData("DP_1","003N8EMH8GTFRIVNUPY288VJH","GSON1112030502")</f>
        <v>#NAME?</v>
      </c>
      <c r="L218" s="3" t="e">
        <f ca="1">[1]!BexGetData("DP_1","003N8EMH8GTFRIVNUPY2891V1","GSON1112030502")</f>
        <v>#NAME?</v>
      </c>
      <c r="M218" s="8" t="e">
        <f ca="1">[1]!BexGetData("DP_1","003N8EMH8GTFRIVOG7KG9IQXA","GSON1112030502")</f>
        <v>#NAME?</v>
      </c>
      <c r="N218" s="3" t="e">
        <f ca="1">[1]!BexGetData("DP_1","003N8EMH8GTFRIVOG7KG9IX8U","GSON1112030502")</f>
        <v>#NAME?</v>
      </c>
      <c r="O218" s="8" t="e">
        <f ca="1">[1]!BexGetData("DP_1","003N8EMH8GTFRIVOG7KG9J3KE","GSON1112030502")</f>
        <v>#NAME?</v>
      </c>
      <c r="P218" s="3" t="e">
        <f ca="1">[1]!BexGetData("DP_1","003N8EMH8GTFRIVOG7KG9J9VY","GSON1112030502")</f>
        <v>#NAME?</v>
      </c>
      <c r="Q218" s="4" t="e">
        <f ca="1">[1]!BexGetData("DP_1","00O2TNJGODT0G5Z4TTKYMM5MT","GSON1112030502")</f>
        <v>#NAME?</v>
      </c>
      <c r="R218" s="4" t="e">
        <f ca="1">[1]!BexGetData("DP_1","00O2TNJGODT0G5Z4TTKYMMBYD","GSON1112030502")</f>
        <v>#NAME?</v>
      </c>
      <c r="S218" s="4" t="e">
        <f ca="1">[1]!BexGetData("DP_1","00O2TNJGODT0G5Z4TTKYMMI9X","GSON1112030502")</f>
        <v>#NAME?</v>
      </c>
      <c r="T218" s="4" t="e">
        <f ca="1">[1]!BexGetData("DP_1","00O2TNJGODT0G5Z4TTKYMMOLH","GSON1112030502")</f>
        <v>#NAME?</v>
      </c>
      <c r="U218" s="4" t="e">
        <f ca="1">[1]!BexGetData("DP_1","00O2TNJGODT0G5Z4TTKYMMUX1","GSON1112030502")</f>
        <v>#NAME?</v>
      </c>
      <c r="V218" s="4" t="e">
        <f ca="1">[1]!BexGetData("DP_1","00O2TNJGODT0G5Z4TTKYMN18L","GSON1112030502")</f>
        <v>#NAME?</v>
      </c>
      <c r="W218" s="4" t="e">
        <f ca="1">[1]!BexGetData("DP_1","00O2TNJGODT0G5Z4TTKYMN7K5","GSON1112030502")</f>
        <v>#NAME?</v>
      </c>
    </row>
    <row r="219" spans="1:23" x14ac:dyDescent="0.2">
      <c r="A219" s="16" t="s">
        <v>2037</v>
      </c>
      <c r="B219" s="7" t="s">
        <v>803</v>
      </c>
      <c r="C219" s="3" t="e">
        <f ca="1">[1]!BexGetData("DP_1","003N8EMH8GTFRCSWKMPXRR8GU","GSON1112030503")</f>
        <v>#NAME?</v>
      </c>
      <c r="D219" s="3" t="e">
        <f ca="1">[1]!BexGetData("DP_1","003N8EMH8GTFRCSWKMPXRRESE","GSON1112030503")</f>
        <v>#NAME?</v>
      </c>
      <c r="E219" s="3" t="e">
        <f ca="1">[1]!BexGetData("DP_1","003N8EMH8GTFRCSWKMPXRRL3Y","GSON1112030503")</f>
        <v>#NAME?</v>
      </c>
      <c r="F219" s="4" t="e">
        <f ca="1">[1]!BexGetData("DP_1","003N8EMH8GTFRCSWKMPXRRRFI","GSON1112030503")</f>
        <v>#NAME?</v>
      </c>
      <c r="G219" s="4" t="e">
        <f ca="1">[1]!BexGetData("DP_1","003N8EMH8GTFRCSWKMPXRRXR2","GSON1112030503")</f>
        <v>#NAME?</v>
      </c>
      <c r="H219" s="4" t="e">
        <f ca="1">[1]!BexGetData("DP_1","003N8EMH8GTFRCSWKMPXRS42M","GSON1112030503")</f>
        <v>#NAME?</v>
      </c>
      <c r="I219" s="4" t="e">
        <f ca="1">[1]!BexGetData("DP_1","003N8EMH8GTFRCSWKMPXRSAE6","GSON1112030503")</f>
        <v>#NAME?</v>
      </c>
      <c r="J219" s="4" t="e">
        <f ca="1">[1]!BexGetData("DP_1","003N8EMH8GTFRCSWKMPXRSGPQ","GSON1112030503")</f>
        <v>#NAME?</v>
      </c>
      <c r="K219" s="3" t="e">
        <f ca="1">[1]!BexGetData("DP_1","003N8EMH8GTFRIVNUPY288VJH","GSON1112030503")</f>
        <v>#NAME?</v>
      </c>
      <c r="L219" s="3" t="e">
        <f ca="1">[1]!BexGetData("DP_1","003N8EMH8GTFRIVNUPY2891V1","GSON1112030503")</f>
        <v>#NAME?</v>
      </c>
      <c r="M219" s="8" t="e">
        <f ca="1">[1]!BexGetData("DP_1","003N8EMH8GTFRIVOG7KG9IQXA","GSON1112030503")</f>
        <v>#NAME?</v>
      </c>
      <c r="N219" s="3" t="e">
        <f ca="1">[1]!BexGetData("DP_1","003N8EMH8GTFRIVOG7KG9IX8U","GSON1112030503")</f>
        <v>#NAME?</v>
      </c>
      <c r="O219" s="8" t="e">
        <f ca="1">[1]!BexGetData("DP_1","003N8EMH8GTFRIVOG7KG9J3KE","GSON1112030503")</f>
        <v>#NAME?</v>
      </c>
      <c r="P219" s="3" t="e">
        <f ca="1">[1]!BexGetData("DP_1","003N8EMH8GTFRIVOG7KG9J9VY","GSON1112030503")</f>
        <v>#NAME?</v>
      </c>
      <c r="Q219" s="4" t="e">
        <f ca="1">[1]!BexGetData("DP_1","00O2TNJGODT0G5Z4TTKYMM5MT","GSON1112030503")</f>
        <v>#NAME?</v>
      </c>
      <c r="R219" s="4" t="e">
        <f ca="1">[1]!BexGetData("DP_1","00O2TNJGODT0G5Z4TTKYMMBYD","GSON1112030503")</f>
        <v>#NAME?</v>
      </c>
      <c r="S219" s="4" t="e">
        <f ca="1">[1]!BexGetData("DP_1","00O2TNJGODT0G5Z4TTKYMMI9X","GSON1112030503")</f>
        <v>#NAME?</v>
      </c>
      <c r="T219" s="4" t="e">
        <f ca="1">[1]!BexGetData("DP_1","00O2TNJGODT0G5Z4TTKYMMOLH","GSON1112030503")</f>
        <v>#NAME?</v>
      </c>
      <c r="U219" s="4" t="e">
        <f ca="1">[1]!BexGetData("DP_1","00O2TNJGODT0G5Z4TTKYMMUX1","GSON1112030503")</f>
        <v>#NAME?</v>
      </c>
      <c r="V219" s="4" t="e">
        <f ca="1">[1]!BexGetData("DP_1","00O2TNJGODT0G5Z4TTKYMN18L","GSON1112030503")</f>
        <v>#NAME?</v>
      </c>
      <c r="W219" s="4" t="e">
        <f ca="1">[1]!BexGetData("DP_1","00O2TNJGODT0G5Z4TTKYMN7K5","GSON1112030503")</f>
        <v>#NAME?</v>
      </c>
    </row>
    <row r="220" spans="1:23" x14ac:dyDescent="0.2">
      <c r="A220" s="16" t="s">
        <v>2038</v>
      </c>
      <c r="B220" s="7" t="s">
        <v>804</v>
      </c>
      <c r="C220" s="3" t="e">
        <f ca="1">[1]!BexGetData("DP_1","003N8EMH8GTFRCSWKMPXRR8GU","GSON1112030504")</f>
        <v>#NAME?</v>
      </c>
      <c r="D220" s="3" t="e">
        <f ca="1">[1]!BexGetData("DP_1","003N8EMH8GTFRCSWKMPXRRESE","GSON1112030504")</f>
        <v>#NAME?</v>
      </c>
      <c r="E220" s="3" t="e">
        <f ca="1">[1]!BexGetData("DP_1","003N8EMH8GTFRCSWKMPXRRL3Y","GSON1112030504")</f>
        <v>#NAME?</v>
      </c>
      <c r="F220" s="4" t="e">
        <f ca="1">[1]!BexGetData("DP_1","003N8EMH8GTFRCSWKMPXRRRFI","GSON1112030504")</f>
        <v>#NAME?</v>
      </c>
      <c r="G220" s="4" t="e">
        <f ca="1">[1]!BexGetData("DP_1","003N8EMH8GTFRCSWKMPXRRXR2","GSON1112030504")</f>
        <v>#NAME?</v>
      </c>
      <c r="H220" s="4" t="e">
        <f ca="1">[1]!BexGetData("DP_1","003N8EMH8GTFRCSWKMPXRS42M","GSON1112030504")</f>
        <v>#NAME?</v>
      </c>
      <c r="I220" s="4" t="e">
        <f ca="1">[1]!BexGetData("DP_1","003N8EMH8GTFRCSWKMPXRSAE6","GSON1112030504")</f>
        <v>#NAME?</v>
      </c>
      <c r="J220" s="4" t="e">
        <f ca="1">[1]!BexGetData("DP_1","003N8EMH8GTFRCSWKMPXRSGPQ","GSON1112030504")</f>
        <v>#NAME?</v>
      </c>
      <c r="K220" s="3" t="e">
        <f ca="1">[1]!BexGetData("DP_1","003N8EMH8GTFRIVNUPY288VJH","GSON1112030504")</f>
        <v>#NAME?</v>
      </c>
      <c r="L220" s="3" t="e">
        <f ca="1">[1]!BexGetData("DP_1","003N8EMH8GTFRIVNUPY2891V1","GSON1112030504")</f>
        <v>#NAME?</v>
      </c>
      <c r="M220" s="3" t="e">
        <f ca="1">[1]!BexGetData("DP_1","003N8EMH8GTFRIVOG7KG9IQXA","GSON1112030504")</f>
        <v>#NAME?</v>
      </c>
      <c r="N220" s="8" t="e">
        <f ca="1">[1]!BexGetData("DP_1","003N8EMH8GTFRIVOG7KG9IX8U","GSON1112030504")</f>
        <v>#NAME?</v>
      </c>
      <c r="O220" s="3" t="e">
        <f ca="1">[1]!BexGetData("DP_1","003N8EMH8GTFRIVOG7KG9J3KE","GSON1112030504")</f>
        <v>#NAME?</v>
      </c>
      <c r="P220" s="8" t="e">
        <f ca="1">[1]!BexGetData("DP_1","003N8EMH8GTFRIVOG7KG9J9VY","GSON1112030504")</f>
        <v>#NAME?</v>
      </c>
      <c r="Q220" s="4" t="e">
        <f ca="1">[1]!BexGetData("DP_1","00O2TNJGODT0G5Z4TTKYMM5MT","GSON1112030504")</f>
        <v>#NAME?</v>
      </c>
      <c r="R220" s="4" t="e">
        <f ca="1">[1]!BexGetData("DP_1","00O2TNJGODT0G5Z4TTKYMMBYD","GSON1112030504")</f>
        <v>#NAME?</v>
      </c>
      <c r="S220" s="4" t="e">
        <f ca="1">[1]!BexGetData("DP_1","00O2TNJGODT0G5Z4TTKYMMI9X","GSON1112030504")</f>
        <v>#NAME?</v>
      </c>
      <c r="T220" s="4" t="e">
        <f ca="1">[1]!BexGetData("DP_1","00O2TNJGODT0G5Z4TTKYMMOLH","GSON1112030504")</f>
        <v>#NAME?</v>
      </c>
      <c r="U220" s="4" t="e">
        <f ca="1">[1]!BexGetData("DP_1","00O2TNJGODT0G5Z4TTKYMMUX1","GSON1112030504")</f>
        <v>#NAME?</v>
      </c>
      <c r="V220" s="4" t="e">
        <f ca="1">[1]!BexGetData("DP_1","00O2TNJGODT0G5Z4TTKYMN18L","GSON1112030504")</f>
        <v>#NAME?</v>
      </c>
      <c r="W220" s="4" t="e">
        <f ca="1">[1]!BexGetData("DP_1","00O2TNJGODT0G5Z4TTKYMN7K5","GSON1112030504")</f>
        <v>#NAME?</v>
      </c>
    </row>
    <row r="221" spans="1:23" x14ac:dyDescent="0.2">
      <c r="A221" s="16" t="s">
        <v>167</v>
      </c>
      <c r="B221" s="7" t="s">
        <v>168</v>
      </c>
      <c r="C221" s="3" t="e">
        <f ca="1">[1]!BexGetData("DP_1","003N8EMH8GTFRCSWKMPXRR8GU","GSON1112030510")</f>
        <v>#NAME?</v>
      </c>
      <c r="D221" s="3" t="e">
        <f ca="1">[1]!BexGetData("DP_1","003N8EMH8GTFRCSWKMPXRRESE","GSON1112030510")</f>
        <v>#NAME?</v>
      </c>
      <c r="E221" s="3" t="e">
        <f ca="1">[1]!BexGetData("DP_1","003N8EMH8GTFRCSWKMPXRRL3Y","GSON1112030510")</f>
        <v>#NAME?</v>
      </c>
      <c r="F221" s="3" t="e">
        <f ca="1">[1]!BexGetData("DP_1","003N8EMH8GTFRCSWKMPXRRRFI","GSON1112030510")</f>
        <v>#NAME?</v>
      </c>
      <c r="G221" s="3" t="e">
        <f ca="1">[1]!BexGetData("DP_1","003N8EMH8GTFRCSWKMPXRRXR2","GSON1112030510")</f>
        <v>#NAME?</v>
      </c>
      <c r="H221" s="8" t="e">
        <f ca="1">[1]!BexGetData("DP_1","003N8EMH8GTFRCSWKMPXRS42M","GSON1112030510")</f>
        <v>#NAME?</v>
      </c>
      <c r="I221" s="3" t="e">
        <f ca="1">[1]!BexGetData("DP_1","003N8EMH8GTFRCSWKMPXRSAE6","GSON1112030510")</f>
        <v>#NAME?</v>
      </c>
      <c r="J221" s="4" t="e">
        <f ca="1">[1]!BexGetData("DP_1","003N8EMH8GTFRCSWKMPXRSGPQ","GSON1112030510")</f>
        <v>#NAME?</v>
      </c>
      <c r="K221" s="3" t="e">
        <f ca="1">[1]!BexGetData("DP_1","003N8EMH8GTFRIVNUPY288VJH","GSON1112030510")</f>
        <v>#NAME?</v>
      </c>
      <c r="L221" s="3" t="e">
        <f ca="1">[1]!BexGetData("DP_1","003N8EMH8GTFRIVNUPY2891V1","GSON1112030510")</f>
        <v>#NAME?</v>
      </c>
      <c r="M221" s="3" t="e">
        <f ca="1">[1]!BexGetData("DP_1","003N8EMH8GTFRIVOG7KG9IQXA","GSON1112030510")</f>
        <v>#NAME?</v>
      </c>
      <c r="N221" s="8" t="e">
        <f ca="1">[1]!BexGetData("DP_1","003N8EMH8GTFRIVOG7KG9IX8U","GSON1112030510")</f>
        <v>#NAME?</v>
      </c>
      <c r="O221" s="3" t="e">
        <f ca="1">[1]!BexGetData("DP_1","003N8EMH8GTFRIVOG7KG9J3KE","GSON1112030510")</f>
        <v>#NAME?</v>
      </c>
      <c r="P221" s="8" t="e">
        <f ca="1">[1]!BexGetData("DP_1","003N8EMH8GTFRIVOG7KG9J9VY","GSON1112030510")</f>
        <v>#NAME?</v>
      </c>
      <c r="Q221" s="4" t="e">
        <f ca="1">[1]!BexGetData("DP_1","00O2TNJGODT0G5Z4TTKYMM5MT","GSON1112030510")</f>
        <v>#NAME?</v>
      </c>
      <c r="R221" s="3" t="e">
        <f ca="1">[1]!BexGetData("DP_1","00O2TNJGODT0G5Z4TTKYMMBYD","GSON1112030510")</f>
        <v>#NAME?</v>
      </c>
      <c r="S221" s="3" t="e">
        <f ca="1">[1]!BexGetData("DP_1","00O2TNJGODT0G5Z4TTKYMMI9X","GSON1112030510")</f>
        <v>#NAME?</v>
      </c>
      <c r="T221" s="8" t="e">
        <f ca="1">[1]!BexGetData("DP_1","00O2TNJGODT0G5Z4TTKYMMOLH","GSON1112030510")</f>
        <v>#NAME?</v>
      </c>
      <c r="U221" s="3" t="e">
        <f ca="1">[1]!BexGetData("DP_1","00O2TNJGODT0G5Z4TTKYMMUX1","GSON1112030510")</f>
        <v>#NAME?</v>
      </c>
      <c r="V221" s="8" t="e">
        <f ca="1">[1]!BexGetData("DP_1","00O2TNJGODT0G5Z4TTKYMN18L","GSON1112030510")</f>
        <v>#NAME?</v>
      </c>
      <c r="W221" s="3" t="e">
        <f ca="1">[1]!BexGetData("DP_1","00O2TNJGODT0G5Z4TTKYMN7K5","GSON1112030510")</f>
        <v>#NAME?</v>
      </c>
    </row>
    <row r="222" spans="1:23" x14ac:dyDescent="0.2">
      <c r="A222" s="16" t="s">
        <v>169</v>
      </c>
      <c r="B222" s="7" t="s">
        <v>170</v>
      </c>
      <c r="C222" s="3" t="e">
        <f ca="1">[1]!BexGetData("DP_1","003N8EMH8GTFRCSWKMPXRR8GU","GSON1112030511")</f>
        <v>#NAME?</v>
      </c>
      <c r="D222" s="3" t="e">
        <f ca="1">[1]!BexGetData("DP_1","003N8EMH8GTFRCSWKMPXRRESE","GSON1112030511")</f>
        <v>#NAME?</v>
      </c>
      <c r="E222" s="3" t="e">
        <f ca="1">[1]!BexGetData("DP_1","003N8EMH8GTFRCSWKMPXRRL3Y","GSON1112030511")</f>
        <v>#NAME?</v>
      </c>
      <c r="F222" s="3" t="e">
        <f ca="1">[1]!BexGetData("DP_1","003N8EMH8GTFRCSWKMPXRRRFI","GSON1112030511")</f>
        <v>#NAME?</v>
      </c>
      <c r="G222" s="3" t="e">
        <f ca="1">[1]!BexGetData("DP_1","003N8EMH8GTFRCSWKMPXRRXR2","GSON1112030511")</f>
        <v>#NAME?</v>
      </c>
      <c r="H222" s="8" t="e">
        <f ca="1">[1]!BexGetData("DP_1","003N8EMH8GTFRCSWKMPXRS42M","GSON1112030511")</f>
        <v>#NAME?</v>
      </c>
      <c r="I222" s="3" t="e">
        <f ca="1">[1]!BexGetData("DP_1","003N8EMH8GTFRCSWKMPXRSAE6","GSON1112030511")</f>
        <v>#NAME?</v>
      </c>
      <c r="J222" s="4" t="e">
        <f ca="1">[1]!BexGetData("DP_1","003N8EMH8GTFRCSWKMPXRSGPQ","GSON1112030511")</f>
        <v>#NAME?</v>
      </c>
      <c r="K222" s="3" t="e">
        <f ca="1">[1]!BexGetData("DP_1","003N8EMH8GTFRIVNUPY288VJH","GSON1112030511")</f>
        <v>#NAME?</v>
      </c>
      <c r="L222" s="3" t="e">
        <f ca="1">[1]!BexGetData("DP_1","003N8EMH8GTFRIVNUPY2891V1","GSON1112030511")</f>
        <v>#NAME?</v>
      </c>
      <c r="M222" s="8" t="e">
        <f ca="1">[1]!BexGetData("DP_1","003N8EMH8GTFRIVOG7KG9IQXA","GSON1112030511")</f>
        <v>#NAME?</v>
      </c>
      <c r="N222" s="3" t="e">
        <f ca="1">[1]!BexGetData("DP_1","003N8EMH8GTFRIVOG7KG9IX8U","GSON1112030511")</f>
        <v>#NAME?</v>
      </c>
      <c r="O222" s="8" t="e">
        <f ca="1">[1]!BexGetData("DP_1","003N8EMH8GTFRIVOG7KG9J3KE","GSON1112030511")</f>
        <v>#NAME?</v>
      </c>
      <c r="P222" s="3" t="e">
        <f ca="1">[1]!BexGetData("DP_1","003N8EMH8GTFRIVOG7KG9J9VY","GSON1112030511")</f>
        <v>#NAME?</v>
      </c>
      <c r="Q222" s="4" t="e">
        <f ca="1">[1]!BexGetData("DP_1","00O2TNJGODT0G5Z4TTKYMM5MT","GSON1112030511")</f>
        <v>#NAME?</v>
      </c>
      <c r="R222" s="3" t="e">
        <f ca="1">[1]!BexGetData("DP_1","00O2TNJGODT0G5Z4TTKYMMBYD","GSON1112030511")</f>
        <v>#NAME?</v>
      </c>
      <c r="S222" s="3" t="e">
        <f ca="1">[1]!BexGetData("DP_1","00O2TNJGODT0G5Z4TTKYMMI9X","GSON1112030511")</f>
        <v>#NAME?</v>
      </c>
      <c r="T222" s="8" t="e">
        <f ca="1">[1]!BexGetData("DP_1","00O2TNJGODT0G5Z4TTKYMMOLH","GSON1112030511")</f>
        <v>#NAME?</v>
      </c>
      <c r="U222" s="3" t="e">
        <f ca="1">[1]!BexGetData("DP_1","00O2TNJGODT0G5Z4TTKYMMUX1","GSON1112030511")</f>
        <v>#NAME?</v>
      </c>
      <c r="V222" s="8" t="e">
        <f ca="1">[1]!BexGetData("DP_1","00O2TNJGODT0G5Z4TTKYMN18L","GSON1112030511")</f>
        <v>#NAME?</v>
      </c>
      <c r="W222" s="3" t="e">
        <f ca="1">[1]!BexGetData("DP_1","00O2TNJGODT0G5Z4TTKYMN7K5","GSON1112030511")</f>
        <v>#NAME?</v>
      </c>
    </row>
    <row r="223" spans="1:23" x14ac:dyDescent="0.2">
      <c r="A223" s="16" t="s">
        <v>1627</v>
      </c>
      <c r="B223" s="7" t="s">
        <v>1628</v>
      </c>
      <c r="C223" s="3" t="e">
        <f ca="1">[1]!BexGetData("DP_1","003N8EMH8GTFRCSWKMPXRR8GU","GSON1112030512")</f>
        <v>#NAME?</v>
      </c>
      <c r="D223" s="3" t="e">
        <f ca="1">[1]!BexGetData("DP_1","003N8EMH8GTFRCSWKMPXRRESE","GSON1112030512")</f>
        <v>#NAME?</v>
      </c>
      <c r="E223" s="3" t="e">
        <f ca="1">[1]!BexGetData("DP_1","003N8EMH8GTFRCSWKMPXRRL3Y","GSON1112030512")</f>
        <v>#NAME?</v>
      </c>
      <c r="F223" s="4" t="e">
        <f ca="1">[1]!BexGetData("DP_1","003N8EMH8GTFRCSWKMPXRRRFI","GSON1112030512")</f>
        <v>#NAME?</v>
      </c>
      <c r="G223" s="4" t="e">
        <f ca="1">[1]!BexGetData("DP_1","003N8EMH8GTFRCSWKMPXRRXR2","GSON1112030512")</f>
        <v>#NAME?</v>
      </c>
      <c r="H223" s="4" t="e">
        <f ca="1">[1]!BexGetData("DP_1","003N8EMH8GTFRCSWKMPXRS42M","GSON1112030512")</f>
        <v>#NAME?</v>
      </c>
      <c r="I223" s="4" t="e">
        <f ca="1">[1]!BexGetData("DP_1","003N8EMH8GTFRCSWKMPXRSAE6","GSON1112030512")</f>
        <v>#NAME?</v>
      </c>
      <c r="J223" s="4" t="e">
        <f ca="1">[1]!BexGetData("DP_1","003N8EMH8GTFRCSWKMPXRSGPQ","GSON1112030512")</f>
        <v>#NAME?</v>
      </c>
      <c r="K223" s="3" t="e">
        <f ca="1">[1]!BexGetData("DP_1","003N8EMH8GTFRIVNUPY288VJH","GSON1112030512")</f>
        <v>#NAME?</v>
      </c>
      <c r="L223" s="3" t="e">
        <f ca="1">[1]!BexGetData("DP_1","003N8EMH8GTFRIVNUPY2891V1","GSON1112030512")</f>
        <v>#NAME?</v>
      </c>
      <c r="M223" s="8" t="e">
        <f ca="1">[1]!BexGetData("DP_1","003N8EMH8GTFRIVOG7KG9IQXA","GSON1112030512")</f>
        <v>#NAME?</v>
      </c>
      <c r="N223" s="3" t="e">
        <f ca="1">[1]!BexGetData("DP_1","003N8EMH8GTFRIVOG7KG9IX8U","GSON1112030512")</f>
        <v>#NAME?</v>
      </c>
      <c r="O223" s="8" t="e">
        <f ca="1">[1]!BexGetData("DP_1","003N8EMH8GTFRIVOG7KG9J3KE","GSON1112030512")</f>
        <v>#NAME?</v>
      </c>
      <c r="P223" s="3" t="e">
        <f ca="1">[1]!BexGetData("DP_1","003N8EMH8GTFRIVOG7KG9J9VY","GSON1112030512")</f>
        <v>#NAME?</v>
      </c>
      <c r="Q223" s="4" t="e">
        <f ca="1">[1]!BexGetData("DP_1","00O2TNJGODT0G5Z4TTKYMM5MT","GSON1112030512")</f>
        <v>#NAME?</v>
      </c>
      <c r="R223" s="4" t="e">
        <f ca="1">[1]!BexGetData("DP_1","00O2TNJGODT0G5Z4TTKYMMBYD","GSON1112030512")</f>
        <v>#NAME?</v>
      </c>
      <c r="S223" s="4" t="e">
        <f ca="1">[1]!BexGetData("DP_1","00O2TNJGODT0G5Z4TTKYMMI9X","GSON1112030512")</f>
        <v>#NAME?</v>
      </c>
      <c r="T223" s="4" t="e">
        <f ca="1">[1]!BexGetData("DP_1","00O2TNJGODT0G5Z4TTKYMMOLH","GSON1112030512")</f>
        <v>#NAME?</v>
      </c>
      <c r="U223" s="4" t="e">
        <f ca="1">[1]!BexGetData("DP_1","00O2TNJGODT0G5Z4TTKYMMUX1","GSON1112030512")</f>
        <v>#NAME?</v>
      </c>
      <c r="V223" s="4" t="e">
        <f ca="1">[1]!BexGetData("DP_1","00O2TNJGODT0G5Z4TTKYMN18L","GSON1112030512")</f>
        <v>#NAME?</v>
      </c>
      <c r="W223" s="4" t="e">
        <f ca="1">[1]!BexGetData("DP_1","00O2TNJGODT0G5Z4TTKYMN7K5","GSON1112030512")</f>
        <v>#NAME?</v>
      </c>
    </row>
    <row r="224" spans="1:23" x14ac:dyDescent="0.2">
      <c r="A224" s="16" t="s">
        <v>171</v>
      </c>
      <c r="B224" s="7" t="s">
        <v>172</v>
      </c>
      <c r="C224" s="3" t="e">
        <f ca="1">[1]!BexGetData("DP_1","003N8EMH8GTFRCSWKMPXRR8GU","GSON1112030513")</f>
        <v>#NAME?</v>
      </c>
      <c r="D224" s="3" t="e">
        <f ca="1">[1]!BexGetData("DP_1","003N8EMH8GTFRCSWKMPXRRESE","GSON1112030513")</f>
        <v>#NAME?</v>
      </c>
      <c r="E224" s="3" t="e">
        <f ca="1">[1]!BexGetData("DP_1","003N8EMH8GTFRCSWKMPXRRL3Y","GSON1112030513")</f>
        <v>#NAME?</v>
      </c>
      <c r="F224" s="4" t="e">
        <f ca="1">[1]!BexGetData("DP_1","003N8EMH8GTFRCSWKMPXRRRFI","GSON1112030513")</f>
        <v>#NAME?</v>
      </c>
      <c r="G224" s="4" t="e">
        <f ca="1">[1]!BexGetData("DP_1","003N8EMH8GTFRCSWKMPXRRXR2","GSON1112030513")</f>
        <v>#NAME?</v>
      </c>
      <c r="H224" s="4" t="e">
        <f ca="1">[1]!BexGetData("DP_1","003N8EMH8GTFRCSWKMPXRS42M","GSON1112030513")</f>
        <v>#NAME?</v>
      </c>
      <c r="I224" s="4" t="e">
        <f ca="1">[1]!BexGetData("DP_1","003N8EMH8GTFRCSWKMPXRSAE6","GSON1112030513")</f>
        <v>#NAME?</v>
      </c>
      <c r="J224" s="4" t="e">
        <f ca="1">[1]!BexGetData("DP_1","003N8EMH8GTFRCSWKMPXRSGPQ","GSON1112030513")</f>
        <v>#NAME?</v>
      </c>
      <c r="K224" s="3" t="e">
        <f ca="1">[1]!BexGetData("DP_1","003N8EMH8GTFRIVNUPY288VJH","GSON1112030513")</f>
        <v>#NAME?</v>
      </c>
      <c r="L224" s="3" t="e">
        <f ca="1">[1]!BexGetData("DP_1","003N8EMH8GTFRIVNUPY2891V1","GSON1112030513")</f>
        <v>#NAME?</v>
      </c>
      <c r="M224" s="8" t="e">
        <f ca="1">[1]!BexGetData("DP_1","003N8EMH8GTFRIVOG7KG9IQXA","GSON1112030513")</f>
        <v>#NAME?</v>
      </c>
      <c r="N224" s="3" t="e">
        <f ca="1">[1]!BexGetData("DP_1","003N8EMH8GTFRIVOG7KG9IX8U","GSON1112030513")</f>
        <v>#NAME?</v>
      </c>
      <c r="O224" s="8" t="e">
        <f ca="1">[1]!BexGetData("DP_1","003N8EMH8GTFRIVOG7KG9J3KE","GSON1112030513")</f>
        <v>#NAME?</v>
      </c>
      <c r="P224" s="3" t="e">
        <f ca="1">[1]!BexGetData("DP_1","003N8EMH8GTFRIVOG7KG9J9VY","GSON1112030513")</f>
        <v>#NAME?</v>
      </c>
      <c r="Q224" s="4" t="e">
        <f ca="1">[1]!BexGetData("DP_1","00O2TNJGODT0G5Z4TTKYMM5MT","GSON1112030513")</f>
        <v>#NAME?</v>
      </c>
      <c r="R224" s="4" t="e">
        <f ca="1">[1]!BexGetData("DP_1","00O2TNJGODT0G5Z4TTKYMMBYD","GSON1112030513")</f>
        <v>#NAME?</v>
      </c>
      <c r="S224" s="4" t="e">
        <f ca="1">[1]!BexGetData("DP_1","00O2TNJGODT0G5Z4TTKYMMI9X","GSON1112030513")</f>
        <v>#NAME?</v>
      </c>
      <c r="T224" s="4" t="e">
        <f ca="1">[1]!BexGetData("DP_1","00O2TNJGODT0G5Z4TTKYMMOLH","GSON1112030513")</f>
        <v>#NAME?</v>
      </c>
      <c r="U224" s="4" t="e">
        <f ca="1">[1]!BexGetData("DP_1","00O2TNJGODT0G5Z4TTKYMMUX1","GSON1112030513")</f>
        <v>#NAME?</v>
      </c>
      <c r="V224" s="4" t="e">
        <f ca="1">[1]!BexGetData("DP_1","00O2TNJGODT0G5Z4TTKYMN18L","GSON1112030513")</f>
        <v>#NAME?</v>
      </c>
      <c r="W224" s="4" t="e">
        <f ca="1">[1]!BexGetData("DP_1","00O2TNJGODT0G5Z4TTKYMN7K5","GSON1112030513")</f>
        <v>#NAME?</v>
      </c>
    </row>
    <row r="225" spans="1:23" x14ac:dyDescent="0.2">
      <c r="A225" s="16" t="s">
        <v>805</v>
      </c>
      <c r="B225" s="7" t="s">
        <v>173</v>
      </c>
      <c r="C225" s="3" t="e">
        <f ca="1">[1]!BexGetData("DP_1","003N8EMH8GTFRCSWKMPXRR8GU","GSON1112030514")</f>
        <v>#NAME?</v>
      </c>
      <c r="D225" s="3" t="e">
        <f ca="1">[1]!BexGetData("DP_1","003N8EMH8GTFRCSWKMPXRRESE","GSON1112030514")</f>
        <v>#NAME?</v>
      </c>
      <c r="E225" s="3" t="e">
        <f ca="1">[1]!BexGetData("DP_1","003N8EMH8GTFRCSWKMPXRRL3Y","GSON1112030514")</f>
        <v>#NAME?</v>
      </c>
      <c r="F225" s="4" t="e">
        <f ca="1">[1]!BexGetData("DP_1","003N8EMH8GTFRCSWKMPXRRRFI","GSON1112030514")</f>
        <v>#NAME?</v>
      </c>
      <c r="G225" s="4" t="e">
        <f ca="1">[1]!BexGetData("DP_1","003N8EMH8GTFRCSWKMPXRRXR2","GSON1112030514")</f>
        <v>#NAME?</v>
      </c>
      <c r="H225" s="4" t="e">
        <f ca="1">[1]!BexGetData("DP_1","003N8EMH8GTFRCSWKMPXRS42M","GSON1112030514")</f>
        <v>#NAME?</v>
      </c>
      <c r="I225" s="4" t="e">
        <f ca="1">[1]!BexGetData("DP_1","003N8EMH8GTFRCSWKMPXRSAE6","GSON1112030514")</f>
        <v>#NAME?</v>
      </c>
      <c r="J225" s="4" t="e">
        <f ca="1">[1]!BexGetData("DP_1","003N8EMH8GTFRCSWKMPXRSGPQ","GSON1112030514")</f>
        <v>#NAME?</v>
      </c>
      <c r="K225" s="3" t="e">
        <f ca="1">[1]!BexGetData("DP_1","003N8EMH8GTFRIVNUPY288VJH","GSON1112030514")</f>
        <v>#NAME?</v>
      </c>
      <c r="L225" s="3" t="e">
        <f ca="1">[1]!BexGetData("DP_1","003N8EMH8GTFRIVNUPY2891V1","GSON1112030514")</f>
        <v>#NAME?</v>
      </c>
      <c r="M225" s="8" t="e">
        <f ca="1">[1]!BexGetData("DP_1","003N8EMH8GTFRIVOG7KG9IQXA","GSON1112030514")</f>
        <v>#NAME?</v>
      </c>
      <c r="N225" s="3" t="e">
        <f ca="1">[1]!BexGetData("DP_1","003N8EMH8GTFRIVOG7KG9IX8U","GSON1112030514")</f>
        <v>#NAME?</v>
      </c>
      <c r="O225" s="8" t="e">
        <f ca="1">[1]!BexGetData("DP_1","003N8EMH8GTFRIVOG7KG9J3KE","GSON1112030514")</f>
        <v>#NAME?</v>
      </c>
      <c r="P225" s="3" t="e">
        <f ca="1">[1]!BexGetData("DP_1","003N8EMH8GTFRIVOG7KG9J9VY","GSON1112030514")</f>
        <v>#NAME?</v>
      </c>
      <c r="Q225" s="4" t="e">
        <f ca="1">[1]!BexGetData("DP_1","00O2TNJGODT0G5Z4TTKYMM5MT","GSON1112030514")</f>
        <v>#NAME?</v>
      </c>
      <c r="R225" s="4" t="e">
        <f ca="1">[1]!BexGetData("DP_1","00O2TNJGODT0G5Z4TTKYMMBYD","GSON1112030514")</f>
        <v>#NAME?</v>
      </c>
      <c r="S225" s="4" t="e">
        <f ca="1">[1]!BexGetData("DP_1","00O2TNJGODT0G5Z4TTKYMMI9X","GSON1112030514")</f>
        <v>#NAME?</v>
      </c>
      <c r="T225" s="4" t="e">
        <f ca="1">[1]!BexGetData("DP_1","00O2TNJGODT0G5Z4TTKYMMOLH","GSON1112030514")</f>
        <v>#NAME?</v>
      </c>
      <c r="U225" s="4" t="e">
        <f ca="1">[1]!BexGetData("DP_1","00O2TNJGODT0G5Z4TTKYMMUX1","GSON1112030514")</f>
        <v>#NAME?</v>
      </c>
      <c r="V225" s="4" t="e">
        <f ca="1">[1]!BexGetData("DP_1","00O2TNJGODT0G5Z4TTKYMN18L","GSON1112030514")</f>
        <v>#NAME?</v>
      </c>
      <c r="W225" s="4" t="e">
        <f ca="1">[1]!BexGetData("DP_1","00O2TNJGODT0G5Z4TTKYMN7K5","GSON1112030514")</f>
        <v>#NAME?</v>
      </c>
    </row>
    <row r="226" spans="1:23" x14ac:dyDescent="0.2">
      <c r="A226" s="16" t="s">
        <v>806</v>
      </c>
      <c r="B226" s="7" t="s">
        <v>807</v>
      </c>
      <c r="C226" s="3" t="e">
        <f ca="1">[1]!BexGetData("DP_1","003N8EMH8GTFRCSWKMPXRR8GU","GSON1112030520")</f>
        <v>#NAME?</v>
      </c>
      <c r="D226" s="3" t="e">
        <f ca="1">[1]!BexGetData("DP_1","003N8EMH8GTFRCSWKMPXRRESE","GSON1112030520")</f>
        <v>#NAME?</v>
      </c>
      <c r="E226" s="3" t="e">
        <f ca="1">[1]!BexGetData("DP_1","003N8EMH8GTFRCSWKMPXRRL3Y","GSON1112030520")</f>
        <v>#NAME?</v>
      </c>
      <c r="F226" s="3" t="e">
        <f ca="1">[1]!BexGetData("DP_1","003N8EMH8GTFRCSWKMPXRRRFI","GSON1112030520")</f>
        <v>#NAME?</v>
      </c>
      <c r="G226" s="3" t="e">
        <f ca="1">[1]!BexGetData("DP_1","003N8EMH8GTFRCSWKMPXRRXR2","GSON1112030520")</f>
        <v>#NAME?</v>
      </c>
      <c r="H226" s="8" t="e">
        <f ca="1">[1]!BexGetData("DP_1","003N8EMH8GTFRCSWKMPXRS42M","GSON1112030520")</f>
        <v>#NAME?</v>
      </c>
      <c r="I226" s="3" t="e">
        <f ca="1">[1]!BexGetData("DP_1","003N8EMH8GTFRCSWKMPXRSAE6","GSON1112030520")</f>
        <v>#NAME?</v>
      </c>
      <c r="J226" s="4" t="e">
        <f ca="1">[1]!BexGetData("DP_1","003N8EMH8GTFRCSWKMPXRSGPQ","GSON1112030520")</f>
        <v>#NAME?</v>
      </c>
      <c r="K226" s="3" t="e">
        <f ca="1">[1]!BexGetData("DP_1","003N8EMH8GTFRIVNUPY288VJH","GSON1112030520")</f>
        <v>#NAME?</v>
      </c>
      <c r="L226" s="3" t="e">
        <f ca="1">[1]!BexGetData("DP_1","003N8EMH8GTFRIVNUPY2891V1","GSON1112030520")</f>
        <v>#NAME?</v>
      </c>
      <c r="M226" s="3" t="e">
        <f ca="1">[1]!BexGetData("DP_1","003N8EMH8GTFRIVOG7KG9IQXA","GSON1112030520")</f>
        <v>#NAME?</v>
      </c>
      <c r="N226" s="8" t="e">
        <f ca="1">[1]!BexGetData("DP_1","003N8EMH8GTFRIVOG7KG9IX8U","GSON1112030520")</f>
        <v>#NAME?</v>
      </c>
      <c r="O226" s="3" t="e">
        <f ca="1">[1]!BexGetData("DP_1","003N8EMH8GTFRIVOG7KG9J3KE","GSON1112030520")</f>
        <v>#NAME?</v>
      </c>
      <c r="P226" s="8" t="e">
        <f ca="1">[1]!BexGetData("DP_1","003N8EMH8GTFRIVOG7KG9J9VY","GSON1112030520")</f>
        <v>#NAME?</v>
      </c>
      <c r="Q226" s="4" t="e">
        <f ca="1">[1]!BexGetData("DP_1","00O2TNJGODT0G5Z4TTKYMM5MT","GSON1112030520")</f>
        <v>#NAME?</v>
      </c>
      <c r="R226" s="3" t="e">
        <f ca="1">[1]!BexGetData("DP_1","00O2TNJGODT0G5Z4TTKYMMBYD","GSON1112030520")</f>
        <v>#NAME?</v>
      </c>
      <c r="S226" s="3" t="e">
        <f ca="1">[1]!BexGetData("DP_1","00O2TNJGODT0G5Z4TTKYMMI9X","GSON1112030520")</f>
        <v>#NAME?</v>
      </c>
      <c r="T226" s="8" t="e">
        <f ca="1">[1]!BexGetData("DP_1","00O2TNJGODT0G5Z4TTKYMMOLH","GSON1112030520")</f>
        <v>#NAME?</v>
      </c>
      <c r="U226" s="3" t="e">
        <f ca="1">[1]!BexGetData("DP_1","00O2TNJGODT0G5Z4TTKYMMUX1","GSON1112030520")</f>
        <v>#NAME?</v>
      </c>
      <c r="V226" s="8" t="e">
        <f ca="1">[1]!BexGetData("DP_1","00O2TNJGODT0G5Z4TTKYMN18L","GSON1112030520")</f>
        <v>#NAME?</v>
      </c>
      <c r="W226" s="3" t="e">
        <f ca="1">[1]!BexGetData("DP_1","00O2TNJGODT0G5Z4TTKYMN7K5","GSON1112030520")</f>
        <v>#NAME?</v>
      </c>
    </row>
    <row r="227" spans="1:23" x14ac:dyDescent="0.2">
      <c r="A227" s="16" t="s">
        <v>808</v>
      </c>
      <c r="B227" s="7" t="s">
        <v>809</v>
      </c>
      <c r="C227" s="3" t="e">
        <f ca="1">[1]!BexGetData("DP_1","003N8EMH8GTFRCSWKMPXRR8GU","GSON1112030521")</f>
        <v>#NAME?</v>
      </c>
      <c r="D227" s="3" t="e">
        <f ca="1">[1]!BexGetData("DP_1","003N8EMH8GTFRCSWKMPXRRESE","GSON1112030521")</f>
        <v>#NAME?</v>
      </c>
      <c r="E227" s="3" t="e">
        <f ca="1">[1]!BexGetData("DP_1","003N8EMH8GTFRCSWKMPXRRL3Y","GSON1112030521")</f>
        <v>#NAME?</v>
      </c>
      <c r="F227" s="3" t="e">
        <f ca="1">[1]!BexGetData("DP_1","003N8EMH8GTFRCSWKMPXRRRFI","GSON1112030521")</f>
        <v>#NAME?</v>
      </c>
      <c r="G227" s="3" t="e">
        <f ca="1">[1]!BexGetData("DP_1","003N8EMH8GTFRCSWKMPXRRXR2","GSON1112030521")</f>
        <v>#NAME?</v>
      </c>
      <c r="H227" s="8" t="e">
        <f ca="1">[1]!BexGetData("DP_1","003N8EMH8GTFRCSWKMPXRS42M","GSON1112030521")</f>
        <v>#NAME?</v>
      </c>
      <c r="I227" s="3" t="e">
        <f ca="1">[1]!BexGetData("DP_1","003N8EMH8GTFRCSWKMPXRSAE6","GSON1112030521")</f>
        <v>#NAME?</v>
      </c>
      <c r="J227" s="4" t="e">
        <f ca="1">[1]!BexGetData("DP_1","003N8EMH8GTFRCSWKMPXRSGPQ","GSON1112030521")</f>
        <v>#NAME?</v>
      </c>
      <c r="K227" s="3" t="e">
        <f ca="1">[1]!BexGetData("DP_1","003N8EMH8GTFRIVNUPY288VJH","GSON1112030521")</f>
        <v>#NAME?</v>
      </c>
      <c r="L227" s="3" t="e">
        <f ca="1">[1]!BexGetData("DP_1","003N8EMH8GTFRIVNUPY2891V1","GSON1112030521")</f>
        <v>#NAME?</v>
      </c>
      <c r="M227" s="8" t="e">
        <f ca="1">[1]!BexGetData("DP_1","003N8EMH8GTFRIVOG7KG9IQXA","GSON1112030521")</f>
        <v>#NAME?</v>
      </c>
      <c r="N227" s="3" t="e">
        <f ca="1">[1]!BexGetData("DP_1","003N8EMH8GTFRIVOG7KG9IX8U","GSON1112030521")</f>
        <v>#NAME?</v>
      </c>
      <c r="O227" s="8" t="e">
        <f ca="1">[1]!BexGetData("DP_1","003N8EMH8GTFRIVOG7KG9J3KE","GSON1112030521")</f>
        <v>#NAME?</v>
      </c>
      <c r="P227" s="3" t="e">
        <f ca="1">[1]!BexGetData("DP_1","003N8EMH8GTFRIVOG7KG9J9VY","GSON1112030521")</f>
        <v>#NAME?</v>
      </c>
      <c r="Q227" s="4" t="e">
        <f ca="1">[1]!BexGetData("DP_1","00O2TNJGODT0G5Z4TTKYMM5MT","GSON1112030521")</f>
        <v>#NAME?</v>
      </c>
      <c r="R227" s="3" t="e">
        <f ca="1">[1]!BexGetData("DP_1","00O2TNJGODT0G5Z4TTKYMMBYD","GSON1112030521")</f>
        <v>#NAME?</v>
      </c>
      <c r="S227" s="3" t="e">
        <f ca="1">[1]!BexGetData("DP_1","00O2TNJGODT0G5Z4TTKYMMI9X","GSON1112030521")</f>
        <v>#NAME?</v>
      </c>
      <c r="T227" s="8" t="e">
        <f ca="1">[1]!BexGetData("DP_1","00O2TNJGODT0G5Z4TTKYMMOLH","GSON1112030521")</f>
        <v>#NAME?</v>
      </c>
      <c r="U227" s="3" t="e">
        <f ca="1">[1]!BexGetData("DP_1","00O2TNJGODT0G5Z4TTKYMMUX1","GSON1112030521")</f>
        <v>#NAME?</v>
      </c>
      <c r="V227" s="8" t="e">
        <f ca="1">[1]!BexGetData("DP_1","00O2TNJGODT0G5Z4TTKYMN18L","GSON1112030521")</f>
        <v>#NAME?</v>
      </c>
      <c r="W227" s="3" t="e">
        <f ca="1">[1]!BexGetData("DP_1","00O2TNJGODT0G5Z4TTKYMN7K5","GSON1112030521")</f>
        <v>#NAME?</v>
      </c>
    </row>
    <row r="228" spans="1:23" x14ac:dyDescent="0.2">
      <c r="A228" s="16" t="s">
        <v>2039</v>
      </c>
      <c r="B228" s="7" t="s">
        <v>2040</v>
      </c>
      <c r="C228" s="3" t="e">
        <f ca="1">[1]!BexGetData("DP_1","003N8EMH8GTFRCSWKMPXRR8GU","GSON1112030522")</f>
        <v>#NAME?</v>
      </c>
      <c r="D228" s="3" t="e">
        <f ca="1">[1]!BexGetData("DP_1","003N8EMH8GTFRCSWKMPXRRESE","GSON1112030522")</f>
        <v>#NAME?</v>
      </c>
      <c r="E228" s="8" t="e">
        <f ca="1">[1]!BexGetData("DP_1","003N8EMH8GTFRCSWKMPXRRL3Y","GSON1112030522")</f>
        <v>#NAME?</v>
      </c>
      <c r="F228" s="4" t="e">
        <f ca="1">[1]!BexGetData("DP_1","003N8EMH8GTFRCSWKMPXRRRFI","GSON1112030522")</f>
        <v>#NAME?</v>
      </c>
      <c r="G228" s="4" t="e">
        <f ca="1">[1]!BexGetData("DP_1","003N8EMH8GTFRCSWKMPXRRXR2","GSON1112030522")</f>
        <v>#NAME?</v>
      </c>
      <c r="H228" s="4" t="e">
        <f ca="1">[1]!BexGetData("DP_1","003N8EMH8GTFRCSWKMPXRS42M","GSON1112030522")</f>
        <v>#NAME?</v>
      </c>
      <c r="I228" s="4" t="e">
        <f ca="1">[1]!BexGetData("DP_1","003N8EMH8GTFRCSWKMPXRSAE6","GSON1112030522")</f>
        <v>#NAME?</v>
      </c>
      <c r="J228" s="4" t="e">
        <f ca="1">[1]!BexGetData("DP_1","003N8EMH8GTFRCSWKMPXRSGPQ","GSON1112030522")</f>
        <v>#NAME?</v>
      </c>
      <c r="K228" s="8" t="e">
        <f ca="1">[1]!BexGetData("DP_1","003N8EMH8GTFRIVNUPY288VJH","GSON1112030522")</f>
        <v>#NAME?</v>
      </c>
      <c r="L228" s="8" t="e">
        <f ca="1">[1]!BexGetData("DP_1","003N8EMH8GTFRIVNUPY2891V1","GSON1112030522")</f>
        <v>#NAME?</v>
      </c>
      <c r="M228" s="8" t="e">
        <f ca="1">[1]!BexGetData("DP_1","003N8EMH8GTFRIVOG7KG9IQXA","GSON1112030522")</f>
        <v>#NAME?</v>
      </c>
      <c r="N228" s="8" t="e">
        <f ca="1">[1]!BexGetData("DP_1","003N8EMH8GTFRIVOG7KG9IX8U","GSON1112030522")</f>
        <v>#NAME?</v>
      </c>
      <c r="O228" s="8" t="e">
        <f ca="1">[1]!BexGetData("DP_1","003N8EMH8GTFRIVOG7KG9J3KE","GSON1112030522")</f>
        <v>#NAME?</v>
      </c>
      <c r="P228" s="8" t="e">
        <f ca="1">[1]!BexGetData("DP_1","003N8EMH8GTFRIVOG7KG9J9VY","GSON1112030522")</f>
        <v>#NAME?</v>
      </c>
      <c r="Q228" s="4" t="e">
        <f ca="1">[1]!BexGetData("DP_1","00O2TNJGODT0G5Z4TTKYMM5MT","GSON1112030522")</f>
        <v>#NAME?</v>
      </c>
      <c r="R228" s="4" t="e">
        <f ca="1">[1]!BexGetData("DP_1","00O2TNJGODT0G5Z4TTKYMMBYD","GSON1112030522")</f>
        <v>#NAME?</v>
      </c>
      <c r="S228" s="4" t="e">
        <f ca="1">[1]!BexGetData("DP_1","00O2TNJGODT0G5Z4TTKYMMI9X","GSON1112030522")</f>
        <v>#NAME?</v>
      </c>
      <c r="T228" s="4" t="e">
        <f ca="1">[1]!BexGetData("DP_1","00O2TNJGODT0G5Z4TTKYMMOLH","GSON1112030522")</f>
        <v>#NAME?</v>
      </c>
      <c r="U228" s="4" t="e">
        <f ca="1">[1]!BexGetData("DP_1","00O2TNJGODT0G5Z4TTKYMMUX1","GSON1112030522")</f>
        <v>#NAME?</v>
      </c>
      <c r="V228" s="4" t="e">
        <f ca="1">[1]!BexGetData("DP_1","00O2TNJGODT0G5Z4TTKYMN18L","GSON1112030522")</f>
        <v>#NAME?</v>
      </c>
      <c r="W228" s="4" t="e">
        <f ca="1">[1]!BexGetData("DP_1","00O2TNJGODT0G5Z4TTKYMN7K5","GSON1112030522")</f>
        <v>#NAME?</v>
      </c>
    </row>
    <row r="229" spans="1:23" x14ac:dyDescent="0.2">
      <c r="A229" s="16" t="s">
        <v>810</v>
      </c>
      <c r="B229" s="7" t="s">
        <v>811</v>
      </c>
      <c r="C229" s="3" t="e">
        <f ca="1">[1]!BexGetData("DP_1","003N8EMH8GTFRCSWKMPXRR8GU","GSON1112030523")</f>
        <v>#NAME?</v>
      </c>
      <c r="D229" s="3" t="e">
        <f ca="1">[1]!BexGetData("DP_1","003N8EMH8GTFRCSWKMPXRRESE","GSON1112030523")</f>
        <v>#NAME?</v>
      </c>
      <c r="E229" s="3" t="e">
        <f ca="1">[1]!BexGetData("DP_1","003N8EMH8GTFRCSWKMPXRRL3Y","GSON1112030523")</f>
        <v>#NAME?</v>
      </c>
      <c r="F229" s="4" t="e">
        <f ca="1">[1]!BexGetData("DP_1","003N8EMH8GTFRCSWKMPXRRRFI","GSON1112030523")</f>
        <v>#NAME?</v>
      </c>
      <c r="G229" s="4" t="e">
        <f ca="1">[1]!BexGetData("DP_1","003N8EMH8GTFRCSWKMPXRRXR2","GSON1112030523")</f>
        <v>#NAME?</v>
      </c>
      <c r="H229" s="4" t="e">
        <f ca="1">[1]!BexGetData("DP_1","003N8EMH8GTFRCSWKMPXRS42M","GSON1112030523")</f>
        <v>#NAME?</v>
      </c>
      <c r="I229" s="4" t="e">
        <f ca="1">[1]!BexGetData("DP_1","003N8EMH8GTFRCSWKMPXRSAE6","GSON1112030523")</f>
        <v>#NAME?</v>
      </c>
      <c r="J229" s="4" t="e">
        <f ca="1">[1]!BexGetData("DP_1","003N8EMH8GTFRCSWKMPXRSGPQ","GSON1112030523")</f>
        <v>#NAME?</v>
      </c>
      <c r="K229" s="3" t="e">
        <f ca="1">[1]!BexGetData("DP_1","003N8EMH8GTFRIVNUPY288VJH","GSON1112030523")</f>
        <v>#NAME?</v>
      </c>
      <c r="L229" s="3" t="e">
        <f ca="1">[1]!BexGetData("DP_1","003N8EMH8GTFRIVNUPY2891V1","GSON1112030523")</f>
        <v>#NAME?</v>
      </c>
      <c r="M229" s="8" t="e">
        <f ca="1">[1]!BexGetData("DP_1","003N8EMH8GTFRIVOG7KG9IQXA","GSON1112030523")</f>
        <v>#NAME?</v>
      </c>
      <c r="N229" s="3" t="e">
        <f ca="1">[1]!BexGetData("DP_1","003N8EMH8GTFRIVOG7KG9IX8U","GSON1112030523")</f>
        <v>#NAME?</v>
      </c>
      <c r="O229" s="8" t="e">
        <f ca="1">[1]!BexGetData("DP_1","003N8EMH8GTFRIVOG7KG9J3KE","GSON1112030523")</f>
        <v>#NAME?</v>
      </c>
      <c r="P229" s="3" t="e">
        <f ca="1">[1]!BexGetData("DP_1","003N8EMH8GTFRIVOG7KG9J9VY","GSON1112030523")</f>
        <v>#NAME?</v>
      </c>
      <c r="Q229" s="4" t="e">
        <f ca="1">[1]!BexGetData("DP_1","00O2TNJGODT0G5Z4TTKYMM5MT","GSON1112030523")</f>
        <v>#NAME?</v>
      </c>
      <c r="R229" s="4" t="e">
        <f ca="1">[1]!BexGetData("DP_1","00O2TNJGODT0G5Z4TTKYMMBYD","GSON1112030523")</f>
        <v>#NAME?</v>
      </c>
      <c r="S229" s="4" t="e">
        <f ca="1">[1]!BexGetData("DP_1","00O2TNJGODT0G5Z4TTKYMMI9X","GSON1112030523")</f>
        <v>#NAME?</v>
      </c>
      <c r="T229" s="4" t="e">
        <f ca="1">[1]!BexGetData("DP_1","00O2TNJGODT0G5Z4TTKYMMOLH","GSON1112030523")</f>
        <v>#NAME?</v>
      </c>
      <c r="U229" s="4" t="e">
        <f ca="1">[1]!BexGetData("DP_1","00O2TNJGODT0G5Z4TTKYMMUX1","GSON1112030523")</f>
        <v>#NAME?</v>
      </c>
      <c r="V229" s="4" t="e">
        <f ca="1">[1]!BexGetData("DP_1","00O2TNJGODT0G5Z4TTKYMN18L","GSON1112030523")</f>
        <v>#NAME?</v>
      </c>
      <c r="W229" s="4" t="e">
        <f ca="1">[1]!BexGetData("DP_1","00O2TNJGODT0G5Z4TTKYMN7K5","GSON1112030523")</f>
        <v>#NAME?</v>
      </c>
    </row>
    <row r="230" spans="1:23" x14ac:dyDescent="0.2">
      <c r="A230" s="16" t="s">
        <v>812</v>
      </c>
      <c r="B230" s="7" t="s">
        <v>813</v>
      </c>
      <c r="C230" s="3" t="e">
        <f ca="1">[1]!BexGetData("DP_1","003N8EMH8GTFRCSWKMPXRR8GU","GSON1112030524")</f>
        <v>#NAME?</v>
      </c>
      <c r="D230" s="3" t="e">
        <f ca="1">[1]!BexGetData("DP_1","003N8EMH8GTFRCSWKMPXRRESE","GSON1112030524")</f>
        <v>#NAME?</v>
      </c>
      <c r="E230" s="8" t="e">
        <f ca="1">[1]!BexGetData("DP_1","003N8EMH8GTFRCSWKMPXRRL3Y","GSON1112030524")</f>
        <v>#NAME?</v>
      </c>
      <c r="F230" s="4" t="e">
        <f ca="1">[1]!BexGetData("DP_1","003N8EMH8GTFRCSWKMPXRRRFI","GSON1112030524")</f>
        <v>#NAME?</v>
      </c>
      <c r="G230" s="4" t="e">
        <f ca="1">[1]!BexGetData("DP_1","003N8EMH8GTFRCSWKMPXRRXR2","GSON1112030524")</f>
        <v>#NAME?</v>
      </c>
      <c r="H230" s="4" t="e">
        <f ca="1">[1]!BexGetData("DP_1","003N8EMH8GTFRCSWKMPXRS42M","GSON1112030524")</f>
        <v>#NAME?</v>
      </c>
      <c r="I230" s="4" t="e">
        <f ca="1">[1]!BexGetData("DP_1","003N8EMH8GTFRCSWKMPXRSAE6","GSON1112030524")</f>
        <v>#NAME?</v>
      </c>
      <c r="J230" s="4" t="e">
        <f ca="1">[1]!BexGetData("DP_1","003N8EMH8GTFRCSWKMPXRSGPQ","GSON1112030524")</f>
        <v>#NAME?</v>
      </c>
      <c r="K230" s="8" t="e">
        <f ca="1">[1]!BexGetData("DP_1","003N8EMH8GTFRIVNUPY288VJH","GSON1112030524")</f>
        <v>#NAME?</v>
      </c>
      <c r="L230" s="8" t="e">
        <f ca="1">[1]!BexGetData("DP_1","003N8EMH8GTFRIVNUPY2891V1","GSON1112030524")</f>
        <v>#NAME?</v>
      </c>
      <c r="M230" s="8" t="e">
        <f ca="1">[1]!BexGetData("DP_1","003N8EMH8GTFRIVOG7KG9IQXA","GSON1112030524")</f>
        <v>#NAME?</v>
      </c>
      <c r="N230" s="8" t="e">
        <f ca="1">[1]!BexGetData("DP_1","003N8EMH8GTFRIVOG7KG9IX8U","GSON1112030524")</f>
        <v>#NAME?</v>
      </c>
      <c r="O230" s="8" t="e">
        <f ca="1">[1]!BexGetData("DP_1","003N8EMH8GTFRIVOG7KG9J3KE","GSON1112030524")</f>
        <v>#NAME?</v>
      </c>
      <c r="P230" s="8" t="e">
        <f ca="1">[1]!BexGetData("DP_1","003N8EMH8GTFRIVOG7KG9J9VY","GSON1112030524")</f>
        <v>#NAME?</v>
      </c>
      <c r="Q230" s="4" t="e">
        <f ca="1">[1]!BexGetData("DP_1","00O2TNJGODT0G5Z4TTKYMM5MT","GSON1112030524")</f>
        <v>#NAME?</v>
      </c>
      <c r="R230" s="4" t="e">
        <f ca="1">[1]!BexGetData("DP_1","00O2TNJGODT0G5Z4TTKYMMBYD","GSON1112030524")</f>
        <v>#NAME?</v>
      </c>
      <c r="S230" s="4" t="e">
        <f ca="1">[1]!BexGetData("DP_1","00O2TNJGODT0G5Z4TTKYMMI9X","GSON1112030524")</f>
        <v>#NAME?</v>
      </c>
      <c r="T230" s="4" t="e">
        <f ca="1">[1]!BexGetData("DP_1","00O2TNJGODT0G5Z4TTKYMMOLH","GSON1112030524")</f>
        <v>#NAME?</v>
      </c>
      <c r="U230" s="4" t="e">
        <f ca="1">[1]!BexGetData("DP_1","00O2TNJGODT0G5Z4TTKYMMUX1","GSON1112030524")</f>
        <v>#NAME?</v>
      </c>
      <c r="V230" s="4" t="e">
        <f ca="1">[1]!BexGetData("DP_1","00O2TNJGODT0G5Z4TTKYMN18L","GSON1112030524")</f>
        <v>#NAME?</v>
      </c>
      <c r="W230" s="4" t="e">
        <f ca="1">[1]!BexGetData("DP_1","00O2TNJGODT0G5Z4TTKYMN7K5","GSON1112030524")</f>
        <v>#NAME?</v>
      </c>
    </row>
    <row r="231" spans="1:23" x14ac:dyDescent="0.2">
      <c r="A231" s="16" t="s">
        <v>814</v>
      </c>
      <c r="B231" s="7" t="s">
        <v>815</v>
      </c>
      <c r="C231" s="3" t="e">
        <f ca="1">[1]!BexGetData("DP_1","003N8EMH8GTFRCSWKMPXRR8GU","GSON1112030530")</f>
        <v>#NAME?</v>
      </c>
      <c r="D231" s="3" t="e">
        <f ca="1">[1]!BexGetData("DP_1","003N8EMH8GTFRCSWKMPXRRESE","GSON1112030530")</f>
        <v>#NAME?</v>
      </c>
      <c r="E231" s="3" t="e">
        <f ca="1">[1]!BexGetData("DP_1","003N8EMH8GTFRCSWKMPXRRL3Y","GSON1112030530")</f>
        <v>#NAME?</v>
      </c>
      <c r="F231" s="3" t="e">
        <f ca="1">[1]!BexGetData("DP_1","003N8EMH8GTFRCSWKMPXRRRFI","GSON1112030530")</f>
        <v>#NAME?</v>
      </c>
      <c r="G231" s="3" t="e">
        <f ca="1">[1]!BexGetData("DP_1","003N8EMH8GTFRCSWKMPXRRXR2","GSON1112030530")</f>
        <v>#NAME?</v>
      </c>
      <c r="H231" s="8" t="e">
        <f ca="1">[1]!BexGetData("DP_1","003N8EMH8GTFRCSWKMPXRS42M","GSON1112030530")</f>
        <v>#NAME?</v>
      </c>
      <c r="I231" s="3" t="e">
        <f ca="1">[1]!BexGetData("DP_1","003N8EMH8GTFRCSWKMPXRSAE6","GSON1112030530")</f>
        <v>#NAME?</v>
      </c>
      <c r="J231" s="4" t="e">
        <f ca="1">[1]!BexGetData("DP_1","003N8EMH8GTFRCSWKMPXRSGPQ","GSON1112030530")</f>
        <v>#NAME?</v>
      </c>
      <c r="K231" s="3" t="e">
        <f ca="1">[1]!BexGetData("DP_1","003N8EMH8GTFRIVNUPY288VJH","GSON1112030530")</f>
        <v>#NAME?</v>
      </c>
      <c r="L231" s="3" t="e">
        <f ca="1">[1]!BexGetData("DP_1","003N8EMH8GTFRIVNUPY2891V1","GSON1112030530")</f>
        <v>#NAME?</v>
      </c>
      <c r="M231" s="3" t="e">
        <f ca="1">[1]!BexGetData("DP_1","003N8EMH8GTFRIVOG7KG9IQXA","GSON1112030530")</f>
        <v>#NAME?</v>
      </c>
      <c r="N231" s="8" t="e">
        <f ca="1">[1]!BexGetData("DP_1","003N8EMH8GTFRIVOG7KG9IX8U","GSON1112030530")</f>
        <v>#NAME?</v>
      </c>
      <c r="O231" s="3" t="e">
        <f ca="1">[1]!BexGetData("DP_1","003N8EMH8GTFRIVOG7KG9J3KE","GSON1112030530")</f>
        <v>#NAME?</v>
      </c>
      <c r="P231" s="8" t="e">
        <f ca="1">[1]!BexGetData("DP_1","003N8EMH8GTFRIVOG7KG9J9VY","GSON1112030530")</f>
        <v>#NAME?</v>
      </c>
      <c r="Q231" s="4" t="e">
        <f ca="1">[1]!BexGetData("DP_1","00O2TNJGODT0G5Z4TTKYMM5MT","GSON1112030530")</f>
        <v>#NAME?</v>
      </c>
      <c r="R231" s="3" t="e">
        <f ca="1">[1]!BexGetData("DP_1","00O2TNJGODT0G5Z4TTKYMMBYD","GSON1112030530")</f>
        <v>#NAME?</v>
      </c>
      <c r="S231" s="3" t="e">
        <f ca="1">[1]!BexGetData("DP_1","00O2TNJGODT0G5Z4TTKYMMI9X","GSON1112030530")</f>
        <v>#NAME?</v>
      </c>
      <c r="T231" s="8" t="e">
        <f ca="1">[1]!BexGetData("DP_1","00O2TNJGODT0G5Z4TTKYMMOLH","GSON1112030530")</f>
        <v>#NAME?</v>
      </c>
      <c r="U231" s="3" t="e">
        <f ca="1">[1]!BexGetData("DP_1","00O2TNJGODT0G5Z4TTKYMMUX1","GSON1112030530")</f>
        <v>#NAME?</v>
      </c>
      <c r="V231" s="8" t="e">
        <f ca="1">[1]!BexGetData("DP_1","00O2TNJGODT0G5Z4TTKYMN18L","GSON1112030530")</f>
        <v>#NAME?</v>
      </c>
      <c r="W231" s="3" t="e">
        <f ca="1">[1]!BexGetData("DP_1","00O2TNJGODT0G5Z4TTKYMN7K5","GSON1112030530")</f>
        <v>#NAME?</v>
      </c>
    </row>
    <row r="232" spans="1:23" x14ac:dyDescent="0.2">
      <c r="A232" s="16" t="s">
        <v>816</v>
      </c>
      <c r="B232" s="7" t="s">
        <v>817</v>
      </c>
      <c r="C232" s="3" t="e">
        <f ca="1">[1]!BexGetData("DP_1","003N8EMH8GTFRCSWKMPXRR8GU","GSON1112030531")</f>
        <v>#NAME?</v>
      </c>
      <c r="D232" s="3" t="e">
        <f ca="1">[1]!BexGetData("DP_1","003N8EMH8GTFRCSWKMPXRRESE","GSON1112030531")</f>
        <v>#NAME?</v>
      </c>
      <c r="E232" s="3" t="e">
        <f ca="1">[1]!BexGetData("DP_1","003N8EMH8GTFRCSWKMPXRRL3Y","GSON1112030531")</f>
        <v>#NAME?</v>
      </c>
      <c r="F232" s="3" t="e">
        <f ca="1">[1]!BexGetData("DP_1","003N8EMH8GTFRCSWKMPXRRRFI","GSON1112030531")</f>
        <v>#NAME?</v>
      </c>
      <c r="G232" s="3" t="e">
        <f ca="1">[1]!BexGetData("DP_1","003N8EMH8GTFRCSWKMPXRRXR2","GSON1112030531")</f>
        <v>#NAME?</v>
      </c>
      <c r="H232" s="8" t="e">
        <f ca="1">[1]!BexGetData("DP_1","003N8EMH8GTFRCSWKMPXRS42M","GSON1112030531")</f>
        <v>#NAME?</v>
      </c>
      <c r="I232" s="3" t="e">
        <f ca="1">[1]!BexGetData("DP_1","003N8EMH8GTFRCSWKMPXRSAE6","GSON1112030531")</f>
        <v>#NAME?</v>
      </c>
      <c r="J232" s="4" t="e">
        <f ca="1">[1]!BexGetData("DP_1","003N8EMH8GTFRCSWKMPXRSGPQ","GSON1112030531")</f>
        <v>#NAME?</v>
      </c>
      <c r="K232" s="3" t="e">
        <f ca="1">[1]!BexGetData("DP_1","003N8EMH8GTFRIVNUPY288VJH","GSON1112030531")</f>
        <v>#NAME?</v>
      </c>
      <c r="L232" s="3" t="e">
        <f ca="1">[1]!BexGetData("DP_1","003N8EMH8GTFRIVNUPY2891V1","GSON1112030531")</f>
        <v>#NAME?</v>
      </c>
      <c r="M232" s="3" t="e">
        <f ca="1">[1]!BexGetData("DP_1","003N8EMH8GTFRIVOG7KG9IQXA","GSON1112030531")</f>
        <v>#NAME?</v>
      </c>
      <c r="N232" s="8" t="e">
        <f ca="1">[1]!BexGetData("DP_1","003N8EMH8GTFRIVOG7KG9IX8U","GSON1112030531")</f>
        <v>#NAME?</v>
      </c>
      <c r="O232" s="3" t="e">
        <f ca="1">[1]!BexGetData("DP_1","003N8EMH8GTFRIVOG7KG9J3KE","GSON1112030531")</f>
        <v>#NAME?</v>
      </c>
      <c r="P232" s="8" t="e">
        <f ca="1">[1]!BexGetData("DP_1","003N8EMH8GTFRIVOG7KG9J9VY","GSON1112030531")</f>
        <v>#NAME?</v>
      </c>
      <c r="Q232" s="4" t="e">
        <f ca="1">[1]!BexGetData("DP_1","00O2TNJGODT0G5Z4TTKYMM5MT","GSON1112030531")</f>
        <v>#NAME?</v>
      </c>
      <c r="R232" s="3" t="e">
        <f ca="1">[1]!BexGetData("DP_1","00O2TNJGODT0G5Z4TTKYMMBYD","GSON1112030531")</f>
        <v>#NAME?</v>
      </c>
      <c r="S232" s="3" t="e">
        <f ca="1">[1]!BexGetData("DP_1","00O2TNJGODT0G5Z4TTKYMMI9X","GSON1112030531")</f>
        <v>#NAME?</v>
      </c>
      <c r="T232" s="8" t="e">
        <f ca="1">[1]!BexGetData("DP_1","00O2TNJGODT0G5Z4TTKYMMOLH","GSON1112030531")</f>
        <v>#NAME?</v>
      </c>
      <c r="U232" s="3" t="e">
        <f ca="1">[1]!BexGetData("DP_1","00O2TNJGODT0G5Z4TTKYMMUX1","GSON1112030531")</f>
        <v>#NAME?</v>
      </c>
      <c r="V232" s="8" t="e">
        <f ca="1">[1]!BexGetData("DP_1","00O2TNJGODT0G5Z4TTKYMN18L","GSON1112030531")</f>
        <v>#NAME?</v>
      </c>
      <c r="W232" s="3" t="e">
        <f ca="1">[1]!BexGetData("DP_1","00O2TNJGODT0G5Z4TTKYMN7K5","GSON1112030531")</f>
        <v>#NAME?</v>
      </c>
    </row>
    <row r="233" spans="1:23" x14ac:dyDescent="0.2">
      <c r="A233" s="16" t="s">
        <v>2041</v>
      </c>
      <c r="B233" s="7" t="s">
        <v>2042</v>
      </c>
      <c r="C233" s="3" t="e">
        <f ca="1">[1]!BexGetData("DP_1","003N8EMH8GTFRCSWKMPXRR8GU","GSON1112030532")</f>
        <v>#NAME?</v>
      </c>
      <c r="D233" s="3" t="e">
        <f ca="1">[1]!BexGetData("DP_1","003N8EMH8GTFRCSWKMPXRRESE","GSON1112030532")</f>
        <v>#NAME?</v>
      </c>
      <c r="E233" s="3" t="e">
        <f ca="1">[1]!BexGetData("DP_1","003N8EMH8GTFRCSWKMPXRRL3Y","GSON1112030532")</f>
        <v>#NAME?</v>
      </c>
      <c r="F233" s="4" t="e">
        <f ca="1">[1]!BexGetData("DP_1","003N8EMH8GTFRCSWKMPXRRRFI","GSON1112030532")</f>
        <v>#NAME?</v>
      </c>
      <c r="G233" s="4" t="e">
        <f ca="1">[1]!BexGetData("DP_1","003N8EMH8GTFRCSWKMPXRRXR2","GSON1112030532")</f>
        <v>#NAME?</v>
      </c>
      <c r="H233" s="4" t="e">
        <f ca="1">[1]!BexGetData("DP_1","003N8EMH8GTFRCSWKMPXRS42M","GSON1112030532")</f>
        <v>#NAME?</v>
      </c>
      <c r="I233" s="4" t="e">
        <f ca="1">[1]!BexGetData("DP_1","003N8EMH8GTFRCSWKMPXRSAE6","GSON1112030532")</f>
        <v>#NAME?</v>
      </c>
      <c r="J233" s="4" t="e">
        <f ca="1">[1]!BexGetData("DP_1","003N8EMH8GTFRCSWKMPXRSGPQ","GSON1112030532")</f>
        <v>#NAME?</v>
      </c>
      <c r="K233" s="3" t="e">
        <f ca="1">[1]!BexGetData("DP_1","003N8EMH8GTFRIVNUPY288VJH","GSON1112030532")</f>
        <v>#NAME?</v>
      </c>
      <c r="L233" s="3" t="e">
        <f ca="1">[1]!BexGetData("DP_1","003N8EMH8GTFRIVNUPY2891V1","GSON1112030532")</f>
        <v>#NAME?</v>
      </c>
      <c r="M233" s="8" t="e">
        <f ca="1">[1]!BexGetData("DP_1","003N8EMH8GTFRIVOG7KG9IQXA","GSON1112030532")</f>
        <v>#NAME?</v>
      </c>
      <c r="N233" s="3" t="e">
        <f ca="1">[1]!BexGetData("DP_1","003N8EMH8GTFRIVOG7KG9IX8U","GSON1112030532")</f>
        <v>#NAME?</v>
      </c>
      <c r="O233" s="8" t="e">
        <f ca="1">[1]!BexGetData("DP_1","003N8EMH8GTFRIVOG7KG9J3KE","GSON1112030532")</f>
        <v>#NAME?</v>
      </c>
      <c r="P233" s="3" t="e">
        <f ca="1">[1]!BexGetData("DP_1","003N8EMH8GTFRIVOG7KG9J9VY","GSON1112030532")</f>
        <v>#NAME?</v>
      </c>
      <c r="Q233" s="4" t="e">
        <f ca="1">[1]!BexGetData("DP_1","00O2TNJGODT0G5Z4TTKYMM5MT","GSON1112030532")</f>
        <v>#NAME?</v>
      </c>
      <c r="R233" s="4" t="e">
        <f ca="1">[1]!BexGetData("DP_1","00O2TNJGODT0G5Z4TTKYMMBYD","GSON1112030532")</f>
        <v>#NAME?</v>
      </c>
      <c r="S233" s="4" t="e">
        <f ca="1">[1]!BexGetData("DP_1","00O2TNJGODT0G5Z4TTKYMMI9X","GSON1112030532")</f>
        <v>#NAME?</v>
      </c>
      <c r="T233" s="4" t="e">
        <f ca="1">[1]!BexGetData("DP_1","00O2TNJGODT0G5Z4TTKYMMOLH","GSON1112030532")</f>
        <v>#NAME?</v>
      </c>
      <c r="U233" s="4" t="e">
        <f ca="1">[1]!BexGetData("DP_1","00O2TNJGODT0G5Z4TTKYMMUX1","GSON1112030532")</f>
        <v>#NAME?</v>
      </c>
      <c r="V233" s="4" t="e">
        <f ca="1">[1]!BexGetData("DP_1","00O2TNJGODT0G5Z4TTKYMN18L","GSON1112030532")</f>
        <v>#NAME?</v>
      </c>
      <c r="W233" s="4" t="e">
        <f ca="1">[1]!BexGetData("DP_1","00O2TNJGODT0G5Z4TTKYMN7K5","GSON1112030532")</f>
        <v>#NAME?</v>
      </c>
    </row>
    <row r="234" spans="1:23" x14ac:dyDescent="0.2">
      <c r="A234" s="16" t="s">
        <v>818</v>
      </c>
      <c r="B234" s="7" t="s">
        <v>819</v>
      </c>
      <c r="C234" s="3" t="e">
        <f ca="1">[1]!BexGetData("DP_1","003N8EMH8GTFRCSWKMPXRR8GU","GSON1112030533")</f>
        <v>#NAME?</v>
      </c>
      <c r="D234" s="3" t="e">
        <f ca="1">[1]!BexGetData("DP_1","003N8EMH8GTFRCSWKMPXRRESE","GSON1112030533")</f>
        <v>#NAME?</v>
      </c>
      <c r="E234" s="8" t="e">
        <f ca="1">[1]!BexGetData("DP_1","003N8EMH8GTFRCSWKMPXRRL3Y","GSON1112030533")</f>
        <v>#NAME?</v>
      </c>
      <c r="F234" s="4" t="e">
        <f ca="1">[1]!BexGetData("DP_1","003N8EMH8GTFRCSWKMPXRRRFI","GSON1112030533")</f>
        <v>#NAME?</v>
      </c>
      <c r="G234" s="4" t="e">
        <f ca="1">[1]!BexGetData("DP_1","003N8EMH8GTFRCSWKMPXRRXR2","GSON1112030533")</f>
        <v>#NAME?</v>
      </c>
      <c r="H234" s="4" t="e">
        <f ca="1">[1]!BexGetData("DP_1","003N8EMH8GTFRCSWKMPXRS42M","GSON1112030533")</f>
        <v>#NAME?</v>
      </c>
      <c r="I234" s="4" t="e">
        <f ca="1">[1]!BexGetData("DP_1","003N8EMH8GTFRCSWKMPXRSAE6","GSON1112030533")</f>
        <v>#NAME?</v>
      </c>
      <c r="J234" s="4" t="e">
        <f ca="1">[1]!BexGetData("DP_1","003N8EMH8GTFRCSWKMPXRSGPQ","GSON1112030533")</f>
        <v>#NAME?</v>
      </c>
      <c r="K234" s="8" t="e">
        <f ca="1">[1]!BexGetData("DP_1","003N8EMH8GTFRIVNUPY288VJH","GSON1112030533")</f>
        <v>#NAME?</v>
      </c>
      <c r="L234" s="8" t="e">
        <f ca="1">[1]!BexGetData("DP_1","003N8EMH8GTFRIVNUPY2891V1","GSON1112030533")</f>
        <v>#NAME?</v>
      </c>
      <c r="M234" s="8" t="e">
        <f ca="1">[1]!BexGetData("DP_1","003N8EMH8GTFRIVOG7KG9IQXA","GSON1112030533")</f>
        <v>#NAME?</v>
      </c>
      <c r="N234" s="8" t="e">
        <f ca="1">[1]!BexGetData("DP_1","003N8EMH8GTFRIVOG7KG9IX8U","GSON1112030533")</f>
        <v>#NAME?</v>
      </c>
      <c r="O234" s="8" t="e">
        <f ca="1">[1]!BexGetData("DP_1","003N8EMH8GTFRIVOG7KG9J3KE","GSON1112030533")</f>
        <v>#NAME?</v>
      </c>
      <c r="P234" s="8" t="e">
        <f ca="1">[1]!BexGetData("DP_1","003N8EMH8GTFRIVOG7KG9J9VY","GSON1112030533")</f>
        <v>#NAME?</v>
      </c>
      <c r="Q234" s="4" t="e">
        <f ca="1">[1]!BexGetData("DP_1","00O2TNJGODT0G5Z4TTKYMM5MT","GSON1112030533")</f>
        <v>#NAME?</v>
      </c>
      <c r="R234" s="4" t="e">
        <f ca="1">[1]!BexGetData("DP_1","00O2TNJGODT0G5Z4TTKYMMBYD","GSON1112030533")</f>
        <v>#NAME?</v>
      </c>
      <c r="S234" s="4" t="e">
        <f ca="1">[1]!BexGetData("DP_1","00O2TNJGODT0G5Z4TTKYMMI9X","GSON1112030533")</f>
        <v>#NAME?</v>
      </c>
      <c r="T234" s="4" t="e">
        <f ca="1">[1]!BexGetData("DP_1","00O2TNJGODT0G5Z4TTKYMMOLH","GSON1112030533")</f>
        <v>#NAME?</v>
      </c>
      <c r="U234" s="4" t="e">
        <f ca="1">[1]!BexGetData("DP_1","00O2TNJGODT0G5Z4TTKYMMUX1","GSON1112030533")</f>
        <v>#NAME?</v>
      </c>
      <c r="V234" s="4" t="e">
        <f ca="1">[1]!BexGetData("DP_1","00O2TNJGODT0G5Z4TTKYMN18L","GSON1112030533")</f>
        <v>#NAME?</v>
      </c>
      <c r="W234" s="4" t="e">
        <f ca="1">[1]!BexGetData("DP_1","00O2TNJGODT0G5Z4TTKYMN7K5","GSON1112030533")</f>
        <v>#NAME?</v>
      </c>
    </row>
    <row r="235" spans="1:23" x14ac:dyDescent="0.2">
      <c r="A235" s="16" t="s">
        <v>820</v>
      </c>
      <c r="B235" s="7" t="s">
        <v>821</v>
      </c>
      <c r="C235" s="3" t="e">
        <f ca="1">[1]!BexGetData("DP_1","003N8EMH8GTFRCSWKMPXRR8GU","GSON1112030534")</f>
        <v>#NAME?</v>
      </c>
      <c r="D235" s="3" t="e">
        <f ca="1">[1]!BexGetData("DP_1","003N8EMH8GTFRCSWKMPXRRESE","GSON1112030534")</f>
        <v>#NAME?</v>
      </c>
      <c r="E235" s="3" t="e">
        <f ca="1">[1]!BexGetData("DP_1","003N8EMH8GTFRCSWKMPXRRL3Y","GSON1112030534")</f>
        <v>#NAME?</v>
      </c>
      <c r="F235" s="4" t="e">
        <f ca="1">[1]!BexGetData("DP_1","003N8EMH8GTFRCSWKMPXRRRFI","GSON1112030534")</f>
        <v>#NAME?</v>
      </c>
      <c r="G235" s="4" t="e">
        <f ca="1">[1]!BexGetData("DP_1","003N8EMH8GTFRCSWKMPXRRXR2","GSON1112030534")</f>
        <v>#NAME?</v>
      </c>
      <c r="H235" s="4" t="e">
        <f ca="1">[1]!BexGetData("DP_1","003N8EMH8GTFRCSWKMPXRS42M","GSON1112030534")</f>
        <v>#NAME?</v>
      </c>
      <c r="I235" s="4" t="e">
        <f ca="1">[1]!BexGetData("DP_1","003N8EMH8GTFRCSWKMPXRSAE6","GSON1112030534")</f>
        <v>#NAME?</v>
      </c>
      <c r="J235" s="4" t="e">
        <f ca="1">[1]!BexGetData("DP_1","003N8EMH8GTFRCSWKMPXRSGPQ","GSON1112030534")</f>
        <v>#NAME?</v>
      </c>
      <c r="K235" s="3" t="e">
        <f ca="1">[1]!BexGetData("DP_1","003N8EMH8GTFRIVNUPY288VJH","GSON1112030534")</f>
        <v>#NAME?</v>
      </c>
      <c r="L235" s="3" t="e">
        <f ca="1">[1]!BexGetData("DP_1","003N8EMH8GTFRIVNUPY2891V1","GSON1112030534")</f>
        <v>#NAME?</v>
      </c>
      <c r="M235" s="3" t="e">
        <f ca="1">[1]!BexGetData("DP_1","003N8EMH8GTFRIVOG7KG9IQXA","GSON1112030534")</f>
        <v>#NAME?</v>
      </c>
      <c r="N235" s="8" t="e">
        <f ca="1">[1]!BexGetData("DP_1","003N8EMH8GTFRIVOG7KG9IX8U","GSON1112030534")</f>
        <v>#NAME?</v>
      </c>
      <c r="O235" s="3" t="e">
        <f ca="1">[1]!BexGetData("DP_1","003N8EMH8GTFRIVOG7KG9J3KE","GSON1112030534")</f>
        <v>#NAME?</v>
      </c>
      <c r="P235" s="8" t="e">
        <f ca="1">[1]!BexGetData("DP_1","003N8EMH8GTFRIVOG7KG9J9VY","GSON1112030534")</f>
        <v>#NAME?</v>
      </c>
      <c r="Q235" s="4" t="e">
        <f ca="1">[1]!BexGetData("DP_1","00O2TNJGODT0G5Z4TTKYMM5MT","GSON1112030534")</f>
        <v>#NAME?</v>
      </c>
      <c r="R235" s="4" t="e">
        <f ca="1">[1]!BexGetData("DP_1","00O2TNJGODT0G5Z4TTKYMMBYD","GSON1112030534")</f>
        <v>#NAME?</v>
      </c>
      <c r="S235" s="4" t="e">
        <f ca="1">[1]!BexGetData("DP_1","00O2TNJGODT0G5Z4TTKYMMI9X","GSON1112030534")</f>
        <v>#NAME?</v>
      </c>
      <c r="T235" s="4" t="e">
        <f ca="1">[1]!BexGetData("DP_1","00O2TNJGODT0G5Z4TTKYMMOLH","GSON1112030534")</f>
        <v>#NAME?</v>
      </c>
      <c r="U235" s="4" t="e">
        <f ca="1">[1]!BexGetData("DP_1","00O2TNJGODT0G5Z4TTKYMMUX1","GSON1112030534")</f>
        <v>#NAME?</v>
      </c>
      <c r="V235" s="4" t="e">
        <f ca="1">[1]!BexGetData("DP_1","00O2TNJGODT0G5Z4TTKYMN18L","GSON1112030534")</f>
        <v>#NAME?</v>
      </c>
      <c r="W235" s="4" t="e">
        <f ca="1">[1]!BexGetData("DP_1","00O2TNJGODT0G5Z4TTKYMN7K5","GSON1112030534")</f>
        <v>#NAME?</v>
      </c>
    </row>
    <row r="236" spans="1:23" x14ac:dyDescent="0.2">
      <c r="A236" s="16" t="s">
        <v>822</v>
      </c>
      <c r="B236" s="7" t="s">
        <v>823</v>
      </c>
      <c r="C236" s="3" t="e">
        <f ca="1">[1]!BexGetData("DP_1","003N8EMH8GTFRCSWKMPXRR8GU","GSON1112030550")</f>
        <v>#NAME?</v>
      </c>
      <c r="D236" s="3" t="e">
        <f ca="1">[1]!BexGetData("DP_1","003N8EMH8GTFRCSWKMPXRRESE","GSON1112030550")</f>
        <v>#NAME?</v>
      </c>
      <c r="E236" s="3" t="e">
        <f ca="1">[1]!BexGetData("DP_1","003N8EMH8GTFRCSWKMPXRRL3Y","GSON1112030550")</f>
        <v>#NAME?</v>
      </c>
      <c r="F236" s="3" t="e">
        <f ca="1">[1]!BexGetData("DP_1","003N8EMH8GTFRCSWKMPXRRRFI","GSON1112030550")</f>
        <v>#NAME?</v>
      </c>
      <c r="G236" s="3" t="e">
        <f ca="1">[1]!BexGetData("DP_1","003N8EMH8GTFRCSWKMPXRRXR2","GSON1112030550")</f>
        <v>#NAME?</v>
      </c>
      <c r="H236" s="8" t="e">
        <f ca="1">[1]!BexGetData("DP_1","003N8EMH8GTFRCSWKMPXRS42M","GSON1112030550")</f>
        <v>#NAME?</v>
      </c>
      <c r="I236" s="3" t="e">
        <f ca="1">[1]!BexGetData("DP_1","003N8EMH8GTFRCSWKMPXRSAE6","GSON1112030550")</f>
        <v>#NAME?</v>
      </c>
      <c r="J236" s="4" t="e">
        <f ca="1">[1]!BexGetData("DP_1","003N8EMH8GTFRCSWKMPXRSGPQ","GSON1112030550")</f>
        <v>#NAME?</v>
      </c>
      <c r="K236" s="3" t="e">
        <f ca="1">[1]!BexGetData("DP_1","003N8EMH8GTFRIVNUPY288VJH","GSON1112030550")</f>
        <v>#NAME?</v>
      </c>
      <c r="L236" s="3" t="e">
        <f ca="1">[1]!BexGetData("DP_1","003N8EMH8GTFRIVNUPY2891V1","GSON1112030550")</f>
        <v>#NAME?</v>
      </c>
      <c r="M236" s="3" t="e">
        <f ca="1">[1]!BexGetData("DP_1","003N8EMH8GTFRIVOG7KG9IQXA","GSON1112030550")</f>
        <v>#NAME?</v>
      </c>
      <c r="N236" s="8" t="e">
        <f ca="1">[1]!BexGetData("DP_1","003N8EMH8GTFRIVOG7KG9IX8U","GSON1112030550")</f>
        <v>#NAME?</v>
      </c>
      <c r="O236" s="3" t="e">
        <f ca="1">[1]!BexGetData("DP_1","003N8EMH8GTFRIVOG7KG9J3KE","GSON1112030550")</f>
        <v>#NAME?</v>
      </c>
      <c r="P236" s="8" t="e">
        <f ca="1">[1]!BexGetData("DP_1","003N8EMH8GTFRIVOG7KG9J9VY","GSON1112030550")</f>
        <v>#NAME?</v>
      </c>
      <c r="Q236" s="4" t="e">
        <f ca="1">[1]!BexGetData("DP_1","00O2TNJGODT0G5Z4TTKYMM5MT","GSON1112030550")</f>
        <v>#NAME?</v>
      </c>
      <c r="R236" s="3" t="e">
        <f ca="1">[1]!BexGetData("DP_1","00O2TNJGODT0G5Z4TTKYMMBYD","GSON1112030550")</f>
        <v>#NAME?</v>
      </c>
      <c r="S236" s="3" t="e">
        <f ca="1">[1]!BexGetData("DP_1","00O2TNJGODT0G5Z4TTKYMMI9X","GSON1112030550")</f>
        <v>#NAME?</v>
      </c>
      <c r="T236" s="8" t="e">
        <f ca="1">[1]!BexGetData("DP_1","00O2TNJGODT0G5Z4TTKYMMOLH","GSON1112030550")</f>
        <v>#NAME?</v>
      </c>
      <c r="U236" s="3" t="e">
        <f ca="1">[1]!BexGetData("DP_1","00O2TNJGODT0G5Z4TTKYMMUX1","GSON1112030550")</f>
        <v>#NAME?</v>
      </c>
      <c r="V236" s="8" t="e">
        <f ca="1">[1]!BexGetData("DP_1","00O2TNJGODT0G5Z4TTKYMN18L","GSON1112030550")</f>
        <v>#NAME?</v>
      </c>
      <c r="W236" s="3" t="e">
        <f ca="1">[1]!BexGetData("DP_1","00O2TNJGODT0G5Z4TTKYMN7K5","GSON1112030550")</f>
        <v>#NAME?</v>
      </c>
    </row>
    <row r="237" spans="1:23" x14ac:dyDescent="0.2">
      <c r="A237" s="16" t="s">
        <v>824</v>
      </c>
      <c r="B237" s="7" t="s">
        <v>825</v>
      </c>
      <c r="C237" s="3" t="e">
        <f ca="1">[1]!BexGetData("DP_1","003N8EMH8GTFRCSWKMPXRR8GU","GSON1112030551")</f>
        <v>#NAME?</v>
      </c>
      <c r="D237" s="3" t="e">
        <f ca="1">[1]!BexGetData("DP_1","003N8EMH8GTFRCSWKMPXRRESE","GSON1112030551")</f>
        <v>#NAME?</v>
      </c>
      <c r="E237" s="3" t="e">
        <f ca="1">[1]!BexGetData("DP_1","003N8EMH8GTFRCSWKMPXRRL3Y","GSON1112030551")</f>
        <v>#NAME?</v>
      </c>
      <c r="F237" s="3" t="e">
        <f ca="1">[1]!BexGetData("DP_1","003N8EMH8GTFRCSWKMPXRRRFI","GSON1112030551")</f>
        <v>#NAME?</v>
      </c>
      <c r="G237" s="3" t="e">
        <f ca="1">[1]!BexGetData("DP_1","003N8EMH8GTFRCSWKMPXRRXR2","GSON1112030551")</f>
        <v>#NAME?</v>
      </c>
      <c r="H237" s="8" t="e">
        <f ca="1">[1]!BexGetData("DP_1","003N8EMH8GTFRCSWKMPXRS42M","GSON1112030551")</f>
        <v>#NAME?</v>
      </c>
      <c r="I237" s="3" t="e">
        <f ca="1">[1]!BexGetData("DP_1","003N8EMH8GTFRCSWKMPXRSAE6","GSON1112030551")</f>
        <v>#NAME?</v>
      </c>
      <c r="J237" s="4" t="e">
        <f ca="1">[1]!BexGetData("DP_1","003N8EMH8GTFRCSWKMPXRSGPQ","GSON1112030551")</f>
        <v>#NAME?</v>
      </c>
      <c r="K237" s="3" t="e">
        <f ca="1">[1]!BexGetData("DP_1","003N8EMH8GTFRIVNUPY288VJH","GSON1112030551")</f>
        <v>#NAME?</v>
      </c>
      <c r="L237" s="3" t="e">
        <f ca="1">[1]!BexGetData("DP_1","003N8EMH8GTFRIVNUPY2891V1","GSON1112030551")</f>
        <v>#NAME?</v>
      </c>
      <c r="M237" s="3" t="e">
        <f ca="1">[1]!BexGetData("DP_1","003N8EMH8GTFRIVOG7KG9IQXA","GSON1112030551")</f>
        <v>#NAME?</v>
      </c>
      <c r="N237" s="8" t="e">
        <f ca="1">[1]!BexGetData("DP_1","003N8EMH8GTFRIVOG7KG9IX8U","GSON1112030551")</f>
        <v>#NAME?</v>
      </c>
      <c r="O237" s="3" t="e">
        <f ca="1">[1]!BexGetData("DP_1","003N8EMH8GTFRIVOG7KG9J3KE","GSON1112030551")</f>
        <v>#NAME?</v>
      </c>
      <c r="P237" s="8" t="e">
        <f ca="1">[1]!BexGetData("DP_1","003N8EMH8GTFRIVOG7KG9J9VY","GSON1112030551")</f>
        <v>#NAME?</v>
      </c>
      <c r="Q237" s="4" t="e">
        <f ca="1">[1]!BexGetData("DP_1","00O2TNJGODT0G5Z4TTKYMM5MT","GSON1112030551")</f>
        <v>#NAME?</v>
      </c>
      <c r="R237" s="3" t="e">
        <f ca="1">[1]!BexGetData("DP_1","00O2TNJGODT0G5Z4TTKYMMBYD","GSON1112030551")</f>
        <v>#NAME?</v>
      </c>
      <c r="S237" s="3" t="e">
        <f ca="1">[1]!BexGetData("DP_1","00O2TNJGODT0G5Z4TTKYMMI9X","GSON1112030551")</f>
        <v>#NAME?</v>
      </c>
      <c r="T237" s="8" t="e">
        <f ca="1">[1]!BexGetData("DP_1","00O2TNJGODT0G5Z4TTKYMMOLH","GSON1112030551")</f>
        <v>#NAME?</v>
      </c>
      <c r="U237" s="3" t="e">
        <f ca="1">[1]!BexGetData("DP_1","00O2TNJGODT0G5Z4TTKYMMUX1","GSON1112030551")</f>
        <v>#NAME?</v>
      </c>
      <c r="V237" s="8" t="e">
        <f ca="1">[1]!BexGetData("DP_1","00O2TNJGODT0G5Z4TTKYMN18L","GSON1112030551")</f>
        <v>#NAME?</v>
      </c>
      <c r="W237" s="3" t="e">
        <f ca="1">[1]!BexGetData("DP_1","00O2TNJGODT0G5Z4TTKYMN7K5","GSON1112030551")</f>
        <v>#NAME?</v>
      </c>
    </row>
    <row r="238" spans="1:23" x14ac:dyDescent="0.2">
      <c r="A238" s="16" t="s">
        <v>2043</v>
      </c>
      <c r="B238" s="7" t="s">
        <v>2044</v>
      </c>
      <c r="C238" s="3" t="e">
        <f ca="1">[1]!BexGetData("DP_1","003N8EMH8GTFRCSWKMPXRR8GU","GSON1112030552")</f>
        <v>#NAME?</v>
      </c>
      <c r="D238" s="3" t="e">
        <f ca="1">[1]!BexGetData("DP_1","003N8EMH8GTFRCSWKMPXRRESE","GSON1112030552")</f>
        <v>#NAME?</v>
      </c>
      <c r="E238" s="3" t="e">
        <f ca="1">[1]!BexGetData("DP_1","003N8EMH8GTFRCSWKMPXRRL3Y","GSON1112030552")</f>
        <v>#NAME?</v>
      </c>
      <c r="F238" s="4" t="e">
        <f ca="1">[1]!BexGetData("DP_1","003N8EMH8GTFRCSWKMPXRRRFI","GSON1112030552")</f>
        <v>#NAME?</v>
      </c>
      <c r="G238" s="4" t="e">
        <f ca="1">[1]!BexGetData("DP_1","003N8EMH8GTFRCSWKMPXRRXR2","GSON1112030552")</f>
        <v>#NAME?</v>
      </c>
      <c r="H238" s="4" t="e">
        <f ca="1">[1]!BexGetData("DP_1","003N8EMH8GTFRCSWKMPXRS42M","GSON1112030552")</f>
        <v>#NAME?</v>
      </c>
      <c r="I238" s="4" t="e">
        <f ca="1">[1]!BexGetData("DP_1","003N8EMH8GTFRCSWKMPXRSAE6","GSON1112030552")</f>
        <v>#NAME?</v>
      </c>
      <c r="J238" s="4" t="e">
        <f ca="1">[1]!BexGetData("DP_1","003N8EMH8GTFRCSWKMPXRSGPQ","GSON1112030552")</f>
        <v>#NAME?</v>
      </c>
      <c r="K238" s="3" t="e">
        <f ca="1">[1]!BexGetData("DP_1","003N8EMH8GTFRIVNUPY288VJH","GSON1112030552")</f>
        <v>#NAME?</v>
      </c>
      <c r="L238" s="3" t="e">
        <f ca="1">[1]!BexGetData("DP_1","003N8EMH8GTFRIVNUPY2891V1","GSON1112030552")</f>
        <v>#NAME?</v>
      </c>
      <c r="M238" s="8" t="e">
        <f ca="1">[1]!BexGetData("DP_1","003N8EMH8GTFRIVOG7KG9IQXA","GSON1112030552")</f>
        <v>#NAME?</v>
      </c>
      <c r="N238" s="3" t="e">
        <f ca="1">[1]!BexGetData("DP_1","003N8EMH8GTFRIVOG7KG9IX8U","GSON1112030552")</f>
        <v>#NAME?</v>
      </c>
      <c r="O238" s="8" t="e">
        <f ca="1">[1]!BexGetData("DP_1","003N8EMH8GTFRIVOG7KG9J3KE","GSON1112030552")</f>
        <v>#NAME?</v>
      </c>
      <c r="P238" s="3" t="e">
        <f ca="1">[1]!BexGetData("DP_1","003N8EMH8GTFRIVOG7KG9J9VY","GSON1112030552")</f>
        <v>#NAME?</v>
      </c>
      <c r="Q238" s="4" t="e">
        <f ca="1">[1]!BexGetData("DP_1","00O2TNJGODT0G5Z4TTKYMM5MT","GSON1112030552")</f>
        <v>#NAME?</v>
      </c>
      <c r="R238" s="4" t="e">
        <f ca="1">[1]!BexGetData("DP_1","00O2TNJGODT0G5Z4TTKYMMBYD","GSON1112030552")</f>
        <v>#NAME?</v>
      </c>
      <c r="S238" s="4" t="e">
        <f ca="1">[1]!BexGetData("DP_1","00O2TNJGODT0G5Z4TTKYMMI9X","GSON1112030552")</f>
        <v>#NAME?</v>
      </c>
      <c r="T238" s="4" t="e">
        <f ca="1">[1]!BexGetData("DP_1","00O2TNJGODT0G5Z4TTKYMMOLH","GSON1112030552")</f>
        <v>#NAME?</v>
      </c>
      <c r="U238" s="4" t="e">
        <f ca="1">[1]!BexGetData("DP_1","00O2TNJGODT0G5Z4TTKYMMUX1","GSON1112030552")</f>
        <v>#NAME?</v>
      </c>
      <c r="V238" s="4" t="e">
        <f ca="1">[1]!BexGetData("DP_1","00O2TNJGODT0G5Z4TTKYMN18L","GSON1112030552")</f>
        <v>#NAME?</v>
      </c>
      <c r="W238" s="4" t="e">
        <f ca="1">[1]!BexGetData("DP_1","00O2TNJGODT0G5Z4TTKYMN7K5","GSON1112030552")</f>
        <v>#NAME?</v>
      </c>
    </row>
    <row r="239" spans="1:23" x14ac:dyDescent="0.2">
      <c r="A239" s="16" t="s">
        <v>2045</v>
      </c>
      <c r="B239" s="7" t="s">
        <v>2046</v>
      </c>
      <c r="C239" s="3" t="e">
        <f ca="1">[1]!BexGetData("DP_1","003N8EMH8GTFRCSWKMPXRR8GU","GSON1112030553")</f>
        <v>#NAME?</v>
      </c>
      <c r="D239" s="3" t="e">
        <f ca="1">[1]!BexGetData("DP_1","003N8EMH8GTFRCSWKMPXRRESE","GSON1112030553")</f>
        <v>#NAME?</v>
      </c>
      <c r="E239" s="3" t="e">
        <f ca="1">[1]!BexGetData("DP_1","003N8EMH8GTFRCSWKMPXRRL3Y","GSON1112030553")</f>
        <v>#NAME?</v>
      </c>
      <c r="F239" s="4" t="e">
        <f ca="1">[1]!BexGetData("DP_1","003N8EMH8GTFRCSWKMPXRRRFI","GSON1112030553")</f>
        <v>#NAME?</v>
      </c>
      <c r="G239" s="4" t="e">
        <f ca="1">[1]!BexGetData("DP_1","003N8EMH8GTFRCSWKMPXRRXR2","GSON1112030553")</f>
        <v>#NAME?</v>
      </c>
      <c r="H239" s="4" t="e">
        <f ca="1">[1]!BexGetData("DP_1","003N8EMH8GTFRCSWKMPXRS42M","GSON1112030553")</f>
        <v>#NAME?</v>
      </c>
      <c r="I239" s="4" t="e">
        <f ca="1">[1]!BexGetData("DP_1","003N8EMH8GTFRCSWKMPXRSAE6","GSON1112030553")</f>
        <v>#NAME?</v>
      </c>
      <c r="J239" s="4" t="e">
        <f ca="1">[1]!BexGetData("DP_1","003N8EMH8GTFRCSWKMPXRSGPQ","GSON1112030553")</f>
        <v>#NAME?</v>
      </c>
      <c r="K239" s="3" t="e">
        <f ca="1">[1]!BexGetData("DP_1","003N8EMH8GTFRIVNUPY288VJH","GSON1112030553")</f>
        <v>#NAME?</v>
      </c>
      <c r="L239" s="3" t="e">
        <f ca="1">[1]!BexGetData("DP_1","003N8EMH8GTFRIVNUPY2891V1","GSON1112030553")</f>
        <v>#NAME?</v>
      </c>
      <c r="M239" s="3" t="e">
        <f ca="1">[1]!BexGetData("DP_1","003N8EMH8GTFRIVOG7KG9IQXA","GSON1112030553")</f>
        <v>#NAME?</v>
      </c>
      <c r="N239" s="8" t="e">
        <f ca="1">[1]!BexGetData("DP_1","003N8EMH8GTFRIVOG7KG9IX8U","GSON1112030553")</f>
        <v>#NAME?</v>
      </c>
      <c r="O239" s="3" t="e">
        <f ca="1">[1]!BexGetData("DP_1","003N8EMH8GTFRIVOG7KG9J3KE","GSON1112030553")</f>
        <v>#NAME?</v>
      </c>
      <c r="P239" s="8" t="e">
        <f ca="1">[1]!BexGetData("DP_1","003N8EMH8GTFRIVOG7KG9J9VY","GSON1112030553")</f>
        <v>#NAME?</v>
      </c>
      <c r="Q239" s="4" t="e">
        <f ca="1">[1]!BexGetData("DP_1","00O2TNJGODT0G5Z4TTKYMM5MT","GSON1112030553")</f>
        <v>#NAME?</v>
      </c>
      <c r="R239" s="4" t="e">
        <f ca="1">[1]!BexGetData("DP_1","00O2TNJGODT0G5Z4TTKYMMBYD","GSON1112030553")</f>
        <v>#NAME?</v>
      </c>
      <c r="S239" s="4" t="e">
        <f ca="1">[1]!BexGetData("DP_1","00O2TNJGODT0G5Z4TTKYMMI9X","GSON1112030553")</f>
        <v>#NAME?</v>
      </c>
      <c r="T239" s="4" t="e">
        <f ca="1">[1]!BexGetData("DP_1","00O2TNJGODT0G5Z4TTKYMMOLH","GSON1112030553")</f>
        <v>#NAME?</v>
      </c>
      <c r="U239" s="4" t="e">
        <f ca="1">[1]!BexGetData("DP_1","00O2TNJGODT0G5Z4TTKYMMUX1","GSON1112030553")</f>
        <v>#NAME?</v>
      </c>
      <c r="V239" s="4" t="e">
        <f ca="1">[1]!BexGetData("DP_1","00O2TNJGODT0G5Z4TTKYMN18L","GSON1112030553")</f>
        <v>#NAME?</v>
      </c>
      <c r="W239" s="4" t="e">
        <f ca="1">[1]!BexGetData("DP_1","00O2TNJGODT0G5Z4TTKYMN7K5","GSON1112030553")</f>
        <v>#NAME?</v>
      </c>
    </row>
    <row r="240" spans="1:23" x14ac:dyDescent="0.2">
      <c r="A240" s="16" t="s">
        <v>826</v>
      </c>
      <c r="B240" s="7" t="s">
        <v>827</v>
      </c>
      <c r="C240" s="3" t="e">
        <f ca="1">[1]!BexGetData("DP_1","003N8EMH8GTFRCSWKMPXRR8GU","GSON1112030554")</f>
        <v>#NAME?</v>
      </c>
      <c r="D240" s="3" t="e">
        <f ca="1">[1]!BexGetData("DP_1","003N8EMH8GTFRCSWKMPXRRESE","GSON1112030554")</f>
        <v>#NAME?</v>
      </c>
      <c r="E240" s="8" t="e">
        <f ca="1">[1]!BexGetData("DP_1","003N8EMH8GTFRCSWKMPXRRL3Y","GSON1112030554")</f>
        <v>#NAME?</v>
      </c>
      <c r="F240" s="4" t="e">
        <f ca="1">[1]!BexGetData("DP_1","003N8EMH8GTFRCSWKMPXRRRFI","GSON1112030554")</f>
        <v>#NAME?</v>
      </c>
      <c r="G240" s="4" t="e">
        <f ca="1">[1]!BexGetData("DP_1","003N8EMH8GTFRCSWKMPXRRXR2","GSON1112030554")</f>
        <v>#NAME?</v>
      </c>
      <c r="H240" s="4" t="e">
        <f ca="1">[1]!BexGetData("DP_1","003N8EMH8GTFRCSWKMPXRS42M","GSON1112030554")</f>
        <v>#NAME?</v>
      </c>
      <c r="I240" s="4" t="e">
        <f ca="1">[1]!BexGetData("DP_1","003N8EMH8GTFRCSWKMPXRSAE6","GSON1112030554")</f>
        <v>#NAME?</v>
      </c>
      <c r="J240" s="4" t="e">
        <f ca="1">[1]!BexGetData("DP_1","003N8EMH8GTFRCSWKMPXRSGPQ","GSON1112030554")</f>
        <v>#NAME?</v>
      </c>
      <c r="K240" s="8" t="e">
        <f ca="1">[1]!BexGetData("DP_1","003N8EMH8GTFRIVNUPY288VJH","GSON1112030554")</f>
        <v>#NAME?</v>
      </c>
      <c r="L240" s="8" t="e">
        <f ca="1">[1]!BexGetData("DP_1","003N8EMH8GTFRIVNUPY2891V1","GSON1112030554")</f>
        <v>#NAME?</v>
      </c>
      <c r="M240" s="8" t="e">
        <f ca="1">[1]!BexGetData("DP_1","003N8EMH8GTFRIVOG7KG9IQXA","GSON1112030554")</f>
        <v>#NAME?</v>
      </c>
      <c r="N240" s="8" t="e">
        <f ca="1">[1]!BexGetData("DP_1","003N8EMH8GTFRIVOG7KG9IX8U","GSON1112030554")</f>
        <v>#NAME?</v>
      </c>
      <c r="O240" s="8" t="e">
        <f ca="1">[1]!BexGetData("DP_1","003N8EMH8GTFRIVOG7KG9J3KE","GSON1112030554")</f>
        <v>#NAME?</v>
      </c>
      <c r="P240" s="8" t="e">
        <f ca="1">[1]!BexGetData("DP_1","003N8EMH8GTFRIVOG7KG9J9VY","GSON1112030554")</f>
        <v>#NAME?</v>
      </c>
      <c r="Q240" s="4" t="e">
        <f ca="1">[1]!BexGetData("DP_1","00O2TNJGODT0G5Z4TTKYMM5MT","GSON1112030554")</f>
        <v>#NAME?</v>
      </c>
      <c r="R240" s="4" t="e">
        <f ca="1">[1]!BexGetData("DP_1","00O2TNJGODT0G5Z4TTKYMMBYD","GSON1112030554")</f>
        <v>#NAME?</v>
      </c>
      <c r="S240" s="4" t="e">
        <f ca="1">[1]!BexGetData("DP_1","00O2TNJGODT0G5Z4TTKYMMI9X","GSON1112030554")</f>
        <v>#NAME?</v>
      </c>
      <c r="T240" s="4" t="e">
        <f ca="1">[1]!BexGetData("DP_1","00O2TNJGODT0G5Z4TTKYMMOLH","GSON1112030554")</f>
        <v>#NAME?</v>
      </c>
      <c r="U240" s="4" t="e">
        <f ca="1">[1]!BexGetData("DP_1","00O2TNJGODT0G5Z4TTKYMMUX1","GSON1112030554")</f>
        <v>#NAME?</v>
      </c>
      <c r="V240" s="4" t="e">
        <f ca="1">[1]!BexGetData("DP_1","00O2TNJGODT0G5Z4TTKYMN18L","GSON1112030554")</f>
        <v>#NAME?</v>
      </c>
      <c r="W240" s="4" t="e">
        <f ca="1">[1]!BexGetData("DP_1","00O2TNJGODT0G5Z4TTKYMN7K5","GSON1112030554")</f>
        <v>#NAME?</v>
      </c>
    </row>
    <row r="241" spans="1:23" x14ac:dyDescent="0.2">
      <c r="A241" s="16" t="s">
        <v>828</v>
      </c>
      <c r="B241" s="7" t="s">
        <v>829</v>
      </c>
      <c r="C241" s="3" t="e">
        <f ca="1">[1]!BexGetData("DP_1","003N8EMH8GTFRCSWKMPXRR8GU","GSON1112030560")</f>
        <v>#NAME?</v>
      </c>
      <c r="D241" s="3" t="e">
        <f ca="1">[1]!BexGetData("DP_1","003N8EMH8GTFRCSWKMPXRRESE","GSON1112030560")</f>
        <v>#NAME?</v>
      </c>
      <c r="E241" s="3" t="e">
        <f ca="1">[1]!BexGetData("DP_1","003N8EMH8GTFRCSWKMPXRRL3Y","GSON1112030560")</f>
        <v>#NAME?</v>
      </c>
      <c r="F241" s="3" t="e">
        <f ca="1">[1]!BexGetData("DP_1","003N8EMH8GTFRCSWKMPXRRRFI","GSON1112030560")</f>
        <v>#NAME?</v>
      </c>
      <c r="G241" s="3" t="e">
        <f ca="1">[1]!BexGetData("DP_1","003N8EMH8GTFRCSWKMPXRRXR2","GSON1112030560")</f>
        <v>#NAME?</v>
      </c>
      <c r="H241" s="8" t="e">
        <f ca="1">[1]!BexGetData("DP_1","003N8EMH8GTFRCSWKMPXRS42M","GSON1112030560")</f>
        <v>#NAME?</v>
      </c>
      <c r="I241" s="3" t="e">
        <f ca="1">[1]!BexGetData("DP_1","003N8EMH8GTFRCSWKMPXRSAE6","GSON1112030560")</f>
        <v>#NAME?</v>
      </c>
      <c r="J241" s="4" t="e">
        <f ca="1">[1]!BexGetData("DP_1","003N8EMH8GTFRCSWKMPXRSGPQ","GSON1112030560")</f>
        <v>#NAME?</v>
      </c>
      <c r="K241" s="3" t="e">
        <f ca="1">[1]!BexGetData("DP_1","003N8EMH8GTFRIVNUPY288VJH","GSON1112030560")</f>
        <v>#NAME?</v>
      </c>
      <c r="L241" s="3" t="e">
        <f ca="1">[1]!BexGetData("DP_1","003N8EMH8GTFRIVNUPY2891V1","GSON1112030560")</f>
        <v>#NAME?</v>
      </c>
      <c r="M241" s="3" t="e">
        <f ca="1">[1]!BexGetData("DP_1","003N8EMH8GTFRIVOG7KG9IQXA","GSON1112030560")</f>
        <v>#NAME?</v>
      </c>
      <c r="N241" s="8" t="e">
        <f ca="1">[1]!BexGetData("DP_1","003N8EMH8GTFRIVOG7KG9IX8U","GSON1112030560")</f>
        <v>#NAME?</v>
      </c>
      <c r="O241" s="3" t="e">
        <f ca="1">[1]!BexGetData("DP_1","003N8EMH8GTFRIVOG7KG9J3KE","GSON1112030560")</f>
        <v>#NAME?</v>
      </c>
      <c r="P241" s="8" t="e">
        <f ca="1">[1]!BexGetData("DP_1","003N8EMH8GTFRIVOG7KG9J9VY","GSON1112030560")</f>
        <v>#NAME?</v>
      </c>
      <c r="Q241" s="4" t="e">
        <f ca="1">[1]!BexGetData("DP_1","00O2TNJGODT0G5Z4TTKYMM5MT","GSON1112030560")</f>
        <v>#NAME?</v>
      </c>
      <c r="R241" s="3" t="e">
        <f ca="1">[1]!BexGetData("DP_1","00O2TNJGODT0G5Z4TTKYMMBYD","GSON1112030560")</f>
        <v>#NAME?</v>
      </c>
      <c r="S241" s="3" t="e">
        <f ca="1">[1]!BexGetData("DP_1","00O2TNJGODT0G5Z4TTKYMMI9X","GSON1112030560")</f>
        <v>#NAME?</v>
      </c>
      <c r="T241" s="8" t="e">
        <f ca="1">[1]!BexGetData("DP_1","00O2TNJGODT0G5Z4TTKYMMOLH","GSON1112030560")</f>
        <v>#NAME?</v>
      </c>
      <c r="U241" s="3" t="e">
        <f ca="1">[1]!BexGetData("DP_1","00O2TNJGODT0G5Z4TTKYMMUX1","GSON1112030560")</f>
        <v>#NAME?</v>
      </c>
      <c r="V241" s="8" t="e">
        <f ca="1">[1]!BexGetData("DP_1","00O2TNJGODT0G5Z4TTKYMN18L","GSON1112030560")</f>
        <v>#NAME?</v>
      </c>
      <c r="W241" s="3" t="e">
        <f ca="1">[1]!BexGetData("DP_1","00O2TNJGODT0G5Z4TTKYMN7K5","GSON1112030560")</f>
        <v>#NAME?</v>
      </c>
    </row>
    <row r="242" spans="1:23" x14ac:dyDescent="0.2">
      <c r="A242" s="16" t="s">
        <v>830</v>
      </c>
      <c r="B242" s="7" t="s">
        <v>831</v>
      </c>
      <c r="C242" s="3" t="e">
        <f ca="1">[1]!BexGetData("DP_1","003N8EMH8GTFRCSWKMPXRR8GU","GSON1112030561")</f>
        <v>#NAME?</v>
      </c>
      <c r="D242" s="3" t="e">
        <f ca="1">[1]!BexGetData("DP_1","003N8EMH8GTFRCSWKMPXRRESE","GSON1112030561")</f>
        <v>#NAME?</v>
      </c>
      <c r="E242" s="3" t="e">
        <f ca="1">[1]!BexGetData("DP_1","003N8EMH8GTFRCSWKMPXRRL3Y","GSON1112030561")</f>
        <v>#NAME?</v>
      </c>
      <c r="F242" s="3" t="e">
        <f ca="1">[1]!BexGetData("DP_1","003N8EMH8GTFRCSWKMPXRRRFI","GSON1112030561")</f>
        <v>#NAME?</v>
      </c>
      <c r="G242" s="3" t="e">
        <f ca="1">[1]!BexGetData("DP_1","003N8EMH8GTFRCSWKMPXRRXR2","GSON1112030561")</f>
        <v>#NAME?</v>
      </c>
      <c r="H242" s="8" t="e">
        <f ca="1">[1]!BexGetData("DP_1","003N8EMH8GTFRCSWKMPXRS42M","GSON1112030561")</f>
        <v>#NAME?</v>
      </c>
      <c r="I242" s="3" t="e">
        <f ca="1">[1]!BexGetData("DP_1","003N8EMH8GTFRCSWKMPXRSAE6","GSON1112030561")</f>
        <v>#NAME?</v>
      </c>
      <c r="J242" s="4" t="e">
        <f ca="1">[1]!BexGetData("DP_1","003N8EMH8GTFRCSWKMPXRSGPQ","GSON1112030561")</f>
        <v>#NAME?</v>
      </c>
      <c r="K242" s="3" t="e">
        <f ca="1">[1]!BexGetData("DP_1","003N8EMH8GTFRIVNUPY288VJH","GSON1112030561")</f>
        <v>#NAME?</v>
      </c>
      <c r="L242" s="3" t="e">
        <f ca="1">[1]!BexGetData("DP_1","003N8EMH8GTFRIVNUPY2891V1","GSON1112030561")</f>
        <v>#NAME?</v>
      </c>
      <c r="M242" s="3" t="e">
        <f ca="1">[1]!BexGetData("DP_1","003N8EMH8GTFRIVOG7KG9IQXA","GSON1112030561")</f>
        <v>#NAME?</v>
      </c>
      <c r="N242" s="8" t="e">
        <f ca="1">[1]!BexGetData("DP_1","003N8EMH8GTFRIVOG7KG9IX8U","GSON1112030561")</f>
        <v>#NAME?</v>
      </c>
      <c r="O242" s="3" t="e">
        <f ca="1">[1]!BexGetData("DP_1","003N8EMH8GTFRIVOG7KG9J3KE","GSON1112030561")</f>
        <v>#NAME?</v>
      </c>
      <c r="P242" s="8" t="e">
        <f ca="1">[1]!BexGetData("DP_1","003N8EMH8GTFRIVOG7KG9J9VY","GSON1112030561")</f>
        <v>#NAME?</v>
      </c>
      <c r="Q242" s="4" t="e">
        <f ca="1">[1]!BexGetData("DP_1","00O2TNJGODT0G5Z4TTKYMM5MT","GSON1112030561")</f>
        <v>#NAME?</v>
      </c>
      <c r="R242" s="3" t="e">
        <f ca="1">[1]!BexGetData("DP_1","00O2TNJGODT0G5Z4TTKYMMBYD","GSON1112030561")</f>
        <v>#NAME?</v>
      </c>
      <c r="S242" s="3" t="e">
        <f ca="1">[1]!BexGetData("DP_1","00O2TNJGODT0G5Z4TTKYMMI9X","GSON1112030561")</f>
        <v>#NAME?</v>
      </c>
      <c r="T242" s="8" t="e">
        <f ca="1">[1]!BexGetData("DP_1","00O2TNJGODT0G5Z4TTKYMMOLH","GSON1112030561")</f>
        <v>#NAME?</v>
      </c>
      <c r="U242" s="3" t="e">
        <f ca="1">[1]!BexGetData("DP_1","00O2TNJGODT0G5Z4TTKYMMUX1","GSON1112030561")</f>
        <v>#NAME?</v>
      </c>
      <c r="V242" s="8" t="e">
        <f ca="1">[1]!BexGetData("DP_1","00O2TNJGODT0G5Z4TTKYMN18L","GSON1112030561")</f>
        <v>#NAME?</v>
      </c>
      <c r="W242" s="3" t="e">
        <f ca="1">[1]!BexGetData("DP_1","00O2TNJGODT0G5Z4TTKYMN7K5","GSON1112030561")</f>
        <v>#NAME?</v>
      </c>
    </row>
    <row r="243" spans="1:23" x14ac:dyDescent="0.2">
      <c r="A243" s="16" t="s">
        <v>832</v>
      </c>
      <c r="B243" s="7" t="s">
        <v>833</v>
      </c>
      <c r="C243" s="3" t="e">
        <f ca="1">[1]!BexGetData("DP_1","003N8EMH8GTFRCSWKMPXRR8GU","GSON1112030562")</f>
        <v>#NAME?</v>
      </c>
      <c r="D243" s="3" t="e">
        <f ca="1">[1]!BexGetData("DP_1","003N8EMH8GTFRCSWKMPXRRESE","GSON1112030562")</f>
        <v>#NAME?</v>
      </c>
      <c r="E243" s="3" t="e">
        <f ca="1">[1]!BexGetData("DP_1","003N8EMH8GTFRCSWKMPXRRL3Y","GSON1112030562")</f>
        <v>#NAME?</v>
      </c>
      <c r="F243" s="4" t="e">
        <f ca="1">[1]!BexGetData("DP_1","003N8EMH8GTFRCSWKMPXRRRFI","GSON1112030562")</f>
        <v>#NAME?</v>
      </c>
      <c r="G243" s="4" t="e">
        <f ca="1">[1]!BexGetData("DP_1","003N8EMH8GTFRCSWKMPXRRXR2","GSON1112030562")</f>
        <v>#NAME?</v>
      </c>
      <c r="H243" s="4" t="e">
        <f ca="1">[1]!BexGetData("DP_1","003N8EMH8GTFRCSWKMPXRS42M","GSON1112030562")</f>
        <v>#NAME?</v>
      </c>
      <c r="I243" s="4" t="e">
        <f ca="1">[1]!BexGetData("DP_1","003N8EMH8GTFRCSWKMPXRSAE6","GSON1112030562")</f>
        <v>#NAME?</v>
      </c>
      <c r="J243" s="4" t="e">
        <f ca="1">[1]!BexGetData("DP_1","003N8EMH8GTFRCSWKMPXRSGPQ","GSON1112030562")</f>
        <v>#NAME?</v>
      </c>
      <c r="K243" s="3" t="e">
        <f ca="1">[1]!BexGetData("DP_1","003N8EMH8GTFRIVNUPY288VJH","GSON1112030562")</f>
        <v>#NAME?</v>
      </c>
      <c r="L243" s="3" t="e">
        <f ca="1">[1]!BexGetData("DP_1","003N8EMH8GTFRIVNUPY2891V1","GSON1112030562")</f>
        <v>#NAME?</v>
      </c>
      <c r="M243" s="8" t="e">
        <f ca="1">[1]!BexGetData("DP_1","003N8EMH8GTFRIVOG7KG9IQXA","GSON1112030562")</f>
        <v>#NAME?</v>
      </c>
      <c r="N243" s="3" t="e">
        <f ca="1">[1]!BexGetData("DP_1","003N8EMH8GTFRIVOG7KG9IX8U","GSON1112030562")</f>
        <v>#NAME?</v>
      </c>
      <c r="O243" s="8" t="e">
        <f ca="1">[1]!BexGetData("DP_1","003N8EMH8GTFRIVOG7KG9J3KE","GSON1112030562")</f>
        <v>#NAME?</v>
      </c>
      <c r="P243" s="3" t="e">
        <f ca="1">[1]!BexGetData("DP_1","003N8EMH8GTFRIVOG7KG9J9VY","GSON1112030562")</f>
        <v>#NAME?</v>
      </c>
      <c r="Q243" s="4" t="e">
        <f ca="1">[1]!BexGetData("DP_1","00O2TNJGODT0G5Z4TTKYMM5MT","GSON1112030562")</f>
        <v>#NAME?</v>
      </c>
      <c r="R243" s="4" t="e">
        <f ca="1">[1]!BexGetData("DP_1","00O2TNJGODT0G5Z4TTKYMMBYD","GSON1112030562")</f>
        <v>#NAME?</v>
      </c>
      <c r="S243" s="4" t="e">
        <f ca="1">[1]!BexGetData("DP_1","00O2TNJGODT0G5Z4TTKYMMI9X","GSON1112030562")</f>
        <v>#NAME?</v>
      </c>
      <c r="T243" s="4" t="e">
        <f ca="1">[1]!BexGetData("DP_1","00O2TNJGODT0G5Z4TTKYMMOLH","GSON1112030562")</f>
        <v>#NAME?</v>
      </c>
      <c r="U243" s="4" t="e">
        <f ca="1">[1]!BexGetData("DP_1","00O2TNJGODT0G5Z4TTKYMMUX1","GSON1112030562")</f>
        <v>#NAME?</v>
      </c>
      <c r="V243" s="4" t="e">
        <f ca="1">[1]!BexGetData("DP_1","00O2TNJGODT0G5Z4TTKYMN18L","GSON1112030562")</f>
        <v>#NAME?</v>
      </c>
      <c r="W243" s="4" t="e">
        <f ca="1">[1]!BexGetData("DP_1","00O2TNJGODT0G5Z4TTKYMN7K5","GSON1112030562")</f>
        <v>#NAME?</v>
      </c>
    </row>
    <row r="244" spans="1:23" x14ac:dyDescent="0.2">
      <c r="A244" s="16" t="s">
        <v>2047</v>
      </c>
      <c r="B244" s="7" t="s">
        <v>2048</v>
      </c>
      <c r="C244" s="3" t="e">
        <f ca="1">[1]!BexGetData("DP_1","003N8EMH8GTFRCSWKMPXRR8GU","GSON1112030563")</f>
        <v>#NAME?</v>
      </c>
      <c r="D244" s="3" t="e">
        <f ca="1">[1]!BexGetData("DP_1","003N8EMH8GTFRCSWKMPXRRESE","GSON1112030563")</f>
        <v>#NAME?</v>
      </c>
      <c r="E244" s="3" t="e">
        <f ca="1">[1]!BexGetData("DP_1","003N8EMH8GTFRCSWKMPXRRL3Y","GSON1112030563")</f>
        <v>#NAME?</v>
      </c>
      <c r="F244" s="4" t="e">
        <f ca="1">[1]!BexGetData("DP_1","003N8EMH8GTFRCSWKMPXRRRFI","GSON1112030563")</f>
        <v>#NAME?</v>
      </c>
      <c r="G244" s="4" t="e">
        <f ca="1">[1]!BexGetData("DP_1","003N8EMH8GTFRCSWKMPXRRXR2","GSON1112030563")</f>
        <v>#NAME?</v>
      </c>
      <c r="H244" s="4" t="e">
        <f ca="1">[1]!BexGetData("DP_1","003N8EMH8GTFRCSWKMPXRS42M","GSON1112030563")</f>
        <v>#NAME?</v>
      </c>
      <c r="I244" s="4" t="e">
        <f ca="1">[1]!BexGetData("DP_1","003N8EMH8GTFRCSWKMPXRSAE6","GSON1112030563")</f>
        <v>#NAME?</v>
      </c>
      <c r="J244" s="4" t="e">
        <f ca="1">[1]!BexGetData("DP_1","003N8EMH8GTFRCSWKMPXRSGPQ","GSON1112030563")</f>
        <v>#NAME?</v>
      </c>
      <c r="K244" s="3" t="e">
        <f ca="1">[1]!BexGetData("DP_1","003N8EMH8GTFRIVNUPY288VJH","GSON1112030563")</f>
        <v>#NAME?</v>
      </c>
      <c r="L244" s="3" t="e">
        <f ca="1">[1]!BexGetData("DP_1","003N8EMH8GTFRIVNUPY2891V1","GSON1112030563")</f>
        <v>#NAME?</v>
      </c>
      <c r="M244" s="3" t="e">
        <f ca="1">[1]!BexGetData("DP_1","003N8EMH8GTFRIVOG7KG9IQXA","GSON1112030563")</f>
        <v>#NAME?</v>
      </c>
      <c r="N244" s="8" t="e">
        <f ca="1">[1]!BexGetData("DP_1","003N8EMH8GTFRIVOG7KG9IX8U","GSON1112030563")</f>
        <v>#NAME?</v>
      </c>
      <c r="O244" s="3" t="e">
        <f ca="1">[1]!BexGetData("DP_1","003N8EMH8GTFRIVOG7KG9J3KE","GSON1112030563")</f>
        <v>#NAME?</v>
      </c>
      <c r="P244" s="8" t="e">
        <f ca="1">[1]!BexGetData("DP_1","003N8EMH8GTFRIVOG7KG9J9VY","GSON1112030563")</f>
        <v>#NAME?</v>
      </c>
      <c r="Q244" s="4" t="e">
        <f ca="1">[1]!BexGetData("DP_1","00O2TNJGODT0G5Z4TTKYMM5MT","GSON1112030563")</f>
        <v>#NAME?</v>
      </c>
      <c r="R244" s="4" t="e">
        <f ca="1">[1]!BexGetData("DP_1","00O2TNJGODT0G5Z4TTKYMMBYD","GSON1112030563")</f>
        <v>#NAME?</v>
      </c>
      <c r="S244" s="4" t="e">
        <f ca="1">[1]!BexGetData("DP_1","00O2TNJGODT0G5Z4TTKYMMI9X","GSON1112030563")</f>
        <v>#NAME?</v>
      </c>
      <c r="T244" s="4" t="e">
        <f ca="1">[1]!BexGetData("DP_1","00O2TNJGODT0G5Z4TTKYMMOLH","GSON1112030563")</f>
        <v>#NAME?</v>
      </c>
      <c r="U244" s="4" t="e">
        <f ca="1">[1]!BexGetData("DP_1","00O2TNJGODT0G5Z4TTKYMMUX1","GSON1112030563")</f>
        <v>#NAME?</v>
      </c>
      <c r="V244" s="4" t="e">
        <f ca="1">[1]!BexGetData("DP_1","00O2TNJGODT0G5Z4TTKYMN18L","GSON1112030563")</f>
        <v>#NAME?</v>
      </c>
      <c r="W244" s="4" t="e">
        <f ca="1">[1]!BexGetData("DP_1","00O2TNJGODT0G5Z4TTKYMN7K5","GSON1112030563")</f>
        <v>#NAME?</v>
      </c>
    </row>
    <row r="245" spans="1:23" x14ac:dyDescent="0.2">
      <c r="A245" s="16" t="s">
        <v>834</v>
      </c>
      <c r="B245" s="7" t="s">
        <v>835</v>
      </c>
      <c r="C245" s="3" t="e">
        <f ca="1">[1]!BexGetData("DP_1","003N8EMH8GTFRCSWKMPXRR8GU","GSON1112030564")</f>
        <v>#NAME?</v>
      </c>
      <c r="D245" s="3" t="e">
        <f ca="1">[1]!BexGetData("DP_1","003N8EMH8GTFRCSWKMPXRRESE","GSON1112030564")</f>
        <v>#NAME?</v>
      </c>
      <c r="E245" s="3" t="e">
        <f ca="1">[1]!BexGetData("DP_1","003N8EMH8GTFRCSWKMPXRRL3Y","GSON1112030564")</f>
        <v>#NAME?</v>
      </c>
      <c r="F245" s="4" t="e">
        <f ca="1">[1]!BexGetData("DP_1","003N8EMH8GTFRCSWKMPXRRRFI","GSON1112030564")</f>
        <v>#NAME?</v>
      </c>
      <c r="G245" s="4" t="e">
        <f ca="1">[1]!BexGetData("DP_1","003N8EMH8GTFRCSWKMPXRRXR2","GSON1112030564")</f>
        <v>#NAME?</v>
      </c>
      <c r="H245" s="4" t="e">
        <f ca="1">[1]!BexGetData("DP_1","003N8EMH8GTFRCSWKMPXRS42M","GSON1112030564")</f>
        <v>#NAME?</v>
      </c>
      <c r="I245" s="4" t="e">
        <f ca="1">[1]!BexGetData("DP_1","003N8EMH8GTFRCSWKMPXRSAE6","GSON1112030564")</f>
        <v>#NAME?</v>
      </c>
      <c r="J245" s="4" t="e">
        <f ca="1">[1]!BexGetData("DP_1","003N8EMH8GTFRCSWKMPXRSGPQ","GSON1112030564")</f>
        <v>#NAME?</v>
      </c>
      <c r="K245" s="3" t="e">
        <f ca="1">[1]!BexGetData("DP_1","003N8EMH8GTFRIVNUPY288VJH","GSON1112030564")</f>
        <v>#NAME?</v>
      </c>
      <c r="L245" s="3" t="e">
        <f ca="1">[1]!BexGetData("DP_1","003N8EMH8GTFRIVNUPY2891V1","GSON1112030564")</f>
        <v>#NAME?</v>
      </c>
      <c r="M245" s="8" t="e">
        <f ca="1">[1]!BexGetData("DP_1","003N8EMH8GTFRIVOG7KG9IQXA","GSON1112030564")</f>
        <v>#NAME?</v>
      </c>
      <c r="N245" s="3" t="e">
        <f ca="1">[1]!BexGetData("DP_1","003N8EMH8GTFRIVOG7KG9IX8U","GSON1112030564")</f>
        <v>#NAME?</v>
      </c>
      <c r="O245" s="8" t="e">
        <f ca="1">[1]!BexGetData("DP_1","003N8EMH8GTFRIVOG7KG9J3KE","GSON1112030564")</f>
        <v>#NAME?</v>
      </c>
      <c r="P245" s="3" t="e">
        <f ca="1">[1]!BexGetData("DP_1","003N8EMH8GTFRIVOG7KG9J9VY","GSON1112030564")</f>
        <v>#NAME?</v>
      </c>
      <c r="Q245" s="4" t="e">
        <f ca="1">[1]!BexGetData("DP_1","00O2TNJGODT0G5Z4TTKYMM5MT","GSON1112030564")</f>
        <v>#NAME?</v>
      </c>
      <c r="R245" s="4" t="e">
        <f ca="1">[1]!BexGetData("DP_1","00O2TNJGODT0G5Z4TTKYMMBYD","GSON1112030564")</f>
        <v>#NAME?</v>
      </c>
      <c r="S245" s="4" t="e">
        <f ca="1">[1]!BexGetData("DP_1","00O2TNJGODT0G5Z4TTKYMMI9X","GSON1112030564")</f>
        <v>#NAME?</v>
      </c>
      <c r="T245" s="4" t="e">
        <f ca="1">[1]!BexGetData("DP_1","00O2TNJGODT0G5Z4TTKYMMOLH","GSON1112030564")</f>
        <v>#NAME?</v>
      </c>
      <c r="U245" s="4" t="e">
        <f ca="1">[1]!BexGetData("DP_1","00O2TNJGODT0G5Z4TTKYMMUX1","GSON1112030564")</f>
        <v>#NAME?</v>
      </c>
      <c r="V245" s="4" t="e">
        <f ca="1">[1]!BexGetData("DP_1","00O2TNJGODT0G5Z4TTKYMN18L","GSON1112030564")</f>
        <v>#NAME?</v>
      </c>
      <c r="W245" s="4" t="e">
        <f ca="1">[1]!BexGetData("DP_1","00O2TNJGODT0G5Z4TTKYMN7K5","GSON1112030564")</f>
        <v>#NAME?</v>
      </c>
    </row>
    <row r="246" spans="1:23" x14ac:dyDescent="0.2">
      <c r="A246" s="16" t="s">
        <v>836</v>
      </c>
      <c r="B246" s="7" t="s">
        <v>837</v>
      </c>
      <c r="C246" s="3" t="e">
        <f ca="1">[1]!BexGetData("DP_1","003N8EMH8GTFRCSWKMPXRR8GU","GSON1112030570")</f>
        <v>#NAME?</v>
      </c>
      <c r="D246" s="3" t="e">
        <f ca="1">[1]!BexGetData("DP_1","003N8EMH8GTFRCSWKMPXRRESE","GSON1112030570")</f>
        <v>#NAME?</v>
      </c>
      <c r="E246" s="3" t="e">
        <f ca="1">[1]!BexGetData("DP_1","003N8EMH8GTFRCSWKMPXRRL3Y","GSON1112030570")</f>
        <v>#NAME?</v>
      </c>
      <c r="F246" s="3" t="e">
        <f ca="1">[1]!BexGetData("DP_1","003N8EMH8GTFRCSWKMPXRRRFI","GSON1112030570")</f>
        <v>#NAME?</v>
      </c>
      <c r="G246" s="3" t="e">
        <f ca="1">[1]!BexGetData("DP_1","003N8EMH8GTFRCSWKMPXRRXR2","GSON1112030570")</f>
        <v>#NAME?</v>
      </c>
      <c r="H246" s="8" t="e">
        <f ca="1">[1]!BexGetData("DP_1","003N8EMH8GTFRCSWKMPXRS42M","GSON1112030570")</f>
        <v>#NAME?</v>
      </c>
      <c r="I246" s="3" t="e">
        <f ca="1">[1]!BexGetData("DP_1","003N8EMH8GTFRCSWKMPXRSAE6","GSON1112030570")</f>
        <v>#NAME?</v>
      </c>
      <c r="J246" s="4" t="e">
        <f ca="1">[1]!BexGetData("DP_1","003N8EMH8GTFRCSWKMPXRSGPQ","GSON1112030570")</f>
        <v>#NAME?</v>
      </c>
      <c r="K246" s="3" t="e">
        <f ca="1">[1]!BexGetData("DP_1","003N8EMH8GTFRIVNUPY288VJH","GSON1112030570")</f>
        <v>#NAME?</v>
      </c>
      <c r="L246" s="3" t="e">
        <f ca="1">[1]!BexGetData("DP_1","003N8EMH8GTFRIVNUPY2891V1","GSON1112030570")</f>
        <v>#NAME?</v>
      </c>
      <c r="M246" s="3" t="e">
        <f ca="1">[1]!BexGetData("DP_1","003N8EMH8GTFRIVOG7KG9IQXA","GSON1112030570")</f>
        <v>#NAME?</v>
      </c>
      <c r="N246" s="8" t="e">
        <f ca="1">[1]!BexGetData("DP_1","003N8EMH8GTFRIVOG7KG9IX8U","GSON1112030570")</f>
        <v>#NAME?</v>
      </c>
      <c r="O246" s="3" t="e">
        <f ca="1">[1]!BexGetData("DP_1","003N8EMH8GTFRIVOG7KG9J3KE","GSON1112030570")</f>
        <v>#NAME?</v>
      </c>
      <c r="P246" s="8" t="e">
        <f ca="1">[1]!BexGetData("DP_1","003N8EMH8GTFRIVOG7KG9J9VY","GSON1112030570")</f>
        <v>#NAME?</v>
      </c>
      <c r="Q246" s="4" t="e">
        <f ca="1">[1]!BexGetData("DP_1","00O2TNJGODT0G5Z4TTKYMM5MT","GSON1112030570")</f>
        <v>#NAME?</v>
      </c>
      <c r="R246" s="3" t="e">
        <f ca="1">[1]!BexGetData("DP_1","00O2TNJGODT0G5Z4TTKYMMBYD","GSON1112030570")</f>
        <v>#NAME?</v>
      </c>
      <c r="S246" s="3" t="e">
        <f ca="1">[1]!BexGetData("DP_1","00O2TNJGODT0G5Z4TTKYMMI9X","GSON1112030570")</f>
        <v>#NAME?</v>
      </c>
      <c r="T246" s="8" t="e">
        <f ca="1">[1]!BexGetData("DP_1","00O2TNJGODT0G5Z4TTKYMMOLH","GSON1112030570")</f>
        <v>#NAME?</v>
      </c>
      <c r="U246" s="3" t="e">
        <f ca="1">[1]!BexGetData("DP_1","00O2TNJGODT0G5Z4TTKYMMUX1","GSON1112030570")</f>
        <v>#NAME?</v>
      </c>
      <c r="V246" s="8" t="e">
        <f ca="1">[1]!BexGetData("DP_1","00O2TNJGODT0G5Z4TTKYMN18L","GSON1112030570")</f>
        <v>#NAME?</v>
      </c>
      <c r="W246" s="3" t="e">
        <f ca="1">[1]!BexGetData("DP_1","00O2TNJGODT0G5Z4TTKYMN7K5","GSON1112030570")</f>
        <v>#NAME?</v>
      </c>
    </row>
    <row r="247" spans="1:23" x14ac:dyDescent="0.2">
      <c r="A247" s="16" t="s">
        <v>838</v>
      </c>
      <c r="B247" s="7" t="s">
        <v>839</v>
      </c>
      <c r="C247" s="3" t="e">
        <f ca="1">[1]!BexGetData("DP_1","003N8EMH8GTFRCSWKMPXRR8GU","GSON1112030571")</f>
        <v>#NAME?</v>
      </c>
      <c r="D247" s="3" t="e">
        <f ca="1">[1]!BexGetData("DP_1","003N8EMH8GTFRCSWKMPXRRESE","GSON1112030571")</f>
        <v>#NAME?</v>
      </c>
      <c r="E247" s="3" t="e">
        <f ca="1">[1]!BexGetData("DP_1","003N8EMH8GTFRCSWKMPXRRL3Y","GSON1112030571")</f>
        <v>#NAME?</v>
      </c>
      <c r="F247" s="4" t="e">
        <f ca="1">[1]!BexGetData("DP_1","003N8EMH8GTFRCSWKMPXRRRFI","GSON1112030571")</f>
        <v>#NAME?</v>
      </c>
      <c r="G247" s="4" t="e">
        <f ca="1">[1]!BexGetData("DP_1","003N8EMH8GTFRCSWKMPXRRXR2","GSON1112030571")</f>
        <v>#NAME?</v>
      </c>
      <c r="H247" s="4" t="e">
        <f ca="1">[1]!BexGetData("DP_1","003N8EMH8GTFRCSWKMPXRS42M","GSON1112030571")</f>
        <v>#NAME?</v>
      </c>
      <c r="I247" s="4" t="e">
        <f ca="1">[1]!BexGetData("DP_1","003N8EMH8GTFRCSWKMPXRSAE6","GSON1112030571")</f>
        <v>#NAME?</v>
      </c>
      <c r="J247" s="4" t="e">
        <f ca="1">[1]!BexGetData("DP_1","003N8EMH8GTFRCSWKMPXRSGPQ","GSON1112030571")</f>
        <v>#NAME?</v>
      </c>
      <c r="K247" s="3" t="e">
        <f ca="1">[1]!BexGetData("DP_1","003N8EMH8GTFRIVNUPY288VJH","GSON1112030571")</f>
        <v>#NAME?</v>
      </c>
      <c r="L247" s="3" t="e">
        <f ca="1">[1]!BexGetData("DP_1","003N8EMH8GTFRIVNUPY2891V1","GSON1112030571")</f>
        <v>#NAME?</v>
      </c>
      <c r="M247" s="8" t="e">
        <f ca="1">[1]!BexGetData("DP_1","003N8EMH8GTFRIVOG7KG9IQXA","GSON1112030571")</f>
        <v>#NAME?</v>
      </c>
      <c r="N247" s="3" t="e">
        <f ca="1">[1]!BexGetData("DP_1","003N8EMH8GTFRIVOG7KG9IX8U","GSON1112030571")</f>
        <v>#NAME?</v>
      </c>
      <c r="O247" s="8" t="e">
        <f ca="1">[1]!BexGetData("DP_1","003N8EMH8GTFRIVOG7KG9J3KE","GSON1112030571")</f>
        <v>#NAME?</v>
      </c>
      <c r="P247" s="3" t="e">
        <f ca="1">[1]!BexGetData("DP_1","003N8EMH8GTFRIVOG7KG9J9VY","GSON1112030571")</f>
        <v>#NAME?</v>
      </c>
      <c r="Q247" s="4" t="e">
        <f ca="1">[1]!BexGetData("DP_1","00O2TNJGODT0G5Z4TTKYMM5MT","GSON1112030571")</f>
        <v>#NAME?</v>
      </c>
      <c r="R247" s="4" t="e">
        <f ca="1">[1]!BexGetData("DP_1","00O2TNJGODT0G5Z4TTKYMMBYD","GSON1112030571")</f>
        <v>#NAME?</v>
      </c>
      <c r="S247" s="4" t="e">
        <f ca="1">[1]!BexGetData("DP_1","00O2TNJGODT0G5Z4TTKYMMI9X","GSON1112030571")</f>
        <v>#NAME?</v>
      </c>
      <c r="T247" s="4" t="e">
        <f ca="1">[1]!BexGetData("DP_1","00O2TNJGODT0G5Z4TTKYMMOLH","GSON1112030571")</f>
        <v>#NAME?</v>
      </c>
      <c r="U247" s="4" t="e">
        <f ca="1">[1]!BexGetData("DP_1","00O2TNJGODT0G5Z4TTKYMMUX1","GSON1112030571")</f>
        <v>#NAME?</v>
      </c>
      <c r="V247" s="4" t="e">
        <f ca="1">[1]!BexGetData("DP_1","00O2TNJGODT0G5Z4TTKYMN18L","GSON1112030571")</f>
        <v>#NAME?</v>
      </c>
      <c r="W247" s="4" t="e">
        <f ca="1">[1]!BexGetData("DP_1","00O2TNJGODT0G5Z4TTKYMN7K5","GSON1112030571")</f>
        <v>#NAME?</v>
      </c>
    </row>
    <row r="248" spans="1:23" x14ac:dyDescent="0.2">
      <c r="A248" s="16" t="s">
        <v>2049</v>
      </c>
      <c r="B248" s="7" t="s">
        <v>2050</v>
      </c>
      <c r="C248" s="3" t="e">
        <f ca="1">[1]!BexGetData("DP_1","003N8EMH8GTFRCSWKMPXRR8GU","GSON1112030573")</f>
        <v>#NAME?</v>
      </c>
      <c r="D248" s="3" t="e">
        <f ca="1">[1]!BexGetData("DP_1","003N8EMH8GTFRCSWKMPXRRESE","GSON1112030573")</f>
        <v>#NAME?</v>
      </c>
      <c r="E248" s="8" t="e">
        <f ca="1">[1]!BexGetData("DP_1","003N8EMH8GTFRCSWKMPXRRL3Y","GSON1112030573")</f>
        <v>#NAME?</v>
      </c>
      <c r="F248" s="4" t="e">
        <f ca="1">[1]!BexGetData("DP_1","003N8EMH8GTFRCSWKMPXRRRFI","GSON1112030573")</f>
        <v>#NAME?</v>
      </c>
      <c r="G248" s="4" t="e">
        <f ca="1">[1]!BexGetData("DP_1","003N8EMH8GTFRCSWKMPXRRXR2","GSON1112030573")</f>
        <v>#NAME?</v>
      </c>
      <c r="H248" s="4" t="e">
        <f ca="1">[1]!BexGetData("DP_1","003N8EMH8GTFRCSWKMPXRS42M","GSON1112030573")</f>
        <v>#NAME?</v>
      </c>
      <c r="I248" s="4" t="e">
        <f ca="1">[1]!BexGetData("DP_1","003N8EMH8GTFRCSWKMPXRSAE6","GSON1112030573")</f>
        <v>#NAME?</v>
      </c>
      <c r="J248" s="4" t="e">
        <f ca="1">[1]!BexGetData("DP_1","003N8EMH8GTFRCSWKMPXRSGPQ","GSON1112030573")</f>
        <v>#NAME?</v>
      </c>
      <c r="K248" s="8" t="e">
        <f ca="1">[1]!BexGetData("DP_1","003N8EMH8GTFRIVNUPY288VJH","GSON1112030573")</f>
        <v>#NAME?</v>
      </c>
      <c r="L248" s="8" t="e">
        <f ca="1">[1]!BexGetData("DP_1","003N8EMH8GTFRIVNUPY2891V1","GSON1112030573")</f>
        <v>#NAME?</v>
      </c>
      <c r="M248" s="8" t="e">
        <f ca="1">[1]!BexGetData("DP_1","003N8EMH8GTFRIVOG7KG9IQXA","GSON1112030573")</f>
        <v>#NAME?</v>
      </c>
      <c r="N248" s="8" t="e">
        <f ca="1">[1]!BexGetData("DP_1","003N8EMH8GTFRIVOG7KG9IX8U","GSON1112030573")</f>
        <v>#NAME?</v>
      </c>
      <c r="O248" s="8" t="e">
        <f ca="1">[1]!BexGetData("DP_1","003N8EMH8GTFRIVOG7KG9J3KE","GSON1112030573")</f>
        <v>#NAME?</v>
      </c>
      <c r="P248" s="8" t="e">
        <f ca="1">[1]!BexGetData("DP_1","003N8EMH8GTFRIVOG7KG9J9VY","GSON1112030573")</f>
        <v>#NAME?</v>
      </c>
      <c r="Q248" s="4" t="e">
        <f ca="1">[1]!BexGetData("DP_1","00O2TNJGODT0G5Z4TTKYMM5MT","GSON1112030573")</f>
        <v>#NAME?</v>
      </c>
      <c r="R248" s="4" t="e">
        <f ca="1">[1]!BexGetData("DP_1","00O2TNJGODT0G5Z4TTKYMMBYD","GSON1112030573")</f>
        <v>#NAME?</v>
      </c>
      <c r="S248" s="4" t="e">
        <f ca="1">[1]!BexGetData("DP_1","00O2TNJGODT0G5Z4TTKYMMI9X","GSON1112030573")</f>
        <v>#NAME?</v>
      </c>
      <c r="T248" s="4" t="e">
        <f ca="1">[1]!BexGetData("DP_1","00O2TNJGODT0G5Z4TTKYMMOLH","GSON1112030573")</f>
        <v>#NAME?</v>
      </c>
      <c r="U248" s="4" t="e">
        <f ca="1">[1]!BexGetData("DP_1","00O2TNJGODT0G5Z4TTKYMMUX1","GSON1112030573")</f>
        <v>#NAME?</v>
      </c>
      <c r="V248" s="4" t="e">
        <f ca="1">[1]!BexGetData("DP_1","00O2TNJGODT0G5Z4TTKYMN18L","GSON1112030573")</f>
        <v>#NAME?</v>
      </c>
      <c r="W248" s="4" t="e">
        <f ca="1">[1]!BexGetData("DP_1","00O2TNJGODT0G5Z4TTKYMN7K5","GSON1112030573")</f>
        <v>#NAME?</v>
      </c>
    </row>
    <row r="249" spans="1:23" x14ac:dyDescent="0.2">
      <c r="A249" s="16" t="s">
        <v>2051</v>
      </c>
      <c r="B249" s="7" t="s">
        <v>2052</v>
      </c>
      <c r="C249" s="3" t="e">
        <f ca="1">[1]!BexGetData("DP_1","003N8EMH8GTFRCSWKMPXRR8GU","GSON1112030574")</f>
        <v>#NAME?</v>
      </c>
      <c r="D249" s="3" t="e">
        <f ca="1">[1]!BexGetData("DP_1","003N8EMH8GTFRCSWKMPXRRESE","GSON1112030574")</f>
        <v>#NAME?</v>
      </c>
      <c r="E249" s="8" t="e">
        <f ca="1">[1]!BexGetData("DP_1","003N8EMH8GTFRCSWKMPXRRL3Y","GSON1112030574")</f>
        <v>#NAME?</v>
      </c>
      <c r="F249" s="4" t="e">
        <f ca="1">[1]!BexGetData("DP_1","003N8EMH8GTFRCSWKMPXRRRFI","GSON1112030574")</f>
        <v>#NAME?</v>
      </c>
      <c r="G249" s="4" t="e">
        <f ca="1">[1]!BexGetData("DP_1","003N8EMH8GTFRCSWKMPXRRXR2","GSON1112030574")</f>
        <v>#NAME?</v>
      </c>
      <c r="H249" s="4" t="e">
        <f ca="1">[1]!BexGetData("DP_1","003N8EMH8GTFRCSWKMPXRS42M","GSON1112030574")</f>
        <v>#NAME?</v>
      </c>
      <c r="I249" s="4" t="e">
        <f ca="1">[1]!BexGetData("DP_1","003N8EMH8GTFRCSWKMPXRSAE6","GSON1112030574")</f>
        <v>#NAME?</v>
      </c>
      <c r="J249" s="4" t="e">
        <f ca="1">[1]!BexGetData("DP_1","003N8EMH8GTFRCSWKMPXRSGPQ","GSON1112030574")</f>
        <v>#NAME?</v>
      </c>
      <c r="K249" s="8" t="e">
        <f ca="1">[1]!BexGetData("DP_1","003N8EMH8GTFRIVNUPY288VJH","GSON1112030574")</f>
        <v>#NAME?</v>
      </c>
      <c r="L249" s="8" t="e">
        <f ca="1">[1]!BexGetData("DP_1","003N8EMH8GTFRIVNUPY2891V1","GSON1112030574")</f>
        <v>#NAME?</v>
      </c>
      <c r="M249" s="8" t="e">
        <f ca="1">[1]!BexGetData("DP_1","003N8EMH8GTFRIVOG7KG9IQXA","GSON1112030574")</f>
        <v>#NAME?</v>
      </c>
      <c r="N249" s="8" t="e">
        <f ca="1">[1]!BexGetData("DP_1","003N8EMH8GTFRIVOG7KG9IX8U","GSON1112030574")</f>
        <v>#NAME?</v>
      </c>
      <c r="O249" s="8" t="e">
        <f ca="1">[1]!BexGetData("DP_1","003N8EMH8GTFRIVOG7KG9J3KE","GSON1112030574")</f>
        <v>#NAME?</v>
      </c>
      <c r="P249" s="8" t="e">
        <f ca="1">[1]!BexGetData("DP_1","003N8EMH8GTFRIVOG7KG9J9VY","GSON1112030574")</f>
        <v>#NAME?</v>
      </c>
      <c r="Q249" s="4" t="e">
        <f ca="1">[1]!BexGetData("DP_1","00O2TNJGODT0G5Z4TTKYMM5MT","GSON1112030574")</f>
        <v>#NAME?</v>
      </c>
      <c r="R249" s="4" t="e">
        <f ca="1">[1]!BexGetData("DP_1","00O2TNJGODT0G5Z4TTKYMMBYD","GSON1112030574")</f>
        <v>#NAME?</v>
      </c>
      <c r="S249" s="4" t="e">
        <f ca="1">[1]!BexGetData("DP_1","00O2TNJGODT0G5Z4TTKYMMI9X","GSON1112030574")</f>
        <v>#NAME?</v>
      </c>
      <c r="T249" s="4" t="e">
        <f ca="1">[1]!BexGetData("DP_1","00O2TNJGODT0G5Z4TTKYMMOLH","GSON1112030574")</f>
        <v>#NAME?</v>
      </c>
      <c r="U249" s="4" t="e">
        <f ca="1">[1]!BexGetData("DP_1","00O2TNJGODT0G5Z4TTKYMMUX1","GSON1112030574")</f>
        <v>#NAME?</v>
      </c>
      <c r="V249" s="4" t="e">
        <f ca="1">[1]!BexGetData("DP_1","00O2TNJGODT0G5Z4TTKYMN18L","GSON1112030574")</f>
        <v>#NAME?</v>
      </c>
      <c r="W249" s="4" t="e">
        <f ca="1">[1]!BexGetData("DP_1","00O2TNJGODT0G5Z4TTKYMN7K5","GSON1112030574")</f>
        <v>#NAME?</v>
      </c>
    </row>
    <row r="250" spans="1:23" x14ac:dyDescent="0.2">
      <c r="A250" s="16" t="s">
        <v>840</v>
      </c>
      <c r="B250" s="7" t="s">
        <v>841</v>
      </c>
      <c r="C250" s="3" t="e">
        <f ca="1">[1]!BexGetData("DP_1","003N8EMH8GTFRCSWKMPXRR8GU","GSON1112030580")</f>
        <v>#NAME?</v>
      </c>
      <c r="D250" s="3" t="e">
        <f ca="1">[1]!BexGetData("DP_1","003N8EMH8GTFRCSWKMPXRRESE","GSON1112030580")</f>
        <v>#NAME?</v>
      </c>
      <c r="E250" s="3" t="e">
        <f ca="1">[1]!BexGetData("DP_1","003N8EMH8GTFRCSWKMPXRRL3Y","GSON1112030580")</f>
        <v>#NAME?</v>
      </c>
      <c r="F250" s="3" t="e">
        <f ca="1">[1]!BexGetData("DP_1","003N8EMH8GTFRCSWKMPXRRRFI","GSON1112030580")</f>
        <v>#NAME?</v>
      </c>
      <c r="G250" s="3" t="e">
        <f ca="1">[1]!BexGetData("DP_1","003N8EMH8GTFRCSWKMPXRRXR2","GSON1112030580")</f>
        <v>#NAME?</v>
      </c>
      <c r="H250" s="8" t="e">
        <f ca="1">[1]!BexGetData("DP_1","003N8EMH8GTFRCSWKMPXRS42M","GSON1112030580")</f>
        <v>#NAME?</v>
      </c>
      <c r="I250" s="3" t="e">
        <f ca="1">[1]!BexGetData("DP_1","003N8EMH8GTFRCSWKMPXRSAE6","GSON1112030580")</f>
        <v>#NAME?</v>
      </c>
      <c r="J250" s="4" t="e">
        <f ca="1">[1]!BexGetData("DP_1","003N8EMH8GTFRCSWKMPXRSGPQ","GSON1112030580")</f>
        <v>#NAME?</v>
      </c>
      <c r="K250" s="3" t="e">
        <f ca="1">[1]!BexGetData("DP_1","003N8EMH8GTFRIVNUPY288VJH","GSON1112030580")</f>
        <v>#NAME?</v>
      </c>
      <c r="L250" s="3" t="e">
        <f ca="1">[1]!BexGetData("DP_1","003N8EMH8GTFRIVNUPY2891V1","GSON1112030580")</f>
        <v>#NAME?</v>
      </c>
      <c r="M250" s="3" t="e">
        <f ca="1">[1]!BexGetData("DP_1","003N8EMH8GTFRIVOG7KG9IQXA","GSON1112030580")</f>
        <v>#NAME?</v>
      </c>
      <c r="N250" s="8" t="e">
        <f ca="1">[1]!BexGetData("DP_1","003N8EMH8GTFRIVOG7KG9IX8U","GSON1112030580")</f>
        <v>#NAME?</v>
      </c>
      <c r="O250" s="3" t="e">
        <f ca="1">[1]!BexGetData("DP_1","003N8EMH8GTFRIVOG7KG9J3KE","GSON1112030580")</f>
        <v>#NAME?</v>
      </c>
      <c r="P250" s="8" t="e">
        <f ca="1">[1]!BexGetData("DP_1","003N8EMH8GTFRIVOG7KG9J9VY","GSON1112030580")</f>
        <v>#NAME?</v>
      </c>
      <c r="Q250" s="4" t="e">
        <f ca="1">[1]!BexGetData("DP_1","00O2TNJGODT0G5Z4TTKYMM5MT","GSON1112030580")</f>
        <v>#NAME?</v>
      </c>
      <c r="R250" s="3" t="e">
        <f ca="1">[1]!BexGetData("DP_1","00O2TNJGODT0G5Z4TTKYMMBYD","GSON1112030580")</f>
        <v>#NAME?</v>
      </c>
      <c r="S250" s="3" t="e">
        <f ca="1">[1]!BexGetData("DP_1","00O2TNJGODT0G5Z4TTKYMMI9X","GSON1112030580")</f>
        <v>#NAME?</v>
      </c>
      <c r="T250" s="8" t="e">
        <f ca="1">[1]!BexGetData("DP_1","00O2TNJGODT0G5Z4TTKYMMOLH","GSON1112030580")</f>
        <v>#NAME?</v>
      </c>
      <c r="U250" s="3" t="e">
        <f ca="1">[1]!BexGetData("DP_1","00O2TNJGODT0G5Z4TTKYMMUX1","GSON1112030580")</f>
        <v>#NAME?</v>
      </c>
      <c r="V250" s="8" t="e">
        <f ca="1">[1]!BexGetData("DP_1","00O2TNJGODT0G5Z4TTKYMN18L","GSON1112030580")</f>
        <v>#NAME?</v>
      </c>
      <c r="W250" s="3" t="e">
        <f ca="1">[1]!BexGetData("DP_1","00O2TNJGODT0G5Z4TTKYMN7K5","GSON1112030580")</f>
        <v>#NAME?</v>
      </c>
    </row>
    <row r="251" spans="1:23" x14ac:dyDescent="0.2">
      <c r="A251" s="16" t="s">
        <v>842</v>
      </c>
      <c r="B251" s="7" t="s">
        <v>843</v>
      </c>
      <c r="C251" s="3" t="e">
        <f ca="1">[1]!BexGetData("DP_1","003N8EMH8GTFRCSWKMPXRR8GU","GSON1112030581")</f>
        <v>#NAME?</v>
      </c>
      <c r="D251" s="3" t="e">
        <f ca="1">[1]!BexGetData("DP_1","003N8EMH8GTFRCSWKMPXRRESE","GSON1112030581")</f>
        <v>#NAME?</v>
      </c>
      <c r="E251" s="3" t="e">
        <f ca="1">[1]!BexGetData("DP_1","003N8EMH8GTFRCSWKMPXRRL3Y","GSON1112030581")</f>
        <v>#NAME?</v>
      </c>
      <c r="F251" s="3" t="e">
        <f ca="1">[1]!BexGetData("DP_1","003N8EMH8GTFRCSWKMPXRRRFI","GSON1112030581")</f>
        <v>#NAME?</v>
      </c>
      <c r="G251" s="3" t="e">
        <f ca="1">[1]!BexGetData("DP_1","003N8EMH8GTFRCSWKMPXRRXR2","GSON1112030581")</f>
        <v>#NAME?</v>
      </c>
      <c r="H251" s="8" t="e">
        <f ca="1">[1]!BexGetData("DP_1","003N8EMH8GTFRCSWKMPXRS42M","GSON1112030581")</f>
        <v>#NAME?</v>
      </c>
      <c r="I251" s="3" t="e">
        <f ca="1">[1]!BexGetData("DP_1","003N8EMH8GTFRCSWKMPXRSAE6","GSON1112030581")</f>
        <v>#NAME?</v>
      </c>
      <c r="J251" s="4" t="e">
        <f ca="1">[1]!BexGetData("DP_1","003N8EMH8GTFRCSWKMPXRSGPQ","GSON1112030581")</f>
        <v>#NAME?</v>
      </c>
      <c r="K251" s="3" t="e">
        <f ca="1">[1]!BexGetData("DP_1","003N8EMH8GTFRIVNUPY288VJH","GSON1112030581")</f>
        <v>#NAME?</v>
      </c>
      <c r="L251" s="3" t="e">
        <f ca="1">[1]!BexGetData("DP_1","003N8EMH8GTFRIVNUPY2891V1","GSON1112030581")</f>
        <v>#NAME?</v>
      </c>
      <c r="M251" s="8" t="e">
        <f ca="1">[1]!BexGetData("DP_1","003N8EMH8GTFRIVOG7KG9IQXA","GSON1112030581")</f>
        <v>#NAME?</v>
      </c>
      <c r="N251" s="3" t="e">
        <f ca="1">[1]!BexGetData("DP_1","003N8EMH8GTFRIVOG7KG9IX8U","GSON1112030581")</f>
        <v>#NAME?</v>
      </c>
      <c r="O251" s="8" t="e">
        <f ca="1">[1]!BexGetData("DP_1","003N8EMH8GTFRIVOG7KG9J3KE","GSON1112030581")</f>
        <v>#NAME?</v>
      </c>
      <c r="P251" s="3" t="e">
        <f ca="1">[1]!BexGetData("DP_1","003N8EMH8GTFRIVOG7KG9J9VY","GSON1112030581")</f>
        <v>#NAME?</v>
      </c>
      <c r="Q251" s="4" t="e">
        <f ca="1">[1]!BexGetData("DP_1","00O2TNJGODT0G5Z4TTKYMM5MT","GSON1112030581")</f>
        <v>#NAME?</v>
      </c>
      <c r="R251" s="3" t="e">
        <f ca="1">[1]!BexGetData("DP_1","00O2TNJGODT0G5Z4TTKYMMBYD","GSON1112030581")</f>
        <v>#NAME?</v>
      </c>
      <c r="S251" s="3" t="e">
        <f ca="1">[1]!BexGetData("DP_1","00O2TNJGODT0G5Z4TTKYMMI9X","GSON1112030581")</f>
        <v>#NAME?</v>
      </c>
      <c r="T251" s="8" t="e">
        <f ca="1">[1]!BexGetData("DP_1","00O2TNJGODT0G5Z4TTKYMMOLH","GSON1112030581")</f>
        <v>#NAME?</v>
      </c>
      <c r="U251" s="3" t="e">
        <f ca="1">[1]!BexGetData("DP_1","00O2TNJGODT0G5Z4TTKYMMUX1","GSON1112030581")</f>
        <v>#NAME?</v>
      </c>
      <c r="V251" s="8" t="e">
        <f ca="1">[1]!BexGetData("DP_1","00O2TNJGODT0G5Z4TTKYMN18L","GSON1112030581")</f>
        <v>#NAME?</v>
      </c>
      <c r="W251" s="3" t="e">
        <f ca="1">[1]!BexGetData("DP_1","00O2TNJGODT0G5Z4TTKYMN7K5","GSON1112030581")</f>
        <v>#NAME?</v>
      </c>
    </row>
    <row r="252" spans="1:23" x14ac:dyDescent="0.2">
      <c r="A252" s="16" t="s">
        <v>2053</v>
      </c>
      <c r="B252" s="7" t="s">
        <v>2054</v>
      </c>
      <c r="C252" s="3" t="e">
        <f ca="1">[1]!BexGetData("DP_1","003N8EMH8GTFRCSWKMPXRR8GU","GSON1112030582")</f>
        <v>#NAME?</v>
      </c>
      <c r="D252" s="3" t="e">
        <f ca="1">[1]!BexGetData("DP_1","003N8EMH8GTFRCSWKMPXRRESE","GSON1112030582")</f>
        <v>#NAME?</v>
      </c>
      <c r="E252" s="3" t="e">
        <f ca="1">[1]!BexGetData("DP_1","003N8EMH8GTFRCSWKMPXRRL3Y","GSON1112030582")</f>
        <v>#NAME?</v>
      </c>
      <c r="F252" s="4" t="e">
        <f ca="1">[1]!BexGetData("DP_1","003N8EMH8GTFRCSWKMPXRRRFI","GSON1112030582")</f>
        <v>#NAME?</v>
      </c>
      <c r="G252" s="4" t="e">
        <f ca="1">[1]!BexGetData("DP_1","003N8EMH8GTFRCSWKMPXRRXR2","GSON1112030582")</f>
        <v>#NAME?</v>
      </c>
      <c r="H252" s="4" t="e">
        <f ca="1">[1]!BexGetData("DP_1","003N8EMH8GTFRCSWKMPXRS42M","GSON1112030582")</f>
        <v>#NAME?</v>
      </c>
      <c r="I252" s="4" t="e">
        <f ca="1">[1]!BexGetData("DP_1","003N8EMH8GTFRCSWKMPXRSAE6","GSON1112030582")</f>
        <v>#NAME?</v>
      </c>
      <c r="J252" s="4" t="e">
        <f ca="1">[1]!BexGetData("DP_1","003N8EMH8GTFRCSWKMPXRSGPQ","GSON1112030582")</f>
        <v>#NAME?</v>
      </c>
      <c r="K252" s="3" t="e">
        <f ca="1">[1]!BexGetData("DP_1","003N8EMH8GTFRIVNUPY288VJH","GSON1112030582")</f>
        <v>#NAME?</v>
      </c>
      <c r="L252" s="3" t="e">
        <f ca="1">[1]!BexGetData("DP_1","003N8EMH8GTFRIVNUPY2891V1","GSON1112030582")</f>
        <v>#NAME?</v>
      </c>
      <c r="M252" s="8" t="e">
        <f ca="1">[1]!BexGetData("DP_1","003N8EMH8GTFRIVOG7KG9IQXA","GSON1112030582")</f>
        <v>#NAME?</v>
      </c>
      <c r="N252" s="3" t="e">
        <f ca="1">[1]!BexGetData("DP_1","003N8EMH8GTFRIVOG7KG9IX8U","GSON1112030582")</f>
        <v>#NAME?</v>
      </c>
      <c r="O252" s="8" t="e">
        <f ca="1">[1]!BexGetData("DP_1","003N8EMH8GTFRIVOG7KG9J3KE","GSON1112030582")</f>
        <v>#NAME?</v>
      </c>
      <c r="P252" s="3" t="e">
        <f ca="1">[1]!BexGetData("DP_1","003N8EMH8GTFRIVOG7KG9J9VY","GSON1112030582")</f>
        <v>#NAME?</v>
      </c>
      <c r="Q252" s="4" t="e">
        <f ca="1">[1]!BexGetData("DP_1","00O2TNJGODT0G5Z4TTKYMM5MT","GSON1112030582")</f>
        <v>#NAME?</v>
      </c>
      <c r="R252" s="4" t="e">
        <f ca="1">[1]!BexGetData("DP_1","00O2TNJGODT0G5Z4TTKYMMBYD","GSON1112030582")</f>
        <v>#NAME?</v>
      </c>
      <c r="S252" s="4" t="e">
        <f ca="1">[1]!BexGetData("DP_1","00O2TNJGODT0G5Z4TTKYMMI9X","GSON1112030582")</f>
        <v>#NAME?</v>
      </c>
      <c r="T252" s="4" t="e">
        <f ca="1">[1]!BexGetData("DP_1","00O2TNJGODT0G5Z4TTKYMMOLH","GSON1112030582")</f>
        <v>#NAME?</v>
      </c>
      <c r="U252" s="4" t="e">
        <f ca="1">[1]!BexGetData("DP_1","00O2TNJGODT0G5Z4TTKYMMUX1","GSON1112030582")</f>
        <v>#NAME?</v>
      </c>
      <c r="V252" s="4" t="e">
        <f ca="1">[1]!BexGetData("DP_1","00O2TNJGODT0G5Z4TTKYMN18L","GSON1112030582")</f>
        <v>#NAME?</v>
      </c>
      <c r="W252" s="4" t="e">
        <f ca="1">[1]!BexGetData("DP_1","00O2TNJGODT0G5Z4TTKYMN7K5","GSON1112030582")</f>
        <v>#NAME?</v>
      </c>
    </row>
    <row r="253" spans="1:23" x14ac:dyDescent="0.2">
      <c r="A253" s="16" t="s">
        <v>844</v>
      </c>
      <c r="B253" s="7" t="s">
        <v>845</v>
      </c>
      <c r="C253" s="3" t="e">
        <f ca="1">[1]!BexGetData("DP_1","003N8EMH8GTFRCSWKMPXRR8GU","GSON1112030583")</f>
        <v>#NAME?</v>
      </c>
      <c r="D253" s="3" t="e">
        <f ca="1">[1]!BexGetData("DP_1","003N8EMH8GTFRCSWKMPXRRESE","GSON1112030583")</f>
        <v>#NAME?</v>
      </c>
      <c r="E253" s="3" t="e">
        <f ca="1">[1]!BexGetData("DP_1","003N8EMH8GTFRCSWKMPXRRL3Y","GSON1112030583")</f>
        <v>#NAME?</v>
      </c>
      <c r="F253" s="4" t="e">
        <f ca="1">[1]!BexGetData("DP_1","003N8EMH8GTFRCSWKMPXRRRFI","GSON1112030583")</f>
        <v>#NAME?</v>
      </c>
      <c r="G253" s="4" t="e">
        <f ca="1">[1]!BexGetData("DP_1","003N8EMH8GTFRCSWKMPXRRXR2","GSON1112030583")</f>
        <v>#NAME?</v>
      </c>
      <c r="H253" s="4" t="e">
        <f ca="1">[1]!BexGetData("DP_1","003N8EMH8GTFRCSWKMPXRS42M","GSON1112030583")</f>
        <v>#NAME?</v>
      </c>
      <c r="I253" s="4" t="e">
        <f ca="1">[1]!BexGetData("DP_1","003N8EMH8GTFRCSWKMPXRSAE6","GSON1112030583")</f>
        <v>#NAME?</v>
      </c>
      <c r="J253" s="4" t="e">
        <f ca="1">[1]!BexGetData("DP_1","003N8EMH8GTFRCSWKMPXRSGPQ","GSON1112030583")</f>
        <v>#NAME?</v>
      </c>
      <c r="K253" s="3" t="e">
        <f ca="1">[1]!BexGetData("DP_1","003N8EMH8GTFRIVNUPY288VJH","GSON1112030583")</f>
        <v>#NAME?</v>
      </c>
      <c r="L253" s="3" t="e">
        <f ca="1">[1]!BexGetData("DP_1","003N8EMH8GTFRIVNUPY2891V1","GSON1112030583")</f>
        <v>#NAME?</v>
      </c>
      <c r="M253" s="3" t="e">
        <f ca="1">[1]!BexGetData("DP_1","003N8EMH8GTFRIVOG7KG9IQXA","GSON1112030583")</f>
        <v>#NAME?</v>
      </c>
      <c r="N253" s="8" t="e">
        <f ca="1">[1]!BexGetData("DP_1","003N8EMH8GTFRIVOG7KG9IX8U","GSON1112030583")</f>
        <v>#NAME?</v>
      </c>
      <c r="O253" s="3" t="e">
        <f ca="1">[1]!BexGetData("DP_1","003N8EMH8GTFRIVOG7KG9J3KE","GSON1112030583")</f>
        <v>#NAME?</v>
      </c>
      <c r="P253" s="8" t="e">
        <f ca="1">[1]!BexGetData("DP_1","003N8EMH8GTFRIVOG7KG9J9VY","GSON1112030583")</f>
        <v>#NAME?</v>
      </c>
      <c r="Q253" s="4" t="e">
        <f ca="1">[1]!BexGetData("DP_1","00O2TNJGODT0G5Z4TTKYMM5MT","GSON1112030583")</f>
        <v>#NAME?</v>
      </c>
      <c r="R253" s="4" t="e">
        <f ca="1">[1]!BexGetData("DP_1","00O2TNJGODT0G5Z4TTKYMMBYD","GSON1112030583")</f>
        <v>#NAME?</v>
      </c>
      <c r="S253" s="4" t="e">
        <f ca="1">[1]!BexGetData("DP_1","00O2TNJGODT0G5Z4TTKYMMI9X","GSON1112030583")</f>
        <v>#NAME?</v>
      </c>
      <c r="T253" s="4" t="e">
        <f ca="1">[1]!BexGetData("DP_1","00O2TNJGODT0G5Z4TTKYMMOLH","GSON1112030583")</f>
        <v>#NAME?</v>
      </c>
      <c r="U253" s="4" t="e">
        <f ca="1">[1]!BexGetData("DP_1","00O2TNJGODT0G5Z4TTKYMMUX1","GSON1112030583")</f>
        <v>#NAME?</v>
      </c>
      <c r="V253" s="4" t="e">
        <f ca="1">[1]!BexGetData("DP_1","00O2TNJGODT0G5Z4TTKYMN18L","GSON1112030583")</f>
        <v>#NAME?</v>
      </c>
      <c r="W253" s="4" t="e">
        <f ca="1">[1]!BexGetData("DP_1","00O2TNJGODT0G5Z4TTKYMN7K5","GSON1112030583")</f>
        <v>#NAME?</v>
      </c>
    </row>
    <row r="254" spans="1:23" x14ac:dyDescent="0.2">
      <c r="A254" s="16" t="s">
        <v>2055</v>
      </c>
      <c r="B254" s="7" t="s">
        <v>846</v>
      </c>
      <c r="C254" s="3" t="e">
        <f ca="1">[1]!BexGetData("DP_1","003N8EMH8GTFRCSWKMPXRR8GU","GSON1112030584")</f>
        <v>#NAME?</v>
      </c>
      <c r="D254" s="3" t="e">
        <f ca="1">[1]!BexGetData("DP_1","003N8EMH8GTFRCSWKMPXRRESE","GSON1112030584")</f>
        <v>#NAME?</v>
      </c>
      <c r="E254" s="8" t="e">
        <f ca="1">[1]!BexGetData("DP_1","003N8EMH8GTFRCSWKMPXRRL3Y","GSON1112030584")</f>
        <v>#NAME?</v>
      </c>
      <c r="F254" s="4" t="e">
        <f ca="1">[1]!BexGetData("DP_1","003N8EMH8GTFRCSWKMPXRRRFI","GSON1112030584")</f>
        <v>#NAME?</v>
      </c>
      <c r="G254" s="4" t="e">
        <f ca="1">[1]!BexGetData("DP_1","003N8EMH8GTFRCSWKMPXRRXR2","GSON1112030584")</f>
        <v>#NAME?</v>
      </c>
      <c r="H254" s="4" t="e">
        <f ca="1">[1]!BexGetData("DP_1","003N8EMH8GTFRCSWKMPXRS42M","GSON1112030584")</f>
        <v>#NAME?</v>
      </c>
      <c r="I254" s="4" t="e">
        <f ca="1">[1]!BexGetData("DP_1","003N8EMH8GTFRCSWKMPXRSAE6","GSON1112030584")</f>
        <v>#NAME?</v>
      </c>
      <c r="J254" s="4" t="e">
        <f ca="1">[1]!BexGetData("DP_1","003N8EMH8GTFRCSWKMPXRSGPQ","GSON1112030584")</f>
        <v>#NAME?</v>
      </c>
      <c r="K254" s="8" t="e">
        <f ca="1">[1]!BexGetData("DP_1","003N8EMH8GTFRIVNUPY288VJH","GSON1112030584")</f>
        <v>#NAME?</v>
      </c>
      <c r="L254" s="8" t="e">
        <f ca="1">[1]!BexGetData("DP_1","003N8EMH8GTFRIVNUPY2891V1","GSON1112030584")</f>
        <v>#NAME?</v>
      </c>
      <c r="M254" s="8" t="e">
        <f ca="1">[1]!BexGetData("DP_1","003N8EMH8GTFRIVOG7KG9IQXA","GSON1112030584")</f>
        <v>#NAME?</v>
      </c>
      <c r="N254" s="8" t="e">
        <f ca="1">[1]!BexGetData("DP_1","003N8EMH8GTFRIVOG7KG9IX8U","GSON1112030584")</f>
        <v>#NAME?</v>
      </c>
      <c r="O254" s="8" t="e">
        <f ca="1">[1]!BexGetData("DP_1","003N8EMH8GTFRIVOG7KG9J3KE","GSON1112030584")</f>
        <v>#NAME?</v>
      </c>
      <c r="P254" s="8" t="e">
        <f ca="1">[1]!BexGetData("DP_1","003N8EMH8GTFRIVOG7KG9J9VY","GSON1112030584")</f>
        <v>#NAME?</v>
      </c>
      <c r="Q254" s="4" t="e">
        <f ca="1">[1]!BexGetData("DP_1","00O2TNJGODT0G5Z4TTKYMM5MT","GSON1112030584")</f>
        <v>#NAME?</v>
      </c>
      <c r="R254" s="4" t="e">
        <f ca="1">[1]!BexGetData("DP_1","00O2TNJGODT0G5Z4TTKYMMBYD","GSON1112030584")</f>
        <v>#NAME?</v>
      </c>
      <c r="S254" s="4" t="e">
        <f ca="1">[1]!BexGetData("DP_1","00O2TNJGODT0G5Z4TTKYMMI9X","GSON1112030584")</f>
        <v>#NAME?</v>
      </c>
      <c r="T254" s="4" t="e">
        <f ca="1">[1]!BexGetData("DP_1","00O2TNJGODT0G5Z4TTKYMMOLH","GSON1112030584")</f>
        <v>#NAME?</v>
      </c>
      <c r="U254" s="4" t="e">
        <f ca="1">[1]!BexGetData("DP_1","00O2TNJGODT0G5Z4TTKYMMUX1","GSON1112030584")</f>
        <v>#NAME?</v>
      </c>
      <c r="V254" s="4" t="e">
        <f ca="1">[1]!BexGetData("DP_1","00O2TNJGODT0G5Z4TTKYMN18L","GSON1112030584")</f>
        <v>#NAME?</v>
      </c>
      <c r="W254" s="4" t="e">
        <f ca="1">[1]!BexGetData("DP_1","00O2TNJGODT0G5Z4TTKYMN7K5","GSON1112030584")</f>
        <v>#NAME?</v>
      </c>
    </row>
    <row r="255" spans="1:23" x14ac:dyDescent="0.2">
      <c r="A255" s="16" t="s">
        <v>174</v>
      </c>
      <c r="B255" s="7" t="s">
        <v>175</v>
      </c>
      <c r="C255" s="3" t="e">
        <f ca="1">[1]!BexGetData("DP_1","003N8EMH8GTFRCSWKMPXRR8GU","GSON1112030590")</f>
        <v>#NAME?</v>
      </c>
      <c r="D255" s="3" t="e">
        <f ca="1">[1]!BexGetData("DP_1","003N8EMH8GTFRCSWKMPXRRESE","GSON1112030590")</f>
        <v>#NAME?</v>
      </c>
      <c r="E255" s="3" t="e">
        <f ca="1">[1]!BexGetData("DP_1","003N8EMH8GTFRCSWKMPXRRL3Y","GSON1112030590")</f>
        <v>#NAME?</v>
      </c>
      <c r="F255" s="3" t="e">
        <f ca="1">[1]!BexGetData("DP_1","003N8EMH8GTFRCSWKMPXRRRFI","GSON1112030590")</f>
        <v>#NAME?</v>
      </c>
      <c r="G255" s="3" t="e">
        <f ca="1">[1]!BexGetData("DP_1","003N8EMH8GTFRCSWKMPXRRXR2","GSON1112030590")</f>
        <v>#NAME?</v>
      </c>
      <c r="H255" s="8" t="e">
        <f ca="1">[1]!BexGetData("DP_1","003N8EMH8GTFRCSWKMPXRS42M","GSON1112030590")</f>
        <v>#NAME?</v>
      </c>
      <c r="I255" s="3" t="e">
        <f ca="1">[1]!BexGetData("DP_1","003N8EMH8GTFRCSWKMPXRSAE6","GSON1112030590")</f>
        <v>#NAME?</v>
      </c>
      <c r="J255" s="4" t="e">
        <f ca="1">[1]!BexGetData("DP_1","003N8EMH8GTFRCSWKMPXRSGPQ","GSON1112030590")</f>
        <v>#NAME?</v>
      </c>
      <c r="K255" s="3" t="e">
        <f ca="1">[1]!BexGetData("DP_1","003N8EMH8GTFRIVNUPY288VJH","GSON1112030590")</f>
        <v>#NAME?</v>
      </c>
      <c r="L255" s="3" t="e">
        <f ca="1">[1]!BexGetData("DP_1","003N8EMH8GTFRIVNUPY2891V1","GSON1112030590")</f>
        <v>#NAME?</v>
      </c>
      <c r="M255" s="3" t="e">
        <f ca="1">[1]!BexGetData("DP_1","003N8EMH8GTFRIVOG7KG9IQXA","GSON1112030590")</f>
        <v>#NAME?</v>
      </c>
      <c r="N255" s="8" t="e">
        <f ca="1">[1]!BexGetData("DP_1","003N8EMH8GTFRIVOG7KG9IX8U","GSON1112030590")</f>
        <v>#NAME?</v>
      </c>
      <c r="O255" s="3" t="e">
        <f ca="1">[1]!BexGetData("DP_1","003N8EMH8GTFRIVOG7KG9J3KE","GSON1112030590")</f>
        <v>#NAME?</v>
      </c>
      <c r="P255" s="8" t="e">
        <f ca="1">[1]!BexGetData("DP_1","003N8EMH8GTFRIVOG7KG9J9VY","GSON1112030590")</f>
        <v>#NAME?</v>
      </c>
      <c r="Q255" s="4" t="e">
        <f ca="1">[1]!BexGetData("DP_1","00O2TNJGODT0G5Z4TTKYMM5MT","GSON1112030590")</f>
        <v>#NAME?</v>
      </c>
      <c r="R255" s="3" t="e">
        <f ca="1">[1]!BexGetData("DP_1","00O2TNJGODT0G5Z4TTKYMMBYD","GSON1112030590")</f>
        <v>#NAME?</v>
      </c>
      <c r="S255" s="3" t="e">
        <f ca="1">[1]!BexGetData("DP_1","00O2TNJGODT0G5Z4TTKYMMI9X","GSON1112030590")</f>
        <v>#NAME?</v>
      </c>
      <c r="T255" s="8" t="e">
        <f ca="1">[1]!BexGetData("DP_1","00O2TNJGODT0G5Z4TTKYMMOLH","GSON1112030590")</f>
        <v>#NAME?</v>
      </c>
      <c r="U255" s="3" t="e">
        <f ca="1">[1]!BexGetData("DP_1","00O2TNJGODT0G5Z4TTKYMMUX1","GSON1112030590")</f>
        <v>#NAME?</v>
      </c>
      <c r="V255" s="8" t="e">
        <f ca="1">[1]!BexGetData("DP_1","00O2TNJGODT0G5Z4TTKYMN18L","GSON1112030590")</f>
        <v>#NAME?</v>
      </c>
      <c r="W255" s="3" t="e">
        <f ca="1">[1]!BexGetData("DP_1","00O2TNJGODT0G5Z4TTKYMN7K5","GSON1112030590")</f>
        <v>#NAME?</v>
      </c>
    </row>
    <row r="256" spans="1:23" x14ac:dyDescent="0.2">
      <c r="A256" s="16" t="s">
        <v>176</v>
      </c>
      <c r="B256" s="7" t="s">
        <v>177</v>
      </c>
      <c r="C256" s="3" t="e">
        <f ca="1">[1]!BexGetData("DP_1","003N8EMH8GTFRCSWKMPXRR8GU","GSON1112030591")</f>
        <v>#NAME?</v>
      </c>
      <c r="D256" s="3" t="e">
        <f ca="1">[1]!BexGetData("DP_1","003N8EMH8GTFRCSWKMPXRRESE","GSON1112030591")</f>
        <v>#NAME?</v>
      </c>
      <c r="E256" s="3" t="e">
        <f ca="1">[1]!BexGetData("DP_1","003N8EMH8GTFRCSWKMPXRRL3Y","GSON1112030591")</f>
        <v>#NAME?</v>
      </c>
      <c r="F256" s="3" t="e">
        <f ca="1">[1]!BexGetData("DP_1","003N8EMH8GTFRCSWKMPXRRRFI","GSON1112030591")</f>
        <v>#NAME?</v>
      </c>
      <c r="G256" s="3" t="e">
        <f ca="1">[1]!BexGetData("DP_1","003N8EMH8GTFRCSWKMPXRRXR2","GSON1112030591")</f>
        <v>#NAME?</v>
      </c>
      <c r="H256" s="8" t="e">
        <f ca="1">[1]!BexGetData("DP_1","003N8EMH8GTFRCSWKMPXRS42M","GSON1112030591")</f>
        <v>#NAME?</v>
      </c>
      <c r="I256" s="3" t="e">
        <f ca="1">[1]!BexGetData("DP_1","003N8EMH8GTFRCSWKMPXRSAE6","GSON1112030591")</f>
        <v>#NAME?</v>
      </c>
      <c r="J256" s="4" t="e">
        <f ca="1">[1]!BexGetData("DP_1","003N8EMH8GTFRCSWKMPXRSGPQ","GSON1112030591")</f>
        <v>#NAME?</v>
      </c>
      <c r="K256" s="3" t="e">
        <f ca="1">[1]!BexGetData("DP_1","003N8EMH8GTFRIVNUPY288VJH","GSON1112030591")</f>
        <v>#NAME?</v>
      </c>
      <c r="L256" s="3" t="e">
        <f ca="1">[1]!BexGetData("DP_1","003N8EMH8GTFRIVNUPY2891V1","GSON1112030591")</f>
        <v>#NAME?</v>
      </c>
      <c r="M256" s="8" t="e">
        <f ca="1">[1]!BexGetData("DP_1","003N8EMH8GTFRIVOG7KG9IQXA","GSON1112030591")</f>
        <v>#NAME?</v>
      </c>
      <c r="N256" s="3" t="e">
        <f ca="1">[1]!BexGetData("DP_1","003N8EMH8GTFRIVOG7KG9IX8U","GSON1112030591")</f>
        <v>#NAME?</v>
      </c>
      <c r="O256" s="8" t="e">
        <f ca="1">[1]!BexGetData("DP_1","003N8EMH8GTFRIVOG7KG9J3KE","GSON1112030591")</f>
        <v>#NAME?</v>
      </c>
      <c r="P256" s="3" t="e">
        <f ca="1">[1]!BexGetData("DP_1","003N8EMH8GTFRIVOG7KG9J9VY","GSON1112030591")</f>
        <v>#NAME?</v>
      </c>
      <c r="Q256" s="4" t="e">
        <f ca="1">[1]!BexGetData("DP_1","00O2TNJGODT0G5Z4TTKYMM5MT","GSON1112030591")</f>
        <v>#NAME?</v>
      </c>
      <c r="R256" s="3" t="e">
        <f ca="1">[1]!BexGetData("DP_1","00O2TNJGODT0G5Z4TTKYMMBYD","GSON1112030591")</f>
        <v>#NAME?</v>
      </c>
      <c r="S256" s="3" t="e">
        <f ca="1">[1]!BexGetData("DP_1","00O2TNJGODT0G5Z4TTKYMMI9X","GSON1112030591")</f>
        <v>#NAME?</v>
      </c>
      <c r="T256" s="8" t="e">
        <f ca="1">[1]!BexGetData("DP_1","00O2TNJGODT0G5Z4TTKYMMOLH","GSON1112030591")</f>
        <v>#NAME?</v>
      </c>
      <c r="U256" s="3" t="e">
        <f ca="1">[1]!BexGetData("DP_1","00O2TNJGODT0G5Z4TTKYMMUX1","GSON1112030591")</f>
        <v>#NAME?</v>
      </c>
      <c r="V256" s="8" t="e">
        <f ca="1">[1]!BexGetData("DP_1","00O2TNJGODT0G5Z4TTKYMN18L","GSON1112030591")</f>
        <v>#NAME?</v>
      </c>
      <c r="W256" s="3" t="e">
        <f ca="1">[1]!BexGetData("DP_1","00O2TNJGODT0G5Z4TTKYMN7K5","GSON1112030591")</f>
        <v>#NAME?</v>
      </c>
    </row>
    <row r="257" spans="1:23" x14ac:dyDescent="0.2">
      <c r="A257" s="16" t="s">
        <v>2056</v>
      </c>
      <c r="B257" s="7" t="s">
        <v>2057</v>
      </c>
      <c r="C257" s="3" t="e">
        <f ca="1">[1]!BexGetData("DP_1","003N8EMH8GTFRCSWKMPXRR8GU","GSON1112030592")</f>
        <v>#NAME?</v>
      </c>
      <c r="D257" s="3" t="e">
        <f ca="1">[1]!BexGetData("DP_1","003N8EMH8GTFRCSWKMPXRRESE","GSON1112030592")</f>
        <v>#NAME?</v>
      </c>
      <c r="E257" s="3" t="e">
        <f ca="1">[1]!BexGetData("DP_1","003N8EMH8GTFRCSWKMPXRRL3Y","GSON1112030592")</f>
        <v>#NAME?</v>
      </c>
      <c r="F257" s="4" t="e">
        <f ca="1">[1]!BexGetData("DP_1","003N8EMH8GTFRCSWKMPXRRRFI","GSON1112030592")</f>
        <v>#NAME?</v>
      </c>
      <c r="G257" s="4" t="e">
        <f ca="1">[1]!BexGetData("DP_1","003N8EMH8GTFRCSWKMPXRRXR2","GSON1112030592")</f>
        <v>#NAME?</v>
      </c>
      <c r="H257" s="4" t="e">
        <f ca="1">[1]!BexGetData("DP_1","003N8EMH8GTFRCSWKMPXRS42M","GSON1112030592")</f>
        <v>#NAME?</v>
      </c>
      <c r="I257" s="4" t="e">
        <f ca="1">[1]!BexGetData("DP_1","003N8EMH8GTFRCSWKMPXRSAE6","GSON1112030592")</f>
        <v>#NAME?</v>
      </c>
      <c r="J257" s="4" t="e">
        <f ca="1">[1]!BexGetData("DP_1","003N8EMH8GTFRCSWKMPXRSGPQ","GSON1112030592")</f>
        <v>#NAME?</v>
      </c>
      <c r="K257" s="3" t="e">
        <f ca="1">[1]!BexGetData("DP_1","003N8EMH8GTFRIVNUPY288VJH","GSON1112030592")</f>
        <v>#NAME?</v>
      </c>
      <c r="L257" s="3" t="e">
        <f ca="1">[1]!BexGetData("DP_1","003N8EMH8GTFRIVNUPY2891V1","GSON1112030592")</f>
        <v>#NAME?</v>
      </c>
      <c r="M257" s="8" t="e">
        <f ca="1">[1]!BexGetData("DP_1","003N8EMH8GTFRIVOG7KG9IQXA","GSON1112030592")</f>
        <v>#NAME?</v>
      </c>
      <c r="N257" s="3" t="e">
        <f ca="1">[1]!BexGetData("DP_1","003N8EMH8GTFRIVOG7KG9IX8U","GSON1112030592")</f>
        <v>#NAME?</v>
      </c>
      <c r="O257" s="8" t="e">
        <f ca="1">[1]!BexGetData("DP_1","003N8EMH8GTFRIVOG7KG9J3KE","GSON1112030592")</f>
        <v>#NAME?</v>
      </c>
      <c r="P257" s="3" t="e">
        <f ca="1">[1]!BexGetData("DP_1","003N8EMH8GTFRIVOG7KG9J9VY","GSON1112030592")</f>
        <v>#NAME?</v>
      </c>
      <c r="Q257" s="4" t="e">
        <f ca="1">[1]!BexGetData("DP_1","00O2TNJGODT0G5Z4TTKYMM5MT","GSON1112030592")</f>
        <v>#NAME?</v>
      </c>
      <c r="R257" s="4" t="e">
        <f ca="1">[1]!BexGetData("DP_1","00O2TNJGODT0G5Z4TTKYMMBYD","GSON1112030592")</f>
        <v>#NAME?</v>
      </c>
      <c r="S257" s="4" t="e">
        <f ca="1">[1]!BexGetData("DP_1","00O2TNJGODT0G5Z4TTKYMMI9X","GSON1112030592")</f>
        <v>#NAME?</v>
      </c>
      <c r="T257" s="4" t="e">
        <f ca="1">[1]!BexGetData("DP_1","00O2TNJGODT0G5Z4TTKYMMOLH","GSON1112030592")</f>
        <v>#NAME?</v>
      </c>
      <c r="U257" s="4" t="e">
        <f ca="1">[1]!BexGetData("DP_1","00O2TNJGODT0G5Z4TTKYMMUX1","GSON1112030592")</f>
        <v>#NAME?</v>
      </c>
      <c r="V257" s="4" t="e">
        <f ca="1">[1]!BexGetData("DP_1","00O2TNJGODT0G5Z4TTKYMN18L","GSON1112030592")</f>
        <v>#NAME?</v>
      </c>
      <c r="W257" s="4" t="e">
        <f ca="1">[1]!BexGetData("DP_1","00O2TNJGODT0G5Z4TTKYMN7K5","GSON1112030592")</f>
        <v>#NAME?</v>
      </c>
    </row>
    <row r="258" spans="1:23" x14ac:dyDescent="0.2">
      <c r="A258" s="16" t="s">
        <v>178</v>
      </c>
      <c r="B258" s="7" t="s">
        <v>179</v>
      </c>
      <c r="C258" s="3" t="e">
        <f ca="1">[1]!BexGetData("DP_1","003N8EMH8GTFRCSWKMPXRR8GU","GSON1112030593")</f>
        <v>#NAME?</v>
      </c>
      <c r="D258" s="3" t="e">
        <f ca="1">[1]!BexGetData("DP_1","003N8EMH8GTFRCSWKMPXRRESE","GSON1112030593")</f>
        <v>#NAME?</v>
      </c>
      <c r="E258" s="8" t="e">
        <f ca="1">[1]!BexGetData("DP_1","003N8EMH8GTFRCSWKMPXRRL3Y","GSON1112030593")</f>
        <v>#NAME?</v>
      </c>
      <c r="F258" s="4" t="e">
        <f ca="1">[1]!BexGetData("DP_1","003N8EMH8GTFRCSWKMPXRRRFI","GSON1112030593")</f>
        <v>#NAME?</v>
      </c>
      <c r="G258" s="4" t="e">
        <f ca="1">[1]!BexGetData("DP_1","003N8EMH8GTFRCSWKMPXRRXR2","GSON1112030593")</f>
        <v>#NAME?</v>
      </c>
      <c r="H258" s="4" t="e">
        <f ca="1">[1]!BexGetData("DP_1","003N8EMH8GTFRCSWKMPXRS42M","GSON1112030593")</f>
        <v>#NAME?</v>
      </c>
      <c r="I258" s="4" t="e">
        <f ca="1">[1]!BexGetData("DP_1","003N8EMH8GTFRCSWKMPXRSAE6","GSON1112030593")</f>
        <v>#NAME?</v>
      </c>
      <c r="J258" s="4" t="e">
        <f ca="1">[1]!BexGetData("DP_1","003N8EMH8GTFRCSWKMPXRSGPQ","GSON1112030593")</f>
        <v>#NAME?</v>
      </c>
      <c r="K258" s="8" t="e">
        <f ca="1">[1]!BexGetData("DP_1","003N8EMH8GTFRIVNUPY288VJH","GSON1112030593")</f>
        <v>#NAME?</v>
      </c>
      <c r="L258" s="8" t="e">
        <f ca="1">[1]!BexGetData("DP_1","003N8EMH8GTFRIVNUPY2891V1","GSON1112030593")</f>
        <v>#NAME?</v>
      </c>
      <c r="M258" s="8" t="e">
        <f ca="1">[1]!BexGetData("DP_1","003N8EMH8GTFRIVOG7KG9IQXA","GSON1112030593")</f>
        <v>#NAME?</v>
      </c>
      <c r="N258" s="8" t="e">
        <f ca="1">[1]!BexGetData("DP_1","003N8EMH8GTFRIVOG7KG9IX8U","GSON1112030593")</f>
        <v>#NAME?</v>
      </c>
      <c r="O258" s="8" t="e">
        <f ca="1">[1]!BexGetData("DP_1","003N8EMH8GTFRIVOG7KG9J3KE","GSON1112030593")</f>
        <v>#NAME?</v>
      </c>
      <c r="P258" s="8" t="e">
        <f ca="1">[1]!BexGetData("DP_1","003N8EMH8GTFRIVOG7KG9J9VY","GSON1112030593")</f>
        <v>#NAME?</v>
      </c>
      <c r="Q258" s="4" t="e">
        <f ca="1">[1]!BexGetData("DP_1","00O2TNJGODT0G5Z4TTKYMM5MT","GSON1112030593")</f>
        <v>#NAME?</v>
      </c>
      <c r="R258" s="4" t="e">
        <f ca="1">[1]!BexGetData("DP_1","00O2TNJGODT0G5Z4TTKYMMBYD","GSON1112030593")</f>
        <v>#NAME?</v>
      </c>
      <c r="S258" s="4" t="e">
        <f ca="1">[1]!BexGetData("DP_1","00O2TNJGODT0G5Z4TTKYMMI9X","GSON1112030593")</f>
        <v>#NAME?</v>
      </c>
      <c r="T258" s="4" t="e">
        <f ca="1">[1]!BexGetData("DP_1","00O2TNJGODT0G5Z4TTKYMMOLH","GSON1112030593")</f>
        <v>#NAME?</v>
      </c>
      <c r="U258" s="4" t="e">
        <f ca="1">[1]!BexGetData("DP_1","00O2TNJGODT0G5Z4TTKYMMUX1","GSON1112030593")</f>
        <v>#NAME?</v>
      </c>
      <c r="V258" s="4" t="e">
        <f ca="1">[1]!BexGetData("DP_1","00O2TNJGODT0G5Z4TTKYMN18L","GSON1112030593")</f>
        <v>#NAME?</v>
      </c>
      <c r="W258" s="4" t="e">
        <f ca="1">[1]!BexGetData("DP_1","00O2TNJGODT0G5Z4TTKYMN7K5","GSON1112030593")</f>
        <v>#NAME?</v>
      </c>
    </row>
    <row r="259" spans="1:23" x14ac:dyDescent="0.2">
      <c r="A259" s="16" t="s">
        <v>2058</v>
      </c>
      <c r="B259" s="7" t="s">
        <v>180</v>
      </c>
      <c r="C259" s="3" t="e">
        <f ca="1">[1]!BexGetData("DP_1","003N8EMH8GTFRCSWKMPXRR8GU","GSON1112030594")</f>
        <v>#NAME?</v>
      </c>
      <c r="D259" s="3" t="e">
        <f ca="1">[1]!BexGetData("DP_1","003N8EMH8GTFRCSWKMPXRRESE","GSON1112030594")</f>
        <v>#NAME?</v>
      </c>
      <c r="E259" s="8" t="e">
        <f ca="1">[1]!BexGetData("DP_1","003N8EMH8GTFRCSWKMPXRRL3Y","GSON1112030594")</f>
        <v>#NAME?</v>
      </c>
      <c r="F259" s="4" t="e">
        <f ca="1">[1]!BexGetData("DP_1","003N8EMH8GTFRCSWKMPXRRRFI","GSON1112030594")</f>
        <v>#NAME?</v>
      </c>
      <c r="G259" s="4" t="e">
        <f ca="1">[1]!BexGetData("DP_1","003N8EMH8GTFRCSWKMPXRRXR2","GSON1112030594")</f>
        <v>#NAME?</v>
      </c>
      <c r="H259" s="4" t="e">
        <f ca="1">[1]!BexGetData("DP_1","003N8EMH8GTFRCSWKMPXRS42M","GSON1112030594")</f>
        <v>#NAME?</v>
      </c>
      <c r="I259" s="4" t="e">
        <f ca="1">[1]!BexGetData("DP_1","003N8EMH8GTFRCSWKMPXRSAE6","GSON1112030594")</f>
        <v>#NAME?</v>
      </c>
      <c r="J259" s="4" t="e">
        <f ca="1">[1]!BexGetData("DP_1","003N8EMH8GTFRCSWKMPXRSGPQ","GSON1112030594")</f>
        <v>#NAME?</v>
      </c>
      <c r="K259" s="8" t="e">
        <f ca="1">[1]!BexGetData("DP_1","003N8EMH8GTFRIVNUPY288VJH","GSON1112030594")</f>
        <v>#NAME?</v>
      </c>
      <c r="L259" s="8" t="e">
        <f ca="1">[1]!BexGetData("DP_1","003N8EMH8GTFRIVNUPY2891V1","GSON1112030594")</f>
        <v>#NAME?</v>
      </c>
      <c r="M259" s="8" t="e">
        <f ca="1">[1]!BexGetData("DP_1","003N8EMH8GTFRIVOG7KG9IQXA","GSON1112030594")</f>
        <v>#NAME?</v>
      </c>
      <c r="N259" s="8" t="e">
        <f ca="1">[1]!BexGetData("DP_1","003N8EMH8GTFRIVOG7KG9IX8U","GSON1112030594")</f>
        <v>#NAME?</v>
      </c>
      <c r="O259" s="8" t="e">
        <f ca="1">[1]!BexGetData("DP_1","003N8EMH8GTFRIVOG7KG9J3KE","GSON1112030594")</f>
        <v>#NAME?</v>
      </c>
      <c r="P259" s="8" t="e">
        <f ca="1">[1]!BexGetData("DP_1","003N8EMH8GTFRIVOG7KG9J9VY","GSON1112030594")</f>
        <v>#NAME?</v>
      </c>
      <c r="Q259" s="4" t="e">
        <f ca="1">[1]!BexGetData("DP_1","00O2TNJGODT0G5Z4TTKYMM5MT","GSON1112030594")</f>
        <v>#NAME?</v>
      </c>
      <c r="R259" s="4" t="e">
        <f ca="1">[1]!BexGetData("DP_1","00O2TNJGODT0G5Z4TTKYMMBYD","GSON1112030594")</f>
        <v>#NAME?</v>
      </c>
      <c r="S259" s="4" t="e">
        <f ca="1">[1]!BexGetData("DP_1","00O2TNJGODT0G5Z4TTKYMMI9X","GSON1112030594")</f>
        <v>#NAME?</v>
      </c>
      <c r="T259" s="4" t="e">
        <f ca="1">[1]!BexGetData("DP_1","00O2TNJGODT0G5Z4TTKYMMOLH","GSON1112030594")</f>
        <v>#NAME?</v>
      </c>
      <c r="U259" s="4" t="e">
        <f ca="1">[1]!BexGetData("DP_1","00O2TNJGODT0G5Z4TTKYMMUX1","GSON1112030594")</f>
        <v>#NAME?</v>
      </c>
      <c r="V259" s="4" t="e">
        <f ca="1">[1]!BexGetData("DP_1","00O2TNJGODT0G5Z4TTKYMN18L","GSON1112030594")</f>
        <v>#NAME?</v>
      </c>
      <c r="W259" s="4" t="e">
        <f ca="1">[1]!BexGetData("DP_1","00O2TNJGODT0G5Z4TTKYMN7K5","GSON1112030594")</f>
        <v>#NAME?</v>
      </c>
    </row>
    <row r="260" spans="1:23" x14ac:dyDescent="0.2">
      <c r="A260" s="16" t="s">
        <v>847</v>
      </c>
      <c r="B260" s="7" t="s">
        <v>848</v>
      </c>
      <c r="C260" s="3" t="e">
        <f ca="1">[1]!BexGetData("DP_1","003N8EMH8GTFRCSWKMPXRR8GU","GSON1112030600")</f>
        <v>#NAME?</v>
      </c>
      <c r="D260" s="3" t="e">
        <f ca="1">[1]!BexGetData("DP_1","003N8EMH8GTFRCSWKMPXRRESE","GSON1112030600")</f>
        <v>#NAME?</v>
      </c>
      <c r="E260" s="3" t="e">
        <f ca="1">[1]!BexGetData("DP_1","003N8EMH8GTFRCSWKMPXRRL3Y","GSON1112030600")</f>
        <v>#NAME?</v>
      </c>
      <c r="F260" s="3" t="e">
        <f ca="1">[1]!BexGetData("DP_1","003N8EMH8GTFRCSWKMPXRRRFI","GSON1112030600")</f>
        <v>#NAME?</v>
      </c>
      <c r="G260" s="3" t="e">
        <f ca="1">[1]!BexGetData("DP_1","003N8EMH8GTFRCSWKMPXRRXR2","GSON1112030600")</f>
        <v>#NAME?</v>
      </c>
      <c r="H260" s="8" t="e">
        <f ca="1">[1]!BexGetData("DP_1","003N8EMH8GTFRCSWKMPXRS42M","GSON1112030600")</f>
        <v>#NAME?</v>
      </c>
      <c r="I260" s="3" t="e">
        <f ca="1">[1]!BexGetData("DP_1","003N8EMH8GTFRCSWKMPXRSAE6","GSON1112030600")</f>
        <v>#NAME?</v>
      </c>
      <c r="J260" s="4" t="e">
        <f ca="1">[1]!BexGetData("DP_1","003N8EMH8GTFRCSWKMPXRSGPQ","GSON1112030600")</f>
        <v>#NAME?</v>
      </c>
      <c r="K260" s="3" t="e">
        <f ca="1">[1]!BexGetData("DP_1","003N8EMH8GTFRIVNUPY288VJH","GSON1112030600")</f>
        <v>#NAME?</v>
      </c>
      <c r="L260" s="3" t="e">
        <f ca="1">[1]!BexGetData("DP_1","003N8EMH8GTFRIVNUPY2891V1","GSON1112030600")</f>
        <v>#NAME?</v>
      </c>
      <c r="M260" s="8" t="e">
        <f ca="1">[1]!BexGetData("DP_1","003N8EMH8GTFRIVOG7KG9IQXA","GSON1112030600")</f>
        <v>#NAME?</v>
      </c>
      <c r="N260" s="3" t="e">
        <f ca="1">[1]!BexGetData("DP_1","003N8EMH8GTFRIVOG7KG9IX8U","GSON1112030600")</f>
        <v>#NAME?</v>
      </c>
      <c r="O260" s="8" t="e">
        <f ca="1">[1]!BexGetData("DP_1","003N8EMH8GTFRIVOG7KG9J3KE","GSON1112030600")</f>
        <v>#NAME?</v>
      </c>
      <c r="P260" s="3" t="e">
        <f ca="1">[1]!BexGetData("DP_1","003N8EMH8GTFRIVOG7KG9J9VY","GSON1112030600")</f>
        <v>#NAME?</v>
      </c>
      <c r="Q260" s="4" t="e">
        <f ca="1">[1]!BexGetData("DP_1","00O2TNJGODT0G5Z4TTKYMM5MT","GSON1112030600")</f>
        <v>#NAME?</v>
      </c>
      <c r="R260" s="3" t="e">
        <f ca="1">[1]!BexGetData("DP_1","00O2TNJGODT0G5Z4TTKYMMBYD","GSON1112030600")</f>
        <v>#NAME?</v>
      </c>
      <c r="S260" s="3" t="e">
        <f ca="1">[1]!BexGetData("DP_1","00O2TNJGODT0G5Z4TTKYMMI9X","GSON1112030600")</f>
        <v>#NAME?</v>
      </c>
      <c r="T260" s="8" t="e">
        <f ca="1">[1]!BexGetData("DP_1","00O2TNJGODT0G5Z4TTKYMMOLH","GSON1112030600")</f>
        <v>#NAME?</v>
      </c>
      <c r="U260" s="3" t="e">
        <f ca="1">[1]!BexGetData("DP_1","00O2TNJGODT0G5Z4TTKYMMUX1","GSON1112030600")</f>
        <v>#NAME?</v>
      </c>
      <c r="V260" s="8" t="e">
        <f ca="1">[1]!BexGetData("DP_1","00O2TNJGODT0G5Z4TTKYMN18L","GSON1112030600")</f>
        <v>#NAME?</v>
      </c>
      <c r="W260" s="3" t="e">
        <f ca="1">[1]!BexGetData("DP_1","00O2TNJGODT0G5Z4TTKYMN7K5","GSON1112030600")</f>
        <v>#NAME?</v>
      </c>
    </row>
    <row r="261" spans="1:23" x14ac:dyDescent="0.2">
      <c r="A261" s="16" t="s">
        <v>849</v>
      </c>
      <c r="B261" s="7" t="s">
        <v>850</v>
      </c>
      <c r="C261" s="3" t="e">
        <f ca="1">[1]!BexGetData("DP_1","003N8EMH8GTFRCSWKMPXRR8GU","GSON1112030601")</f>
        <v>#NAME?</v>
      </c>
      <c r="D261" s="3" t="e">
        <f ca="1">[1]!BexGetData("DP_1","003N8EMH8GTFRCSWKMPXRRESE","GSON1112030601")</f>
        <v>#NAME?</v>
      </c>
      <c r="E261" s="3" t="e">
        <f ca="1">[1]!BexGetData("DP_1","003N8EMH8GTFRCSWKMPXRRL3Y","GSON1112030601")</f>
        <v>#NAME?</v>
      </c>
      <c r="F261" s="3" t="e">
        <f ca="1">[1]!BexGetData("DP_1","003N8EMH8GTFRCSWKMPXRRRFI","GSON1112030601")</f>
        <v>#NAME?</v>
      </c>
      <c r="G261" s="3" t="e">
        <f ca="1">[1]!BexGetData("DP_1","003N8EMH8GTFRCSWKMPXRRXR2","GSON1112030601")</f>
        <v>#NAME?</v>
      </c>
      <c r="H261" s="8" t="e">
        <f ca="1">[1]!BexGetData("DP_1","003N8EMH8GTFRCSWKMPXRS42M","GSON1112030601")</f>
        <v>#NAME?</v>
      </c>
      <c r="I261" s="3" t="e">
        <f ca="1">[1]!BexGetData("DP_1","003N8EMH8GTFRCSWKMPXRSAE6","GSON1112030601")</f>
        <v>#NAME?</v>
      </c>
      <c r="J261" s="4" t="e">
        <f ca="1">[1]!BexGetData("DP_1","003N8EMH8GTFRCSWKMPXRSGPQ","GSON1112030601")</f>
        <v>#NAME?</v>
      </c>
      <c r="K261" s="3" t="e">
        <f ca="1">[1]!BexGetData("DP_1","003N8EMH8GTFRIVNUPY288VJH","GSON1112030601")</f>
        <v>#NAME?</v>
      </c>
      <c r="L261" s="3" t="e">
        <f ca="1">[1]!BexGetData("DP_1","003N8EMH8GTFRIVNUPY2891V1","GSON1112030601")</f>
        <v>#NAME?</v>
      </c>
      <c r="M261" s="3" t="e">
        <f ca="1">[1]!BexGetData("DP_1","003N8EMH8GTFRIVOG7KG9IQXA","GSON1112030601")</f>
        <v>#NAME?</v>
      </c>
      <c r="N261" s="8" t="e">
        <f ca="1">[1]!BexGetData("DP_1","003N8EMH8GTFRIVOG7KG9IX8U","GSON1112030601")</f>
        <v>#NAME?</v>
      </c>
      <c r="O261" s="3" t="e">
        <f ca="1">[1]!BexGetData("DP_1","003N8EMH8GTFRIVOG7KG9J3KE","GSON1112030601")</f>
        <v>#NAME?</v>
      </c>
      <c r="P261" s="8" t="e">
        <f ca="1">[1]!BexGetData("DP_1","003N8EMH8GTFRIVOG7KG9J9VY","GSON1112030601")</f>
        <v>#NAME?</v>
      </c>
      <c r="Q261" s="4" t="e">
        <f ca="1">[1]!BexGetData("DP_1","00O2TNJGODT0G5Z4TTKYMM5MT","GSON1112030601")</f>
        <v>#NAME?</v>
      </c>
      <c r="R261" s="3" t="e">
        <f ca="1">[1]!BexGetData("DP_1","00O2TNJGODT0G5Z4TTKYMMBYD","GSON1112030601")</f>
        <v>#NAME?</v>
      </c>
      <c r="S261" s="3" t="e">
        <f ca="1">[1]!BexGetData("DP_1","00O2TNJGODT0G5Z4TTKYMMI9X","GSON1112030601")</f>
        <v>#NAME?</v>
      </c>
      <c r="T261" s="8" t="e">
        <f ca="1">[1]!BexGetData("DP_1","00O2TNJGODT0G5Z4TTKYMMOLH","GSON1112030601")</f>
        <v>#NAME?</v>
      </c>
      <c r="U261" s="3" t="e">
        <f ca="1">[1]!BexGetData("DP_1","00O2TNJGODT0G5Z4TTKYMMUX1","GSON1112030601")</f>
        <v>#NAME?</v>
      </c>
      <c r="V261" s="8" t="e">
        <f ca="1">[1]!BexGetData("DP_1","00O2TNJGODT0G5Z4TTKYMN18L","GSON1112030601")</f>
        <v>#NAME?</v>
      </c>
      <c r="W261" s="3" t="e">
        <f ca="1">[1]!BexGetData("DP_1","00O2TNJGODT0G5Z4TTKYMN7K5","GSON1112030601")</f>
        <v>#NAME?</v>
      </c>
    </row>
    <row r="262" spans="1:23" x14ac:dyDescent="0.2">
      <c r="A262" s="16" t="s">
        <v>2059</v>
      </c>
      <c r="B262" s="7" t="s">
        <v>2060</v>
      </c>
      <c r="C262" s="3" t="e">
        <f ca="1">[1]!BexGetData("DP_1","003N8EMH8GTFRCSWKMPXRR8GU","GSON1112030602")</f>
        <v>#NAME?</v>
      </c>
      <c r="D262" s="3" t="e">
        <f ca="1">[1]!BexGetData("DP_1","003N8EMH8GTFRCSWKMPXRRESE","GSON1112030602")</f>
        <v>#NAME?</v>
      </c>
      <c r="E262" s="3" t="e">
        <f ca="1">[1]!BexGetData("DP_1","003N8EMH8GTFRCSWKMPXRRL3Y","GSON1112030602")</f>
        <v>#NAME?</v>
      </c>
      <c r="F262" s="4" t="e">
        <f ca="1">[1]!BexGetData("DP_1","003N8EMH8GTFRCSWKMPXRRRFI","GSON1112030602")</f>
        <v>#NAME?</v>
      </c>
      <c r="G262" s="4" t="e">
        <f ca="1">[1]!BexGetData("DP_1","003N8EMH8GTFRCSWKMPXRRXR2","GSON1112030602")</f>
        <v>#NAME?</v>
      </c>
      <c r="H262" s="4" t="e">
        <f ca="1">[1]!BexGetData("DP_1","003N8EMH8GTFRCSWKMPXRS42M","GSON1112030602")</f>
        <v>#NAME?</v>
      </c>
      <c r="I262" s="4" t="e">
        <f ca="1">[1]!BexGetData("DP_1","003N8EMH8GTFRCSWKMPXRSAE6","GSON1112030602")</f>
        <v>#NAME?</v>
      </c>
      <c r="J262" s="4" t="e">
        <f ca="1">[1]!BexGetData("DP_1","003N8EMH8GTFRCSWKMPXRSGPQ","GSON1112030602")</f>
        <v>#NAME?</v>
      </c>
      <c r="K262" s="3" t="e">
        <f ca="1">[1]!BexGetData("DP_1","003N8EMH8GTFRIVNUPY288VJH","GSON1112030602")</f>
        <v>#NAME?</v>
      </c>
      <c r="L262" s="3" t="e">
        <f ca="1">[1]!BexGetData("DP_1","003N8EMH8GTFRIVNUPY2891V1","GSON1112030602")</f>
        <v>#NAME?</v>
      </c>
      <c r="M262" s="8" t="e">
        <f ca="1">[1]!BexGetData("DP_1","003N8EMH8GTFRIVOG7KG9IQXA","GSON1112030602")</f>
        <v>#NAME?</v>
      </c>
      <c r="N262" s="3" t="e">
        <f ca="1">[1]!BexGetData("DP_1","003N8EMH8GTFRIVOG7KG9IX8U","GSON1112030602")</f>
        <v>#NAME?</v>
      </c>
      <c r="O262" s="8" t="e">
        <f ca="1">[1]!BexGetData("DP_1","003N8EMH8GTFRIVOG7KG9J3KE","GSON1112030602")</f>
        <v>#NAME?</v>
      </c>
      <c r="P262" s="3" t="e">
        <f ca="1">[1]!BexGetData("DP_1","003N8EMH8GTFRIVOG7KG9J9VY","GSON1112030602")</f>
        <v>#NAME?</v>
      </c>
      <c r="Q262" s="4" t="e">
        <f ca="1">[1]!BexGetData("DP_1","00O2TNJGODT0G5Z4TTKYMM5MT","GSON1112030602")</f>
        <v>#NAME?</v>
      </c>
      <c r="R262" s="4" t="e">
        <f ca="1">[1]!BexGetData("DP_1","00O2TNJGODT0G5Z4TTKYMMBYD","GSON1112030602")</f>
        <v>#NAME?</v>
      </c>
      <c r="S262" s="4" t="e">
        <f ca="1">[1]!BexGetData("DP_1","00O2TNJGODT0G5Z4TTKYMMI9X","GSON1112030602")</f>
        <v>#NAME?</v>
      </c>
      <c r="T262" s="4" t="e">
        <f ca="1">[1]!BexGetData("DP_1","00O2TNJGODT0G5Z4TTKYMMOLH","GSON1112030602")</f>
        <v>#NAME?</v>
      </c>
      <c r="U262" s="4" t="e">
        <f ca="1">[1]!BexGetData("DP_1","00O2TNJGODT0G5Z4TTKYMMUX1","GSON1112030602")</f>
        <v>#NAME?</v>
      </c>
      <c r="V262" s="4" t="e">
        <f ca="1">[1]!BexGetData("DP_1","00O2TNJGODT0G5Z4TTKYMN18L","GSON1112030602")</f>
        <v>#NAME?</v>
      </c>
      <c r="W262" s="4" t="e">
        <f ca="1">[1]!BexGetData("DP_1","00O2TNJGODT0G5Z4TTKYMN7K5","GSON1112030602")</f>
        <v>#NAME?</v>
      </c>
    </row>
    <row r="263" spans="1:23" x14ac:dyDescent="0.2">
      <c r="A263" s="16" t="s">
        <v>2061</v>
      </c>
      <c r="B263" s="7" t="s">
        <v>2062</v>
      </c>
      <c r="C263" s="3" t="e">
        <f ca="1">[1]!BexGetData("DP_1","003N8EMH8GTFRCSWKMPXRR8GU","GSON1112030603")</f>
        <v>#NAME?</v>
      </c>
      <c r="D263" s="3" t="e">
        <f ca="1">[1]!BexGetData("DP_1","003N8EMH8GTFRCSWKMPXRRESE","GSON1112030603")</f>
        <v>#NAME?</v>
      </c>
      <c r="E263" s="3" t="e">
        <f ca="1">[1]!BexGetData("DP_1","003N8EMH8GTFRCSWKMPXRRL3Y","GSON1112030603")</f>
        <v>#NAME?</v>
      </c>
      <c r="F263" s="4" t="e">
        <f ca="1">[1]!BexGetData("DP_1","003N8EMH8GTFRCSWKMPXRRRFI","GSON1112030603")</f>
        <v>#NAME?</v>
      </c>
      <c r="G263" s="4" t="e">
        <f ca="1">[1]!BexGetData("DP_1","003N8EMH8GTFRCSWKMPXRRXR2","GSON1112030603")</f>
        <v>#NAME?</v>
      </c>
      <c r="H263" s="4" t="e">
        <f ca="1">[1]!BexGetData("DP_1","003N8EMH8GTFRCSWKMPXRS42M","GSON1112030603")</f>
        <v>#NAME?</v>
      </c>
      <c r="I263" s="4" t="e">
        <f ca="1">[1]!BexGetData("DP_1","003N8EMH8GTFRCSWKMPXRSAE6","GSON1112030603")</f>
        <v>#NAME?</v>
      </c>
      <c r="J263" s="4" t="e">
        <f ca="1">[1]!BexGetData("DP_1","003N8EMH8GTFRCSWKMPXRSGPQ","GSON1112030603")</f>
        <v>#NAME?</v>
      </c>
      <c r="K263" s="3" t="e">
        <f ca="1">[1]!BexGetData("DP_1","003N8EMH8GTFRIVNUPY288VJH","GSON1112030603")</f>
        <v>#NAME?</v>
      </c>
      <c r="L263" s="3" t="e">
        <f ca="1">[1]!BexGetData("DP_1","003N8EMH8GTFRIVNUPY2891V1","GSON1112030603")</f>
        <v>#NAME?</v>
      </c>
      <c r="M263" s="3" t="e">
        <f ca="1">[1]!BexGetData("DP_1","003N8EMH8GTFRIVOG7KG9IQXA","GSON1112030603")</f>
        <v>#NAME?</v>
      </c>
      <c r="N263" s="8" t="e">
        <f ca="1">[1]!BexGetData("DP_1","003N8EMH8GTFRIVOG7KG9IX8U","GSON1112030603")</f>
        <v>#NAME?</v>
      </c>
      <c r="O263" s="3" t="e">
        <f ca="1">[1]!BexGetData("DP_1","003N8EMH8GTFRIVOG7KG9J3KE","GSON1112030603")</f>
        <v>#NAME?</v>
      </c>
      <c r="P263" s="8" t="e">
        <f ca="1">[1]!BexGetData("DP_1","003N8EMH8GTFRIVOG7KG9J9VY","GSON1112030603")</f>
        <v>#NAME?</v>
      </c>
      <c r="Q263" s="4" t="e">
        <f ca="1">[1]!BexGetData("DP_1","00O2TNJGODT0G5Z4TTKYMM5MT","GSON1112030603")</f>
        <v>#NAME?</v>
      </c>
      <c r="R263" s="4" t="e">
        <f ca="1">[1]!BexGetData("DP_1","00O2TNJGODT0G5Z4TTKYMMBYD","GSON1112030603")</f>
        <v>#NAME?</v>
      </c>
      <c r="S263" s="4" t="e">
        <f ca="1">[1]!BexGetData("DP_1","00O2TNJGODT0G5Z4TTKYMMI9X","GSON1112030603")</f>
        <v>#NAME?</v>
      </c>
      <c r="T263" s="4" t="e">
        <f ca="1">[1]!BexGetData("DP_1","00O2TNJGODT0G5Z4TTKYMMOLH","GSON1112030603")</f>
        <v>#NAME?</v>
      </c>
      <c r="U263" s="4" t="e">
        <f ca="1">[1]!BexGetData("DP_1","00O2TNJGODT0G5Z4TTKYMMUX1","GSON1112030603")</f>
        <v>#NAME?</v>
      </c>
      <c r="V263" s="4" t="e">
        <f ca="1">[1]!BexGetData("DP_1","00O2TNJGODT0G5Z4TTKYMN18L","GSON1112030603")</f>
        <v>#NAME?</v>
      </c>
      <c r="W263" s="4" t="e">
        <f ca="1">[1]!BexGetData("DP_1","00O2TNJGODT0G5Z4TTKYMN7K5","GSON1112030603")</f>
        <v>#NAME?</v>
      </c>
    </row>
    <row r="264" spans="1:23" x14ac:dyDescent="0.2">
      <c r="A264" s="16" t="s">
        <v>2063</v>
      </c>
      <c r="B264" s="7" t="s">
        <v>851</v>
      </c>
      <c r="C264" s="3" t="e">
        <f ca="1">[1]!BexGetData("DP_1","003N8EMH8GTFRCSWKMPXRR8GU","GSON1112030604")</f>
        <v>#NAME?</v>
      </c>
      <c r="D264" s="3" t="e">
        <f ca="1">[1]!BexGetData("DP_1","003N8EMH8GTFRCSWKMPXRRESE","GSON1112030604")</f>
        <v>#NAME?</v>
      </c>
      <c r="E264" s="3" t="e">
        <f ca="1">[1]!BexGetData("DP_1","003N8EMH8GTFRCSWKMPXRRL3Y","GSON1112030604")</f>
        <v>#NAME?</v>
      </c>
      <c r="F264" s="4" t="e">
        <f ca="1">[1]!BexGetData("DP_1","003N8EMH8GTFRCSWKMPXRRRFI","GSON1112030604")</f>
        <v>#NAME?</v>
      </c>
      <c r="G264" s="4" t="e">
        <f ca="1">[1]!BexGetData("DP_1","003N8EMH8GTFRCSWKMPXRRXR2","GSON1112030604")</f>
        <v>#NAME?</v>
      </c>
      <c r="H264" s="4" t="e">
        <f ca="1">[1]!BexGetData("DP_1","003N8EMH8GTFRCSWKMPXRS42M","GSON1112030604")</f>
        <v>#NAME?</v>
      </c>
      <c r="I264" s="4" t="e">
        <f ca="1">[1]!BexGetData("DP_1","003N8EMH8GTFRCSWKMPXRSAE6","GSON1112030604")</f>
        <v>#NAME?</v>
      </c>
      <c r="J264" s="4" t="e">
        <f ca="1">[1]!BexGetData("DP_1","003N8EMH8GTFRCSWKMPXRSGPQ","GSON1112030604")</f>
        <v>#NAME?</v>
      </c>
      <c r="K264" s="3" t="e">
        <f ca="1">[1]!BexGetData("DP_1","003N8EMH8GTFRIVNUPY288VJH","GSON1112030604")</f>
        <v>#NAME?</v>
      </c>
      <c r="L264" s="3" t="e">
        <f ca="1">[1]!BexGetData("DP_1","003N8EMH8GTFRIVNUPY2891V1","GSON1112030604")</f>
        <v>#NAME?</v>
      </c>
      <c r="M264" s="8" t="e">
        <f ca="1">[1]!BexGetData("DP_1","003N8EMH8GTFRIVOG7KG9IQXA","GSON1112030604")</f>
        <v>#NAME?</v>
      </c>
      <c r="N264" s="3" t="e">
        <f ca="1">[1]!BexGetData("DP_1","003N8EMH8GTFRIVOG7KG9IX8U","GSON1112030604")</f>
        <v>#NAME?</v>
      </c>
      <c r="O264" s="8" t="e">
        <f ca="1">[1]!BexGetData("DP_1","003N8EMH8GTFRIVOG7KG9J3KE","GSON1112030604")</f>
        <v>#NAME?</v>
      </c>
      <c r="P264" s="3" t="e">
        <f ca="1">[1]!BexGetData("DP_1","003N8EMH8GTFRIVOG7KG9J9VY","GSON1112030604")</f>
        <v>#NAME?</v>
      </c>
      <c r="Q264" s="4" t="e">
        <f ca="1">[1]!BexGetData("DP_1","00O2TNJGODT0G5Z4TTKYMM5MT","GSON1112030604")</f>
        <v>#NAME?</v>
      </c>
      <c r="R264" s="4" t="e">
        <f ca="1">[1]!BexGetData("DP_1","00O2TNJGODT0G5Z4TTKYMMBYD","GSON1112030604")</f>
        <v>#NAME?</v>
      </c>
      <c r="S264" s="4" t="e">
        <f ca="1">[1]!BexGetData("DP_1","00O2TNJGODT0G5Z4TTKYMMI9X","GSON1112030604")</f>
        <v>#NAME?</v>
      </c>
      <c r="T264" s="4" t="e">
        <f ca="1">[1]!BexGetData("DP_1","00O2TNJGODT0G5Z4TTKYMMOLH","GSON1112030604")</f>
        <v>#NAME?</v>
      </c>
      <c r="U264" s="4" t="e">
        <f ca="1">[1]!BexGetData("DP_1","00O2TNJGODT0G5Z4TTKYMMUX1","GSON1112030604")</f>
        <v>#NAME?</v>
      </c>
      <c r="V264" s="4" t="e">
        <f ca="1">[1]!BexGetData("DP_1","00O2TNJGODT0G5Z4TTKYMN18L","GSON1112030604")</f>
        <v>#NAME?</v>
      </c>
      <c r="W264" s="4" t="e">
        <f ca="1">[1]!BexGetData("DP_1","00O2TNJGODT0G5Z4TTKYMN7K5","GSON1112030604")</f>
        <v>#NAME?</v>
      </c>
    </row>
    <row r="265" spans="1:23" x14ac:dyDescent="0.2">
      <c r="A265" s="16" t="s">
        <v>852</v>
      </c>
      <c r="B265" s="7" t="s">
        <v>853</v>
      </c>
      <c r="C265" s="3" t="e">
        <f ca="1">[1]!BexGetData("DP_1","003N8EMH8GTFRCSWKMPXRR8GU","GSON1112030610")</f>
        <v>#NAME?</v>
      </c>
      <c r="D265" s="3" t="e">
        <f ca="1">[1]!BexGetData("DP_1","003N8EMH8GTFRCSWKMPXRRESE","GSON1112030610")</f>
        <v>#NAME?</v>
      </c>
      <c r="E265" s="3" t="e">
        <f ca="1">[1]!BexGetData("DP_1","003N8EMH8GTFRCSWKMPXRRL3Y","GSON1112030610")</f>
        <v>#NAME?</v>
      </c>
      <c r="F265" s="3" t="e">
        <f ca="1">[1]!BexGetData("DP_1","003N8EMH8GTFRCSWKMPXRRRFI","GSON1112030610")</f>
        <v>#NAME?</v>
      </c>
      <c r="G265" s="3" t="e">
        <f ca="1">[1]!BexGetData("DP_1","003N8EMH8GTFRCSWKMPXRRXR2","GSON1112030610")</f>
        <v>#NAME?</v>
      </c>
      <c r="H265" s="8" t="e">
        <f ca="1">[1]!BexGetData("DP_1","003N8EMH8GTFRCSWKMPXRS42M","GSON1112030610")</f>
        <v>#NAME?</v>
      </c>
      <c r="I265" s="3" t="e">
        <f ca="1">[1]!BexGetData("DP_1","003N8EMH8GTFRCSWKMPXRSAE6","GSON1112030610")</f>
        <v>#NAME?</v>
      </c>
      <c r="J265" s="4" t="e">
        <f ca="1">[1]!BexGetData("DP_1","003N8EMH8GTFRCSWKMPXRSGPQ","GSON1112030610")</f>
        <v>#NAME?</v>
      </c>
      <c r="K265" s="3" t="e">
        <f ca="1">[1]!BexGetData("DP_1","003N8EMH8GTFRIVNUPY288VJH","GSON1112030610")</f>
        <v>#NAME?</v>
      </c>
      <c r="L265" s="3" t="e">
        <f ca="1">[1]!BexGetData("DP_1","003N8EMH8GTFRIVNUPY2891V1","GSON1112030610")</f>
        <v>#NAME?</v>
      </c>
      <c r="M265" s="8" t="e">
        <f ca="1">[1]!BexGetData("DP_1","003N8EMH8GTFRIVOG7KG9IQXA","GSON1112030610")</f>
        <v>#NAME?</v>
      </c>
      <c r="N265" s="3" t="e">
        <f ca="1">[1]!BexGetData("DP_1","003N8EMH8GTFRIVOG7KG9IX8U","GSON1112030610")</f>
        <v>#NAME?</v>
      </c>
      <c r="O265" s="8" t="e">
        <f ca="1">[1]!BexGetData("DP_1","003N8EMH8GTFRIVOG7KG9J3KE","GSON1112030610")</f>
        <v>#NAME?</v>
      </c>
      <c r="P265" s="3" t="e">
        <f ca="1">[1]!BexGetData("DP_1","003N8EMH8GTFRIVOG7KG9J9VY","GSON1112030610")</f>
        <v>#NAME?</v>
      </c>
      <c r="Q265" s="4" t="e">
        <f ca="1">[1]!BexGetData("DP_1","00O2TNJGODT0G5Z4TTKYMM5MT","GSON1112030610")</f>
        <v>#NAME?</v>
      </c>
      <c r="R265" s="3" t="e">
        <f ca="1">[1]!BexGetData("DP_1","00O2TNJGODT0G5Z4TTKYMMBYD","GSON1112030610")</f>
        <v>#NAME?</v>
      </c>
      <c r="S265" s="3" t="e">
        <f ca="1">[1]!BexGetData("DP_1","00O2TNJGODT0G5Z4TTKYMMI9X","GSON1112030610")</f>
        <v>#NAME?</v>
      </c>
      <c r="T265" s="8" t="e">
        <f ca="1">[1]!BexGetData("DP_1","00O2TNJGODT0G5Z4TTKYMMOLH","GSON1112030610")</f>
        <v>#NAME?</v>
      </c>
      <c r="U265" s="3" t="e">
        <f ca="1">[1]!BexGetData("DP_1","00O2TNJGODT0G5Z4TTKYMMUX1","GSON1112030610")</f>
        <v>#NAME?</v>
      </c>
      <c r="V265" s="8" t="e">
        <f ca="1">[1]!BexGetData("DP_1","00O2TNJGODT0G5Z4TTKYMN18L","GSON1112030610")</f>
        <v>#NAME?</v>
      </c>
      <c r="W265" s="3" t="e">
        <f ca="1">[1]!BexGetData("DP_1","00O2TNJGODT0G5Z4TTKYMN7K5","GSON1112030610")</f>
        <v>#NAME?</v>
      </c>
    </row>
    <row r="266" spans="1:23" x14ac:dyDescent="0.2">
      <c r="A266" s="16" t="s">
        <v>854</v>
      </c>
      <c r="B266" s="7" t="s">
        <v>855</v>
      </c>
      <c r="C266" s="3" t="e">
        <f ca="1">[1]!BexGetData("DP_1","003N8EMH8GTFRCSWKMPXRR8GU","GSON1112030611")</f>
        <v>#NAME?</v>
      </c>
      <c r="D266" s="3" t="e">
        <f ca="1">[1]!BexGetData("DP_1","003N8EMH8GTFRCSWKMPXRRESE","GSON1112030611")</f>
        <v>#NAME?</v>
      </c>
      <c r="E266" s="3" t="e">
        <f ca="1">[1]!BexGetData("DP_1","003N8EMH8GTFRCSWKMPXRRL3Y","GSON1112030611")</f>
        <v>#NAME?</v>
      </c>
      <c r="F266" s="3" t="e">
        <f ca="1">[1]!BexGetData("DP_1","003N8EMH8GTFRCSWKMPXRRRFI","GSON1112030611")</f>
        <v>#NAME?</v>
      </c>
      <c r="G266" s="3" t="e">
        <f ca="1">[1]!BexGetData("DP_1","003N8EMH8GTFRCSWKMPXRRXR2","GSON1112030611")</f>
        <v>#NAME?</v>
      </c>
      <c r="H266" s="8" t="e">
        <f ca="1">[1]!BexGetData("DP_1","003N8EMH8GTFRCSWKMPXRS42M","GSON1112030611")</f>
        <v>#NAME?</v>
      </c>
      <c r="I266" s="3" t="e">
        <f ca="1">[1]!BexGetData("DP_1","003N8EMH8GTFRCSWKMPXRSAE6","GSON1112030611")</f>
        <v>#NAME?</v>
      </c>
      <c r="J266" s="4" t="e">
        <f ca="1">[1]!BexGetData("DP_1","003N8EMH8GTFRCSWKMPXRSGPQ","GSON1112030611")</f>
        <v>#NAME?</v>
      </c>
      <c r="K266" s="3" t="e">
        <f ca="1">[1]!BexGetData("DP_1","003N8EMH8GTFRIVNUPY288VJH","GSON1112030611")</f>
        <v>#NAME?</v>
      </c>
      <c r="L266" s="3" t="e">
        <f ca="1">[1]!BexGetData("DP_1","003N8EMH8GTFRIVNUPY2891V1","GSON1112030611")</f>
        <v>#NAME?</v>
      </c>
      <c r="M266" s="8" t="e">
        <f ca="1">[1]!BexGetData("DP_1","003N8EMH8GTFRIVOG7KG9IQXA","GSON1112030611")</f>
        <v>#NAME?</v>
      </c>
      <c r="N266" s="3" t="e">
        <f ca="1">[1]!BexGetData("DP_1","003N8EMH8GTFRIVOG7KG9IX8U","GSON1112030611")</f>
        <v>#NAME?</v>
      </c>
      <c r="O266" s="8" t="e">
        <f ca="1">[1]!BexGetData("DP_1","003N8EMH8GTFRIVOG7KG9J3KE","GSON1112030611")</f>
        <v>#NAME?</v>
      </c>
      <c r="P266" s="3" t="e">
        <f ca="1">[1]!BexGetData("DP_1","003N8EMH8GTFRIVOG7KG9J9VY","GSON1112030611")</f>
        <v>#NAME?</v>
      </c>
      <c r="Q266" s="4" t="e">
        <f ca="1">[1]!BexGetData("DP_1","00O2TNJGODT0G5Z4TTKYMM5MT","GSON1112030611")</f>
        <v>#NAME?</v>
      </c>
      <c r="R266" s="3" t="e">
        <f ca="1">[1]!BexGetData("DP_1","00O2TNJGODT0G5Z4TTKYMMBYD","GSON1112030611")</f>
        <v>#NAME?</v>
      </c>
      <c r="S266" s="3" t="e">
        <f ca="1">[1]!BexGetData("DP_1","00O2TNJGODT0G5Z4TTKYMMI9X","GSON1112030611")</f>
        <v>#NAME?</v>
      </c>
      <c r="T266" s="8" t="e">
        <f ca="1">[1]!BexGetData("DP_1","00O2TNJGODT0G5Z4TTKYMMOLH","GSON1112030611")</f>
        <v>#NAME?</v>
      </c>
      <c r="U266" s="3" t="e">
        <f ca="1">[1]!BexGetData("DP_1","00O2TNJGODT0G5Z4TTKYMMUX1","GSON1112030611")</f>
        <v>#NAME?</v>
      </c>
      <c r="V266" s="8" t="e">
        <f ca="1">[1]!BexGetData("DP_1","00O2TNJGODT0G5Z4TTKYMN18L","GSON1112030611")</f>
        <v>#NAME?</v>
      </c>
      <c r="W266" s="3" t="e">
        <f ca="1">[1]!BexGetData("DP_1","00O2TNJGODT0G5Z4TTKYMN7K5","GSON1112030611")</f>
        <v>#NAME?</v>
      </c>
    </row>
    <row r="267" spans="1:23" x14ac:dyDescent="0.2">
      <c r="A267" s="16" t="s">
        <v>2064</v>
      </c>
      <c r="B267" s="7" t="s">
        <v>2065</v>
      </c>
      <c r="C267" s="3" t="e">
        <f ca="1">[1]!BexGetData("DP_1","003N8EMH8GTFRCSWKMPXRR8GU","GSON1112030612")</f>
        <v>#NAME?</v>
      </c>
      <c r="D267" s="8" t="e">
        <f ca="1">[1]!BexGetData("DP_1","003N8EMH8GTFRCSWKMPXRRESE","GSON1112030612")</f>
        <v>#NAME?</v>
      </c>
      <c r="E267" s="3" t="e">
        <f ca="1">[1]!BexGetData("DP_1","003N8EMH8GTFRCSWKMPXRRL3Y","GSON1112030612")</f>
        <v>#NAME?</v>
      </c>
      <c r="F267" s="4" t="e">
        <f ca="1">[1]!BexGetData("DP_1","003N8EMH8GTFRCSWKMPXRRRFI","GSON1112030612")</f>
        <v>#NAME?</v>
      </c>
      <c r="G267" s="4" t="e">
        <f ca="1">[1]!BexGetData("DP_1","003N8EMH8GTFRCSWKMPXRRXR2","GSON1112030612")</f>
        <v>#NAME?</v>
      </c>
      <c r="H267" s="4" t="e">
        <f ca="1">[1]!BexGetData("DP_1","003N8EMH8GTFRCSWKMPXRS42M","GSON1112030612")</f>
        <v>#NAME?</v>
      </c>
      <c r="I267" s="4" t="e">
        <f ca="1">[1]!BexGetData("DP_1","003N8EMH8GTFRCSWKMPXRSAE6","GSON1112030612")</f>
        <v>#NAME?</v>
      </c>
      <c r="J267" s="4" t="e">
        <f ca="1">[1]!BexGetData("DP_1","003N8EMH8GTFRCSWKMPXRSGPQ","GSON1112030612")</f>
        <v>#NAME?</v>
      </c>
      <c r="K267" s="3" t="e">
        <f ca="1">[1]!BexGetData("DP_1","003N8EMH8GTFRIVNUPY288VJH","GSON1112030612")</f>
        <v>#NAME?</v>
      </c>
      <c r="L267" s="3" t="e">
        <f ca="1">[1]!BexGetData("DP_1","003N8EMH8GTFRIVNUPY2891V1","GSON1112030612")</f>
        <v>#NAME?</v>
      </c>
      <c r="M267" s="8" t="e">
        <f ca="1">[1]!BexGetData("DP_1","003N8EMH8GTFRIVOG7KG9IQXA","GSON1112030612")</f>
        <v>#NAME?</v>
      </c>
      <c r="N267" s="3" t="e">
        <f ca="1">[1]!BexGetData("DP_1","003N8EMH8GTFRIVOG7KG9IX8U","GSON1112030612")</f>
        <v>#NAME?</v>
      </c>
      <c r="O267" s="8" t="e">
        <f ca="1">[1]!BexGetData("DP_1","003N8EMH8GTFRIVOG7KG9J3KE","GSON1112030612")</f>
        <v>#NAME?</v>
      </c>
      <c r="P267" s="3" t="e">
        <f ca="1">[1]!BexGetData("DP_1","003N8EMH8GTFRIVOG7KG9J9VY","GSON1112030612")</f>
        <v>#NAME?</v>
      </c>
      <c r="Q267" s="4" t="e">
        <f ca="1">[1]!BexGetData("DP_1","00O2TNJGODT0G5Z4TTKYMM5MT","GSON1112030612")</f>
        <v>#NAME?</v>
      </c>
      <c r="R267" s="4" t="e">
        <f ca="1">[1]!BexGetData("DP_1","00O2TNJGODT0G5Z4TTKYMMBYD","GSON1112030612")</f>
        <v>#NAME?</v>
      </c>
      <c r="S267" s="4" t="e">
        <f ca="1">[1]!BexGetData("DP_1","00O2TNJGODT0G5Z4TTKYMMI9X","GSON1112030612")</f>
        <v>#NAME?</v>
      </c>
      <c r="T267" s="4" t="e">
        <f ca="1">[1]!BexGetData("DP_1","00O2TNJGODT0G5Z4TTKYMMOLH","GSON1112030612")</f>
        <v>#NAME?</v>
      </c>
      <c r="U267" s="4" t="e">
        <f ca="1">[1]!BexGetData("DP_1","00O2TNJGODT0G5Z4TTKYMMUX1","GSON1112030612")</f>
        <v>#NAME?</v>
      </c>
      <c r="V267" s="4" t="e">
        <f ca="1">[1]!BexGetData("DP_1","00O2TNJGODT0G5Z4TTKYMN18L","GSON1112030612")</f>
        <v>#NAME?</v>
      </c>
      <c r="W267" s="4" t="e">
        <f ca="1">[1]!BexGetData("DP_1","00O2TNJGODT0G5Z4TTKYMN7K5","GSON1112030612")</f>
        <v>#NAME?</v>
      </c>
    </row>
    <row r="268" spans="1:23" x14ac:dyDescent="0.2">
      <c r="A268" s="16" t="s">
        <v>2066</v>
      </c>
      <c r="B268" s="7" t="s">
        <v>2067</v>
      </c>
      <c r="C268" s="3" t="e">
        <f ca="1">[1]!BexGetData("DP_1","003N8EMH8GTFRCSWKMPXRR8GU","GSON1112030613")</f>
        <v>#NAME?</v>
      </c>
      <c r="D268" s="3" t="e">
        <f ca="1">[1]!BexGetData("DP_1","003N8EMH8GTFRCSWKMPXRRESE","GSON1112030613")</f>
        <v>#NAME?</v>
      </c>
      <c r="E268" s="3" t="e">
        <f ca="1">[1]!BexGetData("DP_1","003N8EMH8GTFRCSWKMPXRRL3Y","GSON1112030613")</f>
        <v>#NAME?</v>
      </c>
      <c r="F268" s="4" t="e">
        <f ca="1">[1]!BexGetData("DP_1","003N8EMH8GTFRCSWKMPXRRRFI","GSON1112030613")</f>
        <v>#NAME?</v>
      </c>
      <c r="G268" s="4" t="e">
        <f ca="1">[1]!BexGetData("DP_1","003N8EMH8GTFRCSWKMPXRRXR2","GSON1112030613")</f>
        <v>#NAME?</v>
      </c>
      <c r="H268" s="4" t="e">
        <f ca="1">[1]!BexGetData("DP_1","003N8EMH8GTFRCSWKMPXRS42M","GSON1112030613")</f>
        <v>#NAME?</v>
      </c>
      <c r="I268" s="4" t="e">
        <f ca="1">[1]!BexGetData("DP_1","003N8EMH8GTFRCSWKMPXRSAE6","GSON1112030613")</f>
        <v>#NAME?</v>
      </c>
      <c r="J268" s="4" t="e">
        <f ca="1">[1]!BexGetData("DP_1","003N8EMH8GTFRCSWKMPXRSGPQ","GSON1112030613")</f>
        <v>#NAME?</v>
      </c>
      <c r="K268" s="3" t="e">
        <f ca="1">[1]!BexGetData("DP_1","003N8EMH8GTFRIVNUPY288VJH","GSON1112030613")</f>
        <v>#NAME?</v>
      </c>
      <c r="L268" s="3" t="e">
        <f ca="1">[1]!BexGetData("DP_1","003N8EMH8GTFRIVNUPY2891V1","GSON1112030613")</f>
        <v>#NAME?</v>
      </c>
      <c r="M268" s="3" t="e">
        <f ca="1">[1]!BexGetData("DP_1","003N8EMH8GTFRIVOG7KG9IQXA","GSON1112030613")</f>
        <v>#NAME?</v>
      </c>
      <c r="N268" s="8" t="e">
        <f ca="1">[1]!BexGetData("DP_1","003N8EMH8GTFRIVOG7KG9IX8U","GSON1112030613")</f>
        <v>#NAME?</v>
      </c>
      <c r="O268" s="3" t="e">
        <f ca="1">[1]!BexGetData("DP_1","003N8EMH8GTFRIVOG7KG9J3KE","GSON1112030613")</f>
        <v>#NAME?</v>
      </c>
      <c r="P268" s="8" t="e">
        <f ca="1">[1]!BexGetData("DP_1","003N8EMH8GTFRIVOG7KG9J9VY","GSON1112030613")</f>
        <v>#NAME?</v>
      </c>
      <c r="Q268" s="4" t="e">
        <f ca="1">[1]!BexGetData("DP_1","00O2TNJGODT0G5Z4TTKYMM5MT","GSON1112030613")</f>
        <v>#NAME?</v>
      </c>
      <c r="R268" s="4" t="e">
        <f ca="1">[1]!BexGetData("DP_1","00O2TNJGODT0G5Z4TTKYMMBYD","GSON1112030613")</f>
        <v>#NAME?</v>
      </c>
      <c r="S268" s="4" t="e">
        <f ca="1">[1]!BexGetData("DP_1","00O2TNJGODT0G5Z4TTKYMMI9X","GSON1112030613")</f>
        <v>#NAME?</v>
      </c>
      <c r="T268" s="4" t="e">
        <f ca="1">[1]!BexGetData("DP_1","00O2TNJGODT0G5Z4TTKYMMOLH","GSON1112030613")</f>
        <v>#NAME?</v>
      </c>
      <c r="U268" s="4" t="e">
        <f ca="1">[1]!BexGetData("DP_1","00O2TNJGODT0G5Z4TTKYMMUX1","GSON1112030613")</f>
        <v>#NAME?</v>
      </c>
      <c r="V268" s="4" t="e">
        <f ca="1">[1]!BexGetData("DP_1","00O2TNJGODT0G5Z4TTKYMN18L","GSON1112030613")</f>
        <v>#NAME?</v>
      </c>
      <c r="W268" s="4" t="e">
        <f ca="1">[1]!BexGetData("DP_1","00O2TNJGODT0G5Z4TTKYMN7K5","GSON1112030613")</f>
        <v>#NAME?</v>
      </c>
    </row>
    <row r="269" spans="1:23" x14ac:dyDescent="0.2">
      <c r="A269" s="16" t="s">
        <v>2068</v>
      </c>
      <c r="B269" s="7" t="s">
        <v>856</v>
      </c>
      <c r="C269" s="3" t="e">
        <f ca="1">[1]!BexGetData("DP_1","003N8EMH8GTFRCSWKMPXRR8GU","GSON1112030614")</f>
        <v>#NAME?</v>
      </c>
      <c r="D269" s="3" t="e">
        <f ca="1">[1]!BexGetData("DP_1","003N8EMH8GTFRCSWKMPXRRESE","GSON1112030614")</f>
        <v>#NAME?</v>
      </c>
      <c r="E269" s="3" t="e">
        <f ca="1">[1]!BexGetData("DP_1","003N8EMH8GTFRCSWKMPXRRL3Y","GSON1112030614")</f>
        <v>#NAME?</v>
      </c>
      <c r="F269" s="4" t="e">
        <f ca="1">[1]!BexGetData("DP_1","003N8EMH8GTFRCSWKMPXRRRFI","GSON1112030614")</f>
        <v>#NAME?</v>
      </c>
      <c r="G269" s="4" t="e">
        <f ca="1">[1]!BexGetData("DP_1","003N8EMH8GTFRCSWKMPXRRXR2","GSON1112030614")</f>
        <v>#NAME?</v>
      </c>
      <c r="H269" s="4" t="e">
        <f ca="1">[1]!BexGetData("DP_1","003N8EMH8GTFRCSWKMPXRS42M","GSON1112030614")</f>
        <v>#NAME?</v>
      </c>
      <c r="I269" s="4" t="e">
        <f ca="1">[1]!BexGetData("DP_1","003N8EMH8GTFRCSWKMPXRSAE6","GSON1112030614")</f>
        <v>#NAME?</v>
      </c>
      <c r="J269" s="4" t="e">
        <f ca="1">[1]!BexGetData("DP_1","003N8EMH8GTFRCSWKMPXRSGPQ","GSON1112030614")</f>
        <v>#NAME?</v>
      </c>
      <c r="K269" s="3" t="e">
        <f ca="1">[1]!BexGetData("DP_1","003N8EMH8GTFRIVNUPY288VJH","GSON1112030614")</f>
        <v>#NAME?</v>
      </c>
      <c r="L269" s="3" t="e">
        <f ca="1">[1]!BexGetData("DP_1","003N8EMH8GTFRIVNUPY2891V1","GSON1112030614")</f>
        <v>#NAME?</v>
      </c>
      <c r="M269" s="8" t="e">
        <f ca="1">[1]!BexGetData("DP_1","003N8EMH8GTFRIVOG7KG9IQXA","GSON1112030614")</f>
        <v>#NAME?</v>
      </c>
      <c r="N269" s="3" t="e">
        <f ca="1">[1]!BexGetData("DP_1","003N8EMH8GTFRIVOG7KG9IX8U","GSON1112030614")</f>
        <v>#NAME?</v>
      </c>
      <c r="O269" s="8" t="e">
        <f ca="1">[1]!BexGetData("DP_1","003N8EMH8GTFRIVOG7KG9J3KE","GSON1112030614")</f>
        <v>#NAME?</v>
      </c>
      <c r="P269" s="3" t="e">
        <f ca="1">[1]!BexGetData("DP_1","003N8EMH8GTFRIVOG7KG9J9VY","GSON1112030614")</f>
        <v>#NAME?</v>
      </c>
      <c r="Q269" s="4" t="e">
        <f ca="1">[1]!BexGetData("DP_1","00O2TNJGODT0G5Z4TTKYMM5MT","GSON1112030614")</f>
        <v>#NAME?</v>
      </c>
      <c r="R269" s="4" t="e">
        <f ca="1">[1]!BexGetData("DP_1","00O2TNJGODT0G5Z4TTKYMMBYD","GSON1112030614")</f>
        <v>#NAME?</v>
      </c>
      <c r="S269" s="4" t="e">
        <f ca="1">[1]!BexGetData("DP_1","00O2TNJGODT0G5Z4TTKYMMI9X","GSON1112030614")</f>
        <v>#NAME?</v>
      </c>
      <c r="T269" s="4" t="e">
        <f ca="1">[1]!BexGetData("DP_1","00O2TNJGODT0G5Z4TTKYMMOLH","GSON1112030614")</f>
        <v>#NAME?</v>
      </c>
      <c r="U269" s="4" t="e">
        <f ca="1">[1]!BexGetData("DP_1","00O2TNJGODT0G5Z4TTKYMMUX1","GSON1112030614")</f>
        <v>#NAME?</v>
      </c>
      <c r="V269" s="4" t="e">
        <f ca="1">[1]!BexGetData("DP_1","00O2TNJGODT0G5Z4TTKYMN18L","GSON1112030614")</f>
        <v>#NAME?</v>
      </c>
      <c r="W269" s="4" t="e">
        <f ca="1">[1]!BexGetData("DP_1","00O2TNJGODT0G5Z4TTKYMN7K5","GSON1112030614")</f>
        <v>#NAME?</v>
      </c>
    </row>
    <row r="270" spans="1:23" x14ac:dyDescent="0.2">
      <c r="A270" s="16" t="s">
        <v>181</v>
      </c>
      <c r="B270" s="7" t="s">
        <v>182</v>
      </c>
      <c r="C270" s="3" t="e">
        <f ca="1">[1]!BexGetData("DP_1","003N8EMH8GTFRCSWKMPXRR8GU","GSON1112030620")</f>
        <v>#NAME?</v>
      </c>
      <c r="D270" s="3" t="e">
        <f ca="1">[1]!BexGetData("DP_1","003N8EMH8GTFRCSWKMPXRRESE","GSON1112030620")</f>
        <v>#NAME?</v>
      </c>
      <c r="E270" s="3" t="e">
        <f ca="1">[1]!BexGetData("DP_1","003N8EMH8GTFRCSWKMPXRRL3Y","GSON1112030620")</f>
        <v>#NAME?</v>
      </c>
      <c r="F270" s="3" t="e">
        <f ca="1">[1]!BexGetData("DP_1","003N8EMH8GTFRCSWKMPXRRRFI","GSON1112030620")</f>
        <v>#NAME?</v>
      </c>
      <c r="G270" s="3" t="e">
        <f ca="1">[1]!BexGetData("DP_1","003N8EMH8GTFRCSWKMPXRRXR2","GSON1112030620")</f>
        <v>#NAME?</v>
      </c>
      <c r="H270" s="8" t="e">
        <f ca="1">[1]!BexGetData("DP_1","003N8EMH8GTFRCSWKMPXRS42M","GSON1112030620")</f>
        <v>#NAME?</v>
      </c>
      <c r="I270" s="3" t="e">
        <f ca="1">[1]!BexGetData("DP_1","003N8EMH8GTFRCSWKMPXRSAE6","GSON1112030620")</f>
        <v>#NAME?</v>
      </c>
      <c r="J270" s="4" t="e">
        <f ca="1">[1]!BexGetData("DP_1","003N8EMH8GTFRCSWKMPXRSGPQ","GSON1112030620")</f>
        <v>#NAME?</v>
      </c>
      <c r="K270" s="3" t="e">
        <f ca="1">[1]!BexGetData("DP_1","003N8EMH8GTFRIVNUPY288VJH","GSON1112030620")</f>
        <v>#NAME?</v>
      </c>
      <c r="L270" s="3" t="e">
        <f ca="1">[1]!BexGetData("DP_1","003N8EMH8GTFRIVNUPY2891V1","GSON1112030620")</f>
        <v>#NAME?</v>
      </c>
      <c r="M270" s="8" t="e">
        <f ca="1">[1]!BexGetData("DP_1","003N8EMH8GTFRIVOG7KG9IQXA","GSON1112030620")</f>
        <v>#NAME?</v>
      </c>
      <c r="N270" s="3" t="e">
        <f ca="1">[1]!BexGetData("DP_1","003N8EMH8GTFRIVOG7KG9IX8U","GSON1112030620")</f>
        <v>#NAME?</v>
      </c>
      <c r="O270" s="8" t="e">
        <f ca="1">[1]!BexGetData("DP_1","003N8EMH8GTFRIVOG7KG9J3KE","GSON1112030620")</f>
        <v>#NAME?</v>
      </c>
      <c r="P270" s="3" t="e">
        <f ca="1">[1]!BexGetData("DP_1","003N8EMH8GTFRIVOG7KG9J9VY","GSON1112030620")</f>
        <v>#NAME?</v>
      </c>
      <c r="Q270" s="4" t="e">
        <f ca="1">[1]!BexGetData("DP_1","00O2TNJGODT0G5Z4TTKYMM5MT","GSON1112030620")</f>
        <v>#NAME?</v>
      </c>
      <c r="R270" s="3" t="e">
        <f ca="1">[1]!BexGetData("DP_1","00O2TNJGODT0G5Z4TTKYMMBYD","GSON1112030620")</f>
        <v>#NAME?</v>
      </c>
      <c r="S270" s="3" t="e">
        <f ca="1">[1]!BexGetData("DP_1","00O2TNJGODT0G5Z4TTKYMMI9X","GSON1112030620")</f>
        <v>#NAME?</v>
      </c>
      <c r="T270" s="8" t="e">
        <f ca="1">[1]!BexGetData("DP_1","00O2TNJGODT0G5Z4TTKYMMOLH","GSON1112030620")</f>
        <v>#NAME?</v>
      </c>
      <c r="U270" s="3" t="e">
        <f ca="1">[1]!BexGetData("DP_1","00O2TNJGODT0G5Z4TTKYMMUX1","GSON1112030620")</f>
        <v>#NAME?</v>
      </c>
      <c r="V270" s="8" t="e">
        <f ca="1">[1]!BexGetData("DP_1","00O2TNJGODT0G5Z4TTKYMN18L","GSON1112030620")</f>
        <v>#NAME?</v>
      </c>
      <c r="W270" s="3" t="e">
        <f ca="1">[1]!BexGetData("DP_1","00O2TNJGODT0G5Z4TTKYMN7K5","GSON1112030620")</f>
        <v>#NAME?</v>
      </c>
    </row>
    <row r="271" spans="1:23" x14ac:dyDescent="0.2">
      <c r="A271" s="16" t="s">
        <v>183</v>
      </c>
      <c r="B271" s="7" t="s">
        <v>184</v>
      </c>
      <c r="C271" s="3" t="e">
        <f ca="1">[1]!BexGetData("DP_1","003N8EMH8GTFRCSWKMPXRR8GU","GSON1112030621")</f>
        <v>#NAME?</v>
      </c>
      <c r="D271" s="3" t="e">
        <f ca="1">[1]!BexGetData("DP_1","003N8EMH8GTFRCSWKMPXRRESE","GSON1112030621")</f>
        <v>#NAME?</v>
      </c>
      <c r="E271" s="3" t="e">
        <f ca="1">[1]!BexGetData("DP_1","003N8EMH8GTFRCSWKMPXRRL3Y","GSON1112030621")</f>
        <v>#NAME?</v>
      </c>
      <c r="F271" s="3" t="e">
        <f ca="1">[1]!BexGetData("DP_1","003N8EMH8GTFRCSWKMPXRRRFI","GSON1112030621")</f>
        <v>#NAME?</v>
      </c>
      <c r="G271" s="3" t="e">
        <f ca="1">[1]!BexGetData("DP_1","003N8EMH8GTFRCSWKMPXRRXR2","GSON1112030621")</f>
        <v>#NAME?</v>
      </c>
      <c r="H271" s="8" t="e">
        <f ca="1">[1]!BexGetData("DP_1","003N8EMH8GTFRCSWKMPXRS42M","GSON1112030621")</f>
        <v>#NAME?</v>
      </c>
      <c r="I271" s="3" t="e">
        <f ca="1">[1]!BexGetData("DP_1","003N8EMH8GTFRCSWKMPXRSAE6","GSON1112030621")</f>
        <v>#NAME?</v>
      </c>
      <c r="J271" s="4" t="e">
        <f ca="1">[1]!BexGetData("DP_1","003N8EMH8GTFRCSWKMPXRSGPQ","GSON1112030621")</f>
        <v>#NAME?</v>
      </c>
      <c r="K271" s="8" t="e">
        <f ca="1">[1]!BexGetData("DP_1","003N8EMH8GTFRIVNUPY288VJH","GSON1112030621")</f>
        <v>#NAME?</v>
      </c>
      <c r="L271" s="8" t="e">
        <f ca="1">[1]!BexGetData("DP_1","003N8EMH8GTFRIVNUPY2891V1","GSON1112030621")</f>
        <v>#NAME?</v>
      </c>
      <c r="M271" s="8" t="e">
        <f ca="1">[1]!BexGetData("DP_1","003N8EMH8GTFRIVOG7KG9IQXA","GSON1112030621")</f>
        <v>#NAME?</v>
      </c>
      <c r="N271" s="8" t="e">
        <f ca="1">[1]!BexGetData("DP_1","003N8EMH8GTFRIVOG7KG9IX8U","GSON1112030621")</f>
        <v>#NAME?</v>
      </c>
      <c r="O271" s="8" t="e">
        <f ca="1">[1]!BexGetData("DP_1","003N8EMH8GTFRIVOG7KG9J3KE","GSON1112030621")</f>
        <v>#NAME?</v>
      </c>
      <c r="P271" s="8" t="e">
        <f ca="1">[1]!BexGetData("DP_1","003N8EMH8GTFRIVOG7KG9J9VY","GSON1112030621")</f>
        <v>#NAME?</v>
      </c>
      <c r="Q271" s="4" t="e">
        <f ca="1">[1]!BexGetData("DP_1","00O2TNJGODT0G5Z4TTKYMM5MT","GSON1112030621")</f>
        <v>#NAME?</v>
      </c>
      <c r="R271" s="3" t="e">
        <f ca="1">[1]!BexGetData("DP_1","00O2TNJGODT0G5Z4TTKYMMBYD","GSON1112030621")</f>
        <v>#NAME?</v>
      </c>
      <c r="S271" s="3" t="e">
        <f ca="1">[1]!BexGetData("DP_1","00O2TNJGODT0G5Z4TTKYMMI9X","GSON1112030621")</f>
        <v>#NAME?</v>
      </c>
      <c r="T271" s="8" t="e">
        <f ca="1">[1]!BexGetData("DP_1","00O2TNJGODT0G5Z4TTKYMMOLH","GSON1112030621")</f>
        <v>#NAME?</v>
      </c>
      <c r="U271" s="3" t="e">
        <f ca="1">[1]!BexGetData("DP_1","00O2TNJGODT0G5Z4TTKYMMUX1","GSON1112030621")</f>
        <v>#NAME?</v>
      </c>
      <c r="V271" s="8" t="e">
        <f ca="1">[1]!BexGetData("DP_1","00O2TNJGODT0G5Z4TTKYMN18L","GSON1112030621")</f>
        <v>#NAME?</v>
      </c>
      <c r="W271" s="3" t="e">
        <f ca="1">[1]!BexGetData("DP_1","00O2TNJGODT0G5Z4TTKYMN7K5","GSON1112030621")</f>
        <v>#NAME?</v>
      </c>
    </row>
    <row r="272" spans="1:23" x14ac:dyDescent="0.2">
      <c r="A272" s="16" t="s">
        <v>1602</v>
      </c>
      <c r="B272" s="7" t="s">
        <v>1603</v>
      </c>
      <c r="C272" s="3" t="e">
        <f ca="1">[1]!BexGetData("DP_1","003N8EMH8GTFRCSWKMPXRR8GU","GSON1112030623")</f>
        <v>#NAME?</v>
      </c>
      <c r="D272" s="3" t="e">
        <f ca="1">[1]!BexGetData("DP_1","003N8EMH8GTFRCSWKMPXRRESE","GSON1112030623")</f>
        <v>#NAME?</v>
      </c>
      <c r="E272" s="8" t="e">
        <f ca="1">[1]!BexGetData("DP_1","003N8EMH8GTFRCSWKMPXRRL3Y","GSON1112030623")</f>
        <v>#NAME?</v>
      </c>
      <c r="F272" s="4" t="e">
        <f ca="1">[1]!BexGetData("DP_1","003N8EMH8GTFRCSWKMPXRRRFI","GSON1112030623")</f>
        <v>#NAME?</v>
      </c>
      <c r="G272" s="4" t="e">
        <f ca="1">[1]!BexGetData("DP_1","003N8EMH8GTFRCSWKMPXRRXR2","GSON1112030623")</f>
        <v>#NAME?</v>
      </c>
      <c r="H272" s="4" t="e">
        <f ca="1">[1]!BexGetData("DP_1","003N8EMH8GTFRCSWKMPXRS42M","GSON1112030623")</f>
        <v>#NAME?</v>
      </c>
      <c r="I272" s="4" t="e">
        <f ca="1">[1]!BexGetData("DP_1","003N8EMH8GTFRCSWKMPXRSAE6","GSON1112030623")</f>
        <v>#NAME?</v>
      </c>
      <c r="J272" s="4" t="e">
        <f ca="1">[1]!BexGetData("DP_1","003N8EMH8GTFRCSWKMPXRSGPQ","GSON1112030623")</f>
        <v>#NAME?</v>
      </c>
      <c r="K272" s="8" t="e">
        <f ca="1">[1]!BexGetData("DP_1","003N8EMH8GTFRIVNUPY288VJH","GSON1112030623")</f>
        <v>#NAME?</v>
      </c>
      <c r="L272" s="8" t="e">
        <f ca="1">[1]!BexGetData("DP_1","003N8EMH8GTFRIVNUPY2891V1","GSON1112030623")</f>
        <v>#NAME?</v>
      </c>
      <c r="M272" s="8" t="e">
        <f ca="1">[1]!BexGetData("DP_1","003N8EMH8GTFRIVOG7KG9IQXA","GSON1112030623")</f>
        <v>#NAME?</v>
      </c>
      <c r="N272" s="8" t="e">
        <f ca="1">[1]!BexGetData("DP_1","003N8EMH8GTFRIVOG7KG9IX8U","GSON1112030623")</f>
        <v>#NAME?</v>
      </c>
      <c r="O272" s="8" t="e">
        <f ca="1">[1]!BexGetData("DP_1","003N8EMH8GTFRIVOG7KG9J3KE","GSON1112030623")</f>
        <v>#NAME?</v>
      </c>
      <c r="P272" s="8" t="e">
        <f ca="1">[1]!BexGetData("DP_1","003N8EMH8GTFRIVOG7KG9J9VY","GSON1112030623")</f>
        <v>#NAME?</v>
      </c>
      <c r="Q272" s="4" t="e">
        <f ca="1">[1]!BexGetData("DP_1","00O2TNJGODT0G5Z4TTKYMM5MT","GSON1112030623")</f>
        <v>#NAME?</v>
      </c>
      <c r="R272" s="4" t="e">
        <f ca="1">[1]!BexGetData("DP_1","00O2TNJGODT0G5Z4TTKYMMBYD","GSON1112030623")</f>
        <v>#NAME?</v>
      </c>
      <c r="S272" s="4" t="e">
        <f ca="1">[1]!BexGetData("DP_1","00O2TNJGODT0G5Z4TTKYMMI9X","GSON1112030623")</f>
        <v>#NAME?</v>
      </c>
      <c r="T272" s="4" t="e">
        <f ca="1">[1]!BexGetData("DP_1","00O2TNJGODT0G5Z4TTKYMMOLH","GSON1112030623")</f>
        <v>#NAME?</v>
      </c>
      <c r="U272" s="4" t="e">
        <f ca="1">[1]!BexGetData("DP_1","00O2TNJGODT0G5Z4TTKYMMUX1","GSON1112030623")</f>
        <v>#NAME?</v>
      </c>
      <c r="V272" s="4" t="e">
        <f ca="1">[1]!BexGetData("DP_1","00O2TNJGODT0G5Z4TTKYMN18L","GSON1112030623")</f>
        <v>#NAME?</v>
      </c>
      <c r="W272" s="4" t="e">
        <f ca="1">[1]!BexGetData("DP_1","00O2TNJGODT0G5Z4TTKYMN7K5","GSON1112030623")</f>
        <v>#NAME?</v>
      </c>
    </row>
    <row r="273" spans="1:23" x14ac:dyDescent="0.2">
      <c r="A273" s="16" t="s">
        <v>2069</v>
      </c>
      <c r="B273" s="7" t="s">
        <v>2070</v>
      </c>
      <c r="C273" s="3" t="e">
        <f ca="1">[1]!BexGetData("DP_1","003N8EMH8GTFRCSWKMPXRR8GU","GSON1112030624")</f>
        <v>#NAME?</v>
      </c>
      <c r="D273" s="3" t="e">
        <f ca="1">[1]!BexGetData("DP_1","003N8EMH8GTFRCSWKMPXRRESE","GSON1112030624")</f>
        <v>#NAME?</v>
      </c>
      <c r="E273" s="8" t="e">
        <f ca="1">[1]!BexGetData("DP_1","003N8EMH8GTFRCSWKMPXRRL3Y","GSON1112030624")</f>
        <v>#NAME?</v>
      </c>
      <c r="F273" s="4" t="e">
        <f ca="1">[1]!BexGetData("DP_1","003N8EMH8GTFRCSWKMPXRRRFI","GSON1112030624")</f>
        <v>#NAME?</v>
      </c>
      <c r="G273" s="4" t="e">
        <f ca="1">[1]!BexGetData("DP_1","003N8EMH8GTFRCSWKMPXRRXR2","GSON1112030624")</f>
        <v>#NAME?</v>
      </c>
      <c r="H273" s="4" t="e">
        <f ca="1">[1]!BexGetData("DP_1","003N8EMH8GTFRCSWKMPXRS42M","GSON1112030624")</f>
        <v>#NAME?</v>
      </c>
      <c r="I273" s="4" t="e">
        <f ca="1">[1]!BexGetData("DP_1","003N8EMH8GTFRCSWKMPXRSAE6","GSON1112030624")</f>
        <v>#NAME?</v>
      </c>
      <c r="J273" s="4" t="e">
        <f ca="1">[1]!BexGetData("DP_1","003N8EMH8GTFRCSWKMPXRSGPQ","GSON1112030624")</f>
        <v>#NAME?</v>
      </c>
      <c r="K273" s="8" t="e">
        <f ca="1">[1]!BexGetData("DP_1","003N8EMH8GTFRIVNUPY288VJH","GSON1112030624")</f>
        <v>#NAME?</v>
      </c>
      <c r="L273" s="8" t="e">
        <f ca="1">[1]!BexGetData("DP_1","003N8EMH8GTFRIVNUPY2891V1","GSON1112030624")</f>
        <v>#NAME?</v>
      </c>
      <c r="M273" s="8" t="e">
        <f ca="1">[1]!BexGetData("DP_1","003N8EMH8GTFRIVOG7KG9IQXA","GSON1112030624")</f>
        <v>#NAME?</v>
      </c>
      <c r="N273" s="8" t="e">
        <f ca="1">[1]!BexGetData("DP_1","003N8EMH8GTFRIVOG7KG9IX8U","GSON1112030624")</f>
        <v>#NAME?</v>
      </c>
      <c r="O273" s="8" t="e">
        <f ca="1">[1]!BexGetData("DP_1","003N8EMH8GTFRIVOG7KG9J3KE","GSON1112030624")</f>
        <v>#NAME?</v>
      </c>
      <c r="P273" s="8" t="e">
        <f ca="1">[1]!BexGetData("DP_1","003N8EMH8GTFRIVOG7KG9J9VY","GSON1112030624")</f>
        <v>#NAME?</v>
      </c>
      <c r="Q273" s="4" t="e">
        <f ca="1">[1]!BexGetData("DP_1","00O2TNJGODT0G5Z4TTKYMM5MT","GSON1112030624")</f>
        <v>#NAME?</v>
      </c>
      <c r="R273" s="4" t="e">
        <f ca="1">[1]!BexGetData("DP_1","00O2TNJGODT0G5Z4TTKYMMBYD","GSON1112030624")</f>
        <v>#NAME?</v>
      </c>
      <c r="S273" s="4" t="e">
        <f ca="1">[1]!BexGetData("DP_1","00O2TNJGODT0G5Z4TTKYMMI9X","GSON1112030624")</f>
        <v>#NAME?</v>
      </c>
      <c r="T273" s="4" t="e">
        <f ca="1">[1]!BexGetData("DP_1","00O2TNJGODT0G5Z4TTKYMMOLH","GSON1112030624")</f>
        <v>#NAME?</v>
      </c>
      <c r="U273" s="4" t="e">
        <f ca="1">[1]!BexGetData("DP_1","00O2TNJGODT0G5Z4TTKYMMUX1","GSON1112030624")</f>
        <v>#NAME?</v>
      </c>
      <c r="V273" s="4" t="e">
        <f ca="1">[1]!BexGetData("DP_1","00O2TNJGODT0G5Z4TTKYMN18L","GSON1112030624")</f>
        <v>#NAME?</v>
      </c>
      <c r="W273" s="4" t="e">
        <f ca="1">[1]!BexGetData("DP_1","00O2TNJGODT0G5Z4TTKYMN7K5","GSON1112030624")</f>
        <v>#NAME?</v>
      </c>
    </row>
    <row r="274" spans="1:23" x14ac:dyDescent="0.2">
      <c r="A274" s="16" t="s">
        <v>185</v>
      </c>
      <c r="B274" s="7" t="s">
        <v>186</v>
      </c>
      <c r="C274" s="3" t="e">
        <f ca="1">[1]!BexGetData("DP_1","003N8EMH8GTFRCSWKMPXRR8GU","GSON1112030630")</f>
        <v>#NAME?</v>
      </c>
      <c r="D274" s="3" t="e">
        <f ca="1">[1]!BexGetData("DP_1","003N8EMH8GTFRCSWKMPXRRESE","GSON1112030630")</f>
        <v>#NAME?</v>
      </c>
      <c r="E274" s="3" t="e">
        <f ca="1">[1]!BexGetData("DP_1","003N8EMH8GTFRCSWKMPXRRL3Y","GSON1112030630")</f>
        <v>#NAME?</v>
      </c>
      <c r="F274" s="3" t="e">
        <f ca="1">[1]!BexGetData("DP_1","003N8EMH8GTFRCSWKMPXRRRFI","GSON1112030630")</f>
        <v>#NAME?</v>
      </c>
      <c r="G274" s="3" t="e">
        <f ca="1">[1]!BexGetData("DP_1","003N8EMH8GTFRCSWKMPXRRXR2","GSON1112030630")</f>
        <v>#NAME?</v>
      </c>
      <c r="H274" s="8" t="e">
        <f ca="1">[1]!BexGetData("DP_1","003N8EMH8GTFRCSWKMPXRS42M","GSON1112030630")</f>
        <v>#NAME?</v>
      </c>
      <c r="I274" s="3" t="e">
        <f ca="1">[1]!BexGetData("DP_1","003N8EMH8GTFRCSWKMPXRSAE6","GSON1112030630")</f>
        <v>#NAME?</v>
      </c>
      <c r="J274" s="4" t="e">
        <f ca="1">[1]!BexGetData("DP_1","003N8EMH8GTFRCSWKMPXRSGPQ","GSON1112030630")</f>
        <v>#NAME?</v>
      </c>
      <c r="K274" s="3" t="e">
        <f ca="1">[1]!BexGetData("DP_1","003N8EMH8GTFRIVNUPY288VJH","GSON1112030630")</f>
        <v>#NAME?</v>
      </c>
      <c r="L274" s="3" t="e">
        <f ca="1">[1]!BexGetData("DP_1","003N8EMH8GTFRIVNUPY2891V1","GSON1112030630")</f>
        <v>#NAME?</v>
      </c>
      <c r="M274" s="3" t="e">
        <f ca="1">[1]!BexGetData("DP_1","003N8EMH8GTFRIVOG7KG9IQXA","GSON1112030630")</f>
        <v>#NAME?</v>
      </c>
      <c r="N274" s="8" t="e">
        <f ca="1">[1]!BexGetData("DP_1","003N8EMH8GTFRIVOG7KG9IX8U","GSON1112030630")</f>
        <v>#NAME?</v>
      </c>
      <c r="O274" s="3" t="e">
        <f ca="1">[1]!BexGetData("DP_1","003N8EMH8GTFRIVOG7KG9J3KE","GSON1112030630")</f>
        <v>#NAME?</v>
      </c>
      <c r="P274" s="8" t="e">
        <f ca="1">[1]!BexGetData("DP_1","003N8EMH8GTFRIVOG7KG9J9VY","GSON1112030630")</f>
        <v>#NAME?</v>
      </c>
      <c r="Q274" s="4" t="e">
        <f ca="1">[1]!BexGetData("DP_1","00O2TNJGODT0G5Z4TTKYMM5MT","GSON1112030630")</f>
        <v>#NAME?</v>
      </c>
      <c r="R274" s="3" t="e">
        <f ca="1">[1]!BexGetData("DP_1","00O2TNJGODT0G5Z4TTKYMMBYD","GSON1112030630")</f>
        <v>#NAME?</v>
      </c>
      <c r="S274" s="3" t="e">
        <f ca="1">[1]!BexGetData("DP_1","00O2TNJGODT0G5Z4TTKYMMI9X","GSON1112030630")</f>
        <v>#NAME?</v>
      </c>
      <c r="T274" s="8" t="e">
        <f ca="1">[1]!BexGetData("DP_1","00O2TNJGODT0G5Z4TTKYMMOLH","GSON1112030630")</f>
        <v>#NAME?</v>
      </c>
      <c r="U274" s="3" t="e">
        <f ca="1">[1]!BexGetData("DP_1","00O2TNJGODT0G5Z4TTKYMMUX1","GSON1112030630")</f>
        <v>#NAME?</v>
      </c>
      <c r="V274" s="8" t="e">
        <f ca="1">[1]!BexGetData("DP_1","00O2TNJGODT0G5Z4TTKYMN18L","GSON1112030630")</f>
        <v>#NAME?</v>
      </c>
      <c r="W274" s="3" t="e">
        <f ca="1">[1]!BexGetData("DP_1","00O2TNJGODT0G5Z4TTKYMN7K5","GSON1112030630")</f>
        <v>#NAME?</v>
      </c>
    </row>
    <row r="275" spans="1:23" x14ac:dyDescent="0.2">
      <c r="A275" s="16" t="s">
        <v>187</v>
      </c>
      <c r="B275" s="7" t="s">
        <v>188</v>
      </c>
      <c r="C275" s="3" t="e">
        <f ca="1">[1]!BexGetData("DP_1","003N8EMH8GTFRCSWKMPXRR8GU","GSON1112030631")</f>
        <v>#NAME?</v>
      </c>
      <c r="D275" s="3" t="e">
        <f ca="1">[1]!BexGetData("DP_1","003N8EMH8GTFRCSWKMPXRRESE","GSON1112030631")</f>
        <v>#NAME?</v>
      </c>
      <c r="E275" s="3" t="e">
        <f ca="1">[1]!BexGetData("DP_1","003N8EMH8GTFRCSWKMPXRRL3Y","GSON1112030631")</f>
        <v>#NAME?</v>
      </c>
      <c r="F275" s="3" t="e">
        <f ca="1">[1]!BexGetData("DP_1","003N8EMH8GTFRCSWKMPXRRRFI","GSON1112030631")</f>
        <v>#NAME?</v>
      </c>
      <c r="G275" s="3" t="e">
        <f ca="1">[1]!BexGetData("DP_1","003N8EMH8GTFRCSWKMPXRRXR2","GSON1112030631")</f>
        <v>#NAME?</v>
      </c>
      <c r="H275" s="8" t="e">
        <f ca="1">[1]!BexGetData("DP_1","003N8EMH8GTFRCSWKMPXRS42M","GSON1112030631")</f>
        <v>#NAME?</v>
      </c>
      <c r="I275" s="3" t="e">
        <f ca="1">[1]!BexGetData("DP_1","003N8EMH8GTFRCSWKMPXRSAE6","GSON1112030631")</f>
        <v>#NAME?</v>
      </c>
      <c r="J275" s="4" t="e">
        <f ca="1">[1]!BexGetData("DP_1","003N8EMH8GTFRCSWKMPXRSGPQ","GSON1112030631")</f>
        <v>#NAME?</v>
      </c>
      <c r="K275" s="3" t="e">
        <f ca="1">[1]!BexGetData("DP_1","003N8EMH8GTFRIVNUPY288VJH","GSON1112030631")</f>
        <v>#NAME?</v>
      </c>
      <c r="L275" s="3" t="e">
        <f ca="1">[1]!BexGetData("DP_1","003N8EMH8GTFRIVNUPY2891V1","GSON1112030631")</f>
        <v>#NAME?</v>
      </c>
      <c r="M275" s="8" t="e">
        <f ca="1">[1]!BexGetData("DP_1","003N8EMH8GTFRIVOG7KG9IQXA","GSON1112030631")</f>
        <v>#NAME?</v>
      </c>
      <c r="N275" s="3" t="e">
        <f ca="1">[1]!BexGetData("DP_1","003N8EMH8GTFRIVOG7KG9IX8U","GSON1112030631")</f>
        <v>#NAME?</v>
      </c>
      <c r="O275" s="8" t="e">
        <f ca="1">[1]!BexGetData("DP_1","003N8EMH8GTFRIVOG7KG9J3KE","GSON1112030631")</f>
        <v>#NAME?</v>
      </c>
      <c r="P275" s="3" t="e">
        <f ca="1">[1]!BexGetData("DP_1","003N8EMH8GTFRIVOG7KG9J9VY","GSON1112030631")</f>
        <v>#NAME?</v>
      </c>
      <c r="Q275" s="4" t="e">
        <f ca="1">[1]!BexGetData("DP_1","00O2TNJGODT0G5Z4TTKYMM5MT","GSON1112030631")</f>
        <v>#NAME?</v>
      </c>
      <c r="R275" s="3" t="e">
        <f ca="1">[1]!BexGetData("DP_1","00O2TNJGODT0G5Z4TTKYMMBYD","GSON1112030631")</f>
        <v>#NAME?</v>
      </c>
      <c r="S275" s="3" t="e">
        <f ca="1">[1]!BexGetData("DP_1","00O2TNJGODT0G5Z4TTKYMMI9X","GSON1112030631")</f>
        <v>#NAME?</v>
      </c>
      <c r="T275" s="8" t="e">
        <f ca="1">[1]!BexGetData("DP_1","00O2TNJGODT0G5Z4TTKYMMOLH","GSON1112030631")</f>
        <v>#NAME?</v>
      </c>
      <c r="U275" s="3" t="e">
        <f ca="1">[1]!BexGetData("DP_1","00O2TNJGODT0G5Z4TTKYMMUX1","GSON1112030631")</f>
        <v>#NAME?</v>
      </c>
      <c r="V275" s="8" t="e">
        <f ca="1">[1]!BexGetData("DP_1","00O2TNJGODT0G5Z4TTKYMN18L","GSON1112030631")</f>
        <v>#NAME?</v>
      </c>
      <c r="W275" s="3" t="e">
        <f ca="1">[1]!BexGetData("DP_1","00O2TNJGODT0G5Z4TTKYMN7K5","GSON1112030631")</f>
        <v>#NAME?</v>
      </c>
    </row>
    <row r="276" spans="1:23" x14ac:dyDescent="0.2">
      <c r="A276" s="16" t="s">
        <v>2071</v>
      </c>
      <c r="B276" s="7" t="s">
        <v>2072</v>
      </c>
      <c r="C276" s="3" t="e">
        <f ca="1">[1]!BexGetData("DP_1","003N8EMH8GTFRCSWKMPXRR8GU","GSON1112030632")</f>
        <v>#NAME?</v>
      </c>
      <c r="D276" s="8" t="e">
        <f ca="1">[1]!BexGetData("DP_1","003N8EMH8GTFRCSWKMPXRRESE","GSON1112030632")</f>
        <v>#NAME?</v>
      </c>
      <c r="E276" s="3" t="e">
        <f ca="1">[1]!BexGetData("DP_1","003N8EMH8GTFRCSWKMPXRRL3Y","GSON1112030632")</f>
        <v>#NAME?</v>
      </c>
      <c r="F276" s="4" t="e">
        <f ca="1">[1]!BexGetData("DP_1","003N8EMH8GTFRCSWKMPXRRRFI","GSON1112030632")</f>
        <v>#NAME?</v>
      </c>
      <c r="G276" s="4" t="e">
        <f ca="1">[1]!BexGetData("DP_1","003N8EMH8GTFRCSWKMPXRRXR2","GSON1112030632")</f>
        <v>#NAME?</v>
      </c>
      <c r="H276" s="4" t="e">
        <f ca="1">[1]!BexGetData("DP_1","003N8EMH8GTFRCSWKMPXRS42M","GSON1112030632")</f>
        <v>#NAME?</v>
      </c>
      <c r="I276" s="4" t="e">
        <f ca="1">[1]!BexGetData("DP_1","003N8EMH8GTFRCSWKMPXRSAE6","GSON1112030632")</f>
        <v>#NAME?</v>
      </c>
      <c r="J276" s="4" t="e">
        <f ca="1">[1]!BexGetData("DP_1","003N8EMH8GTFRCSWKMPXRSGPQ","GSON1112030632")</f>
        <v>#NAME?</v>
      </c>
      <c r="K276" s="3" t="e">
        <f ca="1">[1]!BexGetData("DP_1","003N8EMH8GTFRIVNUPY288VJH","GSON1112030632")</f>
        <v>#NAME?</v>
      </c>
      <c r="L276" s="3" t="e">
        <f ca="1">[1]!BexGetData("DP_1","003N8EMH8GTFRIVNUPY2891V1","GSON1112030632")</f>
        <v>#NAME?</v>
      </c>
      <c r="M276" s="8" t="e">
        <f ca="1">[1]!BexGetData("DP_1","003N8EMH8GTFRIVOG7KG9IQXA","GSON1112030632")</f>
        <v>#NAME?</v>
      </c>
      <c r="N276" s="3" t="e">
        <f ca="1">[1]!BexGetData("DP_1","003N8EMH8GTFRIVOG7KG9IX8U","GSON1112030632")</f>
        <v>#NAME?</v>
      </c>
      <c r="O276" s="8" t="e">
        <f ca="1">[1]!BexGetData("DP_1","003N8EMH8GTFRIVOG7KG9J3KE","GSON1112030632")</f>
        <v>#NAME?</v>
      </c>
      <c r="P276" s="3" t="e">
        <f ca="1">[1]!BexGetData("DP_1","003N8EMH8GTFRIVOG7KG9J9VY","GSON1112030632")</f>
        <v>#NAME?</v>
      </c>
      <c r="Q276" s="4" t="e">
        <f ca="1">[1]!BexGetData("DP_1","00O2TNJGODT0G5Z4TTKYMM5MT","GSON1112030632")</f>
        <v>#NAME?</v>
      </c>
      <c r="R276" s="4" t="e">
        <f ca="1">[1]!BexGetData("DP_1","00O2TNJGODT0G5Z4TTKYMMBYD","GSON1112030632")</f>
        <v>#NAME?</v>
      </c>
      <c r="S276" s="4" t="e">
        <f ca="1">[1]!BexGetData("DP_1","00O2TNJGODT0G5Z4TTKYMMI9X","GSON1112030632")</f>
        <v>#NAME?</v>
      </c>
      <c r="T276" s="4" t="e">
        <f ca="1">[1]!BexGetData("DP_1","00O2TNJGODT0G5Z4TTKYMMOLH","GSON1112030632")</f>
        <v>#NAME?</v>
      </c>
      <c r="U276" s="4" t="e">
        <f ca="1">[1]!BexGetData("DP_1","00O2TNJGODT0G5Z4TTKYMMUX1","GSON1112030632")</f>
        <v>#NAME?</v>
      </c>
      <c r="V276" s="4" t="e">
        <f ca="1">[1]!BexGetData("DP_1","00O2TNJGODT0G5Z4TTKYMN18L","GSON1112030632")</f>
        <v>#NAME?</v>
      </c>
      <c r="W276" s="4" t="e">
        <f ca="1">[1]!BexGetData("DP_1","00O2TNJGODT0G5Z4TTKYMN7K5","GSON1112030632")</f>
        <v>#NAME?</v>
      </c>
    </row>
    <row r="277" spans="1:23" x14ac:dyDescent="0.2">
      <c r="A277" s="16" t="s">
        <v>189</v>
      </c>
      <c r="B277" s="7" t="s">
        <v>190</v>
      </c>
      <c r="C277" s="3" t="e">
        <f ca="1">[1]!BexGetData("DP_1","003N8EMH8GTFRCSWKMPXRR8GU","GSON1112030633")</f>
        <v>#NAME?</v>
      </c>
      <c r="D277" s="3" t="e">
        <f ca="1">[1]!BexGetData("DP_1","003N8EMH8GTFRCSWKMPXRRESE","GSON1112030633")</f>
        <v>#NAME?</v>
      </c>
      <c r="E277" s="3" t="e">
        <f ca="1">[1]!BexGetData("DP_1","003N8EMH8GTFRCSWKMPXRRL3Y","GSON1112030633")</f>
        <v>#NAME?</v>
      </c>
      <c r="F277" s="4" t="e">
        <f ca="1">[1]!BexGetData("DP_1","003N8EMH8GTFRCSWKMPXRRRFI","GSON1112030633")</f>
        <v>#NAME?</v>
      </c>
      <c r="G277" s="4" t="e">
        <f ca="1">[1]!BexGetData("DP_1","003N8EMH8GTFRCSWKMPXRRXR2","GSON1112030633")</f>
        <v>#NAME?</v>
      </c>
      <c r="H277" s="4" t="e">
        <f ca="1">[1]!BexGetData("DP_1","003N8EMH8GTFRCSWKMPXRS42M","GSON1112030633")</f>
        <v>#NAME?</v>
      </c>
      <c r="I277" s="4" t="e">
        <f ca="1">[1]!BexGetData("DP_1","003N8EMH8GTFRCSWKMPXRSAE6","GSON1112030633")</f>
        <v>#NAME?</v>
      </c>
      <c r="J277" s="4" t="e">
        <f ca="1">[1]!BexGetData("DP_1","003N8EMH8GTFRCSWKMPXRSGPQ","GSON1112030633")</f>
        <v>#NAME?</v>
      </c>
      <c r="K277" s="3" t="e">
        <f ca="1">[1]!BexGetData("DP_1","003N8EMH8GTFRIVNUPY288VJH","GSON1112030633")</f>
        <v>#NAME?</v>
      </c>
      <c r="L277" s="3" t="e">
        <f ca="1">[1]!BexGetData("DP_1","003N8EMH8GTFRIVNUPY2891V1","GSON1112030633")</f>
        <v>#NAME?</v>
      </c>
      <c r="M277" s="8" t="e">
        <f ca="1">[1]!BexGetData("DP_1","003N8EMH8GTFRIVOG7KG9IQXA","GSON1112030633")</f>
        <v>#NAME?</v>
      </c>
      <c r="N277" s="3" t="e">
        <f ca="1">[1]!BexGetData("DP_1","003N8EMH8GTFRIVOG7KG9IX8U","GSON1112030633")</f>
        <v>#NAME?</v>
      </c>
      <c r="O277" s="8" t="e">
        <f ca="1">[1]!BexGetData("DP_1","003N8EMH8GTFRIVOG7KG9J3KE","GSON1112030633")</f>
        <v>#NAME?</v>
      </c>
      <c r="P277" s="3" t="e">
        <f ca="1">[1]!BexGetData("DP_1","003N8EMH8GTFRIVOG7KG9J9VY","GSON1112030633")</f>
        <v>#NAME?</v>
      </c>
      <c r="Q277" s="4" t="e">
        <f ca="1">[1]!BexGetData("DP_1","00O2TNJGODT0G5Z4TTKYMM5MT","GSON1112030633")</f>
        <v>#NAME?</v>
      </c>
      <c r="R277" s="4" t="e">
        <f ca="1">[1]!BexGetData("DP_1","00O2TNJGODT0G5Z4TTKYMMBYD","GSON1112030633")</f>
        <v>#NAME?</v>
      </c>
      <c r="S277" s="4" t="e">
        <f ca="1">[1]!BexGetData("DP_1","00O2TNJGODT0G5Z4TTKYMMI9X","GSON1112030633")</f>
        <v>#NAME?</v>
      </c>
      <c r="T277" s="4" t="e">
        <f ca="1">[1]!BexGetData("DP_1","00O2TNJGODT0G5Z4TTKYMMOLH","GSON1112030633")</f>
        <v>#NAME?</v>
      </c>
      <c r="U277" s="4" t="e">
        <f ca="1">[1]!BexGetData("DP_1","00O2TNJGODT0G5Z4TTKYMMUX1","GSON1112030633")</f>
        <v>#NAME?</v>
      </c>
      <c r="V277" s="4" t="e">
        <f ca="1">[1]!BexGetData("DP_1","00O2TNJGODT0G5Z4TTKYMN18L","GSON1112030633")</f>
        <v>#NAME?</v>
      </c>
      <c r="W277" s="4" t="e">
        <f ca="1">[1]!BexGetData("DP_1","00O2TNJGODT0G5Z4TTKYMN7K5","GSON1112030633")</f>
        <v>#NAME?</v>
      </c>
    </row>
    <row r="278" spans="1:23" x14ac:dyDescent="0.2">
      <c r="A278" s="16" t="s">
        <v>2073</v>
      </c>
      <c r="B278" s="7" t="s">
        <v>191</v>
      </c>
      <c r="C278" s="3" t="e">
        <f ca="1">[1]!BexGetData("DP_1","003N8EMH8GTFRCSWKMPXRR8GU","GSON1112030634")</f>
        <v>#NAME?</v>
      </c>
      <c r="D278" s="3" t="e">
        <f ca="1">[1]!BexGetData("DP_1","003N8EMH8GTFRCSWKMPXRRESE","GSON1112030634")</f>
        <v>#NAME?</v>
      </c>
      <c r="E278" s="3" t="e">
        <f ca="1">[1]!BexGetData("DP_1","003N8EMH8GTFRCSWKMPXRRL3Y","GSON1112030634")</f>
        <v>#NAME?</v>
      </c>
      <c r="F278" s="4" t="e">
        <f ca="1">[1]!BexGetData("DP_1","003N8EMH8GTFRCSWKMPXRRRFI","GSON1112030634")</f>
        <v>#NAME?</v>
      </c>
      <c r="G278" s="4" t="e">
        <f ca="1">[1]!BexGetData("DP_1","003N8EMH8GTFRCSWKMPXRRXR2","GSON1112030634")</f>
        <v>#NAME?</v>
      </c>
      <c r="H278" s="4" t="e">
        <f ca="1">[1]!BexGetData("DP_1","003N8EMH8GTFRCSWKMPXRS42M","GSON1112030634")</f>
        <v>#NAME?</v>
      </c>
      <c r="I278" s="4" t="e">
        <f ca="1">[1]!BexGetData("DP_1","003N8EMH8GTFRCSWKMPXRSAE6","GSON1112030634")</f>
        <v>#NAME?</v>
      </c>
      <c r="J278" s="4" t="e">
        <f ca="1">[1]!BexGetData("DP_1","003N8EMH8GTFRCSWKMPXRSGPQ","GSON1112030634")</f>
        <v>#NAME?</v>
      </c>
      <c r="K278" s="3" t="e">
        <f ca="1">[1]!BexGetData("DP_1","003N8EMH8GTFRIVNUPY288VJH","GSON1112030634")</f>
        <v>#NAME?</v>
      </c>
      <c r="L278" s="3" t="e">
        <f ca="1">[1]!BexGetData("DP_1","003N8EMH8GTFRIVNUPY2891V1","GSON1112030634")</f>
        <v>#NAME?</v>
      </c>
      <c r="M278" s="8" t="e">
        <f ca="1">[1]!BexGetData("DP_1","003N8EMH8GTFRIVOG7KG9IQXA","GSON1112030634")</f>
        <v>#NAME?</v>
      </c>
      <c r="N278" s="3" t="e">
        <f ca="1">[1]!BexGetData("DP_1","003N8EMH8GTFRIVOG7KG9IX8U","GSON1112030634")</f>
        <v>#NAME?</v>
      </c>
      <c r="O278" s="8" t="e">
        <f ca="1">[1]!BexGetData("DP_1","003N8EMH8GTFRIVOG7KG9J3KE","GSON1112030634")</f>
        <v>#NAME?</v>
      </c>
      <c r="P278" s="3" t="e">
        <f ca="1">[1]!BexGetData("DP_1","003N8EMH8GTFRIVOG7KG9J9VY","GSON1112030634")</f>
        <v>#NAME?</v>
      </c>
      <c r="Q278" s="4" t="e">
        <f ca="1">[1]!BexGetData("DP_1","00O2TNJGODT0G5Z4TTKYMM5MT","GSON1112030634")</f>
        <v>#NAME?</v>
      </c>
      <c r="R278" s="4" t="e">
        <f ca="1">[1]!BexGetData("DP_1","00O2TNJGODT0G5Z4TTKYMMBYD","GSON1112030634")</f>
        <v>#NAME?</v>
      </c>
      <c r="S278" s="4" t="e">
        <f ca="1">[1]!BexGetData("DP_1","00O2TNJGODT0G5Z4TTKYMMI9X","GSON1112030634")</f>
        <v>#NAME?</v>
      </c>
      <c r="T278" s="4" t="e">
        <f ca="1">[1]!BexGetData("DP_1","00O2TNJGODT0G5Z4TTKYMMOLH","GSON1112030634")</f>
        <v>#NAME?</v>
      </c>
      <c r="U278" s="4" t="e">
        <f ca="1">[1]!BexGetData("DP_1","00O2TNJGODT0G5Z4TTKYMMUX1","GSON1112030634")</f>
        <v>#NAME?</v>
      </c>
      <c r="V278" s="4" t="e">
        <f ca="1">[1]!BexGetData("DP_1","00O2TNJGODT0G5Z4TTKYMN18L","GSON1112030634")</f>
        <v>#NAME?</v>
      </c>
      <c r="W278" s="4" t="e">
        <f ca="1">[1]!BexGetData("DP_1","00O2TNJGODT0G5Z4TTKYMN7K5","GSON1112030634")</f>
        <v>#NAME?</v>
      </c>
    </row>
    <row r="279" spans="1:23" x14ac:dyDescent="0.2">
      <c r="A279" s="16" t="s">
        <v>2074</v>
      </c>
      <c r="B279" s="7" t="s">
        <v>2075</v>
      </c>
      <c r="C279" s="8" t="e">
        <f ca="1">[1]!BexGetData("DP_1","003N8EMH8GTFRCSWKMPXRR8GU","GSON1112030635")</f>
        <v>#NAME?</v>
      </c>
      <c r="D279" s="3" t="e">
        <f ca="1">[1]!BexGetData("DP_1","003N8EMH8GTFRCSWKMPXRRESE","GSON1112030635")</f>
        <v>#NAME?</v>
      </c>
      <c r="E279" s="3" t="e">
        <f ca="1">[1]!BexGetData("DP_1","003N8EMH8GTFRCSWKMPXRRL3Y","GSON1112030635")</f>
        <v>#NAME?</v>
      </c>
      <c r="F279" s="4" t="e">
        <f ca="1">[1]!BexGetData("DP_1","003N8EMH8GTFRCSWKMPXRRRFI","GSON1112030635")</f>
        <v>#NAME?</v>
      </c>
      <c r="G279" s="4" t="e">
        <f ca="1">[1]!BexGetData("DP_1","003N8EMH8GTFRCSWKMPXRRXR2","GSON1112030635")</f>
        <v>#NAME?</v>
      </c>
      <c r="H279" s="4" t="e">
        <f ca="1">[1]!BexGetData("DP_1","003N8EMH8GTFRCSWKMPXRS42M","GSON1112030635")</f>
        <v>#NAME?</v>
      </c>
      <c r="I279" s="4" t="e">
        <f ca="1">[1]!BexGetData("DP_1","003N8EMH8GTFRCSWKMPXRSAE6","GSON1112030635")</f>
        <v>#NAME?</v>
      </c>
      <c r="J279" s="4" t="e">
        <f ca="1">[1]!BexGetData("DP_1","003N8EMH8GTFRCSWKMPXRSGPQ","GSON1112030635")</f>
        <v>#NAME?</v>
      </c>
      <c r="K279" s="3" t="e">
        <f ca="1">[1]!BexGetData("DP_1","003N8EMH8GTFRIVNUPY288VJH","GSON1112030635")</f>
        <v>#NAME?</v>
      </c>
      <c r="L279" s="3" t="e">
        <f ca="1">[1]!BexGetData("DP_1","003N8EMH8GTFRIVNUPY2891V1","GSON1112030635")</f>
        <v>#NAME?</v>
      </c>
      <c r="M279" s="3" t="e">
        <f ca="1">[1]!BexGetData("DP_1","003N8EMH8GTFRIVOG7KG9IQXA","GSON1112030635")</f>
        <v>#NAME?</v>
      </c>
      <c r="N279" s="8" t="e">
        <f ca="1">[1]!BexGetData("DP_1","003N8EMH8GTFRIVOG7KG9IX8U","GSON1112030635")</f>
        <v>#NAME?</v>
      </c>
      <c r="O279" s="3" t="e">
        <f ca="1">[1]!BexGetData("DP_1","003N8EMH8GTFRIVOG7KG9J3KE","GSON1112030635")</f>
        <v>#NAME?</v>
      </c>
      <c r="P279" s="8" t="e">
        <f ca="1">[1]!BexGetData("DP_1","003N8EMH8GTFRIVOG7KG9J9VY","GSON1112030635")</f>
        <v>#NAME?</v>
      </c>
      <c r="Q279" s="4" t="e">
        <f ca="1">[1]!BexGetData("DP_1","00O2TNJGODT0G5Z4TTKYMM5MT","GSON1112030635")</f>
        <v>#NAME?</v>
      </c>
      <c r="R279" s="4" t="e">
        <f ca="1">[1]!BexGetData("DP_1","00O2TNJGODT0G5Z4TTKYMMBYD","GSON1112030635")</f>
        <v>#NAME?</v>
      </c>
      <c r="S279" s="4" t="e">
        <f ca="1">[1]!BexGetData("DP_1","00O2TNJGODT0G5Z4TTKYMMI9X","GSON1112030635")</f>
        <v>#NAME?</v>
      </c>
      <c r="T279" s="4" t="e">
        <f ca="1">[1]!BexGetData("DP_1","00O2TNJGODT0G5Z4TTKYMMOLH","GSON1112030635")</f>
        <v>#NAME?</v>
      </c>
      <c r="U279" s="4" t="e">
        <f ca="1">[1]!BexGetData("DP_1","00O2TNJGODT0G5Z4TTKYMMUX1","GSON1112030635")</f>
        <v>#NAME?</v>
      </c>
      <c r="V279" s="4" t="e">
        <f ca="1">[1]!BexGetData("DP_1","00O2TNJGODT0G5Z4TTKYMN18L","GSON1112030635")</f>
        <v>#NAME?</v>
      </c>
      <c r="W279" s="4" t="e">
        <f ca="1">[1]!BexGetData("DP_1","00O2TNJGODT0G5Z4TTKYMN7K5","GSON1112030635")</f>
        <v>#NAME?</v>
      </c>
    </row>
    <row r="280" spans="1:23" x14ac:dyDescent="0.2">
      <c r="A280" s="16" t="s">
        <v>192</v>
      </c>
      <c r="B280" s="7" t="s">
        <v>193</v>
      </c>
      <c r="C280" s="3" t="e">
        <f ca="1">[1]!BexGetData("DP_1","003N8EMH8GTFRCSWKMPXRR8GU","GSON1112030640")</f>
        <v>#NAME?</v>
      </c>
      <c r="D280" s="3" t="e">
        <f ca="1">[1]!BexGetData("DP_1","003N8EMH8GTFRCSWKMPXRRESE","GSON1112030640")</f>
        <v>#NAME?</v>
      </c>
      <c r="E280" s="3" t="e">
        <f ca="1">[1]!BexGetData("DP_1","003N8EMH8GTFRCSWKMPXRRL3Y","GSON1112030640")</f>
        <v>#NAME?</v>
      </c>
      <c r="F280" s="3" t="e">
        <f ca="1">[1]!BexGetData("DP_1","003N8EMH8GTFRCSWKMPXRRRFI","GSON1112030640")</f>
        <v>#NAME?</v>
      </c>
      <c r="G280" s="3" t="e">
        <f ca="1">[1]!BexGetData("DP_1","003N8EMH8GTFRCSWKMPXRRXR2","GSON1112030640")</f>
        <v>#NAME?</v>
      </c>
      <c r="H280" s="8" t="e">
        <f ca="1">[1]!BexGetData("DP_1","003N8EMH8GTFRCSWKMPXRS42M","GSON1112030640")</f>
        <v>#NAME?</v>
      </c>
      <c r="I280" s="3" t="e">
        <f ca="1">[1]!BexGetData("DP_1","003N8EMH8GTFRCSWKMPXRSAE6","GSON1112030640")</f>
        <v>#NAME?</v>
      </c>
      <c r="J280" s="4" t="e">
        <f ca="1">[1]!BexGetData("DP_1","003N8EMH8GTFRCSWKMPXRSGPQ","GSON1112030640")</f>
        <v>#NAME?</v>
      </c>
      <c r="K280" s="3" t="e">
        <f ca="1">[1]!BexGetData("DP_1","003N8EMH8GTFRIVNUPY288VJH","GSON1112030640")</f>
        <v>#NAME?</v>
      </c>
      <c r="L280" s="3" t="e">
        <f ca="1">[1]!BexGetData("DP_1","003N8EMH8GTFRIVNUPY2891V1","GSON1112030640")</f>
        <v>#NAME?</v>
      </c>
      <c r="M280" s="3" t="e">
        <f ca="1">[1]!BexGetData("DP_1","003N8EMH8GTFRIVOG7KG9IQXA","GSON1112030640")</f>
        <v>#NAME?</v>
      </c>
      <c r="N280" s="8" t="e">
        <f ca="1">[1]!BexGetData("DP_1","003N8EMH8GTFRIVOG7KG9IX8U","GSON1112030640")</f>
        <v>#NAME?</v>
      </c>
      <c r="O280" s="3" t="e">
        <f ca="1">[1]!BexGetData("DP_1","003N8EMH8GTFRIVOG7KG9J3KE","GSON1112030640")</f>
        <v>#NAME?</v>
      </c>
      <c r="P280" s="8" t="e">
        <f ca="1">[1]!BexGetData("DP_1","003N8EMH8GTFRIVOG7KG9J9VY","GSON1112030640")</f>
        <v>#NAME?</v>
      </c>
      <c r="Q280" s="4" t="e">
        <f ca="1">[1]!BexGetData("DP_1","00O2TNJGODT0G5Z4TTKYMM5MT","GSON1112030640")</f>
        <v>#NAME?</v>
      </c>
      <c r="R280" s="3" t="e">
        <f ca="1">[1]!BexGetData("DP_1","00O2TNJGODT0G5Z4TTKYMMBYD","GSON1112030640")</f>
        <v>#NAME?</v>
      </c>
      <c r="S280" s="3" t="e">
        <f ca="1">[1]!BexGetData("DP_1","00O2TNJGODT0G5Z4TTKYMMI9X","GSON1112030640")</f>
        <v>#NAME?</v>
      </c>
      <c r="T280" s="8" t="e">
        <f ca="1">[1]!BexGetData("DP_1","00O2TNJGODT0G5Z4TTKYMMOLH","GSON1112030640")</f>
        <v>#NAME?</v>
      </c>
      <c r="U280" s="3" t="e">
        <f ca="1">[1]!BexGetData("DP_1","00O2TNJGODT0G5Z4TTKYMMUX1","GSON1112030640")</f>
        <v>#NAME?</v>
      </c>
      <c r="V280" s="8" t="e">
        <f ca="1">[1]!BexGetData("DP_1","00O2TNJGODT0G5Z4TTKYMN18L","GSON1112030640")</f>
        <v>#NAME?</v>
      </c>
      <c r="W280" s="3" t="e">
        <f ca="1">[1]!BexGetData("DP_1","00O2TNJGODT0G5Z4TTKYMN7K5","GSON1112030640")</f>
        <v>#NAME?</v>
      </c>
    </row>
    <row r="281" spans="1:23" x14ac:dyDescent="0.2">
      <c r="A281" s="16" t="s">
        <v>194</v>
      </c>
      <c r="B281" s="7" t="s">
        <v>195</v>
      </c>
      <c r="C281" s="3" t="e">
        <f ca="1">[1]!BexGetData("DP_1","003N8EMH8GTFRCSWKMPXRR8GU","GSON1112030641")</f>
        <v>#NAME?</v>
      </c>
      <c r="D281" s="3" t="e">
        <f ca="1">[1]!BexGetData("DP_1","003N8EMH8GTFRCSWKMPXRRESE","GSON1112030641")</f>
        <v>#NAME?</v>
      </c>
      <c r="E281" s="3" t="e">
        <f ca="1">[1]!BexGetData("DP_1","003N8EMH8GTFRCSWKMPXRRL3Y","GSON1112030641")</f>
        <v>#NAME?</v>
      </c>
      <c r="F281" s="3" t="e">
        <f ca="1">[1]!BexGetData("DP_1","003N8EMH8GTFRCSWKMPXRRRFI","GSON1112030641")</f>
        <v>#NAME?</v>
      </c>
      <c r="G281" s="3" t="e">
        <f ca="1">[1]!BexGetData("DP_1","003N8EMH8GTFRCSWKMPXRRXR2","GSON1112030641")</f>
        <v>#NAME?</v>
      </c>
      <c r="H281" s="8" t="e">
        <f ca="1">[1]!BexGetData("DP_1","003N8EMH8GTFRCSWKMPXRS42M","GSON1112030641")</f>
        <v>#NAME?</v>
      </c>
      <c r="I281" s="3" t="e">
        <f ca="1">[1]!BexGetData("DP_1","003N8EMH8GTFRCSWKMPXRSAE6","GSON1112030641")</f>
        <v>#NAME?</v>
      </c>
      <c r="J281" s="4" t="e">
        <f ca="1">[1]!BexGetData("DP_1","003N8EMH8GTFRCSWKMPXRSGPQ","GSON1112030641")</f>
        <v>#NAME?</v>
      </c>
      <c r="K281" s="3" t="e">
        <f ca="1">[1]!BexGetData("DP_1","003N8EMH8GTFRIVNUPY288VJH","GSON1112030641")</f>
        <v>#NAME?</v>
      </c>
      <c r="L281" s="3" t="e">
        <f ca="1">[1]!BexGetData("DP_1","003N8EMH8GTFRIVNUPY2891V1","GSON1112030641")</f>
        <v>#NAME?</v>
      </c>
      <c r="M281" s="3" t="e">
        <f ca="1">[1]!BexGetData("DP_1","003N8EMH8GTFRIVOG7KG9IQXA","GSON1112030641")</f>
        <v>#NAME?</v>
      </c>
      <c r="N281" s="8" t="e">
        <f ca="1">[1]!BexGetData("DP_1","003N8EMH8GTFRIVOG7KG9IX8U","GSON1112030641")</f>
        <v>#NAME?</v>
      </c>
      <c r="O281" s="3" t="e">
        <f ca="1">[1]!BexGetData("DP_1","003N8EMH8GTFRIVOG7KG9J3KE","GSON1112030641")</f>
        <v>#NAME?</v>
      </c>
      <c r="P281" s="8" t="e">
        <f ca="1">[1]!BexGetData("DP_1","003N8EMH8GTFRIVOG7KG9J9VY","GSON1112030641")</f>
        <v>#NAME?</v>
      </c>
      <c r="Q281" s="4" t="e">
        <f ca="1">[1]!BexGetData("DP_1","00O2TNJGODT0G5Z4TTKYMM5MT","GSON1112030641")</f>
        <v>#NAME?</v>
      </c>
      <c r="R281" s="3" t="e">
        <f ca="1">[1]!BexGetData("DP_1","00O2TNJGODT0G5Z4TTKYMMBYD","GSON1112030641")</f>
        <v>#NAME?</v>
      </c>
      <c r="S281" s="3" t="e">
        <f ca="1">[1]!BexGetData("DP_1","00O2TNJGODT0G5Z4TTKYMMI9X","GSON1112030641")</f>
        <v>#NAME?</v>
      </c>
      <c r="T281" s="8" t="e">
        <f ca="1">[1]!BexGetData("DP_1","00O2TNJGODT0G5Z4TTKYMMOLH","GSON1112030641")</f>
        <v>#NAME?</v>
      </c>
      <c r="U281" s="3" t="e">
        <f ca="1">[1]!BexGetData("DP_1","00O2TNJGODT0G5Z4TTKYMMUX1","GSON1112030641")</f>
        <v>#NAME?</v>
      </c>
      <c r="V281" s="8" t="e">
        <f ca="1">[1]!BexGetData("DP_1","00O2TNJGODT0G5Z4TTKYMN18L","GSON1112030641")</f>
        <v>#NAME?</v>
      </c>
      <c r="W281" s="3" t="e">
        <f ca="1">[1]!BexGetData("DP_1","00O2TNJGODT0G5Z4TTKYMN7K5","GSON1112030641")</f>
        <v>#NAME?</v>
      </c>
    </row>
    <row r="282" spans="1:23" x14ac:dyDescent="0.2">
      <c r="A282" s="16" t="s">
        <v>2076</v>
      </c>
      <c r="B282" s="7" t="s">
        <v>2077</v>
      </c>
      <c r="C282" s="3" t="e">
        <f ca="1">[1]!BexGetData("DP_1","003N8EMH8GTFRCSWKMPXRR8GU","GSON1112030642")</f>
        <v>#NAME?</v>
      </c>
      <c r="D282" s="8" t="e">
        <f ca="1">[1]!BexGetData("DP_1","003N8EMH8GTFRCSWKMPXRRESE","GSON1112030642")</f>
        <v>#NAME?</v>
      </c>
      <c r="E282" s="3" t="e">
        <f ca="1">[1]!BexGetData("DP_1","003N8EMH8GTFRCSWKMPXRRL3Y","GSON1112030642")</f>
        <v>#NAME?</v>
      </c>
      <c r="F282" s="4" t="e">
        <f ca="1">[1]!BexGetData("DP_1","003N8EMH8GTFRCSWKMPXRRRFI","GSON1112030642")</f>
        <v>#NAME?</v>
      </c>
      <c r="G282" s="4" t="e">
        <f ca="1">[1]!BexGetData("DP_1","003N8EMH8GTFRCSWKMPXRRXR2","GSON1112030642")</f>
        <v>#NAME?</v>
      </c>
      <c r="H282" s="4" t="e">
        <f ca="1">[1]!BexGetData("DP_1","003N8EMH8GTFRCSWKMPXRS42M","GSON1112030642")</f>
        <v>#NAME?</v>
      </c>
      <c r="I282" s="4" t="e">
        <f ca="1">[1]!BexGetData("DP_1","003N8EMH8GTFRCSWKMPXRSAE6","GSON1112030642")</f>
        <v>#NAME?</v>
      </c>
      <c r="J282" s="4" t="e">
        <f ca="1">[1]!BexGetData("DP_1","003N8EMH8GTFRCSWKMPXRSGPQ","GSON1112030642")</f>
        <v>#NAME?</v>
      </c>
      <c r="K282" s="3" t="e">
        <f ca="1">[1]!BexGetData("DP_1","003N8EMH8GTFRIVNUPY288VJH","GSON1112030642")</f>
        <v>#NAME?</v>
      </c>
      <c r="L282" s="3" t="e">
        <f ca="1">[1]!BexGetData("DP_1","003N8EMH8GTFRIVNUPY2891V1","GSON1112030642")</f>
        <v>#NAME?</v>
      </c>
      <c r="M282" s="8" t="e">
        <f ca="1">[1]!BexGetData("DP_1","003N8EMH8GTFRIVOG7KG9IQXA","GSON1112030642")</f>
        <v>#NAME?</v>
      </c>
      <c r="N282" s="3" t="e">
        <f ca="1">[1]!BexGetData("DP_1","003N8EMH8GTFRIVOG7KG9IX8U","GSON1112030642")</f>
        <v>#NAME?</v>
      </c>
      <c r="O282" s="8" t="e">
        <f ca="1">[1]!BexGetData("DP_1","003N8EMH8GTFRIVOG7KG9J3KE","GSON1112030642")</f>
        <v>#NAME?</v>
      </c>
      <c r="P282" s="3" t="e">
        <f ca="1">[1]!BexGetData("DP_1","003N8EMH8GTFRIVOG7KG9J9VY","GSON1112030642")</f>
        <v>#NAME?</v>
      </c>
      <c r="Q282" s="4" t="e">
        <f ca="1">[1]!BexGetData("DP_1","00O2TNJGODT0G5Z4TTKYMM5MT","GSON1112030642")</f>
        <v>#NAME?</v>
      </c>
      <c r="R282" s="4" t="e">
        <f ca="1">[1]!BexGetData("DP_1","00O2TNJGODT0G5Z4TTKYMMBYD","GSON1112030642")</f>
        <v>#NAME?</v>
      </c>
      <c r="S282" s="4" t="e">
        <f ca="1">[1]!BexGetData("DP_1","00O2TNJGODT0G5Z4TTKYMMI9X","GSON1112030642")</f>
        <v>#NAME?</v>
      </c>
      <c r="T282" s="4" t="e">
        <f ca="1">[1]!BexGetData("DP_1","00O2TNJGODT0G5Z4TTKYMMOLH","GSON1112030642")</f>
        <v>#NAME?</v>
      </c>
      <c r="U282" s="4" t="e">
        <f ca="1">[1]!BexGetData("DP_1","00O2TNJGODT0G5Z4TTKYMMUX1","GSON1112030642")</f>
        <v>#NAME?</v>
      </c>
      <c r="V282" s="4" t="e">
        <f ca="1">[1]!BexGetData("DP_1","00O2TNJGODT0G5Z4TTKYMN18L","GSON1112030642")</f>
        <v>#NAME?</v>
      </c>
      <c r="W282" s="4" t="e">
        <f ca="1">[1]!BexGetData("DP_1","00O2TNJGODT0G5Z4TTKYMN7K5","GSON1112030642")</f>
        <v>#NAME?</v>
      </c>
    </row>
    <row r="283" spans="1:23" x14ac:dyDescent="0.2">
      <c r="A283" s="16" t="s">
        <v>196</v>
      </c>
      <c r="B283" s="7" t="s">
        <v>197</v>
      </c>
      <c r="C283" s="3" t="e">
        <f ca="1">[1]!BexGetData("DP_1","003N8EMH8GTFRCSWKMPXRR8GU","GSON1112030643")</f>
        <v>#NAME?</v>
      </c>
      <c r="D283" s="3" t="e">
        <f ca="1">[1]!BexGetData("DP_1","003N8EMH8GTFRCSWKMPXRRESE","GSON1112030643")</f>
        <v>#NAME?</v>
      </c>
      <c r="E283" s="3" t="e">
        <f ca="1">[1]!BexGetData("DP_1","003N8EMH8GTFRCSWKMPXRRL3Y","GSON1112030643")</f>
        <v>#NAME?</v>
      </c>
      <c r="F283" s="4" t="e">
        <f ca="1">[1]!BexGetData("DP_1","003N8EMH8GTFRCSWKMPXRRRFI","GSON1112030643")</f>
        <v>#NAME?</v>
      </c>
      <c r="G283" s="4" t="e">
        <f ca="1">[1]!BexGetData("DP_1","003N8EMH8GTFRCSWKMPXRRXR2","GSON1112030643")</f>
        <v>#NAME?</v>
      </c>
      <c r="H283" s="4" t="e">
        <f ca="1">[1]!BexGetData("DP_1","003N8EMH8GTFRCSWKMPXRS42M","GSON1112030643")</f>
        <v>#NAME?</v>
      </c>
      <c r="I283" s="4" t="e">
        <f ca="1">[1]!BexGetData("DP_1","003N8EMH8GTFRCSWKMPXRSAE6","GSON1112030643")</f>
        <v>#NAME?</v>
      </c>
      <c r="J283" s="4" t="e">
        <f ca="1">[1]!BexGetData("DP_1","003N8EMH8GTFRCSWKMPXRSGPQ","GSON1112030643")</f>
        <v>#NAME?</v>
      </c>
      <c r="K283" s="3" t="e">
        <f ca="1">[1]!BexGetData("DP_1","003N8EMH8GTFRIVNUPY288VJH","GSON1112030643")</f>
        <v>#NAME?</v>
      </c>
      <c r="L283" s="3" t="e">
        <f ca="1">[1]!BexGetData("DP_1","003N8EMH8GTFRIVNUPY2891V1","GSON1112030643")</f>
        <v>#NAME?</v>
      </c>
      <c r="M283" s="3" t="e">
        <f ca="1">[1]!BexGetData("DP_1","003N8EMH8GTFRIVOG7KG9IQXA","GSON1112030643")</f>
        <v>#NAME?</v>
      </c>
      <c r="N283" s="8" t="e">
        <f ca="1">[1]!BexGetData("DP_1","003N8EMH8GTFRIVOG7KG9IX8U","GSON1112030643")</f>
        <v>#NAME?</v>
      </c>
      <c r="O283" s="3" t="e">
        <f ca="1">[1]!BexGetData("DP_1","003N8EMH8GTFRIVOG7KG9J3KE","GSON1112030643")</f>
        <v>#NAME?</v>
      </c>
      <c r="P283" s="8" t="e">
        <f ca="1">[1]!BexGetData("DP_1","003N8EMH8GTFRIVOG7KG9J9VY","GSON1112030643")</f>
        <v>#NAME?</v>
      </c>
      <c r="Q283" s="4" t="e">
        <f ca="1">[1]!BexGetData("DP_1","00O2TNJGODT0G5Z4TTKYMM5MT","GSON1112030643")</f>
        <v>#NAME?</v>
      </c>
      <c r="R283" s="4" t="e">
        <f ca="1">[1]!BexGetData("DP_1","00O2TNJGODT0G5Z4TTKYMMBYD","GSON1112030643")</f>
        <v>#NAME?</v>
      </c>
      <c r="S283" s="4" t="e">
        <f ca="1">[1]!BexGetData("DP_1","00O2TNJGODT0G5Z4TTKYMMI9X","GSON1112030643")</f>
        <v>#NAME?</v>
      </c>
      <c r="T283" s="4" t="e">
        <f ca="1">[1]!BexGetData("DP_1","00O2TNJGODT0G5Z4TTKYMMOLH","GSON1112030643")</f>
        <v>#NAME?</v>
      </c>
      <c r="U283" s="4" t="e">
        <f ca="1">[1]!BexGetData("DP_1","00O2TNJGODT0G5Z4TTKYMMUX1","GSON1112030643")</f>
        <v>#NAME?</v>
      </c>
      <c r="V283" s="4" t="e">
        <f ca="1">[1]!BexGetData("DP_1","00O2TNJGODT0G5Z4TTKYMN18L","GSON1112030643")</f>
        <v>#NAME?</v>
      </c>
      <c r="W283" s="4" t="e">
        <f ca="1">[1]!BexGetData("DP_1","00O2TNJGODT0G5Z4TTKYMN7K5","GSON1112030643")</f>
        <v>#NAME?</v>
      </c>
    </row>
    <row r="284" spans="1:23" x14ac:dyDescent="0.2">
      <c r="A284" s="16" t="s">
        <v>2078</v>
      </c>
      <c r="B284" s="7" t="s">
        <v>198</v>
      </c>
      <c r="C284" s="3" t="e">
        <f ca="1">[1]!BexGetData("DP_1","003N8EMH8GTFRCSWKMPXRR8GU","GSON1112030644")</f>
        <v>#NAME?</v>
      </c>
      <c r="D284" s="3" t="e">
        <f ca="1">[1]!BexGetData("DP_1","003N8EMH8GTFRCSWKMPXRRESE","GSON1112030644")</f>
        <v>#NAME?</v>
      </c>
      <c r="E284" s="3" t="e">
        <f ca="1">[1]!BexGetData("DP_1","003N8EMH8GTFRCSWKMPXRRL3Y","GSON1112030644")</f>
        <v>#NAME?</v>
      </c>
      <c r="F284" s="4" t="e">
        <f ca="1">[1]!BexGetData("DP_1","003N8EMH8GTFRCSWKMPXRRRFI","GSON1112030644")</f>
        <v>#NAME?</v>
      </c>
      <c r="G284" s="4" t="e">
        <f ca="1">[1]!BexGetData("DP_1","003N8EMH8GTFRCSWKMPXRRXR2","GSON1112030644")</f>
        <v>#NAME?</v>
      </c>
      <c r="H284" s="4" t="e">
        <f ca="1">[1]!BexGetData("DP_1","003N8EMH8GTFRCSWKMPXRS42M","GSON1112030644")</f>
        <v>#NAME?</v>
      </c>
      <c r="I284" s="4" t="e">
        <f ca="1">[1]!BexGetData("DP_1","003N8EMH8GTFRCSWKMPXRSAE6","GSON1112030644")</f>
        <v>#NAME?</v>
      </c>
      <c r="J284" s="4" t="e">
        <f ca="1">[1]!BexGetData("DP_1","003N8EMH8GTFRCSWKMPXRSGPQ","GSON1112030644")</f>
        <v>#NAME?</v>
      </c>
      <c r="K284" s="3" t="e">
        <f ca="1">[1]!BexGetData("DP_1","003N8EMH8GTFRIVNUPY288VJH","GSON1112030644")</f>
        <v>#NAME?</v>
      </c>
      <c r="L284" s="3" t="e">
        <f ca="1">[1]!BexGetData("DP_1","003N8EMH8GTFRIVNUPY2891V1","GSON1112030644")</f>
        <v>#NAME?</v>
      </c>
      <c r="M284" s="8" t="e">
        <f ca="1">[1]!BexGetData("DP_1","003N8EMH8GTFRIVOG7KG9IQXA","GSON1112030644")</f>
        <v>#NAME?</v>
      </c>
      <c r="N284" s="3" t="e">
        <f ca="1">[1]!BexGetData("DP_1","003N8EMH8GTFRIVOG7KG9IX8U","GSON1112030644")</f>
        <v>#NAME?</v>
      </c>
      <c r="O284" s="8" t="e">
        <f ca="1">[1]!BexGetData("DP_1","003N8EMH8GTFRIVOG7KG9J3KE","GSON1112030644")</f>
        <v>#NAME?</v>
      </c>
      <c r="P284" s="3" t="e">
        <f ca="1">[1]!BexGetData("DP_1","003N8EMH8GTFRIVOG7KG9J9VY","GSON1112030644")</f>
        <v>#NAME?</v>
      </c>
      <c r="Q284" s="4" t="e">
        <f ca="1">[1]!BexGetData("DP_1","00O2TNJGODT0G5Z4TTKYMM5MT","GSON1112030644")</f>
        <v>#NAME?</v>
      </c>
      <c r="R284" s="4" t="e">
        <f ca="1">[1]!BexGetData("DP_1","00O2TNJGODT0G5Z4TTKYMMBYD","GSON1112030644")</f>
        <v>#NAME?</v>
      </c>
      <c r="S284" s="4" t="e">
        <f ca="1">[1]!BexGetData("DP_1","00O2TNJGODT0G5Z4TTKYMMI9X","GSON1112030644")</f>
        <v>#NAME?</v>
      </c>
      <c r="T284" s="4" t="e">
        <f ca="1">[1]!BexGetData("DP_1","00O2TNJGODT0G5Z4TTKYMMOLH","GSON1112030644")</f>
        <v>#NAME?</v>
      </c>
      <c r="U284" s="4" t="e">
        <f ca="1">[1]!BexGetData("DP_1","00O2TNJGODT0G5Z4TTKYMMUX1","GSON1112030644")</f>
        <v>#NAME?</v>
      </c>
      <c r="V284" s="4" t="e">
        <f ca="1">[1]!BexGetData("DP_1","00O2TNJGODT0G5Z4TTKYMN18L","GSON1112030644")</f>
        <v>#NAME?</v>
      </c>
      <c r="W284" s="4" t="e">
        <f ca="1">[1]!BexGetData("DP_1","00O2TNJGODT0G5Z4TTKYMN7K5","GSON1112030644")</f>
        <v>#NAME?</v>
      </c>
    </row>
    <row r="285" spans="1:23" x14ac:dyDescent="0.2">
      <c r="A285" s="16" t="s">
        <v>199</v>
      </c>
      <c r="B285" s="7" t="s">
        <v>200</v>
      </c>
      <c r="C285" s="3" t="e">
        <f ca="1">[1]!BexGetData("DP_1","003N8EMH8GTFRCSWKMPXRR8GU","GSON1112030650")</f>
        <v>#NAME?</v>
      </c>
      <c r="D285" s="3" t="e">
        <f ca="1">[1]!BexGetData("DP_1","003N8EMH8GTFRCSWKMPXRRESE","GSON1112030650")</f>
        <v>#NAME?</v>
      </c>
      <c r="E285" s="3" t="e">
        <f ca="1">[1]!BexGetData("DP_1","003N8EMH8GTFRCSWKMPXRRL3Y","GSON1112030650")</f>
        <v>#NAME?</v>
      </c>
      <c r="F285" s="3" t="e">
        <f ca="1">[1]!BexGetData("DP_1","003N8EMH8GTFRCSWKMPXRRRFI","GSON1112030650")</f>
        <v>#NAME?</v>
      </c>
      <c r="G285" s="3" t="e">
        <f ca="1">[1]!BexGetData("DP_1","003N8EMH8GTFRCSWKMPXRRXR2","GSON1112030650")</f>
        <v>#NAME?</v>
      </c>
      <c r="H285" s="8" t="e">
        <f ca="1">[1]!BexGetData("DP_1","003N8EMH8GTFRCSWKMPXRS42M","GSON1112030650")</f>
        <v>#NAME?</v>
      </c>
      <c r="I285" s="3" t="e">
        <f ca="1">[1]!BexGetData("DP_1","003N8EMH8GTFRCSWKMPXRSAE6","GSON1112030650")</f>
        <v>#NAME?</v>
      </c>
      <c r="J285" s="4" t="e">
        <f ca="1">[1]!BexGetData("DP_1","003N8EMH8GTFRCSWKMPXRSGPQ","GSON1112030650")</f>
        <v>#NAME?</v>
      </c>
      <c r="K285" s="3" t="e">
        <f ca="1">[1]!BexGetData("DP_1","003N8EMH8GTFRIVNUPY288VJH","GSON1112030650")</f>
        <v>#NAME?</v>
      </c>
      <c r="L285" s="3" t="e">
        <f ca="1">[1]!BexGetData("DP_1","003N8EMH8GTFRIVNUPY2891V1","GSON1112030650")</f>
        <v>#NAME?</v>
      </c>
      <c r="M285" s="3" t="e">
        <f ca="1">[1]!BexGetData("DP_1","003N8EMH8GTFRIVOG7KG9IQXA","GSON1112030650")</f>
        <v>#NAME?</v>
      </c>
      <c r="N285" s="8" t="e">
        <f ca="1">[1]!BexGetData("DP_1","003N8EMH8GTFRIVOG7KG9IX8U","GSON1112030650")</f>
        <v>#NAME?</v>
      </c>
      <c r="O285" s="3" t="e">
        <f ca="1">[1]!BexGetData("DP_1","003N8EMH8GTFRIVOG7KG9J3KE","GSON1112030650")</f>
        <v>#NAME?</v>
      </c>
      <c r="P285" s="8" t="e">
        <f ca="1">[1]!BexGetData("DP_1","003N8EMH8GTFRIVOG7KG9J9VY","GSON1112030650")</f>
        <v>#NAME?</v>
      </c>
      <c r="Q285" s="4" t="e">
        <f ca="1">[1]!BexGetData("DP_1","00O2TNJGODT0G5Z4TTKYMM5MT","GSON1112030650")</f>
        <v>#NAME?</v>
      </c>
      <c r="R285" s="3" t="e">
        <f ca="1">[1]!BexGetData("DP_1","00O2TNJGODT0G5Z4TTKYMMBYD","GSON1112030650")</f>
        <v>#NAME?</v>
      </c>
      <c r="S285" s="3" t="e">
        <f ca="1">[1]!BexGetData("DP_1","00O2TNJGODT0G5Z4TTKYMMI9X","GSON1112030650")</f>
        <v>#NAME?</v>
      </c>
      <c r="T285" s="8" t="e">
        <f ca="1">[1]!BexGetData("DP_1","00O2TNJGODT0G5Z4TTKYMMOLH","GSON1112030650")</f>
        <v>#NAME?</v>
      </c>
      <c r="U285" s="3" t="e">
        <f ca="1">[1]!BexGetData("DP_1","00O2TNJGODT0G5Z4TTKYMMUX1","GSON1112030650")</f>
        <v>#NAME?</v>
      </c>
      <c r="V285" s="8" t="e">
        <f ca="1">[1]!BexGetData("DP_1","00O2TNJGODT0G5Z4TTKYMN18L","GSON1112030650")</f>
        <v>#NAME?</v>
      </c>
      <c r="W285" s="3" t="e">
        <f ca="1">[1]!BexGetData("DP_1","00O2TNJGODT0G5Z4TTKYMN7K5","GSON1112030650")</f>
        <v>#NAME?</v>
      </c>
    </row>
    <row r="286" spans="1:23" x14ac:dyDescent="0.2">
      <c r="A286" s="16" t="s">
        <v>201</v>
      </c>
      <c r="B286" s="7" t="s">
        <v>202</v>
      </c>
      <c r="C286" s="3" t="e">
        <f ca="1">[1]!BexGetData("DP_1","003N8EMH8GTFRCSWKMPXRR8GU","GSON1112030651")</f>
        <v>#NAME?</v>
      </c>
      <c r="D286" s="3" t="e">
        <f ca="1">[1]!BexGetData("DP_1","003N8EMH8GTFRCSWKMPXRRESE","GSON1112030651")</f>
        <v>#NAME?</v>
      </c>
      <c r="E286" s="3" t="e">
        <f ca="1">[1]!BexGetData("DP_1","003N8EMH8GTFRCSWKMPXRRL3Y","GSON1112030651")</f>
        <v>#NAME?</v>
      </c>
      <c r="F286" s="3" t="e">
        <f ca="1">[1]!BexGetData("DP_1","003N8EMH8GTFRCSWKMPXRRRFI","GSON1112030651")</f>
        <v>#NAME?</v>
      </c>
      <c r="G286" s="3" t="e">
        <f ca="1">[1]!BexGetData("DP_1","003N8EMH8GTFRCSWKMPXRRXR2","GSON1112030651")</f>
        <v>#NAME?</v>
      </c>
      <c r="H286" s="8" t="e">
        <f ca="1">[1]!BexGetData("DP_1","003N8EMH8GTFRCSWKMPXRS42M","GSON1112030651")</f>
        <v>#NAME?</v>
      </c>
      <c r="I286" s="3" t="e">
        <f ca="1">[1]!BexGetData("DP_1","003N8EMH8GTFRCSWKMPXRSAE6","GSON1112030651")</f>
        <v>#NAME?</v>
      </c>
      <c r="J286" s="4" t="e">
        <f ca="1">[1]!BexGetData("DP_1","003N8EMH8GTFRCSWKMPXRSGPQ","GSON1112030651")</f>
        <v>#NAME?</v>
      </c>
      <c r="K286" s="3" t="e">
        <f ca="1">[1]!BexGetData("DP_1","003N8EMH8GTFRIVNUPY288VJH","GSON1112030651")</f>
        <v>#NAME?</v>
      </c>
      <c r="L286" s="3" t="e">
        <f ca="1">[1]!BexGetData("DP_1","003N8EMH8GTFRIVNUPY2891V1","GSON1112030651")</f>
        <v>#NAME?</v>
      </c>
      <c r="M286" s="8" t="e">
        <f ca="1">[1]!BexGetData("DP_1","003N8EMH8GTFRIVOG7KG9IQXA","GSON1112030651")</f>
        <v>#NAME?</v>
      </c>
      <c r="N286" s="3" t="e">
        <f ca="1">[1]!BexGetData("DP_1","003N8EMH8GTFRIVOG7KG9IX8U","GSON1112030651")</f>
        <v>#NAME?</v>
      </c>
      <c r="O286" s="8" t="e">
        <f ca="1">[1]!BexGetData("DP_1","003N8EMH8GTFRIVOG7KG9J3KE","GSON1112030651")</f>
        <v>#NAME?</v>
      </c>
      <c r="P286" s="3" t="e">
        <f ca="1">[1]!BexGetData("DP_1","003N8EMH8GTFRIVOG7KG9J9VY","GSON1112030651")</f>
        <v>#NAME?</v>
      </c>
      <c r="Q286" s="4" t="e">
        <f ca="1">[1]!BexGetData("DP_1","00O2TNJGODT0G5Z4TTKYMM5MT","GSON1112030651")</f>
        <v>#NAME?</v>
      </c>
      <c r="R286" s="3" t="e">
        <f ca="1">[1]!BexGetData("DP_1","00O2TNJGODT0G5Z4TTKYMMBYD","GSON1112030651")</f>
        <v>#NAME?</v>
      </c>
      <c r="S286" s="3" t="e">
        <f ca="1">[1]!BexGetData("DP_1","00O2TNJGODT0G5Z4TTKYMMI9X","GSON1112030651")</f>
        <v>#NAME?</v>
      </c>
      <c r="T286" s="8" t="e">
        <f ca="1">[1]!BexGetData("DP_1","00O2TNJGODT0G5Z4TTKYMMOLH","GSON1112030651")</f>
        <v>#NAME?</v>
      </c>
      <c r="U286" s="3" t="e">
        <f ca="1">[1]!BexGetData("DP_1","00O2TNJGODT0G5Z4TTKYMMUX1","GSON1112030651")</f>
        <v>#NAME?</v>
      </c>
      <c r="V286" s="8" t="e">
        <f ca="1">[1]!BexGetData("DP_1","00O2TNJGODT0G5Z4TTKYMN18L","GSON1112030651")</f>
        <v>#NAME?</v>
      </c>
      <c r="W286" s="3" t="e">
        <f ca="1">[1]!BexGetData("DP_1","00O2TNJGODT0G5Z4TTKYMN7K5","GSON1112030651")</f>
        <v>#NAME?</v>
      </c>
    </row>
    <row r="287" spans="1:23" x14ac:dyDescent="0.2">
      <c r="A287" s="16" t="s">
        <v>2079</v>
      </c>
      <c r="B287" s="7" t="s">
        <v>2080</v>
      </c>
      <c r="C287" s="3" t="e">
        <f ca="1">[1]!BexGetData("DP_1","003N8EMH8GTFRCSWKMPXRR8GU","GSON1112030652")</f>
        <v>#NAME?</v>
      </c>
      <c r="D287" s="8" t="e">
        <f ca="1">[1]!BexGetData("DP_1","003N8EMH8GTFRCSWKMPXRRESE","GSON1112030652")</f>
        <v>#NAME?</v>
      </c>
      <c r="E287" s="3" t="e">
        <f ca="1">[1]!BexGetData("DP_1","003N8EMH8GTFRCSWKMPXRRL3Y","GSON1112030652")</f>
        <v>#NAME?</v>
      </c>
      <c r="F287" s="4" t="e">
        <f ca="1">[1]!BexGetData("DP_1","003N8EMH8GTFRCSWKMPXRRRFI","GSON1112030652")</f>
        <v>#NAME?</v>
      </c>
      <c r="G287" s="4" t="e">
        <f ca="1">[1]!BexGetData("DP_1","003N8EMH8GTFRCSWKMPXRRXR2","GSON1112030652")</f>
        <v>#NAME?</v>
      </c>
      <c r="H287" s="4" t="e">
        <f ca="1">[1]!BexGetData("DP_1","003N8EMH8GTFRCSWKMPXRS42M","GSON1112030652")</f>
        <v>#NAME?</v>
      </c>
      <c r="I287" s="4" t="e">
        <f ca="1">[1]!BexGetData("DP_1","003N8EMH8GTFRCSWKMPXRSAE6","GSON1112030652")</f>
        <v>#NAME?</v>
      </c>
      <c r="J287" s="4" t="e">
        <f ca="1">[1]!BexGetData("DP_1","003N8EMH8GTFRCSWKMPXRSGPQ","GSON1112030652")</f>
        <v>#NAME?</v>
      </c>
      <c r="K287" s="3" t="e">
        <f ca="1">[1]!BexGetData("DP_1","003N8EMH8GTFRIVNUPY288VJH","GSON1112030652")</f>
        <v>#NAME?</v>
      </c>
      <c r="L287" s="3" t="e">
        <f ca="1">[1]!BexGetData("DP_1","003N8EMH8GTFRIVNUPY2891V1","GSON1112030652")</f>
        <v>#NAME?</v>
      </c>
      <c r="M287" s="8" t="e">
        <f ca="1">[1]!BexGetData("DP_1","003N8EMH8GTFRIVOG7KG9IQXA","GSON1112030652")</f>
        <v>#NAME?</v>
      </c>
      <c r="N287" s="3" t="e">
        <f ca="1">[1]!BexGetData("DP_1","003N8EMH8GTFRIVOG7KG9IX8U","GSON1112030652")</f>
        <v>#NAME?</v>
      </c>
      <c r="O287" s="8" t="e">
        <f ca="1">[1]!BexGetData("DP_1","003N8EMH8GTFRIVOG7KG9J3KE","GSON1112030652")</f>
        <v>#NAME?</v>
      </c>
      <c r="P287" s="3" t="e">
        <f ca="1">[1]!BexGetData("DP_1","003N8EMH8GTFRIVOG7KG9J9VY","GSON1112030652")</f>
        <v>#NAME?</v>
      </c>
      <c r="Q287" s="4" t="e">
        <f ca="1">[1]!BexGetData("DP_1","00O2TNJGODT0G5Z4TTKYMM5MT","GSON1112030652")</f>
        <v>#NAME?</v>
      </c>
      <c r="R287" s="4" t="e">
        <f ca="1">[1]!BexGetData("DP_1","00O2TNJGODT0G5Z4TTKYMMBYD","GSON1112030652")</f>
        <v>#NAME?</v>
      </c>
      <c r="S287" s="4" t="e">
        <f ca="1">[1]!BexGetData("DP_1","00O2TNJGODT0G5Z4TTKYMMI9X","GSON1112030652")</f>
        <v>#NAME?</v>
      </c>
      <c r="T287" s="4" t="e">
        <f ca="1">[1]!BexGetData("DP_1","00O2TNJGODT0G5Z4TTKYMMOLH","GSON1112030652")</f>
        <v>#NAME?</v>
      </c>
      <c r="U287" s="4" t="e">
        <f ca="1">[1]!BexGetData("DP_1","00O2TNJGODT0G5Z4TTKYMMUX1","GSON1112030652")</f>
        <v>#NAME?</v>
      </c>
      <c r="V287" s="4" t="e">
        <f ca="1">[1]!BexGetData("DP_1","00O2TNJGODT0G5Z4TTKYMN18L","GSON1112030652")</f>
        <v>#NAME?</v>
      </c>
      <c r="W287" s="4" t="e">
        <f ca="1">[1]!BexGetData("DP_1","00O2TNJGODT0G5Z4TTKYMN7K5","GSON1112030652")</f>
        <v>#NAME?</v>
      </c>
    </row>
    <row r="288" spans="1:23" x14ac:dyDescent="0.2">
      <c r="A288" s="16" t="s">
        <v>203</v>
      </c>
      <c r="B288" s="7" t="s">
        <v>204</v>
      </c>
      <c r="C288" s="3" t="e">
        <f ca="1">[1]!BexGetData("DP_1","003N8EMH8GTFRCSWKMPXRR8GU","GSON1112030653")</f>
        <v>#NAME?</v>
      </c>
      <c r="D288" s="3" t="e">
        <f ca="1">[1]!BexGetData("DP_1","003N8EMH8GTFRCSWKMPXRRESE","GSON1112030653")</f>
        <v>#NAME?</v>
      </c>
      <c r="E288" s="3" t="e">
        <f ca="1">[1]!BexGetData("DP_1","003N8EMH8GTFRCSWKMPXRRL3Y","GSON1112030653")</f>
        <v>#NAME?</v>
      </c>
      <c r="F288" s="4" t="e">
        <f ca="1">[1]!BexGetData("DP_1","003N8EMH8GTFRCSWKMPXRRRFI","GSON1112030653")</f>
        <v>#NAME?</v>
      </c>
      <c r="G288" s="4" t="e">
        <f ca="1">[1]!BexGetData("DP_1","003N8EMH8GTFRCSWKMPXRRXR2","GSON1112030653")</f>
        <v>#NAME?</v>
      </c>
      <c r="H288" s="4" t="e">
        <f ca="1">[1]!BexGetData("DP_1","003N8EMH8GTFRCSWKMPXRS42M","GSON1112030653")</f>
        <v>#NAME?</v>
      </c>
      <c r="I288" s="4" t="e">
        <f ca="1">[1]!BexGetData("DP_1","003N8EMH8GTFRCSWKMPXRSAE6","GSON1112030653")</f>
        <v>#NAME?</v>
      </c>
      <c r="J288" s="4" t="e">
        <f ca="1">[1]!BexGetData("DP_1","003N8EMH8GTFRCSWKMPXRSGPQ","GSON1112030653")</f>
        <v>#NAME?</v>
      </c>
      <c r="K288" s="3" t="e">
        <f ca="1">[1]!BexGetData("DP_1","003N8EMH8GTFRIVNUPY288VJH","GSON1112030653")</f>
        <v>#NAME?</v>
      </c>
      <c r="L288" s="3" t="e">
        <f ca="1">[1]!BexGetData("DP_1","003N8EMH8GTFRIVNUPY2891V1","GSON1112030653")</f>
        <v>#NAME?</v>
      </c>
      <c r="M288" s="3" t="e">
        <f ca="1">[1]!BexGetData("DP_1","003N8EMH8GTFRIVOG7KG9IQXA","GSON1112030653")</f>
        <v>#NAME?</v>
      </c>
      <c r="N288" s="8" t="e">
        <f ca="1">[1]!BexGetData("DP_1","003N8EMH8GTFRIVOG7KG9IX8U","GSON1112030653")</f>
        <v>#NAME?</v>
      </c>
      <c r="O288" s="3" t="e">
        <f ca="1">[1]!BexGetData("DP_1","003N8EMH8GTFRIVOG7KG9J3KE","GSON1112030653")</f>
        <v>#NAME?</v>
      </c>
      <c r="P288" s="8" t="e">
        <f ca="1">[1]!BexGetData("DP_1","003N8EMH8GTFRIVOG7KG9J9VY","GSON1112030653")</f>
        <v>#NAME?</v>
      </c>
      <c r="Q288" s="4" t="e">
        <f ca="1">[1]!BexGetData("DP_1","00O2TNJGODT0G5Z4TTKYMM5MT","GSON1112030653")</f>
        <v>#NAME?</v>
      </c>
      <c r="R288" s="4" t="e">
        <f ca="1">[1]!BexGetData("DP_1","00O2TNJGODT0G5Z4TTKYMMBYD","GSON1112030653")</f>
        <v>#NAME?</v>
      </c>
      <c r="S288" s="4" t="e">
        <f ca="1">[1]!BexGetData("DP_1","00O2TNJGODT0G5Z4TTKYMMI9X","GSON1112030653")</f>
        <v>#NAME?</v>
      </c>
      <c r="T288" s="4" t="e">
        <f ca="1">[1]!BexGetData("DP_1","00O2TNJGODT0G5Z4TTKYMMOLH","GSON1112030653")</f>
        <v>#NAME?</v>
      </c>
      <c r="U288" s="4" t="e">
        <f ca="1">[1]!BexGetData("DP_1","00O2TNJGODT0G5Z4TTKYMMUX1","GSON1112030653")</f>
        <v>#NAME?</v>
      </c>
      <c r="V288" s="4" t="e">
        <f ca="1">[1]!BexGetData("DP_1","00O2TNJGODT0G5Z4TTKYMN18L","GSON1112030653")</f>
        <v>#NAME?</v>
      </c>
      <c r="W288" s="4" t="e">
        <f ca="1">[1]!BexGetData("DP_1","00O2TNJGODT0G5Z4TTKYMN7K5","GSON1112030653")</f>
        <v>#NAME?</v>
      </c>
    </row>
    <row r="289" spans="1:23" x14ac:dyDescent="0.2">
      <c r="A289" s="16" t="s">
        <v>2081</v>
      </c>
      <c r="B289" s="7" t="s">
        <v>205</v>
      </c>
      <c r="C289" s="3" t="e">
        <f ca="1">[1]!BexGetData("DP_1","003N8EMH8GTFRCSWKMPXRR8GU","GSON1112030654")</f>
        <v>#NAME?</v>
      </c>
      <c r="D289" s="3" t="e">
        <f ca="1">[1]!BexGetData("DP_1","003N8EMH8GTFRCSWKMPXRRESE","GSON1112030654")</f>
        <v>#NAME?</v>
      </c>
      <c r="E289" s="3" t="e">
        <f ca="1">[1]!BexGetData("DP_1","003N8EMH8GTFRCSWKMPXRRL3Y","GSON1112030654")</f>
        <v>#NAME?</v>
      </c>
      <c r="F289" s="4" t="e">
        <f ca="1">[1]!BexGetData("DP_1","003N8EMH8GTFRCSWKMPXRRRFI","GSON1112030654")</f>
        <v>#NAME?</v>
      </c>
      <c r="G289" s="4" t="e">
        <f ca="1">[1]!BexGetData("DP_1","003N8EMH8GTFRCSWKMPXRRXR2","GSON1112030654")</f>
        <v>#NAME?</v>
      </c>
      <c r="H289" s="4" t="e">
        <f ca="1">[1]!BexGetData("DP_1","003N8EMH8GTFRCSWKMPXRS42M","GSON1112030654")</f>
        <v>#NAME?</v>
      </c>
      <c r="I289" s="4" t="e">
        <f ca="1">[1]!BexGetData("DP_1","003N8EMH8GTFRCSWKMPXRSAE6","GSON1112030654")</f>
        <v>#NAME?</v>
      </c>
      <c r="J289" s="4" t="e">
        <f ca="1">[1]!BexGetData("DP_1","003N8EMH8GTFRCSWKMPXRSGPQ","GSON1112030654")</f>
        <v>#NAME?</v>
      </c>
      <c r="K289" s="3" t="e">
        <f ca="1">[1]!BexGetData("DP_1","003N8EMH8GTFRIVNUPY288VJH","GSON1112030654")</f>
        <v>#NAME?</v>
      </c>
      <c r="L289" s="3" t="e">
        <f ca="1">[1]!BexGetData("DP_1","003N8EMH8GTFRIVNUPY2891V1","GSON1112030654")</f>
        <v>#NAME?</v>
      </c>
      <c r="M289" s="8" t="e">
        <f ca="1">[1]!BexGetData("DP_1","003N8EMH8GTFRIVOG7KG9IQXA","GSON1112030654")</f>
        <v>#NAME?</v>
      </c>
      <c r="N289" s="3" t="e">
        <f ca="1">[1]!BexGetData("DP_1","003N8EMH8GTFRIVOG7KG9IX8U","GSON1112030654")</f>
        <v>#NAME?</v>
      </c>
      <c r="O289" s="8" t="e">
        <f ca="1">[1]!BexGetData("DP_1","003N8EMH8GTFRIVOG7KG9J3KE","GSON1112030654")</f>
        <v>#NAME?</v>
      </c>
      <c r="P289" s="3" t="e">
        <f ca="1">[1]!BexGetData("DP_1","003N8EMH8GTFRIVOG7KG9J9VY","GSON1112030654")</f>
        <v>#NAME?</v>
      </c>
      <c r="Q289" s="4" t="e">
        <f ca="1">[1]!BexGetData("DP_1","00O2TNJGODT0G5Z4TTKYMM5MT","GSON1112030654")</f>
        <v>#NAME?</v>
      </c>
      <c r="R289" s="4" t="e">
        <f ca="1">[1]!BexGetData("DP_1","00O2TNJGODT0G5Z4TTKYMMBYD","GSON1112030654")</f>
        <v>#NAME?</v>
      </c>
      <c r="S289" s="4" t="e">
        <f ca="1">[1]!BexGetData("DP_1","00O2TNJGODT0G5Z4TTKYMMI9X","GSON1112030654")</f>
        <v>#NAME?</v>
      </c>
      <c r="T289" s="4" t="e">
        <f ca="1">[1]!BexGetData("DP_1","00O2TNJGODT0G5Z4TTKYMMOLH","GSON1112030654")</f>
        <v>#NAME?</v>
      </c>
      <c r="U289" s="4" t="e">
        <f ca="1">[1]!BexGetData("DP_1","00O2TNJGODT0G5Z4TTKYMMUX1","GSON1112030654")</f>
        <v>#NAME?</v>
      </c>
      <c r="V289" s="4" t="e">
        <f ca="1">[1]!BexGetData("DP_1","00O2TNJGODT0G5Z4TTKYMN18L","GSON1112030654")</f>
        <v>#NAME?</v>
      </c>
      <c r="W289" s="4" t="e">
        <f ca="1">[1]!BexGetData("DP_1","00O2TNJGODT0G5Z4TTKYMN7K5","GSON1112030654")</f>
        <v>#NAME?</v>
      </c>
    </row>
    <row r="290" spans="1:23" x14ac:dyDescent="0.2">
      <c r="A290" s="16" t="s">
        <v>857</v>
      </c>
      <c r="B290" s="7" t="s">
        <v>858</v>
      </c>
      <c r="C290" s="3" t="e">
        <f ca="1">[1]!BexGetData("DP_1","003N8EMH8GTFRCSWKMPXRR8GU","GSON1112030660")</f>
        <v>#NAME?</v>
      </c>
      <c r="D290" s="3" t="e">
        <f ca="1">[1]!BexGetData("DP_1","003N8EMH8GTFRCSWKMPXRRESE","GSON1112030660")</f>
        <v>#NAME?</v>
      </c>
      <c r="E290" s="3" t="e">
        <f ca="1">[1]!BexGetData("DP_1","003N8EMH8GTFRCSWKMPXRRL3Y","GSON1112030660")</f>
        <v>#NAME?</v>
      </c>
      <c r="F290" s="3" t="e">
        <f ca="1">[1]!BexGetData("DP_1","003N8EMH8GTFRCSWKMPXRRRFI","GSON1112030660")</f>
        <v>#NAME?</v>
      </c>
      <c r="G290" s="3" t="e">
        <f ca="1">[1]!BexGetData("DP_1","003N8EMH8GTFRCSWKMPXRRXR2","GSON1112030660")</f>
        <v>#NAME?</v>
      </c>
      <c r="H290" s="8" t="e">
        <f ca="1">[1]!BexGetData("DP_1","003N8EMH8GTFRCSWKMPXRS42M","GSON1112030660")</f>
        <v>#NAME?</v>
      </c>
      <c r="I290" s="3" t="e">
        <f ca="1">[1]!BexGetData("DP_1","003N8EMH8GTFRCSWKMPXRSAE6","GSON1112030660")</f>
        <v>#NAME?</v>
      </c>
      <c r="J290" s="4" t="e">
        <f ca="1">[1]!BexGetData("DP_1","003N8EMH8GTFRCSWKMPXRSGPQ","GSON1112030660")</f>
        <v>#NAME?</v>
      </c>
      <c r="K290" s="3" t="e">
        <f ca="1">[1]!BexGetData("DP_1","003N8EMH8GTFRIVNUPY288VJH","GSON1112030660")</f>
        <v>#NAME?</v>
      </c>
      <c r="L290" s="3" t="e">
        <f ca="1">[1]!BexGetData("DP_1","003N8EMH8GTFRIVNUPY2891V1","GSON1112030660")</f>
        <v>#NAME?</v>
      </c>
      <c r="M290" s="8" t="e">
        <f ca="1">[1]!BexGetData("DP_1","003N8EMH8GTFRIVOG7KG9IQXA","GSON1112030660")</f>
        <v>#NAME?</v>
      </c>
      <c r="N290" s="3" t="e">
        <f ca="1">[1]!BexGetData("DP_1","003N8EMH8GTFRIVOG7KG9IX8U","GSON1112030660")</f>
        <v>#NAME?</v>
      </c>
      <c r="O290" s="8" t="e">
        <f ca="1">[1]!BexGetData("DP_1","003N8EMH8GTFRIVOG7KG9J3KE","GSON1112030660")</f>
        <v>#NAME?</v>
      </c>
      <c r="P290" s="3" t="e">
        <f ca="1">[1]!BexGetData("DP_1","003N8EMH8GTFRIVOG7KG9J9VY","GSON1112030660")</f>
        <v>#NAME?</v>
      </c>
      <c r="Q290" s="4" t="e">
        <f ca="1">[1]!BexGetData("DP_1","00O2TNJGODT0G5Z4TTKYMM5MT","GSON1112030660")</f>
        <v>#NAME?</v>
      </c>
      <c r="R290" s="3" t="e">
        <f ca="1">[1]!BexGetData("DP_1","00O2TNJGODT0G5Z4TTKYMMBYD","GSON1112030660")</f>
        <v>#NAME?</v>
      </c>
      <c r="S290" s="3" t="e">
        <f ca="1">[1]!BexGetData("DP_1","00O2TNJGODT0G5Z4TTKYMMI9X","GSON1112030660")</f>
        <v>#NAME?</v>
      </c>
      <c r="T290" s="8" t="e">
        <f ca="1">[1]!BexGetData("DP_1","00O2TNJGODT0G5Z4TTKYMMOLH","GSON1112030660")</f>
        <v>#NAME?</v>
      </c>
      <c r="U290" s="3" t="e">
        <f ca="1">[1]!BexGetData("DP_1","00O2TNJGODT0G5Z4TTKYMMUX1","GSON1112030660")</f>
        <v>#NAME?</v>
      </c>
      <c r="V290" s="8" t="e">
        <f ca="1">[1]!BexGetData("DP_1","00O2TNJGODT0G5Z4TTKYMN18L","GSON1112030660")</f>
        <v>#NAME?</v>
      </c>
      <c r="W290" s="3" t="e">
        <f ca="1">[1]!BexGetData("DP_1","00O2TNJGODT0G5Z4TTKYMN7K5","GSON1112030660")</f>
        <v>#NAME?</v>
      </c>
    </row>
    <row r="291" spans="1:23" x14ac:dyDescent="0.2">
      <c r="A291" s="16" t="s">
        <v>859</v>
      </c>
      <c r="B291" s="7" t="s">
        <v>860</v>
      </c>
      <c r="C291" s="3" t="e">
        <f ca="1">[1]!BexGetData("DP_1","003N8EMH8GTFRCSWKMPXRR8GU","GSON1112030661")</f>
        <v>#NAME?</v>
      </c>
      <c r="D291" s="3" t="e">
        <f ca="1">[1]!BexGetData("DP_1","003N8EMH8GTFRCSWKMPXRRESE","GSON1112030661")</f>
        <v>#NAME?</v>
      </c>
      <c r="E291" s="3" t="e">
        <f ca="1">[1]!BexGetData("DP_1","003N8EMH8GTFRCSWKMPXRRL3Y","GSON1112030661")</f>
        <v>#NAME?</v>
      </c>
      <c r="F291" s="3" t="e">
        <f ca="1">[1]!BexGetData("DP_1","003N8EMH8GTFRCSWKMPXRRRFI","GSON1112030661")</f>
        <v>#NAME?</v>
      </c>
      <c r="G291" s="3" t="e">
        <f ca="1">[1]!BexGetData("DP_1","003N8EMH8GTFRCSWKMPXRRXR2","GSON1112030661")</f>
        <v>#NAME?</v>
      </c>
      <c r="H291" s="8" t="e">
        <f ca="1">[1]!BexGetData("DP_1","003N8EMH8GTFRCSWKMPXRS42M","GSON1112030661")</f>
        <v>#NAME?</v>
      </c>
      <c r="I291" s="3" t="e">
        <f ca="1">[1]!BexGetData("DP_1","003N8EMH8GTFRCSWKMPXRSAE6","GSON1112030661")</f>
        <v>#NAME?</v>
      </c>
      <c r="J291" s="4" t="e">
        <f ca="1">[1]!BexGetData("DP_1","003N8EMH8GTFRCSWKMPXRSGPQ","GSON1112030661")</f>
        <v>#NAME?</v>
      </c>
      <c r="K291" s="3" t="e">
        <f ca="1">[1]!BexGetData("DP_1","003N8EMH8GTFRIVNUPY288VJH","GSON1112030661")</f>
        <v>#NAME?</v>
      </c>
      <c r="L291" s="3" t="e">
        <f ca="1">[1]!BexGetData("DP_1","003N8EMH8GTFRIVNUPY2891V1","GSON1112030661")</f>
        <v>#NAME?</v>
      </c>
      <c r="M291" s="8" t="e">
        <f ca="1">[1]!BexGetData("DP_1","003N8EMH8GTFRIVOG7KG9IQXA","GSON1112030661")</f>
        <v>#NAME?</v>
      </c>
      <c r="N291" s="3" t="e">
        <f ca="1">[1]!BexGetData("DP_1","003N8EMH8GTFRIVOG7KG9IX8U","GSON1112030661")</f>
        <v>#NAME?</v>
      </c>
      <c r="O291" s="8" t="e">
        <f ca="1">[1]!BexGetData("DP_1","003N8EMH8GTFRIVOG7KG9J3KE","GSON1112030661")</f>
        <v>#NAME?</v>
      </c>
      <c r="P291" s="3" t="e">
        <f ca="1">[1]!BexGetData("DP_1","003N8EMH8GTFRIVOG7KG9J9VY","GSON1112030661")</f>
        <v>#NAME?</v>
      </c>
      <c r="Q291" s="4" t="e">
        <f ca="1">[1]!BexGetData("DP_1","00O2TNJGODT0G5Z4TTKYMM5MT","GSON1112030661")</f>
        <v>#NAME?</v>
      </c>
      <c r="R291" s="3" t="e">
        <f ca="1">[1]!BexGetData("DP_1","00O2TNJGODT0G5Z4TTKYMMBYD","GSON1112030661")</f>
        <v>#NAME?</v>
      </c>
      <c r="S291" s="3" t="e">
        <f ca="1">[1]!BexGetData("DP_1","00O2TNJGODT0G5Z4TTKYMMI9X","GSON1112030661")</f>
        <v>#NAME?</v>
      </c>
      <c r="T291" s="8" t="e">
        <f ca="1">[1]!BexGetData("DP_1","00O2TNJGODT0G5Z4TTKYMMOLH","GSON1112030661")</f>
        <v>#NAME?</v>
      </c>
      <c r="U291" s="3" t="e">
        <f ca="1">[1]!BexGetData("DP_1","00O2TNJGODT0G5Z4TTKYMMUX1","GSON1112030661")</f>
        <v>#NAME?</v>
      </c>
      <c r="V291" s="8" t="e">
        <f ca="1">[1]!BexGetData("DP_1","00O2TNJGODT0G5Z4TTKYMN18L","GSON1112030661")</f>
        <v>#NAME?</v>
      </c>
      <c r="W291" s="3" t="e">
        <f ca="1">[1]!BexGetData("DP_1","00O2TNJGODT0G5Z4TTKYMN7K5","GSON1112030661")</f>
        <v>#NAME?</v>
      </c>
    </row>
    <row r="292" spans="1:23" x14ac:dyDescent="0.2">
      <c r="A292" s="16" t="s">
        <v>2082</v>
      </c>
      <c r="B292" s="7" t="s">
        <v>2083</v>
      </c>
      <c r="C292" s="3" t="e">
        <f ca="1">[1]!BexGetData("DP_1","003N8EMH8GTFRCSWKMPXRR8GU","GSON1112030663")</f>
        <v>#NAME?</v>
      </c>
      <c r="D292" s="3" t="e">
        <f ca="1">[1]!BexGetData("DP_1","003N8EMH8GTFRCSWKMPXRRESE","GSON1112030663")</f>
        <v>#NAME?</v>
      </c>
      <c r="E292" s="8" t="e">
        <f ca="1">[1]!BexGetData("DP_1","003N8EMH8GTFRCSWKMPXRRL3Y","GSON1112030663")</f>
        <v>#NAME?</v>
      </c>
      <c r="F292" s="4" t="e">
        <f ca="1">[1]!BexGetData("DP_1","003N8EMH8GTFRCSWKMPXRRRFI","GSON1112030663")</f>
        <v>#NAME?</v>
      </c>
      <c r="G292" s="4" t="e">
        <f ca="1">[1]!BexGetData("DP_1","003N8EMH8GTFRCSWKMPXRRXR2","GSON1112030663")</f>
        <v>#NAME?</v>
      </c>
      <c r="H292" s="4" t="e">
        <f ca="1">[1]!BexGetData("DP_1","003N8EMH8GTFRCSWKMPXRS42M","GSON1112030663")</f>
        <v>#NAME?</v>
      </c>
      <c r="I292" s="4" t="e">
        <f ca="1">[1]!BexGetData("DP_1","003N8EMH8GTFRCSWKMPXRSAE6","GSON1112030663")</f>
        <v>#NAME?</v>
      </c>
      <c r="J292" s="4" t="e">
        <f ca="1">[1]!BexGetData("DP_1","003N8EMH8GTFRCSWKMPXRSGPQ","GSON1112030663")</f>
        <v>#NAME?</v>
      </c>
      <c r="K292" s="8" t="e">
        <f ca="1">[1]!BexGetData("DP_1","003N8EMH8GTFRIVNUPY288VJH","GSON1112030663")</f>
        <v>#NAME?</v>
      </c>
      <c r="L292" s="8" t="e">
        <f ca="1">[1]!BexGetData("DP_1","003N8EMH8GTFRIVNUPY2891V1","GSON1112030663")</f>
        <v>#NAME?</v>
      </c>
      <c r="M292" s="8" t="e">
        <f ca="1">[1]!BexGetData("DP_1","003N8EMH8GTFRIVOG7KG9IQXA","GSON1112030663")</f>
        <v>#NAME?</v>
      </c>
      <c r="N292" s="8" t="e">
        <f ca="1">[1]!BexGetData("DP_1","003N8EMH8GTFRIVOG7KG9IX8U","GSON1112030663")</f>
        <v>#NAME?</v>
      </c>
      <c r="O292" s="8" t="e">
        <f ca="1">[1]!BexGetData("DP_1","003N8EMH8GTFRIVOG7KG9J3KE","GSON1112030663")</f>
        <v>#NAME?</v>
      </c>
      <c r="P292" s="8" t="e">
        <f ca="1">[1]!BexGetData("DP_1","003N8EMH8GTFRIVOG7KG9J9VY","GSON1112030663")</f>
        <v>#NAME?</v>
      </c>
      <c r="Q292" s="4" t="e">
        <f ca="1">[1]!BexGetData("DP_1","00O2TNJGODT0G5Z4TTKYMM5MT","GSON1112030663")</f>
        <v>#NAME?</v>
      </c>
      <c r="R292" s="4" t="e">
        <f ca="1">[1]!BexGetData("DP_1","00O2TNJGODT0G5Z4TTKYMMBYD","GSON1112030663")</f>
        <v>#NAME?</v>
      </c>
      <c r="S292" s="4" t="e">
        <f ca="1">[1]!BexGetData("DP_1","00O2TNJGODT0G5Z4TTKYMMI9X","GSON1112030663")</f>
        <v>#NAME?</v>
      </c>
      <c r="T292" s="4" t="e">
        <f ca="1">[1]!BexGetData("DP_1","00O2TNJGODT0G5Z4TTKYMMOLH","GSON1112030663")</f>
        <v>#NAME?</v>
      </c>
      <c r="U292" s="4" t="e">
        <f ca="1">[1]!BexGetData("DP_1","00O2TNJGODT0G5Z4TTKYMMUX1","GSON1112030663")</f>
        <v>#NAME?</v>
      </c>
      <c r="V292" s="4" t="e">
        <f ca="1">[1]!BexGetData("DP_1","00O2TNJGODT0G5Z4TTKYMN18L","GSON1112030663")</f>
        <v>#NAME?</v>
      </c>
      <c r="W292" s="4" t="e">
        <f ca="1">[1]!BexGetData("DP_1","00O2TNJGODT0G5Z4TTKYMN7K5","GSON1112030663")</f>
        <v>#NAME?</v>
      </c>
    </row>
    <row r="293" spans="1:23" x14ac:dyDescent="0.2">
      <c r="A293" s="16" t="s">
        <v>2084</v>
      </c>
      <c r="B293" s="7" t="s">
        <v>2085</v>
      </c>
      <c r="C293" s="3" t="e">
        <f ca="1">[1]!BexGetData("DP_1","003N8EMH8GTFRCSWKMPXRR8GU","GSON1112030664")</f>
        <v>#NAME?</v>
      </c>
      <c r="D293" s="3" t="e">
        <f ca="1">[1]!BexGetData("DP_1","003N8EMH8GTFRCSWKMPXRRESE","GSON1112030664")</f>
        <v>#NAME?</v>
      </c>
      <c r="E293" s="8" t="e">
        <f ca="1">[1]!BexGetData("DP_1","003N8EMH8GTFRCSWKMPXRRL3Y","GSON1112030664")</f>
        <v>#NAME?</v>
      </c>
      <c r="F293" s="4" t="e">
        <f ca="1">[1]!BexGetData("DP_1","003N8EMH8GTFRCSWKMPXRRRFI","GSON1112030664")</f>
        <v>#NAME?</v>
      </c>
      <c r="G293" s="4" t="e">
        <f ca="1">[1]!BexGetData("DP_1","003N8EMH8GTFRCSWKMPXRRXR2","GSON1112030664")</f>
        <v>#NAME?</v>
      </c>
      <c r="H293" s="4" t="e">
        <f ca="1">[1]!BexGetData("DP_1","003N8EMH8GTFRCSWKMPXRS42M","GSON1112030664")</f>
        <v>#NAME?</v>
      </c>
      <c r="I293" s="4" t="e">
        <f ca="1">[1]!BexGetData("DP_1","003N8EMH8GTFRCSWKMPXRSAE6","GSON1112030664")</f>
        <v>#NAME?</v>
      </c>
      <c r="J293" s="4" t="e">
        <f ca="1">[1]!BexGetData("DP_1","003N8EMH8GTFRCSWKMPXRSGPQ","GSON1112030664")</f>
        <v>#NAME?</v>
      </c>
      <c r="K293" s="8" t="e">
        <f ca="1">[1]!BexGetData("DP_1","003N8EMH8GTFRIVNUPY288VJH","GSON1112030664")</f>
        <v>#NAME?</v>
      </c>
      <c r="L293" s="8" t="e">
        <f ca="1">[1]!BexGetData("DP_1","003N8EMH8GTFRIVNUPY2891V1","GSON1112030664")</f>
        <v>#NAME?</v>
      </c>
      <c r="M293" s="8" t="e">
        <f ca="1">[1]!BexGetData("DP_1","003N8EMH8GTFRIVOG7KG9IQXA","GSON1112030664")</f>
        <v>#NAME?</v>
      </c>
      <c r="N293" s="8" t="e">
        <f ca="1">[1]!BexGetData("DP_1","003N8EMH8GTFRIVOG7KG9IX8U","GSON1112030664")</f>
        <v>#NAME?</v>
      </c>
      <c r="O293" s="8" t="e">
        <f ca="1">[1]!BexGetData("DP_1","003N8EMH8GTFRIVOG7KG9J3KE","GSON1112030664")</f>
        <v>#NAME?</v>
      </c>
      <c r="P293" s="8" t="e">
        <f ca="1">[1]!BexGetData("DP_1","003N8EMH8GTFRIVOG7KG9J9VY","GSON1112030664")</f>
        <v>#NAME?</v>
      </c>
      <c r="Q293" s="4" t="e">
        <f ca="1">[1]!BexGetData("DP_1","00O2TNJGODT0G5Z4TTKYMM5MT","GSON1112030664")</f>
        <v>#NAME?</v>
      </c>
      <c r="R293" s="4" t="e">
        <f ca="1">[1]!BexGetData("DP_1","00O2TNJGODT0G5Z4TTKYMMBYD","GSON1112030664")</f>
        <v>#NAME?</v>
      </c>
      <c r="S293" s="4" t="e">
        <f ca="1">[1]!BexGetData("DP_1","00O2TNJGODT0G5Z4TTKYMMI9X","GSON1112030664")</f>
        <v>#NAME?</v>
      </c>
      <c r="T293" s="4" t="e">
        <f ca="1">[1]!BexGetData("DP_1","00O2TNJGODT0G5Z4TTKYMMOLH","GSON1112030664")</f>
        <v>#NAME?</v>
      </c>
      <c r="U293" s="4" t="e">
        <f ca="1">[1]!BexGetData("DP_1","00O2TNJGODT0G5Z4TTKYMMUX1","GSON1112030664")</f>
        <v>#NAME?</v>
      </c>
      <c r="V293" s="4" t="e">
        <f ca="1">[1]!BexGetData("DP_1","00O2TNJGODT0G5Z4TTKYMN18L","GSON1112030664")</f>
        <v>#NAME?</v>
      </c>
      <c r="W293" s="4" t="e">
        <f ca="1">[1]!BexGetData("DP_1","00O2TNJGODT0G5Z4TTKYMN7K5","GSON1112030664")</f>
        <v>#NAME?</v>
      </c>
    </row>
    <row r="294" spans="1:23" x14ac:dyDescent="0.2">
      <c r="A294" s="16" t="s">
        <v>206</v>
      </c>
      <c r="B294" s="7" t="s">
        <v>207</v>
      </c>
      <c r="C294" s="3" t="e">
        <f ca="1">[1]!BexGetData("DP_1","003N8EMH8GTFRCSWKMPXRR8GU","GSON1112030670")</f>
        <v>#NAME?</v>
      </c>
      <c r="D294" s="3" t="e">
        <f ca="1">[1]!BexGetData("DP_1","003N8EMH8GTFRCSWKMPXRRESE","GSON1112030670")</f>
        <v>#NAME?</v>
      </c>
      <c r="E294" s="3" t="e">
        <f ca="1">[1]!BexGetData("DP_1","003N8EMH8GTFRCSWKMPXRRL3Y","GSON1112030670")</f>
        <v>#NAME?</v>
      </c>
      <c r="F294" s="3" t="e">
        <f ca="1">[1]!BexGetData("DP_1","003N8EMH8GTFRCSWKMPXRRRFI","GSON1112030670")</f>
        <v>#NAME?</v>
      </c>
      <c r="G294" s="3" t="e">
        <f ca="1">[1]!BexGetData("DP_1","003N8EMH8GTFRCSWKMPXRRXR2","GSON1112030670")</f>
        <v>#NAME?</v>
      </c>
      <c r="H294" s="8" t="e">
        <f ca="1">[1]!BexGetData("DP_1","003N8EMH8GTFRCSWKMPXRS42M","GSON1112030670")</f>
        <v>#NAME?</v>
      </c>
      <c r="I294" s="3" t="e">
        <f ca="1">[1]!BexGetData("DP_1","003N8EMH8GTFRCSWKMPXRSAE6","GSON1112030670")</f>
        <v>#NAME?</v>
      </c>
      <c r="J294" s="4" t="e">
        <f ca="1">[1]!BexGetData("DP_1","003N8EMH8GTFRCSWKMPXRSGPQ","GSON1112030670")</f>
        <v>#NAME?</v>
      </c>
      <c r="K294" s="3" t="e">
        <f ca="1">[1]!BexGetData("DP_1","003N8EMH8GTFRIVNUPY288VJH","GSON1112030670")</f>
        <v>#NAME?</v>
      </c>
      <c r="L294" s="3" t="e">
        <f ca="1">[1]!BexGetData("DP_1","003N8EMH8GTFRIVNUPY2891V1","GSON1112030670")</f>
        <v>#NAME?</v>
      </c>
      <c r="M294" s="8" t="e">
        <f ca="1">[1]!BexGetData("DP_1","003N8EMH8GTFRIVOG7KG9IQXA","GSON1112030670")</f>
        <v>#NAME?</v>
      </c>
      <c r="N294" s="3" t="e">
        <f ca="1">[1]!BexGetData("DP_1","003N8EMH8GTFRIVOG7KG9IX8U","GSON1112030670")</f>
        <v>#NAME?</v>
      </c>
      <c r="O294" s="8" t="e">
        <f ca="1">[1]!BexGetData("DP_1","003N8EMH8GTFRIVOG7KG9J3KE","GSON1112030670")</f>
        <v>#NAME?</v>
      </c>
      <c r="P294" s="3" t="e">
        <f ca="1">[1]!BexGetData("DP_1","003N8EMH8GTFRIVOG7KG9J9VY","GSON1112030670")</f>
        <v>#NAME?</v>
      </c>
      <c r="Q294" s="4" t="e">
        <f ca="1">[1]!BexGetData("DP_1","00O2TNJGODT0G5Z4TTKYMM5MT","GSON1112030670")</f>
        <v>#NAME?</v>
      </c>
      <c r="R294" s="3" t="e">
        <f ca="1">[1]!BexGetData("DP_1","00O2TNJGODT0G5Z4TTKYMMBYD","GSON1112030670")</f>
        <v>#NAME?</v>
      </c>
      <c r="S294" s="3" t="e">
        <f ca="1">[1]!BexGetData("DP_1","00O2TNJGODT0G5Z4TTKYMMI9X","GSON1112030670")</f>
        <v>#NAME?</v>
      </c>
      <c r="T294" s="8" t="e">
        <f ca="1">[1]!BexGetData("DP_1","00O2TNJGODT0G5Z4TTKYMMOLH","GSON1112030670")</f>
        <v>#NAME?</v>
      </c>
      <c r="U294" s="3" t="e">
        <f ca="1">[1]!BexGetData("DP_1","00O2TNJGODT0G5Z4TTKYMMUX1","GSON1112030670")</f>
        <v>#NAME?</v>
      </c>
      <c r="V294" s="8" t="e">
        <f ca="1">[1]!BexGetData("DP_1","00O2TNJGODT0G5Z4TTKYMN18L","GSON1112030670")</f>
        <v>#NAME?</v>
      </c>
      <c r="W294" s="3" t="e">
        <f ca="1">[1]!BexGetData("DP_1","00O2TNJGODT0G5Z4TTKYMN7K5","GSON1112030670")</f>
        <v>#NAME?</v>
      </c>
    </row>
    <row r="295" spans="1:23" x14ac:dyDescent="0.2">
      <c r="A295" s="16" t="s">
        <v>208</v>
      </c>
      <c r="B295" s="7" t="s">
        <v>209</v>
      </c>
      <c r="C295" s="3" t="e">
        <f ca="1">[1]!BexGetData("DP_1","003N8EMH8GTFRCSWKMPXRR8GU","GSON1112030671")</f>
        <v>#NAME?</v>
      </c>
      <c r="D295" s="3" t="e">
        <f ca="1">[1]!BexGetData("DP_1","003N8EMH8GTFRCSWKMPXRRESE","GSON1112030671")</f>
        <v>#NAME?</v>
      </c>
      <c r="E295" s="3" t="e">
        <f ca="1">[1]!BexGetData("DP_1","003N8EMH8GTFRCSWKMPXRRL3Y","GSON1112030671")</f>
        <v>#NAME?</v>
      </c>
      <c r="F295" s="4" t="e">
        <f ca="1">[1]!BexGetData("DP_1","003N8EMH8GTFRCSWKMPXRRRFI","GSON1112030671")</f>
        <v>#NAME?</v>
      </c>
      <c r="G295" s="4" t="e">
        <f ca="1">[1]!BexGetData("DP_1","003N8EMH8GTFRCSWKMPXRRXR2","GSON1112030671")</f>
        <v>#NAME?</v>
      </c>
      <c r="H295" s="4" t="e">
        <f ca="1">[1]!BexGetData("DP_1","003N8EMH8GTFRCSWKMPXRS42M","GSON1112030671")</f>
        <v>#NAME?</v>
      </c>
      <c r="I295" s="4" t="e">
        <f ca="1">[1]!BexGetData("DP_1","003N8EMH8GTFRCSWKMPXRSAE6","GSON1112030671")</f>
        <v>#NAME?</v>
      </c>
      <c r="J295" s="4" t="e">
        <f ca="1">[1]!BexGetData("DP_1","003N8EMH8GTFRCSWKMPXRSGPQ","GSON1112030671")</f>
        <v>#NAME?</v>
      </c>
      <c r="K295" s="3" t="e">
        <f ca="1">[1]!BexGetData("DP_1","003N8EMH8GTFRIVNUPY288VJH","GSON1112030671")</f>
        <v>#NAME?</v>
      </c>
      <c r="L295" s="3" t="e">
        <f ca="1">[1]!BexGetData("DP_1","003N8EMH8GTFRIVNUPY2891V1","GSON1112030671")</f>
        <v>#NAME?</v>
      </c>
      <c r="M295" s="8" t="e">
        <f ca="1">[1]!BexGetData("DP_1","003N8EMH8GTFRIVOG7KG9IQXA","GSON1112030671")</f>
        <v>#NAME?</v>
      </c>
      <c r="N295" s="3" t="e">
        <f ca="1">[1]!BexGetData("DP_1","003N8EMH8GTFRIVOG7KG9IX8U","GSON1112030671")</f>
        <v>#NAME?</v>
      </c>
      <c r="O295" s="8" t="e">
        <f ca="1">[1]!BexGetData("DP_1","003N8EMH8GTFRIVOG7KG9J3KE","GSON1112030671")</f>
        <v>#NAME?</v>
      </c>
      <c r="P295" s="3" t="e">
        <f ca="1">[1]!BexGetData("DP_1","003N8EMH8GTFRIVOG7KG9J9VY","GSON1112030671")</f>
        <v>#NAME?</v>
      </c>
      <c r="Q295" s="4" t="e">
        <f ca="1">[1]!BexGetData("DP_1","00O2TNJGODT0G5Z4TTKYMM5MT","GSON1112030671")</f>
        <v>#NAME?</v>
      </c>
      <c r="R295" s="4" t="e">
        <f ca="1">[1]!BexGetData("DP_1","00O2TNJGODT0G5Z4TTKYMMBYD","GSON1112030671")</f>
        <v>#NAME?</v>
      </c>
      <c r="S295" s="4" t="e">
        <f ca="1">[1]!BexGetData("DP_1","00O2TNJGODT0G5Z4TTKYMMI9X","GSON1112030671")</f>
        <v>#NAME?</v>
      </c>
      <c r="T295" s="4" t="e">
        <f ca="1">[1]!BexGetData("DP_1","00O2TNJGODT0G5Z4TTKYMMOLH","GSON1112030671")</f>
        <v>#NAME?</v>
      </c>
      <c r="U295" s="4" t="e">
        <f ca="1">[1]!BexGetData("DP_1","00O2TNJGODT0G5Z4TTKYMMUX1","GSON1112030671")</f>
        <v>#NAME?</v>
      </c>
      <c r="V295" s="4" t="e">
        <f ca="1">[1]!BexGetData("DP_1","00O2TNJGODT0G5Z4TTKYMN18L","GSON1112030671")</f>
        <v>#NAME?</v>
      </c>
      <c r="W295" s="4" t="e">
        <f ca="1">[1]!BexGetData("DP_1","00O2TNJGODT0G5Z4TTKYMN7K5","GSON1112030671")</f>
        <v>#NAME?</v>
      </c>
    </row>
    <row r="296" spans="1:23" x14ac:dyDescent="0.2">
      <c r="A296" s="16" t="s">
        <v>2086</v>
      </c>
      <c r="B296" s="7" t="s">
        <v>2087</v>
      </c>
      <c r="C296" s="3" t="e">
        <f ca="1">[1]!BexGetData("DP_1","003N8EMH8GTFRCSWKMPXRR8GU","GSON1112030672")</f>
        <v>#NAME?</v>
      </c>
      <c r="D296" s="3" t="e">
        <f ca="1">[1]!BexGetData("DP_1","003N8EMH8GTFRCSWKMPXRRESE","GSON1112030672")</f>
        <v>#NAME?</v>
      </c>
      <c r="E296" s="3" t="e">
        <f ca="1">[1]!BexGetData("DP_1","003N8EMH8GTFRCSWKMPXRRL3Y","GSON1112030672")</f>
        <v>#NAME?</v>
      </c>
      <c r="F296" s="4" t="e">
        <f ca="1">[1]!BexGetData("DP_1","003N8EMH8GTFRCSWKMPXRRRFI","GSON1112030672")</f>
        <v>#NAME?</v>
      </c>
      <c r="G296" s="4" t="e">
        <f ca="1">[1]!BexGetData("DP_1","003N8EMH8GTFRCSWKMPXRRXR2","GSON1112030672")</f>
        <v>#NAME?</v>
      </c>
      <c r="H296" s="4" t="e">
        <f ca="1">[1]!BexGetData("DP_1","003N8EMH8GTFRCSWKMPXRS42M","GSON1112030672")</f>
        <v>#NAME?</v>
      </c>
      <c r="I296" s="4" t="e">
        <f ca="1">[1]!BexGetData("DP_1","003N8EMH8GTFRCSWKMPXRSAE6","GSON1112030672")</f>
        <v>#NAME?</v>
      </c>
      <c r="J296" s="4" t="e">
        <f ca="1">[1]!BexGetData("DP_1","003N8EMH8GTFRCSWKMPXRSGPQ","GSON1112030672")</f>
        <v>#NAME?</v>
      </c>
      <c r="K296" s="3" t="e">
        <f ca="1">[1]!BexGetData("DP_1","003N8EMH8GTFRIVNUPY288VJH","GSON1112030672")</f>
        <v>#NAME?</v>
      </c>
      <c r="L296" s="3" t="e">
        <f ca="1">[1]!BexGetData("DP_1","003N8EMH8GTFRIVNUPY2891V1","GSON1112030672")</f>
        <v>#NAME?</v>
      </c>
      <c r="M296" s="8" t="e">
        <f ca="1">[1]!BexGetData("DP_1","003N8EMH8GTFRIVOG7KG9IQXA","GSON1112030672")</f>
        <v>#NAME?</v>
      </c>
      <c r="N296" s="3" t="e">
        <f ca="1">[1]!BexGetData("DP_1","003N8EMH8GTFRIVOG7KG9IX8U","GSON1112030672")</f>
        <v>#NAME?</v>
      </c>
      <c r="O296" s="8" t="e">
        <f ca="1">[1]!BexGetData("DP_1","003N8EMH8GTFRIVOG7KG9J3KE","GSON1112030672")</f>
        <v>#NAME?</v>
      </c>
      <c r="P296" s="3" t="e">
        <f ca="1">[1]!BexGetData("DP_1","003N8EMH8GTFRIVOG7KG9J9VY","GSON1112030672")</f>
        <v>#NAME?</v>
      </c>
      <c r="Q296" s="4" t="e">
        <f ca="1">[1]!BexGetData("DP_1","00O2TNJGODT0G5Z4TTKYMM5MT","GSON1112030672")</f>
        <v>#NAME?</v>
      </c>
      <c r="R296" s="4" t="e">
        <f ca="1">[1]!BexGetData("DP_1","00O2TNJGODT0G5Z4TTKYMMBYD","GSON1112030672")</f>
        <v>#NAME?</v>
      </c>
      <c r="S296" s="4" t="e">
        <f ca="1">[1]!BexGetData("DP_1","00O2TNJGODT0G5Z4TTKYMMI9X","GSON1112030672")</f>
        <v>#NAME?</v>
      </c>
      <c r="T296" s="4" t="e">
        <f ca="1">[1]!BexGetData("DP_1","00O2TNJGODT0G5Z4TTKYMMOLH","GSON1112030672")</f>
        <v>#NAME?</v>
      </c>
      <c r="U296" s="4" t="e">
        <f ca="1">[1]!BexGetData("DP_1","00O2TNJGODT0G5Z4TTKYMMUX1","GSON1112030672")</f>
        <v>#NAME?</v>
      </c>
      <c r="V296" s="4" t="e">
        <f ca="1">[1]!BexGetData("DP_1","00O2TNJGODT0G5Z4TTKYMN18L","GSON1112030672")</f>
        <v>#NAME?</v>
      </c>
      <c r="W296" s="4" t="e">
        <f ca="1">[1]!BexGetData("DP_1","00O2TNJGODT0G5Z4TTKYMN7K5","GSON1112030672")</f>
        <v>#NAME?</v>
      </c>
    </row>
    <row r="297" spans="1:23" x14ac:dyDescent="0.2">
      <c r="A297" s="16" t="s">
        <v>861</v>
      </c>
      <c r="B297" s="7" t="s">
        <v>862</v>
      </c>
      <c r="C297" s="3" t="e">
        <f ca="1">[1]!BexGetData("DP_1","003N8EMH8GTFRCSWKMPXRR8GU","GSON1112030673")</f>
        <v>#NAME?</v>
      </c>
      <c r="D297" s="3" t="e">
        <f ca="1">[1]!BexGetData("DP_1","003N8EMH8GTFRCSWKMPXRRESE","GSON1112030673")</f>
        <v>#NAME?</v>
      </c>
      <c r="E297" s="3" t="e">
        <f ca="1">[1]!BexGetData("DP_1","003N8EMH8GTFRCSWKMPXRRL3Y","GSON1112030673")</f>
        <v>#NAME?</v>
      </c>
      <c r="F297" s="4" t="e">
        <f ca="1">[1]!BexGetData("DP_1","003N8EMH8GTFRCSWKMPXRRRFI","GSON1112030673")</f>
        <v>#NAME?</v>
      </c>
      <c r="G297" s="4" t="e">
        <f ca="1">[1]!BexGetData("DP_1","003N8EMH8GTFRCSWKMPXRRXR2","GSON1112030673")</f>
        <v>#NAME?</v>
      </c>
      <c r="H297" s="4" t="e">
        <f ca="1">[1]!BexGetData("DP_1","003N8EMH8GTFRCSWKMPXRS42M","GSON1112030673")</f>
        <v>#NAME?</v>
      </c>
      <c r="I297" s="4" t="e">
        <f ca="1">[1]!BexGetData("DP_1","003N8EMH8GTFRCSWKMPXRSAE6","GSON1112030673")</f>
        <v>#NAME?</v>
      </c>
      <c r="J297" s="4" t="e">
        <f ca="1">[1]!BexGetData("DP_1","003N8EMH8GTFRCSWKMPXRSGPQ","GSON1112030673")</f>
        <v>#NAME?</v>
      </c>
      <c r="K297" s="3" t="e">
        <f ca="1">[1]!BexGetData("DP_1","003N8EMH8GTFRIVNUPY288VJH","GSON1112030673")</f>
        <v>#NAME?</v>
      </c>
      <c r="L297" s="3" t="e">
        <f ca="1">[1]!BexGetData("DP_1","003N8EMH8GTFRIVNUPY2891V1","GSON1112030673")</f>
        <v>#NAME?</v>
      </c>
      <c r="M297" s="8" t="e">
        <f ca="1">[1]!BexGetData("DP_1","003N8EMH8GTFRIVOG7KG9IQXA","GSON1112030673")</f>
        <v>#NAME?</v>
      </c>
      <c r="N297" s="3" t="e">
        <f ca="1">[1]!BexGetData("DP_1","003N8EMH8GTFRIVOG7KG9IX8U","GSON1112030673")</f>
        <v>#NAME?</v>
      </c>
      <c r="O297" s="8" t="e">
        <f ca="1">[1]!BexGetData("DP_1","003N8EMH8GTFRIVOG7KG9J3KE","GSON1112030673")</f>
        <v>#NAME?</v>
      </c>
      <c r="P297" s="3" t="e">
        <f ca="1">[1]!BexGetData("DP_1","003N8EMH8GTFRIVOG7KG9J9VY","GSON1112030673")</f>
        <v>#NAME?</v>
      </c>
      <c r="Q297" s="4" t="e">
        <f ca="1">[1]!BexGetData("DP_1","00O2TNJGODT0G5Z4TTKYMM5MT","GSON1112030673")</f>
        <v>#NAME?</v>
      </c>
      <c r="R297" s="4" t="e">
        <f ca="1">[1]!BexGetData("DP_1","00O2TNJGODT0G5Z4TTKYMMBYD","GSON1112030673")</f>
        <v>#NAME?</v>
      </c>
      <c r="S297" s="4" t="e">
        <f ca="1">[1]!BexGetData("DP_1","00O2TNJGODT0G5Z4TTKYMMI9X","GSON1112030673")</f>
        <v>#NAME?</v>
      </c>
      <c r="T297" s="4" t="e">
        <f ca="1">[1]!BexGetData("DP_1","00O2TNJGODT0G5Z4TTKYMMOLH","GSON1112030673")</f>
        <v>#NAME?</v>
      </c>
      <c r="U297" s="4" t="e">
        <f ca="1">[1]!BexGetData("DP_1","00O2TNJGODT0G5Z4TTKYMMUX1","GSON1112030673")</f>
        <v>#NAME?</v>
      </c>
      <c r="V297" s="4" t="e">
        <f ca="1">[1]!BexGetData("DP_1","00O2TNJGODT0G5Z4TTKYMN18L","GSON1112030673")</f>
        <v>#NAME?</v>
      </c>
      <c r="W297" s="4" t="e">
        <f ca="1">[1]!BexGetData("DP_1","00O2TNJGODT0G5Z4TTKYMN7K5","GSON1112030673")</f>
        <v>#NAME?</v>
      </c>
    </row>
    <row r="298" spans="1:23" x14ac:dyDescent="0.2">
      <c r="A298" s="16" t="s">
        <v>2088</v>
      </c>
      <c r="B298" s="7" t="s">
        <v>863</v>
      </c>
      <c r="C298" s="3" t="e">
        <f ca="1">[1]!BexGetData("DP_1","003N8EMH8GTFRCSWKMPXRR8GU","GSON1112030674")</f>
        <v>#NAME?</v>
      </c>
      <c r="D298" s="3" t="e">
        <f ca="1">[1]!BexGetData("DP_1","003N8EMH8GTFRCSWKMPXRRESE","GSON1112030674")</f>
        <v>#NAME?</v>
      </c>
      <c r="E298" s="8" t="e">
        <f ca="1">[1]!BexGetData("DP_1","003N8EMH8GTFRCSWKMPXRRL3Y","GSON1112030674")</f>
        <v>#NAME?</v>
      </c>
      <c r="F298" s="4" t="e">
        <f ca="1">[1]!BexGetData("DP_1","003N8EMH8GTFRCSWKMPXRRRFI","GSON1112030674")</f>
        <v>#NAME?</v>
      </c>
      <c r="G298" s="4" t="e">
        <f ca="1">[1]!BexGetData("DP_1","003N8EMH8GTFRCSWKMPXRRXR2","GSON1112030674")</f>
        <v>#NAME?</v>
      </c>
      <c r="H298" s="4" t="e">
        <f ca="1">[1]!BexGetData("DP_1","003N8EMH8GTFRCSWKMPXRS42M","GSON1112030674")</f>
        <v>#NAME?</v>
      </c>
      <c r="I298" s="4" t="e">
        <f ca="1">[1]!BexGetData("DP_1","003N8EMH8GTFRCSWKMPXRSAE6","GSON1112030674")</f>
        <v>#NAME?</v>
      </c>
      <c r="J298" s="4" t="e">
        <f ca="1">[1]!BexGetData("DP_1","003N8EMH8GTFRCSWKMPXRSGPQ","GSON1112030674")</f>
        <v>#NAME?</v>
      </c>
      <c r="K298" s="8" t="e">
        <f ca="1">[1]!BexGetData("DP_1","003N8EMH8GTFRIVNUPY288VJH","GSON1112030674")</f>
        <v>#NAME?</v>
      </c>
      <c r="L298" s="8" t="e">
        <f ca="1">[1]!BexGetData("DP_1","003N8EMH8GTFRIVNUPY2891V1","GSON1112030674")</f>
        <v>#NAME?</v>
      </c>
      <c r="M298" s="8" t="e">
        <f ca="1">[1]!BexGetData("DP_1","003N8EMH8GTFRIVOG7KG9IQXA","GSON1112030674")</f>
        <v>#NAME?</v>
      </c>
      <c r="N298" s="8" t="e">
        <f ca="1">[1]!BexGetData("DP_1","003N8EMH8GTFRIVOG7KG9IX8U","GSON1112030674")</f>
        <v>#NAME?</v>
      </c>
      <c r="O298" s="8" t="e">
        <f ca="1">[1]!BexGetData("DP_1","003N8EMH8GTFRIVOG7KG9J3KE","GSON1112030674")</f>
        <v>#NAME?</v>
      </c>
      <c r="P298" s="8" t="e">
        <f ca="1">[1]!BexGetData("DP_1","003N8EMH8GTFRIVOG7KG9J9VY","GSON1112030674")</f>
        <v>#NAME?</v>
      </c>
      <c r="Q298" s="4" t="e">
        <f ca="1">[1]!BexGetData("DP_1","00O2TNJGODT0G5Z4TTKYMM5MT","GSON1112030674")</f>
        <v>#NAME?</v>
      </c>
      <c r="R298" s="4" t="e">
        <f ca="1">[1]!BexGetData("DP_1","00O2TNJGODT0G5Z4TTKYMMBYD","GSON1112030674")</f>
        <v>#NAME?</v>
      </c>
      <c r="S298" s="4" t="e">
        <f ca="1">[1]!BexGetData("DP_1","00O2TNJGODT0G5Z4TTKYMMI9X","GSON1112030674")</f>
        <v>#NAME?</v>
      </c>
      <c r="T298" s="4" t="e">
        <f ca="1">[1]!BexGetData("DP_1","00O2TNJGODT0G5Z4TTKYMMOLH","GSON1112030674")</f>
        <v>#NAME?</v>
      </c>
      <c r="U298" s="4" t="e">
        <f ca="1">[1]!BexGetData("DP_1","00O2TNJGODT0G5Z4TTKYMMUX1","GSON1112030674")</f>
        <v>#NAME?</v>
      </c>
      <c r="V298" s="4" t="e">
        <f ca="1">[1]!BexGetData("DP_1","00O2TNJGODT0G5Z4TTKYMN18L","GSON1112030674")</f>
        <v>#NAME?</v>
      </c>
      <c r="W298" s="4" t="e">
        <f ca="1">[1]!BexGetData("DP_1","00O2TNJGODT0G5Z4TTKYMN7K5","GSON1112030674")</f>
        <v>#NAME?</v>
      </c>
    </row>
    <row r="299" spans="1:23" x14ac:dyDescent="0.2">
      <c r="A299" s="16" t="s">
        <v>864</v>
      </c>
      <c r="B299" s="7" t="s">
        <v>865</v>
      </c>
      <c r="C299" s="3" t="e">
        <f ca="1">[1]!BexGetData("DP_1","003N8EMH8GTFRCSWKMPXRR8GU","GSON1112030680")</f>
        <v>#NAME?</v>
      </c>
      <c r="D299" s="3" t="e">
        <f ca="1">[1]!BexGetData("DP_1","003N8EMH8GTFRCSWKMPXRRESE","GSON1112030680")</f>
        <v>#NAME?</v>
      </c>
      <c r="E299" s="3" t="e">
        <f ca="1">[1]!BexGetData("DP_1","003N8EMH8GTFRCSWKMPXRRL3Y","GSON1112030680")</f>
        <v>#NAME?</v>
      </c>
      <c r="F299" s="3" t="e">
        <f ca="1">[1]!BexGetData("DP_1","003N8EMH8GTFRCSWKMPXRRRFI","GSON1112030680")</f>
        <v>#NAME?</v>
      </c>
      <c r="G299" s="3" t="e">
        <f ca="1">[1]!BexGetData("DP_1","003N8EMH8GTFRCSWKMPXRRXR2","GSON1112030680")</f>
        <v>#NAME?</v>
      </c>
      <c r="H299" s="8" t="e">
        <f ca="1">[1]!BexGetData("DP_1","003N8EMH8GTFRCSWKMPXRS42M","GSON1112030680")</f>
        <v>#NAME?</v>
      </c>
      <c r="I299" s="3" t="e">
        <f ca="1">[1]!BexGetData("DP_1","003N8EMH8GTFRCSWKMPXRSAE6","GSON1112030680")</f>
        <v>#NAME?</v>
      </c>
      <c r="J299" s="4" t="e">
        <f ca="1">[1]!BexGetData("DP_1","003N8EMH8GTFRCSWKMPXRSGPQ","GSON1112030680")</f>
        <v>#NAME?</v>
      </c>
      <c r="K299" s="3" t="e">
        <f ca="1">[1]!BexGetData("DP_1","003N8EMH8GTFRIVNUPY288VJH","GSON1112030680")</f>
        <v>#NAME?</v>
      </c>
      <c r="L299" s="3" t="e">
        <f ca="1">[1]!BexGetData("DP_1","003N8EMH8GTFRIVNUPY2891V1","GSON1112030680")</f>
        <v>#NAME?</v>
      </c>
      <c r="M299" s="3" t="e">
        <f ca="1">[1]!BexGetData("DP_1","003N8EMH8GTFRIVOG7KG9IQXA","GSON1112030680")</f>
        <v>#NAME?</v>
      </c>
      <c r="N299" s="8" t="e">
        <f ca="1">[1]!BexGetData("DP_1","003N8EMH8GTFRIVOG7KG9IX8U","GSON1112030680")</f>
        <v>#NAME?</v>
      </c>
      <c r="O299" s="3" t="e">
        <f ca="1">[1]!BexGetData("DP_1","003N8EMH8GTFRIVOG7KG9J3KE","GSON1112030680")</f>
        <v>#NAME?</v>
      </c>
      <c r="P299" s="8" t="e">
        <f ca="1">[1]!BexGetData("DP_1","003N8EMH8GTFRIVOG7KG9J9VY","GSON1112030680")</f>
        <v>#NAME?</v>
      </c>
      <c r="Q299" s="4" t="e">
        <f ca="1">[1]!BexGetData("DP_1","00O2TNJGODT0G5Z4TTKYMM5MT","GSON1112030680")</f>
        <v>#NAME?</v>
      </c>
      <c r="R299" s="3" t="e">
        <f ca="1">[1]!BexGetData("DP_1","00O2TNJGODT0G5Z4TTKYMMBYD","GSON1112030680")</f>
        <v>#NAME?</v>
      </c>
      <c r="S299" s="3" t="e">
        <f ca="1">[1]!BexGetData("DP_1","00O2TNJGODT0G5Z4TTKYMMI9X","GSON1112030680")</f>
        <v>#NAME?</v>
      </c>
      <c r="T299" s="8" t="e">
        <f ca="1">[1]!BexGetData("DP_1","00O2TNJGODT0G5Z4TTKYMMOLH","GSON1112030680")</f>
        <v>#NAME?</v>
      </c>
      <c r="U299" s="3" t="e">
        <f ca="1">[1]!BexGetData("DP_1","00O2TNJGODT0G5Z4TTKYMMUX1","GSON1112030680")</f>
        <v>#NAME?</v>
      </c>
      <c r="V299" s="8" t="e">
        <f ca="1">[1]!BexGetData("DP_1","00O2TNJGODT0G5Z4TTKYMN18L","GSON1112030680")</f>
        <v>#NAME?</v>
      </c>
      <c r="W299" s="3" t="e">
        <f ca="1">[1]!BexGetData("DP_1","00O2TNJGODT0G5Z4TTKYMN7K5","GSON1112030680")</f>
        <v>#NAME?</v>
      </c>
    </row>
    <row r="300" spans="1:23" x14ac:dyDescent="0.2">
      <c r="A300" s="16" t="s">
        <v>866</v>
      </c>
      <c r="B300" s="7" t="s">
        <v>867</v>
      </c>
      <c r="C300" s="3" t="e">
        <f ca="1">[1]!BexGetData("DP_1","003N8EMH8GTFRCSWKMPXRR8GU","GSON1112030681")</f>
        <v>#NAME?</v>
      </c>
      <c r="D300" s="3" t="e">
        <f ca="1">[1]!BexGetData("DP_1","003N8EMH8GTFRCSWKMPXRRESE","GSON1112030681")</f>
        <v>#NAME?</v>
      </c>
      <c r="E300" s="3" t="e">
        <f ca="1">[1]!BexGetData("DP_1","003N8EMH8GTFRCSWKMPXRRL3Y","GSON1112030681")</f>
        <v>#NAME?</v>
      </c>
      <c r="F300" s="4" t="e">
        <f ca="1">[1]!BexGetData("DP_1","003N8EMH8GTFRCSWKMPXRRRFI","GSON1112030681")</f>
        <v>#NAME?</v>
      </c>
      <c r="G300" s="4" t="e">
        <f ca="1">[1]!BexGetData("DP_1","003N8EMH8GTFRCSWKMPXRRXR2","GSON1112030681")</f>
        <v>#NAME?</v>
      </c>
      <c r="H300" s="4" t="e">
        <f ca="1">[1]!BexGetData("DP_1","003N8EMH8GTFRCSWKMPXRS42M","GSON1112030681")</f>
        <v>#NAME?</v>
      </c>
      <c r="I300" s="4" t="e">
        <f ca="1">[1]!BexGetData("DP_1","003N8EMH8GTFRCSWKMPXRSAE6","GSON1112030681")</f>
        <v>#NAME?</v>
      </c>
      <c r="J300" s="4" t="e">
        <f ca="1">[1]!BexGetData("DP_1","003N8EMH8GTFRCSWKMPXRSGPQ","GSON1112030681")</f>
        <v>#NAME?</v>
      </c>
      <c r="K300" s="3" t="e">
        <f ca="1">[1]!BexGetData("DP_1","003N8EMH8GTFRIVNUPY288VJH","GSON1112030681")</f>
        <v>#NAME?</v>
      </c>
      <c r="L300" s="3" t="e">
        <f ca="1">[1]!BexGetData("DP_1","003N8EMH8GTFRIVNUPY2891V1","GSON1112030681")</f>
        <v>#NAME?</v>
      </c>
      <c r="M300" s="8" t="e">
        <f ca="1">[1]!BexGetData("DP_1","003N8EMH8GTFRIVOG7KG9IQXA","GSON1112030681")</f>
        <v>#NAME?</v>
      </c>
      <c r="N300" s="3" t="e">
        <f ca="1">[1]!BexGetData("DP_1","003N8EMH8GTFRIVOG7KG9IX8U","GSON1112030681")</f>
        <v>#NAME?</v>
      </c>
      <c r="O300" s="8" t="e">
        <f ca="1">[1]!BexGetData("DP_1","003N8EMH8GTFRIVOG7KG9J3KE","GSON1112030681")</f>
        <v>#NAME?</v>
      </c>
      <c r="P300" s="3" t="e">
        <f ca="1">[1]!BexGetData("DP_1","003N8EMH8GTFRIVOG7KG9J9VY","GSON1112030681")</f>
        <v>#NAME?</v>
      </c>
      <c r="Q300" s="4" t="e">
        <f ca="1">[1]!BexGetData("DP_1","00O2TNJGODT0G5Z4TTKYMM5MT","GSON1112030681")</f>
        <v>#NAME?</v>
      </c>
      <c r="R300" s="4" t="e">
        <f ca="1">[1]!BexGetData("DP_1","00O2TNJGODT0G5Z4TTKYMMBYD","GSON1112030681")</f>
        <v>#NAME?</v>
      </c>
      <c r="S300" s="4" t="e">
        <f ca="1">[1]!BexGetData("DP_1","00O2TNJGODT0G5Z4TTKYMMI9X","GSON1112030681")</f>
        <v>#NAME?</v>
      </c>
      <c r="T300" s="4" t="e">
        <f ca="1">[1]!BexGetData("DP_1","00O2TNJGODT0G5Z4TTKYMMOLH","GSON1112030681")</f>
        <v>#NAME?</v>
      </c>
      <c r="U300" s="4" t="e">
        <f ca="1">[1]!BexGetData("DP_1","00O2TNJGODT0G5Z4TTKYMMUX1","GSON1112030681")</f>
        <v>#NAME?</v>
      </c>
      <c r="V300" s="4" t="e">
        <f ca="1">[1]!BexGetData("DP_1","00O2TNJGODT0G5Z4TTKYMN18L","GSON1112030681")</f>
        <v>#NAME?</v>
      </c>
      <c r="W300" s="4" t="e">
        <f ca="1">[1]!BexGetData("DP_1","00O2TNJGODT0G5Z4TTKYMN7K5","GSON1112030681")</f>
        <v>#NAME?</v>
      </c>
    </row>
    <row r="301" spans="1:23" x14ac:dyDescent="0.2">
      <c r="A301" s="16" t="s">
        <v>2089</v>
      </c>
      <c r="B301" s="7" t="s">
        <v>2090</v>
      </c>
      <c r="C301" s="3" t="e">
        <f ca="1">[1]!BexGetData("DP_1","003N8EMH8GTFRCSWKMPXRR8GU","GSON1112030682")</f>
        <v>#NAME?</v>
      </c>
      <c r="D301" s="3" t="e">
        <f ca="1">[1]!BexGetData("DP_1","003N8EMH8GTFRCSWKMPXRRESE","GSON1112030682")</f>
        <v>#NAME?</v>
      </c>
      <c r="E301" s="8" t="e">
        <f ca="1">[1]!BexGetData("DP_1","003N8EMH8GTFRCSWKMPXRRL3Y","GSON1112030682")</f>
        <v>#NAME?</v>
      </c>
      <c r="F301" s="4" t="e">
        <f ca="1">[1]!BexGetData("DP_1","003N8EMH8GTFRCSWKMPXRRRFI","GSON1112030682")</f>
        <v>#NAME?</v>
      </c>
      <c r="G301" s="4" t="e">
        <f ca="1">[1]!BexGetData("DP_1","003N8EMH8GTFRCSWKMPXRRXR2","GSON1112030682")</f>
        <v>#NAME?</v>
      </c>
      <c r="H301" s="4" t="e">
        <f ca="1">[1]!BexGetData("DP_1","003N8EMH8GTFRCSWKMPXRS42M","GSON1112030682")</f>
        <v>#NAME?</v>
      </c>
      <c r="I301" s="4" t="e">
        <f ca="1">[1]!BexGetData("DP_1","003N8EMH8GTFRCSWKMPXRSAE6","GSON1112030682")</f>
        <v>#NAME?</v>
      </c>
      <c r="J301" s="4" t="e">
        <f ca="1">[1]!BexGetData("DP_1","003N8EMH8GTFRCSWKMPXRSGPQ","GSON1112030682")</f>
        <v>#NAME?</v>
      </c>
      <c r="K301" s="8" t="e">
        <f ca="1">[1]!BexGetData("DP_1","003N8EMH8GTFRIVNUPY288VJH","GSON1112030682")</f>
        <v>#NAME?</v>
      </c>
      <c r="L301" s="8" t="e">
        <f ca="1">[1]!BexGetData("DP_1","003N8EMH8GTFRIVNUPY2891V1","GSON1112030682")</f>
        <v>#NAME?</v>
      </c>
      <c r="M301" s="8" t="e">
        <f ca="1">[1]!BexGetData("DP_1","003N8EMH8GTFRIVOG7KG9IQXA","GSON1112030682")</f>
        <v>#NAME?</v>
      </c>
      <c r="N301" s="8" t="e">
        <f ca="1">[1]!BexGetData("DP_1","003N8EMH8GTFRIVOG7KG9IX8U","GSON1112030682")</f>
        <v>#NAME?</v>
      </c>
      <c r="O301" s="8" t="e">
        <f ca="1">[1]!BexGetData("DP_1","003N8EMH8GTFRIVOG7KG9J3KE","GSON1112030682")</f>
        <v>#NAME?</v>
      </c>
      <c r="P301" s="8" t="e">
        <f ca="1">[1]!BexGetData("DP_1","003N8EMH8GTFRIVOG7KG9J9VY","GSON1112030682")</f>
        <v>#NAME?</v>
      </c>
      <c r="Q301" s="4" t="e">
        <f ca="1">[1]!BexGetData("DP_1","00O2TNJGODT0G5Z4TTKYMM5MT","GSON1112030682")</f>
        <v>#NAME?</v>
      </c>
      <c r="R301" s="4" t="e">
        <f ca="1">[1]!BexGetData("DP_1","00O2TNJGODT0G5Z4TTKYMMBYD","GSON1112030682")</f>
        <v>#NAME?</v>
      </c>
      <c r="S301" s="4" t="e">
        <f ca="1">[1]!BexGetData("DP_1","00O2TNJGODT0G5Z4TTKYMMI9X","GSON1112030682")</f>
        <v>#NAME?</v>
      </c>
      <c r="T301" s="4" t="e">
        <f ca="1">[1]!BexGetData("DP_1","00O2TNJGODT0G5Z4TTKYMMOLH","GSON1112030682")</f>
        <v>#NAME?</v>
      </c>
      <c r="U301" s="4" t="e">
        <f ca="1">[1]!BexGetData("DP_1","00O2TNJGODT0G5Z4TTKYMMUX1","GSON1112030682")</f>
        <v>#NAME?</v>
      </c>
      <c r="V301" s="4" t="e">
        <f ca="1">[1]!BexGetData("DP_1","00O2TNJGODT0G5Z4TTKYMN18L","GSON1112030682")</f>
        <v>#NAME?</v>
      </c>
      <c r="W301" s="4" t="e">
        <f ca="1">[1]!BexGetData("DP_1","00O2TNJGODT0G5Z4TTKYMN7K5","GSON1112030682")</f>
        <v>#NAME?</v>
      </c>
    </row>
    <row r="302" spans="1:23" x14ac:dyDescent="0.2">
      <c r="A302" s="16" t="s">
        <v>2091</v>
      </c>
      <c r="B302" s="7" t="s">
        <v>2092</v>
      </c>
      <c r="C302" s="3" t="e">
        <f ca="1">[1]!BexGetData("DP_1","003N8EMH8GTFRCSWKMPXRR8GU","GSON1112030683")</f>
        <v>#NAME?</v>
      </c>
      <c r="D302" s="3" t="e">
        <f ca="1">[1]!BexGetData("DP_1","003N8EMH8GTFRCSWKMPXRRESE","GSON1112030683")</f>
        <v>#NAME?</v>
      </c>
      <c r="E302" s="8" t="e">
        <f ca="1">[1]!BexGetData("DP_1","003N8EMH8GTFRCSWKMPXRRL3Y","GSON1112030683")</f>
        <v>#NAME?</v>
      </c>
      <c r="F302" s="4" t="e">
        <f ca="1">[1]!BexGetData("DP_1","003N8EMH8GTFRCSWKMPXRRRFI","GSON1112030683")</f>
        <v>#NAME?</v>
      </c>
      <c r="G302" s="4" t="e">
        <f ca="1">[1]!BexGetData("DP_1","003N8EMH8GTFRCSWKMPXRRXR2","GSON1112030683")</f>
        <v>#NAME?</v>
      </c>
      <c r="H302" s="4" t="e">
        <f ca="1">[1]!BexGetData("DP_1","003N8EMH8GTFRCSWKMPXRS42M","GSON1112030683")</f>
        <v>#NAME?</v>
      </c>
      <c r="I302" s="4" t="e">
        <f ca="1">[1]!BexGetData("DP_1","003N8EMH8GTFRCSWKMPXRSAE6","GSON1112030683")</f>
        <v>#NAME?</v>
      </c>
      <c r="J302" s="4" t="e">
        <f ca="1">[1]!BexGetData("DP_1","003N8EMH8GTFRCSWKMPXRSGPQ","GSON1112030683")</f>
        <v>#NAME?</v>
      </c>
      <c r="K302" s="8" t="e">
        <f ca="1">[1]!BexGetData("DP_1","003N8EMH8GTFRIVNUPY288VJH","GSON1112030683")</f>
        <v>#NAME?</v>
      </c>
      <c r="L302" s="8" t="e">
        <f ca="1">[1]!BexGetData("DP_1","003N8EMH8GTFRIVNUPY2891V1","GSON1112030683")</f>
        <v>#NAME?</v>
      </c>
      <c r="M302" s="8" t="e">
        <f ca="1">[1]!BexGetData("DP_1","003N8EMH8GTFRIVOG7KG9IQXA","GSON1112030683")</f>
        <v>#NAME?</v>
      </c>
      <c r="N302" s="8" t="e">
        <f ca="1">[1]!BexGetData("DP_1","003N8EMH8GTFRIVOG7KG9IX8U","GSON1112030683")</f>
        <v>#NAME?</v>
      </c>
      <c r="O302" s="8" t="e">
        <f ca="1">[1]!BexGetData("DP_1","003N8EMH8GTFRIVOG7KG9J3KE","GSON1112030683")</f>
        <v>#NAME?</v>
      </c>
      <c r="P302" s="8" t="e">
        <f ca="1">[1]!BexGetData("DP_1","003N8EMH8GTFRIVOG7KG9J9VY","GSON1112030683")</f>
        <v>#NAME?</v>
      </c>
      <c r="Q302" s="4" t="e">
        <f ca="1">[1]!BexGetData("DP_1","00O2TNJGODT0G5Z4TTKYMM5MT","GSON1112030683")</f>
        <v>#NAME?</v>
      </c>
      <c r="R302" s="4" t="e">
        <f ca="1">[1]!BexGetData("DP_1","00O2TNJGODT0G5Z4TTKYMMBYD","GSON1112030683")</f>
        <v>#NAME?</v>
      </c>
      <c r="S302" s="4" t="e">
        <f ca="1">[1]!BexGetData("DP_1","00O2TNJGODT0G5Z4TTKYMMI9X","GSON1112030683")</f>
        <v>#NAME?</v>
      </c>
      <c r="T302" s="4" t="e">
        <f ca="1">[1]!BexGetData("DP_1","00O2TNJGODT0G5Z4TTKYMMOLH","GSON1112030683")</f>
        <v>#NAME?</v>
      </c>
      <c r="U302" s="4" t="e">
        <f ca="1">[1]!BexGetData("DP_1","00O2TNJGODT0G5Z4TTKYMMUX1","GSON1112030683")</f>
        <v>#NAME?</v>
      </c>
      <c r="V302" s="4" t="e">
        <f ca="1">[1]!BexGetData("DP_1","00O2TNJGODT0G5Z4TTKYMN18L","GSON1112030683")</f>
        <v>#NAME?</v>
      </c>
      <c r="W302" s="4" t="e">
        <f ca="1">[1]!BexGetData("DP_1","00O2TNJGODT0G5Z4TTKYMN7K5","GSON1112030683")</f>
        <v>#NAME?</v>
      </c>
    </row>
    <row r="303" spans="1:23" x14ac:dyDescent="0.2">
      <c r="A303" s="16" t="s">
        <v>2093</v>
      </c>
      <c r="B303" s="7" t="s">
        <v>2094</v>
      </c>
      <c r="C303" s="3" t="e">
        <f ca="1">[1]!BexGetData("DP_1","003N8EMH8GTFRCSWKMPXRR8GU","GSON1112030684")</f>
        <v>#NAME?</v>
      </c>
      <c r="D303" s="3" t="e">
        <f ca="1">[1]!BexGetData("DP_1","003N8EMH8GTFRCSWKMPXRRESE","GSON1112030684")</f>
        <v>#NAME?</v>
      </c>
      <c r="E303" s="8" t="e">
        <f ca="1">[1]!BexGetData("DP_1","003N8EMH8GTFRCSWKMPXRRL3Y","GSON1112030684")</f>
        <v>#NAME?</v>
      </c>
      <c r="F303" s="4" t="e">
        <f ca="1">[1]!BexGetData("DP_1","003N8EMH8GTFRCSWKMPXRRRFI","GSON1112030684")</f>
        <v>#NAME?</v>
      </c>
      <c r="G303" s="4" t="e">
        <f ca="1">[1]!BexGetData("DP_1","003N8EMH8GTFRCSWKMPXRRXR2","GSON1112030684")</f>
        <v>#NAME?</v>
      </c>
      <c r="H303" s="4" t="e">
        <f ca="1">[1]!BexGetData("DP_1","003N8EMH8GTFRCSWKMPXRS42M","GSON1112030684")</f>
        <v>#NAME?</v>
      </c>
      <c r="I303" s="4" t="e">
        <f ca="1">[1]!BexGetData("DP_1","003N8EMH8GTFRCSWKMPXRSAE6","GSON1112030684")</f>
        <v>#NAME?</v>
      </c>
      <c r="J303" s="4" t="e">
        <f ca="1">[1]!BexGetData("DP_1","003N8EMH8GTFRCSWKMPXRSGPQ","GSON1112030684")</f>
        <v>#NAME?</v>
      </c>
      <c r="K303" s="8" t="e">
        <f ca="1">[1]!BexGetData("DP_1","003N8EMH8GTFRIVNUPY288VJH","GSON1112030684")</f>
        <v>#NAME?</v>
      </c>
      <c r="L303" s="8" t="e">
        <f ca="1">[1]!BexGetData("DP_1","003N8EMH8GTFRIVNUPY2891V1","GSON1112030684")</f>
        <v>#NAME?</v>
      </c>
      <c r="M303" s="8" t="e">
        <f ca="1">[1]!BexGetData("DP_1","003N8EMH8GTFRIVOG7KG9IQXA","GSON1112030684")</f>
        <v>#NAME?</v>
      </c>
      <c r="N303" s="8" t="e">
        <f ca="1">[1]!BexGetData("DP_1","003N8EMH8GTFRIVOG7KG9IX8U","GSON1112030684")</f>
        <v>#NAME?</v>
      </c>
      <c r="O303" s="8" t="e">
        <f ca="1">[1]!BexGetData("DP_1","003N8EMH8GTFRIVOG7KG9J3KE","GSON1112030684")</f>
        <v>#NAME?</v>
      </c>
      <c r="P303" s="8" t="e">
        <f ca="1">[1]!BexGetData("DP_1","003N8EMH8GTFRIVOG7KG9J9VY","GSON1112030684")</f>
        <v>#NAME?</v>
      </c>
      <c r="Q303" s="4" t="e">
        <f ca="1">[1]!BexGetData("DP_1","00O2TNJGODT0G5Z4TTKYMM5MT","GSON1112030684")</f>
        <v>#NAME?</v>
      </c>
      <c r="R303" s="4" t="e">
        <f ca="1">[1]!BexGetData("DP_1","00O2TNJGODT0G5Z4TTKYMMBYD","GSON1112030684")</f>
        <v>#NAME?</v>
      </c>
      <c r="S303" s="4" t="e">
        <f ca="1">[1]!BexGetData("DP_1","00O2TNJGODT0G5Z4TTKYMMI9X","GSON1112030684")</f>
        <v>#NAME?</v>
      </c>
      <c r="T303" s="4" t="e">
        <f ca="1">[1]!BexGetData("DP_1","00O2TNJGODT0G5Z4TTKYMMOLH","GSON1112030684")</f>
        <v>#NAME?</v>
      </c>
      <c r="U303" s="4" t="e">
        <f ca="1">[1]!BexGetData("DP_1","00O2TNJGODT0G5Z4TTKYMMUX1","GSON1112030684")</f>
        <v>#NAME?</v>
      </c>
      <c r="V303" s="4" t="e">
        <f ca="1">[1]!BexGetData("DP_1","00O2TNJGODT0G5Z4TTKYMN18L","GSON1112030684")</f>
        <v>#NAME?</v>
      </c>
      <c r="W303" s="4" t="e">
        <f ca="1">[1]!BexGetData("DP_1","00O2TNJGODT0G5Z4TTKYMN7K5","GSON1112030684")</f>
        <v>#NAME?</v>
      </c>
    </row>
    <row r="304" spans="1:23" x14ac:dyDescent="0.2">
      <c r="A304" s="16" t="s">
        <v>210</v>
      </c>
      <c r="B304" s="7" t="s">
        <v>211</v>
      </c>
      <c r="C304" s="3" t="e">
        <f ca="1">[1]!BexGetData("DP_1","003N8EMH8GTFRCSWKMPXRR8GU","GSON1112030690")</f>
        <v>#NAME?</v>
      </c>
      <c r="D304" s="3" t="e">
        <f ca="1">[1]!BexGetData("DP_1","003N8EMH8GTFRCSWKMPXRRESE","GSON1112030690")</f>
        <v>#NAME?</v>
      </c>
      <c r="E304" s="3" t="e">
        <f ca="1">[1]!BexGetData("DP_1","003N8EMH8GTFRCSWKMPXRRL3Y","GSON1112030690")</f>
        <v>#NAME?</v>
      </c>
      <c r="F304" s="3" t="e">
        <f ca="1">[1]!BexGetData("DP_1","003N8EMH8GTFRCSWKMPXRRRFI","GSON1112030690")</f>
        <v>#NAME?</v>
      </c>
      <c r="G304" s="3" t="e">
        <f ca="1">[1]!BexGetData("DP_1","003N8EMH8GTFRCSWKMPXRRXR2","GSON1112030690")</f>
        <v>#NAME?</v>
      </c>
      <c r="H304" s="8" t="e">
        <f ca="1">[1]!BexGetData("DP_1","003N8EMH8GTFRCSWKMPXRS42M","GSON1112030690")</f>
        <v>#NAME?</v>
      </c>
      <c r="I304" s="3" t="e">
        <f ca="1">[1]!BexGetData("DP_1","003N8EMH8GTFRCSWKMPXRSAE6","GSON1112030690")</f>
        <v>#NAME?</v>
      </c>
      <c r="J304" s="4" t="e">
        <f ca="1">[1]!BexGetData("DP_1","003N8EMH8GTFRCSWKMPXRSGPQ","GSON1112030690")</f>
        <v>#NAME?</v>
      </c>
      <c r="K304" s="3" t="e">
        <f ca="1">[1]!BexGetData("DP_1","003N8EMH8GTFRIVNUPY288VJH","GSON1112030690")</f>
        <v>#NAME?</v>
      </c>
      <c r="L304" s="3" t="e">
        <f ca="1">[1]!BexGetData("DP_1","003N8EMH8GTFRIVNUPY2891V1","GSON1112030690")</f>
        <v>#NAME?</v>
      </c>
      <c r="M304" s="8" t="e">
        <f ca="1">[1]!BexGetData("DP_1","003N8EMH8GTFRIVOG7KG9IQXA","GSON1112030690")</f>
        <v>#NAME?</v>
      </c>
      <c r="N304" s="3" t="e">
        <f ca="1">[1]!BexGetData("DP_1","003N8EMH8GTFRIVOG7KG9IX8U","GSON1112030690")</f>
        <v>#NAME?</v>
      </c>
      <c r="O304" s="8" t="e">
        <f ca="1">[1]!BexGetData("DP_1","003N8EMH8GTFRIVOG7KG9J3KE","GSON1112030690")</f>
        <v>#NAME?</v>
      </c>
      <c r="P304" s="3" t="e">
        <f ca="1">[1]!BexGetData("DP_1","003N8EMH8GTFRIVOG7KG9J9VY","GSON1112030690")</f>
        <v>#NAME?</v>
      </c>
      <c r="Q304" s="4" t="e">
        <f ca="1">[1]!BexGetData("DP_1","00O2TNJGODT0G5Z4TTKYMM5MT","GSON1112030690")</f>
        <v>#NAME?</v>
      </c>
      <c r="R304" s="3" t="e">
        <f ca="1">[1]!BexGetData("DP_1","00O2TNJGODT0G5Z4TTKYMMBYD","GSON1112030690")</f>
        <v>#NAME?</v>
      </c>
      <c r="S304" s="3" t="e">
        <f ca="1">[1]!BexGetData("DP_1","00O2TNJGODT0G5Z4TTKYMMI9X","GSON1112030690")</f>
        <v>#NAME?</v>
      </c>
      <c r="T304" s="8" t="e">
        <f ca="1">[1]!BexGetData("DP_1","00O2TNJGODT0G5Z4TTKYMMOLH","GSON1112030690")</f>
        <v>#NAME?</v>
      </c>
      <c r="U304" s="3" t="e">
        <f ca="1">[1]!BexGetData("DP_1","00O2TNJGODT0G5Z4TTKYMMUX1","GSON1112030690")</f>
        <v>#NAME?</v>
      </c>
      <c r="V304" s="8" t="e">
        <f ca="1">[1]!BexGetData("DP_1","00O2TNJGODT0G5Z4TTKYMN18L","GSON1112030690")</f>
        <v>#NAME?</v>
      </c>
      <c r="W304" s="3" t="e">
        <f ca="1">[1]!BexGetData("DP_1","00O2TNJGODT0G5Z4TTKYMN7K5","GSON1112030690")</f>
        <v>#NAME?</v>
      </c>
    </row>
    <row r="305" spans="1:23" x14ac:dyDescent="0.2">
      <c r="A305" s="16" t="s">
        <v>212</v>
      </c>
      <c r="B305" s="7" t="s">
        <v>213</v>
      </c>
      <c r="C305" s="3" t="e">
        <f ca="1">[1]!BexGetData("DP_1","003N8EMH8GTFRCSWKMPXRR8GU","GSON1112030691")</f>
        <v>#NAME?</v>
      </c>
      <c r="D305" s="3" t="e">
        <f ca="1">[1]!BexGetData("DP_1","003N8EMH8GTFRCSWKMPXRRESE","GSON1112030691")</f>
        <v>#NAME?</v>
      </c>
      <c r="E305" s="3" t="e">
        <f ca="1">[1]!BexGetData("DP_1","003N8EMH8GTFRCSWKMPXRRL3Y","GSON1112030691")</f>
        <v>#NAME?</v>
      </c>
      <c r="F305" s="4" t="e">
        <f ca="1">[1]!BexGetData("DP_1","003N8EMH8GTFRCSWKMPXRRRFI","GSON1112030691")</f>
        <v>#NAME?</v>
      </c>
      <c r="G305" s="4" t="e">
        <f ca="1">[1]!BexGetData("DP_1","003N8EMH8GTFRCSWKMPXRRXR2","GSON1112030691")</f>
        <v>#NAME?</v>
      </c>
      <c r="H305" s="4" t="e">
        <f ca="1">[1]!BexGetData("DP_1","003N8EMH8GTFRCSWKMPXRS42M","GSON1112030691")</f>
        <v>#NAME?</v>
      </c>
      <c r="I305" s="4" t="e">
        <f ca="1">[1]!BexGetData("DP_1","003N8EMH8GTFRCSWKMPXRSAE6","GSON1112030691")</f>
        <v>#NAME?</v>
      </c>
      <c r="J305" s="4" t="e">
        <f ca="1">[1]!BexGetData("DP_1","003N8EMH8GTFRCSWKMPXRSGPQ","GSON1112030691")</f>
        <v>#NAME?</v>
      </c>
      <c r="K305" s="3" t="e">
        <f ca="1">[1]!BexGetData("DP_1","003N8EMH8GTFRIVNUPY288VJH","GSON1112030691")</f>
        <v>#NAME?</v>
      </c>
      <c r="L305" s="3" t="e">
        <f ca="1">[1]!BexGetData("DP_1","003N8EMH8GTFRIVNUPY2891V1","GSON1112030691")</f>
        <v>#NAME?</v>
      </c>
      <c r="M305" s="3" t="e">
        <f ca="1">[1]!BexGetData("DP_1","003N8EMH8GTFRIVOG7KG9IQXA","GSON1112030691")</f>
        <v>#NAME?</v>
      </c>
      <c r="N305" s="8" t="e">
        <f ca="1">[1]!BexGetData("DP_1","003N8EMH8GTFRIVOG7KG9IX8U","GSON1112030691")</f>
        <v>#NAME?</v>
      </c>
      <c r="O305" s="3" t="e">
        <f ca="1">[1]!BexGetData("DP_1","003N8EMH8GTFRIVOG7KG9J3KE","GSON1112030691")</f>
        <v>#NAME?</v>
      </c>
      <c r="P305" s="8" t="e">
        <f ca="1">[1]!BexGetData("DP_1","003N8EMH8GTFRIVOG7KG9J9VY","GSON1112030691")</f>
        <v>#NAME?</v>
      </c>
      <c r="Q305" s="4" t="e">
        <f ca="1">[1]!BexGetData("DP_1","00O2TNJGODT0G5Z4TTKYMM5MT","GSON1112030691")</f>
        <v>#NAME?</v>
      </c>
      <c r="R305" s="4" t="e">
        <f ca="1">[1]!BexGetData("DP_1","00O2TNJGODT0G5Z4TTKYMMBYD","GSON1112030691")</f>
        <v>#NAME?</v>
      </c>
      <c r="S305" s="4" t="e">
        <f ca="1">[1]!BexGetData("DP_1","00O2TNJGODT0G5Z4TTKYMMI9X","GSON1112030691")</f>
        <v>#NAME?</v>
      </c>
      <c r="T305" s="4" t="e">
        <f ca="1">[1]!BexGetData("DP_1","00O2TNJGODT0G5Z4TTKYMMOLH","GSON1112030691")</f>
        <v>#NAME?</v>
      </c>
      <c r="U305" s="4" t="e">
        <f ca="1">[1]!BexGetData("DP_1","00O2TNJGODT0G5Z4TTKYMMUX1","GSON1112030691")</f>
        <v>#NAME?</v>
      </c>
      <c r="V305" s="4" t="e">
        <f ca="1">[1]!BexGetData("DP_1","00O2TNJGODT0G5Z4TTKYMN18L","GSON1112030691")</f>
        <v>#NAME?</v>
      </c>
      <c r="W305" s="4" t="e">
        <f ca="1">[1]!BexGetData("DP_1","00O2TNJGODT0G5Z4TTKYMN7K5","GSON1112030691")</f>
        <v>#NAME?</v>
      </c>
    </row>
    <row r="306" spans="1:23" x14ac:dyDescent="0.2">
      <c r="A306" s="16" t="s">
        <v>2095</v>
      </c>
      <c r="B306" s="7" t="s">
        <v>2096</v>
      </c>
      <c r="C306" s="3" t="e">
        <f ca="1">[1]!BexGetData("DP_1","003N8EMH8GTFRCSWKMPXRR8GU","GSON1112030693")</f>
        <v>#NAME?</v>
      </c>
      <c r="D306" s="3" t="e">
        <f ca="1">[1]!BexGetData("DP_1","003N8EMH8GTFRCSWKMPXRRESE","GSON1112030693")</f>
        <v>#NAME?</v>
      </c>
      <c r="E306" s="8" t="e">
        <f ca="1">[1]!BexGetData("DP_1","003N8EMH8GTFRCSWKMPXRRL3Y","GSON1112030693")</f>
        <v>#NAME?</v>
      </c>
      <c r="F306" s="4" t="e">
        <f ca="1">[1]!BexGetData("DP_1","003N8EMH8GTFRCSWKMPXRRRFI","GSON1112030693")</f>
        <v>#NAME?</v>
      </c>
      <c r="G306" s="4" t="e">
        <f ca="1">[1]!BexGetData("DP_1","003N8EMH8GTFRCSWKMPXRRXR2","GSON1112030693")</f>
        <v>#NAME?</v>
      </c>
      <c r="H306" s="4" t="e">
        <f ca="1">[1]!BexGetData("DP_1","003N8EMH8GTFRCSWKMPXRS42M","GSON1112030693")</f>
        <v>#NAME?</v>
      </c>
      <c r="I306" s="4" t="e">
        <f ca="1">[1]!BexGetData("DP_1","003N8EMH8GTFRCSWKMPXRSAE6","GSON1112030693")</f>
        <v>#NAME?</v>
      </c>
      <c r="J306" s="4" t="e">
        <f ca="1">[1]!BexGetData("DP_1","003N8EMH8GTFRCSWKMPXRSGPQ","GSON1112030693")</f>
        <v>#NAME?</v>
      </c>
      <c r="K306" s="8" t="e">
        <f ca="1">[1]!BexGetData("DP_1","003N8EMH8GTFRIVNUPY288VJH","GSON1112030693")</f>
        <v>#NAME?</v>
      </c>
      <c r="L306" s="8" t="e">
        <f ca="1">[1]!BexGetData("DP_1","003N8EMH8GTFRIVNUPY2891V1","GSON1112030693")</f>
        <v>#NAME?</v>
      </c>
      <c r="M306" s="8" t="e">
        <f ca="1">[1]!BexGetData("DP_1","003N8EMH8GTFRIVOG7KG9IQXA","GSON1112030693")</f>
        <v>#NAME?</v>
      </c>
      <c r="N306" s="8" t="e">
        <f ca="1">[1]!BexGetData("DP_1","003N8EMH8GTFRIVOG7KG9IX8U","GSON1112030693")</f>
        <v>#NAME?</v>
      </c>
      <c r="O306" s="8" t="e">
        <f ca="1">[1]!BexGetData("DP_1","003N8EMH8GTFRIVOG7KG9J3KE","GSON1112030693")</f>
        <v>#NAME?</v>
      </c>
      <c r="P306" s="8" t="e">
        <f ca="1">[1]!BexGetData("DP_1","003N8EMH8GTFRIVOG7KG9J9VY","GSON1112030693")</f>
        <v>#NAME?</v>
      </c>
      <c r="Q306" s="4" t="e">
        <f ca="1">[1]!BexGetData("DP_1","00O2TNJGODT0G5Z4TTKYMM5MT","GSON1112030693")</f>
        <v>#NAME?</v>
      </c>
      <c r="R306" s="4" t="e">
        <f ca="1">[1]!BexGetData("DP_1","00O2TNJGODT0G5Z4TTKYMMBYD","GSON1112030693")</f>
        <v>#NAME?</v>
      </c>
      <c r="S306" s="4" t="e">
        <f ca="1">[1]!BexGetData("DP_1","00O2TNJGODT0G5Z4TTKYMMI9X","GSON1112030693")</f>
        <v>#NAME?</v>
      </c>
      <c r="T306" s="4" t="e">
        <f ca="1">[1]!BexGetData("DP_1","00O2TNJGODT0G5Z4TTKYMMOLH","GSON1112030693")</f>
        <v>#NAME?</v>
      </c>
      <c r="U306" s="4" t="e">
        <f ca="1">[1]!BexGetData("DP_1","00O2TNJGODT0G5Z4TTKYMMUX1","GSON1112030693")</f>
        <v>#NAME?</v>
      </c>
      <c r="V306" s="4" t="e">
        <f ca="1">[1]!BexGetData("DP_1","00O2TNJGODT0G5Z4TTKYMN18L","GSON1112030693")</f>
        <v>#NAME?</v>
      </c>
      <c r="W306" s="4" t="e">
        <f ca="1">[1]!BexGetData("DP_1","00O2TNJGODT0G5Z4TTKYMN7K5","GSON1112030693")</f>
        <v>#NAME?</v>
      </c>
    </row>
    <row r="307" spans="1:23" x14ac:dyDescent="0.2">
      <c r="A307" s="16" t="s">
        <v>2097</v>
      </c>
      <c r="B307" s="7" t="s">
        <v>2098</v>
      </c>
      <c r="C307" s="3" t="e">
        <f ca="1">[1]!BexGetData("DP_1","003N8EMH8GTFRCSWKMPXRR8GU","GSON1112030694")</f>
        <v>#NAME?</v>
      </c>
      <c r="D307" s="3" t="e">
        <f ca="1">[1]!BexGetData("DP_1","003N8EMH8GTFRCSWKMPXRRESE","GSON1112030694")</f>
        <v>#NAME?</v>
      </c>
      <c r="E307" s="8" t="e">
        <f ca="1">[1]!BexGetData("DP_1","003N8EMH8GTFRCSWKMPXRRL3Y","GSON1112030694")</f>
        <v>#NAME?</v>
      </c>
      <c r="F307" s="4" t="e">
        <f ca="1">[1]!BexGetData("DP_1","003N8EMH8GTFRCSWKMPXRRRFI","GSON1112030694")</f>
        <v>#NAME?</v>
      </c>
      <c r="G307" s="4" t="e">
        <f ca="1">[1]!BexGetData("DP_1","003N8EMH8GTFRCSWKMPXRRXR2","GSON1112030694")</f>
        <v>#NAME?</v>
      </c>
      <c r="H307" s="4" t="e">
        <f ca="1">[1]!BexGetData("DP_1","003N8EMH8GTFRCSWKMPXRS42M","GSON1112030694")</f>
        <v>#NAME?</v>
      </c>
      <c r="I307" s="4" t="e">
        <f ca="1">[1]!BexGetData("DP_1","003N8EMH8GTFRCSWKMPXRSAE6","GSON1112030694")</f>
        <v>#NAME?</v>
      </c>
      <c r="J307" s="4" t="e">
        <f ca="1">[1]!BexGetData("DP_1","003N8EMH8GTFRCSWKMPXRSGPQ","GSON1112030694")</f>
        <v>#NAME?</v>
      </c>
      <c r="K307" s="8" t="e">
        <f ca="1">[1]!BexGetData("DP_1","003N8EMH8GTFRIVNUPY288VJH","GSON1112030694")</f>
        <v>#NAME?</v>
      </c>
      <c r="L307" s="8" t="e">
        <f ca="1">[1]!BexGetData("DP_1","003N8EMH8GTFRIVNUPY2891V1","GSON1112030694")</f>
        <v>#NAME?</v>
      </c>
      <c r="M307" s="8" t="e">
        <f ca="1">[1]!BexGetData("DP_1","003N8EMH8GTFRIVOG7KG9IQXA","GSON1112030694")</f>
        <v>#NAME?</v>
      </c>
      <c r="N307" s="8" t="e">
        <f ca="1">[1]!BexGetData("DP_1","003N8EMH8GTFRIVOG7KG9IX8U","GSON1112030694")</f>
        <v>#NAME?</v>
      </c>
      <c r="O307" s="8" t="e">
        <f ca="1">[1]!BexGetData("DP_1","003N8EMH8GTFRIVOG7KG9J3KE","GSON1112030694")</f>
        <v>#NAME?</v>
      </c>
      <c r="P307" s="8" t="e">
        <f ca="1">[1]!BexGetData("DP_1","003N8EMH8GTFRIVOG7KG9J9VY","GSON1112030694")</f>
        <v>#NAME?</v>
      </c>
      <c r="Q307" s="4" t="e">
        <f ca="1">[1]!BexGetData("DP_1","00O2TNJGODT0G5Z4TTKYMM5MT","GSON1112030694")</f>
        <v>#NAME?</v>
      </c>
      <c r="R307" s="4" t="e">
        <f ca="1">[1]!BexGetData("DP_1","00O2TNJGODT0G5Z4TTKYMMBYD","GSON1112030694")</f>
        <v>#NAME?</v>
      </c>
      <c r="S307" s="4" t="e">
        <f ca="1">[1]!BexGetData("DP_1","00O2TNJGODT0G5Z4TTKYMMI9X","GSON1112030694")</f>
        <v>#NAME?</v>
      </c>
      <c r="T307" s="4" t="e">
        <f ca="1">[1]!BexGetData("DP_1","00O2TNJGODT0G5Z4TTKYMMOLH","GSON1112030694")</f>
        <v>#NAME?</v>
      </c>
      <c r="U307" s="4" t="e">
        <f ca="1">[1]!BexGetData("DP_1","00O2TNJGODT0G5Z4TTKYMMUX1","GSON1112030694")</f>
        <v>#NAME?</v>
      </c>
      <c r="V307" s="4" t="e">
        <f ca="1">[1]!BexGetData("DP_1","00O2TNJGODT0G5Z4TTKYMN18L","GSON1112030694")</f>
        <v>#NAME?</v>
      </c>
      <c r="W307" s="4" t="e">
        <f ca="1">[1]!BexGetData("DP_1","00O2TNJGODT0G5Z4TTKYMN7K5","GSON1112030694")</f>
        <v>#NAME?</v>
      </c>
    </row>
    <row r="308" spans="1:23" x14ac:dyDescent="0.2">
      <c r="A308" s="16" t="s">
        <v>214</v>
      </c>
      <c r="B308" s="7" t="s">
        <v>215</v>
      </c>
      <c r="C308" s="3" t="e">
        <f ca="1">[1]!BexGetData("DP_1","003N8EMH8GTFRCSWKMPXRR8GU","GSON1112030700")</f>
        <v>#NAME?</v>
      </c>
      <c r="D308" s="3" t="e">
        <f ca="1">[1]!BexGetData("DP_1","003N8EMH8GTFRCSWKMPXRRESE","GSON1112030700")</f>
        <v>#NAME?</v>
      </c>
      <c r="E308" s="3" t="e">
        <f ca="1">[1]!BexGetData("DP_1","003N8EMH8GTFRCSWKMPXRRL3Y","GSON1112030700")</f>
        <v>#NAME?</v>
      </c>
      <c r="F308" s="3" t="e">
        <f ca="1">[1]!BexGetData("DP_1","003N8EMH8GTFRCSWKMPXRRRFI","GSON1112030700")</f>
        <v>#NAME?</v>
      </c>
      <c r="G308" s="3" t="e">
        <f ca="1">[1]!BexGetData("DP_1","003N8EMH8GTFRCSWKMPXRRXR2","GSON1112030700")</f>
        <v>#NAME?</v>
      </c>
      <c r="H308" s="8" t="e">
        <f ca="1">[1]!BexGetData("DP_1","003N8EMH8GTFRCSWKMPXRS42M","GSON1112030700")</f>
        <v>#NAME?</v>
      </c>
      <c r="I308" s="3" t="e">
        <f ca="1">[1]!BexGetData("DP_1","003N8EMH8GTFRCSWKMPXRSAE6","GSON1112030700")</f>
        <v>#NAME?</v>
      </c>
      <c r="J308" s="4" t="e">
        <f ca="1">[1]!BexGetData("DP_1","003N8EMH8GTFRCSWKMPXRSGPQ","GSON1112030700")</f>
        <v>#NAME?</v>
      </c>
      <c r="K308" s="3" t="e">
        <f ca="1">[1]!BexGetData("DP_1","003N8EMH8GTFRIVNUPY288VJH","GSON1112030700")</f>
        <v>#NAME?</v>
      </c>
      <c r="L308" s="3" t="e">
        <f ca="1">[1]!BexGetData("DP_1","003N8EMH8GTFRIVNUPY2891V1","GSON1112030700")</f>
        <v>#NAME?</v>
      </c>
      <c r="M308" s="8" t="e">
        <f ca="1">[1]!BexGetData("DP_1","003N8EMH8GTFRIVOG7KG9IQXA","GSON1112030700")</f>
        <v>#NAME?</v>
      </c>
      <c r="N308" s="3" t="e">
        <f ca="1">[1]!BexGetData("DP_1","003N8EMH8GTFRIVOG7KG9IX8U","GSON1112030700")</f>
        <v>#NAME?</v>
      </c>
      <c r="O308" s="8" t="e">
        <f ca="1">[1]!BexGetData("DP_1","003N8EMH8GTFRIVOG7KG9J3KE","GSON1112030700")</f>
        <v>#NAME?</v>
      </c>
      <c r="P308" s="3" t="e">
        <f ca="1">[1]!BexGetData("DP_1","003N8EMH8GTFRIVOG7KG9J9VY","GSON1112030700")</f>
        <v>#NAME?</v>
      </c>
      <c r="Q308" s="4" t="e">
        <f ca="1">[1]!BexGetData("DP_1","00O2TNJGODT0G5Z4TTKYMM5MT","GSON1112030700")</f>
        <v>#NAME?</v>
      </c>
      <c r="R308" s="3" t="e">
        <f ca="1">[1]!BexGetData("DP_1","00O2TNJGODT0G5Z4TTKYMMBYD","GSON1112030700")</f>
        <v>#NAME?</v>
      </c>
      <c r="S308" s="3" t="e">
        <f ca="1">[1]!BexGetData("DP_1","00O2TNJGODT0G5Z4TTKYMMI9X","GSON1112030700")</f>
        <v>#NAME?</v>
      </c>
      <c r="T308" s="8" t="e">
        <f ca="1">[1]!BexGetData("DP_1","00O2TNJGODT0G5Z4TTKYMMOLH","GSON1112030700")</f>
        <v>#NAME?</v>
      </c>
      <c r="U308" s="3" t="e">
        <f ca="1">[1]!BexGetData("DP_1","00O2TNJGODT0G5Z4TTKYMMUX1","GSON1112030700")</f>
        <v>#NAME?</v>
      </c>
      <c r="V308" s="8" t="e">
        <f ca="1">[1]!BexGetData("DP_1","00O2TNJGODT0G5Z4TTKYMN18L","GSON1112030700")</f>
        <v>#NAME?</v>
      </c>
      <c r="W308" s="3" t="e">
        <f ca="1">[1]!BexGetData("DP_1","00O2TNJGODT0G5Z4TTKYMN7K5","GSON1112030700")</f>
        <v>#NAME?</v>
      </c>
    </row>
    <row r="309" spans="1:23" x14ac:dyDescent="0.2">
      <c r="A309" s="16" t="s">
        <v>216</v>
      </c>
      <c r="B309" s="7" t="s">
        <v>217</v>
      </c>
      <c r="C309" s="3" t="e">
        <f ca="1">[1]!BexGetData("DP_1","003N8EMH8GTFRCSWKMPXRR8GU","GSON1112030701")</f>
        <v>#NAME?</v>
      </c>
      <c r="D309" s="3" t="e">
        <f ca="1">[1]!BexGetData("DP_1","003N8EMH8GTFRCSWKMPXRRESE","GSON1112030701")</f>
        <v>#NAME?</v>
      </c>
      <c r="E309" s="3" t="e">
        <f ca="1">[1]!BexGetData("DP_1","003N8EMH8GTFRCSWKMPXRRL3Y","GSON1112030701")</f>
        <v>#NAME?</v>
      </c>
      <c r="F309" s="3" t="e">
        <f ca="1">[1]!BexGetData("DP_1","003N8EMH8GTFRCSWKMPXRRRFI","GSON1112030701")</f>
        <v>#NAME?</v>
      </c>
      <c r="G309" s="3" t="e">
        <f ca="1">[1]!BexGetData("DP_1","003N8EMH8GTFRCSWKMPXRRXR2","GSON1112030701")</f>
        <v>#NAME?</v>
      </c>
      <c r="H309" s="8" t="e">
        <f ca="1">[1]!BexGetData("DP_1","003N8EMH8GTFRCSWKMPXRS42M","GSON1112030701")</f>
        <v>#NAME?</v>
      </c>
      <c r="I309" s="3" t="e">
        <f ca="1">[1]!BexGetData("DP_1","003N8EMH8GTFRCSWKMPXRSAE6","GSON1112030701")</f>
        <v>#NAME?</v>
      </c>
      <c r="J309" s="4" t="e">
        <f ca="1">[1]!BexGetData("DP_1","003N8EMH8GTFRCSWKMPXRSGPQ","GSON1112030701")</f>
        <v>#NAME?</v>
      </c>
      <c r="K309" s="3" t="e">
        <f ca="1">[1]!BexGetData("DP_1","003N8EMH8GTFRIVNUPY288VJH","GSON1112030701")</f>
        <v>#NAME?</v>
      </c>
      <c r="L309" s="3" t="e">
        <f ca="1">[1]!BexGetData("DP_1","003N8EMH8GTFRIVNUPY2891V1","GSON1112030701")</f>
        <v>#NAME?</v>
      </c>
      <c r="M309" s="8" t="e">
        <f ca="1">[1]!BexGetData("DP_1","003N8EMH8GTFRIVOG7KG9IQXA","GSON1112030701")</f>
        <v>#NAME?</v>
      </c>
      <c r="N309" s="3" t="e">
        <f ca="1">[1]!BexGetData("DP_1","003N8EMH8GTFRIVOG7KG9IX8U","GSON1112030701")</f>
        <v>#NAME?</v>
      </c>
      <c r="O309" s="8" t="e">
        <f ca="1">[1]!BexGetData("DP_1","003N8EMH8GTFRIVOG7KG9J3KE","GSON1112030701")</f>
        <v>#NAME?</v>
      </c>
      <c r="P309" s="3" t="e">
        <f ca="1">[1]!BexGetData("DP_1","003N8EMH8GTFRIVOG7KG9J9VY","GSON1112030701")</f>
        <v>#NAME?</v>
      </c>
      <c r="Q309" s="4" t="e">
        <f ca="1">[1]!BexGetData("DP_1","00O2TNJGODT0G5Z4TTKYMM5MT","GSON1112030701")</f>
        <v>#NAME?</v>
      </c>
      <c r="R309" s="3" t="e">
        <f ca="1">[1]!BexGetData("DP_1","00O2TNJGODT0G5Z4TTKYMMBYD","GSON1112030701")</f>
        <v>#NAME?</v>
      </c>
      <c r="S309" s="3" t="e">
        <f ca="1">[1]!BexGetData("DP_1","00O2TNJGODT0G5Z4TTKYMMI9X","GSON1112030701")</f>
        <v>#NAME?</v>
      </c>
      <c r="T309" s="8" t="e">
        <f ca="1">[1]!BexGetData("DP_1","00O2TNJGODT0G5Z4TTKYMMOLH","GSON1112030701")</f>
        <v>#NAME?</v>
      </c>
      <c r="U309" s="3" t="e">
        <f ca="1">[1]!BexGetData("DP_1","00O2TNJGODT0G5Z4TTKYMMUX1","GSON1112030701")</f>
        <v>#NAME?</v>
      </c>
      <c r="V309" s="8" t="e">
        <f ca="1">[1]!BexGetData("DP_1","00O2TNJGODT0G5Z4TTKYMN18L","GSON1112030701")</f>
        <v>#NAME?</v>
      </c>
      <c r="W309" s="3" t="e">
        <f ca="1">[1]!BexGetData("DP_1","00O2TNJGODT0G5Z4TTKYMN7K5","GSON1112030701")</f>
        <v>#NAME?</v>
      </c>
    </row>
    <row r="310" spans="1:23" x14ac:dyDescent="0.2">
      <c r="A310" s="16" t="s">
        <v>868</v>
      </c>
      <c r="B310" s="7" t="s">
        <v>869</v>
      </c>
      <c r="C310" s="3" t="e">
        <f ca="1">[1]!BexGetData("DP_1","003N8EMH8GTFRCSWKMPXRR8GU","GSON1112030703")</f>
        <v>#NAME?</v>
      </c>
      <c r="D310" s="3" t="e">
        <f ca="1">[1]!BexGetData("DP_1","003N8EMH8GTFRCSWKMPXRRESE","GSON1112030703")</f>
        <v>#NAME?</v>
      </c>
      <c r="E310" s="8" t="e">
        <f ca="1">[1]!BexGetData("DP_1","003N8EMH8GTFRCSWKMPXRRL3Y","GSON1112030703")</f>
        <v>#NAME?</v>
      </c>
      <c r="F310" s="4" t="e">
        <f ca="1">[1]!BexGetData("DP_1","003N8EMH8GTFRCSWKMPXRRRFI","GSON1112030703")</f>
        <v>#NAME?</v>
      </c>
      <c r="G310" s="4" t="e">
        <f ca="1">[1]!BexGetData("DP_1","003N8EMH8GTFRCSWKMPXRRXR2","GSON1112030703")</f>
        <v>#NAME?</v>
      </c>
      <c r="H310" s="4" t="e">
        <f ca="1">[1]!BexGetData("DP_1","003N8EMH8GTFRCSWKMPXRS42M","GSON1112030703")</f>
        <v>#NAME?</v>
      </c>
      <c r="I310" s="4" t="e">
        <f ca="1">[1]!BexGetData("DP_1","003N8EMH8GTFRCSWKMPXRSAE6","GSON1112030703")</f>
        <v>#NAME?</v>
      </c>
      <c r="J310" s="4" t="e">
        <f ca="1">[1]!BexGetData("DP_1","003N8EMH8GTFRCSWKMPXRSGPQ","GSON1112030703")</f>
        <v>#NAME?</v>
      </c>
      <c r="K310" s="8" t="e">
        <f ca="1">[1]!BexGetData("DP_1","003N8EMH8GTFRIVNUPY288VJH","GSON1112030703")</f>
        <v>#NAME?</v>
      </c>
      <c r="L310" s="8" t="e">
        <f ca="1">[1]!BexGetData("DP_1","003N8EMH8GTFRIVNUPY2891V1","GSON1112030703")</f>
        <v>#NAME?</v>
      </c>
      <c r="M310" s="8" t="e">
        <f ca="1">[1]!BexGetData("DP_1","003N8EMH8GTFRIVOG7KG9IQXA","GSON1112030703")</f>
        <v>#NAME?</v>
      </c>
      <c r="N310" s="8" t="e">
        <f ca="1">[1]!BexGetData("DP_1","003N8EMH8GTFRIVOG7KG9IX8U","GSON1112030703")</f>
        <v>#NAME?</v>
      </c>
      <c r="O310" s="8" t="e">
        <f ca="1">[1]!BexGetData("DP_1","003N8EMH8GTFRIVOG7KG9J3KE","GSON1112030703")</f>
        <v>#NAME?</v>
      </c>
      <c r="P310" s="8" t="e">
        <f ca="1">[1]!BexGetData("DP_1","003N8EMH8GTFRIVOG7KG9J9VY","GSON1112030703")</f>
        <v>#NAME?</v>
      </c>
      <c r="Q310" s="4" t="e">
        <f ca="1">[1]!BexGetData("DP_1","00O2TNJGODT0G5Z4TTKYMM5MT","GSON1112030703")</f>
        <v>#NAME?</v>
      </c>
      <c r="R310" s="4" t="e">
        <f ca="1">[1]!BexGetData("DP_1","00O2TNJGODT0G5Z4TTKYMMBYD","GSON1112030703")</f>
        <v>#NAME?</v>
      </c>
      <c r="S310" s="4" t="e">
        <f ca="1">[1]!BexGetData("DP_1","00O2TNJGODT0G5Z4TTKYMMI9X","GSON1112030703")</f>
        <v>#NAME?</v>
      </c>
      <c r="T310" s="4" t="e">
        <f ca="1">[1]!BexGetData("DP_1","00O2TNJGODT0G5Z4TTKYMMOLH","GSON1112030703")</f>
        <v>#NAME?</v>
      </c>
      <c r="U310" s="4" t="e">
        <f ca="1">[1]!BexGetData("DP_1","00O2TNJGODT0G5Z4TTKYMMUX1","GSON1112030703")</f>
        <v>#NAME?</v>
      </c>
      <c r="V310" s="4" t="e">
        <f ca="1">[1]!BexGetData("DP_1","00O2TNJGODT0G5Z4TTKYMN18L","GSON1112030703")</f>
        <v>#NAME?</v>
      </c>
      <c r="W310" s="4" t="e">
        <f ca="1">[1]!BexGetData("DP_1","00O2TNJGODT0G5Z4TTKYMN7K5","GSON1112030703")</f>
        <v>#NAME?</v>
      </c>
    </row>
    <row r="311" spans="1:23" x14ac:dyDescent="0.2">
      <c r="A311" s="16" t="s">
        <v>2099</v>
      </c>
      <c r="B311" s="7" t="s">
        <v>2100</v>
      </c>
      <c r="C311" s="3" t="e">
        <f ca="1">[1]!BexGetData("DP_1","003N8EMH8GTFRCSWKMPXRR8GU","GSON1112030704")</f>
        <v>#NAME?</v>
      </c>
      <c r="D311" s="3" t="e">
        <f ca="1">[1]!BexGetData("DP_1","003N8EMH8GTFRCSWKMPXRRESE","GSON1112030704")</f>
        <v>#NAME?</v>
      </c>
      <c r="E311" s="8" t="e">
        <f ca="1">[1]!BexGetData("DP_1","003N8EMH8GTFRCSWKMPXRRL3Y","GSON1112030704")</f>
        <v>#NAME?</v>
      </c>
      <c r="F311" s="4" t="e">
        <f ca="1">[1]!BexGetData("DP_1","003N8EMH8GTFRCSWKMPXRRRFI","GSON1112030704")</f>
        <v>#NAME?</v>
      </c>
      <c r="G311" s="4" t="e">
        <f ca="1">[1]!BexGetData("DP_1","003N8EMH8GTFRCSWKMPXRRXR2","GSON1112030704")</f>
        <v>#NAME?</v>
      </c>
      <c r="H311" s="4" t="e">
        <f ca="1">[1]!BexGetData("DP_1","003N8EMH8GTFRCSWKMPXRS42M","GSON1112030704")</f>
        <v>#NAME?</v>
      </c>
      <c r="I311" s="4" t="e">
        <f ca="1">[1]!BexGetData("DP_1","003N8EMH8GTFRCSWKMPXRSAE6","GSON1112030704")</f>
        <v>#NAME?</v>
      </c>
      <c r="J311" s="4" t="e">
        <f ca="1">[1]!BexGetData("DP_1","003N8EMH8GTFRCSWKMPXRSGPQ","GSON1112030704")</f>
        <v>#NAME?</v>
      </c>
      <c r="K311" s="8" t="e">
        <f ca="1">[1]!BexGetData("DP_1","003N8EMH8GTFRIVNUPY288VJH","GSON1112030704")</f>
        <v>#NAME?</v>
      </c>
      <c r="L311" s="8" t="e">
        <f ca="1">[1]!BexGetData("DP_1","003N8EMH8GTFRIVNUPY2891V1","GSON1112030704")</f>
        <v>#NAME?</v>
      </c>
      <c r="M311" s="8" t="e">
        <f ca="1">[1]!BexGetData("DP_1","003N8EMH8GTFRIVOG7KG9IQXA","GSON1112030704")</f>
        <v>#NAME?</v>
      </c>
      <c r="N311" s="8" t="e">
        <f ca="1">[1]!BexGetData("DP_1","003N8EMH8GTFRIVOG7KG9IX8U","GSON1112030704")</f>
        <v>#NAME?</v>
      </c>
      <c r="O311" s="8" t="e">
        <f ca="1">[1]!BexGetData("DP_1","003N8EMH8GTFRIVOG7KG9J3KE","GSON1112030704")</f>
        <v>#NAME?</v>
      </c>
      <c r="P311" s="8" t="e">
        <f ca="1">[1]!BexGetData("DP_1","003N8EMH8GTFRIVOG7KG9J9VY","GSON1112030704")</f>
        <v>#NAME?</v>
      </c>
      <c r="Q311" s="4" t="e">
        <f ca="1">[1]!BexGetData("DP_1","00O2TNJGODT0G5Z4TTKYMM5MT","GSON1112030704")</f>
        <v>#NAME?</v>
      </c>
      <c r="R311" s="4" t="e">
        <f ca="1">[1]!BexGetData("DP_1","00O2TNJGODT0G5Z4TTKYMMBYD","GSON1112030704")</f>
        <v>#NAME?</v>
      </c>
      <c r="S311" s="4" t="e">
        <f ca="1">[1]!BexGetData("DP_1","00O2TNJGODT0G5Z4TTKYMMI9X","GSON1112030704")</f>
        <v>#NAME?</v>
      </c>
      <c r="T311" s="4" t="e">
        <f ca="1">[1]!BexGetData("DP_1","00O2TNJGODT0G5Z4TTKYMMOLH","GSON1112030704")</f>
        <v>#NAME?</v>
      </c>
      <c r="U311" s="4" t="e">
        <f ca="1">[1]!BexGetData("DP_1","00O2TNJGODT0G5Z4TTKYMMUX1","GSON1112030704")</f>
        <v>#NAME?</v>
      </c>
      <c r="V311" s="4" t="e">
        <f ca="1">[1]!BexGetData("DP_1","00O2TNJGODT0G5Z4TTKYMN18L","GSON1112030704")</f>
        <v>#NAME?</v>
      </c>
      <c r="W311" s="4" t="e">
        <f ca="1">[1]!BexGetData("DP_1","00O2TNJGODT0G5Z4TTKYMN7K5","GSON1112030704")</f>
        <v>#NAME?</v>
      </c>
    </row>
    <row r="312" spans="1:23" x14ac:dyDescent="0.2">
      <c r="A312" s="16" t="s">
        <v>2101</v>
      </c>
      <c r="B312" s="7" t="s">
        <v>2102</v>
      </c>
      <c r="C312" s="3" t="e">
        <f ca="1">[1]!BexGetData("DP_1","003N8EMH8GTFRCSWKMPXRR8GU","GSON1112030705")</f>
        <v>#NAME?</v>
      </c>
      <c r="D312" s="8" t="e">
        <f ca="1">[1]!BexGetData("DP_1","003N8EMH8GTFRCSWKMPXRRESE","GSON1112030705")</f>
        <v>#NAME?</v>
      </c>
      <c r="E312" s="3" t="e">
        <f ca="1">[1]!BexGetData("DP_1","003N8EMH8GTFRCSWKMPXRRL3Y","GSON1112030705")</f>
        <v>#NAME?</v>
      </c>
      <c r="F312" s="4" t="e">
        <f ca="1">[1]!BexGetData("DP_1","003N8EMH8GTFRCSWKMPXRRRFI","GSON1112030705")</f>
        <v>#NAME?</v>
      </c>
      <c r="G312" s="4" t="e">
        <f ca="1">[1]!BexGetData("DP_1","003N8EMH8GTFRCSWKMPXRRXR2","GSON1112030705")</f>
        <v>#NAME?</v>
      </c>
      <c r="H312" s="4" t="e">
        <f ca="1">[1]!BexGetData("DP_1","003N8EMH8GTFRCSWKMPXRS42M","GSON1112030705")</f>
        <v>#NAME?</v>
      </c>
      <c r="I312" s="4" t="e">
        <f ca="1">[1]!BexGetData("DP_1","003N8EMH8GTFRCSWKMPXRSAE6","GSON1112030705")</f>
        <v>#NAME?</v>
      </c>
      <c r="J312" s="4" t="e">
        <f ca="1">[1]!BexGetData("DP_1","003N8EMH8GTFRCSWKMPXRSGPQ","GSON1112030705")</f>
        <v>#NAME?</v>
      </c>
      <c r="K312" s="3" t="e">
        <f ca="1">[1]!BexGetData("DP_1","003N8EMH8GTFRIVNUPY288VJH","GSON1112030705")</f>
        <v>#NAME?</v>
      </c>
      <c r="L312" s="3" t="e">
        <f ca="1">[1]!BexGetData("DP_1","003N8EMH8GTFRIVNUPY2891V1","GSON1112030705")</f>
        <v>#NAME?</v>
      </c>
      <c r="M312" s="8" t="e">
        <f ca="1">[1]!BexGetData("DP_1","003N8EMH8GTFRIVOG7KG9IQXA","GSON1112030705")</f>
        <v>#NAME?</v>
      </c>
      <c r="N312" s="3" t="e">
        <f ca="1">[1]!BexGetData("DP_1","003N8EMH8GTFRIVOG7KG9IX8U","GSON1112030705")</f>
        <v>#NAME?</v>
      </c>
      <c r="O312" s="8" t="e">
        <f ca="1">[1]!BexGetData("DP_1","003N8EMH8GTFRIVOG7KG9J3KE","GSON1112030705")</f>
        <v>#NAME?</v>
      </c>
      <c r="P312" s="3" t="e">
        <f ca="1">[1]!BexGetData("DP_1","003N8EMH8GTFRIVOG7KG9J9VY","GSON1112030705")</f>
        <v>#NAME?</v>
      </c>
      <c r="Q312" s="4" t="e">
        <f ca="1">[1]!BexGetData("DP_1","00O2TNJGODT0G5Z4TTKYMM5MT","GSON1112030705")</f>
        <v>#NAME?</v>
      </c>
      <c r="R312" s="4" t="e">
        <f ca="1">[1]!BexGetData("DP_1","00O2TNJGODT0G5Z4TTKYMMBYD","GSON1112030705")</f>
        <v>#NAME?</v>
      </c>
      <c r="S312" s="4" t="e">
        <f ca="1">[1]!BexGetData("DP_1","00O2TNJGODT0G5Z4TTKYMMI9X","GSON1112030705")</f>
        <v>#NAME?</v>
      </c>
      <c r="T312" s="4" t="e">
        <f ca="1">[1]!BexGetData("DP_1","00O2TNJGODT0G5Z4TTKYMMOLH","GSON1112030705")</f>
        <v>#NAME?</v>
      </c>
      <c r="U312" s="4" t="e">
        <f ca="1">[1]!BexGetData("DP_1","00O2TNJGODT0G5Z4TTKYMMUX1","GSON1112030705")</f>
        <v>#NAME?</v>
      </c>
      <c r="V312" s="4" t="e">
        <f ca="1">[1]!BexGetData("DP_1","00O2TNJGODT0G5Z4TTKYMN18L","GSON1112030705")</f>
        <v>#NAME?</v>
      </c>
      <c r="W312" s="4" t="e">
        <f ca="1">[1]!BexGetData("DP_1","00O2TNJGODT0G5Z4TTKYMN7K5","GSON1112030705")</f>
        <v>#NAME?</v>
      </c>
    </row>
    <row r="313" spans="1:23" x14ac:dyDescent="0.2">
      <c r="A313" s="16" t="s">
        <v>622</v>
      </c>
      <c r="B313" s="7" t="s">
        <v>623</v>
      </c>
      <c r="C313" s="3" t="e">
        <f ca="1">[1]!BexGetData("DP_1","003N8EMH8GTFRCSWKMPXRR8GU","GSON1112030710")</f>
        <v>#NAME?</v>
      </c>
      <c r="D313" s="3" t="e">
        <f ca="1">[1]!BexGetData("DP_1","003N8EMH8GTFRCSWKMPXRRESE","GSON1112030710")</f>
        <v>#NAME?</v>
      </c>
      <c r="E313" s="3" t="e">
        <f ca="1">[1]!BexGetData("DP_1","003N8EMH8GTFRCSWKMPXRRL3Y","GSON1112030710")</f>
        <v>#NAME?</v>
      </c>
      <c r="F313" s="3" t="e">
        <f ca="1">[1]!BexGetData("DP_1","003N8EMH8GTFRCSWKMPXRRRFI","GSON1112030710")</f>
        <v>#NAME?</v>
      </c>
      <c r="G313" s="3" t="e">
        <f ca="1">[1]!BexGetData("DP_1","003N8EMH8GTFRCSWKMPXRRXR2","GSON1112030710")</f>
        <v>#NAME?</v>
      </c>
      <c r="H313" s="8" t="e">
        <f ca="1">[1]!BexGetData("DP_1","003N8EMH8GTFRCSWKMPXRS42M","GSON1112030710")</f>
        <v>#NAME?</v>
      </c>
      <c r="I313" s="3" t="e">
        <f ca="1">[1]!BexGetData("DP_1","003N8EMH8GTFRCSWKMPXRSAE6","GSON1112030710")</f>
        <v>#NAME?</v>
      </c>
      <c r="J313" s="4" t="e">
        <f ca="1">[1]!BexGetData("DP_1","003N8EMH8GTFRCSWKMPXRSGPQ","GSON1112030710")</f>
        <v>#NAME?</v>
      </c>
      <c r="K313" s="3" t="e">
        <f ca="1">[1]!BexGetData("DP_1","003N8EMH8GTFRIVNUPY288VJH","GSON1112030710")</f>
        <v>#NAME?</v>
      </c>
      <c r="L313" s="3" t="e">
        <f ca="1">[1]!BexGetData("DP_1","003N8EMH8GTFRIVNUPY2891V1","GSON1112030710")</f>
        <v>#NAME?</v>
      </c>
      <c r="M313" s="3" t="e">
        <f ca="1">[1]!BexGetData("DP_1","003N8EMH8GTFRIVOG7KG9IQXA","GSON1112030710")</f>
        <v>#NAME?</v>
      </c>
      <c r="N313" s="8" t="e">
        <f ca="1">[1]!BexGetData("DP_1","003N8EMH8GTFRIVOG7KG9IX8U","GSON1112030710")</f>
        <v>#NAME?</v>
      </c>
      <c r="O313" s="3" t="e">
        <f ca="1">[1]!BexGetData("DP_1","003N8EMH8GTFRIVOG7KG9J3KE","GSON1112030710")</f>
        <v>#NAME?</v>
      </c>
      <c r="P313" s="8" t="e">
        <f ca="1">[1]!BexGetData("DP_1","003N8EMH8GTFRIVOG7KG9J9VY","GSON1112030710")</f>
        <v>#NAME?</v>
      </c>
      <c r="Q313" s="4" t="e">
        <f ca="1">[1]!BexGetData("DP_1","00O2TNJGODT0G5Z4TTKYMM5MT","GSON1112030710")</f>
        <v>#NAME?</v>
      </c>
      <c r="R313" s="3" t="e">
        <f ca="1">[1]!BexGetData("DP_1","00O2TNJGODT0G5Z4TTKYMMBYD","GSON1112030710")</f>
        <v>#NAME?</v>
      </c>
      <c r="S313" s="3" t="e">
        <f ca="1">[1]!BexGetData("DP_1","00O2TNJGODT0G5Z4TTKYMMI9X","GSON1112030710")</f>
        <v>#NAME?</v>
      </c>
      <c r="T313" s="8" t="e">
        <f ca="1">[1]!BexGetData("DP_1","00O2TNJGODT0G5Z4TTKYMMOLH","GSON1112030710")</f>
        <v>#NAME?</v>
      </c>
      <c r="U313" s="3" t="e">
        <f ca="1">[1]!BexGetData("DP_1","00O2TNJGODT0G5Z4TTKYMMUX1","GSON1112030710")</f>
        <v>#NAME?</v>
      </c>
      <c r="V313" s="8" t="e">
        <f ca="1">[1]!BexGetData("DP_1","00O2TNJGODT0G5Z4TTKYMN18L","GSON1112030710")</f>
        <v>#NAME?</v>
      </c>
      <c r="W313" s="3" t="e">
        <f ca="1">[1]!BexGetData("DP_1","00O2TNJGODT0G5Z4TTKYMN7K5","GSON1112030710")</f>
        <v>#NAME?</v>
      </c>
    </row>
    <row r="314" spans="1:23" x14ac:dyDescent="0.2">
      <c r="A314" s="16" t="s">
        <v>624</v>
      </c>
      <c r="B314" s="7" t="s">
        <v>625</v>
      </c>
      <c r="C314" s="3" t="e">
        <f ca="1">[1]!BexGetData("DP_1","003N8EMH8GTFRCSWKMPXRR8GU","GSON1112030711")</f>
        <v>#NAME?</v>
      </c>
      <c r="D314" s="3" t="e">
        <f ca="1">[1]!BexGetData("DP_1","003N8EMH8GTFRCSWKMPXRRESE","GSON1112030711")</f>
        <v>#NAME?</v>
      </c>
      <c r="E314" s="8" t="e">
        <f ca="1">[1]!BexGetData("DP_1","003N8EMH8GTFRCSWKMPXRRL3Y","GSON1112030711")</f>
        <v>#NAME?</v>
      </c>
      <c r="F314" s="4" t="e">
        <f ca="1">[1]!BexGetData("DP_1","003N8EMH8GTFRCSWKMPXRRRFI","GSON1112030711")</f>
        <v>#NAME?</v>
      </c>
      <c r="G314" s="4" t="e">
        <f ca="1">[1]!BexGetData("DP_1","003N8EMH8GTFRCSWKMPXRRXR2","GSON1112030711")</f>
        <v>#NAME?</v>
      </c>
      <c r="H314" s="4" t="e">
        <f ca="1">[1]!BexGetData("DP_1","003N8EMH8GTFRCSWKMPXRS42M","GSON1112030711")</f>
        <v>#NAME?</v>
      </c>
      <c r="I314" s="4" t="e">
        <f ca="1">[1]!BexGetData("DP_1","003N8EMH8GTFRCSWKMPXRSAE6","GSON1112030711")</f>
        <v>#NAME?</v>
      </c>
      <c r="J314" s="4" t="e">
        <f ca="1">[1]!BexGetData("DP_1","003N8EMH8GTFRCSWKMPXRSGPQ","GSON1112030711")</f>
        <v>#NAME?</v>
      </c>
      <c r="K314" s="8" t="e">
        <f ca="1">[1]!BexGetData("DP_1","003N8EMH8GTFRIVNUPY288VJH","GSON1112030711")</f>
        <v>#NAME?</v>
      </c>
      <c r="L314" s="8" t="e">
        <f ca="1">[1]!BexGetData("DP_1","003N8EMH8GTFRIVNUPY2891V1","GSON1112030711")</f>
        <v>#NAME?</v>
      </c>
      <c r="M314" s="8" t="e">
        <f ca="1">[1]!BexGetData("DP_1","003N8EMH8GTFRIVOG7KG9IQXA","GSON1112030711")</f>
        <v>#NAME?</v>
      </c>
      <c r="N314" s="8" t="e">
        <f ca="1">[1]!BexGetData("DP_1","003N8EMH8GTFRIVOG7KG9IX8U","GSON1112030711")</f>
        <v>#NAME?</v>
      </c>
      <c r="O314" s="8" t="e">
        <f ca="1">[1]!BexGetData("DP_1","003N8EMH8GTFRIVOG7KG9J3KE","GSON1112030711")</f>
        <v>#NAME?</v>
      </c>
      <c r="P314" s="8" t="e">
        <f ca="1">[1]!BexGetData("DP_1","003N8EMH8GTFRIVOG7KG9J9VY","GSON1112030711")</f>
        <v>#NAME?</v>
      </c>
      <c r="Q314" s="4" t="e">
        <f ca="1">[1]!BexGetData("DP_1","00O2TNJGODT0G5Z4TTKYMM5MT","GSON1112030711")</f>
        <v>#NAME?</v>
      </c>
      <c r="R314" s="4" t="e">
        <f ca="1">[1]!BexGetData("DP_1","00O2TNJGODT0G5Z4TTKYMMBYD","GSON1112030711")</f>
        <v>#NAME?</v>
      </c>
      <c r="S314" s="4" t="e">
        <f ca="1">[1]!BexGetData("DP_1","00O2TNJGODT0G5Z4TTKYMMI9X","GSON1112030711")</f>
        <v>#NAME?</v>
      </c>
      <c r="T314" s="4" t="e">
        <f ca="1">[1]!BexGetData("DP_1","00O2TNJGODT0G5Z4TTKYMMOLH","GSON1112030711")</f>
        <v>#NAME?</v>
      </c>
      <c r="U314" s="4" t="e">
        <f ca="1">[1]!BexGetData("DP_1","00O2TNJGODT0G5Z4TTKYMMUX1","GSON1112030711")</f>
        <v>#NAME?</v>
      </c>
      <c r="V314" s="4" t="e">
        <f ca="1">[1]!BexGetData("DP_1","00O2TNJGODT0G5Z4TTKYMN18L","GSON1112030711")</f>
        <v>#NAME?</v>
      </c>
      <c r="W314" s="4" t="e">
        <f ca="1">[1]!BexGetData("DP_1","00O2TNJGODT0G5Z4TTKYMN7K5","GSON1112030711")</f>
        <v>#NAME?</v>
      </c>
    </row>
    <row r="315" spans="1:23" x14ac:dyDescent="0.2">
      <c r="A315" s="16" t="s">
        <v>2103</v>
      </c>
      <c r="B315" s="7" t="s">
        <v>2104</v>
      </c>
      <c r="C315" s="3" t="e">
        <f ca="1">[1]!BexGetData("DP_1","003N8EMH8GTFRCSWKMPXRR8GU","GSON1112030713")</f>
        <v>#NAME?</v>
      </c>
      <c r="D315" s="3" t="e">
        <f ca="1">[1]!BexGetData("DP_1","003N8EMH8GTFRCSWKMPXRRESE","GSON1112030713")</f>
        <v>#NAME?</v>
      </c>
      <c r="E315" s="8" t="e">
        <f ca="1">[1]!BexGetData("DP_1","003N8EMH8GTFRCSWKMPXRRL3Y","GSON1112030713")</f>
        <v>#NAME?</v>
      </c>
      <c r="F315" s="4" t="e">
        <f ca="1">[1]!BexGetData("DP_1","003N8EMH8GTFRCSWKMPXRRRFI","GSON1112030713")</f>
        <v>#NAME?</v>
      </c>
      <c r="G315" s="4" t="e">
        <f ca="1">[1]!BexGetData("DP_1","003N8EMH8GTFRCSWKMPXRRXR2","GSON1112030713")</f>
        <v>#NAME?</v>
      </c>
      <c r="H315" s="4" t="e">
        <f ca="1">[1]!BexGetData("DP_1","003N8EMH8GTFRCSWKMPXRS42M","GSON1112030713")</f>
        <v>#NAME?</v>
      </c>
      <c r="I315" s="4" t="e">
        <f ca="1">[1]!BexGetData("DP_1","003N8EMH8GTFRCSWKMPXRSAE6","GSON1112030713")</f>
        <v>#NAME?</v>
      </c>
      <c r="J315" s="4" t="e">
        <f ca="1">[1]!BexGetData("DP_1","003N8EMH8GTFRCSWKMPXRSGPQ","GSON1112030713")</f>
        <v>#NAME?</v>
      </c>
      <c r="K315" s="8" t="e">
        <f ca="1">[1]!BexGetData("DP_1","003N8EMH8GTFRIVNUPY288VJH","GSON1112030713")</f>
        <v>#NAME?</v>
      </c>
      <c r="L315" s="8" t="e">
        <f ca="1">[1]!BexGetData("DP_1","003N8EMH8GTFRIVNUPY2891V1","GSON1112030713")</f>
        <v>#NAME?</v>
      </c>
      <c r="M315" s="8" t="e">
        <f ca="1">[1]!BexGetData("DP_1","003N8EMH8GTFRIVOG7KG9IQXA","GSON1112030713")</f>
        <v>#NAME?</v>
      </c>
      <c r="N315" s="8" t="e">
        <f ca="1">[1]!BexGetData("DP_1","003N8EMH8GTFRIVOG7KG9IX8U","GSON1112030713")</f>
        <v>#NAME?</v>
      </c>
      <c r="O315" s="8" t="e">
        <f ca="1">[1]!BexGetData("DP_1","003N8EMH8GTFRIVOG7KG9J3KE","GSON1112030713")</f>
        <v>#NAME?</v>
      </c>
      <c r="P315" s="8" t="e">
        <f ca="1">[1]!BexGetData("DP_1","003N8EMH8GTFRIVOG7KG9J9VY","GSON1112030713")</f>
        <v>#NAME?</v>
      </c>
      <c r="Q315" s="4" t="e">
        <f ca="1">[1]!BexGetData("DP_1","00O2TNJGODT0G5Z4TTKYMM5MT","GSON1112030713")</f>
        <v>#NAME?</v>
      </c>
      <c r="R315" s="4" t="e">
        <f ca="1">[1]!BexGetData("DP_1","00O2TNJGODT0G5Z4TTKYMMBYD","GSON1112030713")</f>
        <v>#NAME?</v>
      </c>
      <c r="S315" s="4" t="e">
        <f ca="1">[1]!BexGetData("DP_1","00O2TNJGODT0G5Z4TTKYMMI9X","GSON1112030713")</f>
        <v>#NAME?</v>
      </c>
      <c r="T315" s="4" t="e">
        <f ca="1">[1]!BexGetData("DP_1","00O2TNJGODT0G5Z4TTKYMMOLH","GSON1112030713")</f>
        <v>#NAME?</v>
      </c>
      <c r="U315" s="4" t="e">
        <f ca="1">[1]!BexGetData("DP_1","00O2TNJGODT0G5Z4TTKYMMUX1","GSON1112030713")</f>
        <v>#NAME?</v>
      </c>
      <c r="V315" s="4" t="e">
        <f ca="1">[1]!BexGetData("DP_1","00O2TNJGODT0G5Z4TTKYMN18L","GSON1112030713")</f>
        <v>#NAME?</v>
      </c>
      <c r="W315" s="4" t="e">
        <f ca="1">[1]!BexGetData("DP_1","00O2TNJGODT0G5Z4TTKYMN7K5","GSON1112030713")</f>
        <v>#NAME?</v>
      </c>
    </row>
    <row r="316" spans="1:23" x14ac:dyDescent="0.2">
      <c r="A316" s="16" t="s">
        <v>2105</v>
      </c>
      <c r="B316" s="7" t="s">
        <v>2106</v>
      </c>
      <c r="C316" s="3" t="e">
        <f ca="1">[1]!BexGetData("DP_1","003N8EMH8GTFRCSWKMPXRR8GU","GSON1112030714")</f>
        <v>#NAME?</v>
      </c>
      <c r="D316" s="3" t="e">
        <f ca="1">[1]!BexGetData("DP_1","003N8EMH8GTFRCSWKMPXRRESE","GSON1112030714")</f>
        <v>#NAME?</v>
      </c>
      <c r="E316" s="8" t="e">
        <f ca="1">[1]!BexGetData("DP_1","003N8EMH8GTFRCSWKMPXRRL3Y","GSON1112030714")</f>
        <v>#NAME?</v>
      </c>
      <c r="F316" s="4" t="e">
        <f ca="1">[1]!BexGetData("DP_1","003N8EMH8GTFRCSWKMPXRRRFI","GSON1112030714")</f>
        <v>#NAME?</v>
      </c>
      <c r="G316" s="4" t="e">
        <f ca="1">[1]!BexGetData("DP_1","003N8EMH8GTFRCSWKMPXRRXR2","GSON1112030714")</f>
        <v>#NAME?</v>
      </c>
      <c r="H316" s="4" t="e">
        <f ca="1">[1]!BexGetData("DP_1","003N8EMH8GTFRCSWKMPXRS42M","GSON1112030714")</f>
        <v>#NAME?</v>
      </c>
      <c r="I316" s="4" t="e">
        <f ca="1">[1]!BexGetData("DP_1","003N8EMH8GTFRCSWKMPXRSAE6","GSON1112030714")</f>
        <v>#NAME?</v>
      </c>
      <c r="J316" s="4" t="e">
        <f ca="1">[1]!BexGetData("DP_1","003N8EMH8GTFRCSWKMPXRSGPQ","GSON1112030714")</f>
        <v>#NAME?</v>
      </c>
      <c r="K316" s="8" t="e">
        <f ca="1">[1]!BexGetData("DP_1","003N8EMH8GTFRIVNUPY288VJH","GSON1112030714")</f>
        <v>#NAME?</v>
      </c>
      <c r="L316" s="8" t="e">
        <f ca="1">[1]!BexGetData("DP_1","003N8EMH8GTFRIVNUPY2891V1","GSON1112030714")</f>
        <v>#NAME?</v>
      </c>
      <c r="M316" s="8" t="e">
        <f ca="1">[1]!BexGetData("DP_1","003N8EMH8GTFRIVOG7KG9IQXA","GSON1112030714")</f>
        <v>#NAME?</v>
      </c>
      <c r="N316" s="8" t="e">
        <f ca="1">[1]!BexGetData("DP_1","003N8EMH8GTFRIVOG7KG9IX8U","GSON1112030714")</f>
        <v>#NAME?</v>
      </c>
      <c r="O316" s="8" t="e">
        <f ca="1">[1]!BexGetData("DP_1","003N8EMH8GTFRIVOG7KG9J3KE","GSON1112030714")</f>
        <v>#NAME?</v>
      </c>
      <c r="P316" s="8" t="e">
        <f ca="1">[1]!BexGetData("DP_1","003N8EMH8GTFRIVOG7KG9J9VY","GSON1112030714")</f>
        <v>#NAME?</v>
      </c>
      <c r="Q316" s="4" t="e">
        <f ca="1">[1]!BexGetData("DP_1","00O2TNJGODT0G5Z4TTKYMM5MT","GSON1112030714")</f>
        <v>#NAME?</v>
      </c>
      <c r="R316" s="4" t="e">
        <f ca="1">[1]!BexGetData("DP_1","00O2TNJGODT0G5Z4TTKYMMBYD","GSON1112030714")</f>
        <v>#NAME?</v>
      </c>
      <c r="S316" s="4" t="e">
        <f ca="1">[1]!BexGetData("DP_1","00O2TNJGODT0G5Z4TTKYMMI9X","GSON1112030714")</f>
        <v>#NAME?</v>
      </c>
      <c r="T316" s="4" t="e">
        <f ca="1">[1]!BexGetData("DP_1","00O2TNJGODT0G5Z4TTKYMMOLH","GSON1112030714")</f>
        <v>#NAME?</v>
      </c>
      <c r="U316" s="4" t="e">
        <f ca="1">[1]!BexGetData("DP_1","00O2TNJGODT0G5Z4TTKYMMUX1","GSON1112030714")</f>
        <v>#NAME?</v>
      </c>
      <c r="V316" s="4" t="e">
        <f ca="1">[1]!BexGetData("DP_1","00O2TNJGODT0G5Z4TTKYMN18L","GSON1112030714")</f>
        <v>#NAME?</v>
      </c>
      <c r="W316" s="4" t="e">
        <f ca="1">[1]!BexGetData("DP_1","00O2TNJGODT0G5Z4TTKYMN7K5","GSON1112030714")</f>
        <v>#NAME?</v>
      </c>
    </row>
    <row r="317" spans="1:23" x14ac:dyDescent="0.2">
      <c r="A317" s="16" t="s">
        <v>870</v>
      </c>
      <c r="B317" s="7" t="s">
        <v>871</v>
      </c>
      <c r="C317" s="3" t="e">
        <f ca="1">[1]!BexGetData("DP_1","003N8EMH8GTFRCSWKMPXRR8GU","GSON1112030720")</f>
        <v>#NAME?</v>
      </c>
      <c r="D317" s="3" t="e">
        <f ca="1">[1]!BexGetData("DP_1","003N8EMH8GTFRCSWKMPXRRESE","GSON1112030720")</f>
        <v>#NAME?</v>
      </c>
      <c r="E317" s="3" t="e">
        <f ca="1">[1]!BexGetData("DP_1","003N8EMH8GTFRCSWKMPXRRL3Y","GSON1112030720")</f>
        <v>#NAME?</v>
      </c>
      <c r="F317" s="3" t="e">
        <f ca="1">[1]!BexGetData("DP_1","003N8EMH8GTFRCSWKMPXRRRFI","GSON1112030720")</f>
        <v>#NAME?</v>
      </c>
      <c r="G317" s="3" t="e">
        <f ca="1">[1]!BexGetData("DP_1","003N8EMH8GTFRCSWKMPXRRXR2","GSON1112030720")</f>
        <v>#NAME?</v>
      </c>
      <c r="H317" s="8" t="e">
        <f ca="1">[1]!BexGetData("DP_1","003N8EMH8GTFRCSWKMPXRS42M","GSON1112030720")</f>
        <v>#NAME?</v>
      </c>
      <c r="I317" s="3" t="e">
        <f ca="1">[1]!BexGetData("DP_1","003N8EMH8GTFRCSWKMPXRSAE6","GSON1112030720")</f>
        <v>#NAME?</v>
      </c>
      <c r="J317" s="4" t="e">
        <f ca="1">[1]!BexGetData("DP_1","003N8EMH8GTFRCSWKMPXRSGPQ","GSON1112030720")</f>
        <v>#NAME?</v>
      </c>
      <c r="K317" s="3" t="e">
        <f ca="1">[1]!BexGetData("DP_1","003N8EMH8GTFRIVNUPY288VJH","GSON1112030720")</f>
        <v>#NAME?</v>
      </c>
      <c r="L317" s="3" t="e">
        <f ca="1">[1]!BexGetData("DP_1","003N8EMH8GTFRIVNUPY2891V1","GSON1112030720")</f>
        <v>#NAME?</v>
      </c>
      <c r="M317" s="3" t="e">
        <f ca="1">[1]!BexGetData("DP_1","003N8EMH8GTFRIVOG7KG9IQXA","GSON1112030720")</f>
        <v>#NAME?</v>
      </c>
      <c r="N317" s="8" t="e">
        <f ca="1">[1]!BexGetData("DP_1","003N8EMH8GTFRIVOG7KG9IX8U","GSON1112030720")</f>
        <v>#NAME?</v>
      </c>
      <c r="O317" s="3" t="e">
        <f ca="1">[1]!BexGetData("DP_1","003N8EMH8GTFRIVOG7KG9J3KE","GSON1112030720")</f>
        <v>#NAME?</v>
      </c>
      <c r="P317" s="8" t="e">
        <f ca="1">[1]!BexGetData("DP_1","003N8EMH8GTFRIVOG7KG9J9VY","GSON1112030720")</f>
        <v>#NAME?</v>
      </c>
      <c r="Q317" s="4" t="e">
        <f ca="1">[1]!BexGetData("DP_1","00O2TNJGODT0G5Z4TTKYMM5MT","GSON1112030720")</f>
        <v>#NAME?</v>
      </c>
      <c r="R317" s="3" t="e">
        <f ca="1">[1]!BexGetData("DP_1","00O2TNJGODT0G5Z4TTKYMMBYD","GSON1112030720")</f>
        <v>#NAME?</v>
      </c>
      <c r="S317" s="3" t="e">
        <f ca="1">[1]!BexGetData("DP_1","00O2TNJGODT0G5Z4TTKYMMI9X","GSON1112030720")</f>
        <v>#NAME?</v>
      </c>
      <c r="T317" s="8" t="e">
        <f ca="1">[1]!BexGetData("DP_1","00O2TNJGODT0G5Z4TTKYMMOLH","GSON1112030720")</f>
        <v>#NAME?</v>
      </c>
      <c r="U317" s="3" t="e">
        <f ca="1">[1]!BexGetData("DP_1","00O2TNJGODT0G5Z4TTKYMMUX1","GSON1112030720")</f>
        <v>#NAME?</v>
      </c>
      <c r="V317" s="8" t="e">
        <f ca="1">[1]!BexGetData("DP_1","00O2TNJGODT0G5Z4TTKYMN18L","GSON1112030720")</f>
        <v>#NAME?</v>
      </c>
      <c r="W317" s="3" t="e">
        <f ca="1">[1]!BexGetData("DP_1","00O2TNJGODT0G5Z4TTKYMN7K5","GSON1112030720")</f>
        <v>#NAME?</v>
      </c>
    </row>
    <row r="318" spans="1:23" x14ac:dyDescent="0.2">
      <c r="A318" s="16" t="s">
        <v>872</v>
      </c>
      <c r="B318" s="7" t="s">
        <v>873</v>
      </c>
      <c r="C318" s="3" t="e">
        <f ca="1">[1]!BexGetData("DP_1","003N8EMH8GTFRCSWKMPXRR8GU","GSON1112030721")</f>
        <v>#NAME?</v>
      </c>
      <c r="D318" s="3" t="e">
        <f ca="1">[1]!BexGetData("DP_1","003N8EMH8GTFRCSWKMPXRRESE","GSON1112030721")</f>
        <v>#NAME?</v>
      </c>
      <c r="E318" s="3" t="e">
        <f ca="1">[1]!BexGetData("DP_1","003N8EMH8GTFRCSWKMPXRRL3Y","GSON1112030721")</f>
        <v>#NAME?</v>
      </c>
      <c r="F318" s="4" t="e">
        <f ca="1">[1]!BexGetData("DP_1","003N8EMH8GTFRCSWKMPXRRRFI","GSON1112030721")</f>
        <v>#NAME?</v>
      </c>
      <c r="G318" s="4" t="e">
        <f ca="1">[1]!BexGetData("DP_1","003N8EMH8GTFRCSWKMPXRRXR2","GSON1112030721")</f>
        <v>#NAME?</v>
      </c>
      <c r="H318" s="4" t="e">
        <f ca="1">[1]!BexGetData("DP_1","003N8EMH8GTFRCSWKMPXRS42M","GSON1112030721")</f>
        <v>#NAME?</v>
      </c>
      <c r="I318" s="4" t="e">
        <f ca="1">[1]!BexGetData("DP_1","003N8EMH8GTFRCSWKMPXRSAE6","GSON1112030721")</f>
        <v>#NAME?</v>
      </c>
      <c r="J318" s="4" t="e">
        <f ca="1">[1]!BexGetData("DP_1","003N8EMH8GTFRCSWKMPXRSGPQ","GSON1112030721")</f>
        <v>#NAME?</v>
      </c>
      <c r="K318" s="3" t="e">
        <f ca="1">[1]!BexGetData("DP_1","003N8EMH8GTFRIVNUPY288VJH","GSON1112030721")</f>
        <v>#NAME?</v>
      </c>
      <c r="L318" s="3" t="e">
        <f ca="1">[1]!BexGetData("DP_1","003N8EMH8GTFRIVNUPY2891V1","GSON1112030721")</f>
        <v>#NAME?</v>
      </c>
      <c r="M318" s="3" t="e">
        <f ca="1">[1]!BexGetData("DP_1","003N8EMH8GTFRIVOG7KG9IQXA","GSON1112030721")</f>
        <v>#NAME?</v>
      </c>
      <c r="N318" s="8" t="e">
        <f ca="1">[1]!BexGetData("DP_1","003N8EMH8GTFRIVOG7KG9IX8U","GSON1112030721")</f>
        <v>#NAME?</v>
      </c>
      <c r="O318" s="3" t="e">
        <f ca="1">[1]!BexGetData("DP_1","003N8EMH8GTFRIVOG7KG9J3KE","GSON1112030721")</f>
        <v>#NAME?</v>
      </c>
      <c r="P318" s="8" t="e">
        <f ca="1">[1]!BexGetData("DP_1","003N8EMH8GTFRIVOG7KG9J9VY","GSON1112030721")</f>
        <v>#NAME?</v>
      </c>
      <c r="Q318" s="4" t="e">
        <f ca="1">[1]!BexGetData("DP_1","00O2TNJGODT0G5Z4TTKYMM5MT","GSON1112030721")</f>
        <v>#NAME?</v>
      </c>
      <c r="R318" s="4" t="e">
        <f ca="1">[1]!BexGetData("DP_1","00O2TNJGODT0G5Z4TTKYMMBYD","GSON1112030721")</f>
        <v>#NAME?</v>
      </c>
      <c r="S318" s="4" t="e">
        <f ca="1">[1]!BexGetData("DP_1","00O2TNJGODT0G5Z4TTKYMMI9X","GSON1112030721")</f>
        <v>#NAME?</v>
      </c>
      <c r="T318" s="4" t="e">
        <f ca="1">[1]!BexGetData("DP_1","00O2TNJGODT0G5Z4TTKYMMOLH","GSON1112030721")</f>
        <v>#NAME?</v>
      </c>
      <c r="U318" s="4" t="e">
        <f ca="1">[1]!BexGetData("DP_1","00O2TNJGODT0G5Z4TTKYMMUX1","GSON1112030721")</f>
        <v>#NAME?</v>
      </c>
      <c r="V318" s="4" t="e">
        <f ca="1">[1]!BexGetData("DP_1","00O2TNJGODT0G5Z4TTKYMN18L","GSON1112030721")</f>
        <v>#NAME?</v>
      </c>
      <c r="W318" s="4" t="e">
        <f ca="1">[1]!BexGetData("DP_1","00O2TNJGODT0G5Z4TTKYMN7K5","GSON1112030721")</f>
        <v>#NAME?</v>
      </c>
    </row>
    <row r="319" spans="1:23" x14ac:dyDescent="0.2">
      <c r="A319" s="16" t="s">
        <v>2107</v>
      </c>
      <c r="B319" s="7" t="s">
        <v>2108</v>
      </c>
      <c r="C319" s="3" t="e">
        <f ca="1">[1]!BexGetData("DP_1","003N8EMH8GTFRCSWKMPXRR8GU","GSON1112030723")</f>
        <v>#NAME?</v>
      </c>
      <c r="D319" s="3" t="e">
        <f ca="1">[1]!BexGetData("DP_1","003N8EMH8GTFRCSWKMPXRRESE","GSON1112030723")</f>
        <v>#NAME?</v>
      </c>
      <c r="E319" s="8" t="e">
        <f ca="1">[1]!BexGetData("DP_1","003N8EMH8GTFRCSWKMPXRRL3Y","GSON1112030723")</f>
        <v>#NAME?</v>
      </c>
      <c r="F319" s="4" t="e">
        <f ca="1">[1]!BexGetData("DP_1","003N8EMH8GTFRCSWKMPXRRRFI","GSON1112030723")</f>
        <v>#NAME?</v>
      </c>
      <c r="G319" s="4" t="e">
        <f ca="1">[1]!BexGetData("DP_1","003N8EMH8GTFRCSWKMPXRRXR2","GSON1112030723")</f>
        <v>#NAME?</v>
      </c>
      <c r="H319" s="4" t="e">
        <f ca="1">[1]!BexGetData("DP_1","003N8EMH8GTFRCSWKMPXRS42M","GSON1112030723")</f>
        <v>#NAME?</v>
      </c>
      <c r="I319" s="4" t="e">
        <f ca="1">[1]!BexGetData("DP_1","003N8EMH8GTFRCSWKMPXRSAE6","GSON1112030723")</f>
        <v>#NAME?</v>
      </c>
      <c r="J319" s="4" t="e">
        <f ca="1">[1]!BexGetData("DP_1","003N8EMH8GTFRCSWKMPXRSGPQ","GSON1112030723")</f>
        <v>#NAME?</v>
      </c>
      <c r="K319" s="8" t="e">
        <f ca="1">[1]!BexGetData("DP_1","003N8EMH8GTFRIVNUPY288VJH","GSON1112030723")</f>
        <v>#NAME?</v>
      </c>
      <c r="L319" s="8" t="e">
        <f ca="1">[1]!BexGetData("DP_1","003N8EMH8GTFRIVNUPY2891V1","GSON1112030723")</f>
        <v>#NAME?</v>
      </c>
      <c r="M319" s="8" t="e">
        <f ca="1">[1]!BexGetData("DP_1","003N8EMH8GTFRIVOG7KG9IQXA","GSON1112030723")</f>
        <v>#NAME?</v>
      </c>
      <c r="N319" s="8" t="e">
        <f ca="1">[1]!BexGetData("DP_1","003N8EMH8GTFRIVOG7KG9IX8U","GSON1112030723")</f>
        <v>#NAME?</v>
      </c>
      <c r="O319" s="8" t="e">
        <f ca="1">[1]!BexGetData("DP_1","003N8EMH8GTFRIVOG7KG9J3KE","GSON1112030723")</f>
        <v>#NAME?</v>
      </c>
      <c r="P319" s="8" t="e">
        <f ca="1">[1]!BexGetData("DP_1","003N8EMH8GTFRIVOG7KG9J9VY","GSON1112030723")</f>
        <v>#NAME?</v>
      </c>
      <c r="Q319" s="4" t="e">
        <f ca="1">[1]!BexGetData("DP_1","00O2TNJGODT0G5Z4TTKYMM5MT","GSON1112030723")</f>
        <v>#NAME?</v>
      </c>
      <c r="R319" s="4" t="e">
        <f ca="1">[1]!BexGetData("DP_1","00O2TNJGODT0G5Z4TTKYMMBYD","GSON1112030723")</f>
        <v>#NAME?</v>
      </c>
      <c r="S319" s="4" t="e">
        <f ca="1">[1]!BexGetData("DP_1","00O2TNJGODT0G5Z4TTKYMMI9X","GSON1112030723")</f>
        <v>#NAME?</v>
      </c>
      <c r="T319" s="4" t="e">
        <f ca="1">[1]!BexGetData("DP_1","00O2TNJGODT0G5Z4TTKYMMOLH","GSON1112030723")</f>
        <v>#NAME?</v>
      </c>
      <c r="U319" s="4" t="e">
        <f ca="1">[1]!BexGetData("DP_1","00O2TNJGODT0G5Z4TTKYMMUX1","GSON1112030723")</f>
        <v>#NAME?</v>
      </c>
      <c r="V319" s="4" t="e">
        <f ca="1">[1]!BexGetData("DP_1","00O2TNJGODT0G5Z4TTKYMN18L","GSON1112030723")</f>
        <v>#NAME?</v>
      </c>
      <c r="W319" s="4" t="e">
        <f ca="1">[1]!BexGetData("DP_1","00O2TNJGODT0G5Z4TTKYMN7K5","GSON1112030723")</f>
        <v>#NAME?</v>
      </c>
    </row>
    <row r="320" spans="1:23" x14ac:dyDescent="0.2">
      <c r="A320" s="16" t="s">
        <v>2109</v>
      </c>
      <c r="B320" s="7" t="s">
        <v>2110</v>
      </c>
      <c r="C320" s="3" t="e">
        <f ca="1">[1]!BexGetData("DP_1","003N8EMH8GTFRCSWKMPXRR8GU","GSON1112030724")</f>
        <v>#NAME?</v>
      </c>
      <c r="D320" s="3" t="e">
        <f ca="1">[1]!BexGetData("DP_1","003N8EMH8GTFRCSWKMPXRRESE","GSON1112030724")</f>
        <v>#NAME?</v>
      </c>
      <c r="E320" s="8" t="e">
        <f ca="1">[1]!BexGetData("DP_1","003N8EMH8GTFRCSWKMPXRRL3Y","GSON1112030724")</f>
        <v>#NAME?</v>
      </c>
      <c r="F320" s="4" t="e">
        <f ca="1">[1]!BexGetData("DP_1","003N8EMH8GTFRCSWKMPXRRRFI","GSON1112030724")</f>
        <v>#NAME?</v>
      </c>
      <c r="G320" s="4" t="e">
        <f ca="1">[1]!BexGetData("DP_1","003N8EMH8GTFRCSWKMPXRRXR2","GSON1112030724")</f>
        <v>#NAME?</v>
      </c>
      <c r="H320" s="4" t="e">
        <f ca="1">[1]!BexGetData("DP_1","003N8EMH8GTFRCSWKMPXRS42M","GSON1112030724")</f>
        <v>#NAME?</v>
      </c>
      <c r="I320" s="4" t="e">
        <f ca="1">[1]!BexGetData("DP_1","003N8EMH8GTFRCSWKMPXRSAE6","GSON1112030724")</f>
        <v>#NAME?</v>
      </c>
      <c r="J320" s="4" t="e">
        <f ca="1">[1]!BexGetData("DP_1","003N8EMH8GTFRCSWKMPXRSGPQ","GSON1112030724")</f>
        <v>#NAME?</v>
      </c>
      <c r="K320" s="8" t="e">
        <f ca="1">[1]!BexGetData("DP_1","003N8EMH8GTFRIVNUPY288VJH","GSON1112030724")</f>
        <v>#NAME?</v>
      </c>
      <c r="L320" s="8" t="e">
        <f ca="1">[1]!BexGetData("DP_1","003N8EMH8GTFRIVNUPY2891V1","GSON1112030724")</f>
        <v>#NAME?</v>
      </c>
      <c r="M320" s="8" t="e">
        <f ca="1">[1]!BexGetData("DP_1","003N8EMH8GTFRIVOG7KG9IQXA","GSON1112030724")</f>
        <v>#NAME?</v>
      </c>
      <c r="N320" s="8" t="e">
        <f ca="1">[1]!BexGetData("DP_1","003N8EMH8GTFRIVOG7KG9IX8U","GSON1112030724")</f>
        <v>#NAME?</v>
      </c>
      <c r="O320" s="8" t="e">
        <f ca="1">[1]!BexGetData("DP_1","003N8EMH8GTFRIVOG7KG9J3KE","GSON1112030724")</f>
        <v>#NAME?</v>
      </c>
      <c r="P320" s="8" t="e">
        <f ca="1">[1]!BexGetData("DP_1","003N8EMH8GTFRIVOG7KG9J9VY","GSON1112030724")</f>
        <v>#NAME?</v>
      </c>
      <c r="Q320" s="4" t="e">
        <f ca="1">[1]!BexGetData("DP_1","00O2TNJGODT0G5Z4TTKYMM5MT","GSON1112030724")</f>
        <v>#NAME?</v>
      </c>
      <c r="R320" s="4" t="e">
        <f ca="1">[1]!BexGetData("DP_1","00O2TNJGODT0G5Z4TTKYMMBYD","GSON1112030724")</f>
        <v>#NAME?</v>
      </c>
      <c r="S320" s="4" t="e">
        <f ca="1">[1]!BexGetData("DP_1","00O2TNJGODT0G5Z4TTKYMMI9X","GSON1112030724")</f>
        <v>#NAME?</v>
      </c>
      <c r="T320" s="4" t="e">
        <f ca="1">[1]!BexGetData("DP_1","00O2TNJGODT0G5Z4TTKYMMOLH","GSON1112030724")</f>
        <v>#NAME?</v>
      </c>
      <c r="U320" s="4" t="e">
        <f ca="1">[1]!BexGetData("DP_1","00O2TNJGODT0G5Z4TTKYMMUX1","GSON1112030724")</f>
        <v>#NAME?</v>
      </c>
      <c r="V320" s="4" t="e">
        <f ca="1">[1]!BexGetData("DP_1","00O2TNJGODT0G5Z4TTKYMN18L","GSON1112030724")</f>
        <v>#NAME?</v>
      </c>
      <c r="W320" s="4" t="e">
        <f ca="1">[1]!BexGetData("DP_1","00O2TNJGODT0G5Z4TTKYMN7K5","GSON1112030724")</f>
        <v>#NAME?</v>
      </c>
    </row>
    <row r="321" spans="1:23" x14ac:dyDescent="0.2">
      <c r="A321" s="16" t="s">
        <v>874</v>
      </c>
      <c r="B321" s="7" t="s">
        <v>875</v>
      </c>
      <c r="C321" s="3" t="e">
        <f ca="1">[1]!BexGetData("DP_1","003N8EMH8GTFRCSWKMPXRR8GU","GSON1112030730")</f>
        <v>#NAME?</v>
      </c>
      <c r="D321" s="3" t="e">
        <f ca="1">[1]!BexGetData("DP_1","003N8EMH8GTFRCSWKMPXRRESE","GSON1112030730")</f>
        <v>#NAME?</v>
      </c>
      <c r="E321" s="3" t="e">
        <f ca="1">[1]!BexGetData("DP_1","003N8EMH8GTFRCSWKMPXRRL3Y","GSON1112030730")</f>
        <v>#NAME?</v>
      </c>
      <c r="F321" s="3" t="e">
        <f ca="1">[1]!BexGetData("DP_1","003N8EMH8GTFRCSWKMPXRRRFI","GSON1112030730")</f>
        <v>#NAME?</v>
      </c>
      <c r="G321" s="3" t="e">
        <f ca="1">[1]!BexGetData("DP_1","003N8EMH8GTFRCSWKMPXRRXR2","GSON1112030730")</f>
        <v>#NAME?</v>
      </c>
      <c r="H321" s="8" t="e">
        <f ca="1">[1]!BexGetData("DP_1","003N8EMH8GTFRCSWKMPXRS42M","GSON1112030730")</f>
        <v>#NAME?</v>
      </c>
      <c r="I321" s="3" t="e">
        <f ca="1">[1]!BexGetData("DP_1","003N8EMH8GTFRCSWKMPXRSAE6","GSON1112030730")</f>
        <v>#NAME?</v>
      </c>
      <c r="J321" s="4" t="e">
        <f ca="1">[1]!BexGetData("DP_1","003N8EMH8GTFRCSWKMPXRSGPQ","GSON1112030730")</f>
        <v>#NAME?</v>
      </c>
      <c r="K321" s="3" t="e">
        <f ca="1">[1]!BexGetData("DP_1","003N8EMH8GTFRIVNUPY288VJH","GSON1112030730")</f>
        <v>#NAME?</v>
      </c>
      <c r="L321" s="3" t="e">
        <f ca="1">[1]!BexGetData("DP_1","003N8EMH8GTFRIVNUPY2891V1","GSON1112030730")</f>
        <v>#NAME?</v>
      </c>
      <c r="M321" s="3" t="e">
        <f ca="1">[1]!BexGetData("DP_1","003N8EMH8GTFRIVOG7KG9IQXA","GSON1112030730")</f>
        <v>#NAME?</v>
      </c>
      <c r="N321" s="8" t="e">
        <f ca="1">[1]!BexGetData("DP_1","003N8EMH8GTFRIVOG7KG9IX8U","GSON1112030730")</f>
        <v>#NAME?</v>
      </c>
      <c r="O321" s="3" t="e">
        <f ca="1">[1]!BexGetData("DP_1","003N8EMH8GTFRIVOG7KG9J3KE","GSON1112030730")</f>
        <v>#NAME?</v>
      </c>
      <c r="P321" s="8" t="e">
        <f ca="1">[1]!BexGetData("DP_1","003N8EMH8GTFRIVOG7KG9J9VY","GSON1112030730")</f>
        <v>#NAME?</v>
      </c>
      <c r="Q321" s="4" t="e">
        <f ca="1">[1]!BexGetData("DP_1","00O2TNJGODT0G5Z4TTKYMM5MT","GSON1112030730")</f>
        <v>#NAME?</v>
      </c>
      <c r="R321" s="3" t="e">
        <f ca="1">[1]!BexGetData("DP_1","00O2TNJGODT0G5Z4TTKYMMBYD","GSON1112030730")</f>
        <v>#NAME?</v>
      </c>
      <c r="S321" s="3" t="e">
        <f ca="1">[1]!BexGetData("DP_1","00O2TNJGODT0G5Z4TTKYMMI9X","GSON1112030730")</f>
        <v>#NAME?</v>
      </c>
      <c r="T321" s="8" t="e">
        <f ca="1">[1]!BexGetData("DP_1","00O2TNJGODT0G5Z4TTKYMMOLH","GSON1112030730")</f>
        <v>#NAME?</v>
      </c>
      <c r="U321" s="3" t="e">
        <f ca="1">[1]!BexGetData("DP_1","00O2TNJGODT0G5Z4TTKYMMUX1","GSON1112030730")</f>
        <v>#NAME?</v>
      </c>
      <c r="V321" s="8" t="e">
        <f ca="1">[1]!BexGetData("DP_1","00O2TNJGODT0G5Z4TTKYMN18L","GSON1112030730")</f>
        <v>#NAME?</v>
      </c>
      <c r="W321" s="3" t="e">
        <f ca="1">[1]!BexGetData("DP_1","00O2TNJGODT0G5Z4TTKYMN7K5","GSON1112030730")</f>
        <v>#NAME?</v>
      </c>
    </row>
    <row r="322" spans="1:23" x14ac:dyDescent="0.2">
      <c r="A322" s="16" t="s">
        <v>876</v>
      </c>
      <c r="B322" s="7" t="s">
        <v>877</v>
      </c>
      <c r="C322" s="3" t="e">
        <f ca="1">[1]!BexGetData("DP_1","003N8EMH8GTFRCSWKMPXRR8GU","GSON1112030731")</f>
        <v>#NAME?</v>
      </c>
      <c r="D322" s="3" t="e">
        <f ca="1">[1]!BexGetData("DP_1","003N8EMH8GTFRCSWKMPXRRESE","GSON1112030731")</f>
        <v>#NAME?</v>
      </c>
      <c r="E322" s="3" t="e">
        <f ca="1">[1]!BexGetData("DP_1","003N8EMH8GTFRCSWKMPXRRL3Y","GSON1112030731")</f>
        <v>#NAME?</v>
      </c>
      <c r="F322" s="4" t="e">
        <f ca="1">[1]!BexGetData("DP_1","003N8EMH8GTFRCSWKMPXRRRFI","GSON1112030731")</f>
        <v>#NAME?</v>
      </c>
      <c r="G322" s="4" t="e">
        <f ca="1">[1]!BexGetData("DP_1","003N8EMH8GTFRCSWKMPXRRXR2","GSON1112030731")</f>
        <v>#NAME?</v>
      </c>
      <c r="H322" s="4" t="e">
        <f ca="1">[1]!BexGetData("DP_1","003N8EMH8GTFRCSWKMPXRS42M","GSON1112030731")</f>
        <v>#NAME?</v>
      </c>
      <c r="I322" s="4" t="e">
        <f ca="1">[1]!BexGetData("DP_1","003N8EMH8GTFRCSWKMPXRSAE6","GSON1112030731")</f>
        <v>#NAME?</v>
      </c>
      <c r="J322" s="4" t="e">
        <f ca="1">[1]!BexGetData("DP_1","003N8EMH8GTFRCSWKMPXRSGPQ","GSON1112030731")</f>
        <v>#NAME?</v>
      </c>
      <c r="K322" s="3" t="e">
        <f ca="1">[1]!BexGetData("DP_1","003N8EMH8GTFRIVNUPY288VJH","GSON1112030731")</f>
        <v>#NAME?</v>
      </c>
      <c r="L322" s="3" t="e">
        <f ca="1">[1]!BexGetData("DP_1","003N8EMH8GTFRIVNUPY2891V1","GSON1112030731")</f>
        <v>#NAME?</v>
      </c>
      <c r="M322" s="8" t="e">
        <f ca="1">[1]!BexGetData("DP_1","003N8EMH8GTFRIVOG7KG9IQXA","GSON1112030731")</f>
        <v>#NAME?</v>
      </c>
      <c r="N322" s="3" t="e">
        <f ca="1">[1]!BexGetData("DP_1","003N8EMH8GTFRIVOG7KG9IX8U","GSON1112030731")</f>
        <v>#NAME?</v>
      </c>
      <c r="O322" s="8" t="e">
        <f ca="1">[1]!BexGetData("DP_1","003N8EMH8GTFRIVOG7KG9J3KE","GSON1112030731")</f>
        <v>#NAME?</v>
      </c>
      <c r="P322" s="3" t="e">
        <f ca="1">[1]!BexGetData("DP_1","003N8EMH8GTFRIVOG7KG9J9VY","GSON1112030731")</f>
        <v>#NAME?</v>
      </c>
      <c r="Q322" s="4" t="e">
        <f ca="1">[1]!BexGetData("DP_1","00O2TNJGODT0G5Z4TTKYMM5MT","GSON1112030731")</f>
        <v>#NAME?</v>
      </c>
      <c r="R322" s="4" t="e">
        <f ca="1">[1]!BexGetData("DP_1","00O2TNJGODT0G5Z4TTKYMMBYD","GSON1112030731")</f>
        <v>#NAME?</v>
      </c>
      <c r="S322" s="4" t="e">
        <f ca="1">[1]!BexGetData("DP_1","00O2TNJGODT0G5Z4TTKYMMI9X","GSON1112030731")</f>
        <v>#NAME?</v>
      </c>
      <c r="T322" s="4" t="e">
        <f ca="1">[1]!BexGetData("DP_1","00O2TNJGODT0G5Z4TTKYMMOLH","GSON1112030731")</f>
        <v>#NAME?</v>
      </c>
      <c r="U322" s="4" t="e">
        <f ca="1">[1]!BexGetData("DP_1","00O2TNJGODT0G5Z4TTKYMMUX1","GSON1112030731")</f>
        <v>#NAME?</v>
      </c>
      <c r="V322" s="4" t="e">
        <f ca="1">[1]!BexGetData("DP_1","00O2TNJGODT0G5Z4TTKYMN18L","GSON1112030731")</f>
        <v>#NAME?</v>
      </c>
      <c r="W322" s="4" t="e">
        <f ca="1">[1]!BexGetData("DP_1","00O2TNJGODT0G5Z4TTKYMN7K5","GSON1112030731")</f>
        <v>#NAME?</v>
      </c>
    </row>
    <row r="323" spans="1:23" x14ac:dyDescent="0.2">
      <c r="A323" s="16" t="s">
        <v>2111</v>
      </c>
      <c r="B323" s="7" t="s">
        <v>2112</v>
      </c>
      <c r="C323" s="3" t="e">
        <f ca="1">[1]!BexGetData("DP_1","003N8EMH8GTFRCSWKMPXRR8GU","GSON1112030732")</f>
        <v>#NAME?</v>
      </c>
      <c r="D323" s="8" t="e">
        <f ca="1">[1]!BexGetData("DP_1","003N8EMH8GTFRCSWKMPXRRESE","GSON1112030732")</f>
        <v>#NAME?</v>
      </c>
      <c r="E323" s="3" t="e">
        <f ca="1">[1]!BexGetData("DP_1","003N8EMH8GTFRCSWKMPXRRL3Y","GSON1112030732")</f>
        <v>#NAME?</v>
      </c>
      <c r="F323" s="4" t="e">
        <f ca="1">[1]!BexGetData("DP_1","003N8EMH8GTFRCSWKMPXRRRFI","GSON1112030732")</f>
        <v>#NAME?</v>
      </c>
      <c r="G323" s="4" t="e">
        <f ca="1">[1]!BexGetData("DP_1","003N8EMH8GTFRCSWKMPXRRXR2","GSON1112030732")</f>
        <v>#NAME?</v>
      </c>
      <c r="H323" s="4" t="e">
        <f ca="1">[1]!BexGetData("DP_1","003N8EMH8GTFRCSWKMPXRS42M","GSON1112030732")</f>
        <v>#NAME?</v>
      </c>
      <c r="I323" s="4" t="e">
        <f ca="1">[1]!BexGetData("DP_1","003N8EMH8GTFRCSWKMPXRSAE6","GSON1112030732")</f>
        <v>#NAME?</v>
      </c>
      <c r="J323" s="4" t="e">
        <f ca="1">[1]!BexGetData("DP_1","003N8EMH8GTFRCSWKMPXRSGPQ","GSON1112030732")</f>
        <v>#NAME?</v>
      </c>
      <c r="K323" s="3" t="e">
        <f ca="1">[1]!BexGetData("DP_1","003N8EMH8GTFRIVNUPY288VJH","GSON1112030732")</f>
        <v>#NAME?</v>
      </c>
      <c r="L323" s="3" t="e">
        <f ca="1">[1]!BexGetData("DP_1","003N8EMH8GTFRIVNUPY2891V1","GSON1112030732")</f>
        <v>#NAME?</v>
      </c>
      <c r="M323" s="8" t="e">
        <f ca="1">[1]!BexGetData("DP_1","003N8EMH8GTFRIVOG7KG9IQXA","GSON1112030732")</f>
        <v>#NAME?</v>
      </c>
      <c r="N323" s="3" t="e">
        <f ca="1">[1]!BexGetData("DP_1","003N8EMH8GTFRIVOG7KG9IX8U","GSON1112030732")</f>
        <v>#NAME?</v>
      </c>
      <c r="O323" s="8" t="e">
        <f ca="1">[1]!BexGetData("DP_1","003N8EMH8GTFRIVOG7KG9J3KE","GSON1112030732")</f>
        <v>#NAME?</v>
      </c>
      <c r="P323" s="3" t="e">
        <f ca="1">[1]!BexGetData("DP_1","003N8EMH8GTFRIVOG7KG9J9VY","GSON1112030732")</f>
        <v>#NAME?</v>
      </c>
      <c r="Q323" s="4" t="e">
        <f ca="1">[1]!BexGetData("DP_1","00O2TNJGODT0G5Z4TTKYMM5MT","GSON1112030732")</f>
        <v>#NAME?</v>
      </c>
      <c r="R323" s="4" t="e">
        <f ca="1">[1]!BexGetData("DP_1","00O2TNJGODT0G5Z4TTKYMMBYD","GSON1112030732")</f>
        <v>#NAME?</v>
      </c>
      <c r="S323" s="4" t="e">
        <f ca="1">[1]!BexGetData("DP_1","00O2TNJGODT0G5Z4TTKYMMI9X","GSON1112030732")</f>
        <v>#NAME?</v>
      </c>
      <c r="T323" s="4" t="e">
        <f ca="1">[1]!BexGetData("DP_1","00O2TNJGODT0G5Z4TTKYMMOLH","GSON1112030732")</f>
        <v>#NAME?</v>
      </c>
      <c r="U323" s="4" t="e">
        <f ca="1">[1]!BexGetData("DP_1","00O2TNJGODT0G5Z4TTKYMMUX1","GSON1112030732")</f>
        <v>#NAME?</v>
      </c>
      <c r="V323" s="4" t="e">
        <f ca="1">[1]!BexGetData("DP_1","00O2TNJGODT0G5Z4TTKYMN18L","GSON1112030732")</f>
        <v>#NAME?</v>
      </c>
      <c r="W323" s="4" t="e">
        <f ca="1">[1]!BexGetData("DP_1","00O2TNJGODT0G5Z4TTKYMN7K5","GSON1112030732")</f>
        <v>#NAME?</v>
      </c>
    </row>
    <row r="324" spans="1:23" x14ac:dyDescent="0.2">
      <c r="A324" s="16" t="s">
        <v>2113</v>
      </c>
      <c r="B324" s="7" t="s">
        <v>2114</v>
      </c>
      <c r="C324" s="3" t="e">
        <f ca="1">[1]!BexGetData("DP_1","003N8EMH8GTFRCSWKMPXRR8GU","GSON1112030733")</f>
        <v>#NAME?</v>
      </c>
      <c r="D324" s="3" t="e">
        <f ca="1">[1]!BexGetData("DP_1","003N8EMH8GTFRCSWKMPXRRESE","GSON1112030733")</f>
        <v>#NAME?</v>
      </c>
      <c r="E324" s="8" t="e">
        <f ca="1">[1]!BexGetData("DP_1","003N8EMH8GTFRCSWKMPXRRL3Y","GSON1112030733")</f>
        <v>#NAME?</v>
      </c>
      <c r="F324" s="4" t="e">
        <f ca="1">[1]!BexGetData("DP_1","003N8EMH8GTFRCSWKMPXRRRFI","GSON1112030733")</f>
        <v>#NAME?</v>
      </c>
      <c r="G324" s="4" t="e">
        <f ca="1">[1]!BexGetData("DP_1","003N8EMH8GTFRCSWKMPXRRXR2","GSON1112030733")</f>
        <v>#NAME?</v>
      </c>
      <c r="H324" s="4" t="e">
        <f ca="1">[1]!BexGetData("DP_1","003N8EMH8GTFRCSWKMPXRS42M","GSON1112030733")</f>
        <v>#NAME?</v>
      </c>
      <c r="I324" s="4" t="e">
        <f ca="1">[1]!BexGetData("DP_1","003N8EMH8GTFRCSWKMPXRSAE6","GSON1112030733")</f>
        <v>#NAME?</v>
      </c>
      <c r="J324" s="4" t="e">
        <f ca="1">[1]!BexGetData("DP_1","003N8EMH8GTFRCSWKMPXRSGPQ","GSON1112030733")</f>
        <v>#NAME?</v>
      </c>
      <c r="K324" s="8" t="e">
        <f ca="1">[1]!BexGetData("DP_1","003N8EMH8GTFRIVNUPY288VJH","GSON1112030733")</f>
        <v>#NAME?</v>
      </c>
      <c r="L324" s="8" t="e">
        <f ca="1">[1]!BexGetData("DP_1","003N8EMH8GTFRIVNUPY2891V1","GSON1112030733")</f>
        <v>#NAME?</v>
      </c>
      <c r="M324" s="8" t="e">
        <f ca="1">[1]!BexGetData("DP_1","003N8EMH8GTFRIVOG7KG9IQXA","GSON1112030733")</f>
        <v>#NAME?</v>
      </c>
      <c r="N324" s="8" t="e">
        <f ca="1">[1]!BexGetData("DP_1","003N8EMH8GTFRIVOG7KG9IX8U","GSON1112030733")</f>
        <v>#NAME?</v>
      </c>
      <c r="O324" s="8" t="e">
        <f ca="1">[1]!BexGetData("DP_1","003N8EMH8GTFRIVOG7KG9J3KE","GSON1112030733")</f>
        <v>#NAME?</v>
      </c>
      <c r="P324" s="8" t="e">
        <f ca="1">[1]!BexGetData("DP_1","003N8EMH8GTFRIVOG7KG9J9VY","GSON1112030733")</f>
        <v>#NAME?</v>
      </c>
      <c r="Q324" s="4" t="e">
        <f ca="1">[1]!BexGetData("DP_1","00O2TNJGODT0G5Z4TTKYMM5MT","GSON1112030733")</f>
        <v>#NAME?</v>
      </c>
      <c r="R324" s="4" t="e">
        <f ca="1">[1]!BexGetData("DP_1","00O2TNJGODT0G5Z4TTKYMMBYD","GSON1112030733")</f>
        <v>#NAME?</v>
      </c>
      <c r="S324" s="4" t="e">
        <f ca="1">[1]!BexGetData("DP_1","00O2TNJGODT0G5Z4TTKYMMI9X","GSON1112030733")</f>
        <v>#NAME?</v>
      </c>
      <c r="T324" s="4" t="e">
        <f ca="1">[1]!BexGetData("DP_1","00O2TNJGODT0G5Z4TTKYMMOLH","GSON1112030733")</f>
        <v>#NAME?</v>
      </c>
      <c r="U324" s="4" t="e">
        <f ca="1">[1]!BexGetData("DP_1","00O2TNJGODT0G5Z4TTKYMMUX1","GSON1112030733")</f>
        <v>#NAME?</v>
      </c>
      <c r="V324" s="4" t="e">
        <f ca="1">[1]!BexGetData("DP_1","00O2TNJGODT0G5Z4TTKYMN18L","GSON1112030733")</f>
        <v>#NAME?</v>
      </c>
      <c r="W324" s="4" t="e">
        <f ca="1">[1]!BexGetData("DP_1","00O2TNJGODT0G5Z4TTKYMN7K5","GSON1112030733")</f>
        <v>#NAME?</v>
      </c>
    </row>
    <row r="325" spans="1:23" x14ac:dyDescent="0.2">
      <c r="A325" s="16" t="s">
        <v>2115</v>
      </c>
      <c r="B325" s="7" t="s">
        <v>2116</v>
      </c>
      <c r="C325" s="3" t="e">
        <f ca="1">[1]!BexGetData("DP_1","003N8EMH8GTFRCSWKMPXRR8GU","GSON1112030734")</f>
        <v>#NAME?</v>
      </c>
      <c r="D325" s="3" t="e">
        <f ca="1">[1]!BexGetData("DP_1","003N8EMH8GTFRCSWKMPXRRESE","GSON1112030734")</f>
        <v>#NAME?</v>
      </c>
      <c r="E325" s="8" t="e">
        <f ca="1">[1]!BexGetData("DP_1","003N8EMH8GTFRCSWKMPXRRL3Y","GSON1112030734")</f>
        <v>#NAME?</v>
      </c>
      <c r="F325" s="4" t="e">
        <f ca="1">[1]!BexGetData("DP_1","003N8EMH8GTFRCSWKMPXRRRFI","GSON1112030734")</f>
        <v>#NAME?</v>
      </c>
      <c r="G325" s="4" t="e">
        <f ca="1">[1]!BexGetData("DP_1","003N8EMH8GTFRCSWKMPXRRXR2","GSON1112030734")</f>
        <v>#NAME?</v>
      </c>
      <c r="H325" s="4" t="e">
        <f ca="1">[1]!BexGetData("DP_1","003N8EMH8GTFRCSWKMPXRS42M","GSON1112030734")</f>
        <v>#NAME?</v>
      </c>
      <c r="I325" s="4" t="e">
        <f ca="1">[1]!BexGetData("DP_1","003N8EMH8GTFRCSWKMPXRSAE6","GSON1112030734")</f>
        <v>#NAME?</v>
      </c>
      <c r="J325" s="4" t="e">
        <f ca="1">[1]!BexGetData("DP_1","003N8EMH8GTFRCSWKMPXRSGPQ","GSON1112030734")</f>
        <v>#NAME?</v>
      </c>
      <c r="K325" s="8" t="e">
        <f ca="1">[1]!BexGetData("DP_1","003N8EMH8GTFRIVNUPY288VJH","GSON1112030734")</f>
        <v>#NAME?</v>
      </c>
      <c r="L325" s="8" t="e">
        <f ca="1">[1]!BexGetData("DP_1","003N8EMH8GTFRIVNUPY2891V1","GSON1112030734")</f>
        <v>#NAME?</v>
      </c>
      <c r="M325" s="8" t="e">
        <f ca="1">[1]!BexGetData("DP_1","003N8EMH8GTFRIVOG7KG9IQXA","GSON1112030734")</f>
        <v>#NAME?</v>
      </c>
      <c r="N325" s="8" t="e">
        <f ca="1">[1]!BexGetData("DP_1","003N8EMH8GTFRIVOG7KG9IX8U","GSON1112030734")</f>
        <v>#NAME?</v>
      </c>
      <c r="O325" s="8" t="e">
        <f ca="1">[1]!BexGetData("DP_1","003N8EMH8GTFRIVOG7KG9J3KE","GSON1112030734")</f>
        <v>#NAME?</v>
      </c>
      <c r="P325" s="8" t="e">
        <f ca="1">[1]!BexGetData("DP_1","003N8EMH8GTFRIVOG7KG9J9VY","GSON1112030734")</f>
        <v>#NAME?</v>
      </c>
      <c r="Q325" s="4" t="e">
        <f ca="1">[1]!BexGetData("DP_1","00O2TNJGODT0G5Z4TTKYMM5MT","GSON1112030734")</f>
        <v>#NAME?</v>
      </c>
      <c r="R325" s="4" t="e">
        <f ca="1">[1]!BexGetData("DP_1","00O2TNJGODT0G5Z4TTKYMMBYD","GSON1112030734")</f>
        <v>#NAME?</v>
      </c>
      <c r="S325" s="4" t="e">
        <f ca="1">[1]!BexGetData("DP_1","00O2TNJGODT0G5Z4TTKYMMI9X","GSON1112030734")</f>
        <v>#NAME?</v>
      </c>
      <c r="T325" s="4" t="e">
        <f ca="1">[1]!BexGetData("DP_1","00O2TNJGODT0G5Z4TTKYMMOLH","GSON1112030734")</f>
        <v>#NAME?</v>
      </c>
      <c r="U325" s="4" t="e">
        <f ca="1">[1]!BexGetData("DP_1","00O2TNJGODT0G5Z4TTKYMMUX1","GSON1112030734")</f>
        <v>#NAME?</v>
      </c>
      <c r="V325" s="4" t="e">
        <f ca="1">[1]!BexGetData("DP_1","00O2TNJGODT0G5Z4TTKYMN18L","GSON1112030734")</f>
        <v>#NAME?</v>
      </c>
      <c r="W325" s="4" t="e">
        <f ca="1">[1]!BexGetData("DP_1","00O2TNJGODT0G5Z4TTKYMN7K5","GSON1112030734")</f>
        <v>#NAME?</v>
      </c>
    </row>
    <row r="326" spans="1:23" x14ac:dyDescent="0.2">
      <c r="A326" s="16" t="s">
        <v>878</v>
      </c>
      <c r="B326" s="7" t="s">
        <v>879</v>
      </c>
      <c r="C326" s="3" t="e">
        <f ca="1">[1]!BexGetData("DP_1","003N8EMH8GTFRCSWKMPXRR8GU","GSON1112030740")</f>
        <v>#NAME?</v>
      </c>
      <c r="D326" s="3" t="e">
        <f ca="1">[1]!BexGetData("DP_1","003N8EMH8GTFRCSWKMPXRRESE","GSON1112030740")</f>
        <v>#NAME?</v>
      </c>
      <c r="E326" s="3" t="e">
        <f ca="1">[1]!BexGetData("DP_1","003N8EMH8GTFRCSWKMPXRRL3Y","GSON1112030740")</f>
        <v>#NAME?</v>
      </c>
      <c r="F326" s="3" t="e">
        <f ca="1">[1]!BexGetData("DP_1","003N8EMH8GTFRCSWKMPXRRRFI","GSON1112030740")</f>
        <v>#NAME?</v>
      </c>
      <c r="G326" s="3" t="e">
        <f ca="1">[1]!BexGetData("DP_1","003N8EMH8GTFRCSWKMPXRRXR2","GSON1112030740")</f>
        <v>#NAME?</v>
      </c>
      <c r="H326" s="8" t="e">
        <f ca="1">[1]!BexGetData("DP_1","003N8EMH8GTFRCSWKMPXRS42M","GSON1112030740")</f>
        <v>#NAME?</v>
      </c>
      <c r="I326" s="3" t="e">
        <f ca="1">[1]!BexGetData("DP_1","003N8EMH8GTFRCSWKMPXRSAE6","GSON1112030740")</f>
        <v>#NAME?</v>
      </c>
      <c r="J326" s="4" t="e">
        <f ca="1">[1]!BexGetData("DP_1","003N8EMH8GTFRCSWKMPXRSGPQ","GSON1112030740")</f>
        <v>#NAME?</v>
      </c>
      <c r="K326" s="3" t="e">
        <f ca="1">[1]!BexGetData("DP_1","003N8EMH8GTFRIVNUPY288VJH","GSON1112030740")</f>
        <v>#NAME?</v>
      </c>
      <c r="L326" s="3" t="e">
        <f ca="1">[1]!BexGetData("DP_1","003N8EMH8GTFRIVNUPY2891V1","GSON1112030740")</f>
        <v>#NAME?</v>
      </c>
      <c r="M326" s="3" t="e">
        <f ca="1">[1]!BexGetData("DP_1","003N8EMH8GTFRIVOG7KG9IQXA","GSON1112030740")</f>
        <v>#NAME?</v>
      </c>
      <c r="N326" s="8" t="e">
        <f ca="1">[1]!BexGetData("DP_1","003N8EMH8GTFRIVOG7KG9IX8U","GSON1112030740")</f>
        <v>#NAME?</v>
      </c>
      <c r="O326" s="3" t="e">
        <f ca="1">[1]!BexGetData("DP_1","003N8EMH8GTFRIVOG7KG9J3KE","GSON1112030740")</f>
        <v>#NAME?</v>
      </c>
      <c r="P326" s="8" t="e">
        <f ca="1">[1]!BexGetData("DP_1","003N8EMH8GTFRIVOG7KG9J9VY","GSON1112030740")</f>
        <v>#NAME?</v>
      </c>
      <c r="Q326" s="4" t="e">
        <f ca="1">[1]!BexGetData("DP_1","00O2TNJGODT0G5Z4TTKYMM5MT","GSON1112030740")</f>
        <v>#NAME?</v>
      </c>
      <c r="R326" s="3" t="e">
        <f ca="1">[1]!BexGetData("DP_1","00O2TNJGODT0G5Z4TTKYMMBYD","GSON1112030740")</f>
        <v>#NAME?</v>
      </c>
      <c r="S326" s="3" t="e">
        <f ca="1">[1]!BexGetData("DP_1","00O2TNJGODT0G5Z4TTKYMMI9X","GSON1112030740")</f>
        <v>#NAME?</v>
      </c>
      <c r="T326" s="8" t="e">
        <f ca="1">[1]!BexGetData("DP_1","00O2TNJGODT0G5Z4TTKYMMOLH","GSON1112030740")</f>
        <v>#NAME?</v>
      </c>
      <c r="U326" s="3" t="e">
        <f ca="1">[1]!BexGetData("DP_1","00O2TNJGODT0G5Z4TTKYMMUX1","GSON1112030740")</f>
        <v>#NAME?</v>
      </c>
      <c r="V326" s="8" t="e">
        <f ca="1">[1]!BexGetData("DP_1","00O2TNJGODT0G5Z4TTKYMN18L","GSON1112030740")</f>
        <v>#NAME?</v>
      </c>
      <c r="W326" s="3" t="e">
        <f ca="1">[1]!BexGetData("DP_1","00O2TNJGODT0G5Z4TTKYMN7K5","GSON1112030740")</f>
        <v>#NAME?</v>
      </c>
    </row>
    <row r="327" spans="1:23" x14ac:dyDescent="0.2">
      <c r="A327" s="16" t="s">
        <v>880</v>
      </c>
      <c r="B327" s="7" t="s">
        <v>881</v>
      </c>
      <c r="C327" s="3" t="e">
        <f ca="1">[1]!BexGetData("DP_1","003N8EMH8GTFRCSWKMPXRR8GU","GSON1112030741")</f>
        <v>#NAME?</v>
      </c>
      <c r="D327" s="3" t="e">
        <f ca="1">[1]!BexGetData("DP_1","003N8EMH8GTFRCSWKMPXRRESE","GSON1112030741")</f>
        <v>#NAME?</v>
      </c>
      <c r="E327" s="3" t="e">
        <f ca="1">[1]!BexGetData("DP_1","003N8EMH8GTFRCSWKMPXRRL3Y","GSON1112030741")</f>
        <v>#NAME?</v>
      </c>
      <c r="F327" s="4" t="e">
        <f ca="1">[1]!BexGetData("DP_1","003N8EMH8GTFRCSWKMPXRRRFI","GSON1112030741")</f>
        <v>#NAME?</v>
      </c>
      <c r="G327" s="4" t="e">
        <f ca="1">[1]!BexGetData("DP_1","003N8EMH8GTFRCSWKMPXRRXR2","GSON1112030741")</f>
        <v>#NAME?</v>
      </c>
      <c r="H327" s="4" t="e">
        <f ca="1">[1]!BexGetData("DP_1","003N8EMH8GTFRCSWKMPXRS42M","GSON1112030741")</f>
        <v>#NAME?</v>
      </c>
      <c r="I327" s="4" t="e">
        <f ca="1">[1]!BexGetData("DP_1","003N8EMH8GTFRCSWKMPXRSAE6","GSON1112030741")</f>
        <v>#NAME?</v>
      </c>
      <c r="J327" s="4" t="e">
        <f ca="1">[1]!BexGetData("DP_1","003N8EMH8GTFRCSWKMPXRSGPQ","GSON1112030741")</f>
        <v>#NAME?</v>
      </c>
      <c r="K327" s="3" t="e">
        <f ca="1">[1]!BexGetData("DP_1","003N8EMH8GTFRIVNUPY288VJH","GSON1112030741")</f>
        <v>#NAME?</v>
      </c>
      <c r="L327" s="3" t="e">
        <f ca="1">[1]!BexGetData("DP_1","003N8EMH8GTFRIVNUPY2891V1","GSON1112030741")</f>
        <v>#NAME?</v>
      </c>
      <c r="M327" s="8" t="e">
        <f ca="1">[1]!BexGetData("DP_1","003N8EMH8GTFRIVOG7KG9IQXA","GSON1112030741")</f>
        <v>#NAME?</v>
      </c>
      <c r="N327" s="3" t="e">
        <f ca="1">[1]!BexGetData("DP_1","003N8EMH8GTFRIVOG7KG9IX8U","GSON1112030741")</f>
        <v>#NAME?</v>
      </c>
      <c r="O327" s="8" t="e">
        <f ca="1">[1]!BexGetData("DP_1","003N8EMH8GTFRIVOG7KG9J3KE","GSON1112030741")</f>
        <v>#NAME?</v>
      </c>
      <c r="P327" s="3" t="e">
        <f ca="1">[1]!BexGetData("DP_1","003N8EMH8GTFRIVOG7KG9J9VY","GSON1112030741")</f>
        <v>#NAME?</v>
      </c>
      <c r="Q327" s="4" t="e">
        <f ca="1">[1]!BexGetData("DP_1","00O2TNJGODT0G5Z4TTKYMM5MT","GSON1112030741")</f>
        <v>#NAME?</v>
      </c>
      <c r="R327" s="4" t="e">
        <f ca="1">[1]!BexGetData("DP_1","00O2TNJGODT0G5Z4TTKYMMBYD","GSON1112030741")</f>
        <v>#NAME?</v>
      </c>
      <c r="S327" s="4" t="e">
        <f ca="1">[1]!BexGetData("DP_1","00O2TNJGODT0G5Z4TTKYMMI9X","GSON1112030741")</f>
        <v>#NAME?</v>
      </c>
      <c r="T327" s="4" t="e">
        <f ca="1">[1]!BexGetData("DP_1","00O2TNJGODT0G5Z4TTKYMMOLH","GSON1112030741")</f>
        <v>#NAME?</v>
      </c>
      <c r="U327" s="4" t="e">
        <f ca="1">[1]!BexGetData("DP_1","00O2TNJGODT0G5Z4TTKYMMUX1","GSON1112030741")</f>
        <v>#NAME?</v>
      </c>
      <c r="V327" s="4" t="e">
        <f ca="1">[1]!BexGetData("DP_1","00O2TNJGODT0G5Z4TTKYMN18L","GSON1112030741")</f>
        <v>#NAME?</v>
      </c>
      <c r="W327" s="4" t="e">
        <f ca="1">[1]!BexGetData("DP_1","00O2TNJGODT0G5Z4TTKYMN7K5","GSON1112030741")</f>
        <v>#NAME?</v>
      </c>
    </row>
    <row r="328" spans="1:23" x14ac:dyDescent="0.2">
      <c r="A328" s="16" t="s">
        <v>2117</v>
      </c>
      <c r="B328" s="7" t="s">
        <v>2118</v>
      </c>
      <c r="C328" s="3" t="e">
        <f ca="1">[1]!BexGetData("DP_1","003N8EMH8GTFRCSWKMPXRR8GU","GSON1112030743")</f>
        <v>#NAME?</v>
      </c>
      <c r="D328" s="8" t="e">
        <f ca="1">[1]!BexGetData("DP_1","003N8EMH8GTFRCSWKMPXRRESE","GSON1112030743")</f>
        <v>#NAME?</v>
      </c>
      <c r="E328" s="3" t="e">
        <f ca="1">[1]!BexGetData("DP_1","003N8EMH8GTFRCSWKMPXRRL3Y","GSON1112030743")</f>
        <v>#NAME?</v>
      </c>
      <c r="F328" s="4" t="e">
        <f ca="1">[1]!BexGetData("DP_1","003N8EMH8GTFRCSWKMPXRRRFI","GSON1112030743")</f>
        <v>#NAME?</v>
      </c>
      <c r="G328" s="4" t="e">
        <f ca="1">[1]!BexGetData("DP_1","003N8EMH8GTFRCSWKMPXRRXR2","GSON1112030743")</f>
        <v>#NAME?</v>
      </c>
      <c r="H328" s="4" t="e">
        <f ca="1">[1]!BexGetData("DP_1","003N8EMH8GTFRCSWKMPXRS42M","GSON1112030743")</f>
        <v>#NAME?</v>
      </c>
      <c r="I328" s="4" t="e">
        <f ca="1">[1]!BexGetData("DP_1","003N8EMH8GTFRCSWKMPXRSAE6","GSON1112030743")</f>
        <v>#NAME?</v>
      </c>
      <c r="J328" s="4" t="e">
        <f ca="1">[1]!BexGetData("DP_1","003N8EMH8GTFRCSWKMPXRSGPQ","GSON1112030743")</f>
        <v>#NAME?</v>
      </c>
      <c r="K328" s="3" t="e">
        <f ca="1">[1]!BexGetData("DP_1","003N8EMH8GTFRIVNUPY288VJH","GSON1112030743")</f>
        <v>#NAME?</v>
      </c>
      <c r="L328" s="3" t="e">
        <f ca="1">[1]!BexGetData("DP_1","003N8EMH8GTFRIVNUPY2891V1","GSON1112030743")</f>
        <v>#NAME?</v>
      </c>
      <c r="M328" s="8" t="e">
        <f ca="1">[1]!BexGetData("DP_1","003N8EMH8GTFRIVOG7KG9IQXA","GSON1112030743")</f>
        <v>#NAME?</v>
      </c>
      <c r="N328" s="3" t="e">
        <f ca="1">[1]!BexGetData("DP_1","003N8EMH8GTFRIVOG7KG9IX8U","GSON1112030743")</f>
        <v>#NAME?</v>
      </c>
      <c r="O328" s="8" t="e">
        <f ca="1">[1]!BexGetData("DP_1","003N8EMH8GTFRIVOG7KG9J3KE","GSON1112030743")</f>
        <v>#NAME?</v>
      </c>
      <c r="P328" s="3" t="e">
        <f ca="1">[1]!BexGetData("DP_1","003N8EMH8GTFRIVOG7KG9J9VY","GSON1112030743")</f>
        <v>#NAME?</v>
      </c>
      <c r="Q328" s="4" t="e">
        <f ca="1">[1]!BexGetData("DP_1","00O2TNJGODT0G5Z4TTKYMM5MT","GSON1112030743")</f>
        <v>#NAME?</v>
      </c>
      <c r="R328" s="4" t="e">
        <f ca="1">[1]!BexGetData("DP_1","00O2TNJGODT0G5Z4TTKYMMBYD","GSON1112030743")</f>
        <v>#NAME?</v>
      </c>
      <c r="S328" s="4" t="e">
        <f ca="1">[1]!BexGetData("DP_1","00O2TNJGODT0G5Z4TTKYMMI9X","GSON1112030743")</f>
        <v>#NAME?</v>
      </c>
      <c r="T328" s="4" t="e">
        <f ca="1">[1]!BexGetData("DP_1","00O2TNJGODT0G5Z4TTKYMMOLH","GSON1112030743")</f>
        <v>#NAME?</v>
      </c>
      <c r="U328" s="4" t="e">
        <f ca="1">[1]!BexGetData("DP_1","00O2TNJGODT0G5Z4TTKYMMUX1","GSON1112030743")</f>
        <v>#NAME?</v>
      </c>
      <c r="V328" s="4" t="e">
        <f ca="1">[1]!BexGetData("DP_1","00O2TNJGODT0G5Z4TTKYMN18L","GSON1112030743")</f>
        <v>#NAME?</v>
      </c>
      <c r="W328" s="4" t="e">
        <f ca="1">[1]!BexGetData("DP_1","00O2TNJGODT0G5Z4TTKYMN7K5","GSON1112030743")</f>
        <v>#NAME?</v>
      </c>
    </row>
    <row r="329" spans="1:23" x14ac:dyDescent="0.2">
      <c r="A329" s="16" t="s">
        <v>2119</v>
      </c>
      <c r="B329" s="7" t="s">
        <v>2120</v>
      </c>
      <c r="C329" s="3" t="e">
        <f ca="1">[1]!BexGetData("DP_1","003N8EMH8GTFRCSWKMPXRR8GU","GSON1112030744")</f>
        <v>#NAME?</v>
      </c>
      <c r="D329" s="3" t="e">
        <f ca="1">[1]!BexGetData("DP_1","003N8EMH8GTFRCSWKMPXRRESE","GSON1112030744")</f>
        <v>#NAME?</v>
      </c>
      <c r="E329" s="8" t="e">
        <f ca="1">[1]!BexGetData("DP_1","003N8EMH8GTFRCSWKMPXRRL3Y","GSON1112030744")</f>
        <v>#NAME?</v>
      </c>
      <c r="F329" s="4" t="e">
        <f ca="1">[1]!BexGetData("DP_1","003N8EMH8GTFRCSWKMPXRRRFI","GSON1112030744")</f>
        <v>#NAME?</v>
      </c>
      <c r="G329" s="4" t="e">
        <f ca="1">[1]!BexGetData("DP_1","003N8EMH8GTFRCSWKMPXRRXR2","GSON1112030744")</f>
        <v>#NAME?</v>
      </c>
      <c r="H329" s="4" t="e">
        <f ca="1">[1]!BexGetData("DP_1","003N8EMH8GTFRCSWKMPXRS42M","GSON1112030744")</f>
        <v>#NAME?</v>
      </c>
      <c r="I329" s="4" t="e">
        <f ca="1">[1]!BexGetData("DP_1","003N8EMH8GTFRCSWKMPXRSAE6","GSON1112030744")</f>
        <v>#NAME?</v>
      </c>
      <c r="J329" s="4" t="e">
        <f ca="1">[1]!BexGetData("DP_1","003N8EMH8GTFRCSWKMPXRSGPQ","GSON1112030744")</f>
        <v>#NAME?</v>
      </c>
      <c r="K329" s="8" t="e">
        <f ca="1">[1]!BexGetData("DP_1","003N8EMH8GTFRIVNUPY288VJH","GSON1112030744")</f>
        <v>#NAME?</v>
      </c>
      <c r="L329" s="8" t="e">
        <f ca="1">[1]!BexGetData("DP_1","003N8EMH8GTFRIVNUPY2891V1","GSON1112030744")</f>
        <v>#NAME?</v>
      </c>
      <c r="M329" s="8" t="e">
        <f ca="1">[1]!BexGetData("DP_1","003N8EMH8GTFRIVOG7KG9IQXA","GSON1112030744")</f>
        <v>#NAME?</v>
      </c>
      <c r="N329" s="8" t="e">
        <f ca="1">[1]!BexGetData("DP_1","003N8EMH8GTFRIVOG7KG9IX8U","GSON1112030744")</f>
        <v>#NAME?</v>
      </c>
      <c r="O329" s="8" t="e">
        <f ca="1">[1]!BexGetData("DP_1","003N8EMH8GTFRIVOG7KG9J3KE","GSON1112030744")</f>
        <v>#NAME?</v>
      </c>
      <c r="P329" s="8" t="e">
        <f ca="1">[1]!BexGetData("DP_1","003N8EMH8GTFRIVOG7KG9J9VY","GSON1112030744")</f>
        <v>#NAME?</v>
      </c>
      <c r="Q329" s="4" t="e">
        <f ca="1">[1]!BexGetData("DP_1","00O2TNJGODT0G5Z4TTKYMM5MT","GSON1112030744")</f>
        <v>#NAME?</v>
      </c>
      <c r="R329" s="4" t="e">
        <f ca="1">[1]!BexGetData("DP_1","00O2TNJGODT0G5Z4TTKYMMBYD","GSON1112030744")</f>
        <v>#NAME?</v>
      </c>
      <c r="S329" s="4" t="e">
        <f ca="1">[1]!BexGetData("DP_1","00O2TNJGODT0G5Z4TTKYMMI9X","GSON1112030744")</f>
        <v>#NAME?</v>
      </c>
      <c r="T329" s="4" t="e">
        <f ca="1">[1]!BexGetData("DP_1","00O2TNJGODT0G5Z4TTKYMMOLH","GSON1112030744")</f>
        <v>#NAME?</v>
      </c>
      <c r="U329" s="4" t="e">
        <f ca="1">[1]!BexGetData("DP_1","00O2TNJGODT0G5Z4TTKYMMUX1","GSON1112030744")</f>
        <v>#NAME?</v>
      </c>
      <c r="V329" s="4" t="e">
        <f ca="1">[1]!BexGetData("DP_1","00O2TNJGODT0G5Z4TTKYMN18L","GSON1112030744")</f>
        <v>#NAME?</v>
      </c>
      <c r="W329" s="4" t="e">
        <f ca="1">[1]!BexGetData("DP_1","00O2TNJGODT0G5Z4TTKYMN7K5","GSON1112030744")</f>
        <v>#NAME?</v>
      </c>
    </row>
    <row r="330" spans="1:23" x14ac:dyDescent="0.2">
      <c r="A330" s="16" t="s">
        <v>882</v>
      </c>
      <c r="B330" s="7" t="s">
        <v>883</v>
      </c>
      <c r="C330" s="3" t="e">
        <f ca="1">[1]!BexGetData("DP_1","003N8EMH8GTFRCSWKMPXRR8GU","GSON1112030750")</f>
        <v>#NAME?</v>
      </c>
      <c r="D330" s="3" t="e">
        <f ca="1">[1]!BexGetData("DP_1","003N8EMH8GTFRCSWKMPXRRESE","GSON1112030750")</f>
        <v>#NAME?</v>
      </c>
      <c r="E330" s="3" t="e">
        <f ca="1">[1]!BexGetData("DP_1","003N8EMH8GTFRCSWKMPXRRL3Y","GSON1112030750")</f>
        <v>#NAME?</v>
      </c>
      <c r="F330" s="3" t="e">
        <f ca="1">[1]!BexGetData("DP_1","003N8EMH8GTFRCSWKMPXRRRFI","GSON1112030750")</f>
        <v>#NAME?</v>
      </c>
      <c r="G330" s="3" t="e">
        <f ca="1">[1]!BexGetData("DP_1","003N8EMH8GTFRCSWKMPXRRXR2","GSON1112030750")</f>
        <v>#NAME?</v>
      </c>
      <c r="H330" s="8" t="e">
        <f ca="1">[1]!BexGetData("DP_1","003N8EMH8GTFRCSWKMPXRS42M","GSON1112030750")</f>
        <v>#NAME?</v>
      </c>
      <c r="I330" s="3" t="e">
        <f ca="1">[1]!BexGetData("DP_1","003N8EMH8GTFRCSWKMPXRSAE6","GSON1112030750")</f>
        <v>#NAME?</v>
      </c>
      <c r="J330" s="4" t="e">
        <f ca="1">[1]!BexGetData("DP_1","003N8EMH8GTFRCSWKMPXRSGPQ","GSON1112030750")</f>
        <v>#NAME?</v>
      </c>
      <c r="K330" s="3" t="e">
        <f ca="1">[1]!BexGetData("DP_1","003N8EMH8GTFRIVNUPY288VJH","GSON1112030750")</f>
        <v>#NAME?</v>
      </c>
      <c r="L330" s="3" t="e">
        <f ca="1">[1]!BexGetData("DP_1","003N8EMH8GTFRIVNUPY2891V1","GSON1112030750")</f>
        <v>#NAME?</v>
      </c>
      <c r="M330" s="8" t="e">
        <f ca="1">[1]!BexGetData("DP_1","003N8EMH8GTFRIVOG7KG9IQXA","GSON1112030750")</f>
        <v>#NAME?</v>
      </c>
      <c r="N330" s="3" t="e">
        <f ca="1">[1]!BexGetData("DP_1","003N8EMH8GTFRIVOG7KG9IX8U","GSON1112030750")</f>
        <v>#NAME?</v>
      </c>
      <c r="O330" s="8" t="e">
        <f ca="1">[1]!BexGetData("DP_1","003N8EMH8GTFRIVOG7KG9J3KE","GSON1112030750")</f>
        <v>#NAME?</v>
      </c>
      <c r="P330" s="3" t="e">
        <f ca="1">[1]!BexGetData("DP_1","003N8EMH8GTFRIVOG7KG9J9VY","GSON1112030750")</f>
        <v>#NAME?</v>
      </c>
      <c r="Q330" s="4" t="e">
        <f ca="1">[1]!BexGetData("DP_1","00O2TNJGODT0G5Z4TTKYMM5MT","GSON1112030750")</f>
        <v>#NAME?</v>
      </c>
      <c r="R330" s="3" t="e">
        <f ca="1">[1]!BexGetData("DP_1","00O2TNJGODT0G5Z4TTKYMMBYD","GSON1112030750")</f>
        <v>#NAME?</v>
      </c>
      <c r="S330" s="3" t="e">
        <f ca="1">[1]!BexGetData("DP_1","00O2TNJGODT0G5Z4TTKYMMI9X","GSON1112030750")</f>
        <v>#NAME?</v>
      </c>
      <c r="T330" s="8" t="e">
        <f ca="1">[1]!BexGetData("DP_1","00O2TNJGODT0G5Z4TTKYMMOLH","GSON1112030750")</f>
        <v>#NAME?</v>
      </c>
      <c r="U330" s="3" t="e">
        <f ca="1">[1]!BexGetData("DP_1","00O2TNJGODT0G5Z4TTKYMMUX1","GSON1112030750")</f>
        <v>#NAME?</v>
      </c>
      <c r="V330" s="8" t="e">
        <f ca="1">[1]!BexGetData("DP_1","00O2TNJGODT0G5Z4TTKYMN18L","GSON1112030750")</f>
        <v>#NAME?</v>
      </c>
      <c r="W330" s="3" t="e">
        <f ca="1">[1]!BexGetData("DP_1","00O2TNJGODT0G5Z4TTKYMN7K5","GSON1112030750")</f>
        <v>#NAME?</v>
      </c>
    </row>
    <row r="331" spans="1:23" x14ac:dyDescent="0.2">
      <c r="A331" s="16" t="s">
        <v>884</v>
      </c>
      <c r="B331" s="7" t="s">
        <v>885</v>
      </c>
      <c r="C331" s="3" t="e">
        <f ca="1">[1]!BexGetData("DP_1","003N8EMH8GTFRCSWKMPXRR8GU","GSON1112030751")</f>
        <v>#NAME?</v>
      </c>
      <c r="D331" s="3" t="e">
        <f ca="1">[1]!BexGetData("DP_1","003N8EMH8GTFRCSWKMPXRRESE","GSON1112030751")</f>
        <v>#NAME?</v>
      </c>
      <c r="E331" s="3" t="e">
        <f ca="1">[1]!BexGetData("DP_1","003N8EMH8GTFRCSWKMPXRRL3Y","GSON1112030751")</f>
        <v>#NAME?</v>
      </c>
      <c r="F331" s="4" t="e">
        <f ca="1">[1]!BexGetData("DP_1","003N8EMH8GTFRCSWKMPXRRRFI","GSON1112030751")</f>
        <v>#NAME?</v>
      </c>
      <c r="G331" s="4" t="e">
        <f ca="1">[1]!BexGetData("DP_1","003N8EMH8GTFRCSWKMPXRRXR2","GSON1112030751")</f>
        <v>#NAME?</v>
      </c>
      <c r="H331" s="4" t="e">
        <f ca="1">[1]!BexGetData("DP_1","003N8EMH8GTFRCSWKMPXRS42M","GSON1112030751")</f>
        <v>#NAME?</v>
      </c>
      <c r="I331" s="4" t="e">
        <f ca="1">[1]!BexGetData("DP_1","003N8EMH8GTFRCSWKMPXRSAE6","GSON1112030751")</f>
        <v>#NAME?</v>
      </c>
      <c r="J331" s="4" t="e">
        <f ca="1">[1]!BexGetData("DP_1","003N8EMH8GTFRCSWKMPXRSGPQ","GSON1112030751")</f>
        <v>#NAME?</v>
      </c>
      <c r="K331" s="3" t="e">
        <f ca="1">[1]!BexGetData("DP_1","003N8EMH8GTFRIVNUPY288VJH","GSON1112030751")</f>
        <v>#NAME?</v>
      </c>
      <c r="L331" s="3" t="e">
        <f ca="1">[1]!BexGetData("DP_1","003N8EMH8GTFRIVNUPY2891V1","GSON1112030751")</f>
        <v>#NAME?</v>
      </c>
      <c r="M331" s="3" t="e">
        <f ca="1">[1]!BexGetData("DP_1","003N8EMH8GTFRIVOG7KG9IQXA","GSON1112030751")</f>
        <v>#NAME?</v>
      </c>
      <c r="N331" s="8" t="e">
        <f ca="1">[1]!BexGetData("DP_1","003N8EMH8GTFRIVOG7KG9IX8U","GSON1112030751")</f>
        <v>#NAME?</v>
      </c>
      <c r="O331" s="3" t="e">
        <f ca="1">[1]!BexGetData("DP_1","003N8EMH8GTFRIVOG7KG9J3KE","GSON1112030751")</f>
        <v>#NAME?</v>
      </c>
      <c r="P331" s="8" t="e">
        <f ca="1">[1]!BexGetData("DP_1","003N8EMH8GTFRIVOG7KG9J9VY","GSON1112030751")</f>
        <v>#NAME?</v>
      </c>
      <c r="Q331" s="4" t="e">
        <f ca="1">[1]!BexGetData("DP_1","00O2TNJGODT0G5Z4TTKYMM5MT","GSON1112030751")</f>
        <v>#NAME?</v>
      </c>
      <c r="R331" s="4" t="e">
        <f ca="1">[1]!BexGetData("DP_1","00O2TNJGODT0G5Z4TTKYMMBYD","GSON1112030751")</f>
        <v>#NAME?</v>
      </c>
      <c r="S331" s="4" t="e">
        <f ca="1">[1]!BexGetData("DP_1","00O2TNJGODT0G5Z4TTKYMMI9X","GSON1112030751")</f>
        <v>#NAME?</v>
      </c>
      <c r="T331" s="4" t="e">
        <f ca="1">[1]!BexGetData("DP_1","00O2TNJGODT0G5Z4TTKYMMOLH","GSON1112030751")</f>
        <v>#NAME?</v>
      </c>
      <c r="U331" s="4" t="e">
        <f ca="1">[1]!BexGetData("DP_1","00O2TNJGODT0G5Z4TTKYMMUX1","GSON1112030751")</f>
        <v>#NAME?</v>
      </c>
      <c r="V331" s="4" t="e">
        <f ca="1">[1]!BexGetData("DP_1","00O2TNJGODT0G5Z4TTKYMN18L","GSON1112030751")</f>
        <v>#NAME?</v>
      </c>
      <c r="W331" s="4" t="e">
        <f ca="1">[1]!BexGetData("DP_1","00O2TNJGODT0G5Z4TTKYMN7K5","GSON1112030751")</f>
        <v>#NAME?</v>
      </c>
    </row>
    <row r="332" spans="1:23" x14ac:dyDescent="0.2">
      <c r="A332" s="16" t="s">
        <v>2121</v>
      </c>
      <c r="B332" s="7" t="s">
        <v>2122</v>
      </c>
      <c r="C332" s="3" t="e">
        <f ca="1">[1]!BexGetData("DP_1","003N8EMH8GTFRCSWKMPXRR8GU","GSON1112030752")</f>
        <v>#NAME?</v>
      </c>
      <c r="D332" s="3" t="e">
        <f ca="1">[1]!BexGetData("DP_1","003N8EMH8GTFRCSWKMPXRRESE","GSON1112030752")</f>
        <v>#NAME?</v>
      </c>
      <c r="E332" s="3" t="e">
        <f ca="1">[1]!BexGetData("DP_1","003N8EMH8GTFRCSWKMPXRRL3Y","GSON1112030752")</f>
        <v>#NAME?</v>
      </c>
      <c r="F332" s="4" t="e">
        <f ca="1">[1]!BexGetData("DP_1","003N8EMH8GTFRCSWKMPXRRRFI","GSON1112030752")</f>
        <v>#NAME?</v>
      </c>
      <c r="G332" s="4" t="e">
        <f ca="1">[1]!BexGetData("DP_1","003N8EMH8GTFRCSWKMPXRRXR2","GSON1112030752")</f>
        <v>#NAME?</v>
      </c>
      <c r="H332" s="4" t="e">
        <f ca="1">[1]!BexGetData("DP_1","003N8EMH8GTFRCSWKMPXRS42M","GSON1112030752")</f>
        <v>#NAME?</v>
      </c>
      <c r="I332" s="4" t="e">
        <f ca="1">[1]!BexGetData("DP_1","003N8EMH8GTFRCSWKMPXRSAE6","GSON1112030752")</f>
        <v>#NAME?</v>
      </c>
      <c r="J332" s="4" t="e">
        <f ca="1">[1]!BexGetData("DP_1","003N8EMH8GTFRCSWKMPXRSGPQ","GSON1112030752")</f>
        <v>#NAME?</v>
      </c>
      <c r="K332" s="3" t="e">
        <f ca="1">[1]!BexGetData("DP_1","003N8EMH8GTFRIVNUPY288VJH","GSON1112030752")</f>
        <v>#NAME?</v>
      </c>
      <c r="L332" s="3" t="e">
        <f ca="1">[1]!BexGetData("DP_1","003N8EMH8GTFRIVNUPY2891V1","GSON1112030752")</f>
        <v>#NAME?</v>
      </c>
      <c r="M332" s="8" t="e">
        <f ca="1">[1]!BexGetData("DP_1","003N8EMH8GTFRIVOG7KG9IQXA","GSON1112030752")</f>
        <v>#NAME?</v>
      </c>
      <c r="N332" s="3" t="e">
        <f ca="1">[1]!BexGetData("DP_1","003N8EMH8GTFRIVOG7KG9IX8U","GSON1112030752")</f>
        <v>#NAME?</v>
      </c>
      <c r="O332" s="8" t="e">
        <f ca="1">[1]!BexGetData("DP_1","003N8EMH8GTFRIVOG7KG9J3KE","GSON1112030752")</f>
        <v>#NAME?</v>
      </c>
      <c r="P332" s="3" t="e">
        <f ca="1">[1]!BexGetData("DP_1","003N8EMH8GTFRIVOG7KG9J9VY","GSON1112030752")</f>
        <v>#NAME?</v>
      </c>
      <c r="Q332" s="4" t="e">
        <f ca="1">[1]!BexGetData("DP_1","00O2TNJGODT0G5Z4TTKYMM5MT","GSON1112030752")</f>
        <v>#NAME?</v>
      </c>
      <c r="R332" s="4" t="e">
        <f ca="1">[1]!BexGetData("DP_1","00O2TNJGODT0G5Z4TTKYMMBYD","GSON1112030752")</f>
        <v>#NAME?</v>
      </c>
      <c r="S332" s="4" t="e">
        <f ca="1">[1]!BexGetData("DP_1","00O2TNJGODT0G5Z4TTKYMMI9X","GSON1112030752")</f>
        <v>#NAME?</v>
      </c>
      <c r="T332" s="4" t="e">
        <f ca="1">[1]!BexGetData("DP_1","00O2TNJGODT0G5Z4TTKYMMOLH","GSON1112030752")</f>
        <v>#NAME?</v>
      </c>
      <c r="U332" s="4" t="e">
        <f ca="1">[1]!BexGetData("DP_1","00O2TNJGODT0G5Z4TTKYMMUX1","GSON1112030752")</f>
        <v>#NAME?</v>
      </c>
      <c r="V332" s="4" t="e">
        <f ca="1">[1]!BexGetData("DP_1","00O2TNJGODT0G5Z4TTKYMN18L","GSON1112030752")</f>
        <v>#NAME?</v>
      </c>
      <c r="W332" s="4" t="e">
        <f ca="1">[1]!BexGetData("DP_1","00O2TNJGODT0G5Z4TTKYMN7K5","GSON1112030752")</f>
        <v>#NAME?</v>
      </c>
    </row>
    <row r="333" spans="1:23" x14ac:dyDescent="0.2">
      <c r="A333" s="16" t="s">
        <v>2123</v>
      </c>
      <c r="B333" s="7" t="s">
        <v>2124</v>
      </c>
      <c r="C333" s="3" t="e">
        <f ca="1">[1]!BexGetData("DP_1","003N8EMH8GTFRCSWKMPXRR8GU","GSON1112030753")</f>
        <v>#NAME?</v>
      </c>
      <c r="D333" s="3" t="e">
        <f ca="1">[1]!BexGetData("DP_1","003N8EMH8GTFRCSWKMPXRRESE","GSON1112030753")</f>
        <v>#NAME?</v>
      </c>
      <c r="E333" s="8" t="e">
        <f ca="1">[1]!BexGetData("DP_1","003N8EMH8GTFRCSWKMPXRRL3Y","GSON1112030753")</f>
        <v>#NAME?</v>
      </c>
      <c r="F333" s="4" t="e">
        <f ca="1">[1]!BexGetData("DP_1","003N8EMH8GTFRCSWKMPXRRRFI","GSON1112030753")</f>
        <v>#NAME?</v>
      </c>
      <c r="G333" s="4" t="e">
        <f ca="1">[1]!BexGetData("DP_1","003N8EMH8GTFRCSWKMPXRRXR2","GSON1112030753")</f>
        <v>#NAME?</v>
      </c>
      <c r="H333" s="4" t="e">
        <f ca="1">[1]!BexGetData("DP_1","003N8EMH8GTFRCSWKMPXRS42M","GSON1112030753")</f>
        <v>#NAME?</v>
      </c>
      <c r="I333" s="4" t="e">
        <f ca="1">[1]!BexGetData("DP_1","003N8EMH8GTFRCSWKMPXRSAE6","GSON1112030753")</f>
        <v>#NAME?</v>
      </c>
      <c r="J333" s="4" t="e">
        <f ca="1">[1]!BexGetData("DP_1","003N8EMH8GTFRCSWKMPXRSGPQ","GSON1112030753")</f>
        <v>#NAME?</v>
      </c>
      <c r="K333" s="8" t="e">
        <f ca="1">[1]!BexGetData("DP_1","003N8EMH8GTFRIVNUPY288VJH","GSON1112030753")</f>
        <v>#NAME?</v>
      </c>
      <c r="L333" s="8" t="e">
        <f ca="1">[1]!BexGetData("DP_1","003N8EMH8GTFRIVNUPY2891V1","GSON1112030753")</f>
        <v>#NAME?</v>
      </c>
      <c r="M333" s="8" t="e">
        <f ca="1">[1]!BexGetData("DP_1","003N8EMH8GTFRIVOG7KG9IQXA","GSON1112030753")</f>
        <v>#NAME?</v>
      </c>
      <c r="N333" s="8" t="e">
        <f ca="1">[1]!BexGetData("DP_1","003N8EMH8GTFRIVOG7KG9IX8U","GSON1112030753")</f>
        <v>#NAME?</v>
      </c>
      <c r="O333" s="8" t="e">
        <f ca="1">[1]!BexGetData("DP_1","003N8EMH8GTFRIVOG7KG9J3KE","GSON1112030753")</f>
        <v>#NAME?</v>
      </c>
      <c r="P333" s="8" t="e">
        <f ca="1">[1]!BexGetData("DP_1","003N8EMH8GTFRIVOG7KG9J9VY","GSON1112030753")</f>
        <v>#NAME?</v>
      </c>
      <c r="Q333" s="4" t="e">
        <f ca="1">[1]!BexGetData("DP_1","00O2TNJGODT0G5Z4TTKYMM5MT","GSON1112030753")</f>
        <v>#NAME?</v>
      </c>
      <c r="R333" s="4" t="e">
        <f ca="1">[1]!BexGetData("DP_1","00O2TNJGODT0G5Z4TTKYMMBYD","GSON1112030753")</f>
        <v>#NAME?</v>
      </c>
      <c r="S333" s="4" t="e">
        <f ca="1">[1]!BexGetData("DP_1","00O2TNJGODT0G5Z4TTKYMMI9X","GSON1112030753")</f>
        <v>#NAME?</v>
      </c>
      <c r="T333" s="4" t="e">
        <f ca="1">[1]!BexGetData("DP_1","00O2TNJGODT0G5Z4TTKYMMOLH","GSON1112030753")</f>
        <v>#NAME?</v>
      </c>
      <c r="U333" s="4" t="e">
        <f ca="1">[1]!BexGetData("DP_1","00O2TNJGODT0G5Z4TTKYMMUX1","GSON1112030753")</f>
        <v>#NAME?</v>
      </c>
      <c r="V333" s="4" t="e">
        <f ca="1">[1]!BexGetData("DP_1","00O2TNJGODT0G5Z4TTKYMN18L","GSON1112030753")</f>
        <v>#NAME?</v>
      </c>
      <c r="W333" s="4" t="e">
        <f ca="1">[1]!BexGetData("DP_1","00O2TNJGODT0G5Z4TTKYMN7K5","GSON1112030753")</f>
        <v>#NAME?</v>
      </c>
    </row>
    <row r="334" spans="1:23" x14ac:dyDescent="0.2">
      <c r="A334" s="16" t="s">
        <v>2125</v>
      </c>
      <c r="B334" s="7" t="s">
        <v>2126</v>
      </c>
      <c r="C334" s="3" t="e">
        <f ca="1">[1]!BexGetData("DP_1","003N8EMH8GTFRCSWKMPXRR8GU","GSON1112030754")</f>
        <v>#NAME?</v>
      </c>
      <c r="D334" s="3" t="e">
        <f ca="1">[1]!BexGetData("DP_1","003N8EMH8GTFRCSWKMPXRRESE","GSON1112030754")</f>
        <v>#NAME?</v>
      </c>
      <c r="E334" s="3" t="e">
        <f ca="1">[1]!BexGetData("DP_1","003N8EMH8GTFRCSWKMPXRRL3Y","GSON1112030754")</f>
        <v>#NAME?</v>
      </c>
      <c r="F334" s="4" t="e">
        <f ca="1">[1]!BexGetData("DP_1","003N8EMH8GTFRCSWKMPXRRRFI","GSON1112030754")</f>
        <v>#NAME?</v>
      </c>
      <c r="G334" s="4" t="e">
        <f ca="1">[1]!BexGetData("DP_1","003N8EMH8GTFRCSWKMPXRRXR2","GSON1112030754")</f>
        <v>#NAME?</v>
      </c>
      <c r="H334" s="4" t="e">
        <f ca="1">[1]!BexGetData("DP_1","003N8EMH8GTFRCSWKMPXRS42M","GSON1112030754")</f>
        <v>#NAME?</v>
      </c>
      <c r="I334" s="4" t="e">
        <f ca="1">[1]!BexGetData("DP_1","003N8EMH8GTFRCSWKMPXRSAE6","GSON1112030754")</f>
        <v>#NAME?</v>
      </c>
      <c r="J334" s="4" t="e">
        <f ca="1">[1]!BexGetData("DP_1","003N8EMH8GTFRCSWKMPXRSGPQ","GSON1112030754")</f>
        <v>#NAME?</v>
      </c>
      <c r="K334" s="3" t="e">
        <f ca="1">[1]!BexGetData("DP_1","003N8EMH8GTFRIVNUPY288VJH","GSON1112030754")</f>
        <v>#NAME?</v>
      </c>
      <c r="L334" s="3" t="e">
        <f ca="1">[1]!BexGetData("DP_1","003N8EMH8GTFRIVNUPY2891V1","GSON1112030754")</f>
        <v>#NAME?</v>
      </c>
      <c r="M334" s="3" t="e">
        <f ca="1">[1]!BexGetData("DP_1","003N8EMH8GTFRIVOG7KG9IQXA","GSON1112030754")</f>
        <v>#NAME?</v>
      </c>
      <c r="N334" s="8" t="e">
        <f ca="1">[1]!BexGetData("DP_1","003N8EMH8GTFRIVOG7KG9IX8U","GSON1112030754")</f>
        <v>#NAME?</v>
      </c>
      <c r="O334" s="3" t="e">
        <f ca="1">[1]!BexGetData("DP_1","003N8EMH8GTFRIVOG7KG9J3KE","GSON1112030754")</f>
        <v>#NAME?</v>
      </c>
      <c r="P334" s="8" t="e">
        <f ca="1">[1]!BexGetData("DP_1","003N8EMH8GTFRIVOG7KG9J9VY","GSON1112030754")</f>
        <v>#NAME?</v>
      </c>
      <c r="Q334" s="4" t="e">
        <f ca="1">[1]!BexGetData("DP_1","00O2TNJGODT0G5Z4TTKYMM5MT","GSON1112030754")</f>
        <v>#NAME?</v>
      </c>
      <c r="R334" s="4" t="e">
        <f ca="1">[1]!BexGetData("DP_1","00O2TNJGODT0G5Z4TTKYMMBYD","GSON1112030754")</f>
        <v>#NAME?</v>
      </c>
      <c r="S334" s="4" t="e">
        <f ca="1">[1]!BexGetData("DP_1","00O2TNJGODT0G5Z4TTKYMMI9X","GSON1112030754")</f>
        <v>#NAME?</v>
      </c>
      <c r="T334" s="4" t="e">
        <f ca="1">[1]!BexGetData("DP_1","00O2TNJGODT0G5Z4TTKYMMOLH","GSON1112030754")</f>
        <v>#NAME?</v>
      </c>
      <c r="U334" s="4" t="e">
        <f ca="1">[1]!BexGetData("DP_1","00O2TNJGODT0G5Z4TTKYMMUX1","GSON1112030754")</f>
        <v>#NAME?</v>
      </c>
      <c r="V334" s="4" t="e">
        <f ca="1">[1]!BexGetData("DP_1","00O2TNJGODT0G5Z4TTKYMN18L","GSON1112030754")</f>
        <v>#NAME?</v>
      </c>
      <c r="W334" s="4" t="e">
        <f ca="1">[1]!BexGetData("DP_1","00O2TNJGODT0G5Z4TTKYMN7K5","GSON1112030754")</f>
        <v>#NAME?</v>
      </c>
    </row>
    <row r="335" spans="1:23" x14ac:dyDescent="0.2">
      <c r="A335" s="16" t="s">
        <v>886</v>
      </c>
      <c r="B335" s="7" t="s">
        <v>887</v>
      </c>
      <c r="C335" s="3" t="e">
        <f ca="1">[1]!BexGetData("DP_1","003N8EMH8GTFRCSWKMPXRR8GU","GSON1112030760")</f>
        <v>#NAME?</v>
      </c>
      <c r="D335" s="3" t="e">
        <f ca="1">[1]!BexGetData("DP_1","003N8EMH8GTFRCSWKMPXRRESE","GSON1112030760")</f>
        <v>#NAME?</v>
      </c>
      <c r="E335" s="3" t="e">
        <f ca="1">[1]!BexGetData("DP_1","003N8EMH8GTFRCSWKMPXRRL3Y","GSON1112030760")</f>
        <v>#NAME?</v>
      </c>
      <c r="F335" s="3" t="e">
        <f ca="1">[1]!BexGetData("DP_1","003N8EMH8GTFRCSWKMPXRRRFI","GSON1112030760")</f>
        <v>#NAME?</v>
      </c>
      <c r="G335" s="3" t="e">
        <f ca="1">[1]!BexGetData("DP_1","003N8EMH8GTFRCSWKMPXRRXR2","GSON1112030760")</f>
        <v>#NAME?</v>
      </c>
      <c r="H335" s="8" t="e">
        <f ca="1">[1]!BexGetData("DP_1","003N8EMH8GTFRCSWKMPXRS42M","GSON1112030760")</f>
        <v>#NAME?</v>
      </c>
      <c r="I335" s="3" t="e">
        <f ca="1">[1]!BexGetData("DP_1","003N8EMH8GTFRCSWKMPXRSAE6","GSON1112030760")</f>
        <v>#NAME?</v>
      </c>
      <c r="J335" s="4" t="e">
        <f ca="1">[1]!BexGetData("DP_1","003N8EMH8GTFRCSWKMPXRSGPQ","GSON1112030760")</f>
        <v>#NAME?</v>
      </c>
      <c r="K335" s="3" t="e">
        <f ca="1">[1]!BexGetData("DP_1","003N8EMH8GTFRIVNUPY288VJH","GSON1112030760")</f>
        <v>#NAME?</v>
      </c>
      <c r="L335" s="3" t="e">
        <f ca="1">[1]!BexGetData("DP_1","003N8EMH8GTFRIVNUPY2891V1","GSON1112030760")</f>
        <v>#NAME?</v>
      </c>
      <c r="M335" s="3" t="e">
        <f ca="1">[1]!BexGetData("DP_1","003N8EMH8GTFRIVOG7KG9IQXA","GSON1112030760")</f>
        <v>#NAME?</v>
      </c>
      <c r="N335" s="8" t="e">
        <f ca="1">[1]!BexGetData("DP_1","003N8EMH8GTFRIVOG7KG9IX8U","GSON1112030760")</f>
        <v>#NAME?</v>
      </c>
      <c r="O335" s="3" t="e">
        <f ca="1">[1]!BexGetData("DP_1","003N8EMH8GTFRIVOG7KG9J3KE","GSON1112030760")</f>
        <v>#NAME?</v>
      </c>
      <c r="P335" s="8" t="e">
        <f ca="1">[1]!BexGetData("DP_1","003N8EMH8GTFRIVOG7KG9J9VY","GSON1112030760")</f>
        <v>#NAME?</v>
      </c>
      <c r="Q335" s="4" t="e">
        <f ca="1">[1]!BexGetData("DP_1","00O2TNJGODT0G5Z4TTKYMM5MT","GSON1112030760")</f>
        <v>#NAME?</v>
      </c>
      <c r="R335" s="3" t="e">
        <f ca="1">[1]!BexGetData("DP_1","00O2TNJGODT0G5Z4TTKYMMBYD","GSON1112030760")</f>
        <v>#NAME?</v>
      </c>
      <c r="S335" s="3" t="e">
        <f ca="1">[1]!BexGetData("DP_1","00O2TNJGODT0G5Z4TTKYMMI9X","GSON1112030760")</f>
        <v>#NAME?</v>
      </c>
      <c r="T335" s="8" t="e">
        <f ca="1">[1]!BexGetData("DP_1","00O2TNJGODT0G5Z4TTKYMMOLH","GSON1112030760")</f>
        <v>#NAME?</v>
      </c>
      <c r="U335" s="3" t="e">
        <f ca="1">[1]!BexGetData("DP_1","00O2TNJGODT0G5Z4TTKYMMUX1","GSON1112030760")</f>
        <v>#NAME?</v>
      </c>
      <c r="V335" s="8" t="e">
        <f ca="1">[1]!BexGetData("DP_1","00O2TNJGODT0G5Z4TTKYMN18L","GSON1112030760")</f>
        <v>#NAME?</v>
      </c>
      <c r="W335" s="3" t="e">
        <f ca="1">[1]!BexGetData("DP_1","00O2TNJGODT0G5Z4TTKYMN7K5","GSON1112030760")</f>
        <v>#NAME?</v>
      </c>
    </row>
    <row r="336" spans="1:23" x14ac:dyDescent="0.2">
      <c r="A336" s="16" t="s">
        <v>888</v>
      </c>
      <c r="B336" s="7" t="s">
        <v>889</v>
      </c>
      <c r="C336" s="3" t="e">
        <f ca="1">[1]!BexGetData("DP_1","003N8EMH8GTFRCSWKMPXRR8GU","GSON1112030761")</f>
        <v>#NAME?</v>
      </c>
      <c r="D336" s="3" t="e">
        <f ca="1">[1]!BexGetData("DP_1","003N8EMH8GTFRCSWKMPXRRESE","GSON1112030761")</f>
        <v>#NAME?</v>
      </c>
      <c r="E336" s="3" t="e">
        <f ca="1">[1]!BexGetData("DP_1","003N8EMH8GTFRCSWKMPXRRL3Y","GSON1112030761")</f>
        <v>#NAME?</v>
      </c>
      <c r="F336" s="4" t="e">
        <f ca="1">[1]!BexGetData("DP_1","003N8EMH8GTFRCSWKMPXRRRFI","GSON1112030761")</f>
        <v>#NAME?</v>
      </c>
      <c r="G336" s="4" t="e">
        <f ca="1">[1]!BexGetData("DP_1","003N8EMH8GTFRCSWKMPXRRXR2","GSON1112030761")</f>
        <v>#NAME?</v>
      </c>
      <c r="H336" s="4" t="e">
        <f ca="1">[1]!BexGetData("DP_1","003N8EMH8GTFRCSWKMPXRS42M","GSON1112030761")</f>
        <v>#NAME?</v>
      </c>
      <c r="I336" s="4" t="e">
        <f ca="1">[1]!BexGetData("DP_1","003N8EMH8GTFRCSWKMPXRSAE6","GSON1112030761")</f>
        <v>#NAME?</v>
      </c>
      <c r="J336" s="4" t="e">
        <f ca="1">[1]!BexGetData("DP_1","003N8EMH8GTFRCSWKMPXRSGPQ","GSON1112030761")</f>
        <v>#NAME?</v>
      </c>
      <c r="K336" s="3" t="e">
        <f ca="1">[1]!BexGetData("DP_1","003N8EMH8GTFRIVNUPY288VJH","GSON1112030761")</f>
        <v>#NAME?</v>
      </c>
      <c r="L336" s="3" t="e">
        <f ca="1">[1]!BexGetData("DP_1","003N8EMH8GTFRIVNUPY2891V1","GSON1112030761")</f>
        <v>#NAME?</v>
      </c>
      <c r="M336" s="8" t="e">
        <f ca="1">[1]!BexGetData("DP_1","003N8EMH8GTFRIVOG7KG9IQXA","GSON1112030761")</f>
        <v>#NAME?</v>
      </c>
      <c r="N336" s="3" t="e">
        <f ca="1">[1]!BexGetData("DP_1","003N8EMH8GTFRIVOG7KG9IX8U","GSON1112030761")</f>
        <v>#NAME?</v>
      </c>
      <c r="O336" s="8" t="e">
        <f ca="1">[1]!BexGetData("DP_1","003N8EMH8GTFRIVOG7KG9J3KE","GSON1112030761")</f>
        <v>#NAME?</v>
      </c>
      <c r="P336" s="3" t="e">
        <f ca="1">[1]!BexGetData("DP_1","003N8EMH8GTFRIVOG7KG9J9VY","GSON1112030761")</f>
        <v>#NAME?</v>
      </c>
      <c r="Q336" s="4" t="e">
        <f ca="1">[1]!BexGetData("DP_1","00O2TNJGODT0G5Z4TTKYMM5MT","GSON1112030761")</f>
        <v>#NAME?</v>
      </c>
      <c r="R336" s="4" t="e">
        <f ca="1">[1]!BexGetData("DP_1","00O2TNJGODT0G5Z4TTKYMMBYD","GSON1112030761")</f>
        <v>#NAME?</v>
      </c>
      <c r="S336" s="4" t="e">
        <f ca="1">[1]!BexGetData("DP_1","00O2TNJGODT0G5Z4TTKYMMI9X","GSON1112030761")</f>
        <v>#NAME?</v>
      </c>
      <c r="T336" s="4" t="e">
        <f ca="1">[1]!BexGetData("DP_1","00O2TNJGODT0G5Z4TTKYMMOLH","GSON1112030761")</f>
        <v>#NAME?</v>
      </c>
      <c r="U336" s="4" t="e">
        <f ca="1">[1]!BexGetData("DP_1","00O2TNJGODT0G5Z4TTKYMMUX1","GSON1112030761")</f>
        <v>#NAME?</v>
      </c>
      <c r="V336" s="4" t="e">
        <f ca="1">[1]!BexGetData("DP_1","00O2TNJGODT0G5Z4TTKYMN18L","GSON1112030761")</f>
        <v>#NAME?</v>
      </c>
      <c r="W336" s="4" t="e">
        <f ca="1">[1]!BexGetData("DP_1","00O2TNJGODT0G5Z4TTKYMN7K5","GSON1112030761")</f>
        <v>#NAME?</v>
      </c>
    </row>
    <row r="337" spans="1:23" x14ac:dyDescent="0.2">
      <c r="A337" s="16" t="s">
        <v>2127</v>
      </c>
      <c r="B337" s="7" t="s">
        <v>2128</v>
      </c>
      <c r="C337" s="3" t="e">
        <f ca="1">[1]!BexGetData("DP_1","003N8EMH8GTFRCSWKMPXRR8GU","GSON1112030762")</f>
        <v>#NAME?</v>
      </c>
      <c r="D337" s="3" t="e">
        <f ca="1">[1]!BexGetData("DP_1","003N8EMH8GTFRCSWKMPXRRESE","GSON1112030762")</f>
        <v>#NAME?</v>
      </c>
      <c r="E337" s="8" t="e">
        <f ca="1">[1]!BexGetData("DP_1","003N8EMH8GTFRCSWKMPXRRL3Y","GSON1112030762")</f>
        <v>#NAME?</v>
      </c>
      <c r="F337" s="4" t="e">
        <f ca="1">[1]!BexGetData("DP_1","003N8EMH8GTFRCSWKMPXRRRFI","GSON1112030762")</f>
        <v>#NAME?</v>
      </c>
      <c r="G337" s="4" t="e">
        <f ca="1">[1]!BexGetData("DP_1","003N8EMH8GTFRCSWKMPXRRXR2","GSON1112030762")</f>
        <v>#NAME?</v>
      </c>
      <c r="H337" s="4" t="e">
        <f ca="1">[1]!BexGetData("DP_1","003N8EMH8GTFRCSWKMPXRS42M","GSON1112030762")</f>
        <v>#NAME?</v>
      </c>
      <c r="I337" s="4" t="e">
        <f ca="1">[1]!BexGetData("DP_1","003N8EMH8GTFRCSWKMPXRSAE6","GSON1112030762")</f>
        <v>#NAME?</v>
      </c>
      <c r="J337" s="4" t="e">
        <f ca="1">[1]!BexGetData("DP_1","003N8EMH8GTFRCSWKMPXRSGPQ","GSON1112030762")</f>
        <v>#NAME?</v>
      </c>
      <c r="K337" s="8" t="e">
        <f ca="1">[1]!BexGetData("DP_1","003N8EMH8GTFRIVNUPY288VJH","GSON1112030762")</f>
        <v>#NAME?</v>
      </c>
      <c r="L337" s="8" t="e">
        <f ca="1">[1]!BexGetData("DP_1","003N8EMH8GTFRIVNUPY2891V1","GSON1112030762")</f>
        <v>#NAME?</v>
      </c>
      <c r="M337" s="8" t="e">
        <f ca="1">[1]!BexGetData("DP_1","003N8EMH8GTFRIVOG7KG9IQXA","GSON1112030762")</f>
        <v>#NAME?</v>
      </c>
      <c r="N337" s="8" t="e">
        <f ca="1">[1]!BexGetData("DP_1","003N8EMH8GTFRIVOG7KG9IX8U","GSON1112030762")</f>
        <v>#NAME?</v>
      </c>
      <c r="O337" s="8" t="e">
        <f ca="1">[1]!BexGetData("DP_1","003N8EMH8GTFRIVOG7KG9J3KE","GSON1112030762")</f>
        <v>#NAME?</v>
      </c>
      <c r="P337" s="8" t="e">
        <f ca="1">[1]!BexGetData("DP_1","003N8EMH8GTFRIVOG7KG9J9VY","GSON1112030762")</f>
        <v>#NAME?</v>
      </c>
      <c r="Q337" s="4" t="e">
        <f ca="1">[1]!BexGetData("DP_1","00O2TNJGODT0G5Z4TTKYMM5MT","GSON1112030762")</f>
        <v>#NAME?</v>
      </c>
      <c r="R337" s="4" t="e">
        <f ca="1">[1]!BexGetData("DP_1","00O2TNJGODT0G5Z4TTKYMMBYD","GSON1112030762")</f>
        <v>#NAME?</v>
      </c>
      <c r="S337" s="4" t="e">
        <f ca="1">[1]!BexGetData("DP_1","00O2TNJGODT0G5Z4TTKYMMI9X","GSON1112030762")</f>
        <v>#NAME?</v>
      </c>
      <c r="T337" s="4" t="e">
        <f ca="1">[1]!BexGetData("DP_1","00O2TNJGODT0G5Z4TTKYMMOLH","GSON1112030762")</f>
        <v>#NAME?</v>
      </c>
      <c r="U337" s="4" t="e">
        <f ca="1">[1]!BexGetData("DP_1","00O2TNJGODT0G5Z4TTKYMMUX1","GSON1112030762")</f>
        <v>#NAME?</v>
      </c>
      <c r="V337" s="4" t="e">
        <f ca="1">[1]!BexGetData("DP_1","00O2TNJGODT0G5Z4TTKYMN18L","GSON1112030762")</f>
        <v>#NAME?</v>
      </c>
      <c r="W337" s="4" t="e">
        <f ca="1">[1]!BexGetData("DP_1","00O2TNJGODT0G5Z4TTKYMN7K5","GSON1112030762")</f>
        <v>#NAME?</v>
      </c>
    </row>
    <row r="338" spans="1:23" x14ac:dyDescent="0.2">
      <c r="A338" s="16" t="s">
        <v>2129</v>
      </c>
      <c r="B338" s="7" t="s">
        <v>2130</v>
      </c>
      <c r="C338" s="3" t="e">
        <f ca="1">[1]!BexGetData("DP_1","003N8EMH8GTFRCSWKMPXRR8GU","GSON1112030763")</f>
        <v>#NAME?</v>
      </c>
      <c r="D338" s="3" t="e">
        <f ca="1">[1]!BexGetData("DP_1","003N8EMH8GTFRCSWKMPXRRESE","GSON1112030763")</f>
        <v>#NAME?</v>
      </c>
      <c r="E338" s="8" t="e">
        <f ca="1">[1]!BexGetData("DP_1","003N8EMH8GTFRCSWKMPXRRL3Y","GSON1112030763")</f>
        <v>#NAME?</v>
      </c>
      <c r="F338" s="4" t="e">
        <f ca="1">[1]!BexGetData("DP_1","003N8EMH8GTFRCSWKMPXRRRFI","GSON1112030763")</f>
        <v>#NAME?</v>
      </c>
      <c r="G338" s="4" t="e">
        <f ca="1">[1]!BexGetData("DP_1","003N8EMH8GTFRCSWKMPXRRXR2","GSON1112030763")</f>
        <v>#NAME?</v>
      </c>
      <c r="H338" s="4" t="e">
        <f ca="1">[1]!BexGetData("DP_1","003N8EMH8GTFRCSWKMPXRS42M","GSON1112030763")</f>
        <v>#NAME?</v>
      </c>
      <c r="I338" s="4" t="e">
        <f ca="1">[1]!BexGetData("DP_1","003N8EMH8GTFRCSWKMPXRSAE6","GSON1112030763")</f>
        <v>#NAME?</v>
      </c>
      <c r="J338" s="4" t="e">
        <f ca="1">[1]!BexGetData("DP_1","003N8EMH8GTFRCSWKMPXRSGPQ","GSON1112030763")</f>
        <v>#NAME?</v>
      </c>
      <c r="K338" s="8" t="e">
        <f ca="1">[1]!BexGetData("DP_1","003N8EMH8GTFRIVNUPY288VJH","GSON1112030763")</f>
        <v>#NAME?</v>
      </c>
      <c r="L338" s="8" t="e">
        <f ca="1">[1]!BexGetData("DP_1","003N8EMH8GTFRIVNUPY2891V1","GSON1112030763")</f>
        <v>#NAME?</v>
      </c>
      <c r="M338" s="8" t="e">
        <f ca="1">[1]!BexGetData("DP_1","003N8EMH8GTFRIVOG7KG9IQXA","GSON1112030763")</f>
        <v>#NAME?</v>
      </c>
      <c r="N338" s="8" t="e">
        <f ca="1">[1]!BexGetData("DP_1","003N8EMH8GTFRIVOG7KG9IX8U","GSON1112030763")</f>
        <v>#NAME?</v>
      </c>
      <c r="O338" s="8" t="e">
        <f ca="1">[1]!BexGetData("DP_1","003N8EMH8GTFRIVOG7KG9J3KE","GSON1112030763")</f>
        <v>#NAME?</v>
      </c>
      <c r="P338" s="8" t="e">
        <f ca="1">[1]!BexGetData("DP_1","003N8EMH8GTFRIVOG7KG9J9VY","GSON1112030763")</f>
        <v>#NAME?</v>
      </c>
      <c r="Q338" s="4" t="e">
        <f ca="1">[1]!BexGetData("DP_1","00O2TNJGODT0G5Z4TTKYMM5MT","GSON1112030763")</f>
        <v>#NAME?</v>
      </c>
      <c r="R338" s="4" t="e">
        <f ca="1">[1]!BexGetData("DP_1","00O2TNJGODT0G5Z4TTKYMMBYD","GSON1112030763")</f>
        <v>#NAME?</v>
      </c>
      <c r="S338" s="4" t="e">
        <f ca="1">[1]!BexGetData("DP_1","00O2TNJGODT0G5Z4TTKYMMI9X","GSON1112030763")</f>
        <v>#NAME?</v>
      </c>
      <c r="T338" s="4" t="e">
        <f ca="1">[1]!BexGetData("DP_1","00O2TNJGODT0G5Z4TTKYMMOLH","GSON1112030763")</f>
        <v>#NAME?</v>
      </c>
      <c r="U338" s="4" t="e">
        <f ca="1">[1]!BexGetData("DP_1","00O2TNJGODT0G5Z4TTKYMMUX1","GSON1112030763")</f>
        <v>#NAME?</v>
      </c>
      <c r="V338" s="4" t="e">
        <f ca="1">[1]!BexGetData("DP_1","00O2TNJGODT0G5Z4TTKYMN18L","GSON1112030763")</f>
        <v>#NAME?</v>
      </c>
      <c r="W338" s="4" t="e">
        <f ca="1">[1]!BexGetData("DP_1","00O2TNJGODT0G5Z4TTKYMN7K5","GSON1112030763")</f>
        <v>#NAME?</v>
      </c>
    </row>
    <row r="339" spans="1:23" x14ac:dyDescent="0.2">
      <c r="A339" s="16" t="s">
        <v>2131</v>
      </c>
      <c r="B339" s="7" t="s">
        <v>2132</v>
      </c>
      <c r="C339" s="3" t="e">
        <f ca="1">[1]!BexGetData("DP_1","003N8EMH8GTFRCSWKMPXRR8GU","GSON1112030764")</f>
        <v>#NAME?</v>
      </c>
      <c r="D339" s="3" t="e">
        <f ca="1">[1]!BexGetData("DP_1","003N8EMH8GTFRCSWKMPXRRESE","GSON1112030764")</f>
        <v>#NAME?</v>
      </c>
      <c r="E339" s="3" t="e">
        <f ca="1">[1]!BexGetData("DP_1","003N8EMH8GTFRCSWKMPXRRL3Y","GSON1112030764")</f>
        <v>#NAME?</v>
      </c>
      <c r="F339" s="4" t="e">
        <f ca="1">[1]!BexGetData("DP_1","003N8EMH8GTFRCSWKMPXRRRFI","GSON1112030764")</f>
        <v>#NAME?</v>
      </c>
      <c r="G339" s="4" t="e">
        <f ca="1">[1]!BexGetData("DP_1","003N8EMH8GTFRCSWKMPXRRXR2","GSON1112030764")</f>
        <v>#NAME?</v>
      </c>
      <c r="H339" s="4" t="e">
        <f ca="1">[1]!BexGetData("DP_1","003N8EMH8GTFRCSWKMPXRS42M","GSON1112030764")</f>
        <v>#NAME?</v>
      </c>
      <c r="I339" s="4" t="e">
        <f ca="1">[1]!BexGetData("DP_1","003N8EMH8GTFRCSWKMPXRSAE6","GSON1112030764")</f>
        <v>#NAME?</v>
      </c>
      <c r="J339" s="4" t="e">
        <f ca="1">[1]!BexGetData("DP_1","003N8EMH8GTFRCSWKMPXRSGPQ","GSON1112030764")</f>
        <v>#NAME?</v>
      </c>
      <c r="K339" s="3" t="e">
        <f ca="1">[1]!BexGetData("DP_1","003N8EMH8GTFRIVNUPY288VJH","GSON1112030764")</f>
        <v>#NAME?</v>
      </c>
      <c r="L339" s="3" t="e">
        <f ca="1">[1]!BexGetData("DP_1","003N8EMH8GTFRIVNUPY2891V1","GSON1112030764")</f>
        <v>#NAME?</v>
      </c>
      <c r="M339" s="3" t="e">
        <f ca="1">[1]!BexGetData("DP_1","003N8EMH8GTFRIVOG7KG9IQXA","GSON1112030764")</f>
        <v>#NAME?</v>
      </c>
      <c r="N339" s="8" t="e">
        <f ca="1">[1]!BexGetData("DP_1","003N8EMH8GTFRIVOG7KG9IX8U","GSON1112030764")</f>
        <v>#NAME?</v>
      </c>
      <c r="O339" s="3" t="e">
        <f ca="1">[1]!BexGetData("DP_1","003N8EMH8GTFRIVOG7KG9J3KE","GSON1112030764")</f>
        <v>#NAME?</v>
      </c>
      <c r="P339" s="8" t="e">
        <f ca="1">[1]!BexGetData("DP_1","003N8EMH8GTFRIVOG7KG9J9VY","GSON1112030764")</f>
        <v>#NAME?</v>
      </c>
      <c r="Q339" s="4" t="e">
        <f ca="1">[1]!BexGetData("DP_1","00O2TNJGODT0G5Z4TTKYMM5MT","GSON1112030764")</f>
        <v>#NAME?</v>
      </c>
      <c r="R339" s="4" t="e">
        <f ca="1">[1]!BexGetData("DP_1","00O2TNJGODT0G5Z4TTKYMMBYD","GSON1112030764")</f>
        <v>#NAME?</v>
      </c>
      <c r="S339" s="4" t="e">
        <f ca="1">[1]!BexGetData("DP_1","00O2TNJGODT0G5Z4TTKYMMI9X","GSON1112030764")</f>
        <v>#NAME?</v>
      </c>
      <c r="T339" s="4" t="e">
        <f ca="1">[1]!BexGetData("DP_1","00O2TNJGODT0G5Z4TTKYMMOLH","GSON1112030764")</f>
        <v>#NAME?</v>
      </c>
      <c r="U339" s="4" t="e">
        <f ca="1">[1]!BexGetData("DP_1","00O2TNJGODT0G5Z4TTKYMMUX1","GSON1112030764")</f>
        <v>#NAME?</v>
      </c>
      <c r="V339" s="4" t="e">
        <f ca="1">[1]!BexGetData("DP_1","00O2TNJGODT0G5Z4TTKYMN18L","GSON1112030764")</f>
        <v>#NAME?</v>
      </c>
      <c r="W339" s="4" t="e">
        <f ca="1">[1]!BexGetData("DP_1","00O2TNJGODT0G5Z4TTKYMN7K5","GSON1112030764")</f>
        <v>#NAME?</v>
      </c>
    </row>
    <row r="340" spans="1:23" x14ac:dyDescent="0.2">
      <c r="A340" s="16" t="s">
        <v>890</v>
      </c>
      <c r="B340" s="7" t="s">
        <v>891</v>
      </c>
      <c r="C340" s="3" t="e">
        <f ca="1">[1]!BexGetData("DP_1","003N8EMH8GTFRCSWKMPXRR8GU","GSON1112030770")</f>
        <v>#NAME?</v>
      </c>
      <c r="D340" s="3" t="e">
        <f ca="1">[1]!BexGetData("DP_1","003N8EMH8GTFRCSWKMPXRRESE","GSON1112030770")</f>
        <v>#NAME?</v>
      </c>
      <c r="E340" s="3" t="e">
        <f ca="1">[1]!BexGetData("DP_1","003N8EMH8GTFRCSWKMPXRRL3Y","GSON1112030770")</f>
        <v>#NAME?</v>
      </c>
      <c r="F340" s="3" t="e">
        <f ca="1">[1]!BexGetData("DP_1","003N8EMH8GTFRCSWKMPXRRRFI","GSON1112030770")</f>
        <v>#NAME?</v>
      </c>
      <c r="G340" s="3" t="e">
        <f ca="1">[1]!BexGetData("DP_1","003N8EMH8GTFRCSWKMPXRRXR2","GSON1112030770")</f>
        <v>#NAME?</v>
      </c>
      <c r="H340" s="8" t="e">
        <f ca="1">[1]!BexGetData("DP_1","003N8EMH8GTFRCSWKMPXRS42M","GSON1112030770")</f>
        <v>#NAME?</v>
      </c>
      <c r="I340" s="3" t="e">
        <f ca="1">[1]!BexGetData("DP_1","003N8EMH8GTFRCSWKMPXRSAE6","GSON1112030770")</f>
        <v>#NAME?</v>
      </c>
      <c r="J340" s="4" t="e">
        <f ca="1">[1]!BexGetData("DP_1","003N8EMH8GTFRCSWKMPXRSGPQ","GSON1112030770")</f>
        <v>#NAME?</v>
      </c>
      <c r="K340" s="3" t="e">
        <f ca="1">[1]!BexGetData("DP_1","003N8EMH8GTFRIVNUPY288VJH","GSON1112030770")</f>
        <v>#NAME?</v>
      </c>
      <c r="L340" s="3" t="e">
        <f ca="1">[1]!BexGetData("DP_1","003N8EMH8GTFRIVNUPY2891V1","GSON1112030770")</f>
        <v>#NAME?</v>
      </c>
      <c r="M340" s="8" t="e">
        <f ca="1">[1]!BexGetData("DP_1","003N8EMH8GTFRIVOG7KG9IQXA","GSON1112030770")</f>
        <v>#NAME?</v>
      </c>
      <c r="N340" s="3" t="e">
        <f ca="1">[1]!BexGetData("DP_1","003N8EMH8GTFRIVOG7KG9IX8U","GSON1112030770")</f>
        <v>#NAME?</v>
      </c>
      <c r="O340" s="8" t="e">
        <f ca="1">[1]!BexGetData("DP_1","003N8EMH8GTFRIVOG7KG9J3KE","GSON1112030770")</f>
        <v>#NAME?</v>
      </c>
      <c r="P340" s="3" t="e">
        <f ca="1">[1]!BexGetData("DP_1","003N8EMH8GTFRIVOG7KG9J9VY","GSON1112030770")</f>
        <v>#NAME?</v>
      </c>
      <c r="Q340" s="4" t="e">
        <f ca="1">[1]!BexGetData("DP_1","00O2TNJGODT0G5Z4TTKYMM5MT","GSON1112030770")</f>
        <v>#NAME?</v>
      </c>
      <c r="R340" s="3" t="e">
        <f ca="1">[1]!BexGetData("DP_1","00O2TNJGODT0G5Z4TTKYMMBYD","GSON1112030770")</f>
        <v>#NAME?</v>
      </c>
      <c r="S340" s="3" t="e">
        <f ca="1">[1]!BexGetData("DP_1","00O2TNJGODT0G5Z4TTKYMMI9X","GSON1112030770")</f>
        <v>#NAME?</v>
      </c>
      <c r="T340" s="8" t="e">
        <f ca="1">[1]!BexGetData("DP_1","00O2TNJGODT0G5Z4TTKYMMOLH","GSON1112030770")</f>
        <v>#NAME?</v>
      </c>
      <c r="U340" s="3" t="e">
        <f ca="1">[1]!BexGetData("DP_1","00O2TNJGODT0G5Z4TTKYMMUX1","GSON1112030770")</f>
        <v>#NAME?</v>
      </c>
      <c r="V340" s="8" t="e">
        <f ca="1">[1]!BexGetData("DP_1","00O2TNJGODT0G5Z4TTKYMN18L","GSON1112030770")</f>
        <v>#NAME?</v>
      </c>
      <c r="W340" s="3" t="e">
        <f ca="1">[1]!BexGetData("DP_1","00O2TNJGODT0G5Z4TTKYMN7K5","GSON1112030770")</f>
        <v>#NAME?</v>
      </c>
    </row>
    <row r="341" spans="1:23" x14ac:dyDescent="0.2">
      <c r="A341" s="16" t="s">
        <v>892</v>
      </c>
      <c r="B341" s="7" t="s">
        <v>893</v>
      </c>
      <c r="C341" s="3" t="e">
        <f ca="1">[1]!BexGetData("DP_1","003N8EMH8GTFRCSWKMPXRR8GU","GSON1112030771")</f>
        <v>#NAME?</v>
      </c>
      <c r="D341" s="3" t="e">
        <f ca="1">[1]!BexGetData("DP_1","003N8EMH8GTFRCSWKMPXRRESE","GSON1112030771")</f>
        <v>#NAME?</v>
      </c>
      <c r="E341" s="3" t="e">
        <f ca="1">[1]!BexGetData("DP_1","003N8EMH8GTFRCSWKMPXRRL3Y","GSON1112030771")</f>
        <v>#NAME?</v>
      </c>
      <c r="F341" s="4" t="e">
        <f ca="1">[1]!BexGetData("DP_1","003N8EMH8GTFRCSWKMPXRRRFI","GSON1112030771")</f>
        <v>#NAME?</v>
      </c>
      <c r="G341" s="4" t="e">
        <f ca="1">[1]!BexGetData("DP_1","003N8EMH8GTFRCSWKMPXRRXR2","GSON1112030771")</f>
        <v>#NAME?</v>
      </c>
      <c r="H341" s="4" t="e">
        <f ca="1">[1]!BexGetData("DP_1","003N8EMH8GTFRCSWKMPXRS42M","GSON1112030771")</f>
        <v>#NAME?</v>
      </c>
      <c r="I341" s="4" t="e">
        <f ca="1">[1]!BexGetData("DP_1","003N8EMH8GTFRCSWKMPXRSAE6","GSON1112030771")</f>
        <v>#NAME?</v>
      </c>
      <c r="J341" s="4" t="e">
        <f ca="1">[1]!BexGetData("DP_1","003N8EMH8GTFRCSWKMPXRSGPQ","GSON1112030771")</f>
        <v>#NAME?</v>
      </c>
      <c r="K341" s="3" t="e">
        <f ca="1">[1]!BexGetData("DP_1","003N8EMH8GTFRIVNUPY288VJH","GSON1112030771")</f>
        <v>#NAME?</v>
      </c>
      <c r="L341" s="3" t="e">
        <f ca="1">[1]!BexGetData("DP_1","003N8EMH8GTFRIVNUPY2891V1","GSON1112030771")</f>
        <v>#NAME?</v>
      </c>
      <c r="M341" s="8" t="e">
        <f ca="1">[1]!BexGetData("DP_1","003N8EMH8GTFRIVOG7KG9IQXA","GSON1112030771")</f>
        <v>#NAME?</v>
      </c>
      <c r="N341" s="3" t="e">
        <f ca="1">[1]!BexGetData("DP_1","003N8EMH8GTFRIVOG7KG9IX8U","GSON1112030771")</f>
        <v>#NAME?</v>
      </c>
      <c r="O341" s="8" t="e">
        <f ca="1">[1]!BexGetData("DP_1","003N8EMH8GTFRIVOG7KG9J3KE","GSON1112030771")</f>
        <v>#NAME?</v>
      </c>
      <c r="P341" s="3" t="e">
        <f ca="1">[1]!BexGetData("DP_1","003N8EMH8GTFRIVOG7KG9J9VY","GSON1112030771")</f>
        <v>#NAME?</v>
      </c>
      <c r="Q341" s="4" t="e">
        <f ca="1">[1]!BexGetData("DP_1","00O2TNJGODT0G5Z4TTKYMM5MT","GSON1112030771")</f>
        <v>#NAME?</v>
      </c>
      <c r="R341" s="4" t="e">
        <f ca="1">[1]!BexGetData("DP_1","00O2TNJGODT0G5Z4TTKYMMBYD","GSON1112030771")</f>
        <v>#NAME?</v>
      </c>
      <c r="S341" s="4" t="e">
        <f ca="1">[1]!BexGetData("DP_1","00O2TNJGODT0G5Z4TTKYMMI9X","GSON1112030771")</f>
        <v>#NAME?</v>
      </c>
      <c r="T341" s="4" t="e">
        <f ca="1">[1]!BexGetData("DP_1","00O2TNJGODT0G5Z4TTKYMMOLH","GSON1112030771")</f>
        <v>#NAME?</v>
      </c>
      <c r="U341" s="4" t="e">
        <f ca="1">[1]!BexGetData("DP_1","00O2TNJGODT0G5Z4TTKYMMUX1","GSON1112030771")</f>
        <v>#NAME?</v>
      </c>
      <c r="V341" s="4" t="e">
        <f ca="1">[1]!BexGetData("DP_1","00O2TNJGODT0G5Z4TTKYMN18L","GSON1112030771")</f>
        <v>#NAME?</v>
      </c>
      <c r="W341" s="4" t="e">
        <f ca="1">[1]!BexGetData("DP_1","00O2TNJGODT0G5Z4TTKYMN7K5","GSON1112030771")</f>
        <v>#NAME?</v>
      </c>
    </row>
    <row r="342" spans="1:23" x14ac:dyDescent="0.2">
      <c r="A342" s="16" t="s">
        <v>2133</v>
      </c>
      <c r="B342" s="7" t="s">
        <v>2134</v>
      </c>
      <c r="C342" s="3" t="e">
        <f ca="1">[1]!BexGetData("DP_1","003N8EMH8GTFRCSWKMPXRR8GU","GSON1112030773")</f>
        <v>#NAME?</v>
      </c>
      <c r="D342" s="3" t="e">
        <f ca="1">[1]!BexGetData("DP_1","003N8EMH8GTFRCSWKMPXRRESE","GSON1112030773")</f>
        <v>#NAME?</v>
      </c>
      <c r="E342" s="8" t="e">
        <f ca="1">[1]!BexGetData("DP_1","003N8EMH8GTFRCSWKMPXRRL3Y","GSON1112030773")</f>
        <v>#NAME?</v>
      </c>
      <c r="F342" s="4" t="e">
        <f ca="1">[1]!BexGetData("DP_1","003N8EMH8GTFRCSWKMPXRRRFI","GSON1112030773")</f>
        <v>#NAME?</v>
      </c>
      <c r="G342" s="4" t="e">
        <f ca="1">[1]!BexGetData("DP_1","003N8EMH8GTFRCSWKMPXRRXR2","GSON1112030773")</f>
        <v>#NAME?</v>
      </c>
      <c r="H342" s="4" t="e">
        <f ca="1">[1]!BexGetData("DP_1","003N8EMH8GTFRCSWKMPXRS42M","GSON1112030773")</f>
        <v>#NAME?</v>
      </c>
      <c r="I342" s="4" t="e">
        <f ca="1">[1]!BexGetData("DP_1","003N8EMH8GTFRCSWKMPXRSAE6","GSON1112030773")</f>
        <v>#NAME?</v>
      </c>
      <c r="J342" s="4" t="e">
        <f ca="1">[1]!BexGetData("DP_1","003N8EMH8GTFRCSWKMPXRSGPQ","GSON1112030773")</f>
        <v>#NAME?</v>
      </c>
      <c r="K342" s="8" t="e">
        <f ca="1">[1]!BexGetData("DP_1","003N8EMH8GTFRIVNUPY288VJH","GSON1112030773")</f>
        <v>#NAME?</v>
      </c>
      <c r="L342" s="8" t="e">
        <f ca="1">[1]!BexGetData("DP_1","003N8EMH8GTFRIVNUPY2891V1","GSON1112030773")</f>
        <v>#NAME?</v>
      </c>
      <c r="M342" s="8" t="e">
        <f ca="1">[1]!BexGetData("DP_1","003N8EMH8GTFRIVOG7KG9IQXA","GSON1112030773")</f>
        <v>#NAME?</v>
      </c>
      <c r="N342" s="8" t="e">
        <f ca="1">[1]!BexGetData("DP_1","003N8EMH8GTFRIVOG7KG9IX8U","GSON1112030773")</f>
        <v>#NAME?</v>
      </c>
      <c r="O342" s="8" t="e">
        <f ca="1">[1]!BexGetData("DP_1","003N8EMH8GTFRIVOG7KG9J3KE","GSON1112030773")</f>
        <v>#NAME?</v>
      </c>
      <c r="P342" s="8" t="e">
        <f ca="1">[1]!BexGetData("DP_1","003N8EMH8GTFRIVOG7KG9J9VY","GSON1112030773")</f>
        <v>#NAME?</v>
      </c>
      <c r="Q342" s="4" t="e">
        <f ca="1">[1]!BexGetData("DP_1","00O2TNJGODT0G5Z4TTKYMM5MT","GSON1112030773")</f>
        <v>#NAME?</v>
      </c>
      <c r="R342" s="4" t="e">
        <f ca="1">[1]!BexGetData("DP_1","00O2TNJGODT0G5Z4TTKYMMBYD","GSON1112030773")</f>
        <v>#NAME?</v>
      </c>
      <c r="S342" s="4" t="e">
        <f ca="1">[1]!BexGetData("DP_1","00O2TNJGODT0G5Z4TTKYMMI9X","GSON1112030773")</f>
        <v>#NAME?</v>
      </c>
      <c r="T342" s="4" t="e">
        <f ca="1">[1]!BexGetData("DP_1","00O2TNJGODT0G5Z4TTKYMMOLH","GSON1112030773")</f>
        <v>#NAME?</v>
      </c>
      <c r="U342" s="4" t="e">
        <f ca="1">[1]!BexGetData("DP_1","00O2TNJGODT0G5Z4TTKYMMUX1","GSON1112030773")</f>
        <v>#NAME?</v>
      </c>
      <c r="V342" s="4" t="e">
        <f ca="1">[1]!BexGetData("DP_1","00O2TNJGODT0G5Z4TTKYMN18L","GSON1112030773")</f>
        <v>#NAME?</v>
      </c>
      <c r="W342" s="4" t="e">
        <f ca="1">[1]!BexGetData("DP_1","00O2TNJGODT0G5Z4TTKYMN7K5","GSON1112030773")</f>
        <v>#NAME?</v>
      </c>
    </row>
    <row r="343" spans="1:23" x14ac:dyDescent="0.2">
      <c r="A343" s="16" t="s">
        <v>2135</v>
      </c>
      <c r="B343" s="7" t="s">
        <v>2136</v>
      </c>
      <c r="C343" s="3" t="e">
        <f ca="1">[1]!BexGetData("DP_1","003N8EMH8GTFRCSWKMPXRR8GU","GSON1112030774")</f>
        <v>#NAME?</v>
      </c>
      <c r="D343" s="3" t="e">
        <f ca="1">[1]!BexGetData("DP_1","003N8EMH8GTFRCSWKMPXRRESE","GSON1112030774")</f>
        <v>#NAME?</v>
      </c>
      <c r="E343" s="3" t="e">
        <f ca="1">[1]!BexGetData("DP_1","003N8EMH8GTFRCSWKMPXRRL3Y","GSON1112030774")</f>
        <v>#NAME?</v>
      </c>
      <c r="F343" s="4" t="e">
        <f ca="1">[1]!BexGetData("DP_1","003N8EMH8GTFRCSWKMPXRRRFI","GSON1112030774")</f>
        <v>#NAME?</v>
      </c>
      <c r="G343" s="4" t="e">
        <f ca="1">[1]!BexGetData("DP_1","003N8EMH8GTFRCSWKMPXRRXR2","GSON1112030774")</f>
        <v>#NAME?</v>
      </c>
      <c r="H343" s="4" t="e">
        <f ca="1">[1]!BexGetData("DP_1","003N8EMH8GTFRCSWKMPXRS42M","GSON1112030774")</f>
        <v>#NAME?</v>
      </c>
      <c r="I343" s="4" t="e">
        <f ca="1">[1]!BexGetData("DP_1","003N8EMH8GTFRCSWKMPXRSAE6","GSON1112030774")</f>
        <v>#NAME?</v>
      </c>
      <c r="J343" s="4" t="e">
        <f ca="1">[1]!BexGetData("DP_1","003N8EMH8GTFRCSWKMPXRSGPQ","GSON1112030774")</f>
        <v>#NAME?</v>
      </c>
      <c r="K343" s="3" t="e">
        <f ca="1">[1]!BexGetData("DP_1","003N8EMH8GTFRIVNUPY288VJH","GSON1112030774")</f>
        <v>#NAME?</v>
      </c>
      <c r="L343" s="3" t="e">
        <f ca="1">[1]!BexGetData("DP_1","003N8EMH8GTFRIVNUPY2891V1","GSON1112030774")</f>
        <v>#NAME?</v>
      </c>
      <c r="M343" s="3" t="e">
        <f ca="1">[1]!BexGetData("DP_1","003N8EMH8GTFRIVOG7KG9IQXA","GSON1112030774")</f>
        <v>#NAME?</v>
      </c>
      <c r="N343" s="8" t="e">
        <f ca="1">[1]!BexGetData("DP_1","003N8EMH8GTFRIVOG7KG9IX8U","GSON1112030774")</f>
        <v>#NAME?</v>
      </c>
      <c r="O343" s="3" t="e">
        <f ca="1">[1]!BexGetData("DP_1","003N8EMH8GTFRIVOG7KG9J3KE","GSON1112030774")</f>
        <v>#NAME?</v>
      </c>
      <c r="P343" s="8" t="e">
        <f ca="1">[1]!BexGetData("DP_1","003N8EMH8GTFRIVOG7KG9J9VY","GSON1112030774")</f>
        <v>#NAME?</v>
      </c>
      <c r="Q343" s="4" t="e">
        <f ca="1">[1]!BexGetData("DP_1","00O2TNJGODT0G5Z4TTKYMM5MT","GSON1112030774")</f>
        <v>#NAME?</v>
      </c>
      <c r="R343" s="4" t="e">
        <f ca="1">[1]!BexGetData("DP_1","00O2TNJGODT0G5Z4TTKYMMBYD","GSON1112030774")</f>
        <v>#NAME?</v>
      </c>
      <c r="S343" s="4" t="e">
        <f ca="1">[1]!BexGetData("DP_1","00O2TNJGODT0G5Z4TTKYMMI9X","GSON1112030774")</f>
        <v>#NAME?</v>
      </c>
      <c r="T343" s="4" t="e">
        <f ca="1">[1]!BexGetData("DP_1","00O2TNJGODT0G5Z4TTKYMMOLH","GSON1112030774")</f>
        <v>#NAME?</v>
      </c>
      <c r="U343" s="4" t="e">
        <f ca="1">[1]!BexGetData("DP_1","00O2TNJGODT0G5Z4TTKYMMUX1","GSON1112030774")</f>
        <v>#NAME?</v>
      </c>
      <c r="V343" s="4" t="e">
        <f ca="1">[1]!BexGetData("DP_1","00O2TNJGODT0G5Z4TTKYMN18L","GSON1112030774")</f>
        <v>#NAME?</v>
      </c>
      <c r="W343" s="4" t="e">
        <f ca="1">[1]!BexGetData("DP_1","00O2TNJGODT0G5Z4TTKYMN7K5","GSON1112030774")</f>
        <v>#NAME?</v>
      </c>
    </row>
    <row r="344" spans="1:23" x14ac:dyDescent="0.2">
      <c r="A344" s="16" t="s">
        <v>894</v>
      </c>
      <c r="B344" s="7" t="s">
        <v>895</v>
      </c>
      <c r="C344" s="3" t="e">
        <f ca="1">[1]!BexGetData("DP_1","003N8EMH8GTFRCSWKMPXRR8GU","GSON1112030780")</f>
        <v>#NAME?</v>
      </c>
      <c r="D344" s="3" t="e">
        <f ca="1">[1]!BexGetData("DP_1","003N8EMH8GTFRCSWKMPXRRESE","GSON1112030780")</f>
        <v>#NAME?</v>
      </c>
      <c r="E344" s="3" t="e">
        <f ca="1">[1]!BexGetData("DP_1","003N8EMH8GTFRCSWKMPXRRL3Y","GSON1112030780")</f>
        <v>#NAME?</v>
      </c>
      <c r="F344" s="3" t="e">
        <f ca="1">[1]!BexGetData("DP_1","003N8EMH8GTFRCSWKMPXRRRFI","GSON1112030780")</f>
        <v>#NAME?</v>
      </c>
      <c r="G344" s="3" t="e">
        <f ca="1">[1]!BexGetData("DP_1","003N8EMH8GTFRCSWKMPXRRXR2","GSON1112030780")</f>
        <v>#NAME?</v>
      </c>
      <c r="H344" s="8" t="e">
        <f ca="1">[1]!BexGetData("DP_1","003N8EMH8GTFRCSWKMPXRS42M","GSON1112030780")</f>
        <v>#NAME?</v>
      </c>
      <c r="I344" s="3" t="e">
        <f ca="1">[1]!BexGetData("DP_1","003N8EMH8GTFRCSWKMPXRSAE6","GSON1112030780")</f>
        <v>#NAME?</v>
      </c>
      <c r="J344" s="4" t="e">
        <f ca="1">[1]!BexGetData("DP_1","003N8EMH8GTFRCSWKMPXRSGPQ","GSON1112030780")</f>
        <v>#NAME?</v>
      </c>
      <c r="K344" s="3" t="e">
        <f ca="1">[1]!BexGetData("DP_1","003N8EMH8GTFRIVNUPY288VJH","GSON1112030780")</f>
        <v>#NAME?</v>
      </c>
      <c r="L344" s="3" t="e">
        <f ca="1">[1]!BexGetData("DP_1","003N8EMH8GTFRIVNUPY2891V1","GSON1112030780")</f>
        <v>#NAME?</v>
      </c>
      <c r="M344" s="8" t="e">
        <f ca="1">[1]!BexGetData("DP_1","003N8EMH8GTFRIVOG7KG9IQXA","GSON1112030780")</f>
        <v>#NAME?</v>
      </c>
      <c r="N344" s="3" t="e">
        <f ca="1">[1]!BexGetData("DP_1","003N8EMH8GTFRIVOG7KG9IX8U","GSON1112030780")</f>
        <v>#NAME?</v>
      </c>
      <c r="O344" s="8" t="e">
        <f ca="1">[1]!BexGetData("DP_1","003N8EMH8GTFRIVOG7KG9J3KE","GSON1112030780")</f>
        <v>#NAME?</v>
      </c>
      <c r="P344" s="3" t="e">
        <f ca="1">[1]!BexGetData("DP_1","003N8EMH8GTFRIVOG7KG9J9VY","GSON1112030780")</f>
        <v>#NAME?</v>
      </c>
      <c r="Q344" s="4" t="e">
        <f ca="1">[1]!BexGetData("DP_1","00O2TNJGODT0G5Z4TTKYMM5MT","GSON1112030780")</f>
        <v>#NAME?</v>
      </c>
      <c r="R344" s="3" t="e">
        <f ca="1">[1]!BexGetData("DP_1","00O2TNJGODT0G5Z4TTKYMMBYD","GSON1112030780")</f>
        <v>#NAME?</v>
      </c>
      <c r="S344" s="3" t="e">
        <f ca="1">[1]!BexGetData("DP_1","00O2TNJGODT0G5Z4TTKYMMI9X","GSON1112030780")</f>
        <v>#NAME?</v>
      </c>
      <c r="T344" s="8" t="e">
        <f ca="1">[1]!BexGetData("DP_1","00O2TNJGODT0G5Z4TTKYMMOLH","GSON1112030780")</f>
        <v>#NAME?</v>
      </c>
      <c r="U344" s="3" t="e">
        <f ca="1">[1]!BexGetData("DP_1","00O2TNJGODT0G5Z4TTKYMMUX1","GSON1112030780")</f>
        <v>#NAME?</v>
      </c>
      <c r="V344" s="8" t="e">
        <f ca="1">[1]!BexGetData("DP_1","00O2TNJGODT0G5Z4TTKYMN18L","GSON1112030780")</f>
        <v>#NAME?</v>
      </c>
      <c r="W344" s="3" t="e">
        <f ca="1">[1]!BexGetData("DP_1","00O2TNJGODT0G5Z4TTKYMN7K5","GSON1112030780")</f>
        <v>#NAME?</v>
      </c>
    </row>
    <row r="345" spans="1:23" x14ac:dyDescent="0.2">
      <c r="A345" s="16" t="s">
        <v>896</v>
      </c>
      <c r="B345" s="7" t="s">
        <v>897</v>
      </c>
      <c r="C345" s="3" t="e">
        <f ca="1">[1]!BexGetData("DP_1","003N8EMH8GTFRCSWKMPXRR8GU","GSON1112030781")</f>
        <v>#NAME?</v>
      </c>
      <c r="D345" s="3" t="e">
        <f ca="1">[1]!BexGetData("DP_1","003N8EMH8GTFRCSWKMPXRRESE","GSON1112030781")</f>
        <v>#NAME?</v>
      </c>
      <c r="E345" s="3" t="e">
        <f ca="1">[1]!BexGetData("DP_1","003N8EMH8GTFRCSWKMPXRRL3Y","GSON1112030781")</f>
        <v>#NAME?</v>
      </c>
      <c r="F345" s="4" t="e">
        <f ca="1">[1]!BexGetData("DP_1","003N8EMH8GTFRCSWKMPXRRRFI","GSON1112030781")</f>
        <v>#NAME?</v>
      </c>
      <c r="G345" s="4" t="e">
        <f ca="1">[1]!BexGetData("DP_1","003N8EMH8GTFRCSWKMPXRRXR2","GSON1112030781")</f>
        <v>#NAME?</v>
      </c>
      <c r="H345" s="4" t="e">
        <f ca="1">[1]!BexGetData("DP_1","003N8EMH8GTFRCSWKMPXRS42M","GSON1112030781")</f>
        <v>#NAME?</v>
      </c>
      <c r="I345" s="4" t="e">
        <f ca="1">[1]!BexGetData("DP_1","003N8EMH8GTFRCSWKMPXRSAE6","GSON1112030781")</f>
        <v>#NAME?</v>
      </c>
      <c r="J345" s="4" t="e">
        <f ca="1">[1]!BexGetData("DP_1","003N8EMH8GTFRCSWKMPXRSGPQ","GSON1112030781")</f>
        <v>#NAME?</v>
      </c>
      <c r="K345" s="3" t="e">
        <f ca="1">[1]!BexGetData("DP_1","003N8EMH8GTFRIVNUPY288VJH","GSON1112030781")</f>
        <v>#NAME?</v>
      </c>
      <c r="L345" s="3" t="e">
        <f ca="1">[1]!BexGetData("DP_1","003N8EMH8GTFRIVNUPY2891V1","GSON1112030781")</f>
        <v>#NAME?</v>
      </c>
      <c r="M345" s="8" t="e">
        <f ca="1">[1]!BexGetData("DP_1","003N8EMH8GTFRIVOG7KG9IQXA","GSON1112030781")</f>
        <v>#NAME?</v>
      </c>
      <c r="N345" s="3" t="e">
        <f ca="1">[1]!BexGetData("DP_1","003N8EMH8GTFRIVOG7KG9IX8U","GSON1112030781")</f>
        <v>#NAME?</v>
      </c>
      <c r="O345" s="8" t="e">
        <f ca="1">[1]!BexGetData("DP_1","003N8EMH8GTFRIVOG7KG9J3KE","GSON1112030781")</f>
        <v>#NAME?</v>
      </c>
      <c r="P345" s="3" t="e">
        <f ca="1">[1]!BexGetData("DP_1","003N8EMH8GTFRIVOG7KG9J9VY","GSON1112030781")</f>
        <v>#NAME?</v>
      </c>
      <c r="Q345" s="4" t="e">
        <f ca="1">[1]!BexGetData("DP_1","00O2TNJGODT0G5Z4TTKYMM5MT","GSON1112030781")</f>
        <v>#NAME?</v>
      </c>
      <c r="R345" s="4" t="e">
        <f ca="1">[1]!BexGetData("DP_1","00O2TNJGODT0G5Z4TTKYMMBYD","GSON1112030781")</f>
        <v>#NAME?</v>
      </c>
      <c r="S345" s="4" t="e">
        <f ca="1">[1]!BexGetData("DP_1","00O2TNJGODT0G5Z4TTKYMMI9X","GSON1112030781")</f>
        <v>#NAME?</v>
      </c>
      <c r="T345" s="4" t="e">
        <f ca="1">[1]!BexGetData("DP_1","00O2TNJGODT0G5Z4TTKYMMOLH","GSON1112030781")</f>
        <v>#NAME?</v>
      </c>
      <c r="U345" s="4" t="e">
        <f ca="1">[1]!BexGetData("DP_1","00O2TNJGODT0G5Z4TTKYMMUX1","GSON1112030781")</f>
        <v>#NAME?</v>
      </c>
      <c r="V345" s="4" t="e">
        <f ca="1">[1]!BexGetData("DP_1","00O2TNJGODT0G5Z4TTKYMN18L","GSON1112030781")</f>
        <v>#NAME?</v>
      </c>
      <c r="W345" s="4" t="e">
        <f ca="1">[1]!BexGetData("DP_1","00O2TNJGODT0G5Z4TTKYMN7K5","GSON1112030781")</f>
        <v>#NAME?</v>
      </c>
    </row>
    <row r="346" spans="1:23" x14ac:dyDescent="0.2">
      <c r="A346" s="16" t="s">
        <v>2137</v>
      </c>
      <c r="B346" s="7" t="s">
        <v>2138</v>
      </c>
      <c r="C346" s="3" t="e">
        <f ca="1">[1]!BexGetData("DP_1","003N8EMH8GTFRCSWKMPXRR8GU","GSON1112030783")</f>
        <v>#NAME?</v>
      </c>
      <c r="D346" s="3" t="e">
        <f ca="1">[1]!BexGetData("DP_1","003N8EMH8GTFRCSWKMPXRRESE","GSON1112030783")</f>
        <v>#NAME?</v>
      </c>
      <c r="E346" s="8" t="e">
        <f ca="1">[1]!BexGetData("DP_1","003N8EMH8GTFRCSWKMPXRRL3Y","GSON1112030783")</f>
        <v>#NAME?</v>
      </c>
      <c r="F346" s="4" t="e">
        <f ca="1">[1]!BexGetData("DP_1","003N8EMH8GTFRCSWKMPXRRRFI","GSON1112030783")</f>
        <v>#NAME?</v>
      </c>
      <c r="G346" s="4" t="e">
        <f ca="1">[1]!BexGetData("DP_1","003N8EMH8GTFRCSWKMPXRRXR2","GSON1112030783")</f>
        <v>#NAME?</v>
      </c>
      <c r="H346" s="4" t="e">
        <f ca="1">[1]!BexGetData("DP_1","003N8EMH8GTFRCSWKMPXRS42M","GSON1112030783")</f>
        <v>#NAME?</v>
      </c>
      <c r="I346" s="4" t="e">
        <f ca="1">[1]!BexGetData("DP_1","003N8EMH8GTFRCSWKMPXRSAE6","GSON1112030783")</f>
        <v>#NAME?</v>
      </c>
      <c r="J346" s="4" t="e">
        <f ca="1">[1]!BexGetData("DP_1","003N8EMH8GTFRCSWKMPXRSGPQ","GSON1112030783")</f>
        <v>#NAME?</v>
      </c>
      <c r="K346" s="8" t="e">
        <f ca="1">[1]!BexGetData("DP_1","003N8EMH8GTFRIVNUPY288VJH","GSON1112030783")</f>
        <v>#NAME?</v>
      </c>
      <c r="L346" s="8" t="e">
        <f ca="1">[1]!BexGetData("DP_1","003N8EMH8GTFRIVNUPY2891V1","GSON1112030783")</f>
        <v>#NAME?</v>
      </c>
      <c r="M346" s="8" t="e">
        <f ca="1">[1]!BexGetData("DP_1","003N8EMH8GTFRIVOG7KG9IQXA","GSON1112030783")</f>
        <v>#NAME?</v>
      </c>
      <c r="N346" s="8" t="e">
        <f ca="1">[1]!BexGetData("DP_1","003N8EMH8GTFRIVOG7KG9IX8U","GSON1112030783")</f>
        <v>#NAME?</v>
      </c>
      <c r="O346" s="8" t="e">
        <f ca="1">[1]!BexGetData("DP_1","003N8EMH8GTFRIVOG7KG9J3KE","GSON1112030783")</f>
        <v>#NAME?</v>
      </c>
      <c r="P346" s="8" t="e">
        <f ca="1">[1]!BexGetData("DP_1","003N8EMH8GTFRIVOG7KG9J9VY","GSON1112030783")</f>
        <v>#NAME?</v>
      </c>
      <c r="Q346" s="4" t="e">
        <f ca="1">[1]!BexGetData("DP_1","00O2TNJGODT0G5Z4TTKYMM5MT","GSON1112030783")</f>
        <v>#NAME?</v>
      </c>
      <c r="R346" s="4" t="e">
        <f ca="1">[1]!BexGetData("DP_1","00O2TNJGODT0G5Z4TTKYMMBYD","GSON1112030783")</f>
        <v>#NAME?</v>
      </c>
      <c r="S346" s="4" t="e">
        <f ca="1">[1]!BexGetData("DP_1","00O2TNJGODT0G5Z4TTKYMMI9X","GSON1112030783")</f>
        <v>#NAME?</v>
      </c>
      <c r="T346" s="4" t="e">
        <f ca="1">[1]!BexGetData("DP_1","00O2TNJGODT0G5Z4TTKYMMOLH","GSON1112030783")</f>
        <v>#NAME?</v>
      </c>
      <c r="U346" s="4" t="e">
        <f ca="1">[1]!BexGetData("DP_1","00O2TNJGODT0G5Z4TTKYMMUX1","GSON1112030783")</f>
        <v>#NAME?</v>
      </c>
      <c r="V346" s="4" t="e">
        <f ca="1">[1]!BexGetData("DP_1","00O2TNJGODT0G5Z4TTKYMN18L","GSON1112030783")</f>
        <v>#NAME?</v>
      </c>
      <c r="W346" s="4" t="e">
        <f ca="1">[1]!BexGetData("DP_1","00O2TNJGODT0G5Z4TTKYMN7K5","GSON1112030783")</f>
        <v>#NAME?</v>
      </c>
    </row>
    <row r="347" spans="1:23" x14ac:dyDescent="0.2">
      <c r="A347" s="16" t="s">
        <v>2139</v>
      </c>
      <c r="B347" s="7" t="s">
        <v>2140</v>
      </c>
      <c r="C347" s="3" t="e">
        <f ca="1">[1]!BexGetData("DP_1","003N8EMH8GTFRCSWKMPXRR8GU","GSON1112030784")</f>
        <v>#NAME?</v>
      </c>
      <c r="D347" s="3" t="e">
        <f ca="1">[1]!BexGetData("DP_1","003N8EMH8GTFRCSWKMPXRRESE","GSON1112030784")</f>
        <v>#NAME?</v>
      </c>
      <c r="E347" s="3" t="e">
        <f ca="1">[1]!BexGetData("DP_1","003N8EMH8GTFRCSWKMPXRRL3Y","GSON1112030784")</f>
        <v>#NAME?</v>
      </c>
      <c r="F347" s="4" t="e">
        <f ca="1">[1]!BexGetData("DP_1","003N8EMH8GTFRCSWKMPXRRRFI","GSON1112030784")</f>
        <v>#NAME?</v>
      </c>
      <c r="G347" s="4" t="e">
        <f ca="1">[1]!BexGetData("DP_1","003N8EMH8GTFRCSWKMPXRRXR2","GSON1112030784")</f>
        <v>#NAME?</v>
      </c>
      <c r="H347" s="4" t="e">
        <f ca="1">[1]!BexGetData("DP_1","003N8EMH8GTFRCSWKMPXRS42M","GSON1112030784")</f>
        <v>#NAME?</v>
      </c>
      <c r="I347" s="4" t="e">
        <f ca="1">[1]!BexGetData("DP_1","003N8EMH8GTFRCSWKMPXRSAE6","GSON1112030784")</f>
        <v>#NAME?</v>
      </c>
      <c r="J347" s="4" t="e">
        <f ca="1">[1]!BexGetData("DP_1","003N8EMH8GTFRCSWKMPXRSGPQ","GSON1112030784")</f>
        <v>#NAME?</v>
      </c>
      <c r="K347" s="3" t="e">
        <f ca="1">[1]!BexGetData("DP_1","003N8EMH8GTFRIVNUPY288VJH","GSON1112030784")</f>
        <v>#NAME?</v>
      </c>
      <c r="L347" s="3" t="e">
        <f ca="1">[1]!BexGetData("DP_1","003N8EMH8GTFRIVNUPY2891V1","GSON1112030784")</f>
        <v>#NAME?</v>
      </c>
      <c r="M347" s="3" t="e">
        <f ca="1">[1]!BexGetData("DP_1","003N8EMH8GTFRIVOG7KG9IQXA","GSON1112030784")</f>
        <v>#NAME?</v>
      </c>
      <c r="N347" s="8" t="e">
        <f ca="1">[1]!BexGetData("DP_1","003N8EMH8GTFRIVOG7KG9IX8U","GSON1112030784")</f>
        <v>#NAME?</v>
      </c>
      <c r="O347" s="3" t="e">
        <f ca="1">[1]!BexGetData("DP_1","003N8EMH8GTFRIVOG7KG9J3KE","GSON1112030784")</f>
        <v>#NAME?</v>
      </c>
      <c r="P347" s="8" t="e">
        <f ca="1">[1]!BexGetData("DP_1","003N8EMH8GTFRIVOG7KG9J9VY","GSON1112030784")</f>
        <v>#NAME?</v>
      </c>
      <c r="Q347" s="4" t="e">
        <f ca="1">[1]!BexGetData("DP_1","00O2TNJGODT0G5Z4TTKYMM5MT","GSON1112030784")</f>
        <v>#NAME?</v>
      </c>
      <c r="R347" s="4" t="e">
        <f ca="1">[1]!BexGetData("DP_1","00O2TNJGODT0G5Z4TTKYMMBYD","GSON1112030784")</f>
        <v>#NAME?</v>
      </c>
      <c r="S347" s="4" t="e">
        <f ca="1">[1]!BexGetData("DP_1","00O2TNJGODT0G5Z4TTKYMMI9X","GSON1112030784")</f>
        <v>#NAME?</v>
      </c>
      <c r="T347" s="4" t="e">
        <f ca="1">[1]!BexGetData("DP_1","00O2TNJGODT0G5Z4TTKYMMOLH","GSON1112030784")</f>
        <v>#NAME?</v>
      </c>
      <c r="U347" s="4" t="e">
        <f ca="1">[1]!BexGetData("DP_1","00O2TNJGODT0G5Z4TTKYMMUX1","GSON1112030784")</f>
        <v>#NAME?</v>
      </c>
      <c r="V347" s="4" t="e">
        <f ca="1">[1]!BexGetData("DP_1","00O2TNJGODT0G5Z4TTKYMN18L","GSON1112030784")</f>
        <v>#NAME?</v>
      </c>
      <c r="W347" s="4" t="e">
        <f ca="1">[1]!BexGetData("DP_1","00O2TNJGODT0G5Z4TTKYMN7K5","GSON1112030784")</f>
        <v>#NAME?</v>
      </c>
    </row>
    <row r="348" spans="1:23" x14ac:dyDescent="0.2">
      <c r="A348" s="16" t="s">
        <v>2141</v>
      </c>
      <c r="B348" s="7" t="s">
        <v>2142</v>
      </c>
      <c r="C348" s="3" t="e">
        <f ca="1">[1]!BexGetData("DP_1","003N8EMH8GTFRCSWKMPXRR8GU","GSON1112030790")</f>
        <v>#NAME?</v>
      </c>
      <c r="D348" s="3" t="e">
        <f ca="1">[1]!BexGetData("DP_1","003N8EMH8GTFRCSWKMPXRRESE","GSON1112030790")</f>
        <v>#NAME?</v>
      </c>
      <c r="E348" s="8" t="e">
        <f ca="1">[1]!BexGetData("DP_1","003N8EMH8GTFRCSWKMPXRRL3Y","GSON1112030790")</f>
        <v>#NAME?</v>
      </c>
      <c r="F348" s="3" t="e">
        <f ca="1">[1]!BexGetData("DP_1","003N8EMH8GTFRCSWKMPXRRRFI","GSON1112030790")</f>
        <v>#NAME?</v>
      </c>
      <c r="G348" s="3" t="e">
        <f ca="1">[1]!BexGetData("DP_1","003N8EMH8GTFRCSWKMPXRRXR2","GSON1112030790")</f>
        <v>#NAME?</v>
      </c>
      <c r="H348" s="8" t="e">
        <f ca="1">[1]!BexGetData("DP_1","003N8EMH8GTFRCSWKMPXRS42M","GSON1112030790")</f>
        <v>#NAME?</v>
      </c>
      <c r="I348" s="3" t="e">
        <f ca="1">[1]!BexGetData("DP_1","003N8EMH8GTFRCSWKMPXRSAE6","GSON1112030790")</f>
        <v>#NAME?</v>
      </c>
      <c r="J348" s="4" t="e">
        <f ca="1">[1]!BexGetData("DP_1","003N8EMH8GTFRCSWKMPXRSGPQ","GSON1112030790")</f>
        <v>#NAME?</v>
      </c>
      <c r="K348" s="3" t="e">
        <f ca="1">[1]!BexGetData("DP_1","003N8EMH8GTFRIVNUPY288VJH","GSON1112030790")</f>
        <v>#NAME?</v>
      </c>
      <c r="L348" s="3" t="e">
        <f ca="1">[1]!BexGetData("DP_1","003N8EMH8GTFRIVNUPY2891V1","GSON1112030790")</f>
        <v>#NAME?</v>
      </c>
      <c r="M348" s="3" t="e">
        <f ca="1">[1]!BexGetData("DP_1","003N8EMH8GTFRIVOG7KG9IQXA","GSON1112030790")</f>
        <v>#NAME?</v>
      </c>
      <c r="N348" s="8" t="e">
        <f ca="1">[1]!BexGetData("DP_1","003N8EMH8GTFRIVOG7KG9IX8U","GSON1112030790")</f>
        <v>#NAME?</v>
      </c>
      <c r="O348" s="3" t="e">
        <f ca="1">[1]!BexGetData("DP_1","003N8EMH8GTFRIVOG7KG9J3KE","GSON1112030790")</f>
        <v>#NAME?</v>
      </c>
      <c r="P348" s="8" t="e">
        <f ca="1">[1]!BexGetData("DP_1","003N8EMH8GTFRIVOG7KG9J9VY","GSON1112030790")</f>
        <v>#NAME?</v>
      </c>
      <c r="Q348" s="4" t="e">
        <f ca="1">[1]!BexGetData("DP_1","00O2TNJGODT0G5Z4TTKYMM5MT","GSON1112030790")</f>
        <v>#NAME?</v>
      </c>
      <c r="R348" s="3" t="e">
        <f ca="1">[1]!BexGetData("DP_1","00O2TNJGODT0G5Z4TTKYMMBYD","GSON1112030790")</f>
        <v>#NAME?</v>
      </c>
      <c r="S348" s="3" t="e">
        <f ca="1">[1]!BexGetData("DP_1","00O2TNJGODT0G5Z4TTKYMMI9X","GSON1112030790")</f>
        <v>#NAME?</v>
      </c>
      <c r="T348" s="8" t="e">
        <f ca="1">[1]!BexGetData("DP_1","00O2TNJGODT0G5Z4TTKYMMOLH","GSON1112030790")</f>
        <v>#NAME?</v>
      </c>
      <c r="U348" s="3" t="e">
        <f ca="1">[1]!BexGetData("DP_1","00O2TNJGODT0G5Z4TTKYMMUX1","GSON1112030790")</f>
        <v>#NAME?</v>
      </c>
      <c r="V348" s="8" t="e">
        <f ca="1">[1]!BexGetData("DP_1","00O2TNJGODT0G5Z4TTKYMN18L","GSON1112030790")</f>
        <v>#NAME?</v>
      </c>
      <c r="W348" s="3" t="e">
        <f ca="1">[1]!BexGetData("DP_1","00O2TNJGODT0G5Z4TTKYMN7K5","GSON1112030790")</f>
        <v>#NAME?</v>
      </c>
    </row>
    <row r="349" spans="1:23" x14ac:dyDescent="0.2">
      <c r="A349" s="16" t="s">
        <v>2143</v>
      </c>
      <c r="B349" s="7" t="s">
        <v>2144</v>
      </c>
      <c r="C349" s="3" t="e">
        <f ca="1">[1]!BexGetData("DP_1","003N8EMH8GTFRCSWKMPXRR8GU","GSON1112030791")</f>
        <v>#NAME?</v>
      </c>
      <c r="D349" s="3" t="e">
        <f ca="1">[1]!BexGetData("DP_1","003N8EMH8GTFRCSWKMPXRRESE","GSON1112030791")</f>
        <v>#NAME?</v>
      </c>
      <c r="E349" s="3" t="e">
        <f ca="1">[1]!BexGetData("DP_1","003N8EMH8GTFRCSWKMPXRRL3Y","GSON1112030791")</f>
        <v>#NAME?</v>
      </c>
      <c r="F349" s="4" t="e">
        <f ca="1">[1]!BexGetData("DP_1","003N8EMH8GTFRCSWKMPXRRRFI","GSON1112030791")</f>
        <v>#NAME?</v>
      </c>
      <c r="G349" s="4" t="e">
        <f ca="1">[1]!BexGetData("DP_1","003N8EMH8GTFRCSWKMPXRRXR2","GSON1112030791")</f>
        <v>#NAME?</v>
      </c>
      <c r="H349" s="4" t="e">
        <f ca="1">[1]!BexGetData("DP_1","003N8EMH8GTFRCSWKMPXRS42M","GSON1112030791")</f>
        <v>#NAME?</v>
      </c>
      <c r="I349" s="4" t="e">
        <f ca="1">[1]!BexGetData("DP_1","003N8EMH8GTFRCSWKMPXRSAE6","GSON1112030791")</f>
        <v>#NAME?</v>
      </c>
      <c r="J349" s="4" t="e">
        <f ca="1">[1]!BexGetData("DP_1","003N8EMH8GTFRCSWKMPXRSGPQ","GSON1112030791")</f>
        <v>#NAME?</v>
      </c>
      <c r="K349" s="3" t="e">
        <f ca="1">[1]!BexGetData("DP_1","003N8EMH8GTFRIVNUPY288VJH","GSON1112030791")</f>
        <v>#NAME?</v>
      </c>
      <c r="L349" s="3" t="e">
        <f ca="1">[1]!BexGetData("DP_1","003N8EMH8GTFRIVNUPY2891V1","GSON1112030791")</f>
        <v>#NAME?</v>
      </c>
      <c r="M349" s="3" t="e">
        <f ca="1">[1]!BexGetData("DP_1","003N8EMH8GTFRIVOG7KG9IQXA","GSON1112030791")</f>
        <v>#NAME?</v>
      </c>
      <c r="N349" s="8" t="e">
        <f ca="1">[1]!BexGetData("DP_1","003N8EMH8GTFRIVOG7KG9IX8U","GSON1112030791")</f>
        <v>#NAME?</v>
      </c>
      <c r="O349" s="3" t="e">
        <f ca="1">[1]!BexGetData("DP_1","003N8EMH8GTFRIVOG7KG9J3KE","GSON1112030791")</f>
        <v>#NAME?</v>
      </c>
      <c r="P349" s="8" t="e">
        <f ca="1">[1]!BexGetData("DP_1","003N8EMH8GTFRIVOG7KG9J9VY","GSON1112030791")</f>
        <v>#NAME?</v>
      </c>
      <c r="Q349" s="4" t="e">
        <f ca="1">[1]!BexGetData("DP_1","00O2TNJGODT0G5Z4TTKYMM5MT","GSON1112030791")</f>
        <v>#NAME?</v>
      </c>
      <c r="R349" s="4" t="e">
        <f ca="1">[1]!BexGetData("DP_1","00O2TNJGODT0G5Z4TTKYMMBYD","GSON1112030791")</f>
        <v>#NAME?</v>
      </c>
      <c r="S349" s="4" t="e">
        <f ca="1">[1]!BexGetData("DP_1","00O2TNJGODT0G5Z4TTKYMMI9X","GSON1112030791")</f>
        <v>#NAME?</v>
      </c>
      <c r="T349" s="4" t="e">
        <f ca="1">[1]!BexGetData("DP_1","00O2TNJGODT0G5Z4TTKYMMOLH","GSON1112030791")</f>
        <v>#NAME?</v>
      </c>
      <c r="U349" s="4" t="e">
        <f ca="1">[1]!BexGetData("DP_1","00O2TNJGODT0G5Z4TTKYMMUX1","GSON1112030791")</f>
        <v>#NAME?</v>
      </c>
      <c r="V349" s="4" t="e">
        <f ca="1">[1]!BexGetData("DP_1","00O2TNJGODT0G5Z4TTKYMN18L","GSON1112030791")</f>
        <v>#NAME?</v>
      </c>
      <c r="W349" s="4" t="e">
        <f ca="1">[1]!BexGetData("DP_1","00O2TNJGODT0G5Z4TTKYMN7K5","GSON1112030791")</f>
        <v>#NAME?</v>
      </c>
    </row>
    <row r="350" spans="1:23" x14ac:dyDescent="0.2">
      <c r="A350" s="16" t="s">
        <v>2145</v>
      </c>
      <c r="B350" s="7" t="s">
        <v>2146</v>
      </c>
      <c r="C350" s="3" t="e">
        <f ca="1">[1]!BexGetData("DP_1","003N8EMH8GTFRCSWKMPXRR8GU","GSON1112030793")</f>
        <v>#NAME?</v>
      </c>
      <c r="D350" s="3" t="e">
        <f ca="1">[1]!BexGetData("DP_1","003N8EMH8GTFRCSWKMPXRRESE","GSON1112030793")</f>
        <v>#NAME?</v>
      </c>
      <c r="E350" s="8" t="e">
        <f ca="1">[1]!BexGetData("DP_1","003N8EMH8GTFRCSWKMPXRRL3Y","GSON1112030793")</f>
        <v>#NAME?</v>
      </c>
      <c r="F350" s="4" t="e">
        <f ca="1">[1]!BexGetData("DP_1","003N8EMH8GTFRCSWKMPXRRRFI","GSON1112030793")</f>
        <v>#NAME?</v>
      </c>
      <c r="G350" s="4" t="e">
        <f ca="1">[1]!BexGetData("DP_1","003N8EMH8GTFRCSWKMPXRRXR2","GSON1112030793")</f>
        <v>#NAME?</v>
      </c>
      <c r="H350" s="4" t="e">
        <f ca="1">[1]!BexGetData("DP_1","003N8EMH8GTFRCSWKMPXRS42M","GSON1112030793")</f>
        <v>#NAME?</v>
      </c>
      <c r="I350" s="4" t="e">
        <f ca="1">[1]!BexGetData("DP_1","003N8EMH8GTFRCSWKMPXRSAE6","GSON1112030793")</f>
        <v>#NAME?</v>
      </c>
      <c r="J350" s="4" t="e">
        <f ca="1">[1]!BexGetData("DP_1","003N8EMH8GTFRCSWKMPXRSGPQ","GSON1112030793")</f>
        <v>#NAME?</v>
      </c>
      <c r="K350" s="8" t="e">
        <f ca="1">[1]!BexGetData("DP_1","003N8EMH8GTFRIVNUPY288VJH","GSON1112030793")</f>
        <v>#NAME?</v>
      </c>
      <c r="L350" s="8" t="e">
        <f ca="1">[1]!BexGetData("DP_1","003N8EMH8GTFRIVNUPY2891V1","GSON1112030793")</f>
        <v>#NAME?</v>
      </c>
      <c r="M350" s="8" t="e">
        <f ca="1">[1]!BexGetData("DP_1","003N8EMH8GTFRIVOG7KG9IQXA","GSON1112030793")</f>
        <v>#NAME?</v>
      </c>
      <c r="N350" s="8" t="e">
        <f ca="1">[1]!BexGetData("DP_1","003N8EMH8GTFRIVOG7KG9IX8U","GSON1112030793")</f>
        <v>#NAME?</v>
      </c>
      <c r="O350" s="8" t="e">
        <f ca="1">[1]!BexGetData("DP_1","003N8EMH8GTFRIVOG7KG9J3KE","GSON1112030793")</f>
        <v>#NAME?</v>
      </c>
      <c r="P350" s="8" t="e">
        <f ca="1">[1]!BexGetData("DP_1","003N8EMH8GTFRIVOG7KG9J9VY","GSON1112030793")</f>
        <v>#NAME?</v>
      </c>
      <c r="Q350" s="4" t="e">
        <f ca="1">[1]!BexGetData("DP_1","00O2TNJGODT0G5Z4TTKYMM5MT","GSON1112030793")</f>
        <v>#NAME?</v>
      </c>
      <c r="R350" s="4" t="e">
        <f ca="1">[1]!BexGetData("DP_1","00O2TNJGODT0G5Z4TTKYMMBYD","GSON1112030793")</f>
        <v>#NAME?</v>
      </c>
      <c r="S350" s="4" t="e">
        <f ca="1">[1]!BexGetData("DP_1","00O2TNJGODT0G5Z4TTKYMMI9X","GSON1112030793")</f>
        <v>#NAME?</v>
      </c>
      <c r="T350" s="4" t="e">
        <f ca="1">[1]!BexGetData("DP_1","00O2TNJGODT0G5Z4TTKYMMOLH","GSON1112030793")</f>
        <v>#NAME?</v>
      </c>
      <c r="U350" s="4" t="e">
        <f ca="1">[1]!BexGetData("DP_1","00O2TNJGODT0G5Z4TTKYMMUX1","GSON1112030793")</f>
        <v>#NAME?</v>
      </c>
      <c r="V350" s="4" t="e">
        <f ca="1">[1]!BexGetData("DP_1","00O2TNJGODT0G5Z4TTKYMN18L","GSON1112030793")</f>
        <v>#NAME?</v>
      </c>
      <c r="W350" s="4" t="e">
        <f ca="1">[1]!BexGetData("DP_1","00O2TNJGODT0G5Z4TTKYMN7K5","GSON1112030793")</f>
        <v>#NAME?</v>
      </c>
    </row>
    <row r="351" spans="1:23" x14ac:dyDescent="0.2">
      <c r="A351" s="16" t="s">
        <v>2147</v>
      </c>
      <c r="B351" s="7" t="s">
        <v>2148</v>
      </c>
      <c r="C351" s="8" t="e">
        <f ca="1">[1]!BexGetData("DP_1","003N8EMH8GTFRCSWKMPXRR8GU","GSON1112030794")</f>
        <v>#NAME?</v>
      </c>
      <c r="D351" s="3" t="e">
        <f ca="1">[1]!BexGetData("DP_1","003N8EMH8GTFRCSWKMPXRRESE","GSON1112030794")</f>
        <v>#NAME?</v>
      </c>
      <c r="E351" s="3" t="e">
        <f ca="1">[1]!BexGetData("DP_1","003N8EMH8GTFRCSWKMPXRRL3Y","GSON1112030794")</f>
        <v>#NAME?</v>
      </c>
      <c r="F351" s="4" t="e">
        <f ca="1">[1]!BexGetData("DP_1","003N8EMH8GTFRCSWKMPXRRRFI","GSON1112030794")</f>
        <v>#NAME?</v>
      </c>
      <c r="G351" s="4" t="e">
        <f ca="1">[1]!BexGetData("DP_1","003N8EMH8GTFRCSWKMPXRRXR2","GSON1112030794")</f>
        <v>#NAME?</v>
      </c>
      <c r="H351" s="4" t="e">
        <f ca="1">[1]!BexGetData("DP_1","003N8EMH8GTFRCSWKMPXRS42M","GSON1112030794")</f>
        <v>#NAME?</v>
      </c>
      <c r="I351" s="4" t="e">
        <f ca="1">[1]!BexGetData("DP_1","003N8EMH8GTFRCSWKMPXRSAE6","GSON1112030794")</f>
        <v>#NAME?</v>
      </c>
      <c r="J351" s="4" t="e">
        <f ca="1">[1]!BexGetData("DP_1","003N8EMH8GTFRCSWKMPXRSGPQ","GSON1112030794")</f>
        <v>#NAME?</v>
      </c>
      <c r="K351" s="3" t="e">
        <f ca="1">[1]!BexGetData("DP_1","003N8EMH8GTFRIVNUPY288VJH","GSON1112030794")</f>
        <v>#NAME?</v>
      </c>
      <c r="L351" s="3" t="e">
        <f ca="1">[1]!BexGetData("DP_1","003N8EMH8GTFRIVNUPY2891V1","GSON1112030794")</f>
        <v>#NAME?</v>
      </c>
      <c r="M351" s="3" t="e">
        <f ca="1">[1]!BexGetData("DP_1","003N8EMH8GTFRIVOG7KG9IQXA","GSON1112030794")</f>
        <v>#NAME?</v>
      </c>
      <c r="N351" s="8" t="e">
        <f ca="1">[1]!BexGetData("DP_1","003N8EMH8GTFRIVOG7KG9IX8U","GSON1112030794")</f>
        <v>#NAME?</v>
      </c>
      <c r="O351" s="3" t="e">
        <f ca="1">[1]!BexGetData("DP_1","003N8EMH8GTFRIVOG7KG9J3KE","GSON1112030794")</f>
        <v>#NAME?</v>
      </c>
      <c r="P351" s="8" t="e">
        <f ca="1">[1]!BexGetData("DP_1","003N8EMH8GTFRIVOG7KG9J9VY","GSON1112030794")</f>
        <v>#NAME?</v>
      </c>
      <c r="Q351" s="4" t="e">
        <f ca="1">[1]!BexGetData("DP_1","00O2TNJGODT0G5Z4TTKYMM5MT","GSON1112030794")</f>
        <v>#NAME?</v>
      </c>
      <c r="R351" s="4" t="e">
        <f ca="1">[1]!BexGetData("DP_1","00O2TNJGODT0G5Z4TTKYMMBYD","GSON1112030794")</f>
        <v>#NAME?</v>
      </c>
      <c r="S351" s="4" t="e">
        <f ca="1">[1]!BexGetData("DP_1","00O2TNJGODT0G5Z4TTKYMMI9X","GSON1112030794")</f>
        <v>#NAME?</v>
      </c>
      <c r="T351" s="4" t="e">
        <f ca="1">[1]!BexGetData("DP_1","00O2TNJGODT0G5Z4TTKYMMOLH","GSON1112030794")</f>
        <v>#NAME?</v>
      </c>
      <c r="U351" s="4" t="e">
        <f ca="1">[1]!BexGetData("DP_1","00O2TNJGODT0G5Z4TTKYMMUX1","GSON1112030794")</f>
        <v>#NAME?</v>
      </c>
      <c r="V351" s="4" t="e">
        <f ca="1">[1]!BexGetData("DP_1","00O2TNJGODT0G5Z4TTKYMN18L","GSON1112030794")</f>
        <v>#NAME?</v>
      </c>
      <c r="W351" s="4" t="e">
        <f ca="1">[1]!BexGetData("DP_1","00O2TNJGODT0G5Z4TTKYMN7K5","GSON1112030794")</f>
        <v>#NAME?</v>
      </c>
    </row>
    <row r="352" spans="1:23" x14ac:dyDescent="0.2">
      <c r="A352" s="16" t="s">
        <v>898</v>
      </c>
      <c r="B352" s="7" t="s">
        <v>899</v>
      </c>
      <c r="C352" s="3" t="e">
        <f ca="1">[1]!BexGetData("DP_1","003N8EMH8GTFRCSWKMPXRR8GU","GSON1112030800")</f>
        <v>#NAME?</v>
      </c>
      <c r="D352" s="3" t="e">
        <f ca="1">[1]!BexGetData("DP_1","003N8EMH8GTFRCSWKMPXRRESE","GSON1112030800")</f>
        <v>#NAME?</v>
      </c>
      <c r="E352" s="3" t="e">
        <f ca="1">[1]!BexGetData("DP_1","003N8EMH8GTFRCSWKMPXRRL3Y","GSON1112030800")</f>
        <v>#NAME?</v>
      </c>
      <c r="F352" s="3" t="e">
        <f ca="1">[1]!BexGetData("DP_1","003N8EMH8GTFRCSWKMPXRRRFI","GSON1112030800")</f>
        <v>#NAME?</v>
      </c>
      <c r="G352" s="3" t="e">
        <f ca="1">[1]!BexGetData("DP_1","003N8EMH8GTFRCSWKMPXRRXR2","GSON1112030800")</f>
        <v>#NAME?</v>
      </c>
      <c r="H352" s="8" t="e">
        <f ca="1">[1]!BexGetData("DP_1","003N8EMH8GTFRCSWKMPXRS42M","GSON1112030800")</f>
        <v>#NAME?</v>
      </c>
      <c r="I352" s="3" t="e">
        <f ca="1">[1]!BexGetData("DP_1","003N8EMH8GTFRCSWKMPXRSAE6","GSON1112030800")</f>
        <v>#NAME?</v>
      </c>
      <c r="J352" s="4" t="e">
        <f ca="1">[1]!BexGetData("DP_1","003N8EMH8GTFRCSWKMPXRSGPQ","GSON1112030800")</f>
        <v>#NAME?</v>
      </c>
      <c r="K352" s="3" t="e">
        <f ca="1">[1]!BexGetData("DP_1","003N8EMH8GTFRIVNUPY288VJH","GSON1112030800")</f>
        <v>#NAME?</v>
      </c>
      <c r="L352" s="3" t="e">
        <f ca="1">[1]!BexGetData("DP_1","003N8EMH8GTFRIVNUPY2891V1","GSON1112030800")</f>
        <v>#NAME?</v>
      </c>
      <c r="M352" s="3" t="e">
        <f ca="1">[1]!BexGetData("DP_1","003N8EMH8GTFRIVOG7KG9IQXA","GSON1112030800")</f>
        <v>#NAME?</v>
      </c>
      <c r="N352" s="8" t="e">
        <f ca="1">[1]!BexGetData("DP_1","003N8EMH8GTFRIVOG7KG9IX8U","GSON1112030800")</f>
        <v>#NAME?</v>
      </c>
      <c r="O352" s="3" t="e">
        <f ca="1">[1]!BexGetData("DP_1","003N8EMH8GTFRIVOG7KG9J3KE","GSON1112030800")</f>
        <v>#NAME?</v>
      </c>
      <c r="P352" s="8" t="e">
        <f ca="1">[1]!BexGetData("DP_1","003N8EMH8GTFRIVOG7KG9J9VY","GSON1112030800")</f>
        <v>#NAME?</v>
      </c>
      <c r="Q352" s="4" t="e">
        <f ca="1">[1]!BexGetData("DP_1","00O2TNJGODT0G5Z4TTKYMM5MT","GSON1112030800")</f>
        <v>#NAME?</v>
      </c>
      <c r="R352" s="3" t="e">
        <f ca="1">[1]!BexGetData("DP_1","00O2TNJGODT0G5Z4TTKYMMBYD","GSON1112030800")</f>
        <v>#NAME?</v>
      </c>
      <c r="S352" s="3" t="e">
        <f ca="1">[1]!BexGetData("DP_1","00O2TNJGODT0G5Z4TTKYMMI9X","GSON1112030800")</f>
        <v>#NAME?</v>
      </c>
      <c r="T352" s="8" t="e">
        <f ca="1">[1]!BexGetData("DP_1","00O2TNJGODT0G5Z4TTKYMMOLH","GSON1112030800")</f>
        <v>#NAME?</v>
      </c>
      <c r="U352" s="3" t="e">
        <f ca="1">[1]!BexGetData("DP_1","00O2TNJGODT0G5Z4TTKYMMUX1","GSON1112030800")</f>
        <v>#NAME?</v>
      </c>
      <c r="V352" s="8" t="e">
        <f ca="1">[1]!BexGetData("DP_1","00O2TNJGODT0G5Z4TTKYMN18L","GSON1112030800")</f>
        <v>#NAME?</v>
      </c>
      <c r="W352" s="3" t="e">
        <f ca="1">[1]!BexGetData("DP_1","00O2TNJGODT0G5Z4TTKYMN7K5","GSON1112030800")</f>
        <v>#NAME?</v>
      </c>
    </row>
    <row r="353" spans="1:23" x14ac:dyDescent="0.2">
      <c r="A353" s="16" t="s">
        <v>900</v>
      </c>
      <c r="B353" s="7" t="s">
        <v>901</v>
      </c>
      <c r="C353" s="3" t="e">
        <f ca="1">[1]!BexGetData("DP_1","003N8EMH8GTFRCSWKMPXRR8GU","GSON1112030801")</f>
        <v>#NAME?</v>
      </c>
      <c r="D353" s="3" t="e">
        <f ca="1">[1]!BexGetData("DP_1","003N8EMH8GTFRCSWKMPXRRESE","GSON1112030801")</f>
        <v>#NAME?</v>
      </c>
      <c r="E353" s="3" t="e">
        <f ca="1">[1]!BexGetData("DP_1","003N8EMH8GTFRCSWKMPXRRL3Y","GSON1112030801")</f>
        <v>#NAME?</v>
      </c>
      <c r="F353" s="4" t="e">
        <f ca="1">[1]!BexGetData("DP_1","003N8EMH8GTFRCSWKMPXRRRFI","GSON1112030801")</f>
        <v>#NAME?</v>
      </c>
      <c r="G353" s="4" t="e">
        <f ca="1">[1]!BexGetData("DP_1","003N8EMH8GTFRCSWKMPXRRXR2","GSON1112030801")</f>
        <v>#NAME?</v>
      </c>
      <c r="H353" s="4" t="e">
        <f ca="1">[1]!BexGetData("DP_1","003N8EMH8GTFRCSWKMPXRS42M","GSON1112030801")</f>
        <v>#NAME?</v>
      </c>
      <c r="I353" s="4" t="e">
        <f ca="1">[1]!BexGetData("DP_1","003N8EMH8GTFRCSWKMPXRSAE6","GSON1112030801")</f>
        <v>#NAME?</v>
      </c>
      <c r="J353" s="4" t="e">
        <f ca="1">[1]!BexGetData("DP_1","003N8EMH8GTFRCSWKMPXRSGPQ","GSON1112030801")</f>
        <v>#NAME?</v>
      </c>
      <c r="K353" s="3" t="e">
        <f ca="1">[1]!BexGetData("DP_1","003N8EMH8GTFRIVNUPY288VJH","GSON1112030801")</f>
        <v>#NAME?</v>
      </c>
      <c r="L353" s="3" t="e">
        <f ca="1">[1]!BexGetData("DP_1","003N8EMH8GTFRIVNUPY2891V1","GSON1112030801")</f>
        <v>#NAME?</v>
      </c>
      <c r="M353" s="3" t="e">
        <f ca="1">[1]!BexGetData("DP_1","003N8EMH8GTFRIVOG7KG9IQXA","GSON1112030801")</f>
        <v>#NAME?</v>
      </c>
      <c r="N353" s="8" t="e">
        <f ca="1">[1]!BexGetData("DP_1","003N8EMH8GTFRIVOG7KG9IX8U","GSON1112030801")</f>
        <v>#NAME?</v>
      </c>
      <c r="O353" s="3" t="e">
        <f ca="1">[1]!BexGetData("DP_1","003N8EMH8GTFRIVOG7KG9J3KE","GSON1112030801")</f>
        <v>#NAME?</v>
      </c>
      <c r="P353" s="8" t="e">
        <f ca="1">[1]!BexGetData("DP_1","003N8EMH8GTFRIVOG7KG9J9VY","GSON1112030801")</f>
        <v>#NAME?</v>
      </c>
      <c r="Q353" s="4" t="e">
        <f ca="1">[1]!BexGetData("DP_1","00O2TNJGODT0G5Z4TTKYMM5MT","GSON1112030801")</f>
        <v>#NAME?</v>
      </c>
      <c r="R353" s="4" t="e">
        <f ca="1">[1]!BexGetData("DP_1","00O2TNJGODT0G5Z4TTKYMMBYD","GSON1112030801")</f>
        <v>#NAME?</v>
      </c>
      <c r="S353" s="4" t="e">
        <f ca="1">[1]!BexGetData("DP_1","00O2TNJGODT0G5Z4TTKYMMI9X","GSON1112030801")</f>
        <v>#NAME?</v>
      </c>
      <c r="T353" s="4" t="e">
        <f ca="1">[1]!BexGetData("DP_1","00O2TNJGODT0G5Z4TTKYMMOLH","GSON1112030801")</f>
        <v>#NAME?</v>
      </c>
      <c r="U353" s="4" t="e">
        <f ca="1">[1]!BexGetData("DP_1","00O2TNJGODT0G5Z4TTKYMMUX1","GSON1112030801")</f>
        <v>#NAME?</v>
      </c>
      <c r="V353" s="4" t="e">
        <f ca="1">[1]!BexGetData("DP_1","00O2TNJGODT0G5Z4TTKYMN18L","GSON1112030801")</f>
        <v>#NAME?</v>
      </c>
      <c r="W353" s="4" t="e">
        <f ca="1">[1]!BexGetData("DP_1","00O2TNJGODT0G5Z4TTKYMN7K5","GSON1112030801")</f>
        <v>#NAME?</v>
      </c>
    </row>
    <row r="354" spans="1:23" x14ac:dyDescent="0.2">
      <c r="A354" s="16" t="s">
        <v>2149</v>
      </c>
      <c r="B354" s="7" t="s">
        <v>2150</v>
      </c>
      <c r="C354" s="3" t="e">
        <f ca="1">[1]!BexGetData("DP_1","003N8EMH8GTFRCSWKMPXRR8GU","GSON1112030803")</f>
        <v>#NAME?</v>
      </c>
      <c r="D354" s="3" t="e">
        <f ca="1">[1]!BexGetData("DP_1","003N8EMH8GTFRCSWKMPXRRESE","GSON1112030803")</f>
        <v>#NAME?</v>
      </c>
      <c r="E354" s="8" t="e">
        <f ca="1">[1]!BexGetData("DP_1","003N8EMH8GTFRCSWKMPXRRL3Y","GSON1112030803")</f>
        <v>#NAME?</v>
      </c>
      <c r="F354" s="4" t="e">
        <f ca="1">[1]!BexGetData("DP_1","003N8EMH8GTFRCSWKMPXRRRFI","GSON1112030803")</f>
        <v>#NAME?</v>
      </c>
      <c r="G354" s="4" t="e">
        <f ca="1">[1]!BexGetData("DP_1","003N8EMH8GTFRCSWKMPXRRXR2","GSON1112030803")</f>
        <v>#NAME?</v>
      </c>
      <c r="H354" s="4" t="e">
        <f ca="1">[1]!BexGetData("DP_1","003N8EMH8GTFRCSWKMPXRS42M","GSON1112030803")</f>
        <v>#NAME?</v>
      </c>
      <c r="I354" s="4" t="e">
        <f ca="1">[1]!BexGetData("DP_1","003N8EMH8GTFRCSWKMPXRSAE6","GSON1112030803")</f>
        <v>#NAME?</v>
      </c>
      <c r="J354" s="4" t="e">
        <f ca="1">[1]!BexGetData("DP_1","003N8EMH8GTFRCSWKMPXRSGPQ","GSON1112030803")</f>
        <v>#NAME?</v>
      </c>
      <c r="K354" s="8" t="e">
        <f ca="1">[1]!BexGetData("DP_1","003N8EMH8GTFRIVNUPY288VJH","GSON1112030803")</f>
        <v>#NAME?</v>
      </c>
      <c r="L354" s="8" t="e">
        <f ca="1">[1]!BexGetData("DP_1","003N8EMH8GTFRIVNUPY2891V1","GSON1112030803")</f>
        <v>#NAME?</v>
      </c>
      <c r="M354" s="8" t="e">
        <f ca="1">[1]!BexGetData("DP_1","003N8EMH8GTFRIVOG7KG9IQXA","GSON1112030803")</f>
        <v>#NAME?</v>
      </c>
      <c r="N354" s="8" t="e">
        <f ca="1">[1]!BexGetData("DP_1","003N8EMH8GTFRIVOG7KG9IX8U","GSON1112030803")</f>
        <v>#NAME?</v>
      </c>
      <c r="O354" s="8" t="e">
        <f ca="1">[1]!BexGetData("DP_1","003N8EMH8GTFRIVOG7KG9J3KE","GSON1112030803")</f>
        <v>#NAME?</v>
      </c>
      <c r="P354" s="8" t="e">
        <f ca="1">[1]!BexGetData("DP_1","003N8EMH8GTFRIVOG7KG9J9VY","GSON1112030803")</f>
        <v>#NAME?</v>
      </c>
      <c r="Q354" s="4" t="e">
        <f ca="1">[1]!BexGetData("DP_1","00O2TNJGODT0G5Z4TTKYMM5MT","GSON1112030803")</f>
        <v>#NAME?</v>
      </c>
      <c r="R354" s="4" t="e">
        <f ca="1">[1]!BexGetData("DP_1","00O2TNJGODT0G5Z4TTKYMMBYD","GSON1112030803")</f>
        <v>#NAME?</v>
      </c>
      <c r="S354" s="4" t="e">
        <f ca="1">[1]!BexGetData("DP_1","00O2TNJGODT0G5Z4TTKYMMI9X","GSON1112030803")</f>
        <v>#NAME?</v>
      </c>
      <c r="T354" s="4" t="e">
        <f ca="1">[1]!BexGetData("DP_1","00O2TNJGODT0G5Z4TTKYMMOLH","GSON1112030803")</f>
        <v>#NAME?</v>
      </c>
      <c r="U354" s="4" t="e">
        <f ca="1">[1]!BexGetData("DP_1","00O2TNJGODT0G5Z4TTKYMMUX1","GSON1112030803")</f>
        <v>#NAME?</v>
      </c>
      <c r="V354" s="4" t="e">
        <f ca="1">[1]!BexGetData("DP_1","00O2TNJGODT0G5Z4TTKYMN18L","GSON1112030803")</f>
        <v>#NAME?</v>
      </c>
      <c r="W354" s="4" t="e">
        <f ca="1">[1]!BexGetData("DP_1","00O2TNJGODT0G5Z4TTKYMN7K5","GSON1112030803")</f>
        <v>#NAME?</v>
      </c>
    </row>
    <row r="355" spans="1:23" x14ac:dyDescent="0.2">
      <c r="A355" s="16" t="s">
        <v>2151</v>
      </c>
      <c r="B355" s="7" t="s">
        <v>2152</v>
      </c>
      <c r="C355" s="3" t="e">
        <f ca="1">[1]!BexGetData("DP_1","003N8EMH8GTFRCSWKMPXRR8GU","GSON1112030804")</f>
        <v>#NAME?</v>
      </c>
      <c r="D355" s="3" t="e">
        <f ca="1">[1]!BexGetData("DP_1","003N8EMH8GTFRCSWKMPXRRESE","GSON1112030804")</f>
        <v>#NAME?</v>
      </c>
      <c r="E355" s="8" t="e">
        <f ca="1">[1]!BexGetData("DP_1","003N8EMH8GTFRCSWKMPXRRL3Y","GSON1112030804")</f>
        <v>#NAME?</v>
      </c>
      <c r="F355" s="4" t="e">
        <f ca="1">[1]!BexGetData("DP_1","003N8EMH8GTFRCSWKMPXRRRFI","GSON1112030804")</f>
        <v>#NAME?</v>
      </c>
      <c r="G355" s="4" t="e">
        <f ca="1">[1]!BexGetData("DP_1","003N8EMH8GTFRCSWKMPXRRXR2","GSON1112030804")</f>
        <v>#NAME?</v>
      </c>
      <c r="H355" s="4" t="e">
        <f ca="1">[1]!BexGetData("DP_1","003N8EMH8GTFRCSWKMPXRS42M","GSON1112030804")</f>
        <v>#NAME?</v>
      </c>
      <c r="I355" s="4" t="e">
        <f ca="1">[1]!BexGetData("DP_1","003N8EMH8GTFRCSWKMPXRSAE6","GSON1112030804")</f>
        <v>#NAME?</v>
      </c>
      <c r="J355" s="4" t="e">
        <f ca="1">[1]!BexGetData("DP_1","003N8EMH8GTFRCSWKMPXRSGPQ","GSON1112030804")</f>
        <v>#NAME?</v>
      </c>
      <c r="K355" s="8" t="e">
        <f ca="1">[1]!BexGetData("DP_1","003N8EMH8GTFRIVNUPY288VJH","GSON1112030804")</f>
        <v>#NAME?</v>
      </c>
      <c r="L355" s="8" t="e">
        <f ca="1">[1]!BexGetData("DP_1","003N8EMH8GTFRIVNUPY2891V1","GSON1112030804")</f>
        <v>#NAME?</v>
      </c>
      <c r="M355" s="8" t="e">
        <f ca="1">[1]!BexGetData("DP_1","003N8EMH8GTFRIVOG7KG9IQXA","GSON1112030804")</f>
        <v>#NAME?</v>
      </c>
      <c r="N355" s="8" t="e">
        <f ca="1">[1]!BexGetData("DP_1","003N8EMH8GTFRIVOG7KG9IX8U","GSON1112030804")</f>
        <v>#NAME?</v>
      </c>
      <c r="O355" s="8" t="e">
        <f ca="1">[1]!BexGetData("DP_1","003N8EMH8GTFRIVOG7KG9J3KE","GSON1112030804")</f>
        <v>#NAME?</v>
      </c>
      <c r="P355" s="8" t="e">
        <f ca="1">[1]!BexGetData("DP_1","003N8EMH8GTFRIVOG7KG9J9VY","GSON1112030804")</f>
        <v>#NAME?</v>
      </c>
      <c r="Q355" s="4" t="e">
        <f ca="1">[1]!BexGetData("DP_1","00O2TNJGODT0G5Z4TTKYMM5MT","GSON1112030804")</f>
        <v>#NAME?</v>
      </c>
      <c r="R355" s="4" t="e">
        <f ca="1">[1]!BexGetData("DP_1","00O2TNJGODT0G5Z4TTKYMMBYD","GSON1112030804")</f>
        <v>#NAME?</v>
      </c>
      <c r="S355" s="4" t="e">
        <f ca="1">[1]!BexGetData("DP_1","00O2TNJGODT0G5Z4TTKYMMI9X","GSON1112030804")</f>
        <v>#NAME?</v>
      </c>
      <c r="T355" s="4" t="e">
        <f ca="1">[1]!BexGetData("DP_1","00O2TNJGODT0G5Z4TTKYMMOLH","GSON1112030804")</f>
        <v>#NAME?</v>
      </c>
      <c r="U355" s="4" t="e">
        <f ca="1">[1]!BexGetData("DP_1","00O2TNJGODT0G5Z4TTKYMMUX1","GSON1112030804")</f>
        <v>#NAME?</v>
      </c>
      <c r="V355" s="4" t="e">
        <f ca="1">[1]!BexGetData("DP_1","00O2TNJGODT0G5Z4TTKYMN18L","GSON1112030804")</f>
        <v>#NAME?</v>
      </c>
      <c r="W355" s="4" t="e">
        <f ca="1">[1]!BexGetData("DP_1","00O2TNJGODT0G5Z4TTKYMN7K5","GSON1112030804")</f>
        <v>#NAME?</v>
      </c>
    </row>
    <row r="356" spans="1:23" x14ac:dyDescent="0.2">
      <c r="A356" s="16" t="s">
        <v>902</v>
      </c>
      <c r="B356" s="7" t="s">
        <v>903</v>
      </c>
      <c r="C356" s="3" t="e">
        <f ca="1">[1]!BexGetData("DP_1","003N8EMH8GTFRCSWKMPXRR8GU","GSON1112030820")</f>
        <v>#NAME?</v>
      </c>
      <c r="D356" s="3" t="e">
        <f ca="1">[1]!BexGetData("DP_1","003N8EMH8GTFRCSWKMPXRRESE","GSON1112030820")</f>
        <v>#NAME?</v>
      </c>
      <c r="E356" s="3" t="e">
        <f ca="1">[1]!BexGetData("DP_1","003N8EMH8GTFRCSWKMPXRRL3Y","GSON1112030820")</f>
        <v>#NAME?</v>
      </c>
      <c r="F356" s="3" t="e">
        <f ca="1">[1]!BexGetData("DP_1","003N8EMH8GTFRCSWKMPXRRRFI","GSON1112030820")</f>
        <v>#NAME?</v>
      </c>
      <c r="G356" s="3" t="e">
        <f ca="1">[1]!BexGetData("DP_1","003N8EMH8GTFRCSWKMPXRRXR2","GSON1112030820")</f>
        <v>#NAME?</v>
      </c>
      <c r="H356" s="8" t="e">
        <f ca="1">[1]!BexGetData("DP_1","003N8EMH8GTFRCSWKMPXRS42M","GSON1112030820")</f>
        <v>#NAME?</v>
      </c>
      <c r="I356" s="3" t="e">
        <f ca="1">[1]!BexGetData("DP_1","003N8EMH8GTFRCSWKMPXRSAE6","GSON1112030820")</f>
        <v>#NAME?</v>
      </c>
      <c r="J356" s="4" t="e">
        <f ca="1">[1]!BexGetData("DP_1","003N8EMH8GTFRCSWKMPXRSGPQ","GSON1112030820")</f>
        <v>#NAME?</v>
      </c>
      <c r="K356" s="3" t="e">
        <f ca="1">[1]!BexGetData("DP_1","003N8EMH8GTFRIVNUPY288VJH","GSON1112030820")</f>
        <v>#NAME?</v>
      </c>
      <c r="L356" s="3" t="e">
        <f ca="1">[1]!BexGetData("DP_1","003N8EMH8GTFRIVNUPY2891V1","GSON1112030820")</f>
        <v>#NAME?</v>
      </c>
      <c r="M356" s="8" t="e">
        <f ca="1">[1]!BexGetData("DP_1","003N8EMH8GTFRIVOG7KG9IQXA","GSON1112030820")</f>
        <v>#NAME?</v>
      </c>
      <c r="N356" s="3" t="e">
        <f ca="1">[1]!BexGetData("DP_1","003N8EMH8GTFRIVOG7KG9IX8U","GSON1112030820")</f>
        <v>#NAME?</v>
      </c>
      <c r="O356" s="8" t="e">
        <f ca="1">[1]!BexGetData("DP_1","003N8EMH8GTFRIVOG7KG9J3KE","GSON1112030820")</f>
        <v>#NAME?</v>
      </c>
      <c r="P356" s="3" t="e">
        <f ca="1">[1]!BexGetData("DP_1","003N8EMH8GTFRIVOG7KG9J9VY","GSON1112030820")</f>
        <v>#NAME?</v>
      </c>
      <c r="Q356" s="4" t="e">
        <f ca="1">[1]!BexGetData("DP_1","00O2TNJGODT0G5Z4TTKYMM5MT","GSON1112030820")</f>
        <v>#NAME?</v>
      </c>
      <c r="R356" s="3" t="e">
        <f ca="1">[1]!BexGetData("DP_1","00O2TNJGODT0G5Z4TTKYMMBYD","GSON1112030820")</f>
        <v>#NAME?</v>
      </c>
      <c r="S356" s="3" t="e">
        <f ca="1">[1]!BexGetData("DP_1","00O2TNJGODT0G5Z4TTKYMMI9X","GSON1112030820")</f>
        <v>#NAME?</v>
      </c>
      <c r="T356" s="8" t="e">
        <f ca="1">[1]!BexGetData("DP_1","00O2TNJGODT0G5Z4TTKYMMOLH","GSON1112030820")</f>
        <v>#NAME?</v>
      </c>
      <c r="U356" s="3" t="e">
        <f ca="1">[1]!BexGetData("DP_1","00O2TNJGODT0G5Z4TTKYMMUX1","GSON1112030820")</f>
        <v>#NAME?</v>
      </c>
      <c r="V356" s="8" t="e">
        <f ca="1">[1]!BexGetData("DP_1","00O2TNJGODT0G5Z4TTKYMN18L","GSON1112030820")</f>
        <v>#NAME?</v>
      </c>
      <c r="W356" s="3" t="e">
        <f ca="1">[1]!BexGetData("DP_1","00O2TNJGODT0G5Z4TTKYMN7K5","GSON1112030820")</f>
        <v>#NAME?</v>
      </c>
    </row>
    <row r="357" spans="1:23" x14ac:dyDescent="0.2">
      <c r="A357" s="16" t="s">
        <v>904</v>
      </c>
      <c r="B357" s="7" t="s">
        <v>905</v>
      </c>
      <c r="C357" s="3" t="e">
        <f ca="1">[1]!BexGetData("DP_1","003N8EMH8GTFRCSWKMPXRR8GU","GSON1112030821")</f>
        <v>#NAME?</v>
      </c>
      <c r="D357" s="3" t="e">
        <f ca="1">[1]!BexGetData("DP_1","003N8EMH8GTFRCSWKMPXRRESE","GSON1112030821")</f>
        <v>#NAME?</v>
      </c>
      <c r="E357" s="3" t="e">
        <f ca="1">[1]!BexGetData("DP_1","003N8EMH8GTFRCSWKMPXRRL3Y","GSON1112030821")</f>
        <v>#NAME?</v>
      </c>
      <c r="F357" s="3" t="e">
        <f ca="1">[1]!BexGetData("DP_1","003N8EMH8GTFRCSWKMPXRRRFI","GSON1112030821")</f>
        <v>#NAME?</v>
      </c>
      <c r="G357" s="3" t="e">
        <f ca="1">[1]!BexGetData("DP_1","003N8EMH8GTFRCSWKMPXRRXR2","GSON1112030821")</f>
        <v>#NAME?</v>
      </c>
      <c r="H357" s="8" t="e">
        <f ca="1">[1]!BexGetData("DP_1","003N8EMH8GTFRCSWKMPXRS42M","GSON1112030821")</f>
        <v>#NAME?</v>
      </c>
      <c r="I357" s="3" t="e">
        <f ca="1">[1]!BexGetData("DP_1","003N8EMH8GTFRCSWKMPXRSAE6","GSON1112030821")</f>
        <v>#NAME?</v>
      </c>
      <c r="J357" s="4" t="e">
        <f ca="1">[1]!BexGetData("DP_1","003N8EMH8GTFRCSWKMPXRSGPQ","GSON1112030821")</f>
        <v>#NAME?</v>
      </c>
      <c r="K357" s="3" t="e">
        <f ca="1">[1]!BexGetData("DP_1","003N8EMH8GTFRIVNUPY288VJH","GSON1112030821")</f>
        <v>#NAME?</v>
      </c>
      <c r="L357" s="3" t="e">
        <f ca="1">[1]!BexGetData("DP_1","003N8EMH8GTFRIVNUPY2891V1","GSON1112030821")</f>
        <v>#NAME?</v>
      </c>
      <c r="M357" s="3" t="e">
        <f ca="1">[1]!BexGetData("DP_1","003N8EMH8GTFRIVOG7KG9IQXA","GSON1112030821")</f>
        <v>#NAME?</v>
      </c>
      <c r="N357" s="8" t="e">
        <f ca="1">[1]!BexGetData("DP_1","003N8EMH8GTFRIVOG7KG9IX8U","GSON1112030821")</f>
        <v>#NAME?</v>
      </c>
      <c r="O357" s="3" t="e">
        <f ca="1">[1]!BexGetData("DP_1","003N8EMH8GTFRIVOG7KG9J3KE","GSON1112030821")</f>
        <v>#NAME?</v>
      </c>
      <c r="P357" s="8" t="e">
        <f ca="1">[1]!BexGetData("DP_1","003N8EMH8GTFRIVOG7KG9J9VY","GSON1112030821")</f>
        <v>#NAME?</v>
      </c>
      <c r="Q357" s="4" t="e">
        <f ca="1">[1]!BexGetData("DP_1","00O2TNJGODT0G5Z4TTKYMM5MT","GSON1112030821")</f>
        <v>#NAME?</v>
      </c>
      <c r="R357" s="3" t="e">
        <f ca="1">[1]!BexGetData("DP_1","00O2TNJGODT0G5Z4TTKYMMBYD","GSON1112030821")</f>
        <v>#NAME?</v>
      </c>
      <c r="S357" s="3" t="e">
        <f ca="1">[1]!BexGetData("DP_1","00O2TNJGODT0G5Z4TTKYMMI9X","GSON1112030821")</f>
        <v>#NAME?</v>
      </c>
      <c r="T357" s="8" t="e">
        <f ca="1">[1]!BexGetData("DP_1","00O2TNJGODT0G5Z4TTKYMMOLH","GSON1112030821")</f>
        <v>#NAME?</v>
      </c>
      <c r="U357" s="3" t="e">
        <f ca="1">[1]!BexGetData("DP_1","00O2TNJGODT0G5Z4TTKYMMUX1","GSON1112030821")</f>
        <v>#NAME?</v>
      </c>
      <c r="V357" s="8" t="e">
        <f ca="1">[1]!BexGetData("DP_1","00O2TNJGODT0G5Z4TTKYMN18L","GSON1112030821")</f>
        <v>#NAME?</v>
      </c>
      <c r="W357" s="3" t="e">
        <f ca="1">[1]!BexGetData("DP_1","00O2TNJGODT0G5Z4TTKYMN7K5","GSON1112030821")</f>
        <v>#NAME?</v>
      </c>
    </row>
    <row r="358" spans="1:23" x14ac:dyDescent="0.2">
      <c r="A358" s="16" t="s">
        <v>2153</v>
      </c>
      <c r="B358" s="7" t="s">
        <v>2154</v>
      </c>
      <c r="C358" s="3" t="e">
        <f ca="1">[1]!BexGetData("DP_1","003N8EMH8GTFRCSWKMPXRR8GU","GSON1112030823")</f>
        <v>#NAME?</v>
      </c>
      <c r="D358" s="3" t="e">
        <f ca="1">[1]!BexGetData("DP_1","003N8EMH8GTFRCSWKMPXRRESE","GSON1112030823")</f>
        <v>#NAME?</v>
      </c>
      <c r="E358" s="3" t="e">
        <f ca="1">[1]!BexGetData("DP_1","003N8EMH8GTFRCSWKMPXRRL3Y","GSON1112030823")</f>
        <v>#NAME?</v>
      </c>
      <c r="F358" s="4" t="e">
        <f ca="1">[1]!BexGetData("DP_1","003N8EMH8GTFRCSWKMPXRRRFI","GSON1112030823")</f>
        <v>#NAME?</v>
      </c>
      <c r="G358" s="4" t="e">
        <f ca="1">[1]!BexGetData("DP_1","003N8EMH8GTFRCSWKMPXRRXR2","GSON1112030823")</f>
        <v>#NAME?</v>
      </c>
      <c r="H358" s="4" t="e">
        <f ca="1">[1]!BexGetData("DP_1","003N8EMH8GTFRCSWKMPXRS42M","GSON1112030823")</f>
        <v>#NAME?</v>
      </c>
      <c r="I358" s="4" t="e">
        <f ca="1">[1]!BexGetData("DP_1","003N8EMH8GTFRCSWKMPXRSAE6","GSON1112030823")</f>
        <v>#NAME?</v>
      </c>
      <c r="J358" s="4" t="e">
        <f ca="1">[1]!BexGetData("DP_1","003N8EMH8GTFRCSWKMPXRSGPQ","GSON1112030823")</f>
        <v>#NAME?</v>
      </c>
      <c r="K358" s="3" t="e">
        <f ca="1">[1]!BexGetData("DP_1","003N8EMH8GTFRIVNUPY288VJH","GSON1112030823")</f>
        <v>#NAME?</v>
      </c>
      <c r="L358" s="3" t="e">
        <f ca="1">[1]!BexGetData("DP_1","003N8EMH8GTFRIVNUPY2891V1","GSON1112030823")</f>
        <v>#NAME?</v>
      </c>
      <c r="M358" s="8" t="e">
        <f ca="1">[1]!BexGetData("DP_1","003N8EMH8GTFRIVOG7KG9IQXA","GSON1112030823")</f>
        <v>#NAME?</v>
      </c>
      <c r="N358" s="3" t="e">
        <f ca="1">[1]!BexGetData("DP_1","003N8EMH8GTFRIVOG7KG9IX8U","GSON1112030823")</f>
        <v>#NAME?</v>
      </c>
      <c r="O358" s="8" t="e">
        <f ca="1">[1]!BexGetData("DP_1","003N8EMH8GTFRIVOG7KG9J3KE","GSON1112030823")</f>
        <v>#NAME?</v>
      </c>
      <c r="P358" s="3" t="e">
        <f ca="1">[1]!BexGetData("DP_1","003N8EMH8GTFRIVOG7KG9J9VY","GSON1112030823")</f>
        <v>#NAME?</v>
      </c>
      <c r="Q358" s="4" t="e">
        <f ca="1">[1]!BexGetData("DP_1","00O2TNJGODT0G5Z4TTKYMM5MT","GSON1112030823")</f>
        <v>#NAME?</v>
      </c>
      <c r="R358" s="4" t="e">
        <f ca="1">[1]!BexGetData("DP_1","00O2TNJGODT0G5Z4TTKYMMBYD","GSON1112030823")</f>
        <v>#NAME?</v>
      </c>
      <c r="S358" s="4" t="e">
        <f ca="1">[1]!BexGetData("DP_1","00O2TNJGODT0G5Z4TTKYMMI9X","GSON1112030823")</f>
        <v>#NAME?</v>
      </c>
      <c r="T358" s="4" t="e">
        <f ca="1">[1]!BexGetData("DP_1","00O2TNJGODT0G5Z4TTKYMMOLH","GSON1112030823")</f>
        <v>#NAME?</v>
      </c>
      <c r="U358" s="4" t="e">
        <f ca="1">[1]!BexGetData("DP_1","00O2TNJGODT0G5Z4TTKYMMUX1","GSON1112030823")</f>
        <v>#NAME?</v>
      </c>
      <c r="V358" s="4" t="e">
        <f ca="1">[1]!BexGetData("DP_1","00O2TNJGODT0G5Z4TTKYMN18L","GSON1112030823")</f>
        <v>#NAME?</v>
      </c>
      <c r="W358" s="4" t="e">
        <f ca="1">[1]!BexGetData("DP_1","00O2TNJGODT0G5Z4TTKYMN7K5","GSON1112030823")</f>
        <v>#NAME?</v>
      </c>
    </row>
    <row r="359" spans="1:23" x14ac:dyDescent="0.2">
      <c r="A359" s="16" t="s">
        <v>2155</v>
      </c>
      <c r="B359" s="7" t="s">
        <v>906</v>
      </c>
      <c r="C359" s="3" t="e">
        <f ca="1">[1]!BexGetData("DP_1","003N8EMH8GTFRCSWKMPXRR8GU","GSON1112030824")</f>
        <v>#NAME?</v>
      </c>
      <c r="D359" s="3" t="e">
        <f ca="1">[1]!BexGetData("DP_1","003N8EMH8GTFRCSWKMPXRRESE","GSON1112030824")</f>
        <v>#NAME?</v>
      </c>
      <c r="E359" s="8" t="e">
        <f ca="1">[1]!BexGetData("DP_1","003N8EMH8GTFRCSWKMPXRRL3Y","GSON1112030824")</f>
        <v>#NAME?</v>
      </c>
      <c r="F359" s="4" t="e">
        <f ca="1">[1]!BexGetData("DP_1","003N8EMH8GTFRCSWKMPXRRRFI","GSON1112030824")</f>
        <v>#NAME?</v>
      </c>
      <c r="G359" s="4" t="e">
        <f ca="1">[1]!BexGetData("DP_1","003N8EMH8GTFRCSWKMPXRRXR2","GSON1112030824")</f>
        <v>#NAME?</v>
      </c>
      <c r="H359" s="4" t="e">
        <f ca="1">[1]!BexGetData("DP_1","003N8EMH8GTFRCSWKMPXRS42M","GSON1112030824")</f>
        <v>#NAME?</v>
      </c>
      <c r="I359" s="4" t="e">
        <f ca="1">[1]!BexGetData("DP_1","003N8EMH8GTFRCSWKMPXRSAE6","GSON1112030824")</f>
        <v>#NAME?</v>
      </c>
      <c r="J359" s="4" t="e">
        <f ca="1">[1]!BexGetData("DP_1","003N8EMH8GTFRCSWKMPXRSGPQ","GSON1112030824")</f>
        <v>#NAME?</v>
      </c>
      <c r="K359" s="8" t="e">
        <f ca="1">[1]!BexGetData("DP_1","003N8EMH8GTFRIVNUPY288VJH","GSON1112030824")</f>
        <v>#NAME?</v>
      </c>
      <c r="L359" s="8" t="e">
        <f ca="1">[1]!BexGetData("DP_1","003N8EMH8GTFRIVNUPY2891V1","GSON1112030824")</f>
        <v>#NAME?</v>
      </c>
      <c r="M359" s="8" t="e">
        <f ca="1">[1]!BexGetData("DP_1","003N8EMH8GTFRIVOG7KG9IQXA","GSON1112030824")</f>
        <v>#NAME?</v>
      </c>
      <c r="N359" s="8" t="e">
        <f ca="1">[1]!BexGetData("DP_1","003N8EMH8GTFRIVOG7KG9IX8U","GSON1112030824")</f>
        <v>#NAME?</v>
      </c>
      <c r="O359" s="8" t="e">
        <f ca="1">[1]!BexGetData("DP_1","003N8EMH8GTFRIVOG7KG9J3KE","GSON1112030824")</f>
        <v>#NAME?</v>
      </c>
      <c r="P359" s="8" t="e">
        <f ca="1">[1]!BexGetData("DP_1","003N8EMH8GTFRIVOG7KG9J9VY","GSON1112030824")</f>
        <v>#NAME?</v>
      </c>
      <c r="Q359" s="4" t="e">
        <f ca="1">[1]!BexGetData("DP_1","00O2TNJGODT0G5Z4TTKYMM5MT","GSON1112030824")</f>
        <v>#NAME?</v>
      </c>
      <c r="R359" s="4" t="e">
        <f ca="1">[1]!BexGetData("DP_1","00O2TNJGODT0G5Z4TTKYMMBYD","GSON1112030824")</f>
        <v>#NAME?</v>
      </c>
      <c r="S359" s="4" t="e">
        <f ca="1">[1]!BexGetData("DP_1","00O2TNJGODT0G5Z4TTKYMMI9X","GSON1112030824")</f>
        <v>#NAME?</v>
      </c>
      <c r="T359" s="4" t="e">
        <f ca="1">[1]!BexGetData("DP_1","00O2TNJGODT0G5Z4TTKYMMOLH","GSON1112030824")</f>
        <v>#NAME?</v>
      </c>
      <c r="U359" s="4" t="e">
        <f ca="1">[1]!BexGetData("DP_1","00O2TNJGODT0G5Z4TTKYMMUX1","GSON1112030824")</f>
        <v>#NAME?</v>
      </c>
      <c r="V359" s="4" t="e">
        <f ca="1">[1]!BexGetData("DP_1","00O2TNJGODT0G5Z4TTKYMN18L","GSON1112030824")</f>
        <v>#NAME?</v>
      </c>
      <c r="W359" s="4" t="e">
        <f ca="1">[1]!BexGetData("DP_1","00O2TNJGODT0G5Z4TTKYMN7K5","GSON1112030824")</f>
        <v>#NAME?</v>
      </c>
    </row>
    <row r="360" spans="1:23" x14ac:dyDescent="0.2">
      <c r="A360" s="16" t="s">
        <v>2156</v>
      </c>
      <c r="B360" s="7" t="s">
        <v>2157</v>
      </c>
      <c r="C360" s="3" t="e">
        <f ca="1">[1]!BexGetData("DP_1","003N8EMH8GTFRCSWKMPXRR8GU","GSON1112030830")</f>
        <v>#NAME?</v>
      </c>
      <c r="D360" s="3" t="e">
        <f ca="1">[1]!BexGetData("DP_1","003N8EMH8GTFRCSWKMPXRRESE","GSON1112030830")</f>
        <v>#NAME?</v>
      </c>
      <c r="E360" s="3" t="e">
        <f ca="1">[1]!BexGetData("DP_1","003N8EMH8GTFRCSWKMPXRRL3Y","GSON1112030830")</f>
        <v>#NAME?</v>
      </c>
      <c r="F360" s="3" t="e">
        <f ca="1">[1]!BexGetData("DP_1","003N8EMH8GTFRCSWKMPXRRRFI","GSON1112030830")</f>
        <v>#NAME?</v>
      </c>
      <c r="G360" s="3" t="e">
        <f ca="1">[1]!BexGetData("DP_1","003N8EMH8GTFRCSWKMPXRRXR2","GSON1112030830")</f>
        <v>#NAME?</v>
      </c>
      <c r="H360" s="8" t="e">
        <f ca="1">[1]!BexGetData("DP_1","003N8EMH8GTFRCSWKMPXRS42M","GSON1112030830")</f>
        <v>#NAME?</v>
      </c>
      <c r="I360" s="3" t="e">
        <f ca="1">[1]!BexGetData("DP_1","003N8EMH8GTFRCSWKMPXRSAE6","GSON1112030830")</f>
        <v>#NAME?</v>
      </c>
      <c r="J360" s="4" t="e">
        <f ca="1">[1]!BexGetData("DP_1","003N8EMH8GTFRCSWKMPXRSGPQ","GSON1112030830")</f>
        <v>#NAME?</v>
      </c>
      <c r="K360" s="3" t="e">
        <f ca="1">[1]!BexGetData("DP_1","003N8EMH8GTFRIVNUPY288VJH","GSON1112030830")</f>
        <v>#NAME?</v>
      </c>
      <c r="L360" s="3" t="e">
        <f ca="1">[1]!BexGetData("DP_1","003N8EMH8GTFRIVNUPY2891V1","GSON1112030830")</f>
        <v>#NAME?</v>
      </c>
      <c r="M360" s="3" t="e">
        <f ca="1">[1]!BexGetData("DP_1","003N8EMH8GTFRIVOG7KG9IQXA","GSON1112030830")</f>
        <v>#NAME?</v>
      </c>
      <c r="N360" s="8" t="e">
        <f ca="1">[1]!BexGetData("DP_1","003N8EMH8GTFRIVOG7KG9IX8U","GSON1112030830")</f>
        <v>#NAME?</v>
      </c>
      <c r="O360" s="3" t="e">
        <f ca="1">[1]!BexGetData("DP_1","003N8EMH8GTFRIVOG7KG9J3KE","GSON1112030830")</f>
        <v>#NAME?</v>
      </c>
      <c r="P360" s="8" t="e">
        <f ca="1">[1]!BexGetData("DP_1","003N8EMH8GTFRIVOG7KG9J9VY","GSON1112030830")</f>
        <v>#NAME?</v>
      </c>
      <c r="Q360" s="4" t="e">
        <f ca="1">[1]!BexGetData("DP_1","00O2TNJGODT0G5Z4TTKYMM5MT","GSON1112030830")</f>
        <v>#NAME?</v>
      </c>
      <c r="R360" s="3" t="e">
        <f ca="1">[1]!BexGetData("DP_1","00O2TNJGODT0G5Z4TTKYMMBYD","GSON1112030830")</f>
        <v>#NAME?</v>
      </c>
      <c r="S360" s="3" t="e">
        <f ca="1">[1]!BexGetData("DP_1","00O2TNJGODT0G5Z4TTKYMMI9X","GSON1112030830")</f>
        <v>#NAME?</v>
      </c>
      <c r="T360" s="8" t="e">
        <f ca="1">[1]!BexGetData("DP_1","00O2TNJGODT0G5Z4TTKYMMOLH","GSON1112030830")</f>
        <v>#NAME?</v>
      </c>
      <c r="U360" s="3" t="e">
        <f ca="1">[1]!BexGetData("DP_1","00O2TNJGODT0G5Z4TTKYMMUX1","GSON1112030830")</f>
        <v>#NAME?</v>
      </c>
      <c r="V360" s="8" t="e">
        <f ca="1">[1]!BexGetData("DP_1","00O2TNJGODT0G5Z4TTKYMN18L","GSON1112030830")</f>
        <v>#NAME?</v>
      </c>
      <c r="W360" s="3" t="e">
        <f ca="1">[1]!BexGetData("DP_1","00O2TNJGODT0G5Z4TTKYMN7K5","GSON1112030830")</f>
        <v>#NAME?</v>
      </c>
    </row>
    <row r="361" spans="1:23" x14ac:dyDescent="0.2">
      <c r="A361" s="16" t="s">
        <v>2158</v>
      </c>
      <c r="B361" s="7" t="s">
        <v>2159</v>
      </c>
      <c r="C361" s="3" t="e">
        <f ca="1">[1]!BexGetData("DP_1","003N8EMH8GTFRCSWKMPXRR8GU","GSON1112030831")</f>
        <v>#NAME?</v>
      </c>
      <c r="D361" s="3" t="e">
        <f ca="1">[1]!BexGetData("DP_1","003N8EMH8GTFRCSWKMPXRRESE","GSON1112030831")</f>
        <v>#NAME?</v>
      </c>
      <c r="E361" s="3" t="e">
        <f ca="1">[1]!BexGetData("DP_1","003N8EMH8GTFRCSWKMPXRRL3Y","GSON1112030831")</f>
        <v>#NAME?</v>
      </c>
      <c r="F361" s="4" t="e">
        <f ca="1">[1]!BexGetData("DP_1","003N8EMH8GTFRCSWKMPXRRRFI","GSON1112030831")</f>
        <v>#NAME?</v>
      </c>
      <c r="G361" s="4" t="e">
        <f ca="1">[1]!BexGetData("DP_1","003N8EMH8GTFRCSWKMPXRRXR2","GSON1112030831")</f>
        <v>#NAME?</v>
      </c>
      <c r="H361" s="4" t="e">
        <f ca="1">[1]!BexGetData("DP_1","003N8EMH8GTFRCSWKMPXRS42M","GSON1112030831")</f>
        <v>#NAME?</v>
      </c>
      <c r="I361" s="4" t="e">
        <f ca="1">[1]!BexGetData("DP_1","003N8EMH8GTFRCSWKMPXRSAE6","GSON1112030831")</f>
        <v>#NAME?</v>
      </c>
      <c r="J361" s="4" t="e">
        <f ca="1">[1]!BexGetData("DP_1","003N8EMH8GTFRCSWKMPXRSGPQ","GSON1112030831")</f>
        <v>#NAME?</v>
      </c>
      <c r="K361" s="3" t="e">
        <f ca="1">[1]!BexGetData("DP_1","003N8EMH8GTFRIVNUPY288VJH","GSON1112030831")</f>
        <v>#NAME?</v>
      </c>
      <c r="L361" s="3" t="e">
        <f ca="1">[1]!BexGetData("DP_1","003N8EMH8GTFRIVNUPY2891V1","GSON1112030831")</f>
        <v>#NAME?</v>
      </c>
      <c r="M361" s="3" t="e">
        <f ca="1">[1]!BexGetData("DP_1","003N8EMH8GTFRIVOG7KG9IQXA","GSON1112030831")</f>
        <v>#NAME?</v>
      </c>
      <c r="N361" s="8" t="e">
        <f ca="1">[1]!BexGetData("DP_1","003N8EMH8GTFRIVOG7KG9IX8U","GSON1112030831")</f>
        <v>#NAME?</v>
      </c>
      <c r="O361" s="3" t="e">
        <f ca="1">[1]!BexGetData("DP_1","003N8EMH8GTFRIVOG7KG9J3KE","GSON1112030831")</f>
        <v>#NAME?</v>
      </c>
      <c r="P361" s="8" t="e">
        <f ca="1">[1]!BexGetData("DP_1","003N8EMH8GTFRIVOG7KG9J9VY","GSON1112030831")</f>
        <v>#NAME?</v>
      </c>
      <c r="Q361" s="4" t="e">
        <f ca="1">[1]!BexGetData("DP_1","00O2TNJGODT0G5Z4TTKYMM5MT","GSON1112030831")</f>
        <v>#NAME?</v>
      </c>
      <c r="R361" s="4" t="e">
        <f ca="1">[1]!BexGetData("DP_1","00O2TNJGODT0G5Z4TTKYMMBYD","GSON1112030831")</f>
        <v>#NAME?</v>
      </c>
      <c r="S361" s="4" t="e">
        <f ca="1">[1]!BexGetData("DP_1","00O2TNJGODT0G5Z4TTKYMMI9X","GSON1112030831")</f>
        <v>#NAME?</v>
      </c>
      <c r="T361" s="4" t="e">
        <f ca="1">[1]!BexGetData("DP_1","00O2TNJGODT0G5Z4TTKYMMOLH","GSON1112030831")</f>
        <v>#NAME?</v>
      </c>
      <c r="U361" s="4" t="e">
        <f ca="1">[1]!BexGetData("DP_1","00O2TNJGODT0G5Z4TTKYMMUX1","GSON1112030831")</f>
        <v>#NAME?</v>
      </c>
      <c r="V361" s="4" t="e">
        <f ca="1">[1]!BexGetData("DP_1","00O2TNJGODT0G5Z4TTKYMN18L","GSON1112030831")</f>
        <v>#NAME?</v>
      </c>
      <c r="W361" s="4" t="e">
        <f ca="1">[1]!BexGetData("DP_1","00O2TNJGODT0G5Z4TTKYMN7K5","GSON1112030831")</f>
        <v>#NAME?</v>
      </c>
    </row>
    <row r="362" spans="1:23" x14ac:dyDescent="0.2">
      <c r="A362" s="16" t="s">
        <v>2160</v>
      </c>
      <c r="B362" s="7" t="s">
        <v>2161</v>
      </c>
      <c r="C362" s="3" t="e">
        <f ca="1">[1]!BexGetData("DP_1","003N8EMH8GTFRCSWKMPXRR8GU","GSON1112030833")</f>
        <v>#NAME?</v>
      </c>
      <c r="D362" s="3" t="e">
        <f ca="1">[1]!BexGetData("DP_1","003N8EMH8GTFRCSWKMPXRRESE","GSON1112030833")</f>
        <v>#NAME?</v>
      </c>
      <c r="E362" s="3" t="e">
        <f ca="1">[1]!BexGetData("DP_1","003N8EMH8GTFRCSWKMPXRRL3Y","GSON1112030833")</f>
        <v>#NAME?</v>
      </c>
      <c r="F362" s="4" t="e">
        <f ca="1">[1]!BexGetData("DP_1","003N8EMH8GTFRCSWKMPXRRRFI","GSON1112030833")</f>
        <v>#NAME?</v>
      </c>
      <c r="G362" s="4" t="e">
        <f ca="1">[1]!BexGetData("DP_1","003N8EMH8GTFRCSWKMPXRRXR2","GSON1112030833")</f>
        <v>#NAME?</v>
      </c>
      <c r="H362" s="4" t="e">
        <f ca="1">[1]!BexGetData("DP_1","003N8EMH8GTFRCSWKMPXRS42M","GSON1112030833")</f>
        <v>#NAME?</v>
      </c>
      <c r="I362" s="4" t="e">
        <f ca="1">[1]!BexGetData("DP_1","003N8EMH8GTFRCSWKMPXRSAE6","GSON1112030833")</f>
        <v>#NAME?</v>
      </c>
      <c r="J362" s="4" t="e">
        <f ca="1">[1]!BexGetData("DP_1","003N8EMH8GTFRCSWKMPXRSGPQ","GSON1112030833")</f>
        <v>#NAME?</v>
      </c>
      <c r="K362" s="3" t="e">
        <f ca="1">[1]!BexGetData("DP_1","003N8EMH8GTFRIVNUPY288VJH","GSON1112030833")</f>
        <v>#NAME?</v>
      </c>
      <c r="L362" s="3" t="e">
        <f ca="1">[1]!BexGetData("DP_1","003N8EMH8GTFRIVNUPY2891V1","GSON1112030833")</f>
        <v>#NAME?</v>
      </c>
      <c r="M362" s="8" t="e">
        <f ca="1">[1]!BexGetData("DP_1","003N8EMH8GTFRIVOG7KG9IQXA","GSON1112030833")</f>
        <v>#NAME?</v>
      </c>
      <c r="N362" s="3" t="e">
        <f ca="1">[1]!BexGetData("DP_1","003N8EMH8GTFRIVOG7KG9IX8U","GSON1112030833")</f>
        <v>#NAME?</v>
      </c>
      <c r="O362" s="8" t="e">
        <f ca="1">[1]!BexGetData("DP_1","003N8EMH8GTFRIVOG7KG9J3KE","GSON1112030833")</f>
        <v>#NAME?</v>
      </c>
      <c r="P362" s="3" t="e">
        <f ca="1">[1]!BexGetData("DP_1","003N8EMH8GTFRIVOG7KG9J9VY","GSON1112030833")</f>
        <v>#NAME?</v>
      </c>
      <c r="Q362" s="4" t="e">
        <f ca="1">[1]!BexGetData("DP_1","00O2TNJGODT0G5Z4TTKYMM5MT","GSON1112030833")</f>
        <v>#NAME?</v>
      </c>
      <c r="R362" s="4" t="e">
        <f ca="1">[1]!BexGetData("DP_1","00O2TNJGODT0G5Z4TTKYMMBYD","GSON1112030833")</f>
        <v>#NAME?</v>
      </c>
      <c r="S362" s="4" t="e">
        <f ca="1">[1]!BexGetData("DP_1","00O2TNJGODT0G5Z4TTKYMMI9X","GSON1112030833")</f>
        <v>#NAME?</v>
      </c>
      <c r="T362" s="4" t="e">
        <f ca="1">[1]!BexGetData("DP_1","00O2TNJGODT0G5Z4TTKYMMOLH","GSON1112030833")</f>
        <v>#NAME?</v>
      </c>
      <c r="U362" s="4" t="e">
        <f ca="1">[1]!BexGetData("DP_1","00O2TNJGODT0G5Z4TTKYMMUX1","GSON1112030833")</f>
        <v>#NAME?</v>
      </c>
      <c r="V362" s="4" t="e">
        <f ca="1">[1]!BexGetData("DP_1","00O2TNJGODT0G5Z4TTKYMN18L","GSON1112030833")</f>
        <v>#NAME?</v>
      </c>
      <c r="W362" s="4" t="e">
        <f ca="1">[1]!BexGetData("DP_1","00O2TNJGODT0G5Z4TTKYMN7K5","GSON1112030833")</f>
        <v>#NAME?</v>
      </c>
    </row>
    <row r="363" spans="1:23" x14ac:dyDescent="0.2">
      <c r="A363" s="16" t="s">
        <v>907</v>
      </c>
      <c r="B363" s="7" t="s">
        <v>908</v>
      </c>
      <c r="C363" s="3" t="e">
        <f ca="1">[1]!BexGetData("DP_1","003N8EMH8GTFRCSWKMPXRR8GU","GSON1112030840")</f>
        <v>#NAME?</v>
      </c>
      <c r="D363" s="3" t="e">
        <f ca="1">[1]!BexGetData("DP_1","003N8EMH8GTFRCSWKMPXRRESE","GSON1112030840")</f>
        <v>#NAME?</v>
      </c>
      <c r="E363" s="3" t="e">
        <f ca="1">[1]!BexGetData("DP_1","003N8EMH8GTFRCSWKMPXRRL3Y","GSON1112030840")</f>
        <v>#NAME?</v>
      </c>
      <c r="F363" s="3" t="e">
        <f ca="1">[1]!BexGetData("DP_1","003N8EMH8GTFRCSWKMPXRRRFI","GSON1112030840")</f>
        <v>#NAME?</v>
      </c>
      <c r="G363" s="3" t="e">
        <f ca="1">[1]!BexGetData("DP_1","003N8EMH8GTFRCSWKMPXRRXR2","GSON1112030840")</f>
        <v>#NAME?</v>
      </c>
      <c r="H363" s="8" t="e">
        <f ca="1">[1]!BexGetData("DP_1","003N8EMH8GTFRCSWKMPXRS42M","GSON1112030840")</f>
        <v>#NAME?</v>
      </c>
      <c r="I363" s="3" t="e">
        <f ca="1">[1]!BexGetData("DP_1","003N8EMH8GTFRCSWKMPXRSAE6","GSON1112030840")</f>
        <v>#NAME?</v>
      </c>
      <c r="J363" s="4" t="e">
        <f ca="1">[1]!BexGetData("DP_1","003N8EMH8GTFRCSWKMPXRSGPQ","GSON1112030840")</f>
        <v>#NAME?</v>
      </c>
      <c r="K363" s="3" t="e">
        <f ca="1">[1]!BexGetData("DP_1","003N8EMH8GTFRIVNUPY288VJH","GSON1112030840")</f>
        <v>#NAME?</v>
      </c>
      <c r="L363" s="3" t="e">
        <f ca="1">[1]!BexGetData("DP_1","003N8EMH8GTFRIVNUPY2891V1","GSON1112030840")</f>
        <v>#NAME?</v>
      </c>
      <c r="M363" s="3" t="e">
        <f ca="1">[1]!BexGetData("DP_1","003N8EMH8GTFRIVOG7KG9IQXA","GSON1112030840")</f>
        <v>#NAME?</v>
      </c>
      <c r="N363" s="8" t="e">
        <f ca="1">[1]!BexGetData("DP_1","003N8EMH8GTFRIVOG7KG9IX8U","GSON1112030840")</f>
        <v>#NAME?</v>
      </c>
      <c r="O363" s="3" t="e">
        <f ca="1">[1]!BexGetData("DP_1","003N8EMH8GTFRIVOG7KG9J3KE","GSON1112030840")</f>
        <v>#NAME?</v>
      </c>
      <c r="P363" s="8" t="e">
        <f ca="1">[1]!BexGetData("DP_1","003N8EMH8GTFRIVOG7KG9J9VY","GSON1112030840")</f>
        <v>#NAME?</v>
      </c>
      <c r="Q363" s="4" t="e">
        <f ca="1">[1]!BexGetData("DP_1","00O2TNJGODT0G5Z4TTKYMM5MT","GSON1112030840")</f>
        <v>#NAME?</v>
      </c>
      <c r="R363" s="3" t="e">
        <f ca="1">[1]!BexGetData("DP_1","00O2TNJGODT0G5Z4TTKYMMBYD","GSON1112030840")</f>
        <v>#NAME?</v>
      </c>
      <c r="S363" s="3" t="e">
        <f ca="1">[1]!BexGetData("DP_1","00O2TNJGODT0G5Z4TTKYMMI9X","GSON1112030840")</f>
        <v>#NAME?</v>
      </c>
      <c r="T363" s="8" t="e">
        <f ca="1">[1]!BexGetData("DP_1","00O2TNJGODT0G5Z4TTKYMMOLH","GSON1112030840")</f>
        <v>#NAME?</v>
      </c>
      <c r="U363" s="3" t="e">
        <f ca="1">[1]!BexGetData("DP_1","00O2TNJGODT0G5Z4TTKYMMUX1","GSON1112030840")</f>
        <v>#NAME?</v>
      </c>
      <c r="V363" s="8" t="e">
        <f ca="1">[1]!BexGetData("DP_1","00O2TNJGODT0G5Z4TTKYMN18L","GSON1112030840")</f>
        <v>#NAME?</v>
      </c>
      <c r="W363" s="3" t="e">
        <f ca="1">[1]!BexGetData("DP_1","00O2TNJGODT0G5Z4TTKYMN7K5","GSON1112030840")</f>
        <v>#NAME?</v>
      </c>
    </row>
    <row r="364" spans="1:23" x14ac:dyDescent="0.2">
      <c r="A364" s="16" t="s">
        <v>909</v>
      </c>
      <c r="B364" s="7" t="s">
        <v>910</v>
      </c>
      <c r="C364" s="3" t="e">
        <f ca="1">[1]!BexGetData("DP_1","003N8EMH8GTFRCSWKMPXRR8GU","GSON1112030841")</f>
        <v>#NAME?</v>
      </c>
      <c r="D364" s="3" t="e">
        <f ca="1">[1]!BexGetData("DP_1","003N8EMH8GTFRCSWKMPXRRESE","GSON1112030841")</f>
        <v>#NAME?</v>
      </c>
      <c r="E364" s="3" t="e">
        <f ca="1">[1]!BexGetData("DP_1","003N8EMH8GTFRCSWKMPXRRL3Y","GSON1112030841")</f>
        <v>#NAME?</v>
      </c>
      <c r="F364" s="3" t="e">
        <f ca="1">[1]!BexGetData("DP_1","003N8EMH8GTFRCSWKMPXRRRFI","GSON1112030841")</f>
        <v>#NAME?</v>
      </c>
      <c r="G364" s="3" t="e">
        <f ca="1">[1]!BexGetData("DP_1","003N8EMH8GTFRCSWKMPXRRXR2","GSON1112030841")</f>
        <v>#NAME?</v>
      </c>
      <c r="H364" s="3" t="e">
        <f ca="1">[1]!BexGetData("DP_1","003N8EMH8GTFRCSWKMPXRS42M","GSON1112030841")</f>
        <v>#NAME?</v>
      </c>
      <c r="I364" s="3" t="e">
        <f ca="1">[1]!BexGetData("DP_1","003N8EMH8GTFRCSWKMPXRSAE6","GSON1112030841")</f>
        <v>#NAME?</v>
      </c>
      <c r="J364" s="4" t="e">
        <f ca="1">[1]!BexGetData("DP_1","003N8EMH8GTFRCSWKMPXRSGPQ","GSON1112030841")</f>
        <v>#NAME?</v>
      </c>
      <c r="K364" s="3" t="e">
        <f ca="1">[1]!BexGetData("DP_1","003N8EMH8GTFRIVNUPY288VJH","GSON1112030841")</f>
        <v>#NAME?</v>
      </c>
      <c r="L364" s="3" t="e">
        <f ca="1">[1]!BexGetData("DP_1","003N8EMH8GTFRIVNUPY2891V1","GSON1112030841")</f>
        <v>#NAME?</v>
      </c>
      <c r="M364" s="3" t="e">
        <f ca="1">[1]!BexGetData("DP_1","003N8EMH8GTFRIVOG7KG9IQXA","GSON1112030841")</f>
        <v>#NAME?</v>
      </c>
      <c r="N364" s="8" t="e">
        <f ca="1">[1]!BexGetData("DP_1","003N8EMH8GTFRIVOG7KG9IX8U","GSON1112030841")</f>
        <v>#NAME?</v>
      </c>
      <c r="O364" s="3" t="e">
        <f ca="1">[1]!BexGetData("DP_1","003N8EMH8GTFRIVOG7KG9J3KE","GSON1112030841")</f>
        <v>#NAME?</v>
      </c>
      <c r="P364" s="8" t="e">
        <f ca="1">[1]!BexGetData("DP_1","003N8EMH8GTFRIVOG7KG9J9VY","GSON1112030841")</f>
        <v>#NAME?</v>
      </c>
      <c r="Q364" s="4" t="e">
        <f ca="1">[1]!BexGetData("DP_1","00O2TNJGODT0G5Z4TTKYMM5MT","GSON1112030841")</f>
        <v>#NAME?</v>
      </c>
      <c r="R364" s="3" t="e">
        <f ca="1">[1]!BexGetData("DP_1","00O2TNJGODT0G5Z4TTKYMMBYD","GSON1112030841")</f>
        <v>#NAME?</v>
      </c>
      <c r="S364" s="3" t="e">
        <f ca="1">[1]!BexGetData("DP_1","00O2TNJGODT0G5Z4TTKYMMI9X","GSON1112030841")</f>
        <v>#NAME?</v>
      </c>
      <c r="T364" s="3" t="e">
        <f ca="1">[1]!BexGetData("DP_1","00O2TNJGODT0G5Z4TTKYMMOLH","GSON1112030841")</f>
        <v>#NAME?</v>
      </c>
      <c r="U364" s="8" t="e">
        <f ca="1">[1]!BexGetData("DP_1","00O2TNJGODT0G5Z4TTKYMMUX1","GSON1112030841")</f>
        <v>#NAME?</v>
      </c>
      <c r="V364" s="3" t="e">
        <f ca="1">[1]!BexGetData("DP_1","00O2TNJGODT0G5Z4TTKYMN18L","GSON1112030841")</f>
        <v>#NAME?</v>
      </c>
      <c r="W364" s="8" t="e">
        <f ca="1">[1]!BexGetData("DP_1","00O2TNJGODT0G5Z4TTKYMN7K5","GSON1112030841")</f>
        <v>#NAME?</v>
      </c>
    </row>
    <row r="365" spans="1:23" x14ac:dyDescent="0.2">
      <c r="A365" s="16" t="s">
        <v>2162</v>
      </c>
      <c r="B365" s="7" t="s">
        <v>2163</v>
      </c>
      <c r="C365" s="3" t="e">
        <f ca="1">[1]!BexGetData("DP_1","003N8EMH8GTFRCSWKMPXRR8GU","GSON1112030843")</f>
        <v>#NAME?</v>
      </c>
      <c r="D365" s="3" t="e">
        <f ca="1">[1]!BexGetData("DP_1","003N8EMH8GTFRCSWKMPXRRESE","GSON1112030843")</f>
        <v>#NAME?</v>
      </c>
      <c r="E365" s="8" t="e">
        <f ca="1">[1]!BexGetData("DP_1","003N8EMH8GTFRCSWKMPXRRL3Y","GSON1112030843")</f>
        <v>#NAME?</v>
      </c>
      <c r="F365" s="4" t="e">
        <f ca="1">[1]!BexGetData("DP_1","003N8EMH8GTFRCSWKMPXRRRFI","GSON1112030843")</f>
        <v>#NAME?</v>
      </c>
      <c r="G365" s="4" t="e">
        <f ca="1">[1]!BexGetData("DP_1","003N8EMH8GTFRCSWKMPXRRXR2","GSON1112030843")</f>
        <v>#NAME?</v>
      </c>
      <c r="H365" s="4" t="e">
        <f ca="1">[1]!BexGetData("DP_1","003N8EMH8GTFRCSWKMPXRS42M","GSON1112030843")</f>
        <v>#NAME?</v>
      </c>
      <c r="I365" s="4" t="e">
        <f ca="1">[1]!BexGetData("DP_1","003N8EMH8GTFRCSWKMPXRSAE6","GSON1112030843")</f>
        <v>#NAME?</v>
      </c>
      <c r="J365" s="4" t="e">
        <f ca="1">[1]!BexGetData("DP_1","003N8EMH8GTFRCSWKMPXRSGPQ","GSON1112030843")</f>
        <v>#NAME?</v>
      </c>
      <c r="K365" s="8" t="e">
        <f ca="1">[1]!BexGetData("DP_1","003N8EMH8GTFRIVNUPY288VJH","GSON1112030843")</f>
        <v>#NAME?</v>
      </c>
      <c r="L365" s="8" t="e">
        <f ca="1">[1]!BexGetData("DP_1","003N8EMH8GTFRIVNUPY2891V1","GSON1112030843")</f>
        <v>#NAME?</v>
      </c>
      <c r="M365" s="8" t="e">
        <f ca="1">[1]!BexGetData("DP_1","003N8EMH8GTFRIVOG7KG9IQXA","GSON1112030843")</f>
        <v>#NAME?</v>
      </c>
      <c r="N365" s="8" t="e">
        <f ca="1">[1]!BexGetData("DP_1","003N8EMH8GTFRIVOG7KG9IX8U","GSON1112030843")</f>
        <v>#NAME?</v>
      </c>
      <c r="O365" s="8" t="e">
        <f ca="1">[1]!BexGetData("DP_1","003N8EMH8GTFRIVOG7KG9J3KE","GSON1112030843")</f>
        <v>#NAME?</v>
      </c>
      <c r="P365" s="8" t="e">
        <f ca="1">[1]!BexGetData("DP_1","003N8EMH8GTFRIVOG7KG9J9VY","GSON1112030843")</f>
        <v>#NAME?</v>
      </c>
      <c r="Q365" s="4" t="e">
        <f ca="1">[1]!BexGetData("DP_1","00O2TNJGODT0G5Z4TTKYMM5MT","GSON1112030843")</f>
        <v>#NAME?</v>
      </c>
      <c r="R365" s="4" t="e">
        <f ca="1">[1]!BexGetData("DP_1","00O2TNJGODT0G5Z4TTKYMMBYD","GSON1112030843")</f>
        <v>#NAME?</v>
      </c>
      <c r="S365" s="4" t="e">
        <f ca="1">[1]!BexGetData("DP_1","00O2TNJGODT0G5Z4TTKYMMI9X","GSON1112030843")</f>
        <v>#NAME?</v>
      </c>
      <c r="T365" s="4" t="e">
        <f ca="1">[1]!BexGetData("DP_1","00O2TNJGODT0G5Z4TTKYMMOLH","GSON1112030843")</f>
        <v>#NAME?</v>
      </c>
      <c r="U365" s="4" t="e">
        <f ca="1">[1]!BexGetData("DP_1","00O2TNJGODT0G5Z4TTKYMMUX1","GSON1112030843")</f>
        <v>#NAME?</v>
      </c>
      <c r="V365" s="4" t="e">
        <f ca="1">[1]!BexGetData("DP_1","00O2TNJGODT0G5Z4TTKYMN18L","GSON1112030843")</f>
        <v>#NAME?</v>
      </c>
      <c r="W365" s="4" t="e">
        <f ca="1">[1]!BexGetData("DP_1","00O2TNJGODT0G5Z4TTKYMN7K5","GSON1112030843")</f>
        <v>#NAME?</v>
      </c>
    </row>
    <row r="366" spans="1:23" x14ac:dyDescent="0.2">
      <c r="A366" s="16" t="s">
        <v>2164</v>
      </c>
      <c r="B366" s="7" t="s">
        <v>2165</v>
      </c>
      <c r="C366" s="3" t="e">
        <f ca="1">[1]!BexGetData("DP_1","003N8EMH8GTFRCSWKMPXRR8GU","GSON1112030844")</f>
        <v>#NAME?</v>
      </c>
      <c r="D366" s="3" t="e">
        <f ca="1">[1]!BexGetData("DP_1","003N8EMH8GTFRCSWKMPXRRESE","GSON1112030844")</f>
        <v>#NAME?</v>
      </c>
      <c r="E366" s="8" t="e">
        <f ca="1">[1]!BexGetData("DP_1","003N8EMH8GTFRCSWKMPXRRL3Y","GSON1112030844")</f>
        <v>#NAME?</v>
      </c>
      <c r="F366" s="4" t="e">
        <f ca="1">[1]!BexGetData("DP_1","003N8EMH8GTFRCSWKMPXRRRFI","GSON1112030844")</f>
        <v>#NAME?</v>
      </c>
      <c r="G366" s="4" t="e">
        <f ca="1">[1]!BexGetData("DP_1","003N8EMH8GTFRCSWKMPXRRXR2","GSON1112030844")</f>
        <v>#NAME?</v>
      </c>
      <c r="H366" s="4" t="e">
        <f ca="1">[1]!BexGetData("DP_1","003N8EMH8GTFRCSWKMPXRS42M","GSON1112030844")</f>
        <v>#NAME?</v>
      </c>
      <c r="I366" s="4" t="e">
        <f ca="1">[1]!BexGetData("DP_1","003N8EMH8GTFRCSWKMPXRSAE6","GSON1112030844")</f>
        <v>#NAME?</v>
      </c>
      <c r="J366" s="4" t="e">
        <f ca="1">[1]!BexGetData("DP_1","003N8EMH8GTFRCSWKMPXRSGPQ","GSON1112030844")</f>
        <v>#NAME?</v>
      </c>
      <c r="K366" s="8" t="e">
        <f ca="1">[1]!BexGetData("DP_1","003N8EMH8GTFRIVNUPY288VJH","GSON1112030844")</f>
        <v>#NAME?</v>
      </c>
      <c r="L366" s="8" t="e">
        <f ca="1">[1]!BexGetData("DP_1","003N8EMH8GTFRIVNUPY2891V1","GSON1112030844")</f>
        <v>#NAME?</v>
      </c>
      <c r="M366" s="8" t="e">
        <f ca="1">[1]!BexGetData("DP_1","003N8EMH8GTFRIVOG7KG9IQXA","GSON1112030844")</f>
        <v>#NAME?</v>
      </c>
      <c r="N366" s="8" t="e">
        <f ca="1">[1]!BexGetData("DP_1","003N8EMH8GTFRIVOG7KG9IX8U","GSON1112030844")</f>
        <v>#NAME?</v>
      </c>
      <c r="O366" s="8" t="e">
        <f ca="1">[1]!BexGetData("DP_1","003N8EMH8GTFRIVOG7KG9J3KE","GSON1112030844")</f>
        <v>#NAME?</v>
      </c>
      <c r="P366" s="8" t="e">
        <f ca="1">[1]!BexGetData("DP_1","003N8EMH8GTFRIVOG7KG9J9VY","GSON1112030844")</f>
        <v>#NAME?</v>
      </c>
      <c r="Q366" s="4" t="e">
        <f ca="1">[1]!BexGetData("DP_1","00O2TNJGODT0G5Z4TTKYMM5MT","GSON1112030844")</f>
        <v>#NAME?</v>
      </c>
      <c r="R366" s="4" t="e">
        <f ca="1">[1]!BexGetData("DP_1","00O2TNJGODT0G5Z4TTKYMMBYD","GSON1112030844")</f>
        <v>#NAME?</v>
      </c>
      <c r="S366" s="4" t="e">
        <f ca="1">[1]!BexGetData("DP_1","00O2TNJGODT0G5Z4TTKYMMI9X","GSON1112030844")</f>
        <v>#NAME?</v>
      </c>
      <c r="T366" s="4" t="e">
        <f ca="1">[1]!BexGetData("DP_1","00O2TNJGODT0G5Z4TTKYMMOLH","GSON1112030844")</f>
        <v>#NAME?</v>
      </c>
      <c r="U366" s="4" t="e">
        <f ca="1">[1]!BexGetData("DP_1","00O2TNJGODT0G5Z4TTKYMMUX1","GSON1112030844")</f>
        <v>#NAME?</v>
      </c>
      <c r="V366" s="4" t="e">
        <f ca="1">[1]!BexGetData("DP_1","00O2TNJGODT0G5Z4TTKYMN18L","GSON1112030844")</f>
        <v>#NAME?</v>
      </c>
      <c r="W366" s="4" t="e">
        <f ca="1">[1]!BexGetData("DP_1","00O2TNJGODT0G5Z4TTKYMN7K5","GSON1112030844")</f>
        <v>#NAME?</v>
      </c>
    </row>
    <row r="367" spans="1:23" x14ac:dyDescent="0.2">
      <c r="A367" s="16" t="s">
        <v>911</v>
      </c>
      <c r="B367" s="7" t="s">
        <v>912</v>
      </c>
      <c r="C367" s="3" t="e">
        <f ca="1">[1]!BexGetData("DP_1","003N8EMH8GTFRCSWKMPXRR8GU","GSON1112030850")</f>
        <v>#NAME?</v>
      </c>
      <c r="D367" s="3" t="e">
        <f ca="1">[1]!BexGetData("DP_1","003N8EMH8GTFRCSWKMPXRRESE","GSON1112030850")</f>
        <v>#NAME?</v>
      </c>
      <c r="E367" s="3" t="e">
        <f ca="1">[1]!BexGetData("DP_1","003N8EMH8GTFRCSWKMPXRRL3Y","GSON1112030850")</f>
        <v>#NAME?</v>
      </c>
      <c r="F367" s="3" t="e">
        <f ca="1">[1]!BexGetData("DP_1","003N8EMH8GTFRCSWKMPXRRRFI","GSON1112030850")</f>
        <v>#NAME?</v>
      </c>
      <c r="G367" s="3" t="e">
        <f ca="1">[1]!BexGetData("DP_1","003N8EMH8GTFRCSWKMPXRRXR2","GSON1112030850")</f>
        <v>#NAME?</v>
      </c>
      <c r="H367" s="8" t="e">
        <f ca="1">[1]!BexGetData("DP_1","003N8EMH8GTFRCSWKMPXRS42M","GSON1112030850")</f>
        <v>#NAME?</v>
      </c>
      <c r="I367" s="3" t="e">
        <f ca="1">[1]!BexGetData("DP_1","003N8EMH8GTFRCSWKMPXRSAE6","GSON1112030850")</f>
        <v>#NAME?</v>
      </c>
      <c r="J367" s="4" t="e">
        <f ca="1">[1]!BexGetData("DP_1","003N8EMH8GTFRCSWKMPXRSGPQ","GSON1112030850")</f>
        <v>#NAME?</v>
      </c>
      <c r="K367" s="3" t="e">
        <f ca="1">[1]!BexGetData("DP_1","003N8EMH8GTFRIVNUPY288VJH","GSON1112030850")</f>
        <v>#NAME?</v>
      </c>
      <c r="L367" s="3" t="e">
        <f ca="1">[1]!BexGetData("DP_1","003N8EMH8GTFRIVNUPY2891V1","GSON1112030850")</f>
        <v>#NAME?</v>
      </c>
      <c r="M367" s="8" t="e">
        <f ca="1">[1]!BexGetData("DP_1","003N8EMH8GTFRIVOG7KG9IQXA","GSON1112030850")</f>
        <v>#NAME?</v>
      </c>
      <c r="N367" s="3" t="e">
        <f ca="1">[1]!BexGetData("DP_1","003N8EMH8GTFRIVOG7KG9IX8U","GSON1112030850")</f>
        <v>#NAME?</v>
      </c>
      <c r="O367" s="8" t="e">
        <f ca="1">[1]!BexGetData("DP_1","003N8EMH8GTFRIVOG7KG9J3KE","GSON1112030850")</f>
        <v>#NAME?</v>
      </c>
      <c r="P367" s="3" t="e">
        <f ca="1">[1]!BexGetData("DP_1","003N8EMH8GTFRIVOG7KG9J9VY","GSON1112030850")</f>
        <v>#NAME?</v>
      </c>
      <c r="Q367" s="4" t="e">
        <f ca="1">[1]!BexGetData("DP_1","00O2TNJGODT0G5Z4TTKYMM5MT","GSON1112030850")</f>
        <v>#NAME?</v>
      </c>
      <c r="R367" s="3" t="e">
        <f ca="1">[1]!BexGetData("DP_1","00O2TNJGODT0G5Z4TTKYMMBYD","GSON1112030850")</f>
        <v>#NAME?</v>
      </c>
      <c r="S367" s="3" t="e">
        <f ca="1">[1]!BexGetData("DP_1","00O2TNJGODT0G5Z4TTKYMMI9X","GSON1112030850")</f>
        <v>#NAME?</v>
      </c>
      <c r="T367" s="8" t="e">
        <f ca="1">[1]!BexGetData("DP_1","00O2TNJGODT0G5Z4TTKYMMOLH","GSON1112030850")</f>
        <v>#NAME?</v>
      </c>
      <c r="U367" s="3" t="e">
        <f ca="1">[1]!BexGetData("DP_1","00O2TNJGODT0G5Z4TTKYMMUX1","GSON1112030850")</f>
        <v>#NAME?</v>
      </c>
      <c r="V367" s="8" t="e">
        <f ca="1">[1]!BexGetData("DP_1","00O2TNJGODT0G5Z4TTKYMN18L","GSON1112030850")</f>
        <v>#NAME?</v>
      </c>
      <c r="W367" s="3" t="e">
        <f ca="1">[1]!BexGetData("DP_1","00O2TNJGODT0G5Z4TTKYMN7K5","GSON1112030850")</f>
        <v>#NAME?</v>
      </c>
    </row>
    <row r="368" spans="1:23" x14ac:dyDescent="0.2">
      <c r="A368" s="16" t="s">
        <v>913</v>
      </c>
      <c r="B368" s="7" t="s">
        <v>914</v>
      </c>
      <c r="C368" s="3" t="e">
        <f ca="1">[1]!BexGetData("DP_1","003N8EMH8GTFRCSWKMPXRR8GU","GSON1112030851")</f>
        <v>#NAME?</v>
      </c>
      <c r="D368" s="3" t="e">
        <f ca="1">[1]!BexGetData("DP_1","003N8EMH8GTFRCSWKMPXRRESE","GSON1112030851")</f>
        <v>#NAME?</v>
      </c>
      <c r="E368" s="8" t="e">
        <f ca="1">[1]!BexGetData("DP_1","003N8EMH8GTFRCSWKMPXRRL3Y","GSON1112030851")</f>
        <v>#NAME?</v>
      </c>
      <c r="F368" s="4" t="e">
        <f ca="1">[1]!BexGetData("DP_1","003N8EMH8GTFRCSWKMPXRRRFI","GSON1112030851")</f>
        <v>#NAME?</v>
      </c>
      <c r="G368" s="4" t="e">
        <f ca="1">[1]!BexGetData("DP_1","003N8EMH8GTFRCSWKMPXRRXR2","GSON1112030851")</f>
        <v>#NAME?</v>
      </c>
      <c r="H368" s="4" t="e">
        <f ca="1">[1]!BexGetData("DP_1","003N8EMH8GTFRCSWKMPXRS42M","GSON1112030851")</f>
        <v>#NAME?</v>
      </c>
      <c r="I368" s="4" t="e">
        <f ca="1">[1]!BexGetData("DP_1","003N8EMH8GTFRCSWKMPXRSAE6","GSON1112030851")</f>
        <v>#NAME?</v>
      </c>
      <c r="J368" s="4" t="e">
        <f ca="1">[1]!BexGetData("DP_1","003N8EMH8GTFRCSWKMPXRSGPQ","GSON1112030851")</f>
        <v>#NAME?</v>
      </c>
      <c r="K368" s="8" t="e">
        <f ca="1">[1]!BexGetData("DP_1","003N8EMH8GTFRIVNUPY288VJH","GSON1112030851")</f>
        <v>#NAME?</v>
      </c>
      <c r="L368" s="8" t="e">
        <f ca="1">[1]!BexGetData("DP_1","003N8EMH8GTFRIVNUPY2891V1","GSON1112030851")</f>
        <v>#NAME?</v>
      </c>
      <c r="M368" s="8" t="e">
        <f ca="1">[1]!BexGetData("DP_1","003N8EMH8GTFRIVOG7KG9IQXA","GSON1112030851")</f>
        <v>#NAME?</v>
      </c>
      <c r="N368" s="8" t="e">
        <f ca="1">[1]!BexGetData("DP_1","003N8EMH8GTFRIVOG7KG9IX8U","GSON1112030851")</f>
        <v>#NAME?</v>
      </c>
      <c r="O368" s="8" t="e">
        <f ca="1">[1]!BexGetData("DP_1","003N8EMH8GTFRIVOG7KG9J3KE","GSON1112030851")</f>
        <v>#NAME?</v>
      </c>
      <c r="P368" s="8" t="e">
        <f ca="1">[1]!BexGetData("DP_1","003N8EMH8GTFRIVOG7KG9J9VY","GSON1112030851")</f>
        <v>#NAME?</v>
      </c>
      <c r="Q368" s="4" t="e">
        <f ca="1">[1]!BexGetData("DP_1","00O2TNJGODT0G5Z4TTKYMM5MT","GSON1112030851")</f>
        <v>#NAME?</v>
      </c>
      <c r="R368" s="4" t="e">
        <f ca="1">[1]!BexGetData("DP_1","00O2TNJGODT0G5Z4TTKYMMBYD","GSON1112030851")</f>
        <v>#NAME?</v>
      </c>
      <c r="S368" s="4" t="e">
        <f ca="1">[1]!BexGetData("DP_1","00O2TNJGODT0G5Z4TTKYMMI9X","GSON1112030851")</f>
        <v>#NAME?</v>
      </c>
      <c r="T368" s="4" t="e">
        <f ca="1">[1]!BexGetData("DP_1","00O2TNJGODT0G5Z4TTKYMMOLH","GSON1112030851")</f>
        <v>#NAME?</v>
      </c>
      <c r="U368" s="4" t="e">
        <f ca="1">[1]!BexGetData("DP_1","00O2TNJGODT0G5Z4TTKYMMUX1","GSON1112030851")</f>
        <v>#NAME?</v>
      </c>
      <c r="V368" s="4" t="e">
        <f ca="1">[1]!BexGetData("DP_1","00O2TNJGODT0G5Z4TTKYMN18L","GSON1112030851")</f>
        <v>#NAME?</v>
      </c>
      <c r="W368" s="4" t="e">
        <f ca="1">[1]!BexGetData("DP_1","00O2TNJGODT0G5Z4TTKYMN7K5","GSON1112030851")</f>
        <v>#NAME?</v>
      </c>
    </row>
    <row r="369" spans="1:23" x14ac:dyDescent="0.2">
      <c r="A369" s="16" t="s">
        <v>2166</v>
      </c>
      <c r="B369" s="7" t="s">
        <v>2167</v>
      </c>
      <c r="C369" s="3" t="e">
        <f ca="1">[1]!BexGetData("DP_1","003N8EMH8GTFRCSWKMPXRR8GU","GSON1112030853")</f>
        <v>#NAME?</v>
      </c>
      <c r="D369" s="3" t="e">
        <f ca="1">[1]!BexGetData("DP_1","003N8EMH8GTFRCSWKMPXRRESE","GSON1112030853")</f>
        <v>#NAME?</v>
      </c>
      <c r="E369" s="8" t="e">
        <f ca="1">[1]!BexGetData("DP_1","003N8EMH8GTFRCSWKMPXRRL3Y","GSON1112030853")</f>
        <v>#NAME?</v>
      </c>
      <c r="F369" s="4" t="e">
        <f ca="1">[1]!BexGetData("DP_1","003N8EMH8GTFRCSWKMPXRRRFI","GSON1112030853")</f>
        <v>#NAME?</v>
      </c>
      <c r="G369" s="4" t="e">
        <f ca="1">[1]!BexGetData("DP_1","003N8EMH8GTFRCSWKMPXRRXR2","GSON1112030853")</f>
        <v>#NAME?</v>
      </c>
      <c r="H369" s="4" t="e">
        <f ca="1">[1]!BexGetData("DP_1","003N8EMH8GTFRCSWKMPXRS42M","GSON1112030853")</f>
        <v>#NAME?</v>
      </c>
      <c r="I369" s="4" t="e">
        <f ca="1">[1]!BexGetData("DP_1","003N8EMH8GTFRCSWKMPXRSAE6","GSON1112030853")</f>
        <v>#NAME?</v>
      </c>
      <c r="J369" s="4" t="e">
        <f ca="1">[1]!BexGetData("DP_1","003N8EMH8GTFRCSWKMPXRSGPQ","GSON1112030853")</f>
        <v>#NAME?</v>
      </c>
      <c r="K369" s="8" t="e">
        <f ca="1">[1]!BexGetData("DP_1","003N8EMH8GTFRIVNUPY288VJH","GSON1112030853")</f>
        <v>#NAME?</v>
      </c>
      <c r="L369" s="8" t="e">
        <f ca="1">[1]!BexGetData("DP_1","003N8EMH8GTFRIVNUPY2891V1","GSON1112030853")</f>
        <v>#NAME?</v>
      </c>
      <c r="M369" s="8" t="e">
        <f ca="1">[1]!BexGetData("DP_1","003N8EMH8GTFRIVOG7KG9IQXA","GSON1112030853")</f>
        <v>#NAME?</v>
      </c>
      <c r="N369" s="8" t="e">
        <f ca="1">[1]!BexGetData("DP_1","003N8EMH8GTFRIVOG7KG9IX8U","GSON1112030853")</f>
        <v>#NAME?</v>
      </c>
      <c r="O369" s="8" t="e">
        <f ca="1">[1]!BexGetData("DP_1","003N8EMH8GTFRIVOG7KG9J3KE","GSON1112030853")</f>
        <v>#NAME?</v>
      </c>
      <c r="P369" s="8" t="e">
        <f ca="1">[1]!BexGetData("DP_1","003N8EMH8GTFRIVOG7KG9J9VY","GSON1112030853")</f>
        <v>#NAME?</v>
      </c>
      <c r="Q369" s="4" t="e">
        <f ca="1">[1]!BexGetData("DP_1","00O2TNJGODT0G5Z4TTKYMM5MT","GSON1112030853")</f>
        <v>#NAME?</v>
      </c>
      <c r="R369" s="4" t="e">
        <f ca="1">[1]!BexGetData("DP_1","00O2TNJGODT0G5Z4TTKYMMBYD","GSON1112030853")</f>
        <v>#NAME?</v>
      </c>
      <c r="S369" s="4" t="e">
        <f ca="1">[1]!BexGetData("DP_1","00O2TNJGODT0G5Z4TTKYMMI9X","GSON1112030853")</f>
        <v>#NAME?</v>
      </c>
      <c r="T369" s="4" t="e">
        <f ca="1">[1]!BexGetData("DP_1","00O2TNJGODT0G5Z4TTKYMMOLH","GSON1112030853")</f>
        <v>#NAME?</v>
      </c>
      <c r="U369" s="4" t="e">
        <f ca="1">[1]!BexGetData("DP_1","00O2TNJGODT0G5Z4TTKYMMUX1","GSON1112030853")</f>
        <v>#NAME?</v>
      </c>
      <c r="V369" s="4" t="e">
        <f ca="1">[1]!BexGetData("DP_1","00O2TNJGODT0G5Z4TTKYMN18L","GSON1112030853")</f>
        <v>#NAME?</v>
      </c>
      <c r="W369" s="4" t="e">
        <f ca="1">[1]!BexGetData("DP_1","00O2TNJGODT0G5Z4TTKYMN7K5","GSON1112030853")</f>
        <v>#NAME?</v>
      </c>
    </row>
    <row r="370" spans="1:23" x14ac:dyDescent="0.2">
      <c r="A370" s="16" t="s">
        <v>2168</v>
      </c>
      <c r="B370" s="7" t="s">
        <v>2169</v>
      </c>
      <c r="C370" s="3" t="e">
        <f ca="1">[1]!BexGetData("DP_1","003N8EMH8GTFRCSWKMPXRR8GU","GSON1112030854")</f>
        <v>#NAME?</v>
      </c>
      <c r="D370" s="3" t="e">
        <f ca="1">[1]!BexGetData("DP_1","003N8EMH8GTFRCSWKMPXRRESE","GSON1112030854")</f>
        <v>#NAME?</v>
      </c>
      <c r="E370" s="8" t="e">
        <f ca="1">[1]!BexGetData("DP_1","003N8EMH8GTFRCSWKMPXRRL3Y","GSON1112030854")</f>
        <v>#NAME?</v>
      </c>
      <c r="F370" s="4" t="e">
        <f ca="1">[1]!BexGetData("DP_1","003N8EMH8GTFRCSWKMPXRRRFI","GSON1112030854")</f>
        <v>#NAME?</v>
      </c>
      <c r="G370" s="4" t="e">
        <f ca="1">[1]!BexGetData("DP_1","003N8EMH8GTFRCSWKMPXRRXR2","GSON1112030854")</f>
        <v>#NAME?</v>
      </c>
      <c r="H370" s="4" t="e">
        <f ca="1">[1]!BexGetData("DP_1","003N8EMH8GTFRCSWKMPXRS42M","GSON1112030854")</f>
        <v>#NAME?</v>
      </c>
      <c r="I370" s="4" t="e">
        <f ca="1">[1]!BexGetData("DP_1","003N8EMH8GTFRCSWKMPXRSAE6","GSON1112030854")</f>
        <v>#NAME?</v>
      </c>
      <c r="J370" s="4" t="e">
        <f ca="1">[1]!BexGetData("DP_1","003N8EMH8GTFRCSWKMPXRSGPQ","GSON1112030854")</f>
        <v>#NAME?</v>
      </c>
      <c r="K370" s="8" t="e">
        <f ca="1">[1]!BexGetData("DP_1","003N8EMH8GTFRIVNUPY288VJH","GSON1112030854")</f>
        <v>#NAME?</v>
      </c>
      <c r="L370" s="8" t="e">
        <f ca="1">[1]!BexGetData("DP_1","003N8EMH8GTFRIVNUPY2891V1","GSON1112030854")</f>
        <v>#NAME?</v>
      </c>
      <c r="M370" s="8" t="e">
        <f ca="1">[1]!BexGetData("DP_1","003N8EMH8GTFRIVOG7KG9IQXA","GSON1112030854")</f>
        <v>#NAME?</v>
      </c>
      <c r="N370" s="8" t="e">
        <f ca="1">[1]!BexGetData("DP_1","003N8EMH8GTFRIVOG7KG9IX8U","GSON1112030854")</f>
        <v>#NAME?</v>
      </c>
      <c r="O370" s="8" t="e">
        <f ca="1">[1]!BexGetData("DP_1","003N8EMH8GTFRIVOG7KG9J3KE","GSON1112030854")</f>
        <v>#NAME?</v>
      </c>
      <c r="P370" s="8" t="e">
        <f ca="1">[1]!BexGetData("DP_1","003N8EMH8GTFRIVOG7KG9J9VY","GSON1112030854")</f>
        <v>#NAME?</v>
      </c>
      <c r="Q370" s="4" t="e">
        <f ca="1">[1]!BexGetData("DP_1","00O2TNJGODT0G5Z4TTKYMM5MT","GSON1112030854")</f>
        <v>#NAME?</v>
      </c>
      <c r="R370" s="4" t="e">
        <f ca="1">[1]!BexGetData("DP_1","00O2TNJGODT0G5Z4TTKYMMBYD","GSON1112030854")</f>
        <v>#NAME?</v>
      </c>
      <c r="S370" s="4" t="e">
        <f ca="1">[1]!BexGetData("DP_1","00O2TNJGODT0G5Z4TTKYMMI9X","GSON1112030854")</f>
        <v>#NAME?</v>
      </c>
      <c r="T370" s="4" t="e">
        <f ca="1">[1]!BexGetData("DP_1","00O2TNJGODT0G5Z4TTKYMMOLH","GSON1112030854")</f>
        <v>#NAME?</v>
      </c>
      <c r="U370" s="4" t="e">
        <f ca="1">[1]!BexGetData("DP_1","00O2TNJGODT0G5Z4TTKYMMUX1","GSON1112030854")</f>
        <v>#NAME?</v>
      </c>
      <c r="V370" s="4" t="e">
        <f ca="1">[1]!BexGetData("DP_1","00O2TNJGODT0G5Z4TTKYMN18L","GSON1112030854")</f>
        <v>#NAME?</v>
      </c>
      <c r="W370" s="4" t="e">
        <f ca="1">[1]!BexGetData("DP_1","00O2TNJGODT0G5Z4TTKYMN7K5","GSON1112030854")</f>
        <v>#NAME?</v>
      </c>
    </row>
    <row r="371" spans="1:23" x14ac:dyDescent="0.2">
      <c r="A371" s="16" t="s">
        <v>2170</v>
      </c>
      <c r="B371" s="7" t="s">
        <v>648</v>
      </c>
      <c r="C371" s="3" t="e">
        <f ca="1">[1]!BexGetData("DP_1","003N8EMH8GTFRCSWKMPXRR8GU","GSON1112030900")</f>
        <v>#NAME?</v>
      </c>
      <c r="D371" s="8" t="e">
        <f ca="1">[1]!BexGetData("DP_1","003N8EMH8GTFRCSWKMPXRRESE","GSON1112030900")</f>
        <v>#NAME?</v>
      </c>
      <c r="E371" s="3" t="e">
        <f ca="1">[1]!BexGetData("DP_1","003N8EMH8GTFRCSWKMPXRRL3Y","GSON1112030900")</f>
        <v>#NAME?</v>
      </c>
      <c r="F371" s="3" t="e">
        <f ca="1">[1]!BexGetData("DP_1","003N8EMH8GTFRCSWKMPXRRRFI","GSON1112030900")</f>
        <v>#NAME?</v>
      </c>
      <c r="G371" s="3" t="e">
        <f ca="1">[1]!BexGetData("DP_1","003N8EMH8GTFRCSWKMPXRRXR2","GSON1112030900")</f>
        <v>#NAME?</v>
      </c>
      <c r="H371" s="8" t="e">
        <f ca="1">[1]!BexGetData("DP_1","003N8EMH8GTFRCSWKMPXRS42M","GSON1112030900")</f>
        <v>#NAME?</v>
      </c>
      <c r="I371" s="3" t="e">
        <f ca="1">[1]!BexGetData("DP_1","003N8EMH8GTFRCSWKMPXRSAE6","GSON1112030900")</f>
        <v>#NAME?</v>
      </c>
      <c r="J371" s="4" t="e">
        <f ca="1">[1]!BexGetData("DP_1","003N8EMH8GTFRCSWKMPXRSGPQ","GSON1112030900")</f>
        <v>#NAME?</v>
      </c>
      <c r="K371" s="3" t="e">
        <f ca="1">[1]!BexGetData("DP_1","003N8EMH8GTFRIVNUPY288VJH","GSON1112030900")</f>
        <v>#NAME?</v>
      </c>
      <c r="L371" s="3" t="e">
        <f ca="1">[1]!BexGetData("DP_1","003N8EMH8GTFRIVNUPY2891V1","GSON1112030900")</f>
        <v>#NAME?</v>
      </c>
      <c r="M371" s="8" t="e">
        <f ca="1">[1]!BexGetData("DP_1","003N8EMH8GTFRIVOG7KG9IQXA","GSON1112030900")</f>
        <v>#NAME?</v>
      </c>
      <c r="N371" s="3" t="e">
        <f ca="1">[1]!BexGetData("DP_1","003N8EMH8GTFRIVOG7KG9IX8U","GSON1112030900")</f>
        <v>#NAME?</v>
      </c>
      <c r="O371" s="8" t="e">
        <f ca="1">[1]!BexGetData("DP_1","003N8EMH8GTFRIVOG7KG9J3KE","GSON1112030900")</f>
        <v>#NAME?</v>
      </c>
      <c r="P371" s="3" t="e">
        <f ca="1">[1]!BexGetData("DP_1","003N8EMH8GTFRIVOG7KG9J9VY","GSON1112030900")</f>
        <v>#NAME?</v>
      </c>
      <c r="Q371" s="4" t="e">
        <f ca="1">[1]!BexGetData("DP_1","00O2TNJGODT0G5Z4TTKYMM5MT","GSON1112030900")</f>
        <v>#NAME?</v>
      </c>
      <c r="R371" s="3" t="e">
        <f ca="1">[1]!BexGetData("DP_1","00O2TNJGODT0G5Z4TTKYMMBYD","GSON1112030900")</f>
        <v>#NAME?</v>
      </c>
      <c r="S371" s="3" t="e">
        <f ca="1">[1]!BexGetData("DP_1","00O2TNJGODT0G5Z4TTKYMMI9X","GSON1112030900")</f>
        <v>#NAME?</v>
      </c>
      <c r="T371" s="8" t="e">
        <f ca="1">[1]!BexGetData("DP_1","00O2TNJGODT0G5Z4TTKYMMOLH","GSON1112030900")</f>
        <v>#NAME?</v>
      </c>
      <c r="U371" s="3" t="e">
        <f ca="1">[1]!BexGetData("DP_1","00O2TNJGODT0G5Z4TTKYMMUX1","GSON1112030900")</f>
        <v>#NAME?</v>
      </c>
      <c r="V371" s="8" t="e">
        <f ca="1">[1]!BexGetData("DP_1","00O2TNJGODT0G5Z4TTKYMN18L","GSON1112030900")</f>
        <v>#NAME?</v>
      </c>
      <c r="W371" s="3" t="e">
        <f ca="1">[1]!BexGetData("DP_1","00O2TNJGODT0G5Z4TTKYMN7K5","GSON1112030900")</f>
        <v>#NAME?</v>
      </c>
    </row>
    <row r="372" spans="1:23" x14ac:dyDescent="0.2">
      <c r="A372" s="16" t="s">
        <v>2171</v>
      </c>
      <c r="B372" s="7" t="s">
        <v>649</v>
      </c>
      <c r="C372" s="3" t="e">
        <f ca="1">[1]!BexGetData("DP_1","003N8EMH8GTFRCSWKMPXRR8GU","GSON1112030901")</f>
        <v>#NAME?</v>
      </c>
      <c r="D372" s="3" t="e">
        <f ca="1">[1]!BexGetData("DP_1","003N8EMH8GTFRCSWKMPXRRESE","GSON1112030901")</f>
        <v>#NAME?</v>
      </c>
      <c r="E372" s="8" t="e">
        <f ca="1">[1]!BexGetData("DP_1","003N8EMH8GTFRCSWKMPXRRL3Y","GSON1112030901")</f>
        <v>#NAME?</v>
      </c>
      <c r="F372" s="4" t="e">
        <f ca="1">[1]!BexGetData("DP_1","003N8EMH8GTFRCSWKMPXRRRFI","GSON1112030901")</f>
        <v>#NAME?</v>
      </c>
      <c r="G372" s="4" t="e">
        <f ca="1">[1]!BexGetData("DP_1","003N8EMH8GTFRCSWKMPXRRXR2","GSON1112030901")</f>
        <v>#NAME?</v>
      </c>
      <c r="H372" s="4" t="e">
        <f ca="1">[1]!BexGetData("DP_1","003N8EMH8GTFRCSWKMPXRS42M","GSON1112030901")</f>
        <v>#NAME?</v>
      </c>
      <c r="I372" s="4" t="e">
        <f ca="1">[1]!BexGetData("DP_1","003N8EMH8GTFRCSWKMPXRSAE6","GSON1112030901")</f>
        <v>#NAME?</v>
      </c>
      <c r="J372" s="4" t="e">
        <f ca="1">[1]!BexGetData("DP_1","003N8EMH8GTFRCSWKMPXRSGPQ","GSON1112030901")</f>
        <v>#NAME?</v>
      </c>
      <c r="K372" s="8" t="e">
        <f ca="1">[1]!BexGetData("DP_1","003N8EMH8GTFRIVNUPY288VJH","GSON1112030901")</f>
        <v>#NAME?</v>
      </c>
      <c r="L372" s="8" t="e">
        <f ca="1">[1]!BexGetData("DP_1","003N8EMH8GTFRIVNUPY2891V1","GSON1112030901")</f>
        <v>#NAME?</v>
      </c>
      <c r="M372" s="8" t="e">
        <f ca="1">[1]!BexGetData("DP_1","003N8EMH8GTFRIVOG7KG9IQXA","GSON1112030901")</f>
        <v>#NAME?</v>
      </c>
      <c r="N372" s="8" t="e">
        <f ca="1">[1]!BexGetData("DP_1","003N8EMH8GTFRIVOG7KG9IX8U","GSON1112030901")</f>
        <v>#NAME?</v>
      </c>
      <c r="O372" s="8" t="e">
        <f ca="1">[1]!BexGetData("DP_1","003N8EMH8GTFRIVOG7KG9J3KE","GSON1112030901")</f>
        <v>#NAME?</v>
      </c>
      <c r="P372" s="8" t="e">
        <f ca="1">[1]!BexGetData("DP_1","003N8EMH8GTFRIVOG7KG9J9VY","GSON1112030901")</f>
        <v>#NAME?</v>
      </c>
      <c r="Q372" s="4" t="e">
        <f ca="1">[1]!BexGetData("DP_1","00O2TNJGODT0G5Z4TTKYMM5MT","GSON1112030901")</f>
        <v>#NAME?</v>
      </c>
      <c r="R372" s="4" t="e">
        <f ca="1">[1]!BexGetData("DP_1","00O2TNJGODT0G5Z4TTKYMMBYD","GSON1112030901")</f>
        <v>#NAME?</v>
      </c>
      <c r="S372" s="4" t="e">
        <f ca="1">[1]!BexGetData("DP_1","00O2TNJGODT0G5Z4TTKYMMI9X","GSON1112030901")</f>
        <v>#NAME?</v>
      </c>
      <c r="T372" s="4" t="e">
        <f ca="1">[1]!BexGetData("DP_1","00O2TNJGODT0G5Z4TTKYMMOLH","GSON1112030901")</f>
        <v>#NAME?</v>
      </c>
      <c r="U372" s="4" t="e">
        <f ca="1">[1]!BexGetData("DP_1","00O2TNJGODT0G5Z4TTKYMMUX1","GSON1112030901")</f>
        <v>#NAME?</v>
      </c>
      <c r="V372" s="4" t="e">
        <f ca="1">[1]!BexGetData("DP_1","00O2TNJGODT0G5Z4TTKYMN18L","GSON1112030901")</f>
        <v>#NAME?</v>
      </c>
      <c r="W372" s="4" t="e">
        <f ca="1">[1]!BexGetData("DP_1","00O2TNJGODT0G5Z4TTKYMN7K5","GSON1112030901")</f>
        <v>#NAME?</v>
      </c>
    </row>
    <row r="373" spans="1:23" x14ac:dyDescent="0.2">
      <c r="A373" s="16" t="s">
        <v>2172</v>
      </c>
      <c r="B373" s="7" t="s">
        <v>2173</v>
      </c>
      <c r="C373" s="3" t="e">
        <f ca="1">[1]!BexGetData("DP_1","003N8EMH8GTFRCSWKMPXRR8GU","GSON1112030905")</f>
        <v>#NAME?</v>
      </c>
      <c r="D373" s="3" t="e">
        <f ca="1">[1]!BexGetData("DP_1","003N8EMH8GTFRCSWKMPXRRESE","GSON1112030905")</f>
        <v>#NAME?</v>
      </c>
      <c r="E373" s="8" t="e">
        <f ca="1">[1]!BexGetData("DP_1","003N8EMH8GTFRCSWKMPXRRL3Y","GSON1112030905")</f>
        <v>#NAME?</v>
      </c>
      <c r="F373" s="4" t="e">
        <f ca="1">[1]!BexGetData("DP_1","003N8EMH8GTFRCSWKMPXRRRFI","GSON1112030905")</f>
        <v>#NAME?</v>
      </c>
      <c r="G373" s="4" t="e">
        <f ca="1">[1]!BexGetData("DP_1","003N8EMH8GTFRCSWKMPXRRXR2","GSON1112030905")</f>
        <v>#NAME?</v>
      </c>
      <c r="H373" s="4" t="e">
        <f ca="1">[1]!BexGetData("DP_1","003N8EMH8GTFRCSWKMPXRS42M","GSON1112030905")</f>
        <v>#NAME?</v>
      </c>
      <c r="I373" s="4" t="e">
        <f ca="1">[1]!BexGetData("DP_1","003N8EMH8GTFRCSWKMPXRSAE6","GSON1112030905")</f>
        <v>#NAME?</v>
      </c>
      <c r="J373" s="4" t="e">
        <f ca="1">[1]!BexGetData("DP_1","003N8EMH8GTFRCSWKMPXRSGPQ","GSON1112030905")</f>
        <v>#NAME?</v>
      </c>
      <c r="K373" s="8" t="e">
        <f ca="1">[1]!BexGetData("DP_1","003N8EMH8GTFRIVNUPY288VJH","GSON1112030905")</f>
        <v>#NAME?</v>
      </c>
      <c r="L373" s="8" t="e">
        <f ca="1">[1]!BexGetData("DP_1","003N8EMH8GTFRIVNUPY2891V1","GSON1112030905")</f>
        <v>#NAME?</v>
      </c>
      <c r="M373" s="8" t="e">
        <f ca="1">[1]!BexGetData("DP_1","003N8EMH8GTFRIVOG7KG9IQXA","GSON1112030905")</f>
        <v>#NAME?</v>
      </c>
      <c r="N373" s="8" t="e">
        <f ca="1">[1]!BexGetData("DP_1","003N8EMH8GTFRIVOG7KG9IX8U","GSON1112030905")</f>
        <v>#NAME?</v>
      </c>
      <c r="O373" s="8" t="e">
        <f ca="1">[1]!BexGetData("DP_1","003N8EMH8GTFRIVOG7KG9J3KE","GSON1112030905")</f>
        <v>#NAME?</v>
      </c>
      <c r="P373" s="8" t="e">
        <f ca="1">[1]!BexGetData("DP_1","003N8EMH8GTFRIVOG7KG9J9VY","GSON1112030905")</f>
        <v>#NAME?</v>
      </c>
      <c r="Q373" s="4" t="e">
        <f ca="1">[1]!BexGetData("DP_1","00O2TNJGODT0G5Z4TTKYMM5MT","GSON1112030905")</f>
        <v>#NAME?</v>
      </c>
      <c r="R373" s="4" t="e">
        <f ca="1">[1]!BexGetData("DP_1","00O2TNJGODT0G5Z4TTKYMMBYD","GSON1112030905")</f>
        <v>#NAME?</v>
      </c>
      <c r="S373" s="4" t="e">
        <f ca="1">[1]!BexGetData("DP_1","00O2TNJGODT0G5Z4TTKYMMI9X","GSON1112030905")</f>
        <v>#NAME?</v>
      </c>
      <c r="T373" s="4" t="e">
        <f ca="1">[1]!BexGetData("DP_1","00O2TNJGODT0G5Z4TTKYMMOLH","GSON1112030905")</f>
        <v>#NAME?</v>
      </c>
      <c r="U373" s="4" t="e">
        <f ca="1">[1]!BexGetData("DP_1","00O2TNJGODT0G5Z4TTKYMMUX1","GSON1112030905")</f>
        <v>#NAME?</v>
      </c>
      <c r="V373" s="4" t="e">
        <f ca="1">[1]!BexGetData("DP_1","00O2TNJGODT0G5Z4TTKYMN18L","GSON1112030905")</f>
        <v>#NAME?</v>
      </c>
      <c r="W373" s="4" t="e">
        <f ca="1">[1]!BexGetData("DP_1","00O2TNJGODT0G5Z4TTKYMN7K5","GSON1112030905")</f>
        <v>#NAME?</v>
      </c>
    </row>
    <row r="374" spans="1:23" x14ac:dyDescent="0.2">
      <c r="A374" s="16" t="s">
        <v>2174</v>
      </c>
      <c r="B374" s="7" t="s">
        <v>915</v>
      </c>
      <c r="C374" s="3" t="e">
        <f ca="1">[1]!BexGetData("DP_1","003N8EMH8GTFRCSWKMPXRR8GU","GSON1112030910")</f>
        <v>#NAME?</v>
      </c>
      <c r="D374" s="3" t="e">
        <f ca="1">[1]!BexGetData("DP_1","003N8EMH8GTFRCSWKMPXRRESE","GSON1112030910")</f>
        <v>#NAME?</v>
      </c>
      <c r="E374" s="3" t="e">
        <f ca="1">[1]!BexGetData("DP_1","003N8EMH8GTFRCSWKMPXRRL3Y","GSON1112030910")</f>
        <v>#NAME?</v>
      </c>
      <c r="F374" s="3" t="e">
        <f ca="1">[1]!BexGetData("DP_1","003N8EMH8GTFRCSWKMPXRRRFI","GSON1112030910")</f>
        <v>#NAME?</v>
      </c>
      <c r="G374" s="3" t="e">
        <f ca="1">[1]!BexGetData("DP_1","003N8EMH8GTFRCSWKMPXRRXR2","GSON1112030910")</f>
        <v>#NAME?</v>
      </c>
      <c r="H374" s="8" t="e">
        <f ca="1">[1]!BexGetData("DP_1","003N8EMH8GTFRCSWKMPXRS42M","GSON1112030910")</f>
        <v>#NAME?</v>
      </c>
      <c r="I374" s="3" t="e">
        <f ca="1">[1]!BexGetData("DP_1","003N8EMH8GTFRCSWKMPXRSAE6","GSON1112030910")</f>
        <v>#NAME?</v>
      </c>
      <c r="J374" s="4" t="e">
        <f ca="1">[1]!BexGetData("DP_1","003N8EMH8GTFRCSWKMPXRSGPQ","GSON1112030910")</f>
        <v>#NAME?</v>
      </c>
      <c r="K374" s="3" t="e">
        <f ca="1">[1]!BexGetData("DP_1","003N8EMH8GTFRIVNUPY288VJH","GSON1112030910")</f>
        <v>#NAME?</v>
      </c>
      <c r="L374" s="3" t="e">
        <f ca="1">[1]!BexGetData("DP_1","003N8EMH8GTFRIVNUPY2891V1","GSON1112030910")</f>
        <v>#NAME?</v>
      </c>
      <c r="M374" s="3" t="e">
        <f ca="1">[1]!BexGetData("DP_1","003N8EMH8GTFRIVOG7KG9IQXA","GSON1112030910")</f>
        <v>#NAME?</v>
      </c>
      <c r="N374" s="8" t="e">
        <f ca="1">[1]!BexGetData("DP_1","003N8EMH8GTFRIVOG7KG9IX8U","GSON1112030910")</f>
        <v>#NAME?</v>
      </c>
      <c r="O374" s="3" t="e">
        <f ca="1">[1]!BexGetData("DP_1","003N8EMH8GTFRIVOG7KG9J3KE","GSON1112030910")</f>
        <v>#NAME?</v>
      </c>
      <c r="P374" s="8" t="e">
        <f ca="1">[1]!BexGetData("DP_1","003N8EMH8GTFRIVOG7KG9J9VY","GSON1112030910")</f>
        <v>#NAME?</v>
      </c>
      <c r="Q374" s="4" t="e">
        <f ca="1">[1]!BexGetData("DP_1","00O2TNJGODT0G5Z4TTKYMM5MT","GSON1112030910")</f>
        <v>#NAME?</v>
      </c>
      <c r="R374" s="3" t="e">
        <f ca="1">[1]!BexGetData("DP_1","00O2TNJGODT0G5Z4TTKYMMBYD","GSON1112030910")</f>
        <v>#NAME?</v>
      </c>
      <c r="S374" s="3" t="e">
        <f ca="1">[1]!BexGetData("DP_1","00O2TNJGODT0G5Z4TTKYMMI9X","GSON1112030910")</f>
        <v>#NAME?</v>
      </c>
      <c r="T374" s="8" t="e">
        <f ca="1">[1]!BexGetData("DP_1","00O2TNJGODT0G5Z4TTKYMMOLH","GSON1112030910")</f>
        <v>#NAME?</v>
      </c>
      <c r="U374" s="3" t="e">
        <f ca="1">[1]!BexGetData("DP_1","00O2TNJGODT0G5Z4TTKYMMUX1","GSON1112030910")</f>
        <v>#NAME?</v>
      </c>
      <c r="V374" s="8" t="e">
        <f ca="1">[1]!BexGetData("DP_1","00O2TNJGODT0G5Z4TTKYMN18L","GSON1112030910")</f>
        <v>#NAME?</v>
      </c>
      <c r="W374" s="3" t="e">
        <f ca="1">[1]!BexGetData("DP_1","00O2TNJGODT0G5Z4TTKYMN7K5","GSON1112030910")</f>
        <v>#NAME?</v>
      </c>
    </row>
    <row r="375" spans="1:23" x14ac:dyDescent="0.2">
      <c r="A375" s="16" t="s">
        <v>2175</v>
      </c>
      <c r="B375" s="7" t="s">
        <v>916</v>
      </c>
      <c r="C375" s="3" t="e">
        <f ca="1">[1]!BexGetData("DP_1","003N8EMH8GTFRCSWKMPXRR8GU","GSON1112030911")</f>
        <v>#NAME?</v>
      </c>
      <c r="D375" s="3" t="e">
        <f ca="1">[1]!BexGetData("DP_1","003N8EMH8GTFRCSWKMPXRRESE","GSON1112030911")</f>
        <v>#NAME?</v>
      </c>
      <c r="E375" s="8" t="e">
        <f ca="1">[1]!BexGetData("DP_1","003N8EMH8GTFRCSWKMPXRRL3Y","GSON1112030911")</f>
        <v>#NAME?</v>
      </c>
      <c r="F375" s="4" t="e">
        <f ca="1">[1]!BexGetData("DP_1","003N8EMH8GTFRCSWKMPXRRRFI","GSON1112030911")</f>
        <v>#NAME?</v>
      </c>
      <c r="G375" s="4" t="e">
        <f ca="1">[1]!BexGetData("DP_1","003N8EMH8GTFRCSWKMPXRRXR2","GSON1112030911")</f>
        <v>#NAME?</v>
      </c>
      <c r="H375" s="4" t="e">
        <f ca="1">[1]!BexGetData("DP_1","003N8EMH8GTFRCSWKMPXRS42M","GSON1112030911")</f>
        <v>#NAME?</v>
      </c>
      <c r="I375" s="4" t="e">
        <f ca="1">[1]!BexGetData("DP_1","003N8EMH8GTFRCSWKMPXRSAE6","GSON1112030911")</f>
        <v>#NAME?</v>
      </c>
      <c r="J375" s="4" t="e">
        <f ca="1">[1]!BexGetData("DP_1","003N8EMH8GTFRCSWKMPXRSGPQ","GSON1112030911")</f>
        <v>#NAME?</v>
      </c>
      <c r="K375" s="8" t="e">
        <f ca="1">[1]!BexGetData("DP_1","003N8EMH8GTFRIVNUPY288VJH","GSON1112030911")</f>
        <v>#NAME?</v>
      </c>
      <c r="L375" s="8" t="e">
        <f ca="1">[1]!BexGetData("DP_1","003N8EMH8GTFRIVNUPY2891V1","GSON1112030911")</f>
        <v>#NAME?</v>
      </c>
      <c r="M375" s="8" t="e">
        <f ca="1">[1]!BexGetData("DP_1","003N8EMH8GTFRIVOG7KG9IQXA","GSON1112030911")</f>
        <v>#NAME?</v>
      </c>
      <c r="N375" s="8" t="e">
        <f ca="1">[1]!BexGetData("DP_1","003N8EMH8GTFRIVOG7KG9IX8U","GSON1112030911")</f>
        <v>#NAME?</v>
      </c>
      <c r="O375" s="8" t="e">
        <f ca="1">[1]!BexGetData("DP_1","003N8EMH8GTFRIVOG7KG9J3KE","GSON1112030911")</f>
        <v>#NAME?</v>
      </c>
      <c r="P375" s="8" t="e">
        <f ca="1">[1]!BexGetData("DP_1","003N8EMH8GTFRIVOG7KG9J9VY","GSON1112030911")</f>
        <v>#NAME?</v>
      </c>
      <c r="Q375" s="4" t="e">
        <f ca="1">[1]!BexGetData("DP_1","00O2TNJGODT0G5Z4TTKYMM5MT","GSON1112030911")</f>
        <v>#NAME?</v>
      </c>
      <c r="R375" s="4" t="e">
        <f ca="1">[1]!BexGetData("DP_1","00O2TNJGODT0G5Z4TTKYMMBYD","GSON1112030911")</f>
        <v>#NAME?</v>
      </c>
      <c r="S375" s="4" t="e">
        <f ca="1">[1]!BexGetData("DP_1","00O2TNJGODT0G5Z4TTKYMMI9X","GSON1112030911")</f>
        <v>#NAME?</v>
      </c>
      <c r="T375" s="4" t="e">
        <f ca="1">[1]!BexGetData("DP_1","00O2TNJGODT0G5Z4TTKYMMOLH","GSON1112030911")</f>
        <v>#NAME?</v>
      </c>
      <c r="U375" s="4" t="e">
        <f ca="1">[1]!BexGetData("DP_1","00O2TNJGODT0G5Z4TTKYMMUX1","GSON1112030911")</f>
        <v>#NAME?</v>
      </c>
      <c r="V375" s="4" t="e">
        <f ca="1">[1]!BexGetData("DP_1","00O2TNJGODT0G5Z4TTKYMN18L","GSON1112030911")</f>
        <v>#NAME?</v>
      </c>
      <c r="W375" s="4" t="e">
        <f ca="1">[1]!BexGetData("DP_1","00O2TNJGODT0G5Z4TTKYMN7K5","GSON1112030911")</f>
        <v>#NAME?</v>
      </c>
    </row>
    <row r="376" spans="1:23" x14ac:dyDescent="0.2">
      <c r="A376" s="16" t="s">
        <v>2176</v>
      </c>
      <c r="B376" s="7" t="s">
        <v>1629</v>
      </c>
      <c r="C376" s="3" t="e">
        <f ca="1">[1]!BexGetData("DP_1","003N8EMH8GTFRCSWKMPXRR8GU","GSON1112030912")</f>
        <v>#NAME?</v>
      </c>
      <c r="D376" s="3" t="e">
        <f ca="1">[1]!BexGetData("DP_1","003N8EMH8GTFRCSWKMPXRRESE","GSON1112030912")</f>
        <v>#NAME?</v>
      </c>
      <c r="E376" s="3" t="e">
        <f ca="1">[1]!BexGetData("DP_1","003N8EMH8GTFRCSWKMPXRRL3Y","GSON1112030912")</f>
        <v>#NAME?</v>
      </c>
      <c r="F376" s="3" t="e">
        <f ca="1">[1]!BexGetData("DP_1","003N8EMH8GTFRCSWKMPXRRRFI","GSON1112030912")</f>
        <v>#NAME?</v>
      </c>
      <c r="G376" s="8" t="e">
        <f ca="1">[1]!BexGetData("DP_1","003N8EMH8GTFRCSWKMPXRRXR2","GSON1112030912")</f>
        <v>#NAME?</v>
      </c>
      <c r="H376" s="3" t="e">
        <f ca="1">[1]!BexGetData("DP_1","003N8EMH8GTFRCSWKMPXRS42M","GSON1112030912")</f>
        <v>#NAME?</v>
      </c>
      <c r="I376" s="3" t="e">
        <f ca="1">[1]!BexGetData("DP_1","003N8EMH8GTFRCSWKMPXRSAE6","GSON1112030912")</f>
        <v>#NAME?</v>
      </c>
      <c r="J376" s="4" t="e">
        <f ca="1">[1]!BexGetData("DP_1","003N8EMH8GTFRCSWKMPXRSGPQ","GSON1112030912")</f>
        <v>#NAME?</v>
      </c>
      <c r="K376" s="3" t="e">
        <f ca="1">[1]!BexGetData("DP_1","003N8EMH8GTFRIVNUPY288VJH","GSON1112030912")</f>
        <v>#NAME?</v>
      </c>
      <c r="L376" s="3" t="e">
        <f ca="1">[1]!BexGetData("DP_1","003N8EMH8GTFRIVNUPY2891V1","GSON1112030912")</f>
        <v>#NAME?</v>
      </c>
      <c r="M376" s="8" t="e">
        <f ca="1">[1]!BexGetData("DP_1","003N8EMH8GTFRIVOG7KG9IQXA","GSON1112030912")</f>
        <v>#NAME?</v>
      </c>
      <c r="N376" s="3" t="e">
        <f ca="1">[1]!BexGetData("DP_1","003N8EMH8GTFRIVOG7KG9IX8U","GSON1112030912")</f>
        <v>#NAME?</v>
      </c>
      <c r="O376" s="8" t="e">
        <f ca="1">[1]!BexGetData("DP_1","003N8EMH8GTFRIVOG7KG9J3KE","GSON1112030912")</f>
        <v>#NAME?</v>
      </c>
      <c r="P376" s="3" t="e">
        <f ca="1">[1]!BexGetData("DP_1","003N8EMH8GTFRIVOG7KG9J9VY","GSON1112030912")</f>
        <v>#NAME?</v>
      </c>
      <c r="Q376" s="4" t="e">
        <f ca="1">[1]!BexGetData("DP_1","00O2TNJGODT0G5Z4TTKYMM5MT","GSON1112030912")</f>
        <v>#NAME?</v>
      </c>
      <c r="R376" s="3" t="e">
        <f ca="1">[1]!BexGetData("DP_1","00O2TNJGODT0G5Z4TTKYMMBYD","GSON1112030912")</f>
        <v>#NAME?</v>
      </c>
      <c r="S376" s="3" t="e">
        <f ca="1">[1]!BexGetData("DP_1","00O2TNJGODT0G5Z4TTKYMMI9X","GSON1112030912")</f>
        <v>#NAME?</v>
      </c>
      <c r="T376" s="3" t="e">
        <f ca="1">[1]!BexGetData("DP_1","00O2TNJGODT0G5Z4TTKYMMOLH","GSON1112030912")</f>
        <v>#NAME?</v>
      </c>
      <c r="U376" s="8" t="e">
        <f ca="1">[1]!BexGetData("DP_1","00O2TNJGODT0G5Z4TTKYMMUX1","GSON1112030912")</f>
        <v>#NAME?</v>
      </c>
      <c r="V376" s="3" t="e">
        <f ca="1">[1]!BexGetData("DP_1","00O2TNJGODT0G5Z4TTKYMN18L","GSON1112030912")</f>
        <v>#NAME?</v>
      </c>
      <c r="W376" s="8" t="e">
        <f ca="1">[1]!BexGetData("DP_1","00O2TNJGODT0G5Z4TTKYMN7K5","GSON1112030912")</f>
        <v>#NAME?</v>
      </c>
    </row>
    <row r="377" spans="1:23" x14ac:dyDescent="0.2">
      <c r="A377" s="16" t="s">
        <v>2177</v>
      </c>
      <c r="B377" s="7" t="s">
        <v>2178</v>
      </c>
      <c r="C377" s="3" t="e">
        <f ca="1">[1]!BexGetData("DP_1","003N8EMH8GTFRCSWKMPXRR8GU","GSON1112030913")</f>
        <v>#NAME?</v>
      </c>
      <c r="D377" s="3" t="e">
        <f ca="1">[1]!BexGetData("DP_1","003N8EMH8GTFRCSWKMPXRRESE","GSON1112030913")</f>
        <v>#NAME?</v>
      </c>
      <c r="E377" s="8" t="e">
        <f ca="1">[1]!BexGetData("DP_1","003N8EMH8GTFRCSWKMPXRRL3Y","GSON1112030913")</f>
        <v>#NAME?</v>
      </c>
      <c r="F377" s="4" t="e">
        <f ca="1">[1]!BexGetData("DP_1","003N8EMH8GTFRCSWKMPXRRRFI","GSON1112030913")</f>
        <v>#NAME?</v>
      </c>
      <c r="G377" s="4" t="e">
        <f ca="1">[1]!BexGetData("DP_1","003N8EMH8GTFRCSWKMPXRRXR2","GSON1112030913")</f>
        <v>#NAME?</v>
      </c>
      <c r="H377" s="4" t="e">
        <f ca="1">[1]!BexGetData("DP_1","003N8EMH8GTFRCSWKMPXRS42M","GSON1112030913")</f>
        <v>#NAME?</v>
      </c>
      <c r="I377" s="4" t="e">
        <f ca="1">[1]!BexGetData("DP_1","003N8EMH8GTFRCSWKMPXRSAE6","GSON1112030913")</f>
        <v>#NAME?</v>
      </c>
      <c r="J377" s="4" t="e">
        <f ca="1">[1]!BexGetData("DP_1","003N8EMH8GTFRCSWKMPXRSGPQ","GSON1112030913")</f>
        <v>#NAME?</v>
      </c>
      <c r="K377" s="8" t="e">
        <f ca="1">[1]!BexGetData("DP_1","003N8EMH8GTFRIVNUPY288VJH","GSON1112030913")</f>
        <v>#NAME?</v>
      </c>
      <c r="L377" s="8" t="e">
        <f ca="1">[1]!BexGetData("DP_1","003N8EMH8GTFRIVNUPY2891V1","GSON1112030913")</f>
        <v>#NAME?</v>
      </c>
      <c r="M377" s="8" t="e">
        <f ca="1">[1]!BexGetData("DP_1","003N8EMH8GTFRIVOG7KG9IQXA","GSON1112030913")</f>
        <v>#NAME?</v>
      </c>
      <c r="N377" s="8" t="e">
        <f ca="1">[1]!BexGetData("DP_1","003N8EMH8GTFRIVOG7KG9IX8U","GSON1112030913")</f>
        <v>#NAME?</v>
      </c>
      <c r="O377" s="8" t="e">
        <f ca="1">[1]!BexGetData("DP_1","003N8EMH8GTFRIVOG7KG9J3KE","GSON1112030913")</f>
        <v>#NAME?</v>
      </c>
      <c r="P377" s="8" t="e">
        <f ca="1">[1]!BexGetData("DP_1","003N8EMH8GTFRIVOG7KG9J9VY","GSON1112030913")</f>
        <v>#NAME?</v>
      </c>
      <c r="Q377" s="4" t="e">
        <f ca="1">[1]!BexGetData("DP_1","00O2TNJGODT0G5Z4TTKYMM5MT","GSON1112030913")</f>
        <v>#NAME?</v>
      </c>
      <c r="R377" s="4" t="e">
        <f ca="1">[1]!BexGetData("DP_1","00O2TNJGODT0G5Z4TTKYMMBYD","GSON1112030913")</f>
        <v>#NAME?</v>
      </c>
      <c r="S377" s="4" t="e">
        <f ca="1">[1]!BexGetData("DP_1","00O2TNJGODT0G5Z4TTKYMMI9X","GSON1112030913")</f>
        <v>#NAME?</v>
      </c>
      <c r="T377" s="4" t="e">
        <f ca="1">[1]!BexGetData("DP_1","00O2TNJGODT0G5Z4TTKYMMOLH","GSON1112030913")</f>
        <v>#NAME?</v>
      </c>
      <c r="U377" s="4" t="e">
        <f ca="1">[1]!BexGetData("DP_1","00O2TNJGODT0G5Z4TTKYMMUX1","GSON1112030913")</f>
        <v>#NAME?</v>
      </c>
      <c r="V377" s="4" t="e">
        <f ca="1">[1]!BexGetData("DP_1","00O2TNJGODT0G5Z4TTKYMN18L","GSON1112030913")</f>
        <v>#NAME?</v>
      </c>
      <c r="W377" s="4" t="e">
        <f ca="1">[1]!BexGetData("DP_1","00O2TNJGODT0G5Z4TTKYMN7K5","GSON1112030913")</f>
        <v>#NAME?</v>
      </c>
    </row>
    <row r="378" spans="1:23" x14ac:dyDescent="0.2">
      <c r="A378" s="16" t="s">
        <v>2179</v>
      </c>
      <c r="B378" s="7" t="s">
        <v>2180</v>
      </c>
      <c r="C378" s="3" t="e">
        <f ca="1">[1]!BexGetData("DP_1","003N8EMH8GTFRCSWKMPXRR8GU","GSON1112030914")</f>
        <v>#NAME?</v>
      </c>
      <c r="D378" s="3" t="e">
        <f ca="1">[1]!BexGetData("DP_1","003N8EMH8GTFRCSWKMPXRRESE","GSON1112030914")</f>
        <v>#NAME?</v>
      </c>
      <c r="E378" s="8" t="e">
        <f ca="1">[1]!BexGetData("DP_1","003N8EMH8GTFRCSWKMPXRRL3Y","GSON1112030914")</f>
        <v>#NAME?</v>
      </c>
      <c r="F378" s="4" t="e">
        <f ca="1">[1]!BexGetData("DP_1","003N8EMH8GTFRCSWKMPXRRRFI","GSON1112030914")</f>
        <v>#NAME?</v>
      </c>
      <c r="G378" s="4" t="e">
        <f ca="1">[1]!BexGetData("DP_1","003N8EMH8GTFRCSWKMPXRRXR2","GSON1112030914")</f>
        <v>#NAME?</v>
      </c>
      <c r="H378" s="4" t="e">
        <f ca="1">[1]!BexGetData("DP_1","003N8EMH8GTFRCSWKMPXRS42M","GSON1112030914")</f>
        <v>#NAME?</v>
      </c>
      <c r="I378" s="4" t="e">
        <f ca="1">[1]!BexGetData("DP_1","003N8EMH8GTFRCSWKMPXRSAE6","GSON1112030914")</f>
        <v>#NAME?</v>
      </c>
      <c r="J378" s="4" t="e">
        <f ca="1">[1]!BexGetData("DP_1","003N8EMH8GTFRCSWKMPXRSGPQ","GSON1112030914")</f>
        <v>#NAME?</v>
      </c>
      <c r="K378" s="8" t="e">
        <f ca="1">[1]!BexGetData("DP_1","003N8EMH8GTFRIVNUPY288VJH","GSON1112030914")</f>
        <v>#NAME?</v>
      </c>
      <c r="L378" s="8" t="e">
        <f ca="1">[1]!BexGetData("DP_1","003N8EMH8GTFRIVNUPY2891V1","GSON1112030914")</f>
        <v>#NAME?</v>
      </c>
      <c r="M378" s="8" t="e">
        <f ca="1">[1]!BexGetData("DP_1","003N8EMH8GTFRIVOG7KG9IQXA","GSON1112030914")</f>
        <v>#NAME?</v>
      </c>
      <c r="N378" s="8" t="e">
        <f ca="1">[1]!BexGetData("DP_1","003N8EMH8GTFRIVOG7KG9IX8U","GSON1112030914")</f>
        <v>#NAME?</v>
      </c>
      <c r="O378" s="8" t="e">
        <f ca="1">[1]!BexGetData("DP_1","003N8EMH8GTFRIVOG7KG9J3KE","GSON1112030914")</f>
        <v>#NAME?</v>
      </c>
      <c r="P378" s="8" t="e">
        <f ca="1">[1]!BexGetData("DP_1","003N8EMH8GTFRIVOG7KG9J9VY","GSON1112030914")</f>
        <v>#NAME?</v>
      </c>
      <c r="Q378" s="4" t="e">
        <f ca="1">[1]!BexGetData("DP_1","00O2TNJGODT0G5Z4TTKYMM5MT","GSON1112030914")</f>
        <v>#NAME?</v>
      </c>
      <c r="R378" s="4" t="e">
        <f ca="1">[1]!BexGetData("DP_1","00O2TNJGODT0G5Z4TTKYMMBYD","GSON1112030914")</f>
        <v>#NAME?</v>
      </c>
      <c r="S378" s="4" t="e">
        <f ca="1">[1]!BexGetData("DP_1","00O2TNJGODT0G5Z4TTKYMMI9X","GSON1112030914")</f>
        <v>#NAME?</v>
      </c>
      <c r="T378" s="4" t="e">
        <f ca="1">[1]!BexGetData("DP_1","00O2TNJGODT0G5Z4TTKYMMOLH","GSON1112030914")</f>
        <v>#NAME?</v>
      </c>
      <c r="U378" s="4" t="e">
        <f ca="1">[1]!BexGetData("DP_1","00O2TNJGODT0G5Z4TTKYMMUX1","GSON1112030914")</f>
        <v>#NAME?</v>
      </c>
      <c r="V378" s="4" t="e">
        <f ca="1">[1]!BexGetData("DP_1","00O2TNJGODT0G5Z4TTKYMN18L","GSON1112030914")</f>
        <v>#NAME?</v>
      </c>
      <c r="W378" s="4" t="e">
        <f ca="1">[1]!BexGetData("DP_1","00O2TNJGODT0G5Z4TTKYMN7K5","GSON1112030914")</f>
        <v>#NAME?</v>
      </c>
    </row>
    <row r="379" spans="1:23" x14ac:dyDescent="0.2">
      <c r="A379" s="16" t="s">
        <v>2181</v>
      </c>
      <c r="B379" s="7" t="s">
        <v>2182</v>
      </c>
      <c r="C379" s="3" t="e">
        <f ca="1">[1]!BexGetData("DP_1","003N8EMH8GTFRCSWKMPXRR8GU","GSON1112030915")</f>
        <v>#NAME?</v>
      </c>
      <c r="D379" s="3" t="e">
        <f ca="1">[1]!BexGetData("DP_1","003N8EMH8GTFRCSWKMPXRRESE","GSON1112030915")</f>
        <v>#NAME?</v>
      </c>
      <c r="E379" s="8" t="e">
        <f ca="1">[1]!BexGetData("DP_1","003N8EMH8GTFRCSWKMPXRRL3Y","GSON1112030915")</f>
        <v>#NAME?</v>
      </c>
      <c r="F379" s="4" t="e">
        <f ca="1">[1]!BexGetData("DP_1","003N8EMH8GTFRCSWKMPXRRRFI","GSON1112030915")</f>
        <v>#NAME?</v>
      </c>
      <c r="G379" s="4" t="e">
        <f ca="1">[1]!BexGetData("DP_1","003N8EMH8GTFRCSWKMPXRRXR2","GSON1112030915")</f>
        <v>#NAME?</v>
      </c>
      <c r="H379" s="4" t="e">
        <f ca="1">[1]!BexGetData("DP_1","003N8EMH8GTFRCSWKMPXRS42M","GSON1112030915")</f>
        <v>#NAME?</v>
      </c>
      <c r="I379" s="4" t="e">
        <f ca="1">[1]!BexGetData("DP_1","003N8EMH8GTFRCSWKMPXRSAE6","GSON1112030915")</f>
        <v>#NAME?</v>
      </c>
      <c r="J379" s="4" t="e">
        <f ca="1">[1]!BexGetData("DP_1","003N8EMH8GTFRCSWKMPXRSGPQ","GSON1112030915")</f>
        <v>#NAME?</v>
      </c>
      <c r="K379" s="8" t="e">
        <f ca="1">[1]!BexGetData("DP_1","003N8EMH8GTFRIVNUPY288VJH","GSON1112030915")</f>
        <v>#NAME?</v>
      </c>
      <c r="L379" s="8" t="e">
        <f ca="1">[1]!BexGetData("DP_1","003N8EMH8GTFRIVNUPY2891V1","GSON1112030915")</f>
        <v>#NAME?</v>
      </c>
      <c r="M379" s="8" t="e">
        <f ca="1">[1]!BexGetData("DP_1","003N8EMH8GTFRIVOG7KG9IQXA","GSON1112030915")</f>
        <v>#NAME?</v>
      </c>
      <c r="N379" s="8" t="e">
        <f ca="1">[1]!BexGetData("DP_1","003N8EMH8GTFRIVOG7KG9IX8U","GSON1112030915")</f>
        <v>#NAME?</v>
      </c>
      <c r="O379" s="8" t="e">
        <f ca="1">[1]!BexGetData("DP_1","003N8EMH8GTFRIVOG7KG9J3KE","GSON1112030915")</f>
        <v>#NAME?</v>
      </c>
      <c r="P379" s="8" t="e">
        <f ca="1">[1]!BexGetData("DP_1","003N8EMH8GTFRIVOG7KG9J9VY","GSON1112030915")</f>
        <v>#NAME?</v>
      </c>
      <c r="Q379" s="4" t="e">
        <f ca="1">[1]!BexGetData("DP_1","00O2TNJGODT0G5Z4TTKYMM5MT","GSON1112030915")</f>
        <v>#NAME?</v>
      </c>
      <c r="R379" s="4" t="e">
        <f ca="1">[1]!BexGetData("DP_1","00O2TNJGODT0G5Z4TTKYMMBYD","GSON1112030915")</f>
        <v>#NAME?</v>
      </c>
      <c r="S379" s="4" t="e">
        <f ca="1">[1]!BexGetData("DP_1","00O2TNJGODT0G5Z4TTKYMMI9X","GSON1112030915")</f>
        <v>#NAME?</v>
      </c>
      <c r="T379" s="4" t="e">
        <f ca="1">[1]!BexGetData("DP_1","00O2TNJGODT0G5Z4TTKYMMOLH","GSON1112030915")</f>
        <v>#NAME?</v>
      </c>
      <c r="U379" s="4" t="e">
        <f ca="1">[1]!BexGetData("DP_1","00O2TNJGODT0G5Z4TTKYMMUX1","GSON1112030915")</f>
        <v>#NAME?</v>
      </c>
      <c r="V379" s="4" t="e">
        <f ca="1">[1]!BexGetData("DP_1","00O2TNJGODT0G5Z4TTKYMN18L","GSON1112030915")</f>
        <v>#NAME?</v>
      </c>
      <c r="W379" s="4" t="e">
        <f ca="1">[1]!BexGetData("DP_1","00O2TNJGODT0G5Z4TTKYMN7K5","GSON1112030915")</f>
        <v>#NAME?</v>
      </c>
    </row>
    <row r="380" spans="1:23" x14ac:dyDescent="0.2">
      <c r="A380" s="16" t="s">
        <v>2183</v>
      </c>
      <c r="B380" s="7" t="s">
        <v>2184</v>
      </c>
      <c r="C380" s="3" t="e">
        <f ca="1">[1]!BexGetData("DP_1","003N8EMH8GTFRCSWKMPXRR8GU","GSON1112030920")</f>
        <v>#NAME?</v>
      </c>
      <c r="D380" s="3" t="e">
        <f ca="1">[1]!BexGetData("DP_1","003N8EMH8GTFRCSWKMPXRRESE","GSON1112030920")</f>
        <v>#NAME?</v>
      </c>
      <c r="E380" s="3" t="e">
        <f ca="1">[1]!BexGetData("DP_1","003N8EMH8GTFRCSWKMPXRRL3Y","GSON1112030920")</f>
        <v>#NAME?</v>
      </c>
      <c r="F380" s="3" t="e">
        <f ca="1">[1]!BexGetData("DP_1","003N8EMH8GTFRCSWKMPXRRRFI","GSON1112030920")</f>
        <v>#NAME?</v>
      </c>
      <c r="G380" s="3" t="e">
        <f ca="1">[1]!BexGetData("DP_1","003N8EMH8GTFRCSWKMPXRRXR2","GSON1112030920")</f>
        <v>#NAME?</v>
      </c>
      <c r="H380" s="8" t="e">
        <f ca="1">[1]!BexGetData("DP_1","003N8EMH8GTFRCSWKMPXRS42M","GSON1112030920")</f>
        <v>#NAME?</v>
      </c>
      <c r="I380" s="3" t="e">
        <f ca="1">[1]!BexGetData("DP_1","003N8EMH8GTFRCSWKMPXRSAE6","GSON1112030920")</f>
        <v>#NAME?</v>
      </c>
      <c r="J380" s="4" t="e">
        <f ca="1">[1]!BexGetData("DP_1","003N8EMH8GTFRCSWKMPXRSGPQ","GSON1112030920")</f>
        <v>#NAME?</v>
      </c>
      <c r="K380" s="3" t="e">
        <f ca="1">[1]!BexGetData("DP_1","003N8EMH8GTFRIVNUPY288VJH","GSON1112030920")</f>
        <v>#NAME?</v>
      </c>
      <c r="L380" s="3" t="e">
        <f ca="1">[1]!BexGetData("DP_1","003N8EMH8GTFRIVNUPY2891V1","GSON1112030920")</f>
        <v>#NAME?</v>
      </c>
      <c r="M380" s="8" t="e">
        <f ca="1">[1]!BexGetData("DP_1","003N8EMH8GTFRIVOG7KG9IQXA","GSON1112030920")</f>
        <v>#NAME?</v>
      </c>
      <c r="N380" s="3" t="e">
        <f ca="1">[1]!BexGetData("DP_1","003N8EMH8GTFRIVOG7KG9IX8U","GSON1112030920")</f>
        <v>#NAME?</v>
      </c>
      <c r="O380" s="8" t="e">
        <f ca="1">[1]!BexGetData("DP_1","003N8EMH8GTFRIVOG7KG9J3KE","GSON1112030920")</f>
        <v>#NAME?</v>
      </c>
      <c r="P380" s="3" t="e">
        <f ca="1">[1]!BexGetData("DP_1","003N8EMH8GTFRIVOG7KG9J9VY","GSON1112030920")</f>
        <v>#NAME?</v>
      </c>
      <c r="Q380" s="4" t="e">
        <f ca="1">[1]!BexGetData("DP_1","00O2TNJGODT0G5Z4TTKYMM5MT","GSON1112030920")</f>
        <v>#NAME?</v>
      </c>
      <c r="R380" s="3" t="e">
        <f ca="1">[1]!BexGetData("DP_1","00O2TNJGODT0G5Z4TTKYMMBYD","GSON1112030920")</f>
        <v>#NAME?</v>
      </c>
      <c r="S380" s="3" t="e">
        <f ca="1">[1]!BexGetData("DP_1","00O2TNJGODT0G5Z4TTKYMMI9X","GSON1112030920")</f>
        <v>#NAME?</v>
      </c>
      <c r="T380" s="8" t="e">
        <f ca="1">[1]!BexGetData("DP_1","00O2TNJGODT0G5Z4TTKYMMOLH","GSON1112030920")</f>
        <v>#NAME?</v>
      </c>
      <c r="U380" s="3" t="e">
        <f ca="1">[1]!BexGetData("DP_1","00O2TNJGODT0G5Z4TTKYMMUX1","GSON1112030920")</f>
        <v>#NAME?</v>
      </c>
      <c r="V380" s="8" t="e">
        <f ca="1">[1]!BexGetData("DP_1","00O2TNJGODT0G5Z4TTKYMN18L","GSON1112030920")</f>
        <v>#NAME?</v>
      </c>
      <c r="W380" s="3" t="e">
        <f ca="1">[1]!BexGetData("DP_1","00O2TNJGODT0G5Z4TTKYMN7K5","GSON1112030920")</f>
        <v>#NAME?</v>
      </c>
    </row>
    <row r="381" spans="1:23" x14ac:dyDescent="0.2">
      <c r="A381" s="16" t="s">
        <v>2185</v>
      </c>
      <c r="B381" s="7" t="s">
        <v>2186</v>
      </c>
      <c r="C381" s="3" t="e">
        <f ca="1">[1]!BexGetData("DP_1","003N8EMH8GTFRCSWKMPXRR8GU","GSON1112030921")</f>
        <v>#NAME?</v>
      </c>
      <c r="D381" s="3" t="e">
        <f ca="1">[1]!BexGetData("DP_1","003N8EMH8GTFRCSWKMPXRRESE","GSON1112030921")</f>
        <v>#NAME?</v>
      </c>
      <c r="E381" s="8" t="e">
        <f ca="1">[1]!BexGetData("DP_1","003N8EMH8GTFRCSWKMPXRRL3Y","GSON1112030921")</f>
        <v>#NAME?</v>
      </c>
      <c r="F381" s="4" t="e">
        <f ca="1">[1]!BexGetData("DP_1","003N8EMH8GTFRCSWKMPXRRRFI","GSON1112030921")</f>
        <v>#NAME?</v>
      </c>
      <c r="G381" s="4" t="e">
        <f ca="1">[1]!BexGetData("DP_1","003N8EMH8GTFRCSWKMPXRRXR2","GSON1112030921")</f>
        <v>#NAME?</v>
      </c>
      <c r="H381" s="4" t="e">
        <f ca="1">[1]!BexGetData("DP_1","003N8EMH8GTFRCSWKMPXRS42M","GSON1112030921")</f>
        <v>#NAME?</v>
      </c>
      <c r="I381" s="4" t="e">
        <f ca="1">[1]!BexGetData("DP_1","003N8EMH8GTFRCSWKMPXRSAE6","GSON1112030921")</f>
        <v>#NAME?</v>
      </c>
      <c r="J381" s="4" t="e">
        <f ca="1">[1]!BexGetData("DP_1","003N8EMH8GTFRCSWKMPXRSGPQ","GSON1112030921")</f>
        <v>#NAME?</v>
      </c>
      <c r="K381" s="8" t="e">
        <f ca="1">[1]!BexGetData("DP_1","003N8EMH8GTFRIVNUPY288VJH","GSON1112030921")</f>
        <v>#NAME?</v>
      </c>
      <c r="L381" s="8" t="e">
        <f ca="1">[1]!BexGetData("DP_1","003N8EMH8GTFRIVNUPY2891V1","GSON1112030921")</f>
        <v>#NAME?</v>
      </c>
      <c r="M381" s="8" t="e">
        <f ca="1">[1]!BexGetData("DP_1","003N8EMH8GTFRIVOG7KG9IQXA","GSON1112030921")</f>
        <v>#NAME?</v>
      </c>
      <c r="N381" s="8" t="e">
        <f ca="1">[1]!BexGetData("DP_1","003N8EMH8GTFRIVOG7KG9IX8U","GSON1112030921")</f>
        <v>#NAME?</v>
      </c>
      <c r="O381" s="8" t="e">
        <f ca="1">[1]!BexGetData("DP_1","003N8EMH8GTFRIVOG7KG9J3KE","GSON1112030921")</f>
        <v>#NAME?</v>
      </c>
      <c r="P381" s="8" t="e">
        <f ca="1">[1]!BexGetData("DP_1","003N8EMH8GTFRIVOG7KG9J9VY","GSON1112030921")</f>
        <v>#NAME?</v>
      </c>
      <c r="Q381" s="4" t="e">
        <f ca="1">[1]!BexGetData("DP_1","00O2TNJGODT0G5Z4TTKYMM5MT","GSON1112030921")</f>
        <v>#NAME?</v>
      </c>
      <c r="R381" s="4" t="e">
        <f ca="1">[1]!BexGetData("DP_1","00O2TNJGODT0G5Z4TTKYMMBYD","GSON1112030921")</f>
        <v>#NAME?</v>
      </c>
      <c r="S381" s="4" t="e">
        <f ca="1">[1]!BexGetData("DP_1","00O2TNJGODT0G5Z4TTKYMMI9X","GSON1112030921")</f>
        <v>#NAME?</v>
      </c>
      <c r="T381" s="4" t="e">
        <f ca="1">[1]!BexGetData("DP_1","00O2TNJGODT0G5Z4TTKYMMOLH","GSON1112030921")</f>
        <v>#NAME?</v>
      </c>
      <c r="U381" s="4" t="e">
        <f ca="1">[1]!BexGetData("DP_1","00O2TNJGODT0G5Z4TTKYMMUX1","GSON1112030921")</f>
        <v>#NAME?</v>
      </c>
      <c r="V381" s="4" t="e">
        <f ca="1">[1]!BexGetData("DP_1","00O2TNJGODT0G5Z4TTKYMN18L","GSON1112030921")</f>
        <v>#NAME?</v>
      </c>
      <c r="W381" s="4" t="e">
        <f ca="1">[1]!BexGetData("DP_1","00O2TNJGODT0G5Z4TTKYMN7K5","GSON1112030921")</f>
        <v>#NAME?</v>
      </c>
    </row>
    <row r="382" spans="1:23" x14ac:dyDescent="0.2">
      <c r="A382" s="16" t="s">
        <v>2187</v>
      </c>
      <c r="B382" s="7" t="s">
        <v>917</v>
      </c>
      <c r="C382" s="3" t="e">
        <f ca="1">[1]!BexGetData("DP_1","003N8EMH8GTFRCSWKMPXRR8GU","GSON1112030923")</f>
        <v>#NAME?</v>
      </c>
      <c r="D382" s="3" t="e">
        <f ca="1">[1]!BexGetData("DP_1","003N8EMH8GTFRCSWKMPXRRESE","GSON1112030923")</f>
        <v>#NAME?</v>
      </c>
      <c r="E382" s="8" t="e">
        <f ca="1">[1]!BexGetData("DP_1","003N8EMH8GTFRCSWKMPXRRL3Y","GSON1112030923")</f>
        <v>#NAME?</v>
      </c>
      <c r="F382" s="4" t="e">
        <f ca="1">[1]!BexGetData("DP_1","003N8EMH8GTFRCSWKMPXRRRFI","GSON1112030923")</f>
        <v>#NAME?</v>
      </c>
      <c r="G382" s="4" t="e">
        <f ca="1">[1]!BexGetData("DP_1","003N8EMH8GTFRCSWKMPXRRXR2","GSON1112030923")</f>
        <v>#NAME?</v>
      </c>
      <c r="H382" s="4" t="e">
        <f ca="1">[1]!BexGetData("DP_1","003N8EMH8GTFRCSWKMPXRS42M","GSON1112030923")</f>
        <v>#NAME?</v>
      </c>
      <c r="I382" s="4" t="e">
        <f ca="1">[1]!BexGetData("DP_1","003N8EMH8GTFRCSWKMPXRSAE6","GSON1112030923")</f>
        <v>#NAME?</v>
      </c>
      <c r="J382" s="4" t="e">
        <f ca="1">[1]!BexGetData("DP_1","003N8EMH8GTFRCSWKMPXRSGPQ","GSON1112030923")</f>
        <v>#NAME?</v>
      </c>
      <c r="K382" s="8" t="e">
        <f ca="1">[1]!BexGetData("DP_1","003N8EMH8GTFRIVNUPY288VJH","GSON1112030923")</f>
        <v>#NAME?</v>
      </c>
      <c r="L382" s="8" t="e">
        <f ca="1">[1]!BexGetData("DP_1","003N8EMH8GTFRIVNUPY2891V1","GSON1112030923")</f>
        <v>#NAME?</v>
      </c>
      <c r="M382" s="8" t="e">
        <f ca="1">[1]!BexGetData("DP_1","003N8EMH8GTFRIVOG7KG9IQXA","GSON1112030923")</f>
        <v>#NAME?</v>
      </c>
      <c r="N382" s="8" t="e">
        <f ca="1">[1]!BexGetData("DP_1","003N8EMH8GTFRIVOG7KG9IX8U","GSON1112030923")</f>
        <v>#NAME?</v>
      </c>
      <c r="O382" s="8" t="e">
        <f ca="1">[1]!BexGetData("DP_1","003N8EMH8GTFRIVOG7KG9J3KE","GSON1112030923")</f>
        <v>#NAME?</v>
      </c>
      <c r="P382" s="8" t="e">
        <f ca="1">[1]!BexGetData("DP_1","003N8EMH8GTFRIVOG7KG9J9VY","GSON1112030923")</f>
        <v>#NAME?</v>
      </c>
      <c r="Q382" s="4" t="e">
        <f ca="1">[1]!BexGetData("DP_1","00O2TNJGODT0G5Z4TTKYMM5MT","GSON1112030923")</f>
        <v>#NAME?</v>
      </c>
      <c r="R382" s="4" t="e">
        <f ca="1">[1]!BexGetData("DP_1","00O2TNJGODT0G5Z4TTKYMMBYD","GSON1112030923")</f>
        <v>#NAME?</v>
      </c>
      <c r="S382" s="4" t="e">
        <f ca="1">[1]!BexGetData("DP_1","00O2TNJGODT0G5Z4TTKYMMI9X","GSON1112030923")</f>
        <v>#NAME?</v>
      </c>
      <c r="T382" s="4" t="e">
        <f ca="1">[1]!BexGetData("DP_1","00O2TNJGODT0G5Z4TTKYMMOLH","GSON1112030923")</f>
        <v>#NAME?</v>
      </c>
      <c r="U382" s="4" t="e">
        <f ca="1">[1]!BexGetData("DP_1","00O2TNJGODT0G5Z4TTKYMMUX1","GSON1112030923")</f>
        <v>#NAME?</v>
      </c>
      <c r="V382" s="4" t="e">
        <f ca="1">[1]!BexGetData("DP_1","00O2TNJGODT0G5Z4TTKYMN18L","GSON1112030923")</f>
        <v>#NAME?</v>
      </c>
      <c r="W382" s="4" t="e">
        <f ca="1">[1]!BexGetData("DP_1","00O2TNJGODT0G5Z4TTKYMN7K5","GSON1112030923")</f>
        <v>#NAME?</v>
      </c>
    </row>
    <row r="383" spans="1:23" x14ac:dyDescent="0.2">
      <c r="A383" s="16" t="s">
        <v>2188</v>
      </c>
      <c r="B383" s="7" t="s">
        <v>2189</v>
      </c>
      <c r="C383" s="3" t="e">
        <f ca="1">[1]!BexGetData("DP_1","003N8EMH8GTFRCSWKMPXRR8GU","GSON1112030924")</f>
        <v>#NAME?</v>
      </c>
      <c r="D383" s="3" t="e">
        <f ca="1">[1]!BexGetData("DP_1","003N8EMH8GTFRCSWKMPXRRESE","GSON1112030924")</f>
        <v>#NAME?</v>
      </c>
      <c r="E383" s="8" t="e">
        <f ca="1">[1]!BexGetData("DP_1","003N8EMH8GTFRCSWKMPXRRL3Y","GSON1112030924")</f>
        <v>#NAME?</v>
      </c>
      <c r="F383" s="4" t="e">
        <f ca="1">[1]!BexGetData("DP_1","003N8EMH8GTFRCSWKMPXRRRFI","GSON1112030924")</f>
        <v>#NAME?</v>
      </c>
      <c r="G383" s="4" t="e">
        <f ca="1">[1]!BexGetData("DP_1","003N8EMH8GTFRCSWKMPXRRXR2","GSON1112030924")</f>
        <v>#NAME?</v>
      </c>
      <c r="H383" s="4" t="e">
        <f ca="1">[1]!BexGetData("DP_1","003N8EMH8GTFRCSWKMPXRS42M","GSON1112030924")</f>
        <v>#NAME?</v>
      </c>
      <c r="I383" s="4" t="e">
        <f ca="1">[1]!BexGetData("DP_1","003N8EMH8GTFRCSWKMPXRSAE6","GSON1112030924")</f>
        <v>#NAME?</v>
      </c>
      <c r="J383" s="4" t="e">
        <f ca="1">[1]!BexGetData("DP_1","003N8EMH8GTFRCSWKMPXRSGPQ","GSON1112030924")</f>
        <v>#NAME?</v>
      </c>
      <c r="K383" s="8" t="e">
        <f ca="1">[1]!BexGetData("DP_1","003N8EMH8GTFRIVNUPY288VJH","GSON1112030924")</f>
        <v>#NAME?</v>
      </c>
      <c r="L383" s="8" t="e">
        <f ca="1">[1]!BexGetData("DP_1","003N8EMH8GTFRIVNUPY2891V1","GSON1112030924")</f>
        <v>#NAME?</v>
      </c>
      <c r="M383" s="8" t="e">
        <f ca="1">[1]!BexGetData("DP_1","003N8EMH8GTFRIVOG7KG9IQXA","GSON1112030924")</f>
        <v>#NAME?</v>
      </c>
      <c r="N383" s="8" t="e">
        <f ca="1">[1]!BexGetData("DP_1","003N8EMH8GTFRIVOG7KG9IX8U","GSON1112030924")</f>
        <v>#NAME?</v>
      </c>
      <c r="O383" s="8" t="e">
        <f ca="1">[1]!BexGetData("DP_1","003N8EMH8GTFRIVOG7KG9J3KE","GSON1112030924")</f>
        <v>#NAME?</v>
      </c>
      <c r="P383" s="8" t="e">
        <f ca="1">[1]!BexGetData("DP_1","003N8EMH8GTFRIVOG7KG9J9VY","GSON1112030924")</f>
        <v>#NAME?</v>
      </c>
      <c r="Q383" s="4" t="e">
        <f ca="1">[1]!BexGetData("DP_1","00O2TNJGODT0G5Z4TTKYMM5MT","GSON1112030924")</f>
        <v>#NAME?</v>
      </c>
      <c r="R383" s="4" t="e">
        <f ca="1">[1]!BexGetData("DP_1","00O2TNJGODT0G5Z4TTKYMMBYD","GSON1112030924")</f>
        <v>#NAME?</v>
      </c>
      <c r="S383" s="4" t="e">
        <f ca="1">[1]!BexGetData("DP_1","00O2TNJGODT0G5Z4TTKYMMI9X","GSON1112030924")</f>
        <v>#NAME?</v>
      </c>
      <c r="T383" s="4" t="e">
        <f ca="1">[1]!BexGetData("DP_1","00O2TNJGODT0G5Z4TTKYMMOLH","GSON1112030924")</f>
        <v>#NAME?</v>
      </c>
      <c r="U383" s="4" t="e">
        <f ca="1">[1]!BexGetData("DP_1","00O2TNJGODT0G5Z4TTKYMMUX1","GSON1112030924")</f>
        <v>#NAME?</v>
      </c>
      <c r="V383" s="4" t="e">
        <f ca="1">[1]!BexGetData("DP_1","00O2TNJGODT0G5Z4TTKYMN18L","GSON1112030924")</f>
        <v>#NAME?</v>
      </c>
      <c r="W383" s="4" t="e">
        <f ca="1">[1]!BexGetData("DP_1","00O2TNJGODT0G5Z4TTKYMN7K5","GSON1112030924")</f>
        <v>#NAME?</v>
      </c>
    </row>
    <row r="384" spans="1:23" x14ac:dyDescent="0.2">
      <c r="A384" s="16" t="s">
        <v>2190</v>
      </c>
      <c r="B384" s="7" t="s">
        <v>2191</v>
      </c>
      <c r="C384" s="3" t="e">
        <f ca="1">[1]!BexGetData("DP_1","003N8EMH8GTFRCSWKMPXRR8GU","GSON1112030925")</f>
        <v>#NAME?</v>
      </c>
      <c r="D384" s="3" t="e">
        <f ca="1">[1]!BexGetData("DP_1","003N8EMH8GTFRCSWKMPXRRESE","GSON1112030925")</f>
        <v>#NAME?</v>
      </c>
      <c r="E384" s="8" t="e">
        <f ca="1">[1]!BexGetData("DP_1","003N8EMH8GTFRCSWKMPXRRL3Y","GSON1112030925")</f>
        <v>#NAME?</v>
      </c>
      <c r="F384" s="4" t="e">
        <f ca="1">[1]!BexGetData("DP_1","003N8EMH8GTFRCSWKMPXRRRFI","GSON1112030925")</f>
        <v>#NAME?</v>
      </c>
      <c r="G384" s="4" t="e">
        <f ca="1">[1]!BexGetData("DP_1","003N8EMH8GTFRCSWKMPXRRXR2","GSON1112030925")</f>
        <v>#NAME?</v>
      </c>
      <c r="H384" s="4" t="e">
        <f ca="1">[1]!BexGetData("DP_1","003N8EMH8GTFRCSWKMPXRS42M","GSON1112030925")</f>
        <v>#NAME?</v>
      </c>
      <c r="I384" s="4" t="e">
        <f ca="1">[1]!BexGetData("DP_1","003N8EMH8GTFRCSWKMPXRSAE6","GSON1112030925")</f>
        <v>#NAME?</v>
      </c>
      <c r="J384" s="4" t="e">
        <f ca="1">[1]!BexGetData("DP_1","003N8EMH8GTFRCSWKMPXRSGPQ","GSON1112030925")</f>
        <v>#NAME?</v>
      </c>
      <c r="K384" s="8" t="e">
        <f ca="1">[1]!BexGetData("DP_1","003N8EMH8GTFRIVNUPY288VJH","GSON1112030925")</f>
        <v>#NAME?</v>
      </c>
      <c r="L384" s="8" t="e">
        <f ca="1">[1]!BexGetData("DP_1","003N8EMH8GTFRIVNUPY2891V1","GSON1112030925")</f>
        <v>#NAME?</v>
      </c>
      <c r="M384" s="8" t="e">
        <f ca="1">[1]!BexGetData("DP_1","003N8EMH8GTFRIVOG7KG9IQXA","GSON1112030925")</f>
        <v>#NAME?</v>
      </c>
      <c r="N384" s="8" t="e">
        <f ca="1">[1]!BexGetData("DP_1","003N8EMH8GTFRIVOG7KG9IX8U","GSON1112030925")</f>
        <v>#NAME?</v>
      </c>
      <c r="O384" s="8" t="e">
        <f ca="1">[1]!BexGetData("DP_1","003N8EMH8GTFRIVOG7KG9J3KE","GSON1112030925")</f>
        <v>#NAME?</v>
      </c>
      <c r="P384" s="8" t="e">
        <f ca="1">[1]!BexGetData("DP_1","003N8EMH8GTFRIVOG7KG9J9VY","GSON1112030925")</f>
        <v>#NAME?</v>
      </c>
      <c r="Q384" s="4" t="e">
        <f ca="1">[1]!BexGetData("DP_1","00O2TNJGODT0G5Z4TTKYMM5MT","GSON1112030925")</f>
        <v>#NAME?</v>
      </c>
      <c r="R384" s="4" t="e">
        <f ca="1">[1]!BexGetData("DP_1","00O2TNJGODT0G5Z4TTKYMMBYD","GSON1112030925")</f>
        <v>#NAME?</v>
      </c>
      <c r="S384" s="4" t="e">
        <f ca="1">[1]!BexGetData("DP_1","00O2TNJGODT0G5Z4TTKYMMI9X","GSON1112030925")</f>
        <v>#NAME?</v>
      </c>
      <c r="T384" s="4" t="e">
        <f ca="1">[1]!BexGetData("DP_1","00O2TNJGODT0G5Z4TTKYMMOLH","GSON1112030925")</f>
        <v>#NAME?</v>
      </c>
      <c r="U384" s="4" t="e">
        <f ca="1">[1]!BexGetData("DP_1","00O2TNJGODT0G5Z4TTKYMMUX1","GSON1112030925")</f>
        <v>#NAME?</v>
      </c>
      <c r="V384" s="4" t="e">
        <f ca="1">[1]!BexGetData("DP_1","00O2TNJGODT0G5Z4TTKYMN18L","GSON1112030925")</f>
        <v>#NAME?</v>
      </c>
      <c r="W384" s="4" t="e">
        <f ca="1">[1]!BexGetData("DP_1","00O2TNJGODT0G5Z4TTKYMN7K5","GSON1112030925")</f>
        <v>#NAME?</v>
      </c>
    </row>
    <row r="385" spans="1:23" x14ac:dyDescent="0.2">
      <c r="A385" s="16" t="s">
        <v>2192</v>
      </c>
      <c r="B385" s="7" t="s">
        <v>918</v>
      </c>
      <c r="C385" s="3" t="e">
        <f ca="1">[1]!BexGetData("DP_1","003N8EMH8GTFRCSWKMPXRR8GU","GSON1112030930")</f>
        <v>#NAME?</v>
      </c>
      <c r="D385" s="3" t="e">
        <f ca="1">[1]!BexGetData("DP_1","003N8EMH8GTFRCSWKMPXRRESE","GSON1112030930")</f>
        <v>#NAME?</v>
      </c>
      <c r="E385" s="3" t="e">
        <f ca="1">[1]!BexGetData("DP_1","003N8EMH8GTFRCSWKMPXRRL3Y","GSON1112030930")</f>
        <v>#NAME?</v>
      </c>
      <c r="F385" s="3" t="e">
        <f ca="1">[1]!BexGetData("DP_1","003N8EMH8GTFRCSWKMPXRRRFI","GSON1112030930")</f>
        <v>#NAME?</v>
      </c>
      <c r="G385" s="3" t="e">
        <f ca="1">[1]!BexGetData("DP_1","003N8EMH8GTFRCSWKMPXRRXR2","GSON1112030930")</f>
        <v>#NAME?</v>
      </c>
      <c r="H385" s="8" t="e">
        <f ca="1">[1]!BexGetData("DP_1","003N8EMH8GTFRCSWKMPXRS42M","GSON1112030930")</f>
        <v>#NAME?</v>
      </c>
      <c r="I385" s="3" t="e">
        <f ca="1">[1]!BexGetData("DP_1","003N8EMH8GTFRCSWKMPXRSAE6","GSON1112030930")</f>
        <v>#NAME?</v>
      </c>
      <c r="J385" s="4" t="e">
        <f ca="1">[1]!BexGetData("DP_1","003N8EMH8GTFRCSWKMPXRSGPQ","GSON1112030930")</f>
        <v>#NAME?</v>
      </c>
      <c r="K385" s="3" t="e">
        <f ca="1">[1]!BexGetData("DP_1","003N8EMH8GTFRIVNUPY288VJH","GSON1112030930")</f>
        <v>#NAME?</v>
      </c>
      <c r="L385" s="3" t="e">
        <f ca="1">[1]!BexGetData("DP_1","003N8EMH8GTFRIVNUPY2891V1","GSON1112030930")</f>
        <v>#NAME?</v>
      </c>
      <c r="M385" s="3" t="e">
        <f ca="1">[1]!BexGetData("DP_1","003N8EMH8GTFRIVOG7KG9IQXA","GSON1112030930")</f>
        <v>#NAME?</v>
      </c>
      <c r="N385" s="8" t="e">
        <f ca="1">[1]!BexGetData("DP_1","003N8EMH8GTFRIVOG7KG9IX8U","GSON1112030930")</f>
        <v>#NAME?</v>
      </c>
      <c r="O385" s="3" t="e">
        <f ca="1">[1]!BexGetData("DP_1","003N8EMH8GTFRIVOG7KG9J3KE","GSON1112030930")</f>
        <v>#NAME?</v>
      </c>
      <c r="P385" s="8" t="e">
        <f ca="1">[1]!BexGetData("DP_1","003N8EMH8GTFRIVOG7KG9J9VY","GSON1112030930")</f>
        <v>#NAME?</v>
      </c>
      <c r="Q385" s="4" t="e">
        <f ca="1">[1]!BexGetData("DP_1","00O2TNJGODT0G5Z4TTKYMM5MT","GSON1112030930")</f>
        <v>#NAME?</v>
      </c>
      <c r="R385" s="3" t="e">
        <f ca="1">[1]!BexGetData("DP_1","00O2TNJGODT0G5Z4TTKYMMBYD","GSON1112030930")</f>
        <v>#NAME?</v>
      </c>
      <c r="S385" s="3" t="e">
        <f ca="1">[1]!BexGetData("DP_1","00O2TNJGODT0G5Z4TTKYMMI9X","GSON1112030930")</f>
        <v>#NAME?</v>
      </c>
      <c r="T385" s="8" t="e">
        <f ca="1">[1]!BexGetData("DP_1","00O2TNJGODT0G5Z4TTKYMMOLH","GSON1112030930")</f>
        <v>#NAME?</v>
      </c>
      <c r="U385" s="3" t="e">
        <f ca="1">[1]!BexGetData("DP_1","00O2TNJGODT0G5Z4TTKYMMUX1","GSON1112030930")</f>
        <v>#NAME?</v>
      </c>
      <c r="V385" s="8" t="e">
        <f ca="1">[1]!BexGetData("DP_1","00O2TNJGODT0G5Z4TTKYMN18L","GSON1112030930")</f>
        <v>#NAME?</v>
      </c>
      <c r="W385" s="3" t="e">
        <f ca="1">[1]!BexGetData("DP_1","00O2TNJGODT0G5Z4TTKYMN7K5","GSON1112030930")</f>
        <v>#NAME?</v>
      </c>
    </row>
    <row r="386" spans="1:23" x14ac:dyDescent="0.2">
      <c r="A386" s="16" t="s">
        <v>2193</v>
      </c>
      <c r="B386" s="7" t="s">
        <v>919</v>
      </c>
      <c r="C386" s="3" t="e">
        <f ca="1">[1]!BexGetData("DP_1","003N8EMH8GTFRCSWKMPXRR8GU","GSON1112030931")</f>
        <v>#NAME?</v>
      </c>
      <c r="D386" s="3" t="e">
        <f ca="1">[1]!BexGetData("DP_1","003N8EMH8GTFRCSWKMPXRRESE","GSON1112030931")</f>
        <v>#NAME?</v>
      </c>
      <c r="E386" s="8" t="e">
        <f ca="1">[1]!BexGetData("DP_1","003N8EMH8GTFRCSWKMPXRRL3Y","GSON1112030931")</f>
        <v>#NAME?</v>
      </c>
      <c r="F386" s="4" t="e">
        <f ca="1">[1]!BexGetData("DP_1","003N8EMH8GTFRCSWKMPXRRRFI","GSON1112030931")</f>
        <v>#NAME?</v>
      </c>
      <c r="G386" s="4" t="e">
        <f ca="1">[1]!BexGetData("DP_1","003N8EMH8GTFRCSWKMPXRRXR2","GSON1112030931")</f>
        <v>#NAME?</v>
      </c>
      <c r="H386" s="4" t="e">
        <f ca="1">[1]!BexGetData("DP_1","003N8EMH8GTFRCSWKMPXRS42M","GSON1112030931")</f>
        <v>#NAME?</v>
      </c>
      <c r="I386" s="4" t="e">
        <f ca="1">[1]!BexGetData("DP_1","003N8EMH8GTFRCSWKMPXRSAE6","GSON1112030931")</f>
        <v>#NAME?</v>
      </c>
      <c r="J386" s="4" t="e">
        <f ca="1">[1]!BexGetData("DP_1","003N8EMH8GTFRCSWKMPXRSGPQ","GSON1112030931")</f>
        <v>#NAME?</v>
      </c>
      <c r="K386" s="8" t="e">
        <f ca="1">[1]!BexGetData("DP_1","003N8EMH8GTFRIVNUPY288VJH","GSON1112030931")</f>
        <v>#NAME?</v>
      </c>
      <c r="L386" s="8" t="e">
        <f ca="1">[1]!BexGetData("DP_1","003N8EMH8GTFRIVNUPY2891V1","GSON1112030931")</f>
        <v>#NAME?</v>
      </c>
      <c r="M386" s="8" t="e">
        <f ca="1">[1]!BexGetData("DP_1","003N8EMH8GTFRIVOG7KG9IQXA","GSON1112030931")</f>
        <v>#NAME?</v>
      </c>
      <c r="N386" s="8" t="e">
        <f ca="1">[1]!BexGetData("DP_1","003N8EMH8GTFRIVOG7KG9IX8U","GSON1112030931")</f>
        <v>#NAME?</v>
      </c>
      <c r="O386" s="8" t="e">
        <f ca="1">[1]!BexGetData("DP_1","003N8EMH8GTFRIVOG7KG9J3KE","GSON1112030931")</f>
        <v>#NAME?</v>
      </c>
      <c r="P386" s="8" t="e">
        <f ca="1">[1]!BexGetData("DP_1","003N8EMH8GTFRIVOG7KG9J9VY","GSON1112030931")</f>
        <v>#NAME?</v>
      </c>
      <c r="Q386" s="4" t="e">
        <f ca="1">[1]!BexGetData("DP_1","00O2TNJGODT0G5Z4TTKYMM5MT","GSON1112030931")</f>
        <v>#NAME?</v>
      </c>
      <c r="R386" s="4" t="e">
        <f ca="1">[1]!BexGetData("DP_1","00O2TNJGODT0G5Z4TTKYMMBYD","GSON1112030931")</f>
        <v>#NAME?</v>
      </c>
      <c r="S386" s="4" t="e">
        <f ca="1">[1]!BexGetData("DP_1","00O2TNJGODT0G5Z4TTKYMMI9X","GSON1112030931")</f>
        <v>#NAME?</v>
      </c>
      <c r="T386" s="4" t="e">
        <f ca="1">[1]!BexGetData("DP_1","00O2TNJGODT0G5Z4TTKYMMOLH","GSON1112030931")</f>
        <v>#NAME?</v>
      </c>
      <c r="U386" s="4" t="e">
        <f ca="1">[1]!BexGetData("DP_1","00O2TNJGODT0G5Z4TTKYMMUX1","GSON1112030931")</f>
        <v>#NAME?</v>
      </c>
      <c r="V386" s="4" t="e">
        <f ca="1">[1]!BexGetData("DP_1","00O2TNJGODT0G5Z4TTKYMN18L","GSON1112030931")</f>
        <v>#NAME?</v>
      </c>
      <c r="W386" s="4" t="e">
        <f ca="1">[1]!BexGetData("DP_1","00O2TNJGODT0G5Z4TTKYMN7K5","GSON1112030931")</f>
        <v>#NAME?</v>
      </c>
    </row>
    <row r="387" spans="1:23" x14ac:dyDescent="0.2">
      <c r="A387" s="16" t="s">
        <v>2194</v>
      </c>
      <c r="B387" s="7" t="s">
        <v>2195</v>
      </c>
      <c r="C387" s="3" t="e">
        <f ca="1">[1]!BexGetData("DP_1","003N8EMH8GTFRCSWKMPXRR8GU","GSON1112030932")</f>
        <v>#NAME?</v>
      </c>
      <c r="D387" s="3" t="e">
        <f ca="1">[1]!BexGetData("DP_1","003N8EMH8GTFRCSWKMPXRRESE","GSON1112030932")</f>
        <v>#NAME?</v>
      </c>
      <c r="E387" s="8" t="e">
        <f ca="1">[1]!BexGetData("DP_1","003N8EMH8GTFRCSWKMPXRRL3Y","GSON1112030932")</f>
        <v>#NAME?</v>
      </c>
      <c r="F387" s="3" t="e">
        <f ca="1">[1]!BexGetData("DP_1","003N8EMH8GTFRCSWKMPXRRRFI","GSON1112030932")</f>
        <v>#NAME?</v>
      </c>
      <c r="G387" s="8" t="e">
        <f ca="1">[1]!BexGetData("DP_1","003N8EMH8GTFRCSWKMPXRRXR2","GSON1112030932")</f>
        <v>#NAME?</v>
      </c>
      <c r="H387" s="3" t="e">
        <f ca="1">[1]!BexGetData("DP_1","003N8EMH8GTFRCSWKMPXRS42M","GSON1112030932")</f>
        <v>#NAME?</v>
      </c>
      <c r="I387" s="3" t="e">
        <f ca="1">[1]!BexGetData("DP_1","003N8EMH8GTFRCSWKMPXRSAE6","GSON1112030932")</f>
        <v>#NAME?</v>
      </c>
      <c r="J387" s="4" t="e">
        <f ca="1">[1]!BexGetData("DP_1","003N8EMH8GTFRCSWKMPXRSGPQ","GSON1112030932")</f>
        <v>#NAME?</v>
      </c>
      <c r="K387" s="3" t="e">
        <f ca="1">[1]!BexGetData("DP_1","003N8EMH8GTFRIVNUPY288VJH","GSON1112030932")</f>
        <v>#NAME?</v>
      </c>
      <c r="L387" s="3" t="e">
        <f ca="1">[1]!BexGetData("DP_1","003N8EMH8GTFRIVNUPY2891V1","GSON1112030932")</f>
        <v>#NAME?</v>
      </c>
      <c r="M387" s="8" t="e">
        <f ca="1">[1]!BexGetData("DP_1","003N8EMH8GTFRIVOG7KG9IQXA","GSON1112030932")</f>
        <v>#NAME?</v>
      </c>
      <c r="N387" s="3" t="e">
        <f ca="1">[1]!BexGetData("DP_1","003N8EMH8GTFRIVOG7KG9IX8U","GSON1112030932")</f>
        <v>#NAME?</v>
      </c>
      <c r="O387" s="8" t="e">
        <f ca="1">[1]!BexGetData("DP_1","003N8EMH8GTFRIVOG7KG9J3KE","GSON1112030932")</f>
        <v>#NAME?</v>
      </c>
      <c r="P387" s="3" t="e">
        <f ca="1">[1]!BexGetData("DP_1","003N8EMH8GTFRIVOG7KG9J9VY","GSON1112030932")</f>
        <v>#NAME?</v>
      </c>
      <c r="Q387" s="4" t="e">
        <f ca="1">[1]!BexGetData("DP_1","00O2TNJGODT0G5Z4TTKYMM5MT","GSON1112030932")</f>
        <v>#NAME?</v>
      </c>
      <c r="R387" s="3" t="e">
        <f ca="1">[1]!BexGetData("DP_1","00O2TNJGODT0G5Z4TTKYMMBYD","GSON1112030932")</f>
        <v>#NAME?</v>
      </c>
      <c r="S387" s="3" t="e">
        <f ca="1">[1]!BexGetData("DP_1","00O2TNJGODT0G5Z4TTKYMMI9X","GSON1112030932")</f>
        <v>#NAME?</v>
      </c>
      <c r="T387" s="3" t="e">
        <f ca="1">[1]!BexGetData("DP_1","00O2TNJGODT0G5Z4TTKYMMOLH","GSON1112030932")</f>
        <v>#NAME?</v>
      </c>
      <c r="U387" s="8" t="e">
        <f ca="1">[1]!BexGetData("DP_1","00O2TNJGODT0G5Z4TTKYMMUX1","GSON1112030932")</f>
        <v>#NAME?</v>
      </c>
      <c r="V387" s="3" t="e">
        <f ca="1">[1]!BexGetData("DP_1","00O2TNJGODT0G5Z4TTKYMN18L","GSON1112030932")</f>
        <v>#NAME?</v>
      </c>
      <c r="W387" s="8" t="e">
        <f ca="1">[1]!BexGetData("DP_1","00O2TNJGODT0G5Z4TTKYMN7K5","GSON1112030932")</f>
        <v>#NAME?</v>
      </c>
    </row>
    <row r="388" spans="1:23" x14ac:dyDescent="0.2">
      <c r="A388" s="16" t="s">
        <v>2196</v>
      </c>
      <c r="B388" s="7" t="s">
        <v>2197</v>
      </c>
      <c r="C388" s="3" t="e">
        <f ca="1">[1]!BexGetData("DP_1","003N8EMH8GTFRCSWKMPXRR8GU","GSON1112030935")</f>
        <v>#NAME?</v>
      </c>
      <c r="D388" s="3" t="e">
        <f ca="1">[1]!BexGetData("DP_1","003N8EMH8GTFRCSWKMPXRRESE","GSON1112030935")</f>
        <v>#NAME?</v>
      </c>
      <c r="E388" s="8" t="e">
        <f ca="1">[1]!BexGetData("DP_1","003N8EMH8GTFRCSWKMPXRRL3Y","GSON1112030935")</f>
        <v>#NAME?</v>
      </c>
      <c r="F388" s="4" t="e">
        <f ca="1">[1]!BexGetData("DP_1","003N8EMH8GTFRCSWKMPXRRRFI","GSON1112030935")</f>
        <v>#NAME?</v>
      </c>
      <c r="G388" s="4" t="e">
        <f ca="1">[1]!BexGetData("DP_1","003N8EMH8GTFRCSWKMPXRRXR2","GSON1112030935")</f>
        <v>#NAME?</v>
      </c>
      <c r="H388" s="4" t="e">
        <f ca="1">[1]!BexGetData("DP_1","003N8EMH8GTFRCSWKMPXRS42M","GSON1112030935")</f>
        <v>#NAME?</v>
      </c>
      <c r="I388" s="4" t="e">
        <f ca="1">[1]!BexGetData("DP_1","003N8EMH8GTFRCSWKMPXRSAE6","GSON1112030935")</f>
        <v>#NAME?</v>
      </c>
      <c r="J388" s="4" t="e">
        <f ca="1">[1]!BexGetData("DP_1","003N8EMH8GTFRCSWKMPXRSGPQ","GSON1112030935")</f>
        <v>#NAME?</v>
      </c>
      <c r="K388" s="8" t="e">
        <f ca="1">[1]!BexGetData("DP_1","003N8EMH8GTFRIVNUPY288VJH","GSON1112030935")</f>
        <v>#NAME?</v>
      </c>
      <c r="L388" s="8" t="e">
        <f ca="1">[1]!BexGetData("DP_1","003N8EMH8GTFRIVNUPY2891V1","GSON1112030935")</f>
        <v>#NAME?</v>
      </c>
      <c r="M388" s="8" t="e">
        <f ca="1">[1]!BexGetData("DP_1","003N8EMH8GTFRIVOG7KG9IQXA","GSON1112030935")</f>
        <v>#NAME?</v>
      </c>
      <c r="N388" s="8" t="e">
        <f ca="1">[1]!BexGetData("DP_1","003N8EMH8GTFRIVOG7KG9IX8U","GSON1112030935")</f>
        <v>#NAME?</v>
      </c>
      <c r="O388" s="8" t="e">
        <f ca="1">[1]!BexGetData("DP_1","003N8EMH8GTFRIVOG7KG9J3KE","GSON1112030935")</f>
        <v>#NAME?</v>
      </c>
      <c r="P388" s="8" t="e">
        <f ca="1">[1]!BexGetData("DP_1","003N8EMH8GTFRIVOG7KG9J9VY","GSON1112030935")</f>
        <v>#NAME?</v>
      </c>
      <c r="Q388" s="4" t="e">
        <f ca="1">[1]!BexGetData("DP_1","00O2TNJGODT0G5Z4TTKYMM5MT","GSON1112030935")</f>
        <v>#NAME?</v>
      </c>
      <c r="R388" s="4" t="e">
        <f ca="1">[1]!BexGetData("DP_1","00O2TNJGODT0G5Z4TTKYMMBYD","GSON1112030935")</f>
        <v>#NAME?</v>
      </c>
      <c r="S388" s="4" t="e">
        <f ca="1">[1]!BexGetData("DP_1","00O2TNJGODT0G5Z4TTKYMMI9X","GSON1112030935")</f>
        <v>#NAME?</v>
      </c>
      <c r="T388" s="4" t="e">
        <f ca="1">[1]!BexGetData("DP_1","00O2TNJGODT0G5Z4TTKYMMOLH","GSON1112030935")</f>
        <v>#NAME?</v>
      </c>
      <c r="U388" s="4" t="e">
        <f ca="1">[1]!BexGetData("DP_1","00O2TNJGODT0G5Z4TTKYMMUX1","GSON1112030935")</f>
        <v>#NAME?</v>
      </c>
      <c r="V388" s="4" t="e">
        <f ca="1">[1]!BexGetData("DP_1","00O2TNJGODT0G5Z4TTKYMN18L","GSON1112030935")</f>
        <v>#NAME?</v>
      </c>
      <c r="W388" s="4" t="e">
        <f ca="1">[1]!BexGetData("DP_1","00O2TNJGODT0G5Z4TTKYMN7K5","GSON1112030935")</f>
        <v>#NAME?</v>
      </c>
    </row>
    <row r="389" spans="1:23" x14ac:dyDescent="0.2">
      <c r="A389" s="16" t="s">
        <v>2198</v>
      </c>
      <c r="B389" s="7" t="s">
        <v>920</v>
      </c>
      <c r="C389" s="3" t="e">
        <f ca="1">[1]!BexGetData("DP_1","003N8EMH8GTFRCSWKMPXRR8GU","GSON1112030940")</f>
        <v>#NAME?</v>
      </c>
      <c r="D389" s="3" t="e">
        <f ca="1">[1]!BexGetData("DP_1","003N8EMH8GTFRCSWKMPXRRESE","GSON1112030940")</f>
        <v>#NAME?</v>
      </c>
      <c r="E389" s="8" t="e">
        <f ca="1">[1]!BexGetData("DP_1","003N8EMH8GTFRCSWKMPXRRL3Y","GSON1112030940")</f>
        <v>#NAME?</v>
      </c>
      <c r="F389" s="3" t="e">
        <f ca="1">[1]!BexGetData("DP_1","003N8EMH8GTFRCSWKMPXRRRFI","GSON1112030940")</f>
        <v>#NAME?</v>
      </c>
      <c r="G389" s="3" t="e">
        <f ca="1">[1]!BexGetData("DP_1","003N8EMH8GTFRCSWKMPXRRXR2","GSON1112030940")</f>
        <v>#NAME?</v>
      </c>
      <c r="H389" s="8" t="e">
        <f ca="1">[1]!BexGetData("DP_1","003N8EMH8GTFRCSWKMPXRS42M","GSON1112030940")</f>
        <v>#NAME?</v>
      </c>
      <c r="I389" s="3" t="e">
        <f ca="1">[1]!BexGetData("DP_1","003N8EMH8GTFRCSWKMPXRSAE6","GSON1112030940")</f>
        <v>#NAME?</v>
      </c>
      <c r="J389" s="4" t="e">
        <f ca="1">[1]!BexGetData("DP_1","003N8EMH8GTFRCSWKMPXRSGPQ","GSON1112030940")</f>
        <v>#NAME?</v>
      </c>
      <c r="K389" s="3" t="e">
        <f ca="1">[1]!BexGetData("DP_1","003N8EMH8GTFRIVNUPY288VJH","GSON1112030940")</f>
        <v>#NAME?</v>
      </c>
      <c r="L389" s="3" t="e">
        <f ca="1">[1]!BexGetData("DP_1","003N8EMH8GTFRIVNUPY2891V1","GSON1112030940")</f>
        <v>#NAME?</v>
      </c>
      <c r="M389" s="3" t="e">
        <f ca="1">[1]!BexGetData("DP_1","003N8EMH8GTFRIVOG7KG9IQXA","GSON1112030940")</f>
        <v>#NAME?</v>
      </c>
      <c r="N389" s="8" t="e">
        <f ca="1">[1]!BexGetData("DP_1","003N8EMH8GTFRIVOG7KG9IX8U","GSON1112030940")</f>
        <v>#NAME?</v>
      </c>
      <c r="O389" s="3" t="e">
        <f ca="1">[1]!BexGetData("DP_1","003N8EMH8GTFRIVOG7KG9J3KE","GSON1112030940")</f>
        <v>#NAME?</v>
      </c>
      <c r="P389" s="8" t="e">
        <f ca="1">[1]!BexGetData("DP_1","003N8EMH8GTFRIVOG7KG9J9VY","GSON1112030940")</f>
        <v>#NAME?</v>
      </c>
      <c r="Q389" s="4" t="e">
        <f ca="1">[1]!BexGetData("DP_1","00O2TNJGODT0G5Z4TTKYMM5MT","GSON1112030940")</f>
        <v>#NAME?</v>
      </c>
      <c r="R389" s="3" t="e">
        <f ca="1">[1]!BexGetData("DP_1","00O2TNJGODT0G5Z4TTKYMMBYD","GSON1112030940")</f>
        <v>#NAME?</v>
      </c>
      <c r="S389" s="3" t="e">
        <f ca="1">[1]!BexGetData("DP_1","00O2TNJGODT0G5Z4TTKYMMI9X","GSON1112030940")</f>
        <v>#NAME?</v>
      </c>
      <c r="T389" s="8" t="e">
        <f ca="1">[1]!BexGetData("DP_1","00O2TNJGODT0G5Z4TTKYMMOLH","GSON1112030940")</f>
        <v>#NAME?</v>
      </c>
      <c r="U389" s="3" t="e">
        <f ca="1">[1]!BexGetData("DP_1","00O2TNJGODT0G5Z4TTKYMMUX1","GSON1112030940")</f>
        <v>#NAME?</v>
      </c>
      <c r="V389" s="8" t="e">
        <f ca="1">[1]!BexGetData("DP_1","00O2TNJGODT0G5Z4TTKYMN18L","GSON1112030940")</f>
        <v>#NAME?</v>
      </c>
      <c r="W389" s="3" t="e">
        <f ca="1">[1]!BexGetData("DP_1","00O2TNJGODT0G5Z4TTKYMN7K5","GSON1112030940")</f>
        <v>#NAME?</v>
      </c>
    </row>
    <row r="390" spans="1:23" x14ac:dyDescent="0.2">
      <c r="A390" s="16" t="s">
        <v>2199</v>
      </c>
      <c r="B390" s="7" t="s">
        <v>921</v>
      </c>
      <c r="C390" s="3" t="e">
        <f ca="1">[1]!BexGetData("DP_1","003N8EMH8GTFRCSWKMPXRR8GU","GSON1112030941")</f>
        <v>#NAME?</v>
      </c>
      <c r="D390" s="3" t="e">
        <f ca="1">[1]!BexGetData("DP_1","003N8EMH8GTFRCSWKMPXRRESE","GSON1112030941")</f>
        <v>#NAME?</v>
      </c>
      <c r="E390" s="8" t="e">
        <f ca="1">[1]!BexGetData("DP_1","003N8EMH8GTFRCSWKMPXRRL3Y","GSON1112030941")</f>
        <v>#NAME?</v>
      </c>
      <c r="F390" s="4" t="e">
        <f ca="1">[1]!BexGetData("DP_1","003N8EMH8GTFRCSWKMPXRRRFI","GSON1112030941")</f>
        <v>#NAME?</v>
      </c>
      <c r="G390" s="4" t="e">
        <f ca="1">[1]!BexGetData("DP_1","003N8EMH8GTFRCSWKMPXRRXR2","GSON1112030941")</f>
        <v>#NAME?</v>
      </c>
      <c r="H390" s="4" t="e">
        <f ca="1">[1]!BexGetData("DP_1","003N8EMH8GTFRCSWKMPXRS42M","GSON1112030941")</f>
        <v>#NAME?</v>
      </c>
      <c r="I390" s="4" t="e">
        <f ca="1">[1]!BexGetData("DP_1","003N8EMH8GTFRCSWKMPXRSAE6","GSON1112030941")</f>
        <v>#NAME?</v>
      </c>
      <c r="J390" s="4" t="e">
        <f ca="1">[1]!BexGetData("DP_1","003N8EMH8GTFRCSWKMPXRSGPQ","GSON1112030941")</f>
        <v>#NAME?</v>
      </c>
      <c r="K390" s="8" t="e">
        <f ca="1">[1]!BexGetData("DP_1","003N8EMH8GTFRIVNUPY288VJH","GSON1112030941")</f>
        <v>#NAME?</v>
      </c>
      <c r="L390" s="8" t="e">
        <f ca="1">[1]!BexGetData("DP_1","003N8EMH8GTFRIVNUPY2891V1","GSON1112030941")</f>
        <v>#NAME?</v>
      </c>
      <c r="M390" s="8" t="e">
        <f ca="1">[1]!BexGetData("DP_1","003N8EMH8GTFRIVOG7KG9IQXA","GSON1112030941")</f>
        <v>#NAME?</v>
      </c>
      <c r="N390" s="8" t="e">
        <f ca="1">[1]!BexGetData("DP_1","003N8EMH8GTFRIVOG7KG9IX8U","GSON1112030941")</f>
        <v>#NAME?</v>
      </c>
      <c r="O390" s="8" t="e">
        <f ca="1">[1]!BexGetData("DP_1","003N8EMH8GTFRIVOG7KG9J3KE","GSON1112030941")</f>
        <v>#NAME?</v>
      </c>
      <c r="P390" s="8" t="e">
        <f ca="1">[1]!BexGetData("DP_1","003N8EMH8GTFRIVOG7KG9J9VY","GSON1112030941")</f>
        <v>#NAME?</v>
      </c>
      <c r="Q390" s="4" t="e">
        <f ca="1">[1]!BexGetData("DP_1","00O2TNJGODT0G5Z4TTKYMM5MT","GSON1112030941")</f>
        <v>#NAME?</v>
      </c>
      <c r="R390" s="4" t="e">
        <f ca="1">[1]!BexGetData("DP_1","00O2TNJGODT0G5Z4TTKYMMBYD","GSON1112030941")</f>
        <v>#NAME?</v>
      </c>
      <c r="S390" s="4" t="e">
        <f ca="1">[1]!BexGetData("DP_1","00O2TNJGODT0G5Z4TTKYMMI9X","GSON1112030941")</f>
        <v>#NAME?</v>
      </c>
      <c r="T390" s="4" t="e">
        <f ca="1">[1]!BexGetData("DP_1","00O2TNJGODT0G5Z4TTKYMMOLH","GSON1112030941")</f>
        <v>#NAME?</v>
      </c>
      <c r="U390" s="4" t="e">
        <f ca="1">[1]!BexGetData("DP_1","00O2TNJGODT0G5Z4TTKYMMUX1","GSON1112030941")</f>
        <v>#NAME?</v>
      </c>
      <c r="V390" s="4" t="e">
        <f ca="1">[1]!BexGetData("DP_1","00O2TNJGODT0G5Z4TTKYMN18L","GSON1112030941")</f>
        <v>#NAME?</v>
      </c>
      <c r="W390" s="4" t="e">
        <f ca="1">[1]!BexGetData("DP_1","00O2TNJGODT0G5Z4TTKYMN7K5","GSON1112030941")</f>
        <v>#NAME?</v>
      </c>
    </row>
    <row r="391" spans="1:23" x14ac:dyDescent="0.2">
      <c r="A391" s="16" t="s">
        <v>2200</v>
      </c>
      <c r="B391" s="7" t="s">
        <v>2201</v>
      </c>
      <c r="C391" s="3" t="e">
        <f ca="1">[1]!BexGetData("DP_1","003N8EMH8GTFRCSWKMPXRR8GU","GSON1112030942")</f>
        <v>#NAME?</v>
      </c>
      <c r="D391" s="3" t="e">
        <f ca="1">[1]!BexGetData("DP_1","003N8EMH8GTFRCSWKMPXRRESE","GSON1112030942")</f>
        <v>#NAME?</v>
      </c>
      <c r="E391" s="8" t="e">
        <f ca="1">[1]!BexGetData("DP_1","003N8EMH8GTFRCSWKMPXRRL3Y","GSON1112030942")</f>
        <v>#NAME?</v>
      </c>
      <c r="F391" s="4" t="e">
        <f ca="1">[1]!BexGetData("DP_1","003N8EMH8GTFRCSWKMPXRRRFI","GSON1112030942")</f>
        <v>#NAME?</v>
      </c>
      <c r="G391" s="4" t="e">
        <f ca="1">[1]!BexGetData("DP_1","003N8EMH8GTFRCSWKMPXRRXR2","GSON1112030942")</f>
        <v>#NAME?</v>
      </c>
      <c r="H391" s="4" t="e">
        <f ca="1">[1]!BexGetData("DP_1","003N8EMH8GTFRCSWKMPXRS42M","GSON1112030942")</f>
        <v>#NAME?</v>
      </c>
      <c r="I391" s="4" t="e">
        <f ca="1">[1]!BexGetData("DP_1","003N8EMH8GTFRCSWKMPXRSAE6","GSON1112030942")</f>
        <v>#NAME?</v>
      </c>
      <c r="J391" s="4" t="e">
        <f ca="1">[1]!BexGetData("DP_1","003N8EMH8GTFRCSWKMPXRSGPQ","GSON1112030942")</f>
        <v>#NAME?</v>
      </c>
      <c r="K391" s="8" t="e">
        <f ca="1">[1]!BexGetData("DP_1","003N8EMH8GTFRIVNUPY288VJH","GSON1112030942")</f>
        <v>#NAME?</v>
      </c>
      <c r="L391" s="8" t="e">
        <f ca="1">[1]!BexGetData("DP_1","003N8EMH8GTFRIVNUPY2891V1","GSON1112030942")</f>
        <v>#NAME?</v>
      </c>
      <c r="M391" s="8" t="e">
        <f ca="1">[1]!BexGetData("DP_1","003N8EMH8GTFRIVOG7KG9IQXA","GSON1112030942")</f>
        <v>#NAME?</v>
      </c>
      <c r="N391" s="8" t="e">
        <f ca="1">[1]!BexGetData("DP_1","003N8EMH8GTFRIVOG7KG9IX8U","GSON1112030942")</f>
        <v>#NAME?</v>
      </c>
      <c r="O391" s="8" t="e">
        <f ca="1">[1]!BexGetData("DP_1","003N8EMH8GTFRIVOG7KG9J3KE","GSON1112030942")</f>
        <v>#NAME?</v>
      </c>
      <c r="P391" s="8" t="e">
        <f ca="1">[1]!BexGetData("DP_1","003N8EMH8GTFRIVOG7KG9J9VY","GSON1112030942")</f>
        <v>#NAME?</v>
      </c>
      <c r="Q391" s="4" t="e">
        <f ca="1">[1]!BexGetData("DP_1","00O2TNJGODT0G5Z4TTKYMM5MT","GSON1112030942")</f>
        <v>#NAME?</v>
      </c>
      <c r="R391" s="4" t="e">
        <f ca="1">[1]!BexGetData("DP_1","00O2TNJGODT0G5Z4TTKYMMBYD","GSON1112030942")</f>
        <v>#NAME?</v>
      </c>
      <c r="S391" s="4" t="e">
        <f ca="1">[1]!BexGetData("DP_1","00O2TNJGODT0G5Z4TTKYMMI9X","GSON1112030942")</f>
        <v>#NAME?</v>
      </c>
      <c r="T391" s="4" t="e">
        <f ca="1">[1]!BexGetData("DP_1","00O2TNJGODT0G5Z4TTKYMMOLH","GSON1112030942")</f>
        <v>#NAME?</v>
      </c>
      <c r="U391" s="4" t="e">
        <f ca="1">[1]!BexGetData("DP_1","00O2TNJGODT0G5Z4TTKYMMUX1","GSON1112030942")</f>
        <v>#NAME?</v>
      </c>
      <c r="V391" s="4" t="e">
        <f ca="1">[1]!BexGetData("DP_1","00O2TNJGODT0G5Z4TTKYMN18L","GSON1112030942")</f>
        <v>#NAME?</v>
      </c>
      <c r="W391" s="4" t="e">
        <f ca="1">[1]!BexGetData("DP_1","00O2TNJGODT0G5Z4TTKYMN7K5","GSON1112030942")</f>
        <v>#NAME?</v>
      </c>
    </row>
    <row r="392" spans="1:23" x14ac:dyDescent="0.2">
      <c r="A392" s="16" t="s">
        <v>2202</v>
      </c>
      <c r="B392" s="7" t="s">
        <v>2203</v>
      </c>
      <c r="C392" s="3" t="e">
        <f ca="1">[1]!BexGetData("DP_1","003N8EMH8GTFRCSWKMPXRR8GU","GSON1112030943")</f>
        <v>#NAME?</v>
      </c>
      <c r="D392" s="3" t="e">
        <f ca="1">[1]!BexGetData("DP_1","003N8EMH8GTFRCSWKMPXRRESE","GSON1112030943")</f>
        <v>#NAME?</v>
      </c>
      <c r="E392" s="8" t="e">
        <f ca="1">[1]!BexGetData("DP_1","003N8EMH8GTFRCSWKMPXRRL3Y","GSON1112030943")</f>
        <v>#NAME?</v>
      </c>
      <c r="F392" s="4" t="e">
        <f ca="1">[1]!BexGetData("DP_1","003N8EMH8GTFRCSWKMPXRRRFI","GSON1112030943")</f>
        <v>#NAME?</v>
      </c>
      <c r="G392" s="4" t="e">
        <f ca="1">[1]!BexGetData("DP_1","003N8EMH8GTFRCSWKMPXRRXR2","GSON1112030943")</f>
        <v>#NAME?</v>
      </c>
      <c r="H392" s="4" t="e">
        <f ca="1">[1]!BexGetData("DP_1","003N8EMH8GTFRCSWKMPXRS42M","GSON1112030943")</f>
        <v>#NAME?</v>
      </c>
      <c r="I392" s="4" t="e">
        <f ca="1">[1]!BexGetData("DP_1","003N8EMH8GTFRCSWKMPXRSAE6","GSON1112030943")</f>
        <v>#NAME?</v>
      </c>
      <c r="J392" s="4" t="e">
        <f ca="1">[1]!BexGetData("DP_1","003N8EMH8GTFRCSWKMPXRSGPQ","GSON1112030943")</f>
        <v>#NAME?</v>
      </c>
      <c r="K392" s="8" t="e">
        <f ca="1">[1]!BexGetData("DP_1","003N8EMH8GTFRIVNUPY288VJH","GSON1112030943")</f>
        <v>#NAME?</v>
      </c>
      <c r="L392" s="8" t="e">
        <f ca="1">[1]!BexGetData("DP_1","003N8EMH8GTFRIVNUPY2891V1","GSON1112030943")</f>
        <v>#NAME?</v>
      </c>
      <c r="M392" s="8" t="e">
        <f ca="1">[1]!BexGetData("DP_1","003N8EMH8GTFRIVOG7KG9IQXA","GSON1112030943")</f>
        <v>#NAME?</v>
      </c>
      <c r="N392" s="8" t="e">
        <f ca="1">[1]!BexGetData("DP_1","003N8EMH8GTFRIVOG7KG9IX8U","GSON1112030943")</f>
        <v>#NAME?</v>
      </c>
      <c r="O392" s="8" t="e">
        <f ca="1">[1]!BexGetData("DP_1","003N8EMH8GTFRIVOG7KG9J3KE","GSON1112030943")</f>
        <v>#NAME?</v>
      </c>
      <c r="P392" s="8" t="e">
        <f ca="1">[1]!BexGetData("DP_1","003N8EMH8GTFRIVOG7KG9J9VY","GSON1112030943")</f>
        <v>#NAME?</v>
      </c>
      <c r="Q392" s="4" t="e">
        <f ca="1">[1]!BexGetData("DP_1","00O2TNJGODT0G5Z4TTKYMM5MT","GSON1112030943")</f>
        <v>#NAME?</v>
      </c>
      <c r="R392" s="4" t="e">
        <f ca="1">[1]!BexGetData("DP_1","00O2TNJGODT0G5Z4TTKYMMBYD","GSON1112030943")</f>
        <v>#NAME?</v>
      </c>
      <c r="S392" s="4" t="e">
        <f ca="1">[1]!BexGetData("DP_1","00O2TNJGODT0G5Z4TTKYMMI9X","GSON1112030943")</f>
        <v>#NAME?</v>
      </c>
      <c r="T392" s="4" t="e">
        <f ca="1">[1]!BexGetData("DP_1","00O2TNJGODT0G5Z4TTKYMMOLH","GSON1112030943")</f>
        <v>#NAME?</v>
      </c>
      <c r="U392" s="4" t="e">
        <f ca="1">[1]!BexGetData("DP_1","00O2TNJGODT0G5Z4TTKYMMUX1","GSON1112030943")</f>
        <v>#NAME?</v>
      </c>
      <c r="V392" s="4" t="e">
        <f ca="1">[1]!BexGetData("DP_1","00O2TNJGODT0G5Z4TTKYMN18L","GSON1112030943")</f>
        <v>#NAME?</v>
      </c>
      <c r="W392" s="4" t="e">
        <f ca="1">[1]!BexGetData("DP_1","00O2TNJGODT0G5Z4TTKYMN7K5","GSON1112030943")</f>
        <v>#NAME?</v>
      </c>
    </row>
    <row r="393" spans="1:23" x14ac:dyDescent="0.2">
      <c r="A393" s="16" t="s">
        <v>2204</v>
      </c>
      <c r="B393" s="7" t="s">
        <v>922</v>
      </c>
      <c r="C393" s="3" t="e">
        <f ca="1">[1]!BexGetData("DP_1","003N8EMH8GTFRCSWKMPXRR8GU","GSON1112030944")</f>
        <v>#NAME?</v>
      </c>
      <c r="D393" s="3" t="e">
        <f ca="1">[1]!BexGetData("DP_1","003N8EMH8GTFRCSWKMPXRRESE","GSON1112030944")</f>
        <v>#NAME?</v>
      </c>
      <c r="E393" s="8" t="e">
        <f ca="1">[1]!BexGetData("DP_1","003N8EMH8GTFRCSWKMPXRRL3Y","GSON1112030944")</f>
        <v>#NAME?</v>
      </c>
      <c r="F393" s="4" t="e">
        <f ca="1">[1]!BexGetData("DP_1","003N8EMH8GTFRCSWKMPXRRRFI","GSON1112030944")</f>
        <v>#NAME?</v>
      </c>
      <c r="G393" s="4" t="e">
        <f ca="1">[1]!BexGetData("DP_1","003N8EMH8GTFRCSWKMPXRRXR2","GSON1112030944")</f>
        <v>#NAME?</v>
      </c>
      <c r="H393" s="4" t="e">
        <f ca="1">[1]!BexGetData("DP_1","003N8EMH8GTFRCSWKMPXRS42M","GSON1112030944")</f>
        <v>#NAME?</v>
      </c>
      <c r="I393" s="4" t="e">
        <f ca="1">[1]!BexGetData("DP_1","003N8EMH8GTFRCSWKMPXRSAE6","GSON1112030944")</f>
        <v>#NAME?</v>
      </c>
      <c r="J393" s="4" t="e">
        <f ca="1">[1]!BexGetData("DP_1","003N8EMH8GTFRCSWKMPXRSGPQ","GSON1112030944")</f>
        <v>#NAME?</v>
      </c>
      <c r="K393" s="8" t="e">
        <f ca="1">[1]!BexGetData("DP_1","003N8EMH8GTFRIVNUPY288VJH","GSON1112030944")</f>
        <v>#NAME?</v>
      </c>
      <c r="L393" s="8" t="e">
        <f ca="1">[1]!BexGetData("DP_1","003N8EMH8GTFRIVNUPY2891V1","GSON1112030944")</f>
        <v>#NAME?</v>
      </c>
      <c r="M393" s="8" t="e">
        <f ca="1">[1]!BexGetData("DP_1","003N8EMH8GTFRIVOG7KG9IQXA","GSON1112030944")</f>
        <v>#NAME?</v>
      </c>
      <c r="N393" s="8" t="e">
        <f ca="1">[1]!BexGetData("DP_1","003N8EMH8GTFRIVOG7KG9IX8U","GSON1112030944")</f>
        <v>#NAME?</v>
      </c>
      <c r="O393" s="8" t="e">
        <f ca="1">[1]!BexGetData("DP_1","003N8EMH8GTFRIVOG7KG9J3KE","GSON1112030944")</f>
        <v>#NAME?</v>
      </c>
      <c r="P393" s="8" t="e">
        <f ca="1">[1]!BexGetData("DP_1","003N8EMH8GTFRIVOG7KG9J9VY","GSON1112030944")</f>
        <v>#NAME?</v>
      </c>
      <c r="Q393" s="4" t="e">
        <f ca="1">[1]!BexGetData("DP_1","00O2TNJGODT0G5Z4TTKYMM5MT","GSON1112030944")</f>
        <v>#NAME?</v>
      </c>
      <c r="R393" s="4" t="e">
        <f ca="1">[1]!BexGetData("DP_1","00O2TNJGODT0G5Z4TTKYMMBYD","GSON1112030944")</f>
        <v>#NAME?</v>
      </c>
      <c r="S393" s="4" t="e">
        <f ca="1">[1]!BexGetData("DP_1","00O2TNJGODT0G5Z4TTKYMMI9X","GSON1112030944")</f>
        <v>#NAME?</v>
      </c>
      <c r="T393" s="4" t="e">
        <f ca="1">[1]!BexGetData("DP_1","00O2TNJGODT0G5Z4TTKYMMOLH","GSON1112030944")</f>
        <v>#NAME?</v>
      </c>
      <c r="U393" s="4" t="e">
        <f ca="1">[1]!BexGetData("DP_1","00O2TNJGODT0G5Z4TTKYMMUX1","GSON1112030944")</f>
        <v>#NAME?</v>
      </c>
      <c r="V393" s="4" t="e">
        <f ca="1">[1]!BexGetData("DP_1","00O2TNJGODT0G5Z4TTKYMN18L","GSON1112030944")</f>
        <v>#NAME?</v>
      </c>
      <c r="W393" s="4" t="e">
        <f ca="1">[1]!BexGetData("DP_1","00O2TNJGODT0G5Z4TTKYMN7K5","GSON1112030944")</f>
        <v>#NAME?</v>
      </c>
    </row>
    <row r="394" spans="1:23" x14ac:dyDescent="0.2">
      <c r="A394" s="16" t="s">
        <v>2205</v>
      </c>
      <c r="B394" s="7" t="s">
        <v>2206</v>
      </c>
      <c r="C394" s="3" t="e">
        <f ca="1">[1]!BexGetData("DP_1","003N8EMH8GTFRCSWKMPXRR8GU","GSON1112030945")</f>
        <v>#NAME?</v>
      </c>
      <c r="D394" s="3" t="e">
        <f ca="1">[1]!BexGetData("DP_1","003N8EMH8GTFRCSWKMPXRRESE","GSON1112030945")</f>
        <v>#NAME?</v>
      </c>
      <c r="E394" s="8" t="e">
        <f ca="1">[1]!BexGetData("DP_1","003N8EMH8GTFRCSWKMPXRRL3Y","GSON1112030945")</f>
        <v>#NAME?</v>
      </c>
      <c r="F394" s="4" t="e">
        <f ca="1">[1]!BexGetData("DP_1","003N8EMH8GTFRCSWKMPXRRRFI","GSON1112030945")</f>
        <v>#NAME?</v>
      </c>
      <c r="G394" s="4" t="e">
        <f ca="1">[1]!BexGetData("DP_1","003N8EMH8GTFRCSWKMPXRRXR2","GSON1112030945")</f>
        <v>#NAME?</v>
      </c>
      <c r="H394" s="4" t="e">
        <f ca="1">[1]!BexGetData("DP_1","003N8EMH8GTFRCSWKMPXRS42M","GSON1112030945")</f>
        <v>#NAME?</v>
      </c>
      <c r="I394" s="4" t="e">
        <f ca="1">[1]!BexGetData("DP_1","003N8EMH8GTFRCSWKMPXRSAE6","GSON1112030945")</f>
        <v>#NAME?</v>
      </c>
      <c r="J394" s="4" t="e">
        <f ca="1">[1]!BexGetData("DP_1","003N8EMH8GTFRCSWKMPXRSGPQ","GSON1112030945")</f>
        <v>#NAME?</v>
      </c>
      <c r="K394" s="8" t="e">
        <f ca="1">[1]!BexGetData("DP_1","003N8EMH8GTFRIVNUPY288VJH","GSON1112030945")</f>
        <v>#NAME?</v>
      </c>
      <c r="L394" s="8" t="e">
        <f ca="1">[1]!BexGetData("DP_1","003N8EMH8GTFRIVNUPY2891V1","GSON1112030945")</f>
        <v>#NAME?</v>
      </c>
      <c r="M394" s="8" t="e">
        <f ca="1">[1]!BexGetData("DP_1","003N8EMH8GTFRIVOG7KG9IQXA","GSON1112030945")</f>
        <v>#NAME?</v>
      </c>
      <c r="N394" s="8" t="e">
        <f ca="1">[1]!BexGetData("DP_1","003N8EMH8GTFRIVOG7KG9IX8U","GSON1112030945")</f>
        <v>#NAME?</v>
      </c>
      <c r="O394" s="8" t="e">
        <f ca="1">[1]!BexGetData("DP_1","003N8EMH8GTFRIVOG7KG9J3KE","GSON1112030945")</f>
        <v>#NAME?</v>
      </c>
      <c r="P394" s="8" t="e">
        <f ca="1">[1]!BexGetData("DP_1","003N8EMH8GTFRIVOG7KG9J9VY","GSON1112030945")</f>
        <v>#NAME?</v>
      </c>
      <c r="Q394" s="4" t="e">
        <f ca="1">[1]!BexGetData("DP_1","00O2TNJGODT0G5Z4TTKYMM5MT","GSON1112030945")</f>
        <v>#NAME?</v>
      </c>
      <c r="R394" s="4" t="e">
        <f ca="1">[1]!BexGetData("DP_1","00O2TNJGODT0G5Z4TTKYMMBYD","GSON1112030945")</f>
        <v>#NAME?</v>
      </c>
      <c r="S394" s="4" t="e">
        <f ca="1">[1]!BexGetData("DP_1","00O2TNJGODT0G5Z4TTKYMMI9X","GSON1112030945")</f>
        <v>#NAME?</v>
      </c>
      <c r="T394" s="4" t="e">
        <f ca="1">[1]!BexGetData("DP_1","00O2TNJGODT0G5Z4TTKYMMOLH","GSON1112030945")</f>
        <v>#NAME?</v>
      </c>
      <c r="U394" s="4" t="e">
        <f ca="1">[1]!BexGetData("DP_1","00O2TNJGODT0G5Z4TTKYMMUX1","GSON1112030945")</f>
        <v>#NAME?</v>
      </c>
      <c r="V394" s="4" t="e">
        <f ca="1">[1]!BexGetData("DP_1","00O2TNJGODT0G5Z4TTKYMN18L","GSON1112030945")</f>
        <v>#NAME?</v>
      </c>
      <c r="W394" s="4" t="e">
        <f ca="1">[1]!BexGetData("DP_1","00O2TNJGODT0G5Z4TTKYMN7K5","GSON1112030945")</f>
        <v>#NAME?</v>
      </c>
    </row>
    <row r="395" spans="1:23" x14ac:dyDescent="0.2">
      <c r="A395" s="16" t="s">
        <v>2207</v>
      </c>
      <c r="B395" s="7" t="s">
        <v>2208</v>
      </c>
      <c r="C395" s="8" t="e">
        <f ca="1">[1]!BexGetData("DP_1","003N8EMH8GTFRCSWKMPXRR8GU","GSON1112030950")</f>
        <v>#NAME?</v>
      </c>
      <c r="D395" s="3" t="e">
        <f ca="1">[1]!BexGetData("DP_1","003N8EMH8GTFRCSWKMPXRRESE","GSON1112030950")</f>
        <v>#NAME?</v>
      </c>
      <c r="E395" s="8" t="e">
        <f ca="1">[1]!BexGetData("DP_1","003N8EMH8GTFRCSWKMPXRRL3Y","GSON1112030950")</f>
        <v>#NAME?</v>
      </c>
      <c r="F395" s="3" t="e">
        <f ca="1">[1]!BexGetData("DP_1","003N8EMH8GTFRCSWKMPXRRRFI","GSON1112030950")</f>
        <v>#NAME?</v>
      </c>
      <c r="G395" s="3" t="e">
        <f ca="1">[1]!BexGetData("DP_1","003N8EMH8GTFRCSWKMPXRRXR2","GSON1112030950")</f>
        <v>#NAME?</v>
      </c>
      <c r="H395" s="8" t="e">
        <f ca="1">[1]!BexGetData("DP_1","003N8EMH8GTFRCSWKMPXRS42M","GSON1112030950")</f>
        <v>#NAME?</v>
      </c>
      <c r="I395" s="3" t="e">
        <f ca="1">[1]!BexGetData("DP_1","003N8EMH8GTFRCSWKMPXRSAE6","GSON1112030950")</f>
        <v>#NAME?</v>
      </c>
      <c r="J395" s="4" t="e">
        <f ca="1">[1]!BexGetData("DP_1","003N8EMH8GTFRCSWKMPXRSGPQ","GSON1112030950")</f>
        <v>#NAME?</v>
      </c>
      <c r="K395" s="3" t="e">
        <f ca="1">[1]!BexGetData("DP_1","003N8EMH8GTFRIVNUPY288VJH","GSON1112030950")</f>
        <v>#NAME?</v>
      </c>
      <c r="L395" s="3" t="e">
        <f ca="1">[1]!BexGetData("DP_1","003N8EMH8GTFRIVNUPY2891V1","GSON1112030950")</f>
        <v>#NAME?</v>
      </c>
      <c r="M395" s="3" t="e">
        <f ca="1">[1]!BexGetData("DP_1","003N8EMH8GTFRIVOG7KG9IQXA","GSON1112030950")</f>
        <v>#NAME?</v>
      </c>
      <c r="N395" s="8" t="e">
        <f ca="1">[1]!BexGetData("DP_1","003N8EMH8GTFRIVOG7KG9IX8U","GSON1112030950")</f>
        <v>#NAME?</v>
      </c>
      <c r="O395" s="3" t="e">
        <f ca="1">[1]!BexGetData("DP_1","003N8EMH8GTFRIVOG7KG9J3KE","GSON1112030950")</f>
        <v>#NAME?</v>
      </c>
      <c r="P395" s="8" t="e">
        <f ca="1">[1]!BexGetData("DP_1","003N8EMH8GTFRIVOG7KG9J9VY","GSON1112030950")</f>
        <v>#NAME?</v>
      </c>
      <c r="Q395" s="4" t="e">
        <f ca="1">[1]!BexGetData("DP_1","00O2TNJGODT0G5Z4TTKYMM5MT","GSON1112030950")</f>
        <v>#NAME?</v>
      </c>
      <c r="R395" s="3" t="e">
        <f ca="1">[1]!BexGetData("DP_1","00O2TNJGODT0G5Z4TTKYMMBYD","GSON1112030950")</f>
        <v>#NAME?</v>
      </c>
      <c r="S395" s="3" t="e">
        <f ca="1">[1]!BexGetData("DP_1","00O2TNJGODT0G5Z4TTKYMMI9X","GSON1112030950")</f>
        <v>#NAME?</v>
      </c>
      <c r="T395" s="8" t="e">
        <f ca="1">[1]!BexGetData("DP_1","00O2TNJGODT0G5Z4TTKYMMOLH","GSON1112030950")</f>
        <v>#NAME?</v>
      </c>
      <c r="U395" s="3" t="e">
        <f ca="1">[1]!BexGetData("DP_1","00O2TNJGODT0G5Z4TTKYMMUX1","GSON1112030950")</f>
        <v>#NAME?</v>
      </c>
      <c r="V395" s="8" t="e">
        <f ca="1">[1]!BexGetData("DP_1","00O2TNJGODT0G5Z4TTKYMN18L","GSON1112030950")</f>
        <v>#NAME?</v>
      </c>
      <c r="W395" s="3" t="e">
        <f ca="1">[1]!BexGetData("DP_1","00O2TNJGODT0G5Z4TTKYMN7K5","GSON1112030950")</f>
        <v>#NAME?</v>
      </c>
    </row>
    <row r="396" spans="1:23" x14ac:dyDescent="0.2">
      <c r="A396" s="16" t="s">
        <v>2209</v>
      </c>
      <c r="B396" s="7" t="s">
        <v>2210</v>
      </c>
      <c r="C396" s="3" t="e">
        <f ca="1">[1]!BexGetData("DP_1","003N8EMH8GTFRCSWKMPXRR8GU","GSON1112030953")</f>
        <v>#NAME?</v>
      </c>
      <c r="D396" s="3" t="e">
        <f ca="1">[1]!BexGetData("DP_1","003N8EMH8GTFRCSWKMPXRRESE","GSON1112030953")</f>
        <v>#NAME?</v>
      </c>
      <c r="E396" s="8" t="e">
        <f ca="1">[1]!BexGetData("DP_1","003N8EMH8GTFRCSWKMPXRRL3Y","GSON1112030953")</f>
        <v>#NAME?</v>
      </c>
      <c r="F396" s="4" t="e">
        <f ca="1">[1]!BexGetData("DP_1","003N8EMH8GTFRCSWKMPXRRRFI","GSON1112030953")</f>
        <v>#NAME?</v>
      </c>
      <c r="G396" s="4" t="e">
        <f ca="1">[1]!BexGetData("DP_1","003N8EMH8GTFRCSWKMPXRRXR2","GSON1112030953")</f>
        <v>#NAME?</v>
      </c>
      <c r="H396" s="4" t="e">
        <f ca="1">[1]!BexGetData("DP_1","003N8EMH8GTFRCSWKMPXRS42M","GSON1112030953")</f>
        <v>#NAME?</v>
      </c>
      <c r="I396" s="4" t="e">
        <f ca="1">[1]!BexGetData("DP_1","003N8EMH8GTFRCSWKMPXRSAE6","GSON1112030953")</f>
        <v>#NAME?</v>
      </c>
      <c r="J396" s="4" t="e">
        <f ca="1">[1]!BexGetData("DP_1","003N8EMH8GTFRCSWKMPXRSGPQ","GSON1112030953")</f>
        <v>#NAME?</v>
      </c>
      <c r="K396" s="8" t="e">
        <f ca="1">[1]!BexGetData("DP_1","003N8EMH8GTFRIVNUPY288VJH","GSON1112030953")</f>
        <v>#NAME?</v>
      </c>
      <c r="L396" s="8" t="e">
        <f ca="1">[1]!BexGetData("DP_1","003N8EMH8GTFRIVNUPY2891V1","GSON1112030953")</f>
        <v>#NAME?</v>
      </c>
      <c r="M396" s="8" t="e">
        <f ca="1">[1]!BexGetData("DP_1","003N8EMH8GTFRIVOG7KG9IQXA","GSON1112030953")</f>
        <v>#NAME?</v>
      </c>
      <c r="N396" s="8" t="e">
        <f ca="1">[1]!BexGetData("DP_1","003N8EMH8GTFRIVOG7KG9IX8U","GSON1112030953")</f>
        <v>#NAME?</v>
      </c>
      <c r="O396" s="8" t="e">
        <f ca="1">[1]!BexGetData("DP_1","003N8EMH8GTFRIVOG7KG9J3KE","GSON1112030953")</f>
        <v>#NAME?</v>
      </c>
      <c r="P396" s="8" t="e">
        <f ca="1">[1]!BexGetData("DP_1","003N8EMH8GTFRIVOG7KG9J9VY","GSON1112030953")</f>
        <v>#NAME?</v>
      </c>
      <c r="Q396" s="4" t="e">
        <f ca="1">[1]!BexGetData("DP_1","00O2TNJGODT0G5Z4TTKYMM5MT","GSON1112030953")</f>
        <v>#NAME?</v>
      </c>
      <c r="R396" s="4" t="e">
        <f ca="1">[1]!BexGetData("DP_1","00O2TNJGODT0G5Z4TTKYMMBYD","GSON1112030953")</f>
        <v>#NAME?</v>
      </c>
      <c r="S396" s="4" t="e">
        <f ca="1">[1]!BexGetData("DP_1","00O2TNJGODT0G5Z4TTKYMMI9X","GSON1112030953")</f>
        <v>#NAME?</v>
      </c>
      <c r="T396" s="4" t="e">
        <f ca="1">[1]!BexGetData("DP_1","00O2TNJGODT0G5Z4TTKYMMOLH","GSON1112030953")</f>
        <v>#NAME?</v>
      </c>
      <c r="U396" s="4" t="e">
        <f ca="1">[1]!BexGetData("DP_1","00O2TNJGODT0G5Z4TTKYMMUX1","GSON1112030953")</f>
        <v>#NAME?</v>
      </c>
      <c r="V396" s="4" t="e">
        <f ca="1">[1]!BexGetData("DP_1","00O2TNJGODT0G5Z4TTKYMN18L","GSON1112030953")</f>
        <v>#NAME?</v>
      </c>
      <c r="W396" s="4" t="e">
        <f ca="1">[1]!BexGetData("DP_1","00O2TNJGODT0G5Z4TTKYMN7K5","GSON1112030953")</f>
        <v>#NAME?</v>
      </c>
    </row>
    <row r="397" spans="1:23" x14ac:dyDescent="0.2">
      <c r="A397" s="16" t="s">
        <v>2211</v>
      </c>
      <c r="B397" s="7" t="s">
        <v>923</v>
      </c>
      <c r="C397" s="3" t="e">
        <f ca="1">[1]!BexGetData("DP_1","003N8EMH8GTFRCSWKMPXRR8GU","GSON1112030960")</f>
        <v>#NAME?</v>
      </c>
      <c r="D397" s="3" t="e">
        <f ca="1">[1]!BexGetData("DP_1","003N8EMH8GTFRCSWKMPXRRESE","GSON1112030960")</f>
        <v>#NAME?</v>
      </c>
      <c r="E397" s="3" t="e">
        <f ca="1">[1]!BexGetData("DP_1","003N8EMH8GTFRCSWKMPXRRL3Y","GSON1112030960")</f>
        <v>#NAME?</v>
      </c>
      <c r="F397" s="3" t="e">
        <f ca="1">[1]!BexGetData("DP_1","003N8EMH8GTFRCSWKMPXRRRFI","GSON1112030960")</f>
        <v>#NAME?</v>
      </c>
      <c r="G397" s="3" t="e">
        <f ca="1">[1]!BexGetData("DP_1","003N8EMH8GTFRCSWKMPXRRXR2","GSON1112030960")</f>
        <v>#NAME?</v>
      </c>
      <c r="H397" s="8" t="e">
        <f ca="1">[1]!BexGetData("DP_1","003N8EMH8GTFRCSWKMPXRS42M","GSON1112030960")</f>
        <v>#NAME?</v>
      </c>
      <c r="I397" s="3" t="e">
        <f ca="1">[1]!BexGetData("DP_1","003N8EMH8GTFRCSWKMPXRSAE6","GSON1112030960")</f>
        <v>#NAME?</v>
      </c>
      <c r="J397" s="4" t="e">
        <f ca="1">[1]!BexGetData("DP_1","003N8EMH8GTFRCSWKMPXRSGPQ","GSON1112030960")</f>
        <v>#NAME?</v>
      </c>
      <c r="K397" s="3" t="e">
        <f ca="1">[1]!BexGetData("DP_1","003N8EMH8GTFRIVNUPY288VJH","GSON1112030960")</f>
        <v>#NAME?</v>
      </c>
      <c r="L397" s="3" t="e">
        <f ca="1">[1]!BexGetData("DP_1","003N8EMH8GTFRIVNUPY2891V1","GSON1112030960")</f>
        <v>#NAME?</v>
      </c>
      <c r="M397" s="8" t="e">
        <f ca="1">[1]!BexGetData("DP_1","003N8EMH8GTFRIVOG7KG9IQXA","GSON1112030960")</f>
        <v>#NAME?</v>
      </c>
      <c r="N397" s="3" t="e">
        <f ca="1">[1]!BexGetData("DP_1","003N8EMH8GTFRIVOG7KG9IX8U","GSON1112030960")</f>
        <v>#NAME?</v>
      </c>
      <c r="O397" s="8" t="e">
        <f ca="1">[1]!BexGetData("DP_1","003N8EMH8GTFRIVOG7KG9J3KE","GSON1112030960")</f>
        <v>#NAME?</v>
      </c>
      <c r="P397" s="3" t="e">
        <f ca="1">[1]!BexGetData("DP_1","003N8EMH8GTFRIVOG7KG9J9VY","GSON1112030960")</f>
        <v>#NAME?</v>
      </c>
      <c r="Q397" s="4" t="e">
        <f ca="1">[1]!BexGetData("DP_1","00O2TNJGODT0G5Z4TTKYMM5MT","GSON1112030960")</f>
        <v>#NAME?</v>
      </c>
      <c r="R397" s="3" t="e">
        <f ca="1">[1]!BexGetData("DP_1","00O2TNJGODT0G5Z4TTKYMMBYD","GSON1112030960")</f>
        <v>#NAME?</v>
      </c>
      <c r="S397" s="3" t="e">
        <f ca="1">[1]!BexGetData("DP_1","00O2TNJGODT0G5Z4TTKYMMI9X","GSON1112030960")</f>
        <v>#NAME?</v>
      </c>
      <c r="T397" s="8" t="e">
        <f ca="1">[1]!BexGetData("DP_1","00O2TNJGODT0G5Z4TTKYMMOLH","GSON1112030960")</f>
        <v>#NAME?</v>
      </c>
      <c r="U397" s="3" t="e">
        <f ca="1">[1]!BexGetData("DP_1","00O2TNJGODT0G5Z4TTKYMMUX1","GSON1112030960")</f>
        <v>#NAME?</v>
      </c>
      <c r="V397" s="8" t="e">
        <f ca="1">[1]!BexGetData("DP_1","00O2TNJGODT0G5Z4TTKYMN18L","GSON1112030960")</f>
        <v>#NAME?</v>
      </c>
      <c r="W397" s="3" t="e">
        <f ca="1">[1]!BexGetData("DP_1","00O2TNJGODT0G5Z4TTKYMN7K5","GSON1112030960")</f>
        <v>#NAME?</v>
      </c>
    </row>
    <row r="398" spans="1:23" x14ac:dyDescent="0.2">
      <c r="A398" s="16" t="s">
        <v>2212</v>
      </c>
      <c r="B398" s="7" t="s">
        <v>924</v>
      </c>
      <c r="C398" s="3" t="e">
        <f ca="1">[1]!BexGetData("DP_1","003N8EMH8GTFRCSWKMPXRR8GU","GSON1112030961")</f>
        <v>#NAME?</v>
      </c>
      <c r="D398" s="3" t="e">
        <f ca="1">[1]!BexGetData("DP_1","003N8EMH8GTFRCSWKMPXRRESE","GSON1112030961")</f>
        <v>#NAME?</v>
      </c>
      <c r="E398" s="8" t="e">
        <f ca="1">[1]!BexGetData("DP_1","003N8EMH8GTFRCSWKMPXRRL3Y","GSON1112030961")</f>
        <v>#NAME?</v>
      </c>
      <c r="F398" s="3" t="e">
        <f ca="1">[1]!BexGetData("DP_1","003N8EMH8GTFRCSWKMPXRRRFI","GSON1112030961")</f>
        <v>#NAME?</v>
      </c>
      <c r="G398" s="3" t="e">
        <f ca="1">[1]!BexGetData("DP_1","003N8EMH8GTFRCSWKMPXRRXR2","GSON1112030961")</f>
        <v>#NAME?</v>
      </c>
      <c r="H398" s="8" t="e">
        <f ca="1">[1]!BexGetData("DP_1","003N8EMH8GTFRCSWKMPXRS42M","GSON1112030961")</f>
        <v>#NAME?</v>
      </c>
      <c r="I398" s="3" t="e">
        <f ca="1">[1]!BexGetData("DP_1","003N8EMH8GTFRCSWKMPXRSAE6","GSON1112030961")</f>
        <v>#NAME?</v>
      </c>
      <c r="J398" s="4" t="e">
        <f ca="1">[1]!BexGetData("DP_1","003N8EMH8GTFRCSWKMPXRSGPQ","GSON1112030961")</f>
        <v>#NAME?</v>
      </c>
      <c r="K398" s="3" t="e">
        <f ca="1">[1]!BexGetData("DP_1","003N8EMH8GTFRIVNUPY288VJH","GSON1112030961")</f>
        <v>#NAME?</v>
      </c>
      <c r="L398" s="3" t="e">
        <f ca="1">[1]!BexGetData("DP_1","003N8EMH8GTFRIVNUPY2891V1","GSON1112030961")</f>
        <v>#NAME?</v>
      </c>
      <c r="M398" s="3" t="e">
        <f ca="1">[1]!BexGetData("DP_1","003N8EMH8GTFRIVOG7KG9IQXA","GSON1112030961")</f>
        <v>#NAME?</v>
      </c>
      <c r="N398" s="8" t="e">
        <f ca="1">[1]!BexGetData("DP_1","003N8EMH8GTFRIVOG7KG9IX8U","GSON1112030961")</f>
        <v>#NAME?</v>
      </c>
      <c r="O398" s="3" t="e">
        <f ca="1">[1]!BexGetData("DP_1","003N8EMH8GTFRIVOG7KG9J3KE","GSON1112030961")</f>
        <v>#NAME?</v>
      </c>
      <c r="P398" s="8" t="e">
        <f ca="1">[1]!BexGetData("DP_1","003N8EMH8GTFRIVOG7KG9J9VY","GSON1112030961")</f>
        <v>#NAME?</v>
      </c>
      <c r="Q398" s="4" t="e">
        <f ca="1">[1]!BexGetData("DP_1","00O2TNJGODT0G5Z4TTKYMM5MT","GSON1112030961")</f>
        <v>#NAME?</v>
      </c>
      <c r="R398" s="3" t="e">
        <f ca="1">[1]!BexGetData("DP_1","00O2TNJGODT0G5Z4TTKYMMBYD","GSON1112030961")</f>
        <v>#NAME?</v>
      </c>
      <c r="S398" s="3" t="e">
        <f ca="1">[1]!BexGetData("DP_1","00O2TNJGODT0G5Z4TTKYMMI9X","GSON1112030961")</f>
        <v>#NAME?</v>
      </c>
      <c r="T398" s="8" t="e">
        <f ca="1">[1]!BexGetData("DP_1","00O2TNJGODT0G5Z4TTKYMMOLH","GSON1112030961")</f>
        <v>#NAME?</v>
      </c>
      <c r="U398" s="3" t="e">
        <f ca="1">[1]!BexGetData("DP_1","00O2TNJGODT0G5Z4TTKYMMUX1","GSON1112030961")</f>
        <v>#NAME?</v>
      </c>
      <c r="V398" s="8" t="e">
        <f ca="1">[1]!BexGetData("DP_1","00O2TNJGODT0G5Z4TTKYMN18L","GSON1112030961")</f>
        <v>#NAME?</v>
      </c>
      <c r="W398" s="3" t="e">
        <f ca="1">[1]!BexGetData("DP_1","00O2TNJGODT0G5Z4TTKYMN7K5","GSON1112030961")</f>
        <v>#NAME?</v>
      </c>
    </row>
    <row r="399" spans="1:23" x14ac:dyDescent="0.2">
      <c r="A399" s="16" t="s">
        <v>2213</v>
      </c>
      <c r="B399" s="7" t="s">
        <v>2214</v>
      </c>
      <c r="C399" s="3" t="e">
        <f ca="1">[1]!BexGetData("DP_1","003N8EMH8GTFRCSWKMPXRR8GU","GSON1112030963")</f>
        <v>#NAME?</v>
      </c>
      <c r="D399" s="3" t="e">
        <f ca="1">[1]!BexGetData("DP_1","003N8EMH8GTFRCSWKMPXRRESE","GSON1112030963")</f>
        <v>#NAME?</v>
      </c>
      <c r="E399" s="8" t="e">
        <f ca="1">[1]!BexGetData("DP_1","003N8EMH8GTFRCSWKMPXRRL3Y","GSON1112030963")</f>
        <v>#NAME?</v>
      </c>
      <c r="F399" s="4" t="e">
        <f ca="1">[1]!BexGetData("DP_1","003N8EMH8GTFRCSWKMPXRRRFI","GSON1112030963")</f>
        <v>#NAME?</v>
      </c>
      <c r="G399" s="4" t="e">
        <f ca="1">[1]!BexGetData("DP_1","003N8EMH8GTFRCSWKMPXRRXR2","GSON1112030963")</f>
        <v>#NAME?</v>
      </c>
      <c r="H399" s="4" t="e">
        <f ca="1">[1]!BexGetData("DP_1","003N8EMH8GTFRCSWKMPXRS42M","GSON1112030963")</f>
        <v>#NAME?</v>
      </c>
      <c r="I399" s="4" t="e">
        <f ca="1">[1]!BexGetData("DP_1","003N8EMH8GTFRCSWKMPXRSAE6","GSON1112030963")</f>
        <v>#NAME?</v>
      </c>
      <c r="J399" s="4" t="e">
        <f ca="1">[1]!BexGetData("DP_1","003N8EMH8GTFRCSWKMPXRSGPQ","GSON1112030963")</f>
        <v>#NAME?</v>
      </c>
      <c r="K399" s="8" t="e">
        <f ca="1">[1]!BexGetData("DP_1","003N8EMH8GTFRIVNUPY288VJH","GSON1112030963")</f>
        <v>#NAME?</v>
      </c>
      <c r="L399" s="8" t="e">
        <f ca="1">[1]!BexGetData("DP_1","003N8EMH8GTFRIVNUPY2891V1","GSON1112030963")</f>
        <v>#NAME?</v>
      </c>
      <c r="M399" s="8" t="e">
        <f ca="1">[1]!BexGetData("DP_1","003N8EMH8GTFRIVOG7KG9IQXA","GSON1112030963")</f>
        <v>#NAME?</v>
      </c>
      <c r="N399" s="8" t="e">
        <f ca="1">[1]!BexGetData("DP_1","003N8EMH8GTFRIVOG7KG9IX8U","GSON1112030963")</f>
        <v>#NAME?</v>
      </c>
      <c r="O399" s="8" t="e">
        <f ca="1">[1]!BexGetData("DP_1","003N8EMH8GTFRIVOG7KG9J3KE","GSON1112030963")</f>
        <v>#NAME?</v>
      </c>
      <c r="P399" s="8" t="e">
        <f ca="1">[1]!BexGetData("DP_1","003N8EMH8GTFRIVOG7KG9J9VY","GSON1112030963")</f>
        <v>#NAME?</v>
      </c>
      <c r="Q399" s="4" t="e">
        <f ca="1">[1]!BexGetData("DP_1","00O2TNJGODT0G5Z4TTKYMM5MT","GSON1112030963")</f>
        <v>#NAME?</v>
      </c>
      <c r="R399" s="4" t="e">
        <f ca="1">[1]!BexGetData("DP_1","00O2TNJGODT0G5Z4TTKYMMBYD","GSON1112030963")</f>
        <v>#NAME?</v>
      </c>
      <c r="S399" s="4" t="e">
        <f ca="1">[1]!BexGetData("DP_1","00O2TNJGODT0G5Z4TTKYMMI9X","GSON1112030963")</f>
        <v>#NAME?</v>
      </c>
      <c r="T399" s="4" t="e">
        <f ca="1">[1]!BexGetData("DP_1","00O2TNJGODT0G5Z4TTKYMMOLH","GSON1112030963")</f>
        <v>#NAME?</v>
      </c>
      <c r="U399" s="4" t="e">
        <f ca="1">[1]!BexGetData("DP_1","00O2TNJGODT0G5Z4TTKYMMUX1","GSON1112030963")</f>
        <v>#NAME?</v>
      </c>
      <c r="V399" s="4" t="e">
        <f ca="1">[1]!BexGetData("DP_1","00O2TNJGODT0G5Z4TTKYMN18L","GSON1112030963")</f>
        <v>#NAME?</v>
      </c>
      <c r="W399" s="4" t="e">
        <f ca="1">[1]!BexGetData("DP_1","00O2TNJGODT0G5Z4TTKYMN7K5","GSON1112030963")</f>
        <v>#NAME?</v>
      </c>
    </row>
    <row r="400" spans="1:23" x14ac:dyDescent="0.2">
      <c r="A400" s="16" t="s">
        <v>2215</v>
      </c>
      <c r="B400" s="7" t="s">
        <v>2216</v>
      </c>
      <c r="C400" s="3" t="e">
        <f ca="1">[1]!BexGetData("DP_1","003N8EMH8GTFRCSWKMPXRR8GU","GSON1112030965")</f>
        <v>#NAME?</v>
      </c>
      <c r="D400" s="3" t="e">
        <f ca="1">[1]!BexGetData("DP_1","003N8EMH8GTFRCSWKMPXRRESE","GSON1112030965")</f>
        <v>#NAME?</v>
      </c>
      <c r="E400" s="8" t="e">
        <f ca="1">[1]!BexGetData("DP_1","003N8EMH8GTFRCSWKMPXRRL3Y","GSON1112030965")</f>
        <v>#NAME?</v>
      </c>
      <c r="F400" s="4" t="e">
        <f ca="1">[1]!BexGetData("DP_1","003N8EMH8GTFRCSWKMPXRRRFI","GSON1112030965")</f>
        <v>#NAME?</v>
      </c>
      <c r="G400" s="4" t="e">
        <f ca="1">[1]!BexGetData("DP_1","003N8EMH8GTFRCSWKMPXRRXR2","GSON1112030965")</f>
        <v>#NAME?</v>
      </c>
      <c r="H400" s="4" t="e">
        <f ca="1">[1]!BexGetData("DP_1","003N8EMH8GTFRCSWKMPXRS42M","GSON1112030965")</f>
        <v>#NAME?</v>
      </c>
      <c r="I400" s="4" t="e">
        <f ca="1">[1]!BexGetData("DP_1","003N8EMH8GTFRCSWKMPXRSAE6","GSON1112030965")</f>
        <v>#NAME?</v>
      </c>
      <c r="J400" s="4" t="e">
        <f ca="1">[1]!BexGetData("DP_1","003N8EMH8GTFRCSWKMPXRSGPQ","GSON1112030965")</f>
        <v>#NAME?</v>
      </c>
      <c r="K400" s="8" t="e">
        <f ca="1">[1]!BexGetData("DP_1","003N8EMH8GTFRIVNUPY288VJH","GSON1112030965")</f>
        <v>#NAME?</v>
      </c>
      <c r="L400" s="8" t="e">
        <f ca="1">[1]!BexGetData("DP_1","003N8EMH8GTFRIVNUPY2891V1","GSON1112030965")</f>
        <v>#NAME?</v>
      </c>
      <c r="M400" s="8" t="e">
        <f ca="1">[1]!BexGetData("DP_1","003N8EMH8GTFRIVOG7KG9IQXA","GSON1112030965")</f>
        <v>#NAME?</v>
      </c>
      <c r="N400" s="8" t="e">
        <f ca="1">[1]!BexGetData("DP_1","003N8EMH8GTFRIVOG7KG9IX8U","GSON1112030965")</f>
        <v>#NAME?</v>
      </c>
      <c r="O400" s="8" t="e">
        <f ca="1">[1]!BexGetData("DP_1","003N8EMH8GTFRIVOG7KG9J3KE","GSON1112030965")</f>
        <v>#NAME?</v>
      </c>
      <c r="P400" s="8" t="e">
        <f ca="1">[1]!BexGetData("DP_1","003N8EMH8GTFRIVOG7KG9J9VY","GSON1112030965")</f>
        <v>#NAME?</v>
      </c>
      <c r="Q400" s="4" t="e">
        <f ca="1">[1]!BexGetData("DP_1","00O2TNJGODT0G5Z4TTKYMM5MT","GSON1112030965")</f>
        <v>#NAME?</v>
      </c>
      <c r="R400" s="4" t="e">
        <f ca="1">[1]!BexGetData("DP_1","00O2TNJGODT0G5Z4TTKYMMBYD","GSON1112030965")</f>
        <v>#NAME?</v>
      </c>
      <c r="S400" s="4" t="e">
        <f ca="1">[1]!BexGetData("DP_1","00O2TNJGODT0G5Z4TTKYMMI9X","GSON1112030965")</f>
        <v>#NAME?</v>
      </c>
      <c r="T400" s="4" t="e">
        <f ca="1">[1]!BexGetData("DP_1","00O2TNJGODT0G5Z4TTKYMMOLH","GSON1112030965")</f>
        <v>#NAME?</v>
      </c>
      <c r="U400" s="4" t="e">
        <f ca="1">[1]!BexGetData("DP_1","00O2TNJGODT0G5Z4TTKYMMUX1","GSON1112030965")</f>
        <v>#NAME?</v>
      </c>
      <c r="V400" s="4" t="e">
        <f ca="1">[1]!BexGetData("DP_1","00O2TNJGODT0G5Z4TTKYMN18L","GSON1112030965")</f>
        <v>#NAME?</v>
      </c>
      <c r="W400" s="4" t="e">
        <f ca="1">[1]!BexGetData("DP_1","00O2TNJGODT0G5Z4TTKYMN7K5","GSON1112030965")</f>
        <v>#NAME?</v>
      </c>
    </row>
    <row r="401" spans="1:23" x14ac:dyDescent="0.2">
      <c r="A401" s="16" t="s">
        <v>925</v>
      </c>
      <c r="B401" s="7" t="s">
        <v>926</v>
      </c>
      <c r="C401" s="3" t="e">
        <f ca="1">[1]!BexGetData("DP_1","003N8EMH8GTFRCSWKMPXRR8GU","GSON1112030970")</f>
        <v>#NAME?</v>
      </c>
      <c r="D401" s="3" t="e">
        <f ca="1">[1]!BexGetData("DP_1","003N8EMH8GTFRCSWKMPXRRESE","GSON1112030970")</f>
        <v>#NAME?</v>
      </c>
      <c r="E401" s="3" t="e">
        <f ca="1">[1]!BexGetData("DP_1","003N8EMH8GTFRCSWKMPXRRL3Y","GSON1112030970")</f>
        <v>#NAME?</v>
      </c>
      <c r="F401" s="3" t="e">
        <f ca="1">[1]!BexGetData("DP_1","003N8EMH8GTFRCSWKMPXRRRFI","GSON1112030970")</f>
        <v>#NAME?</v>
      </c>
      <c r="G401" s="3" t="e">
        <f ca="1">[1]!BexGetData("DP_1","003N8EMH8GTFRCSWKMPXRRXR2","GSON1112030970")</f>
        <v>#NAME?</v>
      </c>
      <c r="H401" s="8" t="e">
        <f ca="1">[1]!BexGetData("DP_1","003N8EMH8GTFRCSWKMPXRS42M","GSON1112030970")</f>
        <v>#NAME?</v>
      </c>
      <c r="I401" s="3" t="e">
        <f ca="1">[1]!BexGetData("DP_1","003N8EMH8GTFRCSWKMPXRSAE6","GSON1112030970")</f>
        <v>#NAME?</v>
      </c>
      <c r="J401" s="4" t="e">
        <f ca="1">[1]!BexGetData("DP_1","003N8EMH8GTFRCSWKMPXRSGPQ","GSON1112030970")</f>
        <v>#NAME?</v>
      </c>
      <c r="K401" s="3" t="e">
        <f ca="1">[1]!BexGetData("DP_1","003N8EMH8GTFRIVNUPY288VJH","GSON1112030970")</f>
        <v>#NAME?</v>
      </c>
      <c r="L401" s="3" t="e">
        <f ca="1">[1]!BexGetData("DP_1","003N8EMH8GTFRIVNUPY2891V1","GSON1112030970")</f>
        <v>#NAME?</v>
      </c>
      <c r="M401" s="8" t="e">
        <f ca="1">[1]!BexGetData("DP_1","003N8EMH8GTFRIVOG7KG9IQXA","GSON1112030970")</f>
        <v>#NAME?</v>
      </c>
      <c r="N401" s="3" t="e">
        <f ca="1">[1]!BexGetData("DP_1","003N8EMH8GTFRIVOG7KG9IX8U","GSON1112030970")</f>
        <v>#NAME?</v>
      </c>
      <c r="O401" s="8" t="e">
        <f ca="1">[1]!BexGetData("DP_1","003N8EMH8GTFRIVOG7KG9J3KE","GSON1112030970")</f>
        <v>#NAME?</v>
      </c>
      <c r="P401" s="3" t="e">
        <f ca="1">[1]!BexGetData("DP_1","003N8EMH8GTFRIVOG7KG9J9VY","GSON1112030970")</f>
        <v>#NAME?</v>
      </c>
      <c r="Q401" s="4" t="e">
        <f ca="1">[1]!BexGetData("DP_1","00O2TNJGODT0G5Z4TTKYMM5MT","GSON1112030970")</f>
        <v>#NAME?</v>
      </c>
      <c r="R401" s="3" t="e">
        <f ca="1">[1]!BexGetData("DP_1","00O2TNJGODT0G5Z4TTKYMMBYD","GSON1112030970")</f>
        <v>#NAME?</v>
      </c>
      <c r="S401" s="3" t="e">
        <f ca="1">[1]!BexGetData("DP_1","00O2TNJGODT0G5Z4TTKYMMI9X","GSON1112030970")</f>
        <v>#NAME?</v>
      </c>
      <c r="T401" s="8" t="e">
        <f ca="1">[1]!BexGetData("DP_1","00O2TNJGODT0G5Z4TTKYMMOLH","GSON1112030970")</f>
        <v>#NAME?</v>
      </c>
      <c r="U401" s="3" t="e">
        <f ca="1">[1]!BexGetData("DP_1","00O2TNJGODT0G5Z4TTKYMMUX1","GSON1112030970")</f>
        <v>#NAME?</v>
      </c>
      <c r="V401" s="8" t="e">
        <f ca="1">[1]!BexGetData("DP_1","00O2TNJGODT0G5Z4TTKYMN18L","GSON1112030970")</f>
        <v>#NAME?</v>
      </c>
      <c r="W401" s="3" t="e">
        <f ca="1">[1]!BexGetData("DP_1","00O2TNJGODT0G5Z4TTKYMN7K5","GSON1112030970")</f>
        <v>#NAME?</v>
      </c>
    </row>
    <row r="402" spans="1:23" x14ac:dyDescent="0.2">
      <c r="A402" s="16" t="s">
        <v>927</v>
      </c>
      <c r="B402" s="7" t="s">
        <v>928</v>
      </c>
      <c r="C402" s="3" t="e">
        <f ca="1">[1]!BexGetData("DP_1","003N8EMH8GTFRCSWKMPXRR8GU","GSON1112030971")</f>
        <v>#NAME?</v>
      </c>
      <c r="D402" s="3" t="e">
        <f ca="1">[1]!BexGetData("DP_1","003N8EMH8GTFRCSWKMPXRRESE","GSON1112030971")</f>
        <v>#NAME?</v>
      </c>
      <c r="E402" s="8" t="e">
        <f ca="1">[1]!BexGetData("DP_1","003N8EMH8GTFRCSWKMPXRRL3Y","GSON1112030971")</f>
        <v>#NAME?</v>
      </c>
      <c r="F402" s="4" t="e">
        <f ca="1">[1]!BexGetData("DP_1","003N8EMH8GTFRCSWKMPXRRRFI","GSON1112030971")</f>
        <v>#NAME?</v>
      </c>
      <c r="G402" s="4" t="e">
        <f ca="1">[1]!BexGetData("DP_1","003N8EMH8GTFRCSWKMPXRRXR2","GSON1112030971")</f>
        <v>#NAME?</v>
      </c>
      <c r="H402" s="4" t="e">
        <f ca="1">[1]!BexGetData("DP_1","003N8EMH8GTFRCSWKMPXRS42M","GSON1112030971")</f>
        <v>#NAME?</v>
      </c>
      <c r="I402" s="4" t="e">
        <f ca="1">[1]!BexGetData("DP_1","003N8EMH8GTFRCSWKMPXRSAE6","GSON1112030971")</f>
        <v>#NAME?</v>
      </c>
      <c r="J402" s="4" t="e">
        <f ca="1">[1]!BexGetData("DP_1","003N8EMH8GTFRCSWKMPXRSGPQ","GSON1112030971")</f>
        <v>#NAME?</v>
      </c>
      <c r="K402" s="8" t="e">
        <f ca="1">[1]!BexGetData("DP_1","003N8EMH8GTFRIVNUPY288VJH","GSON1112030971")</f>
        <v>#NAME?</v>
      </c>
      <c r="L402" s="8" t="e">
        <f ca="1">[1]!BexGetData("DP_1","003N8EMH8GTFRIVNUPY2891V1","GSON1112030971")</f>
        <v>#NAME?</v>
      </c>
      <c r="M402" s="8" t="e">
        <f ca="1">[1]!BexGetData("DP_1","003N8EMH8GTFRIVOG7KG9IQXA","GSON1112030971")</f>
        <v>#NAME?</v>
      </c>
      <c r="N402" s="8" t="e">
        <f ca="1">[1]!BexGetData("DP_1","003N8EMH8GTFRIVOG7KG9IX8U","GSON1112030971")</f>
        <v>#NAME?</v>
      </c>
      <c r="O402" s="8" t="e">
        <f ca="1">[1]!BexGetData("DP_1","003N8EMH8GTFRIVOG7KG9J3KE","GSON1112030971")</f>
        <v>#NAME?</v>
      </c>
      <c r="P402" s="8" t="e">
        <f ca="1">[1]!BexGetData("DP_1","003N8EMH8GTFRIVOG7KG9J9VY","GSON1112030971")</f>
        <v>#NAME?</v>
      </c>
      <c r="Q402" s="4" t="e">
        <f ca="1">[1]!BexGetData("DP_1","00O2TNJGODT0G5Z4TTKYMM5MT","GSON1112030971")</f>
        <v>#NAME?</v>
      </c>
      <c r="R402" s="4" t="e">
        <f ca="1">[1]!BexGetData("DP_1","00O2TNJGODT0G5Z4TTKYMMBYD","GSON1112030971")</f>
        <v>#NAME?</v>
      </c>
      <c r="S402" s="4" t="e">
        <f ca="1">[1]!BexGetData("DP_1","00O2TNJGODT0G5Z4TTKYMMI9X","GSON1112030971")</f>
        <v>#NAME?</v>
      </c>
      <c r="T402" s="4" t="e">
        <f ca="1">[1]!BexGetData("DP_1","00O2TNJGODT0G5Z4TTKYMMOLH","GSON1112030971")</f>
        <v>#NAME?</v>
      </c>
      <c r="U402" s="4" t="e">
        <f ca="1">[1]!BexGetData("DP_1","00O2TNJGODT0G5Z4TTKYMMUX1","GSON1112030971")</f>
        <v>#NAME?</v>
      </c>
      <c r="V402" s="4" t="e">
        <f ca="1">[1]!BexGetData("DP_1","00O2TNJGODT0G5Z4TTKYMN18L","GSON1112030971")</f>
        <v>#NAME?</v>
      </c>
      <c r="W402" s="4" t="e">
        <f ca="1">[1]!BexGetData("DP_1","00O2TNJGODT0G5Z4TTKYMN7K5","GSON1112030971")</f>
        <v>#NAME?</v>
      </c>
    </row>
    <row r="403" spans="1:23" x14ac:dyDescent="0.2">
      <c r="A403" s="16" t="s">
        <v>2217</v>
      </c>
      <c r="B403" s="7" t="s">
        <v>929</v>
      </c>
      <c r="C403" s="3" t="e">
        <f ca="1">[1]!BexGetData("DP_1","003N8EMH8GTFRCSWKMPXRR8GU","GSON1112030974")</f>
        <v>#NAME?</v>
      </c>
      <c r="D403" s="3" t="e">
        <f ca="1">[1]!BexGetData("DP_1","003N8EMH8GTFRCSWKMPXRRESE","GSON1112030974")</f>
        <v>#NAME?</v>
      </c>
      <c r="E403" s="8" t="e">
        <f ca="1">[1]!BexGetData("DP_1","003N8EMH8GTFRCSWKMPXRRL3Y","GSON1112030974")</f>
        <v>#NAME?</v>
      </c>
      <c r="F403" s="4" t="e">
        <f ca="1">[1]!BexGetData("DP_1","003N8EMH8GTFRCSWKMPXRRRFI","GSON1112030974")</f>
        <v>#NAME?</v>
      </c>
      <c r="G403" s="4" t="e">
        <f ca="1">[1]!BexGetData("DP_1","003N8EMH8GTFRCSWKMPXRRXR2","GSON1112030974")</f>
        <v>#NAME?</v>
      </c>
      <c r="H403" s="4" t="e">
        <f ca="1">[1]!BexGetData("DP_1","003N8EMH8GTFRCSWKMPXRS42M","GSON1112030974")</f>
        <v>#NAME?</v>
      </c>
      <c r="I403" s="4" t="e">
        <f ca="1">[1]!BexGetData("DP_1","003N8EMH8GTFRCSWKMPXRSAE6","GSON1112030974")</f>
        <v>#NAME?</v>
      </c>
      <c r="J403" s="4" t="e">
        <f ca="1">[1]!BexGetData("DP_1","003N8EMH8GTFRCSWKMPXRSGPQ","GSON1112030974")</f>
        <v>#NAME?</v>
      </c>
      <c r="K403" s="8" t="e">
        <f ca="1">[1]!BexGetData("DP_1","003N8EMH8GTFRIVNUPY288VJH","GSON1112030974")</f>
        <v>#NAME?</v>
      </c>
      <c r="L403" s="8" t="e">
        <f ca="1">[1]!BexGetData("DP_1","003N8EMH8GTFRIVNUPY2891V1","GSON1112030974")</f>
        <v>#NAME?</v>
      </c>
      <c r="M403" s="8" t="e">
        <f ca="1">[1]!BexGetData("DP_1","003N8EMH8GTFRIVOG7KG9IQXA","GSON1112030974")</f>
        <v>#NAME?</v>
      </c>
      <c r="N403" s="8" t="e">
        <f ca="1">[1]!BexGetData("DP_1","003N8EMH8GTFRIVOG7KG9IX8U","GSON1112030974")</f>
        <v>#NAME?</v>
      </c>
      <c r="O403" s="8" t="e">
        <f ca="1">[1]!BexGetData("DP_1","003N8EMH8GTFRIVOG7KG9J3KE","GSON1112030974")</f>
        <v>#NAME?</v>
      </c>
      <c r="P403" s="8" t="e">
        <f ca="1">[1]!BexGetData("DP_1","003N8EMH8GTFRIVOG7KG9J9VY","GSON1112030974")</f>
        <v>#NAME?</v>
      </c>
      <c r="Q403" s="4" t="e">
        <f ca="1">[1]!BexGetData("DP_1","00O2TNJGODT0G5Z4TTKYMM5MT","GSON1112030974")</f>
        <v>#NAME?</v>
      </c>
      <c r="R403" s="4" t="e">
        <f ca="1">[1]!BexGetData("DP_1","00O2TNJGODT0G5Z4TTKYMMBYD","GSON1112030974")</f>
        <v>#NAME?</v>
      </c>
      <c r="S403" s="4" t="e">
        <f ca="1">[1]!BexGetData("DP_1","00O2TNJGODT0G5Z4TTKYMMI9X","GSON1112030974")</f>
        <v>#NAME?</v>
      </c>
      <c r="T403" s="4" t="e">
        <f ca="1">[1]!BexGetData("DP_1","00O2TNJGODT0G5Z4TTKYMMOLH","GSON1112030974")</f>
        <v>#NAME?</v>
      </c>
      <c r="U403" s="4" t="e">
        <f ca="1">[1]!BexGetData("DP_1","00O2TNJGODT0G5Z4TTKYMMUX1","GSON1112030974")</f>
        <v>#NAME?</v>
      </c>
      <c r="V403" s="4" t="e">
        <f ca="1">[1]!BexGetData("DP_1","00O2TNJGODT0G5Z4TTKYMN18L","GSON1112030974")</f>
        <v>#NAME?</v>
      </c>
      <c r="W403" s="4" t="e">
        <f ca="1">[1]!BexGetData("DP_1","00O2TNJGODT0G5Z4TTKYMN7K5","GSON1112030974")</f>
        <v>#NAME?</v>
      </c>
    </row>
    <row r="404" spans="1:23" x14ac:dyDescent="0.2">
      <c r="A404" s="16" t="s">
        <v>2218</v>
      </c>
      <c r="B404" s="7" t="s">
        <v>2219</v>
      </c>
      <c r="C404" s="3" t="e">
        <f ca="1">[1]!BexGetData("DP_1","003N8EMH8GTFRCSWKMPXRR8GU","GSON1112030975")</f>
        <v>#NAME?</v>
      </c>
      <c r="D404" s="3" t="e">
        <f ca="1">[1]!BexGetData("DP_1","003N8EMH8GTFRCSWKMPXRRESE","GSON1112030975")</f>
        <v>#NAME?</v>
      </c>
      <c r="E404" s="8" t="e">
        <f ca="1">[1]!BexGetData("DP_1","003N8EMH8GTFRCSWKMPXRRL3Y","GSON1112030975")</f>
        <v>#NAME?</v>
      </c>
      <c r="F404" s="4" t="e">
        <f ca="1">[1]!BexGetData("DP_1","003N8EMH8GTFRCSWKMPXRRRFI","GSON1112030975")</f>
        <v>#NAME?</v>
      </c>
      <c r="G404" s="4" t="e">
        <f ca="1">[1]!BexGetData("DP_1","003N8EMH8GTFRCSWKMPXRRXR2","GSON1112030975")</f>
        <v>#NAME?</v>
      </c>
      <c r="H404" s="4" t="e">
        <f ca="1">[1]!BexGetData("DP_1","003N8EMH8GTFRCSWKMPXRS42M","GSON1112030975")</f>
        <v>#NAME?</v>
      </c>
      <c r="I404" s="4" t="e">
        <f ca="1">[1]!BexGetData("DP_1","003N8EMH8GTFRCSWKMPXRSAE6","GSON1112030975")</f>
        <v>#NAME?</v>
      </c>
      <c r="J404" s="4" t="e">
        <f ca="1">[1]!BexGetData("DP_1","003N8EMH8GTFRCSWKMPXRSGPQ","GSON1112030975")</f>
        <v>#NAME?</v>
      </c>
      <c r="K404" s="8" t="e">
        <f ca="1">[1]!BexGetData("DP_1","003N8EMH8GTFRIVNUPY288VJH","GSON1112030975")</f>
        <v>#NAME?</v>
      </c>
      <c r="L404" s="8" t="e">
        <f ca="1">[1]!BexGetData("DP_1","003N8EMH8GTFRIVNUPY2891V1","GSON1112030975")</f>
        <v>#NAME?</v>
      </c>
      <c r="M404" s="8" t="e">
        <f ca="1">[1]!BexGetData("DP_1","003N8EMH8GTFRIVOG7KG9IQXA","GSON1112030975")</f>
        <v>#NAME?</v>
      </c>
      <c r="N404" s="8" t="e">
        <f ca="1">[1]!BexGetData("DP_1","003N8EMH8GTFRIVOG7KG9IX8U","GSON1112030975")</f>
        <v>#NAME?</v>
      </c>
      <c r="O404" s="8" t="e">
        <f ca="1">[1]!BexGetData("DP_1","003N8EMH8GTFRIVOG7KG9J3KE","GSON1112030975")</f>
        <v>#NAME?</v>
      </c>
      <c r="P404" s="8" t="e">
        <f ca="1">[1]!BexGetData("DP_1","003N8EMH8GTFRIVOG7KG9J9VY","GSON1112030975")</f>
        <v>#NAME?</v>
      </c>
      <c r="Q404" s="4" t="e">
        <f ca="1">[1]!BexGetData("DP_1","00O2TNJGODT0G5Z4TTKYMM5MT","GSON1112030975")</f>
        <v>#NAME?</v>
      </c>
      <c r="R404" s="4" t="e">
        <f ca="1">[1]!BexGetData("DP_1","00O2TNJGODT0G5Z4TTKYMMBYD","GSON1112030975")</f>
        <v>#NAME?</v>
      </c>
      <c r="S404" s="4" t="e">
        <f ca="1">[1]!BexGetData("DP_1","00O2TNJGODT0G5Z4TTKYMMI9X","GSON1112030975")</f>
        <v>#NAME?</v>
      </c>
      <c r="T404" s="4" t="e">
        <f ca="1">[1]!BexGetData("DP_1","00O2TNJGODT0G5Z4TTKYMMOLH","GSON1112030975")</f>
        <v>#NAME?</v>
      </c>
      <c r="U404" s="4" t="e">
        <f ca="1">[1]!BexGetData("DP_1","00O2TNJGODT0G5Z4TTKYMMUX1","GSON1112030975")</f>
        <v>#NAME?</v>
      </c>
      <c r="V404" s="4" t="e">
        <f ca="1">[1]!BexGetData("DP_1","00O2TNJGODT0G5Z4TTKYMN18L","GSON1112030975")</f>
        <v>#NAME?</v>
      </c>
      <c r="W404" s="4" t="e">
        <f ca="1">[1]!BexGetData("DP_1","00O2TNJGODT0G5Z4TTKYMN7K5","GSON1112030975")</f>
        <v>#NAME?</v>
      </c>
    </row>
    <row r="405" spans="1:23" x14ac:dyDescent="0.2">
      <c r="A405" s="16" t="s">
        <v>930</v>
      </c>
      <c r="B405" s="7" t="s">
        <v>931</v>
      </c>
      <c r="C405" s="3" t="e">
        <f ca="1">[1]!BexGetData("DP_1","003N8EMH8GTFRCSWKMPXRR8GU","GSON1112030980")</f>
        <v>#NAME?</v>
      </c>
      <c r="D405" s="3" t="e">
        <f ca="1">[1]!BexGetData("DP_1","003N8EMH8GTFRCSWKMPXRRESE","GSON1112030980")</f>
        <v>#NAME?</v>
      </c>
      <c r="E405" s="3" t="e">
        <f ca="1">[1]!BexGetData("DP_1","003N8EMH8GTFRCSWKMPXRRL3Y","GSON1112030980")</f>
        <v>#NAME?</v>
      </c>
      <c r="F405" s="3" t="e">
        <f ca="1">[1]!BexGetData("DP_1","003N8EMH8GTFRCSWKMPXRRRFI","GSON1112030980")</f>
        <v>#NAME?</v>
      </c>
      <c r="G405" s="3" t="e">
        <f ca="1">[1]!BexGetData("DP_1","003N8EMH8GTFRCSWKMPXRRXR2","GSON1112030980")</f>
        <v>#NAME?</v>
      </c>
      <c r="H405" s="8" t="e">
        <f ca="1">[1]!BexGetData("DP_1","003N8EMH8GTFRCSWKMPXRS42M","GSON1112030980")</f>
        <v>#NAME?</v>
      </c>
      <c r="I405" s="3" t="e">
        <f ca="1">[1]!BexGetData("DP_1","003N8EMH8GTFRCSWKMPXRSAE6","GSON1112030980")</f>
        <v>#NAME?</v>
      </c>
      <c r="J405" s="4" t="e">
        <f ca="1">[1]!BexGetData("DP_1","003N8EMH8GTFRCSWKMPXRSGPQ","GSON1112030980")</f>
        <v>#NAME?</v>
      </c>
      <c r="K405" s="3" t="e">
        <f ca="1">[1]!BexGetData("DP_1","003N8EMH8GTFRIVNUPY288VJH","GSON1112030980")</f>
        <v>#NAME?</v>
      </c>
      <c r="L405" s="3" t="e">
        <f ca="1">[1]!BexGetData("DP_1","003N8EMH8GTFRIVNUPY2891V1","GSON1112030980")</f>
        <v>#NAME?</v>
      </c>
      <c r="M405" s="8" t="e">
        <f ca="1">[1]!BexGetData("DP_1","003N8EMH8GTFRIVOG7KG9IQXA","GSON1112030980")</f>
        <v>#NAME?</v>
      </c>
      <c r="N405" s="3" t="e">
        <f ca="1">[1]!BexGetData("DP_1","003N8EMH8GTFRIVOG7KG9IX8U","GSON1112030980")</f>
        <v>#NAME?</v>
      </c>
      <c r="O405" s="8" t="e">
        <f ca="1">[1]!BexGetData("DP_1","003N8EMH8GTFRIVOG7KG9J3KE","GSON1112030980")</f>
        <v>#NAME?</v>
      </c>
      <c r="P405" s="3" t="e">
        <f ca="1">[1]!BexGetData("DP_1","003N8EMH8GTFRIVOG7KG9J9VY","GSON1112030980")</f>
        <v>#NAME?</v>
      </c>
      <c r="Q405" s="4" t="e">
        <f ca="1">[1]!BexGetData("DP_1","00O2TNJGODT0G5Z4TTKYMM5MT","GSON1112030980")</f>
        <v>#NAME?</v>
      </c>
      <c r="R405" s="3" t="e">
        <f ca="1">[1]!BexGetData("DP_1","00O2TNJGODT0G5Z4TTKYMMBYD","GSON1112030980")</f>
        <v>#NAME?</v>
      </c>
      <c r="S405" s="3" t="e">
        <f ca="1">[1]!BexGetData("DP_1","00O2TNJGODT0G5Z4TTKYMMI9X","GSON1112030980")</f>
        <v>#NAME?</v>
      </c>
      <c r="T405" s="8" t="e">
        <f ca="1">[1]!BexGetData("DP_1","00O2TNJGODT0G5Z4TTKYMMOLH","GSON1112030980")</f>
        <v>#NAME?</v>
      </c>
      <c r="U405" s="3" t="e">
        <f ca="1">[1]!BexGetData("DP_1","00O2TNJGODT0G5Z4TTKYMMUX1","GSON1112030980")</f>
        <v>#NAME?</v>
      </c>
      <c r="V405" s="8" t="e">
        <f ca="1">[1]!BexGetData("DP_1","00O2TNJGODT0G5Z4TTKYMN18L","GSON1112030980")</f>
        <v>#NAME?</v>
      </c>
      <c r="W405" s="3" t="e">
        <f ca="1">[1]!BexGetData("DP_1","00O2TNJGODT0G5Z4TTKYMN7K5","GSON1112030980")</f>
        <v>#NAME?</v>
      </c>
    </row>
    <row r="406" spans="1:23" x14ac:dyDescent="0.2">
      <c r="A406" s="16" t="s">
        <v>932</v>
      </c>
      <c r="B406" s="7" t="s">
        <v>933</v>
      </c>
      <c r="C406" s="3" t="e">
        <f ca="1">[1]!BexGetData("DP_1","003N8EMH8GTFRCSWKMPXRR8GU","GSON1112030981")</f>
        <v>#NAME?</v>
      </c>
      <c r="D406" s="3" t="e">
        <f ca="1">[1]!BexGetData("DP_1","003N8EMH8GTFRCSWKMPXRRESE","GSON1112030981")</f>
        <v>#NAME?</v>
      </c>
      <c r="E406" s="8" t="e">
        <f ca="1">[1]!BexGetData("DP_1","003N8EMH8GTFRCSWKMPXRRL3Y","GSON1112030981")</f>
        <v>#NAME?</v>
      </c>
      <c r="F406" s="4" t="e">
        <f ca="1">[1]!BexGetData("DP_1","003N8EMH8GTFRCSWKMPXRRRFI","GSON1112030981")</f>
        <v>#NAME?</v>
      </c>
      <c r="G406" s="4" t="e">
        <f ca="1">[1]!BexGetData("DP_1","003N8EMH8GTFRCSWKMPXRRXR2","GSON1112030981")</f>
        <v>#NAME?</v>
      </c>
      <c r="H406" s="4" t="e">
        <f ca="1">[1]!BexGetData("DP_1","003N8EMH8GTFRCSWKMPXRS42M","GSON1112030981")</f>
        <v>#NAME?</v>
      </c>
      <c r="I406" s="4" t="e">
        <f ca="1">[1]!BexGetData("DP_1","003N8EMH8GTFRCSWKMPXRSAE6","GSON1112030981")</f>
        <v>#NAME?</v>
      </c>
      <c r="J406" s="4" t="e">
        <f ca="1">[1]!BexGetData("DP_1","003N8EMH8GTFRCSWKMPXRSGPQ","GSON1112030981")</f>
        <v>#NAME?</v>
      </c>
      <c r="K406" s="8" t="e">
        <f ca="1">[1]!BexGetData("DP_1","003N8EMH8GTFRIVNUPY288VJH","GSON1112030981")</f>
        <v>#NAME?</v>
      </c>
      <c r="L406" s="8" t="e">
        <f ca="1">[1]!BexGetData("DP_1","003N8EMH8GTFRIVNUPY2891V1","GSON1112030981")</f>
        <v>#NAME?</v>
      </c>
      <c r="M406" s="8" t="e">
        <f ca="1">[1]!BexGetData("DP_1","003N8EMH8GTFRIVOG7KG9IQXA","GSON1112030981")</f>
        <v>#NAME?</v>
      </c>
      <c r="N406" s="8" t="e">
        <f ca="1">[1]!BexGetData("DP_1","003N8EMH8GTFRIVOG7KG9IX8U","GSON1112030981")</f>
        <v>#NAME?</v>
      </c>
      <c r="O406" s="8" t="e">
        <f ca="1">[1]!BexGetData("DP_1","003N8EMH8GTFRIVOG7KG9J3KE","GSON1112030981")</f>
        <v>#NAME?</v>
      </c>
      <c r="P406" s="8" t="e">
        <f ca="1">[1]!BexGetData("DP_1","003N8EMH8GTFRIVOG7KG9J9VY","GSON1112030981")</f>
        <v>#NAME?</v>
      </c>
      <c r="Q406" s="4" t="e">
        <f ca="1">[1]!BexGetData("DP_1","00O2TNJGODT0G5Z4TTKYMM5MT","GSON1112030981")</f>
        <v>#NAME?</v>
      </c>
      <c r="R406" s="4" t="e">
        <f ca="1">[1]!BexGetData("DP_1","00O2TNJGODT0G5Z4TTKYMMBYD","GSON1112030981")</f>
        <v>#NAME?</v>
      </c>
      <c r="S406" s="4" t="e">
        <f ca="1">[1]!BexGetData("DP_1","00O2TNJGODT0G5Z4TTKYMMI9X","GSON1112030981")</f>
        <v>#NAME?</v>
      </c>
      <c r="T406" s="4" t="e">
        <f ca="1">[1]!BexGetData("DP_1","00O2TNJGODT0G5Z4TTKYMMOLH","GSON1112030981")</f>
        <v>#NAME?</v>
      </c>
      <c r="U406" s="4" t="e">
        <f ca="1">[1]!BexGetData("DP_1","00O2TNJGODT0G5Z4TTKYMMUX1","GSON1112030981")</f>
        <v>#NAME?</v>
      </c>
      <c r="V406" s="4" t="e">
        <f ca="1">[1]!BexGetData("DP_1","00O2TNJGODT0G5Z4TTKYMN18L","GSON1112030981")</f>
        <v>#NAME?</v>
      </c>
      <c r="W406" s="4" t="e">
        <f ca="1">[1]!BexGetData("DP_1","00O2TNJGODT0G5Z4TTKYMN7K5","GSON1112030981")</f>
        <v>#NAME?</v>
      </c>
    </row>
    <row r="407" spans="1:23" x14ac:dyDescent="0.2">
      <c r="A407" s="16" t="s">
        <v>2220</v>
      </c>
      <c r="B407" s="7" t="s">
        <v>2221</v>
      </c>
      <c r="C407" s="3" t="e">
        <f ca="1">[1]!BexGetData("DP_1","003N8EMH8GTFRCSWKMPXRR8GU","GSON1112030983")</f>
        <v>#NAME?</v>
      </c>
      <c r="D407" s="3" t="e">
        <f ca="1">[1]!BexGetData("DP_1","003N8EMH8GTFRCSWKMPXRRESE","GSON1112030983")</f>
        <v>#NAME?</v>
      </c>
      <c r="E407" s="8" t="e">
        <f ca="1">[1]!BexGetData("DP_1","003N8EMH8GTFRCSWKMPXRRL3Y","GSON1112030983")</f>
        <v>#NAME?</v>
      </c>
      <c r="F407" s="4" t="e">
        <f ca="1">[1]!BexGetData("DP_1","003N8EMH8GTFRCSWKMPXRRRFI","GSON1112030983")</f>
        <v>#NAME?</v>
      </c>
      <c r="G407" s="4" t="e">
        <f ca="1">[1]!BexGetData("DP_1","003N8EMH8GTFRCSWKMPXRRXR2","GSON1112030983")</f>
        <v>#NAME?</v>
      </c>
      <c r="H407" s="4" t="e">
        <f ca="1">[1]!BexGetData("DP_1","003N8EMH8GTFRCSWKMPXRS42M","GSON1112030983")</f>
        <v>#NAME?</v>
      </c>
      <c r="I407" s="4" t="e">
        <f ca="1">[1]!BexGetData("DP_1","003N8EMH8GTFRCSWKMPXRSAE6","GSON1112030983")</f>
        <v>#NAME?</v>
      </c>
      <c r="J407" s="4" t="e">
        <f ca="1">[1]!BexGetData("DP_1","003N8EMH8GTFRCSWKMPXRSGPQ","GSON1112030983")</f>
        <v>#NAME?</v>
      </c>
      <c r="K407" s="8" t="e">
        <f ca="1">[1]!BexGetData("DP_1","003N8EMH8GTFRIVNUPY288VJH","GSON1112030983")</f>
        <v>#NAME?</v>
      </c>
      <c r="L407" s="8" t="e">
        <f ca="1">[1]!BexGetData("DP_1","003N8EMH8GTFRIVNUPY2891V1","GSON1112030983")</f>
        <v>#NAME?</v>
      </c>
      <c r="M407" s="8" t="e">
        <f ca="1">[1]!BexGetData("DP_1","003N8EMH8GTFRIVOG7KG9IQXA","GSON1112030983")</f>
        <v>#NAME?</v>
      </c>
      <c r="N407" s="8" t="e">
        <f ca="1">[1]!BexGetData("DP_1","003N8EMH8GTFRIVOG7KG9IX8U","GSON1112030983")</f>
        <v>#NAME?</v>
      </c>
      <c r="O407" s="8" t="e">
        <f ca="1">[1]!BexGetData("DP_1","003N8EMH8GTFRIVOG7KG9J3KE","GSON1112030983")</f>
        <v>#NAME?</v>
      </c>
      <c r="P407" s="8" t="e">
        <f ca="1">[1]!BexGetData("DP_1","003N8EMH8GTFRIVOG7KG9J9VY","GSON1112030983")</f>
        <v>#NAME?</v>
      </c>
      <c r="Q407" s="4" t="e">
        <f ca="1">[1]!BexGetData("DP_1","00O2TNJGODT0G5Z4TTKYMM5MT","GSON1112030983")</f>
        <v>#NAME?</v>
      </c>
      <c r="R407" s="4" t="e">
        <f ca="1">[1]!BexGetData("DP_1","00O2TNJGODT0G5Z4TTKYMMBYD","GSON1112030983")</f>
        <v>#NAME?</v>
      </c>
      <c r="S407" s="4" t="e">
        <f ca="1">[1]!BexGetData("DP_1","00O2TNJGODT0G5Z4TTKYMMI9X","GSON1112030983")</f>
        <v>#NAME?</v>
      </c>
      <c r="T407" s="4" t="e">
        <f ca="1">[1]!BexGetData("DP_1","00O2TNJGODT0G5Z4TTKYMMOLH","GSON1112030983")</f>
        <v>#NAME?</v>
      </c>
      <c r="U407" s="4" t="e">
        <f ca="1">[1]!BexGetData("DP_1","00O2TNJGODT0G5Z4TTKYMMUX1","GSON1112030983")</f>
        <v>#NAME?</v>
      </c>
      <c r="V407" s="4" t="e">
        <f ca="1">[1]!BexGetData("DP_1","00O2TNJGODT0G5Z4TTKYMN18L","GSON1112030983")</f>
        <v>#NAME?</v>
      </c>
      <c r="W407" s="4" t="e">
        <f ca="1">[1]!BexGetData("DP_1","00O2TNJGODT0G5Z4TTKYMN7K5","GSON1112030983")</f>
        <v>#NAME?</v>
      </c>
    </row>
    <row r="408" spans="1:23" x14ac:dyDescent="0.2">
      <c r="A408" s="16" t="s">
        <v>2222</v>
      </c>
      <c r="B408" s="7" t="s">
        <v>934</v>
      </c>
      <c r="C408" s="3" t="e">
        <f ca="1">[1]!BexGetData("DP_1","003N8EMH8GTFRCSWKMPXRR8GU","GSON1112030984")</f>
        <v>#NAME?</v>
      </c>
      <c r="D408" s="3" t="e">
        <f ca="1">[1]!BexGetData("DP_1","003N8EMH8GTFRCSWKMPXRRESE","GSON1112030984")</f>
        <v>#NAME?</v>
      </c>
      <c r="E408" s="8" t="e">
        <f ca="1">[1]!BexGetData("DP_1","003N8EMH8GTFRCSWKMPXRRL3Y","GSON1112030984")</f>
        <v>#NAME?</v>
      </c>
      <c r="F408" s="4" t="e">
        <f ca="1">[1]!BexGetData("DP_1","003N8EMH8GTFRCSWKMPXRRRFI","GSON1112030984")</f>
        <v>#NAME?</v>
      </c>
      <c r="G408" s="4" t="e">
        <f ca="1">[1]!BexGetData("DP_1","003N8EMH8GTFRCSWKMPXRRXR2","GSON1112030984")</f>
        <v>#NAME?</v>
      </c>
      <c r="H408" s="4" t="e">
        <f ca="1">[1]!BexGetData("DP_1","003N8EMH8GTFRCSWKMPXRS42M","GSON1112030984")</f>
        <v>#NAME?</v>
      </c>
      <c r="I408" s="4" t="e">
        <f ca="1">[1]!BexGetData("DP_1","003N8EMH8GTFRCSWKMPXRSAE6","GSON1112030984")</f>
        <v>#NAME?</v>
      </c>
      <c r="J408" s="4" t="e">
        <f ca="1">[1]!BexGetData("DP_1","003N8EMH8GTFRCSWKMPXRSGPQ","GSON1112030984")</f>
        <v>#NAME?</v>
      </c>
      <c r="K408" s="8" t="e">
        <f ca="1">[1]!BexGetData("DP_1","003N8EMH8GTFRIVNUPY288VJH","GSON1112030984")</f>
        <v>#NAME?</v>
      </c>
      <c r="L408" s="8" t="e">
        <f ca="1">[1]!BexGetData("DP_1","003N8EMH8GTFRIVNUPY2891V1","GSON1112030984")</f>
        <v>#NAME?</v>
      </c>
      <c r="M408" s="8" t="e">
        <f ca="1">[1]!BexGetData("DP_1","003N8EMH8GTFRIVOG7KG9IQXA","GSON1112030984")</f>
        <v>#NAME?</v>
      </c>
      <c r="N408" s="8" t="e">
        <f ca="1">[1]!BexGetData("DP_1","003N8EMH8GTFRIVOG7KG9IX8U","GSON1112030984")</f>
        <v>#NAME?</v>
      </c>
      <c r="O408" s="8" t="e">
        <f ca="1">[1]!BexGetData("DP_1","003N8EMH8GTFRIVOG7KG9J3KE","GSON1112030984")</f>
        <v>#NAME?</v>
      </c>
      <c r="P408" s="8" t="e">
        <f ca="1">[1]!BexGetData("DP_1","003N8EMH8GTFRIVOG7KG9J9VY","GSON1112030984")</f>
        <v>#NAME?</v>
      </c>
      <c r="Q408" s="4" t="e">
        <f ca="1">[1]!BexGetData("DP_1","00O2TNJGODT0G5Z4TTKYMM5MT","GSON1112030984")</f>
        <v>#NAME?</v>
      </c>
      <c r="R408" s="4" t="e">
        <f ca="1">[1]!BexGetData("DP_1","00O2TNJGODT0G5Z4TTKYMMBYD","GSON1112030984")</f>
        <v>#NAME?</v>
      </c>
      <c r="S408" s="4" t="e">
        <f ca="1">[1]!BexGetData("DP_1","00O2TNJGODT0G5Z4TTKYMMI9X","GSON1112030984")</f>
        <v>#NAME?</v>
      </c>
      <c r="T408" s="4" t="e">
        <f ca="1">[1]!BexGetData("DP_1","00O2TNJGODT0G5Z4TTKYMMOLH","GSON1112030984")</f>
        <v>#NAME?</v>
      </c>
      <c r="U408" s="4" t="e">
        <f ca="1">[1]!BexGetData("DP_1","00O2TNJGODT0G5Z4TTKYMMUX1","GSON1112030984")</f>
        <v>#NAME?</v>
      </c>
      <c r="V408" s="4" t="e">
        <f ca="1">[1]!BexGetData("DP_1","00O2TNJGODT0G5Z4TTKYMN18L","GSON1112030984")</f>
        <v>#NAME?</v>
      </c>
      <c r="W408" s="4" t="e">
        <f ca="1">[1]!BexGetData("DP_1","00O2TNJGODT0G5Z4TTKYMN7K5","GSON1112030984")</f>
        <v>#NAME?</v>
      </c>
    </row>
    <row r="409" spans="1:23" x14ac:dyDescent="0.2">
      <c r="A409" s="16" t="s">
        <v>2223</v>
      </c>
      <c r="B409" s="7" t="s">
        <v>2224</v>
      </c>
      <c r="C409" s="3" t="e">
        <f ca="1">[1]!BexGetData("DP_1","003N8EMH8GTFRCSWKMPXRR8GU","GSON1112030985")</f>
        <v>#NAME?</v>
      </c>
      <c r="D409" s="3" t="e">
        <f ca="1">[1]!BexGetData("DP_1","003N8EMH8GTFRCSWKMPXRRESE","GSON1112030985")</f>
        <v>#NAME?</v>
      </c>
      <c r="E409" s="8" t="e">
        <f ca="1">[1]!BexGetData("DP_1","003N8EMH8GTFRCSWKMPXRRL3Y","GSON1112030985")</f>
        <v>#NAME?</v>
      </c>
      <c r="F409" s="4" t="e">
        <f ca="1">[1]!BexGetData("DP_1","003N8EMH8GTFRCSWKMPXRRRFI","GSON1112030985")</f>
        <v>#NAME?</v>
      </c>
      <c r="G409" s="4" t="e">
        <f ca="1">[1]!BexGetData("DP_1","003N8EMH8GTFRCSWKMPXRRXR2","GSON1112030985")</f>
        <v>#NAME?</v>
      </c>
      <c r="H409" s="4" t="e">
        <f ca="1">[1]!BexGetData("DP_1","003N8EMH8GTFRCSWKMPXRS42M","GSON1112030985")</f>
        <v>#NAME?</v>
      </c>
      <c r="I409" s="4" t="e">
        <f ca="1">[1]!BexGetData("DP_1","003N8EMH8GTFRCSWKMPXRSAE6","GSON1112030985")</f>
        <v>#NAME?</v>
      </c>
      <c r="J409" s="4" t="e">
        <f ca="1">[1]!BexGetData("DP_1","003N8EMH8GTFRCSWKMPXRSGPQ","GSON1112030985")</f>
        <v>#NAME?</v>
      </c>
      <c r="K409" s="8" t="e">
        <f ca="1">[1]!BexGetData("DP_1","003N8EMH8GTFRIVNUPY288VJH","GSON1112030985")</f>
        <v>#NAME?</v>
      </c>
      <c r="L409" s="8" t="e">
        <f ca="1">[1]!BexGetData("DP_1","003N8EMH8GTFRIVNUPY2891V1","GSON1112030985")</f>
        <v>#NAME?</v>
      </c>
      <c r="M409" s="8" t="e">
        <f ca="1">[1]!BexGetData("DP_1","003N8EMH8GTFRIVOG7KG9IQXA","GSON1112030985")</f>
        <v>#NAME?</v>
      </c>
      <c r="N409" s="8" t="e">
        <f ca="1">[1]!BexGetData("DP_1","003N8EMH8GTFRIVOG7KG9IX8U","GSON1112030985")</f>
        <v>#NAME?</v>
      </c>
      <c r="O409" s="8" t="e">
        <f ca="1">[1]!BexGetData("DP_1","003N8EMH8GTFRIVOG7KG9J3KE","GSON1112030985")</f>
        <v>#NAME?</v>
      </c>
      <c r="P409" s="8" t="e">
        <f ca="1">[1]!BexGetData("DP_1","003N8EMH8GTFRIVOG7KG9J9VY","GSON1112030985")</f>
        <v>#NAME?</v>
      </c>
      <c r="Q409" s="4" t="e">
        <f ca="1">[1]!BexGetData("DP_1","00O2TNJGODT0G5Z4TTKYMM5MT","GSON1112030985")</f>
        <v>#NAME?</v>
      </c>
      <c r="R409" s="4" t="e">
        <f ca="1">[1]!BexGetData("DP_1","00O2TNJGODT0G5Z4TTKYMMBYD","GSON1112030985")</f>
        <v>#NAME?</v>
      </c>
      <c r="S409" s="4" t="e">
        <f ca="1">[1]!BexGetData("DP_1","00O2TNJGODT0G5Z4TTKYMMI9X","GSON1112030985")</f>
        <v>#NAME?</v>
      </c>
      <c r="T409" s="4" t="e">
        <f ca="1">[1]!BexGetData("DP_1","00O2TNJGODT0G5Z4TTKYMMOLH","GSON1112030985")</f>
        <v>#NAME?</v>
      </c>
      <c r="U409" s="4" t="e">
        <f ca="1">[1]!BexGetData("DP_1","00O2TNJGODT0G5Z4TTKYMMUX1","GSON1112030985")</f>
        <v>#NAME?</v>
      </c>
      <c r="V409" s="4" t="e">
        <f ca="1">[1]!BexGetData("DP_1","00O2TNJGODT0G5Z4TTKYMN18L","GSON1112030985")</f>
        <v>#NAME?</v>
      </c>
      <c r="W409" s="4" t="e">
        <f ca="1">[1]!BexGetData("DP_1","00O2TNJGODT0G5Z4TTKYMN7K5","GSON1112030985")</f>
        <v>#NAME?</v>
      </c>
    </row>
    <row r="410" spans="1:23" x14ac:dyDescent="0.2">
      <c r="A410" s="16" t="s">
        <v>935</v>
      </c>
      <c r="B410" s="7" t="s">
        <v>936</v>
      </c>
      <c r="C410" s="3" t="e">
        <f ca="1">[1]!BexGetData("DP_1","003N8EMH8GTFRCSWKMPXRR8GU","GSON1112031000")</f>
        <v>#NAME?</v>
      </c>
      <c r="D410" s="3" t="e">
        <f ca="1">[1]!BexGetData("DP_1","003N8EMH8GTFRCSWKMPXRRESE","GSON1112031000")</f>
        <v>#NAME?</v>
      </c>
      <c r="E410" s="3" t="e">
        <f ca="1">[1]!BexGetData("DP_1","003N8EMH8GTFRCSWKMPXRRL3Y","GSON1112031000")</f>
        <v>#NAME?</v>
      </c>
      <c r="F410" s="3" t="e">
        <f ca="1">[1]!BexGetData("DP_1","003N8EMH8GTFRCSWKMPXRRRFI","GSON1112031000")</f>
        <v>#NAME?</v>
      </c>
      <c r="G410" s="3" t="e">
        <f ca="1">[1]!BexGetData("DP_1","003N8EMH8GTFRCSWKMPXRRXR2","GSON1112031000")</f>
        <v>#NAME?</v>
      </c>
      <c r="H410" s="8" t="e">
        <f ca="1">[1]!BexGetData("DP_1","003N8EMH8GTFRCSWKMPXRS42M","GSON1112031000")</f>
        <v>#NAME?</v>
      </c>
      <c r="I410" s="3" t="e">
        <f ca="1">[1]!BexGetData("DP_1","003N8EMH8GTFRCSWKMPXRSAE6","GSON1112031000")</f>
        <v>#NAME?</v>
      </c>
      <c r="J410" s="4" t="e">
        <f ca="1">[1]!BexGetData("DP_1","003N8EMH8GTFRCSWKMPXRSGPQ","GSON1112031000")</f>
        <v>#NAME?</v>
      </c>
      <c r="K410" s="3" t="e">
        <f ca="1">[1]!BexGetData("DP_1","003N8EMH8GTFRIVNUPY288VJH","GSON1112031000")</f>
        <v>#NAME?</v>
      </c>
      <c r="L410" s="3" t="e">
        <f ca="1">[1]!BexGetData("DP_1","003N8EMH8GTFRIVNUPY2891V1","GSON1112031000")</f>
        <v>#NAME?</v>
      </c>
      <c r="M410" s="3" t="e">
        <f ca="1">[1]!BexGetData("DP_1","003N8EMH8GTFRIVOG7KG9IQXA","GSON1112031000")</f>
        <v>#NAME?</v>
      </c>
      <c r="N410" s="8" t="e">
        <f ca="1">[1]!BexGetData("DP_1","003N8EMH8GTFRIVOG7KG9IX8U","GSON1112031000")</f>
        <v>#NAME?</v>
      </c>
      <c r="O410" s="3" t="e">
        <f ca="1">[1]!BexGetData("DP_1","003N8EMH8GTFRIVOG7KG9J3KE","GSON1112031000")</f>
        <v>#NAME?</v>
      </c>
      <c r="P410" s="8" t="e">
        <f ca="1">[1]!BexGetData("DP_1","003N8EMH8GTFRIVOG7KG9J9VY","GSON1112031000")</f>
        <v>#NAME?</v>
      </c>
      <c r="Q410" s="4" t="e">
        <f ca="1">[1]!BexGetData("DP_1","00O2TNJGODT0G5Z4TTKYMM5MT","GSON1112031000")</f>
        <v>#NAME?</v>
      </c>
      <c r="R410" s="3" t="e">
        <f ca="1">[1]!BexGetData("DP_1","00O2TNJGODT0G5Z4TTKYMMBYD","GSON1112031000")</f>
        <v>#NAME?</v>
      </c>
      <c r="S410" s="3" t="e">
        <f ca="1">[1]!BexGetData("DP_1","00O2TNJGODT0G5Z4TTKYMMI9X","GSON1112031000")</f>
        <v>#NAME?</v>
      </c>
      <c r="T410" s="8" t="e">
        <f ca="1">[1]!BexGetData("DP_1","00O2TNJGODT0G5Z4TTKYMMOLH","GSON1112031000")</f>
        <v>#NAME?</v>
      </c>
      <c r="U410" s="3" t="e">
        <f ca="1">[1]!BexGetData("DP_1","00O2TNJGODT0G5Z4TTKYMMUX1","GSON1112031000")</f>
        <v>#NAME?</v>
      </c>
      <c r="V410" s="8" t="e">
        <f ca="1">[1]!BexGetData("DP_1","00O2TNJGODT0G5Z4TTKYMN18L","GSON1112031000")</f>
        <v>#NAME?</v>
      </c>
      <c r="W410" s="3" t="e">
        <f ca="1">[1]!BexGetData("DP_1","00O2TNJGODT0G5Z4TTKYMN7K5","GSON1112031000")</f>
        <v>#NAME?</v>
      </c>
    </row>
    <row r="411" spans="1:23" x14ac:dyDescent="0.2">
      <c r="A411" s="16" t="s">
        <v>937</v>
      </c>
      <c r="B411" s="7" t="s">
        <v>938</v>
      </c>
      <c r="C411" s="3" t="e">
        <f ca="1">[1]!BexGetData("DP_1","003N8EMH8GTFRCSWKMPXRR8GU","GSON1112031001")</f>
        <v>#NAME?</v>
      </c>
      <c r="D411" s="3" t="e">
        <f ca="1">[1]!BexGetData("DP_1","003N8EMH8GTFRCSWKMPXRRESE","GSON1112031001")</f>
        <v>#NAME?</v>
      </c>
      <c r="E411" s="8" t="e">
        <f ca="1">[1]!BexGetData("DP_1","003N8EMH8GTFRCSWKMPXRRL3Y","GSON1112031001")</f>
        <v>#NAME?</v>
      </c>
      <c r="F411" s="4" t="e">
        <f ca="1">[1]!BexGetData("DP_1","003N8EMH8GTFRCSWKMPXRRRFI","GSON1112031001")</f>
        <v>#NAME?</v>
      </c>
      <c r="G411" s="4" t="e">
        <f ca="1">[1]!BexGetData("DP_1","003N8EMH8GTFRCSWKMPXRRXR2","GSON1112031001")</f>
        <v>#NAME?</v>
      </c>
      <c r="H411" s="4" t="e">
        <f ca="1">[1]!BexGetData("DP_1","003N8EMH8GTFRCSWKMPXRS42M","GSON1112031001")</f>
        <v>#NAME?</v>
      </c>
      <c r="I411" s="4" t="e">
        <f ca="1">[1]!BexGetData("DP_1","003N8EMH8GTFRCSWKMPXRSAE6","GSON1112031001")</f>
        <v>#NAME?</v>
      </c>
      <c r="J411" s="4" t="e">
        <f ca="1">[1]!BexGetData("DP_1","003N8EMH8GTFRCSWKMPXRSGPQ","GSON1112031001")</f>
        <v>#NAME?</v>
      </c>
      <c r="K411" s="8" t="e">
        <f ca="1">[1]!BexGetData("DP_1","003N8EMH8GTFRIVNUPY288VJH","GSON1112031001")</f>
        <v>#NAME?</v>
      </c>
      <c r="L411" s="8" t="e">
        <f ca="1">[1]!BexGetData("DP_1","003N8EMH8GTFRIVNUPY2891V1","GSON1112031001")</f>
        <v>#NAME?</v>
      </c>
      <c r="M411" s="8" t="e">
        <f ca="1">[1]!BexGetData("DP_1","003N8EMH8GTFRIVOG7KG9IQXA","GSON1112031001")</f>
        <v>#NAME?</v>
      </c>
      <c r="N411" s="8" t="e">
        <f ca="1">[1]!BexGetData("DP_1","003N8EMH8GTFRIVOG7KG9IX8U","GSON1112031001")</f>
        <v>#NAME?</v>
      </c>
      <c r="O411" s="8" t="e">
        <f ca="1">[1]!BexGetData("DP_1","003N8EMH8GTFRIVOG7KG9J3KE","GSON1112031001")</f>
        <v>#NAME?</v>
      </c>
      <c r="P411" s="8" t="e">
        <f ca="1">[1]!BexGetData("DP_1","003N8EMH8GTFRIVOG7KG9J9VY","GSON1112031001")</f>
        <v>#NAME?</v>
      </c>
      <c r="Q411" s="4" t="e">
        <f ca="1">[1]!BexGetData("DP_1","00O2TNJGODT0G5Z4TTKYMM5MT","GSON1112031001")</f>
        <v>#NAME?</v>
      </c>
      <c r="R411" s="4" t="e">
        <f ca="1">[1]!BexGetData("DP_1","00O2TNJGODT0G5Z4TTKYMMBYD","GSON1112031001")</f>
        <v>#NAME?</v>
      </c>
      <c r="S411" s="4" t="e">
        <f ca="1">[1]!BexGetData("DP_1","00O2TNJGODT0G5Z4TTKYMMI9X","GSON1112031001")</f>
        <v>#NAME?</v>
      </c>
      <c r="T411" s="4" t="e">
        <f ca="1">[1]!BexGetData("DP_1","00O2TNJGODT0G5Z4TTKYMMOLH","GSON1112031001")</f>
        <v>#NAME?</v>
      </c>
      <c r="U411" s="4" t="e">
        <f ca="1">[1]!BexGetData("DP_1","00O2TNJGODT0G5Z4TTKYMMUX1","GSON1112031001")</f>
        <v>#NAME?</v>
      </c>
      <c r="V411" s="4" t="e">
        <f ca="1">[1]!BexGetData("DP_1","00O2TNJGODT0G5Z4TTKYMN18L","GSON1112031001")</f>
        <v>#NAME?</v>
      </c>
      <c r="W411" s="4" t="e">
        <f ca="1">[1]!BexGetData("DP_1","00O2TNJGODT0G5Z4TTKYMN7K5","GSON1112031001")</f>
        <v>#NAME?</v>
      </c>
    </row>
    <row r="412" spans="1:23" x14ac:dyDescent="0.2">
      <c r="A412" s="16" t="s">
        <v>2225</v>
      </c>
      <c r="B412" s="7" t="s">
        <v>2226</v>
      </c>
      <c r="C412" s="3" t="e">
        <f ca="1">[1]!BexGetData("DP_1","003N8EMH8GTFRCSWKMPXRR8GU","GSON1112031002")</f>
        <v>#NAME?</v>
      </c>
      <c r="D412" s="3" t="e">
        <f ca="1">[1]!BexGetData("DP_1","003N8EMH8GTFRCSWKMPXRRESE","GSON1112031002")</f>
        <v>#NAME?</v>
      </c>
      <c r="E412" s="8" t="e">
        <f ca="1">[1]!BexGetData("DP_1","003N8EMH8GTFRCSWKMPXRRL3Y","GSON1112031002")</f>
        <v>#NAME?</v>
      </c>
      <c r="F412" s="3" t="e">
        <f ca="1">[1]!BexGetData("DP_1","003N8EMH8GTFRCSWKMPXRRRFI","GSON1112031002")</f>
        <v>#NAME?</v>
      </c>
      <c r="G412" s="8" t="e">
        <f ca="1">[1]!BexGetData("DP_1","003N8EMH8GTFRCSWKMPXRRXR2","GSON1112031002")</f>
        <v>#NAME?</v>
      </c>
      <c r="H412" s="3" t="e">
        <f ca="1">[1]!BexGetData("DP_1","003N8EMH8GTFRCSWKMPXRS42M","GSON1112031002")</f>
        <v>#NAME?</v>
      </c>
      <c r="I412" s="3" t="e">
        <f ca="1">[1]!BexGetData("DP_1","003N8EMH8GTFRCSWKMPXRSAE6","GSON1112031002")</f>
        <v>#NAME?</v>
      </c>
      <c r="J412" s="4" t="e">
        <f ca="1">[1]!BexGetData("DP_1","003N8EMH8GTFRCSWKMPXRSGPQ","GSON1112031002")</f>
        <v>#NAME?</v>
      </c>
      <c r="K412" s="3" t="e">
        <f ca="1">[1]!BexGetData("DP_1","003N8EMH8GTFRIVNUPY288VJH","GSON1112031002")</f>
        <v>#NAME?</v>
      </c>
      <c r="L412" s="3" t="e">
        <f ca="1">[1]!BexGetData("DP_1","003N8EMH8GTFRIVNUPY2891V1","GSON1112031002")</f>
        <v>#NAME?</v>
      </c>
      <c r="M412" s="8" t="e">
        <f ca="1">[1]!BexGetData("DP_1","003N8EMH8GTFRIVOG7KG9IQXA","GSON1112031002")</f>
        <v>#NAME?</v>
      </c>
      <c r="N412" s="3" t="e">
        <f ca="1">[1]!BexGetData("DP_1","003N8EMH8GTFRIVOG7KG9IX8U","GSON1112031002")</f>
        <v>#NAME?</v>
      </c>
      <c r="O412" s="8" t="e">
        <f ca="1">[1]!BexGetData("DP_1","003N8EMH8GTFRIVOG7KG9J3KE","GSON1112031002")</f>
        <v>#NAME?</v>
      </c>
      <c r="P412" s="3" t="e">
        <f ca="1">[1]!BexGetData("DP_1","003N8EMH8GTFRIVOG7KG9J9VY","GSON1112031002")</f>
        <v>#NAME?</v>
      </c>
      <c r="Q412" s="4" t="e">
        <f ca="1">[1]!BexGetData("DP_1","00O2TNJGODT0G5Z4TTKYMM5MT","GSON1112031002")</f>
        <v>#NAME?</v>
      </c>
      <c r="R412" s="3" t="e">
        <f ca="1">[1]!BexGetData("DP_1","00O2TNJGODT0G5Z4TTKYMMBYD","GSON1112031002")</f>
        <v>#NAME?</v>
      </c>
      <c r="S412" s="3" t="e">
        <f ca="1">[1]!BexGetData("DP_1","00O2TNJGODT0G5Z4TTKYMMI9X","GSON1112031002")</f>
        <v>#NAME?</v>
      </c>
      <c r="T412" s="3" t="e">
        <f ca="1">[1]!BexGetData("DP_1","00O2TNJGODT0G5Z4TTKYMMOLH","GSON1112031002")</f>
        <v>#NAME?</v>
      </c>
      <c r="U412" s="8" t="e">
        <f ca="1">[1]!BexGetData("DP_1","00O2TNJGODT0G5Z4TTKYMMUX1","GSON1112031002")</f>
        <v>#NAME?</v>
      </c>
      <c r="V412" s="3" t="e">
        <f ca="1">[1]!BexGetData("DP_1","00O2TNJGODT0G5Z4TTKYMN18L","GSON1112031002")</f>
        <v>#NAME?</v>
      </c>
      <c r="W412" s="8" t="e">
        <f ca="1">[1]!BexGetData("DP_1","00O2TNJGODT0G5Z4TTKYMN7K5","GSON1112031002")</f>
        <v>#NAME?</v>
      </c>
    </row>
    <row r="413" spans="1:23" x14ac:dyDescent="0.2">
      <c r="A413" s="16" t="s">
        <v>2227</v>
      </c>
      <c r="B413" s="7" t="s">
        <v>2228</v>
      </c>
      <c r="C413" s="3" t="e">
        <f ca="1">[1]!BexGetData("DP_1","003N8EMH8GTFRCSWKMPXRR8GU","GSON1112031003")</f>
        <v>#NAME?</v>
      </c>
      <c r="D413" s="3" t="e">
        <f ca="1">[1]!BexGetData("DP_1","003N8EMH8GTFRCSWKMPXRRESE","GSON1112031003")</f>
        <v>#NAME?</v>
      </c>
      <c r="E413" s="8" t="e">
        <f ca="1">[1]!BexGetData("DP_1","003N8EMH8GTFRCSWKMPXRRL3Y","GSON1112031003")</f>
        <v>#NAME?</v>
      </c>
      <c r="F413" s="4" t="e">
        <f ca="1">[1]!BexGetData("DP_1","003N8EMH8GTFRCSWKMPXRRRFI","GSON1112031003")</f>
        <v>#NAME?</v>
      </c>
      <c r="G413" s="4" t="e">
        <f ca="1">[1]!BexGetData("DP_1","003N8EMH8GTFRCSWKMPXRRXR2","GSON1112031003")</f>
        <v>#NAME?</v>
      </c>
      <c r="H413" s="4" t="e">
        <f ca="1">[1]!BexGetData("DP_1","003N8EMH8GTFRCSWKMPXRS42M","GSON1112031003")</f>
        <v>#NAME?</v>
      </c>
      <c r="I413" s="4" t="e">
        <f ca="1">[1]!BexGetData("DP_1","003N8EMH8GTFRCSWKMPXRSAE6","GSON1112031003")</f>
        <v>#NAME?</v>
      </c>
      <c r="J413" s="4" t="e">
        <f ca="1">[1]!BexGetData("DP_1","003N8EMH8GTFRCSWKMPXRSGPQ","GSON1112031003")</f>
        <v>#NAME?</v>
      </c>
      <c r="K413" s="8" t="e">
        <f ca="1">[1]!BexGetData("DP_1","003N8EMH8GTFRIVNUPY288VJH","GSON1112031003")</f>
        <v>#NAME?</v>
      </c>
      <c r="L413" s="8" t="e">
        <f ca="1">[1]!BexGetData("DP_1","003N8EMH8GTFRIVNUPY2891V1","GSON1112031003")</f>
        <v>#NAME?</v>
      </c>
      <c r="M413" s="8" t="e">
        <f ca="1">[1]!BexGetData("DP_1","003N8EMH8GTFRIVOG7KG9IQXA","GSON1112031003")</f>
        <v>#NAME?</v>
      </c>
      <c r="N413" s="8" t="e">
        <f ca="1">[1]!BexGetData("DP_1","003N8EMH8GTFRIVOG7KG9IX8U","GSON1112031003")</f>
        <v>#NAME?</v>
      </c>
      <c r="O413" s="8" t="e">
        <f ca="1">[1]!BexGetData("DP_1","003N8EMH8GTFRIVOG7KG9J3KE","GSON1112031003")</f>
        <v>#NAME?</v>
      </c>
      <c r="P413" s="8" t="e">
        <f ca="1">[1]!BexGetData("DP_1","003N8EMH8GTFRIVOG7KG9J9VY","GSON1112031003")</f>
        <v>#NAME?</v>
      </c>
      <c r="Q413" s="4" t="e">
        <f ca="1">[1]!BexGetData("DP_1","00O2TNJGODT0G5Z4TTKYMM5MT","GSON1112031003")</f>
        <v>#NAME?</v>
      </c>
      <c r="R413" s="4" t="e">
        <f ca="1">[1]!BexGetData("DP_1","00O2TNJGODT0G5Z4TTKYMMBYD","GSON1112031003")</f>
        <v>#NAME?</v>
      </c>
      <c r="S413" s="4" t="e">
        <f ca="1">[1]!BexGetData("DP_1","00O2TNJGODT0G5Z4TTKYMMI9X","GSON1112031003")</f>
        <v>#NAME?</v>
      </c>
      <c r="T413" s="4" t="e">
        <f ca="1">[1]!BexGetData("DP_1","00O2TNJGODT0G5Z4TTKYMMOLH","GSON1112031003")</f>
        <v>#NAME?</v>
      </c>
      <c r="U413" s="4" t="e">
        <f ca="1">[1]!BexGetData("DP_1","00O2TNJGODT0G5Z4TTKYMMUX1","GSON1112031003")</f>
        <v>#NAME?</v>
      </c>
      <c r="V413" s="4" t="e">
        <f ca="1">[1]!BexGetData("DP_1","00O2TNJGODT0G5Z4TTKYMN18L","GSON1112031003")</f>
        <v>#NAME?</v>
      </c>
      <c r="W413" s="4" t="e">
        <f ca="1">[1]!BexGetData("DP_1","00O2TNJGODT0G5Z4TTKYMN7K5","GSON1112031003")</f>
        <v>#NAME?</v>
      </c>
    </row>
    <row r="414" spans="1:23" x14ac:dyDescent="0.2">
      <c r="A414" s="16" t="s">
        <v>2229</v>
      </c>
      <c r="B414" s="7" t="s">
        <v>2230</v>
      </c>
      <c r="C414" s="3" t="e">
        <f ca="1">[1]!BexGetData("DP_1","003N8EMH8GTFRCSWKMPXRR8GU","GSON1112031005")</f>
        <v>#NAME?</v>
      </c>
      <c r="D414" s="3" t="e">
        <f ca="1">[1]!BexGetData("DP_1","003N8EMH8GTFRCSWKMPXRRESE","GSON1112031005")</f>
        <v>#NAME?</v>
      </c>
      <c r="E414" s="8" t="e">
        <f ca="1">[1]!BexGetData("DP_1","003N8EMH8GTFRCSWKMPXRRL3Y","GSON1112031005")</f>
        <v>#NAME?</v>
      </c>
      <c r="F414" s="4" t="e">
        <f ca="1">[1]!BexGetData("DP_1","003N8EMH8GTFRCSWKMPXRRRFI","GSON1112031005")</f>
        <v>#NAME?</v>
      </c>
      <c r="G414" s="4" t="e">
        <f ca="1">[1]!BexGetData("DP_1","003N8EMH8GTFRCSWKMPXRRXR2","GSON1112031005")</f>
        <v>#NAME?</v>
      </c>
      <c r="H414" s="4" t="e">
        <f ca="1">[1]!BexGetData("DP_1","003N8EMH8GTFRCSWKMPXRS42M","GSON1112031005")</f>
        <v>#NAME?</v>
      </c>
      <c r="I414" s="4" t="e">
        <f ca="1">[1]!BexGetData("DP_1","003N8EMH8GTFRCSWKMPXRSAE6","GSON1112031005")</f>
        <v>#NAME?</v>
      </c>
      <c r="J414" s="4" t="e">
        <f ca="1">[1]!BexGetData("DP_1","003N8EMH8GTFRCSWKMPXRSGPQ","GSON1112031005")</f>
        <v>#NAME?</v>
      </c>
      <c r="K414" s="8" t="e">
        <f ca="1">[1]!BexGetData("DP_1","003N8EMH8GTFRIVNUPY288VJH","GSON1112031005")</f>
        <v>#NAME?</v>
      </c>
      <c r="L414" s="8" t="e">
        <f ca="1">[1]!BexGetData("DP_1","003N8EMH8GTFRIVNUPY2891V1","GSON1112031005")</f>
        <v>#NAME?</v>
      </c>
      <c r="M414" s="8" t="e">
        <f ca="1">[1]!BexGetData("DP_1","003N8EMH8GTFRIVOG7KG9IQXA","GSON1112031005")</f>
        <v>#NAME?</v>
      </c>
      <c r="N414" s="8" t="e">
        <f ca="1">[1]!BexGetData("DP_1","003N8EMH8GTFRIVOG7KG9IX8U","GSON1112031005")</f>
        <v>#NAME?</v>
      </c>
      <c r="O414" s="8" t="e">
        <f ca="1">[1]!BexGetData("DP_1","003N8EMH8GTFRIVOG7KG9J3KE","GSON1112031005")</f>
        <v>#NAME?</v>
      </c>
      <c r="P414" s="8" t="e">
        <f ca="1">[1]!BexGetData("DP_1","003N8EMH8GTFRIVOG7KG9J9VY","GSON1112031005")</f>
        <v>#NAME?</v>
      </c>
      <c r="Q414" s="4" t="e">
        <f ca="1">[1]!BexGetData("DP_1","00O2TNJGODT0G5Z4TTKYMM5MT","GSON1112031005")</f>
        <v>#NAME?</v>
      </c>
      <c r="R414" s="4" t="e">
        <f ca="1">[1]!BexGetData("DP_1","00O2TNJGODT0G5Z4TTKYMMBYD","GSON1112031005")</f>
        <v>#NAME?</v>
      </c>
      <c r="S414" s="4" t="e">
        <f ca="1">[1]!BexGetData("DP_1","00O2TNJGODT0G5Z4TTKYMMI9X","GSON1112031005")</f>
        <v>#NAME?</v>
      </c>
      <c r="T414" s="4" t="e">
        <f ca="1">[1]!BexGetData("DP_1","00O2TNJGODT0G5Z4TTKYMMOLH","GSON1112031005")</f>
        <v>#NAME?</v>
      </c>
      <c r="U414" s="4" t="e">
        <f ca="1">[1]!BexGetData("DP_1","00O2TNJGODT0G5Z4TTKYMMUX1","GSON1112031005")</f>
        <v>#NAME?</v>
      </c>
      <c r="V414" s="4" t="e">
        <f ca="1">[1]!BexGetData("DP_1","00O2TNJGODT0G5Z4TTKYMN18L","GSON1112031005")</f>
        <v>#NAME?</v>
      </c>
      <c r="W414" s="4" t="e">
        <f ca="1">[1]!BexGetData("DP_1","00O2TNJGODT0G5Z4TTKYMN7K5","GSON1112031005")</f>
        <v>#NAME?</v>
      </c>
    </row>
    <row r="415" spans="1:23" x14ac:dyDescent="0.2">
      <c r="A415" s="16" t="s">
        <v>939</v>
      </c>
      <c r="B415" s="7" t="s">
        <v>940</v>
      </c>
      <c r="C415" s="3" t="e">
        <f ca="1">[1]!BexGetData("DP_1","003N8EMH8GTFRCSWKMPXRR8GU","GSON1112031010")</f>
        <v>#NAME?</v>
      </c>
      <c r="D415" s="3" t="e">
        <f ca="1">[1]!BexGetData("DP_1","003N8EMH8GTFRCSWKMPXRRESE","GSON1112031010")</f>
        <v>#NAME?</v>
      </c>
      <c r="E415" s="8" t="e">
        <f ca="1">[1]!BexGetData("DP_1","003N8EMH8GTFRCSWKMPXRRL3Y","GSON1112031010")</f>
        <v>#NAME?</v>
      </c>
      <c r="F415" s="3" t="e">
        <f ca="1">[1]!BexGetData("DP_1","003N8EMH8GTFRCSWKMPXRRRFI","GSON1112031010")</f>
        <v>#NAME?</v>
      </c>
      <c r="G415" s="3" t="e">
        <f ca="1">[1]!BexGetData("DP_1","003N8EMH8GTFRCSWKMPXRRXR2","GSON1112031010")</f>
        <v>#NAME?</v>
      </c>
      <c r="H415" s="8" t="e">
        <f ca="1">[1]!BexGetData("DP_1","003N8EMH8GTFRCSWKMPXRS42M","GSON1112031010")</f>
        <v>#NAME?</v>
      </c>
      <c r="I415" s="3" t="e">
        <f ca="1">[1]!BexGetData("DP_1","003N8EMH8GTFRCSWKMPXRSAE6","GSON1112031010")</f>
        <v>#NAME?</v>
      </c>
      <c r="J415" s="4" t="e">
        <f ca="1">[1]!BexGetData("DP_1","003N8EMH8GTFRCSWKMPXRSGPQ","GSON1112031010")</f>
        <v>#NAME?</v>
      </c>
      <c r="K415" s="3" t="e">
        <f ca="1">[1]!BexGetData("DP_1","003N8EMH8GTFRIVNUPY288VJH","GSON1112031010")</f>
        <v>#NAME?</v>
      </c>
      <c r="L415" s="3" t="e">
        <f ca="1">[1]!BexGetData("DP_1","003N8EMH8GTFRIVNUPY2891V1","GSON1112031010")</f>
        <v>#NAME?</v>
      </c>
      <c r="M415" s="3" t="e">
        <f ca="1">[1]!BexGetData("DP_1","003N8EMH8GTFRIVOG7KG9IQXA","GSON1112031010")</f>
        <v>#NAME?</v>
      </c>
      <c r="N415" s="8" t="e">
        <f ca="1">[1]!BexGetData("DP_1","003N8EMH8GTFRIVOG7KG9IX8U","GSON1112031010")</f>
        <v>#NAME?</v>
      </c>
      <c r="O415" s="3" t="e">
        <f ca="1">[1]!BexGetData("DP_1","003N8EMH8GTFRIVOG7KG9J3KE","GSON1112031010")</f>
        <v>#NAME?</v>
      </c>
      <c r="P415" s="8" t="e">
        <f ca="1">[1]!BexGetData("DP_1","003N8EMH8GTFRIVOG7KG9J9VY","GSON1112031010")</f>
        <v>#NAME?</v>
      </c>
      <c r="Q415" s="4" t="e">
        <f ca="1">[1]!BexGetData("DP_1","00O2TNJGODT0G5Z4TTKYMM5MT","GSON1112031010")</f>
        <v>#NAME?</v>
      </c>
      <c r="R415" s="3" t="e">
        <f ca="1">[1]!BexGetData("DP_1","00O2TNJGODT0G5Z4TTKYMMBYD","GSON1112031010")</f>
        <v>#NAME?</v>
      </c>
      <c r="S415" s="3" t="e">
        <f ca="1">[1]!BexGetData("DP_1","00O2TNJGODT0G5Z4TTKYMMI9X","GSON1112031010")</f>
        <v>#NAME?</v>
      </c>
      <c r="T415" s="8" t="e">
        <f ca="1">[1]!BexGetData("DP_1","00O2TNJGODT0G5Z4TTKYMMOLH","GSON1112031010")</f>
        <v>#NAME?</v>
      </c>
      <c r="U415" s="3" t="e">
        <f ca="1">[1]!BexGetData("DP_1","00O2TNJGODT0G5Z4TTKYMMUX1","GSON1112031010")</f>
        <v>#NAME?</v>
      </c>
      <c r="V415" s="8" t="e">
        <f ca="1">[1]!BexGetData("DP_1","00O2TNJGODT0G5Z4TTKYMN18L","GSON1112031010")</f>
        <v>#NAME?</v>
      </c>
      <c r="W415" s="3" t="e">
        <f ca="1">[1]!BexGetData("DP_1","00O2TNJGODT0G5Z4TTKYMN7K5","GSON1112031010")</f>
        <v>#NAME?</v>
      </c>
    </row>
    <row r="416" spans="1:23" x14ac:dyDescent="0.2">
      <c r="A416" s="16" t="s">
        <v>941</v>
      </c>
      <c r="B416" s="7" t="s">
        <v>942</v>
      </c>
      <c r="C416" s="3" t="e">
        <f ca="1">[1]!BexGetData("DP_1","003N8EMH8GTFRCSWKMPXRR8GU","GSON1112031011")</f>
        <v>#NAME?</v>
      </c>
      <c r="D416" s="3" t="e">
        <f ca="1">[1]!BexGetData("DP_1","003N8EMH8GTFRCSWKMPXRRESE","GSON1112031011")</f>
        <v>#NAME?</v>
      </c>
      <c r="E416" s="8" t="e">
        <f ca="1">[1]!BexGetData("DP_1","003N8EMH8GTFRCSWKMPXRRL3Y","GSON1112031011")</f>
        <v>#NAME?</v>
      </c>
      <c r="F416" s="4" t="e">
        <f ca="1">[1]!BexGetData("DP_1","003N8EMH8GTFRCSWKMPXRRRFI","GSON1112031011")</f>
        <v>#NAME?</v>
      </c>
      <c r="G416" s="4" t="e">
        <f ca="1">[1]!BexGetData("DP_1","003N8EMH8GTFRCSWKMPXRRXR2","GSON1112031011")</f>
        <v>#NAME?</v>
      </c>
      <c r="H416" s="4" t="e">
        <f ca="1">[1]!BexGetData("DP_1","003N8EMH8GTFRCSWKMPXRS42M","GSON1112031011")</f>
        <v>#NAME?</v>
      </c>
      <c r="I416" s="4" t="e">
        <f ca="1">[1]!BexGetData("DP_1","003N8EMH8GTFRCSWKMPXRSAE6","GSON1112031011")</f>
        <v>#NAME?</v>
      </c>
      <c r="J416" s="4" t="e">
        <f ca="1">[1]!BexGetData("DP_1","003N8EMH8GTFRCSWKMPXRSGPQ","GSON1112031011")</f>
        <v>#NAME?</v>
      </c>
      <c r="K416" s="8" t="e">
        <f ca="1">[1]!BexGetData("DP_1","003N8EMH8GTFRIVNUPY288VJH","GSON1112031011")</f>
        <v>#NAME?</v>
      </c>
      <c r="L416" s="8" t="e">
        <f ca="1">[1]!BexGetData("DP_1","003N8EMH8GTFRIVNUPY2891V1","GSON1112031011")</f>
        <v>#NAME?</v>
      </c>
      <c r="M416" s="8" t="e">
        <f ca="1">[1]!BexGetData("DP_1","003N8EMH8GTFRIVOG7KG9IQXA","GSON1112031011")</f>
        <v>#NAME?</v>
      </c>
      <c r="N416" s="8" t="e">
        <f ca="1">[1]!BexGetData("DP_1","003N8EMH8GTFRIVOG7KG9IX8U","GSON1112031011")</f>
        <v>#NAME?</v>
      </c>
      <c r="O416" s="8" t="e">
        <f ca="1">[1]!BexGetData("DP_1","003N8EMH8GTFRIVOG7KG9J3KE","GSON1112031011")</f>
        <v>#NAME?</v>
      </c>
      <c r="P416" s="8" t="e">
        <f ca="1">[1]!BexGetData("DP_1","003N8EMH8GTFRIVOG7KG9J9VY","GSON1112031011")</f>
        <v>#NAME?</v>
      </c>
      <c r="Q416" s="4" t="e">
        <f ca="1">[1]!BexGetData("DP_1","00O2TNJGODT0G5Z4TTKYMM5MT","GSON1112031011")</f>
        <v>#NAME?</v>
      </c>
      <c r="R416" s="4" t="e">
        <f ca="1">[1]!BexGetData("DP_1","00O2TNJGODT0G5Z4TTKYMMBYD","GSON1112031011")</f>
        <v>#NAME?</v>
      </c>
      <c r="S416" s="4" t="e">
        <f ca="1">[1]!BexGetData("DP_1","00O2TNJGODT0G5Z4TTKYMMI9X","GSON1112031011")</f>
        <v>#NAME?</v>
      </c>
      <c r="T416" s="4" t="e">
        <f ca="1">[1]!BexGetData("DP_1","00O2TNJGODT0G5Z4TTKYMMOLH","GSON1112031011")</f>
        <v>#NAME?</v>
      </c>
      <c r="U416" s="4" t="e">
        <f ca="1">[1]!BexGetData("DP_1","00O2TNJGODT0G5Z4TTKYMMUX1","GSON1112031011")</f>
        <v>#NAME?</v>
      </c>
      <c r="V416" s="4" t="e">
        <f ca="1">[1]!BexGetData("DP_1","00O2TNJGODT0G5Z4TTKYMN18L","GSON1112031011")</f>
        <v>#NAME?</v>
      </c>
      <c r="W416" s="4" t="e">
        <f ca="1">[1]!BexGetData("DP_1","00O2TNJGODT0G5Z4TTKYMN7K5","GSON1112031011")</f>
        <v>#NAME?</v>
      </c>
    </row>
    <row r="417" spans="1:23" x14ac:dyDescent="0.2">
      <c r="A417" s="16" t="s">
        <v>2231</v>
      </c>
      <c r="B417" s="7" t="s">
        <v>2232</v>
      </c>
      <c r="C417" s="3" t="e">
        <f ca="1">[1]!BexGetData("DP_1","003N8EMH8GTFRCSWKMPXRR8GU","GSON1112031013")</f>
        <v>#NAME?</v>
      </c>
      <c r="D417" s="3" t="e">
        <f ca="1">[1]!BexGetData("DP_1","003N8EMH8GTFRCSWKMPXRRESE","GSON1112031013")</f>
        <v>#NAME?</v>
      </c>
      <c r="E417" s="8" t="e">
        <f ca="1">[1]!BexGetData("DP_1","003N8EMH8GTFRCSWKMPXRRL3Y","GSON1112031013")</f>
        <v>#NAME?</v>
      </c>
      <c r="F417" s="4" t="e">
        <f ca="1">[1]!BexGetData("DP_1","003N8EMH8GTFRCSWKMPXRRRFI","GSON1112031013")</f>
        <v>#NAME?</v>
      </c>
      <c r="G417" s="4" t="e">
        <f ca="1">[1]!BexGetData("DP_1","003N8EMH8GTFRCSWKMPXRRXR2","GSON1112031013")</f>
        <v>#NAME?</v>
      </c>
      <c r="H417" s="4" t="e">
        <f ca="1">[1]!BexGetData("DP_1","003N8EMH8GTFRCSWKMPXRS42M","GSON1112031013")</f>
        <v>#NAME?</v>
      </c>
      <c r="I417" s="4" t="e">
        <f ca="1">[1]!BexGetData("DP_1","003N8EMH8GTFRCSWKMPXRSAE6","GSON1112031013")</f>
        <v>#NAME?</v>
      </c>
      <c r="J417" s="4" t="e">
        <f ca="1">[1]!BexGetData("DP_1","003N8EMH8GTFRCSWKMPXRSGPQ","GSON1112031013")</f>
        <v>#NAME?</v>
      </c>
      <c r="K417" s="8" t="e">
        <f ca="1">[1]!BexGetData("DP_1","003N8EMH8GTFRIVNUPY288VJH","GSON1112031013")</f>
        <v>#NAME?</v>
      </c>
      <c r="L417" s="8" t="e">
        <f ca="1">[1]!BexGetData("DP_1","003N8EMH8GTFRIVNUPY2891V1","GSON1112031013")</f>
        <v>#NAME?</v>
      </c>
      <c r="M417" s="8" t="e">
        <f ca="1">[1]!BexGetData("DP_1","003N8EMH8GTFRIVOG7KG9IQXA","GSON1112031013")</f>
        <v>#NAME?</v>
      </c>
      <c r="N417" s="8" t="e">
        <f ca="1">[1]!BexGetData("DP_1","003N8EMH8GTFRIVOG7KG9IX8U","GSON1112031013")</f>
        <v>#NAME?</v>
      </c>
      <c r="O417" s="8" t="e">
        <f ca="1">[1]!BexGetData("DP_1","003N8EMH8GTFRIVOG7KG9J3KE","GSON1112031013")</f>
        <v>#NAME?</v>
      </c>
      <c r="P417" s="8" t="e">
        <f ca="1">[1]!BexGetData("DP_1","003N8EMH8GTFRIVOG7KG9J9VY","GSON1112031013")</f>
        <v>#NAME?</v>
      </c>
      <c r="Q417" s="4" t="e">
        <f ca="1">[1]!BexGetData("DP_1","00O2TNJGODT0G5Z4TTKYMM5MT","GSON1112031013")</f>
        <v>#NAME?</v>
      </c>
      <c r="R417" s="4" t="e">
        <f ca="1">[1]!BexGetData("DP_1","00O2TNJGODT0G5Z4TTKYMMBYD","GSON1112031013")</f>
        <v>#NAME?</v>
      </c>
      <c r="S417" s="4" t="e">
        <f ca="1">[1]!BexGetData("DP_1","00O2TNJGODT0G5Z4TTKYMMI9X","GSON1112031013")</f>
        <v>#NAME?</v>
      </c>
      <c r="T417" s="4" t="e">
        <f ca="1">[1]!BexGetData("DP_1","00O2TNJGODT0G5Z4TTKYMMOLH","GSON1112031013")</f>
        <v>#NAME?</v>
      </c>
      <c r="U417" s="4" t="e">
        <f ca="1">[1]!BexGetData("DP_1","00O2TNJGODT0G5Z4TTKYMMUX1","GSON1112031013")</f>
        <v>#NAME?</v>
      </c>
      <c r="V417" s="4" t="e">
        <f ca="1">[1]!BexGetData("DP_1","00O2TNJGODT0G5Z4TTKYMN18L","GSON1112031013")</f>
        <v>#NAME?</v>
      </c>
      <c r="W417" s="4" t="e">
        <f ca="1">[1]!BexGetData("DP_1","00O2TNJGODT0G5Z4TTKYMN7K5","GSON1112031013")</f>
        <v>#NAME?</v>
      </c>
    </row>
    <row r="418" spans="1:23" x14ac:dyDescent="0.2">
      <c r="A418" s="16" t="s">
        <v>2233</v>
      </c>
      <c r="B418" s="7" t="s">
        <v>2234</v>
      </c>
      <c r="C418" s="3" t="e">
        <f ca="1">[1]!BexGetData("DP_1","003N8EMH8GTFRCSWKMPXRR8GU","GSON1112031015")</f>
        <v>#NAME?</v>
      </c>
      <c r="D418" s="3" t="e">
        <f ca="1">[1]!BexGetData("DP_1","003N8EMH8GTFRCSWKMPXRRESE","GSON1112031015")</f>
        <v>#NAME?</v>
      </c>
      <c r="E418" s="8" t="e">
        <f ca="1">[1]!BexGetData("DP_1","003N8EMH8GTFRCSWKMPXRRL3Y","GSON1112031015")</f>
        <v>#NAME?</v>
      </c>
      <c r="F418" s="4" t="e">
        <f ca="1">[1]!BexGetData("DP_1","003N8EMH8GTFRCSWKMPXRRRFI","GSON1112031015")</f>
        <v>#NAME?</v>
      </c>
      <c r="G418" s="4" t="e">
        <f ca="1">[1]!BexGetData("DP_1","003N8EMH8GTFRCSWKMPXRRXR2","GSON1112031015")</f>
        <v>#NAME?</v>
      </c>
      <c r="H418" s="4" t="e">
        <f ca="1">[1]!BexGetData("DP_1","003N8EMH8GTFRCSWKMPXRS42M","GSON1112031015")</f>
        <v>#NAME?</v>
      </c>
      <c r="I418" s="4" t="e">
        <f ca="1">[1]!BexGetData("DP_1","003N8EMH8GTFRCSWKMPXRSAE6","GSON1112031015")</f>
        <v>#NAME?</v>
      </c>
      <c r="J418" s="4" t="e">
        <f ca="1">[1]!BexGetData("DP_1","003N8EMH8GTFRCSWKMPXRSGPQ","GSON1112031015")</f>
        <v>#NAME?</v>
      </c>
      <c r="K418" s="8" t="e">
        <f ca="1">[1]!BexGetData("DP_1","003N8EMH8GTFRIVNUPY288VJH","GSON1112031015")</f>
        <v>#NAME?</v>
      </c>
      <c r="L418" s="8" t="e">
        <f ca="1">[1]!BexGetData("DP_1","003N8EMH8GTFRIVNUPY2891V1","GSON1112031015")</f>
        <v>#NAME?</v>
      </c>
      <c r="M418" s="8" t="e">
        <f ca="1">[1]!BexGetData("DP_1","003N8EMH8GTFRIVOG7KG9IQXA","GSON1112031015")</f>
        <v>#NAME?</v>
      </c>
      <c r="N418" s="8" t="e">
        <f ca="1">[1]!BexGetData("DP_1","003N8EMH8GTFRIVOG7KG9IX8U","GSON1112031015")</f>
        <v>#NAME?</v>
      </c>
      <c r="O418" s="8" t="e">
        <f ca="1">[1]!BexGetData("DP_1","003N8EMH8GTFRIVOG7KG9J3KE","GSON1112031015")</f>
        <v>#NAME?</v>
      </c>
      <c r="P418" s="8" t="e">
        <f ca="1">[1]!BexGetData("DP_1","003N8EMH8GTFRIVOG7KG9J9VY","GSON1112031015")</f>
        <v>#NAME?</v>
      </c>
      <c r="Q418" s="4" t="e">
        <f ca="1">[1]!BexGetData("DP_1","00O2TNJGODT0G5Z4TTKYMM5MT","GSON1112031015")</f>
        <v>#NAME?</v>
      </c>
      <c r="R418" s="4" t="e">
        <f ca="1">[1]!BexGetData("DP_1","00O2TNJGODT0G5Z4TTKYMMBYD","GSON1112031015")</f>
        <v>#NAME?</v>
      </c>
      <c r="S418" s="4" t="e">
        <f ca="1">[1]!BexGetData("DP_1","00O2TNJGODT0G5Z4TTKYMMI9X","GSON1112031015")</f>
        <v>#NAME?</v>
      </c>
      <c r="T418" s="4" t="e">
        <f ca="1">[1]!BexGetData("DP_1","00O2TNJGODT0G5Z4TTKYMMOLH","GSON1112031015")</f>
        <v>#NAME?</v>
      </c>
      <c r="U418" s="4" t="e">
        <f ca="1">[1]!BexGetData("DP_1","00O2TNJGODT0G5Z4TTKYMMUX1","GSON1112031015")</f>
        <v>#NAME?</v>
      </c>
      <c r="V418" s="4" t="e">
        <f ca="1">[1]!BexGetData("DP_1","00O2TNJGODT0G5Z4TTKYMN18L","GSON1112031015")</f>
        <v>#NAME?</v>
      </c>
      <c r="W418" s="4" t="e">
        <f ca="1">[1]!BexGetData("DP_1","00O2TNJGODT0G5Z4TTKYMN7K5","GSON1112031015")</f>
        <v>#NAME?</v>
      </c>
    </row>
    <row r="419" spans="1:23" x14ac:dyDescent="0.2">
      <c r="A419" s="16" t="s">
        <v>2235</v>
      </c>
      <c r="B419" s="7" t="s">
        <v>2236</v>
      </c>
      <c r="C419" s="3" t="e">
        <f ca="1">[1]!BexGetData("DP_1","003N8EMH8GTFRCSWKMPXRR8GU","GSON1112031020")</f>
        <v>#NAME?</v>
      </c>
      <c r="D419" s="8" t="e">
        <f ca="1">[1]!BexGetData("DP_1","003N8EMH8GTFRCSWKMPXRRESE","GSON1112031020")</f>
        <v>#NAME?</v>
      </c>
      <c r="E419" s="3" t="e">
        <f ca="1">[1]!BexGetData("DP_1","003N8EMH8GTFRCSWKMPXRRL3Y","GSON1112031020")</f>
        <v>#NAME?</v>
      </c>
      <c r="F419" s="3" t="e">
        <f ca="1">[1]!BexGetData("DP_1","003N8EMH8GTFRCSWKMPXRRRFI","GSON1112031020")</f>
        <v>#NAME?</v>
      </c>
      <c r="G419" s="3" t="e">
        <f ca="1">[1]!BexGetData("DP_1","003N8EMH8GTFRCSWKMPXRRXR2","GSON1112031020")</f>
        <v>#NAME?</v>
      </c>
      <c r="H419" s="8" t="e">
        <f ca="1">[1]!BexGetData("DP_1","003N8EMH8GTFRCSWKMPXRS42M","GSON1112031020")</f>
        <v>#NAME?</v>
      </c>
      <c r="I419" s="3" t="e">
        <f ca="1">[1]!BexGetData("DP_1","003N8EMH8GTFRCSWKMPXRSAE6","GSON1112031020")</f>
        <v>#NAME?</v>
      </c>
      <c r="J419" s="4" t="e">
        <f ca="1">[1]!BexGetData("DP_1","003N8EMH8GTFRCSWKMPXRSGPQ","GSON1112031020")</f>
        <v>#NAME?</v>
      </c>
      <c r="K419" s="3" t="e">
        <f ca="1">[1]!BexGetData("DP_1","003N8EMH8GTFRIVNUPY288VJH","GSON1112031020")</f>
        <v>#NAME?</v>
      </c>
      <c r="L419" s="3" t="e">
        <f ca="1">[1]!BexGetData("DP_1","003N8EMH8GTFRIVNUPY2891V1","GSON1112031020")</f>
        <v>#NAME?</v>
      </c>
      <c r="M419" s="8" t="e">
        <f ca="1">[1]!BexGetData("DP_1","003N8EMH8GTFRIVOG7KG9IQXA","GSON1112031020")</f>
        <v>#NAME?</v>
      </c>
      <c r="N419" s="3" t="e">
        <f ca="1">[1]!BexGetData("DP_1","003N8EMH8GTFRIVOG7KG9IX8U","GSON1112031020")</f>
        <v>#NAME?</v>
      </c>
      <c r="O419" s="8" t="e">
        <f ca="1">[1]!BexGetData("DP_1","003N8EMH8GTFRIVOG7KG9J3KE","GSON1112031020")</f>
        <v>#NAME?</v>
      </c>
      <c r="P419" s="3" t="e">
        <f ca="1">[1]!BexGetData("DP_1","003N8EMH8GTFRIVOG7KG9J9VY","GSON1112031020")</f>
        <v>#NAME?</v>
      </c>
      <c r="Q419" s="4" t="e">
        <f ca="1">[1]!BexGetData("DP_1","00O2TNJGODT0G5Z4TTKYMM5MT","GSON1112031020")</f>
        <v>#NAME?</v>
      </c>
      <c r="R419" s="3" t="e">
        <f ca="1">[1]!BexGetData("DP_1","00O2TNJGODT0G5Z4TTKYMMBYD","GSON1112031020")</f>
        <v>#NAME?</v>
      </c>
      <c r="S419" s="3" t="e">
        <f ca="1">[1]!BexGetData("DP_1","00O2TNJGODT0G5Z4TTKYMMI9X","GSON1112031020")</f>
        <v>#NAME?</v>
      </c>
      <c r="T419" s="8" t="e">
        <f ca="1">[1]!BexGetData("DP_1","00O2TNJGODT0G5Z4TTKYMMOLH","GSON1112031020")</f>
        <v>#NAME?</v>
      </c>
      <c r="U419" s="3" t="e">
        <f ca="1">[1]!BexGetData("DP_1","00O2TNJGODT0G5Z4TTKYMMUX1","GSON1112031020")</f>
        <v>#NAME?</v>
      </c>
      <c r="V419" s="8" t="e">
        <f ca="1">[1]!BexGetData("DP_1","00O2TNJGODT0G5Z4TTKYMN18L","GSON1112031020")</f>
        <v>#NAME?</v>
      </c>
      <c r="W419" s="3" t="e">
        <f ca="1">[1]!BexGetData("DP_1","00O2TNJGODT0G5Z4TTKYMN7K5","GSON1112031020")</f>
        <v>#NAME?</v>
      </c>
    </row>
    <row r="420" spans="1:23" x14ac:dyDescent="0.2">
      <c r="A420" s="16" t="s">
        <v>2237</v>
      </c>
      <c r="B420" s="7" t="s">
        <v>2238</v>
      </c>
      <c r="C420" s="3" t="e">
        <f ca="1">[1]!BexGetData("DP_1","003N8EMH8GTFRCSWKMPXRR8GU","GSON1112031021")</f>
        <v>#NAME?</v>
      </c>
      <c r="D420" s="3" t="e">
        <f ca="1">[1]!BexGetData("DP_1","003N8EMH8GTFRCSWKMPXRRESE","GSON1112031021")</f>
        <v>#NAME?</v>
      </c>
      <c r="E420" s="8" t="e">
        <f ca="1">[1]!BexGetData("DP_1","003N8EMH8GTFRCSWKMPXRRL3Y","GSON1112031021")</f>
        <v>#NAME?</v>
      </c>
      <c r="F420" s="4" t="e">
        <f ca="1">[1]!BexGetData("DP_1","003N8EMH8GTFRCSWKMPXRRRFI","GSON1112031021")</f>
        <v>#NAME?</v>
      </c>
      <c r="G420" s="4" t="e">
        <f ca="1">[1]!BexGetData("DP_1","003N8EMH8GTFRCSWKMPXRRXR2","GSON1112031021")</f>
        <v>#NAME?</v>
      </c>
      <c r="H420" s="4" t="e">
        <f ca="1">[1]!BexGetData("DP_1","003N8EMH8GTFRCSWKMPXRS42M","GSON1112031021")</f>
        <v>#NAME?</v>
      </c>
      <c r="I420" s="4" t="e">
        <f ca="1">[1]!BexGetData("DP_1","003N8EMH8GTFRCSWKMPXRSAE6","GSON1112031021")</f>
        <v>#NAME?</v>
      </c>
      <c r="J420" s="4" t="e">
        <f ca="1">[1]!BexGetData("DP_1","003N8EMH8GTFRCSWKMPXRSGPQ","GSON1112031021")</f>
        <v>#NAME?</v>
      </c>
      <c r="K420" s="8" t="e">
        <f ca="1">[1]!BexGetData("DP_1","003N8EMH8GTFRIVNUPY288VJH","GSON1112031021")</f>
        <v>#NAME?</v>
      </c>
      <c r="L420" s="8" t="e">
        <f ca="1">[1]!BexGetData("DP_1","003N8EMH8GTFRIVNUPY2891V1","GSON1112031021")</f>
        <v>#NAME?</v>
      </c>
      <c r="M420" s="8" t="e">
        <f ca="1">[1]!BexGetData("DP_1","003N8EMH8GTFRIVOG7KG9IQXA","GSON1112031021")</f>
        <v>#NAME?</v>
      </c>
      <c r="N420" s="8" t="e">
        <f ca="1">[1]!BexGetData("DP_1","003N8EMH8GTFRIVOG7KG9IX8U","GSON1112031021")</f>
        <v>#NAME?</v>
      </c>
      <c r="O420" s="8" t="e">
        <f ca="1">[1]!BexGetData("DP_1","003N8EMH8GTFRIVOG7KG9J3KE","GSON1112031021")</f>
        <v>#NAME?</v>
      </c>
      <c r="P420" s="8" t="e">
        <f ca="1">[1]!BexGetData("DP_1","003N8EMH8GTFRIVOG7KG9J9VY","GSON1112031021")</f>
        <v>#NAME?</v>
      </c>
      <c r="Q420" s="4" t="e">
        <f ca="1">[1]!BexGetData("DP_1","00O2TNJGODT0G5Z4TTKYMM5MT","GSON1112031021")</f>
        <v>#NAME?</v>
      </c>
      <c r="R420" s="4" t="e">
        <f ca="1">[1]!BexGetData("DP_1","00O2TNJGODT0G5Z4TTKYMMBYD","GSON1112031021")</f>
        <v>#NAME?</v>
      </c>
      <c r="S420" s="4" t="e">
        <f ca="1">[1]!BexGetData("DP_1","00O2TNJGODT0G5Z4TTKYMMI9X","GSON1112031021")</f>
        <v>#NAME?</v>
      </c>
      <c r="T420" s="4" t="e">
        <f ca="1">[1]!BexGetData("DP_1","00O2TNJGODT0G5Z4TTKYMMOLH","GSON1112031021")</f>
        <v>#NAME?</v>
      </c>
      <c r="U420" s="4" t="e">
        <f ca="1">[1]!BexGetData("DP_1","00O2TNJGODT0G5Z4TTKYMMUX1","GSON1112031021")</f>
        <v>#NAME?</v>
      </c>
      <c r="V420" s="4" t="e">
        <f ca="1">[1]!BexGetData("DP_1","00O2TNJGODT0G5Z4TTKYMN18L","GSON1112031021")</f>
        <v>#NAME?</v>
      </c>
      <c r="W420" s="4" t="e">
        <f ca="1">[1]!BexGetData("DP_1","00O2TNJGODT0G5Z4TTKYMN7K5","GSON1112031021")</f>
        <v>#NAME?</v>
      </c>
    </row>
    <row r="421" spans="1:23" x14ac:dyDescent="0.2">
      <c r="A421" s="16" t="s">
        <v>2239</v>
      </c>
      <c r="B421" s="7" t="s">
        <v>2240</v>
      </c>
      <c r="C421" s="3" t="e">
        <f ca="1">[1]!BexGetData("DP_1","003N8EMH8GTFRCSWKMPXRR8GU","GSON1112031025")</f>
        <v>#NAME?</v>
      </c>
      <c r="D421" s="3" t="e">
        <f ca="1">[1]!BexGetData("DP_1","003N8EMH8GTFRCSWKMPXRRESE","GSON1112031025")</f>
        <v>#NAME?</v>
      </c>
      <c r="E421" s="8" t="e">
        <f ca="1">[1]!BexGetData("DP_1","003N8EMH8GTFRCSWKMPXRRL3Y","GSON1112031025")</f>
        <v>#NAME?</v>
      </c>
      <c r="F421" s="4" t="e">
        <f ca="1">[1]!BexGetData("DP_1","003N8EMH8GTFRCSWKMPXRRRFI","GSON1112031025")</f>
        <v>#NAME?</v>
      </c>
      <c r="G421" s="4" t="e">
        <f ca="1">[1]!BexGetData("DP_1","003N8EMH8GTFRCSWKMPXRRXR2","GSON1112031025")</f>
        <v>#NAME?</v>
      </c>
      <c r="H421" s="4" t="e">
        <f ca="1">[1]!BexGetData("DP_1","003N8EMH8GTFRCSWKMPXRS42M","GSON1112031025")</f>
        <v>#NAME?</v>
      </c>
      <c r="I421" s="4" t="e">
        <f ca="1">[1]!BexGetData("DP_1","003N8EMH8GTFRCSWKMPXRSAE6","GSON1112031025")</f>
        <v>#NAME?</v>
      </c>
      <c r="J421" s="4" t="e">
        <f ca="1">[1]!BexGetData("DP_1","003N8EMH8GTFRCSWKMPXRSGPQ","GSON1112031025")</f>
        <v>#NAME?</v>
      </c>
      <c r="K421" s="8" t="e">
        <f ca="1">[1]!BexGetData("DP_1","003N8EMH8GTFRIVNUPY288VJH","GSON1112031025")</f>
        <v>#NAME?</v>
      </c>
      <c r="L421" s="8" t="e">
        <f ca="1">[1]!BexGetData("DP_1","003N8EMH8GTFRIVNUPY2891V1","GSON1112031025")</f>
        <v>#NAME?</v>
      </c>
      <c r="M421" s="8" t="e">
        <f ca="1">[1]!BexGetData("DP_1","003N8EMH8GTFRIVOG7KG9IQXA","GSON1112031025")</f>
        <v>#NAME?</v>
      </c>
      <c r="N421" s="8" t="e">
        <f ca="1">[1]!BexGetData("DP_1","003N8EMH8GTFRIVOG7KG9IX8U","GSON1112031025")</f>
        <v>#NAME?</v>
      </c>
      <c r="O421" s="8" t="e">
        <f ca="1">[1]!BexGetData("DP_1","003N8EMH8GTFRIVOG7KG9J3KE","GSON1112031025")</f>
        <v>#NAME?</v>
      </c>
      <c r="P421" s="8" t="e">
        <f ca="1">[1]!BexGetData("DP_1","003N8EMH8GTFRIVOG7KG9J9VY","GSON1112031025")</f>
        <v>#NAME?</v>
      </c>
      <c r="Q421" s="4" t="e">
        <f ca="1">[1]!BexGetData("DP_1","00O2TNJGODT0G5Z4TTKYMM5MT","GSON1112031025")</f>
        <v>#NAME?</v>
      </c>
      <c r="R421" s="4" t="e">
        <f ca="1">[1]!BexGetData("DP_1","00O2TNJGODT0G5Z4TTKYMMBYD","GSON1112031025")</f>
        <v>#NAME?</v>
      </c>
      <c r="S421" s="4" t="e">
        <f ca="1">[1]!BexGetData("DP_1","00O2TNJGODT0G5Z4TTKYMMI9X","GSON1112031025")</f>
        <v>#NAME?</v>
      </c>
      <c r="T421" s="4" t="e">
        <f ca="1">[1]!BexGetData("DP_1","00O2TNJGODT0G5Z4TTKYMMOLH","GSON1112031025")</f>
        <v>#NAME?</v>
      </c>
      <c r="U421" s="4" t="e">
        <f ca="1">[1]!BexGetData("DP_1","00O2TNJGODT0G5Z4TTKYMMUX1","GSON1112031025")</f>
        <v>#NAME?</v>
      </c>
      <c r="V421" s="4" t="e">
        <f ca="1">[1]!BexGetData("DP_1","00O2TNJGODT0G5Z4TTKYMN18L","GSON1112031025")</f>
        <v>#NAME?</v>
      </c>
      <c r="W421" s="4" t="e">
        <f ca="1">[1]!BexGetData("DP_1","00O2TNJGODT0G5Z4TTKYMN7K5","GSON1112031025")</f>
        <v>#NAME?</v>
      </c>
    </row>
    <row r="422" spans="1:23" x14ac:dyDescent="0.2">
      <c r="A422" s="16" t="s">
        <v>2241</v>
      </c>
      <c r="B422" s="7" t="s">
        <v>2242</v>
      </c>
      <c r="C422" s="3" t="e">
        <f ca="1">[1]!BexGetData("DP_1","003N8EMH8GTFRCSWKMPXRR8GU","GSON1112031030")</f>
        <v>#NAME?</v>
      </c>
      <c r="D422" s="3" t="e">
        <f ca="1">[1]!BexGetData("DP_1","003N8EMH8GTFRCSWKMPXRRESE","GSON1112031030")</f>
        <v>#NAME?</v>
      </c>
      <c r="E422" s="3" t="e">
        <f ca="1">[1]!BexGetData("DP_1","003N8EMH8GTFRCSWKMPXRRL3Y","GSON1112031030")</f>
        <v>#NAME?</v>
      </c>
      <c r="F422" s="3" t="e">
        <f ca="1">[1]!BexGetData("DP_1","003N8EMH8GTFRCSWKMPXRRRFI","GSON1112031030")</f>
        <v>#NAME?</v>
      </c>
      <c r="G422" s="3" t="e">
        <f ca="1">[1]!BexGetData("DP_1","003N8EMH8GTFRCSWKMPXRRXR2","GSON1112031030")</f>
        <v>#NAME?</v>
      </c>
      <c r="H422" s="8" t="e">
        <f ca="1">[1]!BexGetData("DP_1","003N8EMH8GTFRCSWKMPXRS42M","GSON1112031030")</f>
        <v>#NAME?</v>
      </c>
      <c r="I422" s="3" t="e">
        <f ca="1">[1]!BexGetData("DP_1","003N8EMH8GTFRCSWKMPXRSAE6","GSON1112031030")</f>
        <v>#NAME?</v>
      </c>
      <c r="J422" s="4" t="e">
        <f ca="1">[1]!BexGetData("DP_1","003N8EMH8GTFRCSWKMPXRSGPQ","GSON1112031030")</f>
        <v>#NAME?</v>
      </c>
      <c r="K422" s="3" t="e">
        <f ca="1">[1]!BexGetData("DP_1","003N8EMH8GTFRIVNUPY288VJH","GSON1112031030")</f>
        <v>#NAME?</v>
      </c>
      <c r="L422" s="3" t="e">
        <f ca="1">[1]!BexGetData("DP_1","003N8EMH8GTFRIVNUPY2891V1","GSON1112031030")</f>
        <v>#NAME?</v>
      </c>
      <c r="M422" s="3" t="e">
        <f ca="1">[1]!BexGetData("DP_1","003N8EMH8GTFRIVOG7KG9IQXA","GSON1112031030")</f>
        <v>#NAME?</v>
      </c>
      <c r="N422" s="8" t="e">
        <f ca="1">[1]!BexGetData("DP_1","003N8EMH8GTFRIVOG7KG9IX8U","GSON1112031030")</f>
        <v>#NAME?</v>
      </c>
      <c r="O422" s="3" t="e">
        <f ca="1">[1]!BexGetData("DP_1","003N8EMH8GTFRIVOG7KG9J3KE","GSON1112031030")</f>
        <v>#NAME?</v>
      </c>
      <c r="P422" s="8" t="e">
        <f ca="1">[1]!BexGetData("DP_1","003N8EMH8GTFRIVOG7KG9J9VY","GSON1112031030")</f>
        <v>#NAME?</v>
      </c>
      <c r="Q422" s="4" t="e">
        <f ca="1">[1]!BexGetData("DP_1","00O2TNJGODT0G5Z4TTKYMM5MT","GSON1112031030")</f>
        <v>#NAME?</v>
      </c>
      <c r="R422" s="3" t="e">
        <f ca="1">[1]!BexGetData("DP_1","00O2TNJGODT0G5Z4TTKYMMBYD","GSON1112031030")</f>
        <v>#NAME?</v>
      </c>
      <c r="S422" s="3" t="e">
        <f ca="1">[1]!BexGetData("DP_1","00O2TNJGODT0G5Z4TTKYMMI9X","GSON1112031030")</f>
        <v>#NAME?</v>
      </c>
      <c r="T422" s="8" t="e">
        <f ca="1">[1]!BexGetData("DP_1","00O2TNJGODT0G5Z4TTKYMMOLH","GSON1112031030")</f>
        <v>#NAME?</v>
      </c>
      <c r="U422" s="3" t="e">
        <f ca="1">[1]!BexGetData("DP_1","00O2TNJGODT0G5Z4TTKYMMUX1","GSON1112031030")</f>
        <v>#NAME?</v>
      </c>
      <c r="V422" s="8" t="e">
        <f ca="1">[1]!BexGetData("DP_1","00O2TNJGODT0G5Z4TTKYMN18L","GSON1112031030")</f>
        <v>#NAME?</v>
      </c>
      <c r="W422" s="3" t="e">
        <f ca="1">[1]!BexGetData("DP_1","00O2TNJGODT0G5Z4TTKYMN7K5","GSON1112031030")</f>
        <v>#NAME?</v>
      </c>
    </row>
    <row r="423" spans="1:23" x14ac:dyDescent="0.2">
      <c r="A423" s="16" t="s">
        <v>2243</v>
      </c>
      <c r="B423" s="7" t="s">
        <v>2244</v>
      </c>
      <c r="C423" s="3" t="e">
        <f ca="1">[1]!BexGetData("DP_1","003N8EMH8GTFRCSWKMPXRR8GU","GSON1112031031")</f>
        <v>#NAME?</v>
      </c>
      <c r="D423" s="3" t="e">
        <f ca="1">[1]!BexGetData("DP_1","003N8EMH8GTFRCSWKMPXRRESE","GSON1112031031")</f>
        <v>#NAME?</v>
      </c>
      <c r="E423" s="8" t="e">
        <f ca="1">[1]!BexGetData("DP_1","003N8EMH8GTFRCSWKMPXRRL3Y","GSON1112031031")</f>
        <v>#NAME?</v>
      </c>
      <c r="F423" s="4" t="e">
        <f ca="1">[1]!BexGetData("DP_1","003N8EMH8GTFRCSWKMPXRRRFI","GSON1112031031")</f>
        <v>#NAME?</v>
      </c>
      <c r="G423" s="4" t="e">
        <f ca="1">[1]!BexGetData("DP_1","003N8EMH8GTFRCSWKMPXRRXR2","GSON1112031031")</f>
        <v>#NAME?</v>
      </c>
      <c r="H423" s="4" t="e">
        <f ca="1">[1]!BexGetData("DP_1","003N8EMH8GTFRCSWKMPXRS42M","GSON1112031031")</f>
        <v>#NAME?</v>
      </c>
      <c r="I423" s="4" t="e">
        <f ca="1">[1]!BexGetData("DP_1","003N8EMH8GTFRCSWKMPXRSAE6","GSON1112031031")</f>
        <v>#NAME?</v>
      </c>
      <c r="J423" s="4" t="e">
        <f ca="1">[1]!BexGetData("DP_1","003N8EMH8GTFRCSWKMPXRSGPQ","GSON1112031031")</f>
        <v>#NAME?</v>
      </c>
      <c r="K423" s="8" t="e">
        <f ca="1">[1]!BexGetData("DP_1","003N8EMH8GTFRIVNUPY288VJH","GSON1112031031")</f>
        <v>#NAME?</v>
      </c>
      <c r="L423" s="8" t="e">
        <f ca="1">[1]!BexGetData("DP_1","003N8EMH8GTFRIVNUPY2891V1","GSON1112031031")</f>
        <v>#NAME?</v>
      </c>
      <c r="M423" s="8" t="e">
        <f ca="1">[1]!BexGetData("DP_1","003N8EMH8GTFRIVOG7KG9IQXA","GSON1112031031")</f>
        <v>#NAME?</v>
      </c>
      <c r="N423" s="8" t="e">
        <f ca="1">[1]!BexGetData("DP_1","003N8EMH8GTFRIVOG7KG9IX8U","GSON1112031031")</f>
        <v>#NAME?</v>
      </c>
      <c r="O423" s="8" t="e">
        <f ca="1">[1]!BexGetData("DP_1","003N8EMH8GTFRIVOG7KG9J3KE","GSON1112031031")</f>
        <v>#NAME?</v>
      </c>
      <c r="P423" s="8" t="e">
        <f ca="1">[1]!BexGetData("DP_1","003N8EMH8GTFRIVOG7KG9J9VY","GSON1112031031")</f>
        <v>#NAME?</v>
      </c>
      <c r="Q423" s="4" t="e">
        <f ca="1">[1]!BexGetData("DP_1","00O2TNJGODT0G5Z4TTKYMM5MT","GSON1112031031")</f>
        <v>#NAME?</v>
      </c>
      <c r="R423" s="4" t="e">
        <f ca="1">[1]!BexGetData("DP_1","00O2TNJGODT0G5Z4TTKYMMBYD","GSON1112031031")</f>
        <v>#NAME?</v>
      </c>
      <c r="S423" s="4" t="e">
        <f ca="1">[1]!BexGetData("DP_1","00O2TNJGODT0G5Z4TTKYMMI9X","GSON1112031031")</f>
        <v>#NAME?</v>
      </c>
      <c r="T423" s="4" t="e">
        <f ca="1">[1]!BexGetData("DP_1","00O2TNJGODT0G5Z4TTKYMMOLH","GSON1112031031")</f>
        <v>#NAME?</v>
      </c>
      <c r="U423" s="4" t="e">
        <f ca="1">[1]!BexGetData("DP_1","00O2TNJGODT0G5Z4TTKYMMUX1","GSON1112031031")</f>
        <v>#NAME?</v>
      </c>
      <c r="V423" s="4" t="e">
        <f ca="1">[1]!BexGetData("DP_1","00O2TNJGODT0G5Z4TTKYMN18L","GSON1112031031")</f>
        <v>#NAME?</v>
      </c>
      <c r="W423" s="4" t="e">
        <f ca="1">[1]!BexGetData("DP_1","00O2TNJGODT0G5Z4TTKYMN7K5","GSON1112031031")</f>
        <v>#NAME?</v>
      </c>
    </row>
    <row r="424" spans="1:23" x14ac:dyDescent="0.2">
      <c r="A424" s="16" t="s">
        <v>2245</v>
      </c>
      <c r="B424" s="7" t="s">
        <v>2246</v>
      </c>
      <c r="C424" s="3" t="e">
        <f ca="1">[1]!BexGetData("DP_1","003N8EMH8GTFRCSWKMPXRR8GU","GSON1112031033")</f>
        <v>#NAME?</v>
      </c>
      <c r="D424" s="3" t="e">
        <f ca="1">[1]!BexGetData("DP_1","003N8EMH8GTFRCSWKMPXRRESE","GSON1112031033")</f>
        <v>#NAME?</v>
      </c>
      <c r="E424" s="8" t="e">
        <f ca="1">[1]!BexGetData("DP_1","003N8EMH8GTFRCSWKMPXRRL3Y","GSON1112031033")</f>
        <v>#NAME?</v>
      </c>
      <c r="F424" s="4" t="e">
        <f ca="1">[1]!BexGetData("DP_1","003N8EMH8GTFRCSWKMPXRRRFI","GSON1112031033")</f>
        <v>#NAME?</v>
      </c>
      <c r="G424" s="4" t="e">
        <f ca="1">[1]!BexGetData("DP_1","003N8EMH8GTFRCSWKMPXRRXR2","GSON1112031033")</f>
        <v>#NAME?</v>
      </c>
      <c r="H424" s="4" t="e">
        <f ca="1">[1]!BexGetData("DP_1","003N8EMH8GTFRCSWKMPXRS42M","GSON1112031033")</f>
        <v>#NAME?</v>
      </c>
      <c r="I424" s="4" t="e">
        <f ca="1">[1]!BexGetData("DP_1","003N8EMH8GTFRCSWKMPXRSAE6","GSON1112031033")</f>
        <v>#NAME?</v>
      </c>
      <c r="J424" s="4" t="e">
        <f ca="1">[1]!BexGetData("DP_1","003N8EMH8GTFRCSWKMPXRSGPQ","GSON1112031033")</f>
        <v>#NAME?</v>
      </c>
      <c r="K424" s="8" t="e">
        <f ca="1">[1]!BexGetData("DP_1","003N8EMH8GTFRIVNUPY288VJH","GSON1112031033")</f>
        <v>#NAME?</v>
      </c>
      <c r="L424" s="8" t="e">
        <f ca="1">[1]!BexGetData("DP_1","003N8EMH8GTFRIVNUPY2891V1","GSON1112031033")</f>
        <v>#NAME?</v>
      </c>
      <c r="M424" s="8" t="e">
        <f ca="1">[1]!BexGetData("DP_1","003N8EMH8GTFRIVOG7KG9IQXA","GSON1112031033")</f>
        <v>#NAME?</v>
      </c>
      <c r="N424" s="8" t="e">
        <f ca="1">[1]!BexGetData("DP_1","003N8EMH8GTFRIVOG7KG9IX8U","GSON1112031033")</f>
        <v>#NAME?</v>
      </c>
      <c r="O424" s="8" t="e">
        <f ca="1">[1]!BexGetData("DP_1","003N8EMH8GTFRIVOG7KG9J3KE","GSON1112031033")</f>
        <v>#NAME?</v>
      </c>
      <c r="P424" s="8" t="e">
        <f ca="1">[1]!BexGetData("DP_1","003N8EMH8GTFRIVOG7KG9J9VY","GSON1112031033")</f>
        <v>#NAME?</v>
      </c>
      <c r="Q424" s="4" t="e">
        <f ca="1">[1]!BexGetData("DP_1","00O2TNJGODT0G5Z4TTKYMM5MT","GSON1112031033")</f>
        <v>#NAME?</v>
      </c>
      <c r="R424" s="4" t="e">
        <f ca="1">[1]!BexGetData("DP_1","00O2TNJGODT0G5Z4TTKYMMBYD","GSON1112031033")</f>
        <v>#NAME?</v>
      </c>
      <c r="S424" s="4" t="e">
        <f ca="1">[1]!BexGetData("DP_1","00O2TNJGODT0G5Z4TTKYMMI9X","GSON1112031033")</f>
        <v>#NAME?</v>
      </c>
      <c r="T424" s="4" t="e">
        <f ca="1">[1]!BexGetData("DP_1","00O2TNJGODT0G5Z4TTKYMMOLH","GSON1112031033")</f>
        <v>#NAME?</v>
      </c>
      <c r="U424" s="4" t="e">
        <f ca="1">[1]!BexGetData("DP_1","00O2TNJGODT0G5Z4TTKYMMUX1","GSON1112031033")</f>
        <v>#NAME?</v>
      </c>
      <c r="V424" s="4" t="e">
        <f ca="1">[1]!BexGetData("DP_1","00O2TNJGODT0G5Z4TTKYMN18L","GSON1112031033")</f>
        <v>#NAME?</v>
      </c>
      <c r="W424" s="4" t="e">
        <f ca="1">[1]!BexGetData("DP_1","00O2TNJGODT0G5Z4TTKYMN7K5","GSON1112031033")</f>
        <v>#NAME?</v>
      </c>
    </row>
    <row r="425" spans="1:23" x14ac:dyDescent="0.2">
      <c r="A425" s="16" t="s">
        <v>2247</v>
      </c>
      <c r="B425" s="7" t="s">
        <v>2248</v>
      </c>
      <c r="C425" s="3" t="e">
        <f ca="1">[1]!BexGetData("DP_1","003N8EMH8GTFRCSWKMPXRR8GU","GSON1112031035")</f>
        <v>#NAME?</v>
      </c>
      <c r="D425" s="3" t="e">
        <f ca="1">[1]!BexGetData("DP_1","003N8EMH8GTFRCSWKMPXRRESE","GSON1112031035")</f>
        <v>#NAME?</v>
      </c>
      <c r="E425" s="8" t="e">
        <f ca="1">[1]!BexGetData("DP_1","003N8EMH8GTFRCSWKMPXRRL3Y","GSON1112031035")</f>
        <v>#NAME?</v>
      </c>
      <c r="F425" s="4" t="e">
        <f ca="1">[1]!BexGetData("DP_1","003N8EMH8GTFRCSWKMPXRRRFI","GSON1112031035")</f>
        <v>#NAME?</v>
      </c>
      <c r="G425" s="4" t="e">
        <f ca="1">[1]!BexGetData("DP_1","003N8EMH8GTFRCSWKMPXRRXR2","GSON1112031035")</f>
        <v>#NAME?</v>
      </c>
      <c r="H425" s="4" t="e">
        <f ca="1">[1]!BexGetData("DP_1","003N8EMH8GTFRCSWKMPXRS42M","GSON1112031035")</f>
        <v>#NAME?</v>
      </c>
      <c r="I425" s="4" t="e">
        <f ca="1">[1]!BexGetData("DP_1","003N8EMH8GTFRCSWKMPXRSAE6","GSON1112031035")</f>
        <v>#NAME?</v>
      </c>
      <c r="J425" s="4" t="e">
        <f ca="1">[1]!BexGetData("DP_1","003N8EMH8GTFRCSWKMPXRSGPQ","GSON1112031035")</f>
        <v>#NAME?</v>
      </c>
      <c r="K425" s="8" t="e">
        <f ca="1">[1]!BexGetData("DP_1","003N8EMH8GTFRIVNUPY288VJH","GSON1112031035")</f>
        <v>#NAME?</v>
      </c>
      <c r="L425" s="8" t="e">
        <f ca="1">[1]!BexGetData("DP_1","003N8EMH8GTFRIVNUPY2891V1","GSON1112031035")</f>
        <v>#NAME?</v>
      </c>
      <c r="M425" s="8" t="e">
        <f ca="1">[1]!BexGetData("DP_1","003N8EMH8GTFRIVOG7KG9IQXA","GSON1112031035")</f>
        <v>#NAME?</v>
      </c>
      <c r="N425" s="8" t="e">
        <f ca="1">[1]!BexGetData("DP_1","003N8EMH8GTFRIVOG7KG9IX8U","GSON1112031035")</f>
        <v>#NAME?</v>
      </c>
      <c r="O425" s="8" t="e">
        <f ca="1">[1]!BexGetData("DP_1","003N8EMH8GTFRIVOG7KG9J3KE","GSON1112031035")</f>
        <v>#NAME?</v>
      </c>
      <c r="P425" s="8" t="e">
        <f ca="1">[1]!BexGetData("DP_1","003N8EMH8GTFRIVOG7KG9J9VY","GSON1112031035")</f>
        <v>#NAME?</v>
      </c>
      <c r="Q425" s="4" t="e">
        <f ca="1">[1]!BexGetData("DP_1","00O2TNJGODT0G5Z4TTKYMM5MT","GSON1112031035")</f>
        <v>#NAME?</v>
      </c>
      <c r="R425" s="4" t="e">
        <f ca="1">[1]!BexGetData("DP_1","00O2TNJGODT0G5Z4TTKYMMBYD","GSON1112031035")</f>
        <v>#NAME?</v>
      </c>
      <c r="S425" s="4" t="e">
        <f ca="1">[1]!BexGetData("DP_1","00O2TNJGODT0G5Z4TTKYMMI9X","GSON1112031035")</f>
        <v>#NAME?</v>
      </c>
      <c r="T425" s="4" t="e">
        <f ca="1">[1]!BexGetData("DP_1","00O2TNJGODT0G5Z4TTKYMMOLH","GSON1112031035")</f>
        <v>#NAME?</v>
      </c>
      <c r="U425" s="4" t="e">
        <f ca="1">[1]!BexGetData("DP_1","00O2TNJGODT0G5Z4TTKYMMUX1","GSON1112031035")</f>
        <v>#NAME?</v>
      </c>
      <c r="V425" s="4" t="e">
        <f ca="1">[1]!BexGetData("DP_1","00O2TNJGODT0G5Z4TTKYMN18L","GSON1112031035")</f>
        <v>#NAME?</v>
      </c>
      <c r="W425" s="4" t="e">
        <f ca="1">[1]!BexGetData("DP_1","00O2TNJGODT0G5Z4TTKYMN7K5","GSON1112031035")</f>
        <v>#NAME?</v>
      </c>
    </row>
    <row r="426" spans="1:23" x14ac:dyDescent="0.2">
      <c r="A426" s="16" t="s">
        <v>2249</v>
      </c>
      <c r="B426" s="7" t="s">
        <v>2250</v>
      </c>
      <c r="C426" s="3" t="e">
        <f ca="1">[1]!BexGetData("DP_1","003N8EMH8GTFRCSWKMPXRR8GU","GSON1112031040")</f>
        <v>#NAME?</v>
      </c>
      <c r="D426" s="8" t="e">
        <f ca="1">[1]!BexGetData("DP_1","003N8EMH8GTFRCSWKMPXRRESE","GSON1112031040")</f>
        <v>#NAME?</v>
      </c>
      <c r="E426" s="3" t="e">
        <f ca="1">[1]!BexGetData("DP_1","003N8EMH8GTFRCSWKMPXRRL3Y","GSON1112031040")</f>
        <v>#NAME?</v>
      </c>
      <c r="F426" s="3" t="e">
        <f ca="1">[1]!BexGetData("DP_1","003N8EMH8GTFRCSWKMPXRRRFI","GSON1112031040")</f>
        <v>#NAME?</v>
      </c>
      <c r="G426" s="3" t="e">
        <f ca="1">[1]!BexGetData("DP_1","003N8EMH8GTFRCSWKMPXRRXR2","GSON1112031040")</f>
        <v>#NAME?</v>
      </c>
      <c r="H426" s="8" t="e">
        <f ca="1">[1]!BexGetData("DP_1","003N8EMH8GTFRCSWKMPXRS42M","GSON1112031040")</f>
        <v>#NAME?</v>
      </c>
      <c r="I426" s="3" t="e">
        <f ca="1">[1]!BexGetData("DP_1","003N8EMH8GTFRCSWKMPXRSAE6","GSON1112031040")</f>
        <v>#NAME?</v>
      </c>
      <c r="J426" s="4" t="e">
        <f ca="1">[1]!BexGetData("DP_1","003N8EMH8GTFRCSWKMPXRSGPQ","GSON1112031040")</f>
        <v>#NAME?</v>
      </c>
      <c r="K426" s="3" t="e">
        <f ca="1">[1]!BexGetData("DP_1","003N8EMH8GTFRIVNUPY288VJH","GSON1112031040")</f>
        <v>#NAME?</v>
      </c>
      <c r="L426" s="3" t="e">
        <f ca="1">[1]!BexGetData("DP_1","003N8EMH8GTFRIVNUPY2891V1","GSON1112031040")</f>
        <v>#NAME?</v>
      </c>
      <c r="M426" s="8" t="e">
        <f ca="1">[1]!BexGetData("DP_1","003N8EMH8GTFRIVOG7KG9IQXA","GSON1112031040")</f>
        <v>#NAME?</v>
      </c>
      <c r="N426" s="3" t="e">
        <f ca="1">[1]!BexGetData("DP_1","003N8EMH8GTFRIVOG7KG9IX8U","GSON1112031040")</f>
        <v>#NAME?</v>
      </c>
      <c r="O426" s="8" t="e">
        <f ca="1">[1]!BexGetData("DP_1","003N8EMH8GTFRIVOG7KG9J3KE","GSON1112031040")</f>
        <v>#NAME?</v>
      </c>
      <c r="P426" s="3" t="e">
        <f ca="1">[1]!BexGetData("DP_1","003N8EMH8GTFRIVOG7KG9J9VY","GSON1112031040")</f>
        <v>#NAME?</v>
      </c>
      <c r="Q426" s="4" t="e">
        <f ca="1">[1]!BexGetData("DP_1","00O2TNJGODT0G5Z4TTKYMM5MT","GSON1112031040")</f>
        <v>#NAME?</v>
      </c>
      <c r="R426" s="3" t="e">
        <f ca="1">[1]!BexGetData("DP_1","00O2TNJGODT0G5Z4TTKYMMBYD","GSON1112031040")</f>
        <v>#NAME?</v>
      </c>
      <c r="S426" s="3" t="e">
        <f ca="1">[1]!BexGetData("DP_1","00O2TNJGODT0G5Z4TTKYMMI9X","GSON1112031040")</f>
        <v>#NAME?</v>
      </c>
      <c r="T426" s="8" t="e">
        <f ca="1">[1]!BexGetData("DP_1","00O2TNJGODT0G5Z4TTKYMMOLH","GSON1112031040")</f>
        <v>#NAME?</v>
      </c>
      <c r="U426" s="3" t="e">
        <f ca="1">[1]!BexGetData("DP_1","00O2TNJGODT0G5Z4TTKYMMUX1","GSON1112031040")</f>
        <v>#NAME?</v>
      </c>
      <c r="V426" s="8" t="e">
        <f ca="1">[1]!BexGetData("DP_1","00O2TNJGODT0G5Z4TTKYMN18L","GSON1112031040")</f>
        <v>#NAME?</v>
      </c>
      <c r="W426" s="3" t="e">
        <f ca="1">[1]!BexGetData("DP_1","00O2TNJGODT0G5Z4TTKYMN7K5","GSON1112031040")</f>
        <v>#NAME?</v>
      </c>
    </row>
    <row r="427" spans="1:23" x14ac:dyDescent="0.2">
      <c r="A427" s="16" t="s">
        <v>2251</v>
      </c>
      <c r="B427" s="7" t="s">
        <v>2252</v>
      </c>
      <c r="C427" s="3" t="e">
        <f ca="1">[1]!BexGetData("DP_1","003N8EMH8GTFRCSWKMPXRR8GU","GSON1112031045")</f>
        <v>#NAME?</v>
      </c>
      <c r="D427" s="3" t="e">
        <f ca="1">[1]!BexGetData("DP_1","003N8EMH8GTFRCSWKMPXRRESE","GSON1112031045")</f>
        <v>#NAME?</v>
      </c>
      <c r="E427" s="8" t="e">
        <f ca="1">[1]!BexGetData("DP_1","003N8EMH8GTFRCSWKMPXRRL3Y","GSON1112031045")</f>
        <v>#NAME?</v>
      </c>
      <c r="F427" s="4" t="e">
        <f ca="1">[1]!BexGetData("DP_1","003N8EMH8GTFRCSWKMPXRRRFI","GSON1112031045")</f>
        <v>#NAME?</v>
      </c>
      <c r="G427" s="4" t="e">
        <f ca="1">[1]!BexGetData("DP_1","003N8EMH8GTFRCSWKMPXRRXR2","GSON1112031045")</f>
        <v>#NAME?</v>
      </c>
      <c r="H427" s="4" t="e">
        <f ca="1">[1]!BexGetData("DP_1","003N8EMH8GTFRCSWKMPXRS42M","GSON1112031045")</f>
        <v>#NAME?</v>
      </c>
      <c r="I427" s="4" t="e">
        <f ca="1">[1]!BexGetData("DP_1","003N8EMH8GTFRCSWKMPXRSAE6","GSON1112031045")</f>
        <v>#NAME?</v>
      </c>
      <c r="J427" s="4" t="e">
        <f ca="1">[1]!BexGetData("DP_1","003N8EMH8GTFRCSWKMPXRSGPQ","GSON1112031045")</f>
        <v>#NAME?</v>
      </c>
      <c r="K427" s="8" t="e">
        <f ca="1">[1]!BexGetData("DP_1","003N8EMH8GTFRIVNUPY288VJH","GSON1112031045")</f>
        <v>#NAME?</v>
      </c>
      <c r="L427" s="8" t="e">
        <f ca="1">[1]!BexGetData("DP_1","003N8EMH8GTFRIVNUPY2891V1","GSON1112031045")</f>
        <v>#NAME?</v>
      </c>
      <c r="M427" s="8" t="e">
        <f ca="1">[1]!BexGetData("DP_1","003N8EMH8GTFRIVOG7KG9IQXA","GSON1112031045")</f>
        <v>#NAME?</v>
      </c>
      <c r="N427" s="8" t="e">
        <f ca="1">[1]!BexGetData("DP_1","003N8EMH8GTFRIVOG7KG9IX8U","GSON1112031045")</f>
        <v>#NAME?</v>
      </c>
      <c r="O427" s="8" t="e">
        <f ca="1">[1]!BexGetData("DP_1","003N8EMH8GTFRIVOG7KG9J3KE","GSON1112031045")</f>
        <v>#NAME?</v>
      </c>
      <c r="P427" s="8" t="e">
        <f ca="1">[1]!BexGetData("DP_1","003N8EMH8GTFRIVOG7KG9J9VY","GSON1112031045")</f>
        <v>#NAME?</v>
      </c>
      <c r="Q427" s="4" t="e">
        <f ca="1">[1]!BexGetData("DP_1","00O2TNJGODT0G5Z4TTKYMM5MT","GSON1112031045")</f>
        <v>#NAME?</v>
      </c>
      <c r="R427" s="4" t="e">
        <f ca="1">[1]!BexGetData("DP_1","00O2TNJGODT0G5Z4TTKYMMBYD","GSON1112031045")</f>
        <v>#NAME?</v>
      </c>
      <c r="S427" s="4" t="e">
        <f ca="1">[1]!BexGetData("DP_1","00O2TNJGODT0G5Z4TTKYMMI9X","GSON1112031045")</f>
        <v>#NAME?</v>
      </c>
      <c r="T427" s="4" t="e">
        <f ca="1">[1]!BexGetData("DP_1","00O2TNJGODT0G5Z4TTKYMMOLH","GSON1112031045")</f>
        <v>#NAME?</v>
      </c>
      <c r="U427" s="4" t="e">
        <f ca="1">[1]!BexGetData("DP_1","00O2TNJGODT0G5Z4TTKYMMUX1","GSON1112031045")</f>
        <v>#NAME?</v>
      </c>
      <c r="V427" s="4" t="e">
        <f ca="1">[1]!BexGetData("DP_1","00O2TNJGODT0G5Z4TTKYMN18L","GSON1112031045")</f>
        <v>#NAME?</v>
      </c>
      <c r="W427" s="4" t="e">
        <f ca="1">[1]!BexGetData("DP_1","00O2TNJGODT0G5Z4TTKYMN7K5","GSON1112031045")</f>
        <v>#NAME?</v>
      </c>
    </row>
    <row r="428" spans="1:23" x14ac:dyDescent="0.2">
      <c r="A428" s="16" t="s">
        <v>2253</v>
      </c>
      <c r="B428" s="7" t="s">
        <v>2254</v>
      </c>
      <c r="C428" s="3" t="e">
        <f ca="1">[1]!BexGetData("DP_1","003N8EMH8GTFRCSWKMPXRR8GU","GSON1112031100")</f>
        <v>#NAME?</v>
      </c>
      <c r="D428" s="3" t="e">
        <f ca="1">[1]!BexGetData("DP_1","003N8EMH8GTFRCSWKMPXRRESE","GSON1112031100")</f>
        <v>#NAME?</v>
      </c>
      <c r="E428" s="3" t="e">
        <f ca="1">[1]!BexGetData("DP_1","003N8EMH8GTFRCSWKMPXRRL3Y","GSON1112031100")</f>
        <v>#NAME?</v>
      </c>
      <c r="F428" s="4" t="e">
        <f ca="1">[1]!BexGetData("DP_1","003N8EMH8GTFRCSWKMPXRRRFI","GSON1112031100")</f>
        <v>#NAME?</v>
      </c>
      <c r="G428" s="4" t="e">
        <f ca="1">[1]!BexGetData("DP_1","003N8EMH8GTFRCSWKMPXRRXR2","GSON1112031100")</f>
        <v>#NAME?</v>
      </c>
      <c r="H428" s="4" t="e">
        <f ca="1">[1]!BexGetData("DP_1","003N8EMH8GTFRCSWKMPXRS42M","GSON1112031100")</f>
        <v>#NAME?</v>
      </c>
      <c r="I428" s="4" t="e">
        <f ca="1">[1]!BexGetData("DP_1","003N8EMH8GTFRCSWKMPXRSAE6","GSON1112031100")</f>
        <v>#NAME?</v>
      </c>
      <c r="J428" s="4" t="e">
        <f ca="1">[1]!BexGetData("DP_1","003N8EMH8GTFRCSWKMPXRSGPQ","GSON1112031100")</f>
        <v>#NAME?</v>
      </c>
      <c r="K428" s="3" t="e">
        <f ca="1">[1]!BexGetData("DP_1","003N8EMH8GTFRIVNUPY288VJH","GSON1112031100")</f>
        <v>#NAME?</v>
      </c>
      <c r="L428" s="3" t="e">
        <f ca="1">[1]!BexGetData("DP_1","003N8EMH8GTFRIVNUPY2891V1","GSON1112031100")</f>
        <v>#NAME?</v>
      </c>
      <c r="M428" s="8" t="e">
        <f ca="1">[1]!BexGetData("DP_1","003N8EMH8GTFRIVOG7KG9IQXA","GSON1112031100")</f>
        <v>#NAME?</v>
      </c>
      <c r="N428" s="3" t="e">
        <f ca="1">[1]!BexGetData("DP_1","003N8EMH8GTFRIVOG7KG9IX8U","GSON1112031100")</f>
        <v>#NAME?</v>
      </c>
      <c r="O428" s="8" t="e">
        <f ca="1">[1]!BexGetData("DP_1","003N8EMH8GTFRIVOG7KG9J3KE","GSON1112031100")</f>
        <v>#NAME?</v>
      </c>
      <c r="P428" s="3" t="e">
        <f ca="1">[1]!BexGetData("DP_1","003N8EMH8GTFRIVOG7KG9J9VY","GSON1112031100")</f>
        <v>#NAME?</v>
      </c>
      <c r="Q428" s="4" t="e">
        <f ca="1">[1]!BexGetData("DP_1","00O2TNJGODT0G5Z4TTKYMM5MT","GSON1112031100")</f>
        <v>#NAME?</v>
      </c>
      <c r="R428" s="4" t="e">
        <f ca="1">[1]!BexGetData("DP_1","00O2TNJGODT0G5Z4TTKYMMBYD","GSON1112031100")</f>
        <v>#NAME?</v>
      </c>
      <c r="S428" s="4" t="e">
        <f ca="1">[1]!BexGetData("DP_1","00O2TNJGODT0G5Z4TTKYMMI9X","GSON1112031100")</f>
        <v>#NAME?</v>
      </c>
      <c r="T428" s="4" t="e">
        <f ca="1">[1]!BexGetData("DP_1","00O2TNJGODT0G5Z4TTKYMMOLH","GSON1112031100")</f>
        <v>#NAME?</v>
      </c>
      <c r="U428" s="4" t="e">
        <f ca="1">[1]!BexGetData("DP_1","00O2TNJGODT0G5Z4TTKYMMUX1","GSON1112031100")</f>
        <v>#NAME?</v>
      </c>
      <c r="V428" s="4" t="e">
        <f ca="1">[1]!BexGetData("DP_1","00O2TNJGODT0G5Z4TTKYMN18L","GSON1112031100")</f>
        <v>#NAME?</v>
      </c>
      <c r="W428" s="4" t="e">
        <f ca="1">[1]!BexGetData("DP_1","00O2TNJGODT0G5Z4TTKYMN7K5","GSON1112031100")</f>
        <v>#NAME?</v>
      </c>
    </row>
    <row r="429" spans="1:23" x14ac:dyDescent="0.2">
      <c r="A429" s="16" t="s">
        <v>2255</v>
      </c>
      <c r="B429" s="7" t="s">
        <v>2256</v>
      </c>
      <c r="C429" s="3" t="e">
        <f ca="1">[1]!BexGetData("DP_1","003N8EMH8GTFRCSWKMPXRR8GU","GSON1112031101")</f>
        <v>#NAME?</v>
      </c>
      <c r="D429" s="3" t="e">
        <f ca="1">[1]!BexGetData("DP_1","003N8EMH8GTFRCSWKMPXRRESE","GSON1112031101")</f>
        <v>#NAME?</v>
      </c>
      <c r="E429" s="8" t="e">
        <f ca="1">[1]!BexGetData("DP_1","003N8EMH8GTFRCSWKMPXRRL3Y","GSON1112031101")</f>
        <v>#NAME?</v>
      </c>
      <c r="F429" s="4" t="e">
        <f ca="1">[1]!BexGetData("DP_1","003N8EMH8GTFRCSWKMPXRRRFI","GSON1112031101")</f>
        <v>#NAME?</v>
      </c>
      <c r="G429" s="4" t="e">
        <f ca="1">[1]!BexGetData("DP_1","003N8EMH8GTFRCSWKMPXRRXR2","GSON1112031101")</f>
        <v>#NAME?</v>
      </c>
      <c r="H429" s="4" t="e">
        <f ca="1">[1]!BexGetData("DP_1","003N8EMH8GTFRCSWKMPXRS42M","GSON1112031101")</f>
        <v>#NAME?</v>
      </c>
      <c r="I429" s="4" t="e">
        <f ca="1">[1]!BexGetData("DP_1","003N8EMH8GTFRCSWKMPXRSAE6","GSON1112031101")</f>
        <v>#NAME?</v>
      </c>
      <c r="J429" s="4" t="e">
        <f ca="1">[1]!BexGetData("DP_1","003N8EMH8GTFRCSWKMPXRSGPQ","GSON1112031101")</f>
        <v>#NAME?</v>
      </c>
      <c r="K429" s="8" t="e">
        <f ca="1">[1]!BexGetData("DP_1","003N8EMH8GTFRIVNUPY288VJH","GSON1112031101")</f>
        <v>#NAME?</v>
      </c>
      <c r="L429" s="8" t="e">
        <f ca="1">[1]!BexGetData("DP_1","003N8EMH8GTFRIVNUPY2891V1","GSON1112031101")</f>
        <v>#NAME?</v>
      </c>
      <c r="M429" s="8" t="e">
        <f ca="1">[1]!BexGetData("DP_1","003N8EMH8GTFRIVOG7KG9IQXA","GSON1112031101")</f>
        <v>#NAME?</v>
      </c>
      <c r="N429" s="8" t="e">
        <f ca="1">[1]!BexGetData("DP_1","003N8EMH8GTFRIVOG7KG9IX8U","GSON1112031101")</f>
        <v>#NAME?</v>
      </c>
      <c r="O429" s="8" t="e">
        <f ca="1">[1]!BexGetData("DP_1","003N8EMH8GTFRIVOG7KG9J3KE","GSON1112031101")</f>
        <v>#NAME?</v>
      </c>
      <c r="P429" s="8" t="e">
        <f ca="1">[1]!BexGetData("DP_1","003N8EMH8GTFRIVOG7KG9J9VY","GSON1112031101")</f>
        <v>#NAME?</v>
      </c>
      <c r="Q429" s="4" t="e">
        <f ca="1">[1]!BexGetData("DP_1","00O2TNJGODT0G5Z4TTKYMM5MT","GSON1112031101")</f>
        <v>#NAME?</v>
      </c>
      <c r="R429" s="4" t="e">
        <f ca="1">[1]!BexGetData("DP_1","00O2TNJGODT0G5Z4TTKYMMBYD","GSON1112031101")</f>
        <v>#NAME?</v>
      </c>
      <c r="S429" s="4" t="e">
        <f ca="1">[1]!BexGetData("DP_1","00O2TNJGODT0G5Z4TTKYMMI9X","GSON1112031101")</f>
        <v>#NAME?</v>
      </c>
      <c r="T429" s="4" t="e">
        <f ca="1">[1]!BexGetData("DP_1","00O2TNJGODT0G5Z4TTKYMMOLH","GSON1112031101")</f>
        <v>#NAME?</v>
      </c>
      <c r="U429" s="4" t="e">
        <f ca="1">[1]!BexGetData("DP_1","00O2TNJGODT0G5Z4TTKYMMUX1","GSON1112031101")</f>
        <v>#NAME?</v>
      </c>
      <c r="V429" s="4" t="e">
        <f ca="1">[1]!BexGetData("DP_1","00O2TNJGODT0G5Z4TTKYMN18L","GSON1112031101")</f>
        <v>#NAME?</v>
      </c>
      <c r="W429" s="4" t="e">
        <f ca="1">[1]!BexGetData("DP_1","00O2TNJGODT0G5Z4TTKYMN7K5","GSON1112031101")</f>
        <v>#NAME?</v>
      </c>
    </row>
    <row r="430" spans="1:23" x14ac:dyDescent="0.2">
      <c r="A430" s="16" t="s">
        <v>2257</v>
      </c>
      <c r="B430" s="7" t="s">
        <v>2258</v>
      </c>
      <c r="C430" s="3" t="e">
        <f ca="1">[1]!BexGetData("DP_1","003N8EMH8GTFRCSWKMPXRR8GU","GSON1112031103")</f>
        <v>#NAME?</v>
      </c>
      <c r="D430" s="3" t="e">
        <f ca="1">[1]!BexGetData("DP_1","003N8EMH8GTFRCSWKMPXRRESE","GSON1112031103")</f>
        <v>#NAME?</v>
      </c>
      <c r="E430" s="8" t="e">
        <f ca="1">[1]!BexGetData("DP_1","003N8EMH8GTFRCSWKMPXRRL3Y","GSON1112031103")</f>
        <v>#NAME?</v>
      </c>
      <c r="F430" s="4" t="e">
        <f ca="1">[1]!BexGetData("DP_1","003N8EMH8GTFRCSWKMPXRRRFI","GSON1112031103")</f>
        <v>#NAME?</v>
      </c>
      <c r="G430" s="4" t="e">
        <f ca="1">[1]!BexGetData("DP_1","003N8EMH8GTFRCSWKMPXRRXR2","GSON1112031103")</f>
        <v>#NAME?</v>
      </c>
      <c r="H430" s="4" t="e">
        <f ca="1">[1]!BexGetData("DP_1","003N8EMH8GTFRCSWKMPXRS42M","GSON1112031103")</f>
        <v>#NAME?</v>
      </c>
      <c r="I430" s="4" t="e">
        <f ca="1">[1]!BexGetData("DP_1","003N8EMH8GTFRCSWKMPXRSAE6","GSON1112031103")</f>
        <v>#NAME?</v>
      </c>
      <c r="J430" s="4" t="e">
        <f ca="1">[1]!BexGetData("DP_1","003N8EMH8GTFRCSWKMPXRSGPQ","GSON1112031103")</f>
        <v>#NAME?</v>
      </c>
      <c r="K430" s="8" t="e">
        <f ca="1">[1]!BexGetData("DP_1","003N8EMH8GTFRIVNUPY288VJH","GSON1112031103")</f>
        <v>#NAME?</v>
      </c>
      <c r="L430" s="8" t="e">
        <f ca="1">[1]!BexGetData("DP_1","003N8EMH8GTFRIVNUPY2891V1","GSON1112031103")</f>
        <v>#NAME?</v>
      </c>
      <c r="M430" s="8" t="e">
        <f ca="1">[1]!BexGetData("DP_1","003N8EMH8GTFRIVOG7KG9IQXA","GSON1112031103")</f>
        <v>#NAME?</v>
      </c>
      <c r="N430" s="8" t="e">
        <f ca="1">[1]!BexGetData("DP_1","003N8EMH8GTFRIVOG7KG9IX8U","GSON1112031103")</f>
        <v>#NAME?</v>
      </c>
      <c r="O430" s="8" t="e">
        <f ca="1">[1]!BexGetData("DP_1","003N8EMH8GTFRIVOG7KG9J3KE","GSON1112031103")</f>
        <v>#NAME?</v>
      </c>
      <c r="P430" s="8" t="e">
        <f ca="1">[1]!BexGetData("DP_1","003N8EMH8GTFRIVOG7KG9J9VY","GSON1112031103")</f>
        <v>#NAME?</v>
      </c>
      <c r="Q430" s="4" t="e">
        <f ca="1">[1]!BexGetData("DP_1","00O2TNJGODT0G5Z4TTKYMM5MT","GSON1112031103")</f>
        <v>#NAME?</v>
      </c>
      <c r="R430" s="4" t="e">
        <f ca="1">[1]!BexGetData("DP_1","00O2TNJGODT0G5Z4TTKYMMBYD","GSON1112031103")</f>
        <v>#NAME?</v>
      </c>
      <c r="S430" s="4" t="e">
        <f ca="1">[1]!BexGetData("DP_1","00O2TNJGODT0G5Z4TTKYMMI9X","GSON1112031103")</f>
        <v>#NAME?</v>
      </c>
      <c r="T430" s="4" t="e">
        <f ca="1">[1]!BexGetData("DP_1","00O2TNJGODT0G5Z4TTKYMMOLH","GSON1112031103")</f>
        <v>#NAME?</v>
      </c>
      <c r="U430" s="4" t="e">
        <f ca="1">[1]!BexGetData("DP_1","00O2TNJGODT0G5Z4TTKYMMUX1","GSON1112031103")</f>
        <v>#NAME?</v>
      </c>
      <c r="V430" s="4" t="e">
        <f ca="1">[1]!BexGetData("DP_1","00O2TNJGODT0G5Z4TTKYMN18L","GSON1112031103")</f>
        <v>#NAME?</v>
      </c>
      <c r="W430" s="4" t="e">
        <f ca="1">[1]!BexGetData("DP_1","00O2TNJGODT0G5Z4TTKYMN7K5","GSON1112031103")</f>
        <v>#NAME?</v>
      </c>
    </row>
    <row r="431" spans="1:23" x14ac:dyDescent="0.2">
      <c r="A431" s="16" t="s">
        <v>2259</v>
      </c>
      <c r="B431" s="7" t="s">
        <v>2260</v>
      </c>
      <c r="C431" s="3" t="e">
        <f ca="1">[1]!BexGetData("DP_1","003N8EMH8GTFRCSWKMPXRR8GU","GSON1112031105")</f>
        <v>#NAME?</v>
      </c>
      <c r="D431" s="3" t="e">
        <f ca="1">[1]!BexGetData("DP_1","003N8EMH8GTFRCSWKMPXRRESE","GSON1112031105")</f>
        <v>#NAME?</v>
      </c>
      <c r="E431" s="8" t="e">
        <f ca="1">[1]!BexGetData("DP_1","003N8EMH8GTFRCSWKMPXRRL3Y","GSON1112031105")</f>
        <v>#NAME?</v>
      </c>
      <c r="F431" s="4" t="e">
        <f ca="1">[1]!BexGetData("DP_1","003N8EMH8GTFRCSWKMPXRRRFI","GSON1112031105")</f>
        <v>#NAME?</v>
      </c>
      <c r="G431" s="4" t="e">
        <f ca="1">[1]!BexGetData("DP_1","003N8EMH8GTFRCSWKMPXRRXR2","GSON1112031105")</f>
        <v>#NAME?</v>
      </c>
      <c r="H431" s="4" t="e">
        <f ca="1">[1]!BexGetData("DP_1","003N8EMH8GTFRCSWKMPXRS42M","GSON1112031105")</f>
        <v>#NAME?</v>
      </c>
      <c r="I431" s="4" t="e">
        <f ca="1">[1]!BexGetData("DP_1","003N8EMH8GTFRCSWKMPXRSAE6","GSON1112031105")</f>
        <v>#NAME?</v>
      </c>
      <c r="J431" s="4" t="e">
        <f ca="1">[1]!BexGetData("DP_1","003N8EMH8GTFRCSWKMPXRSGPQ","GSON1112031105")</f>
        <v>#NAME?</v>
      </c>
      <c r="K431" s="8" t="e">
        <f ca="1">[1]!BexGetData("DP_1","003N8EMH8GTFRIVNUPY288VJH","GSON1112031105")</f>
        <v>#NAME?</v>
      </c>
      <c r="L431" s="8" t="e">
        <f ca="1">[1]!BexGetData("DP_1","003N8EMH8GTFRIVNUPY2891V1","GSON1112031105")</f>
        <v>#NAME?</v>
      </c>
      <c r="M431" s="8" t="e">
        <f ca="1">[1]!BexGetData("DP_1","003N8EMH8GTFRIVOG7KG9IQXA","GSON1112031105")</f>
        <v>#NAME?</v>
      </c>
      <c r="N431" s="8" t="e">
        <f ca="1">[1]!BexGetData("DP_1","003N8EMH8GTFRIVOG7KG9IX8U","GSON1112031105")</f>
        <v>#NAME?</v>
      </c>
      <c r="O431" s="8" t="e">
        <f ca="1">[1]!BexGetData("DP_1","003N8EMH8GTFRIVOG7KG9J3KE","GSON1112031105")</f>
        <v>#NAME?</v>
      </c>
      <c r="P431" s="8" t="e">
        <f ca="1">[1]!BexGetData("DP_1","003N8EMH8GTFRIVOG7KG9J9VY","GSON1112031105")</f>
        <v>#NAME?</v>
      </c>
      <c r="Q431" s="4" t="e">
        <f ca="1">[1]!BexGetData("DP_1","00O2TNJGODT0G5Z4TTKYMM5MT","GSON1112031105")</f>
        <v>#NAME?</v>
      </c>
      <c r="R431" s="4" t="e">
        <f ca="1">[1]!BexGetData("DP_1","00O2TNJGODT0G5Z4TTKYMMBYD","GSON1112031105")</f>
        <v>#NAME?</v>
      </c>
      <c r="S431" s="4" t="e">
        <f ca="1">[1]!BexGetData("DP_1","00O2TNJGODT0G5Z4TTKYMMI9X","GSON1112031105")</f>
        <v>#NAME?</v>
      </c>
      <c r="T431" s="4" t="e">
        <f ca="1">[1]!BexGetData("DP_1","00O2TNJGODT0G5Z4TTKYMMOLH","GSON1112031105")</f>
        <v>#NAME?</v>
      </c>
      <c r="U431" s="4" t="e">
        <f ca="1">[1]!BexGetData("DP_1","00O2TNJGODT0G5Z4TTKYMMUX1","GSON1112031105")</f>
        <v>#NAME?</v>
      </c>
      <c r="V431" s="4" t="e">
        <f ca="1">[1]!BexGetData("DP_1","00O2TNJGODT0G5Z4TTKYMN18L","GSON1112031105")</f>
        <v>#NAME?</v>
      </c>
      <c r="W431" s="4" t="e">
        <f ca="1">[1]!BexGetData("DP_1","00O2TNJGODT0G5Z4TTKYMN7K5","GSON1112031105")</f>
        <v>#NAME?</v>
      </c>
    </row>
    <row r="432" spans="1:23" x14ac:dyDescent="0.2">
      <c r="A432" s="16" t="s">
        <v>2261</v>
      </c>
      <c r="B432" s="7" t="s">
        <v>2262</v>
      </c>
      <c r="C432" s="3" t="e">
        <f ca="1">[1]!BexGetData("DP_1","003N8EMH8GTFRCSWKMPXRR8GU","GSON1112031110")</f>
        <v>#NAME?</v>
      </c>
      <c r="D432" s="3" t="e">
        <f ca="1">[1]!BexGetData("DP_1","003N8EMH8GTFRCSWKMPXRRESE","GSON1112031110")</f>
        <v>#NAME?</v>
      </c>
      <c r="E432" s="3" t="e">
        <f ca="1">[1]!BexGetData("DP_1","003N8EMH8GTFRCSWKMPXRRL3Y","GSON1112031110")</f>
        <v>#NAME?</v>
      </c>
      <c r="F432" s="4" t="e">
        <f ca="1">[1]!BexGetData("DP_1","003N8EMH8GTFRCSWKMPXRRRFI","GSON1112031110")</f>
        <v>#NAME?</v>
      </c>
      <c r="G432" s="4" t="e">
        <f ca="1">[1]!BexGetData("DP_1","003N8EMH8GTFRCSWKMPXRRXR2","GSON1112031110")</f>
        <v>#NAME?</v>
      </c>
      <c r="H432" s="4" t="e">
        <f ca="1">[1]!BexGetData("DP_1","003N8EMH8GTFRCSWKMPXRS42M","GSON1112031110")</f>
        <v>#NAME?</v>
      </c>
      <c r="I432" s="4" t="e">
        <f ca="1">[1]!BexGetData("DP_1","003N8EMH8GTFRCSWKMPXRSAE6","GSON1112031110")</f>
        <v>#NAME?</v>
      </c>
      <c r="J432" s="4" t="e">
        <f ca="1">[1]!BexGetData("DP_1","003N8EMH8GTFRCSWKMPXRSGPQ","GSON1112031110")</f>
        <v>#NAME?</v>
      </c>
      <c r="K432" s="3" t="e">
        <f ca="1">[1]!BexGetData("DP_1","003N8EMH8GTFRIVNUPY288VJH","GSON1112031110")</f>
        <v>#NAME?</v>
      </c>
      <c r="L432" s="3" t="e">
        <f ca="1">[1]!BexGetData("DP_1","003N8EMH8GTFRIVNUPY2891V1","GSON1112031110")</f>
        <v>#NAME?</v>
      </c>
      <c r="M432" s="8" t="e">
        <f ca="1">[1]!BexGetData("DP_1","003N8EMH8GTFRIVOG7KG9IQXA","GSON1112031110")</f>
        <v>#NAME?</v>
      </c>
      <c r="N432" s="3" t="e">
        <f ca="1">[1]!BexGetData("DP_1","003N8EMH8GTFRIVOG7KG9IX8U","GSON1112031110")</f>
        <v>#NAME?</v>
      </c>
      <c r="O432" s="8" t="e">
        <f ca="1">[1]!BexGetData("DP_1","003N8EMH8GTFRIVOG7KG9J3KE","GSON1112031110")</f>
        <v>#NAME?</v>
      </c>
      <c r="P432" s="3" t="e">
        <f ca="1">[1]!BexGetData("DP_1","003N8EMH8GTFRIVOG7KG9J9VY","GSON1112031110")</f>
        <v>#NAME?</v>
      </c>
      <c r="Q432" s="4" t="e">
        <f ca="1">[1]!BexGetData("DP_1","00O2TNJGODT0G5Z4TTKYMM5MT","GSON1112031110")</f>
        <v>#NAME?</v>
      </c>
      <c r="R432" s="4" t="e">
        <f ca="1">[1]!BexGetData("DP_1","00O2TNJGODT0G5Z4TTKYMMBYD","GSON1112031110")</f>
        <v>#NAME?</v>
      </c>
      <c r="S432" s="4" t="e">
        <f ca="1">[1]!BexGetData("DP_1","00O2TNJGODT0G5Z4TTKYMMI9X","GSON1112031110")</f>
        <v>#NAME?</v>
      </c>
      <c r="T432" s="4" t="e">
        <f ca="1">[1]!BexGetData("DP_1","00O2TNJGODT0G5Z4TTKYMMOLH","GSON1112031110")</f>
        <v>#NAME?</v>
      </c>
      <c r="U432" s="4" t="e">
        <f ca="1">[1]!BexGetData("DP_1","00O2TNJGODT0G5Z4TTKYMMUX1","GSON1112031110")</f>
        <v>#NAME?</v>
      </c>
      <c r="V432" s="4" t="e">
        <f ca="1">[1]!BexGetData("DP_1","00O2TNJGODT0G5Z4TTKYMN18L","GSON1112031110")</f>
        <v>#NAME?</v>
      </c>
      <c r="W432" s="4" t="e">
        <f ca="1">[1]!BexGetData("DP_1","00O2TNJGODT0G5Z4TTKYMN7K5","GSON1112031110")</f>
        <v>#NAME?</v>
      </c>
    </row>
    <row r="433" spans="1:23" x14ac:dyDescent="0.2">
      <c r="A433" s="16" t="s">
        <v>2263</v>
      </c>
      <c r="B433" s="7" t="s">
        <v>2264</v>
      </c>
      <c r="C433" s="3" t="e">
        <f ca="1">[1]!BexGetData("DP_1","003N8EMH8GTFRCSWKMPXRR8GU","GSON1112031111")</f>
        <v>#NAME?</v>
      </c>
      <c r="D433" s="3" t="e">
        <f ca="1">[1]!BexGetData("DP_1","003N8EMH8GTFRCSWKMPXRRESE","GSON1112031111")</f>
        <v>#NAME?</v>
      </c>
      <c r="E433" s="8" t="e">
        <f ca="1">[1]!BexGetData("DP_1","003N8EMH8GTFRCSWKMPXRRL3Y","GSON1112031111")</f>
        <v>#NAME?</v>
      </c>
      <c r="F433" s="4" t="e">
        <f ca="1">[1]!BexGetData("DP_1","003N8EMH8GTFRCSWKMPXRRRFI","GSON1112031111")</f>
        <v>#NAME?</v>
      </c>
      <c r="G433" s="4" t="e">
        <f ca="1">[1]!BexGetData("DP_1","003N8EMH8GTFRCSWKMPXRRXR2","GSON1112031111")</f>
        <v>#NAME?</v>
      </c>
      <c r="H433" s="4" t="e">
        <f ca="1">[1]!BexGetData("DP_1","003N8EMH8GTFRCSWKMPXRS42M","GSON1112031111")</f>
        <v>#NAME?</v>
      </c>
      <c r="I433" s="4" t="e">
        <f ca="1">[1]!BexGetData("DP_1","003N8EMH8GTFRCSWKMPXRSAE6","GSON1112031111")</f>
        <v>#NAME?</v>
      </c>
      <c r="J433" s="4" t="e">
        <f ca="1">[1]!BexGetData("DP_1","003N8EMH8GTFRCSWKMPXRSGPQ","GSON1112031111")</f>
        <v>#NAME?</v>
      </c>
      <c r="K433" s="8" t="e">
        <f ca="1">[1]!BexGetData("DP_1","003N8EMH8GTFRIVNUPY288VJH","GSON1112031111")</f>
        <v>#NAME?</v>
      </c>
      <c r="L433" s="8" t="e">
        <f ca="1">[1]!BexGetData("DP_1","003N8EMH8GTFRIVNUPY2891V1","GSON1112031111")</f>
        <v>#NAME?</v>
      </c>
      <c r="M433" s="8" t="e">
        <f ca="1">[1]!BexGetData("DP_1","003N8EMH8GTFRIVOG7KG9IQXA","GSON1112031111")</f>
        <v>#NAME?</v>
      </c>
      <c r="N433" s="8" t="e">
        <f ca="1">[1]!BexGetData("DP_1","003N8EMH8GTFRIVOG7KG9IX8U","GSON1112031111")</f>
        <v>#NAME?</v>
      </c>
      <c r="O433" s="8" t="e">
        <f ca="1">[1]!BexGetData("DP_1","003N8EMH8GTFRIVOG7KG9J3KE","GSON1112031111")</f>
        <v>#NAME?</v>
      </c>
      <c r="P433" s="8" t="e">
        <f ca="1">[1]!BexGetData("DP_1","003N8EMH8GTFRIVOG7KG9J9VY","GSON1112031111")</f>
        <v>#NAME?</v>
      </c>
      <c r="Q433" s="4" t="e">
        <f ca="1">[1]!BexGetData("DP_1","00O2TNJGODT0G5Z4TTKYMM5MT","GSON1112031111")</f>
        <v>#NAME?</v>
      </c>
      <c r="R433" s="4" t="e">
        <f ca="1">[1]!BexGetData("DP_1","00O2TNJGODT0G5Z4TTKYMMBYD","GSON1112031111")</f>
        <v>#NAME?</v>
      </c>
      <c r="S433" s="4" t="e">
        <f ca="1">[1]!BexGetData("DP_1","00O2TNJGODT0G5Z4TTKYMMI9X","GSON1112031111")</f>
        <v>#NAME?</v>
      </c>
      <c r="T433" s="4" t="e">
        <f ca="1">[1]!BexGetData("DP_1","00O2TNJGODT0G5Z4TTKYMMOLH","GSON1112031111")</f>
        <v>#NAME?</v>
      </c>
      <c r="U433" s="4" t="e">
        <f ca="1">[1]!BexGetData("DP_1","00O2TNJGODT0G5Z4TTKYMMUX1","GSON1112031111")</f>
        <v>#NAME?</v>
      </c>
      <c r="V433" s="4" t="e">
        <f ca="1">[1]!BexGetData("DP_1","00O2TNJGODT0G5Z4TTKYMN18L","GSON1112031111")</f>
        <v>#NAME?</v>
      </c>
      <c r="W433" s="4" t="e">
        <f ca="1">[1]!BexGetData("DP_1","00O2TNJGODT0G5Z4TTKYMN7K5","GSON1112031111")</f>
        <v>#NAME?</v>
      </c>
    </row>
    <row r="434" spans="1:23" x14ac:dyDescent="0.2">
      <c r="A434" s="16" t="s">
        <v>2265</v>
      </c>
      <c r="B434" s="7" t="s">
        <v>2266</v>
      </c>
      <c r="C434" s="8" t="e">
        <f ca="1">[1]!BexGetData("DP_1","003N8EMH8GTFRCSWKMPXRR8GU","GSON1112031112")</f>
        <v>#NAME?</v>
      </c>
      <c r="D434" s="3" t="e">
        <f ca="1">[1]!BexGetData("DP_1","003N8EMH8GTFRCSWKMPXRRESE","GSON1112031112")</f>
        <v>#NAME?</v>
      </c>
      <c r="E434" s="3" t="e">
        <f ca="1">[1]!BexGetData("DP_1","003N8EMH8GTFRCSWKMPXRRL3Y","GSON1112031112")</f>
        <v>#NAME?</v>
      </c>
      <c r="F434" s="4" t="e">
        <f ca="1">[1]!BexGetData("DP_1","003N8EMH8GTFRCSWKMPXRRRFI","GSON1112031112")</f>
        <v>#NAME?</v>
      </c>
      <c r="G434" s="4" t="e">
        <f ca="1">[1]!BexGetData("DP_1","003N8EMH8GTFRCSWKMPXRRXR2","GSON1112031112")</f>
        <v>#NAME?</v>
      </c>
      <c r="H434" s="4" t="e">
        <f ca="1">[1]!BexGetData("DP_1","003N8EMH8GTFRCSWKMPXRS42M","GSON1112031112")</f>
        <v>#NAME?</v>
      </c>
      <c r="I434" s="4" t="e">
        <f ca="1">[1]!BexGetData("DP_1","003N8EMH8GTFRCSWKMPXRSAE6","GSON1112031112")</f>
        <v>#NAME?</v>
      </c>
      <c r="J434" s="4" t="e">
        <f ca="1">[1]!BexGetData("DP_1","003N8EMH8GTFRCSWKMPXRSGPQ","GSON1112031112")</f>
        <v>#NAME?</v>
      </c>
      <c r="K434" s="3" t="e">
        <f ca="1">[1]!BexGetData("DP_1","003N8EMH8GTFRIVNUPY288VJH","GSON1112031112")</f>
        <v>#NAME?</v>
      </c>
      <c r="L434" s="3" t="e">
        <f ca="1">[1]!BexGetData("DP_1","003N8EMH8GTFRIVNUPY2891V1","GSON1112031112")</f>
        <v>#NAME?</v>
      </c>
      <c r="M434" s="3" t="e">
        <f ca="1">[1]!BexGetData("DP_1","003N8EMH8GTFRIVOG7KG9IQXA","GSON1112031112")</f>
        <v>#NAME?</v>
      </c>
      <c r="N434" s="8" t="e">
        <f ca="1">[1]!BexGetData("DP_1","003N8EMH8GTFRIVOG7KG9IX8U","GSON1112031112")</f>
        <v>#NAME?</v>
      </c>
      <c r="O434" s="3" t="e">
        <f ca="1">[1]!BexGetData("DP_1","003N8EMH8GTFRIVOG7KG9J3KE","GSON1112031112")</f>
        <v>#NAME?</v>
      </c>
      <c r="P434" s="8" t="e">
        <f ca="1">[1]!BexGetData("DP_1","003N8EMH8GTFRIVOG7KG9J9VY","GSON1112031112")</f>
        <v>#NAME?</v>
      </c>
      <c r="Q434" s="4" t="e">
        <f ca="1">[1]!BexGetData("DP_1","00O2TNJGODT0G5Z4TTKYMM5MT","GSON1112031112")</f>
        <v>#NAME?</v>
      </c>
      <c r="R434" s="4" t="e">
        <f ca="1">[1]!BexGetData("DP_1","00O2TNJGODT0G5Z4TTKYMMBYD","GSON1112031112")</f>
        <v>#NAME?</v>
      </c>
      <c r="S434" s="4" t="e">
        <f ca="1">[1]!BexGetData("DP_1","00O2TNJGODT0G5Z4TTKYMMI9X","GSON1112031112")</f>
        <v>#NAME?</v>
      </c>
      <c r="T434" s="4" t="e">
        <f ca="1">[1]!BexGetData("DP_1","00O2TNJGODT0G5Z4TTKYMMOLH","GSON1112031112")</f>
        <v>#NAME?</v>
      </c>
      <c r="U434" s="4" t="e">
        <f ca="1">[1]!BexGetData("DP_1","00O2TNJGODT0G5Z4TTKYMMUX1","GSON1112031112")</f>
        <v>#NAME?</v>
      </c>
      <c r="V434" s="4" t="e">
        <f ca="1">[1]!BexGetData("DP_1","00O2TNJGODT0G5Z4TTKYMN18L","GSON1112031112")</f>
        <v>#NAME?</v>
      </c>
      <c r="W434" s="4" t="e">
        <f ca="1">[1]!BexGetData("DP_1","00O2TNJGODT0G5Z4TTKYMN7K5","GSON1112031112")</f>
        <v>#NAME?</v>
      </c>
    </row>
    <row r="435" spans="1:23" x14ac:dyDescent="0.2">
      <c r="A435" s="16" t="s">
        <v>2267</v>
      </c>
      <c r="B435" s="7" t="s">
        <v>2268</v>
      </c>
      <c r="C435" s="3" t="e">
        <f ca="1">[1]!BexGetData("DP_1","003N8EMH8GTFRCSWKMPXRR8GU","GSON1112031113")</f>
        <v>#NAME?</v>
      </c>
      <c r="D435" s="3" t="e">
        <f ca="1">[1]!BexGetData("DP_1","003N8EMH8GTFRCSWKMPXRRESE","GSON1112031113")</f>
        <v>#NAME?</v>
      </c>
      <c r="E435" s="8" t="e">
        <f ca="1">[1]!BexGetData("DP_1","003N8EMH8GTFRCSWKMPXRRL3Y","GSON1112031113")</f>
        <v>#NAME?</v>
      </c>
      <c r="F435" s="4" t="e">
        <f ca="1">[1]!BexGetData("DP_1","003N8EMH8GTFRCSWKMPXRRRFI","GSON1112031113")</f>
        <v>#NAME?</v>
      </c>
      <c r="G435" s="4" t="e">
        <f ca="1">[1]!BexGetData("DP_1","003N8EMH8GTFRCSWKMPXRRXR2","GSON1112031113")</f>
        <v>#NAME?</v>
      </c>
      <c r="H435" s="4" t="e">
        <f ca="1">[1]!BexGetData("DP_1","003N8EMH8GTFRCSWKMPXRS42M","GSON1112031113")</f>
        <v>#NAME?</v>
      </c>
      <c r="I435" s="4" t="e">
        <f ca="1">[1]!BexGetData("DP_1","003N8EMH8GTFRCSWKMPXRSAE6","GSON1112031113")</f>
        <v>#NAME?</v>
      </c>
      <c r="J435" s="4" t="e">
        <f ca="1">[1]!BexGetData("DP_1","003N8EMH8GTFRCSWKMPXRSGPQ","GSON1112031113")</f>
        <v>#NAME?</v>
      </c>
      <c r="K435" s="8" t="e">
        <f ca="1">[1]!BexGetData("DP_1","003N8EMH8GTFRIVNUPY288VJH","GSON1112031113")</f>
        <v>#NAME?</v>
      </c>
      <c r="L435" s="8" t="e">
        <f ca="1">[1]!BexGetData("DP_1","003N8EMH8GTFRIVNUPY2891V1","GSON1112031113")</f>
        <v>#NAME?</v>
      </c>
      <c r="M435" s="8" t="e">
        <f ca="1">[1]!BexGetData("DP_1","003N8EMH8GTFRIVOG7KG9IQXA","GSON1112031113")</f>
        <v>#NAME?</v>
      </c>
      <c r="N435" s="8" t="e">
        <f ca="1">[1]!BexGetData("DP_1","003N8EMH8GTFRIVOG7KG9IX8U","GSON1112031113")</f>
        <v>#NAME?</v>
      </c>
      <c r="O435" s="8" t="e">
        <f ca="1">[1]!BexGetData("DP_1","003N8EMH8GTFRIVOG7KG9J3KE","GSON1112031113")</f>
        <v>#NAME?</v>
      </c>
      <c r="P435" s="8" t="e">
        <f ca="1">[1]!BexGetData("DP_1","003N8EMH8GTFRIVOG7KG9J9VY","GSON1112031113")</f>
        <v>#NAME?</v>
      </c>
      <c r="Q435" s="4" t="e">
        <f ca="1">[1]!BexGetData("DP_1","00O2TNJGODT0G5Z4TTKYMM5MT","GSON1112031113")</f>
        <v>#NAME?</v>
      </c>
      <c r="R435" s="4" t="e">
        <f ca="1">[1]!BexGetData("DP_1","00O2TNJGODT0G5Z4TTKYMMBYD","GSON1112031113")</f>
        <v>#NAME?</v>
      </c>
      <c r="S435" s="4" t="e">
        <f ca="1">[1]!BexGetData("DP_1","00O2TNJGODT0G5Z4TTKYMMI9X","GSON1112031113")</f>
        <v>#NAME?</v>
      </c>
      <c r="T435" s="4" t="e">
        <f ca="1">[1]!BexGetData("DP_1","00O2TNJGODT0G5Z4TTKYMMOLH","GSON1112031113")</f>
        <v>#NAME?</v>
      </c>
      <c r="U435" s="4" t="e">
        <f ca="1">[1]!BexGetData("DP_1","00O2TNJGODT0G5Z4TTKYMMUX1","GSON1112031113")</f>
        <v>#NAME?</v>
      </c>
      <c r="V435" s="4" t="e">
        <f ca="1">[1]!BexGetData("DP_1","00O2TNJGODT0G5Z4TTKYMN18L","GSON1112031113")</f>
        <v>#NAME?</v>
      </c>
      <c r="W435" s="4" t="e">
        <f ca="1">[1]!BexGetData("DP_1","00O2TNJGODT0G5Z4TTKYMN7K5","GSON1112031113")</f>
        <v>#NAME?</v>
      </c>
    </row>
    <row r="436" spans="1:23" x14ac:dyDescent="0.2">
      <c r="A436" s="16" t="s">
        <v>2269</v>
      </c>
      <c r="B436" s="7" t="s">
        <v>2270</v>
      </c>
      <c r="C436" s="3" t="e">
        <f ca="1">[1]!BexGetData("DP_1","003N8EMH8GTFRCSWKMPXRR8GU","GSON1112031115")</f>
        <v>#NAME?</v>
      </c>
      <c r="D436" s="3" t="e">
        <f ca="1">[1]!BexGetData("DP_1","003N8EMH8GTFRCSWKMPXRRESE","GSON1112031115")</f>
        <v>#NAME?</v>
      </c>
      <c r="E436" s="8" t="e">
        <f ca="1">[1]!BexGetData("DP_1","003N8EMH8GTFRCSWKMPXRRL3Y","GSON1112031115")</f>
        <v>#NAME?</v>
      </c>
      <c r="F436" s="4" t="e">
        <f ca="1">[1]!BexGetData("DP_1","003N8EMH8GTFRCSWKMPXRRRFI","GSON1112031115")</f>
        <v>#NAME?</v>
      </c>
      <c r="G436" s="4" t="e">
        <f ca="1">[1]!BexGetData("DP_1","003N8EMH8GTFRCSWKMPXRRXR2","GSON1112031115")</f>
        <v>#NAME?</v>
      </c>
      <c r="H436" s="4" t="e">
        <f ca="1">[1]!BexGetData("DP_1","003N8EMH8GTFRCSWKMPXRS42M","GSON1112031115")</f>
        <v>#NAME?</v>
      </c>
      <c r="I436" s="4" t="e">
        <f ca="1">[1]!BexGetData("DP_1","003N8EMH8GTFRCSWKMPXRSAE6","GSON1112031115")</f>
        <v>#NAME?</v>
      </c>
      <c r="J436" s="4" t="e">
        <f ca="1">[1]!BexGetData("DP_1","003N8EMH8GTFRCSWKMPXRSGPQ","GSON1112031115")</f>
        <v>#NAME?</v>
      </c>
      <c r="K436" s="8" t="e">
        <f ca="1">[1]!BexGetData("DP_1","003N8EMH8GTFRIVNUPY288VJH","GSON1112031115")</f>
        <v>#NAME?</v>
      </c>
      <c r="L436" s="8" t="e">
        <f ca="1">[1]!BexGetData("DP_1","003N8EMH8GTFRIVNUPY2891V1","GSON1112031115")</f>
        <v>#NAME?</v>
      </c>
      <c r="M436" s="8" t="e">
        <f ca="1">[1]!BexGetData("DP_1","003N8EMH8GTFRIVOG7KG9IQXA","GSON1112031115")</f>
        <v>#NAME?</v>
      </c>
      <c r="N436" s="8" t="e">
        <f ca="1">[1]!BexGetData("DP_1","003N8EMH8GTFRIVOG7KG9IX8U","GSON1112031115")</f>
        <v>#NAME?</v>
      </c>
      <c r="O436" s="8" t="e">
        <f ca="1">[1]!BexGetData("DP_1","003N8EMH8GTFRIVOG7KG9J3KE","GSON1112031115")</f>
        <v>#NAME?</v>
      </c>
      <c r="P436" s="8" t="e">
        <f ca="1">[1]!BexGetData("DP_1","003N8EMH8GTFRIVOG7KG9J9VY","GSON1112031115")</f>
        <v>#NAME?</v>
      </c>
      <c r="Q436" s="4" t="e">
        <f ca="1">[1]!BexGetData("DP_1","00O2TNJGODT0G5Z4TTKYMM5MT","GSON1112031115")</f>
        <v>#NAME?</v>
      </c>
      <c r="R436" s="4" t="e">
        <f ca="1">[1]!BexGetData("DP_1","00O2TNJGODT0G5Z4TTKYMMBYD","GSON1112031115")</f>
        <v>#NAME?</v>
      </c>
      <c r="S436" s="4" t="e">
        <f ca="1">[1]!BexGetData("DP_1","00O2TNJGODT0G5Z4TTKYMMI9X","GSON1112031115")</f>
        <v>#NAME?</v>
      </c>
      <c r="T436" s="4" t="e">
        <f ca="1">[1]!BexGetData("DP_1","00O2TNJGODT0G5Z4TTKYMMOLH","GSON1112031115")</f>
        <v>#NAME?</v>
      </c>
      <c r="U436" s="4" t="e">
        <f ca="1">[1]!BexGetData("DP_1","00O2TNJGODT0G5Z4TTKYMMUX1","GSON1112031115")</f>
        <v>#NAME?</v>
      </c>
      <c r="V436" s="4" t="e">
        <f ca="1">[1]!BexGetData("DP_1","00O2TNJGODT0G5Z4TTKYMN18L","GSON1112031115")</f>
        <v>#NAME?</v>
      </c>
      <c r="W436" s="4" t="e">
        <f ca="1">[1]!BexGetData("DP_1","00O2TNJGODT0G5Z4TTKYMN7K5","GSON1112031115")</f>
        <v>#NAME?</v>
      </c>
    </row>
    <row r="437" spans="1:23" x14ac:dyDescent="0.2">
      <c r="A437" s="16" t="s">
        <v>2271</v>
      </c>
      <c r="B437" s="7" t="s">
        <v>2272</v>
      </c>
      <c r="C437" s="3" t="e">
        <f ca="1">[1]!BexGetData("DP_1","003N8EMH8GTFRCSWKMPXRR8GU","GSON1112031120")</f>
        <v>#NAME?</v>
      </c>
      <c r="D437" s="3" t="e">
        <f ca="1">[1]!BexGetData("DP_1","003N8EMH8GTFRCSWKMPXRRESE","GSON1112031120")</f>
        <v>#NAME?</v>
      </c>
      <c r="E437" s="3" t="e">
        <f ca="1">[1]!BexGetData("DP_1","003N8EMH8GTFRCSWKMPXRRL3Y","GSON1112031120")</f>
        <v>#NAME?</v>
      </c>
      <c r="F437" s="4" t="e">
        <f ca="1">[1]!BexGetData("DP_1","003N8EMH8GTFRCSWKMPXRRRFI","GSON1112031120")</f>
        <v>#NAME?</v>
      </c>
      <c r="G437" s="4" t="e">
        <f ca="1">[1]!BexGetData("DP_1","003N8EMH8GTFRCSWKMPXRRXR2","GSON1112031120")</f>
        <v>#NAME?</v>
      </c>
      <c r="H437" s="4" t="e">
        <f ca="1">[1]!BexGetData("DP_1","003N8EMH8GTFRCSWKMPXRS42M","GSON1112031120")</f>
        <v>#NAME?</v>
      </c>
      <c r="I437" s="4" t="e">
        <f ca="1">[1]!BexGetData("DP_1","003N8EMH8GTFRCSWKMPXRSAE6","GSON1112031120")</f>
        <v>#NAME?</v>
      </c>
      <c r="J437" s="4" t="e">
        <f ca="1">[1]!BexGetData("DP_1","003N8EMH8GTFRCSWKMPXRSGPQ","GSON1112031120")</f>
        <v>#NAME?</v>
      </c>
      <c r="K437" s="3" t="e">
        <f ca="1">[1]!BexGetData("DP_1","003N8EMH8GTFRIVNUPY288VJH","GSON1112031120")</f>
        <v>#NAME?</v>
      </c>
      <c r="L437" s="3" t="e">
        <f ca="1">[1]!BexGetData("DP_1","003N8EMH8GTFRIVNUPY2891V1","GSON1112031120")</f>
        <v>#NAME?</v>
      </c>
      <c r="M437" s="8" t="e">
        <f ca="1">[1]!BexGetData("DP_1","003N8EMH8GTFRIVOG7KG9IQXA","GSON1112031120")</f>
        <v>#NAME?</v>
      </c>
      <c r="N437" s="3" t="e">
        <f ca="1">[1]!BexGetData("DP_1","003N8EMH8GTFRIVOG7KG9IX8U","GSON1112031120")</f>
        <v>#NAME?</v>
      </c>
      <c r="O437" s="8" t="e">
        <f ca="1">[1]!BexGetData("DP_1","003N8EMH8GTFRIVOG7KG9J3KE","GSON1112031120")</f>
        <v>#NAME?</v>
      </c>
      <c r="P437" s="3" t="e">
        <f ca="1">[1]!BexGetData("DP_1","003N8EMH8GTFRIVOG7KG9J9VY","GSON1112031120")</f>
        <v>#NAME?</v>
      </c>
      <c r="Q437" s="4" t="e">
        <f ca="1">[1]!BexGetData("DP_1","00O2TNJGODT0G5Z4TTKYMM5MT","GSON1112031120")</f>
        <v>#NAME?</v>
      </c>
      <c r="R437" s="4" t="e">
        <f ca="1">[1]!BexGetData("DP_1","00O2TNJGODT0G5Z4TTKYMMBYD","GSON1112031120")</f>
        <v>#NAME?</v>
      </c>
      <c r="S437" s="4" t="e">
        <f ca="1">[1]!BexGetData("DP_1","00O2TNJGODT0G5Z4TTKYMMI9X","GSON1112031120")</f>
        <v>#NAME?</v>
      </c>
      <c r="T437" s="4" t="e">
        <f ca="1">[1]!BexGetData("DP_1","00O2TNJGODT0G5Z4TTKYMMOLH","GSON1112031120")</f>
        <v>#NAME?</v>
      </c>
      <c r="U437" s="4" t="e">
        <f ca="1">[1]!BexGetData("DP_1","00O2TNJGODT0G5Z4TTKYMMUX1","GSON1112031120")</f>
        <v>#NAME?</v>
      </c>
      <c r="V437" s="4" t="e">
        <f ca="1">[1]!BexGetData("DP_1","00O2TNJGODT0G5Z4TTKYMN18L","GSON1112031120")</f>
        <v>#NAME?</v>
      </c>
      <c r="W437" s="4" t="e">
        <f ca="1">[1]!BexGetData("DP_1","00O2TNJGODT0G5Z4TTKYMN7K5","GSON1112031120")</f>
        <v>#NAME?</v>
      </c>
    </row>
    <row r="438" spans="1:23" x14ac:dyDescent="0.2">
      <c r="A438" s="16" t="s">
        <v>2273</v>
      </c>
      <c r="B438" s="7" t="s">
        <v>2274</v>
      </c>
      <c r="C438" s="3" t="e">
        <f ca="1">[1]!BexGetData("DP_1","003N8EMH8GTFRCSWKMPXRR8GU","GSON1112031121")</f>
        <v>#NAME?</v>
      </c>
      <c r="D438" s="3" t="e">
        <f ca="1">[1]!BexGetData("DP_1","003N8EMH8GTFRCSWKMPXRRESE","GSON1112031121")</f>
        <v>#NAME?</v>
      </c>
      <c r="E438" s="8" t="e">
        <f ca="1">[1]!BexGetData("DP_1","003N8EMH8GTFRCSWKMPXRRL3Y","GSON1112031121")</f>
        <v>#NAME?</v>
      </c>
      <c r="F438" s="4" t="e">
        <f ca="1">[1]!BexGetData("DP_1","003N8EMH8GTFRCSWKMPXRRRFI","GSON1112031121")</f>
        <v>#NAME?</v>
      </c>
      <c r="G438" s="4" t="e">
        <f ca="1">[1]!BexGetData("DP_1","003N8EMH8GTFRCSWKMPXRRXR2","GSON1112031121")</f>
        <v>#NAME?</v>
      </c>
      <c r="H438" s="4" t="e">
        <f ca="1">[1]!BexGetData("DP_1","003N8EMH8GTFRCSWKMPXRS42M","GSON1112031121")</f>
        <v>#NAME?</v>
      </c>
      <c r="I438" s="4" t="e">
        <f ca="1">[1]!BexGetData("DP_1","003N8EMH8GTFRCSWKMPXRSAE6","GSON1112031121")</f>
        <v>#NAME?</v>
      </c>
      <c r="J438" s="4" t="e">
        <f ca="1">[1]!BexGetData("DP_1","003N8EMH8GTFRCSWKMPXRSGPQ","GSON1112031121")</f>
        <v>#NAME?</v>
      </c>
      <c r="K438" s="8" t="e">
        <f ca="1">[1]!BexGetData("DP_1","003N8EMH8GTFRIVNUPY288VJH","GSON1112031121")</f>
        <v>#NAME?</v>
      </c>
      <c r="L438" s="8" t="e">
        <f ca="1">[1]!BexGetData("DP_1","003N8EMH8GTFRIVNUPY2891V1","GSON1112031121")</f>
        <v>#NAME?</v>
      </c>
      <c r="M438" s="8" t="e">
        <f ca="1">[1]!BexGetData("DP_1","003N8EMH8GTFRIVOG7KG9IQXA","GSON1112031121")</f>
        <v>#NAME?</v>
      </c>
      <c r="N438" s="8" t="e">
        <f ca="1">[1]!BexGetData("DP_1","003N8EMH8GTFRIVOG7KG9IX8U","GSON1112031121")</f>
        <v>#NAME?</v>
      </c>
      <c r="O438" s="8" t="e">
        <f ca="1">[1]!BexGetData("DP_1","003N8EMH8GTFRIVOG7KG9J3KE","GSON1112031121")</f>
        <v>#NAME?</v>
      </c>
      <c r="P438" s="8" t="e">
        <f ca="1">[1]!BexGetData("DP_1","003N8EMH8GTFRIVOG7KG9J9VY","GSON1112031121")</f>
        <v>#NAME?</v>
      </c>
      <c r="Q438" s="4" t="e">
        <f ca="1">[1]!BexGetData("DP_1","00O2TNJGODT0G5Z4TTKYMM5MT","GSON1112031121")</f>
        <v>#NAME?</v>
      </c>
      <c r="R438" s="4" t="e">
        <f ca="1">[1]!BexGetData("DP_1","00O2TNJGODT0G5Z4TTKYMMBYD","GSON1112031121")</f>
        <v>#NAME?</v>
      </c>
      <c r="S438" s="4" t="e">
        <f ca="1">[1]!BexGetData("DP_1","00O2TNJGODT0G5Z4TTKYMMI9X","GSON1112031121")</f>
        <v>#NAME?</v>
      </c>
      <c r="T438" s="4" t="e">
        <f ca="1">[1]!BexGetData("DP_1","00O2TNJGODT0G5Z4TTKYMMOLH","GSON1112031121")</f>
        <v>#NAME?</v>
      </c>
      <c r="U438" s="4" t="e">
        <f ca="1">[1]!BexGetData("DP_1","00O2TNJGODT0G5Z4TTKYMMUX1","GSON1112031121")</f>
        <v>#NAME?</v>
      </c>
      <c r="V438" s="4" t="e">
        <f ca="1">[1]!BexGetData("DP_1","00O2TNJGODT0G5Z4TTKYMN18L","GSON1112031121")</f>
        <v>#NAME?</v>
      </c>
      <c r="W438" s="4" t="e">
        <f ca="1">[1]!BexGetData("DP_1","00O2TNJGODT0G5Z4TTKYMN7K5","GSON1112031121")</f>
        <v>#NAME?</v>
      </c>
    </row>
    <row r="439" spans="1:23" x14ac:dyDescent="0.2">
      <c r="A439" s="16" t="s">
        <v>2275</v>
      </c>
      <c r="B439" s="7" t="s">
        <v>2276</v>
      </c>
      <c r="C439" s="3" t="e">
        <f ca="1">[1]!BexGetData("DP_1","003N8EMH8GTFRCSWKMPXRR8GU","GSON1112031122")</f>
        <v>#NAME?</v>
      </c>
      <c r="D439" s="3" t="e">
        <f ca="1">[1]!BexGetData("DP_1","003N8EMH8GTFRCSWKMPXRRESE","GSON1112031122")</f>
        <v>#NAME?</v>
      </c>
      <c r="E439" s="3" t="e">
        <f ca="1">[1]!BexGetData("DP_1","003N8EMH8GTFRCSWKMPXRRL3Y","GSON1112031122")</f>
        <v>#NAME?</v>
      </c>
      <c r="F439" s="4" t="e">
        <f ca="1">[1]!BexGetData("DP_1","003N8EMH8GTFRCSWKMPXRRRFI","GSON1112031122")</f>
        <v>#NAME?</v>
      </c>
      <c r="G439" s="4" t="e">
        <f ca="1">[1]!BexGetData("DP_1","003N8EMH8GTFRCSWKMPXRRXR2","GSON1112031122")</f>
        <v>#NAME?</v>
      </c>
      <c r="H439" s="4" t="e">
        <f ca="1">[1]!BexGetData("DP_1","003N8EMH8GTFRCSWKMPXRS42M","GSON1112031122")</f>
        <v>#NAME?</v>
      </c>
      <c r="I439" s="4" t="e">
        <f ca="1">[1]!BexGetData("DP_1","003N8EMH8GTFRCSWKMPXRSAE6","GSON1112031122")</f>
        <v>#NAME?</v>
      </c>
      <c r="J439" s="4" t="e">
        <f ca="1">[1]!BexGetData("DP_1","003N8EMH8GTFRCSWKMPXRSGPQ","GSON1112031122")</f>
        <v>#NAME?</v>
      </c>
      <c r="K439" s="3" t="e">
        <f ca="1">[1]!BexGetData("DP_1","003N8EMH8GTFRIVNUPY288VJH","GSON1112031122")</f>
        <v>#NAME?</v>
      </c>
      <c r="L439" s="3" t="e">
        <f ca="1">[1]!BexGetData("DP_1","003N8EMH8GTFRIVNUPY2891V1","GSON1112031122")</f>
        <v>#NAME?</v>
      </c>
      <c r="M439" s="3" t="e">
        <f ca="1">[1]!BexGetData("DP_1","003N8EMH8GTFRIVOG7KG9IQXA","GSON1112031122")</f>
        <v>#NAME?</v>
      </c>
      <c r="N439" s="8" t="e">
        <f ca="1">[1]!BexGetData("DP_1","003N8EMH8GTFRIVOG7KG9IX8U","GSON1112031122")</f>
        <v>#NAME?</v>
      </c>
      <c r="O439" s="3" t="e">
        <f ca="1">[1]!BexGetData("DP_1","003N8EMH8GTFRIVOG7KG9J3KE","GSON1112031122")</f>
        <v>#NAME?</v>
      </c>
      <c r="P439" s="8" t="e">
        <f ca="1">[1]!BexGetData("DP_1","003N8EMH8GTFRIVOG7KG9J9VY","GSON1112031122")</f>
        <v>#NAME?</v>
      </c>
      <c r="Q439" s="4" t="e">
        <f ca="1">[1]!BexGetData("DP_1","00O2TNJGODT0G5Z4TTKYMM5MT","GSON1112031122")</f>
        <v>#NAME?</v>
      </c>
      <c r="R439" s="4" t="e">
        <f ca="1">[1]!BexGetData("DP_1","00O2TNJGODT0G5Z4TTKYMMBYD","GSON1112031122")</f>
        <v>#NAME?</v>
      </c>
      <c r="S439" s="4" t="e">
        <f ca="1">[1]!BexGetData("DP_1","00O2TNJGODT0G5Z4TTKYMMI9X","GSON1112031122")</f>
        <v>#NAME?</v>
      </c>
      <c r="T439" s="4" t="e">
        <f ca="1">[1]!BexGetData("DP_1","00O2TNJGODT0G5Z4TTKYMMOLH","GSON1112031122")</f>
        <v>#NAME?</v>
      </c>
      <c r="U439" s="4" t="e">
        <f ca="1">[1]!BexGetData("DP_1","00O2TNJGODT0G5Z4TTKYMMUX1","GSON1112031122")</f>
        <v>#NAME?</v>
      </c>
      <c r="V439" s="4" t="e">
        <f ca="1">[1]!BexGetData("DP_1","00O2TNJGODT0G5Z4TTKYMN18L","GSON1112031122")</f>
        <v>#NAME?</v>
      </c>
      <c r="W439" s="4" t="e">
        <f ca="1">[1]!BexGetData("DP_1","00O2TNJGODT0G5Z4TTKYMN7K5","GSON1112031122")</f>
        <v>#NAME?</v>
      </c>
    </row>
    <row r="440" spans="1:23" x14ac:dyDescent="0.2">
      <c r="A440" s="16" t="s">
        <v>2277</v>
      </c>
      <c r="B440" s="7" t="s">
        <v>2278</v>
      </c>
      <c r="C440" s="3" t="e">
        <f ca="1">[1]!BexGetData("DP_1","003N8EMH8GTFRCSWKMPXRR8GU","GSON1112031123")</f>
        <v>#NAME?</v>
      </c>
      <c r="D440" s="3" t="e">
        <f ca="1">[1]!BexGetData("DP_1","003N8EMH8GTFRCSWKMPXRRESE","GSON1112031123")</f>
        <v>#NAME?</v>
      </c>
      <c r="E440" s="8" t="e">
        <f ca="1">[1]!BexGetData("DP_1","003N8EMH8GTFRCSWKMPXRRL3Y","GSON1112031123")</f>
        <v>#NAME?</v>
      </c>
      <c r="F440" s="4" t="e">
        <f ca="1">[1]!BexGetData("DP_1","003N8EMH8GTFRCSWKMPXRRRFI","GSON1112031123")</f>
        <v>#NAME?</v>
      </c>
      <c r="G440" s="4" t="e">
        <f ca="1">[1]!BexGetData("DP_1","003N8EMH8GTFRCSWKMPXRRXR2","GSON1112031123")</f>
        <v>#NAME?</v>
      </c>
      <c r="H440" s="4" t="e">
        <f ca="1">[1]!BexGetData("DP_1","003N8EMH8GTFRCSWKMPXRS42M","GSON1112031123")</f>
        <v>#NAME?</v>
      </c>
      <c r="I440" s="4" t="e">
        <f ca="1">[1]!BexGetData("DP_1","003N8EMH8GTFRCSWKMPXRSAE6","GSON1112031123")</f>
        <v>#NAME?</v>
      </c>
      <c r="J440" s="4" t="e">
        <f ca="1">[1]!BexGetData("DP_1","003N8EMH8GTFRCSWKMPXRSGPQ","GSON1112031123")</f>
        <v>#NAME?</v>
      </c>
      <c r="K440" s="8" t="e">
        <f ca="1">[1]!BexGetData("DP_1","003N8EMH8GTFRIVNUPY288VJH","GSON1112031123")</f>
        <v>#NAME?</v>
      </c>
      <c r="L440" s="8" t="e">
        <f ca="1">[1]!BexGetData("DP_1","003N8EMH8GTFRIVNUPY2891V1","GSON1112031123")</f>
        <v>#NAME?</v>
      </c>
      <c r="M440" s="8" t="e">
        <f ca="1">[1]!BexGetData("DP_1","003N8EMH8GTFRIVOG7KG9IQXA","GSON1112031123")</f>
        <v>#NAME?</v>
      </c>
      <c r="N440" s="8" t="e">
        <f ca="1">[1]!BexGetData("DP_1","003N8EMH8GTFRIVOG7KG9IX8U","GSON1112031123")</f>
        <v>#NAME?</v>
      </c>
      <c r="O440" s="8" t="e">
        <f ca="1">[1]!BexGetData("DP_1","003N8EMH8GTFRIVOG7KG9J3KE","GSON1112031123")</f>
        <v>#NAME?</v>
      </c>
      <c r="P440" s="8" t="e">
        <f ca="1">[1]!BexGetData("DP_1","003N8EMH8GTFRIVOG7KG9J9VY","GSON1112031123")</f>
        <v>#NAME?</v>
      </c>
      <c r="Q440" s="4" t="e">
        <f ca="1">[1]!BexGetData("DP_1","00O2TNJGODT0G5Z4TTKYMM5MT","GSON1112031123")</f>
        <v>#NAME?</v>
      </c>
      <c r="R440" s="4" t="e">
        <f ca="1">[1]!BexGetData("DP_1","00O2TNJGODT0G5Z4TTKYMMBYD","GSON1112031123")</f>
        <v>#NAME?</v>
      </c>
      <c r="S440" s="4" t="e">
        <f ca="1">[1]!BexGetData("DP_1","00O2TNJGODT0G5Z4TTKYMMI9X","GSON1112031123")</f>
        <v>#NAME?</v>
      </c>
      <c r="T440" s="4" t="e">
        <f ca="1">[1]!BexGetData("DP_1","00O2TNJGODT0G5Z4TTKYMMOLH","GSON1112031123")</f>
        <v>#NAME?</v>
      </c>
      <c r="U440" s="4" t="e">
        <f ca="1">[1]!BexGetData("DP_1","00O2TNJGODT0G5Z4TTKYMMUX1","GSON1112031123")</f>
        <v>#NAME?</v>
      </c>
      <c r="V440" s="4" t="e">
        <f ca="1">[1]!BexGetData("DP_1","00O2TNJGODT0G5Z4TTKYMN18L","GSON1112031123")</f>
        <v>#NAME?</v>
      </c>
      <c r="W440" s="4" t="e">
        <f ca="1">[1]!BexGetData("DP_1","00O2TNJGODT0G5Z4TTKYMN7K5","GSON1112031123")</f>
        <v>#NAME?</v>
      </c>
    </row>
    <row r="441" spans="1:23" x14ac:dyDescent="0.2">
      <c r="A441" s="16" t="s">
        <v>2279</v>
      </c>
      <c r="B441" s="7" t="s">
        <v>2280</v>
      </c>
      <c r="C441" s="3" t="e">
        <f ca="1">[1]!BexGetData("DP_1","003N8EMH8GTFRCSWKMPXRR8GU","GSON1112031124")</f>
        <v>#NAME?</v>
      </c>
      <c r="D441" s="3" t="e">
        <f ca="1">[1]!BexGetData("DP_1","003N8EMH8GTFRCSWKMPXRRESE","GSON1112031124")</f>
        <v>#NAME?</v>
      </c>
      <c r="E441" s="8" t="e">
        <f ca="1">[1]!BexGetData("DP_1","003N8EMH8GTFRCSWKMPXRRL3Y","GSON1112031124")</f>
        <v>#NAME?</v>
      </c>
      <c r="F441" s="4" t="e">
        <f ca="1">[1]!BexGetData("DP_1","003N8EMH8GTFRCSWKMPXRRRFI","GSON1112031124")</f>
        <v>#NAME?</v>
      </c>
      <c r="G441" s="4" t="e">
        <f ca="1">[1]!BexGetData("DP_1","003N8EMH8GTFRCSWKMPXRRXR2","GSON1112031124")</f>
        <v>#NAME?</v>
      </c>
      <c r="H441" s="4" t="e">
        <f ca="1">[1]!BexGetData("DP_1","003N8EMH8GTFRCSWKMPXRS42M","GSON1112031124")</f>
        <v>#NAME?</v>
      </c>
      <c r="I441" s="4" t="e">
        <f ca="1">[1]!BexGetData("DP_1","003N8EMH8GTFRCSWKMPXRSAE6","GSON1112031124")</f>
        <v>#NAME?</v>
      </c>
      <c r="J441" s="4" t="e">
        <f ca="1">[1]!BexGetData("DP_1","003N8EMH8GTFRCSWKMPXRSGPQ","GSON1112031124")</f>
        <v>#NAME?</v>
      </c>
      <c r="K441" s="8" t="e">
        <f ca="1">[1]!BexGetData("DP_1","003N8EMH8GTFRIVNUPY288VJH","GSON1112031124")</f>
        <v>#NAME?</v>
      </c>
      <c r="L441" s="8" t="e">
        <f ca="1">[1]!BexGetData("DP_1","003N8EMH8GTFRIVNUPY2891V1","GSON1112031124")</f>
        <v>#NAME?</v>
      </c>
      <c r="M441" s="8" t="e">
        <f ca="1">[1]!BexGetData("DP_1","003N8EMH8GTFRIVOG7KG9IQXA","GSON1112031124")</f>
        <v>#NAME?</v>
      </c>
      <c r="N441" s="8" t="e">
        <f ca="1">[1]!BexGetData("DP_1","003N8EMH8GTFRIVOG7KG9IX8U","GSON1112031124")</f>
        <v>#NAME?</v>
      </c>
      <c r="O441" s="8" t="e">
        <f ca="1">[1]!BexGetData("DP_1","003N8EMH8GTFRIVOG7KG9J3KE","GSON1112031124")</f>
        <v>#NAME?</v>
      </c>
      <c r="P441" s="8" t="e">
        <f ca="1">[1]!BexGetData("DP_1","003N8EMH8GTFRIVOG7KG9J9VY","GSON1112031124")</f>
        <v>#NAME?</v>
      </c>
      <c r="Q441" s="4" t="e">
        <f ca="1">[1]!BexGetData("DP_1","00O2TNJGODT0G5Z4TTKYMM5MT","GSON1112031124")</f>
        <v>#NAME?</v>
      </c>
      <c r="R441" s="4" t="e">
        <f ca="1">[1]!BexGetData("DP_1","00O2TNJGODT0G5Z4TTKYMMBYD","GSON1112031124")</f>
        <v>#NAME?</v>
      </c>
      <c r="S441" s="4" t="e">
        <f ca="1">[1]!BexGetData("DP_1","00O2TNJGODT0G5Z4TTKYMMI9X","GSON1112031124")</f>
        <v>#NAME?</v>
      </c>
      <c r="T441" s="4" t="e">
        <f ca="1">[1]!BexGetData("DP_1","00O2TNJGODT0G5Z4TTKYMMOLH","GSON1112031124")</f>
        <v>#NAME?</v>
      </c>
      <c r="U441" s="4" t="e">
        <f ca="1">[1]!BexGetData("DP_1","00O2TNJGODT0G5Z4TTKYMMUX1","GSON1112031124")</f>
        <v>#NAME?</v>
      </c>
      <c r="V441" s="4" t="e">
        <f ca="1">[1]!BexGetData("DP_1","00O2TNJGODT0G5Z4TTKYMN18L","GSON1112031124")</f>
        <v>#NAME?</v>
      </c>
      <c r="W441" s="4" t="e">
        <f ca="1">[1]!BexGetData("DP_1","00O2TNJGODT0G5Z4TTKYMN7K5","GSON1112031124")</f>
        <v>#NAME?</v>
      </c>
    </row>
    <row r="442" spans="1:23" x14ac:dyDescent="0.2">
      <c r="A442" s="16" t="s">
        <v>2281</v>
      </c>
      <c r="B442" s="7" t="s">
        <v>2282</v>
      </c>
      <c r="C442" s="3" t="e">
        <f ca="1">[1]!BexGetData("DP_1","003N8EMH8GTFRCSWKMPXRR8GU","GSON1112031125")</f>
        <v>#NAME?</v>
      </c>
      <c r="D442" s="3" t="e">
        <f ca="1">[1]!BexGetData("DP_1","003N8EMH8GTFRCSWKMPXRRESE","GSON1112031125")</f>
        <v>#NAME?</v>
      </c>
      <c r="E442" s="8" t="e">
        <f ca="1">[1]!BexGetData("DP_1","003N8EMH8GTFRCSWKMPXRRL3Y","GSON1112031125")</f>
        <v>#NAME?</v>
      </c>
      <c r="F442" s="4" t="e">
        <f ca="1">[1]!BexGetData("DP_1","003N8EMH8GTFRCSWKMPXRRRFI","GSON1112031125")</f>
        <v>#NAME?</v>
      </c>
      <c r="G442" s="4" t="e">
        <f ca="1">[1]!BexGetData("DP_1","003N8EMH8GTFRCSWKMPXRRXR2","GSON1112031125")</f>
        <v>#NAME?</v>
      </c>
      <c r="H442" s="4" t="e">
        <f ca="1">[1]!BexGetData("DP_1","003N8EMH8GTFRCSWKMPXRS42M","GSON1112031125")</f>
        <v>#NAME?</v>
      </c>
      <c r="I442" s="4" t="e">
        <f ca="1">[1]!BexGetData("DP_1","003N8EMH8GTFRCSWKMPXRSAE6","GSON1112031125")</f>
        <v>#NAME?</v>
      </c>
      <c r="J442" s="4" t="e">
        <f ca="1">[1]!BexGetData("DP_1","003N8EMH8GTFRCSWKMPXRSGPQ","GSON1112031125")</f>
        <v>#NAME?</v>
      </c>
      <c r="K442" s="8" t="e">
        <f ca="1">[1]!BexGetData("DP_1","003N8EMH8GTFRIVNUPY288VJH","GSON1112031125")</f>
        <v>#NAME?</v>
      </c>
      <c r="L442" s="8" t="e">
        <f ca="1">[1]!BexGetData("DP_1","003N8EMH8GTFRIVNUPY2891V1","GSON1112031125")</f>
        <v>#NAME?</v>
      </c>
      <c r="M442" s="8" t="e">
        <f ca="1">[1]!BexGetData("DP_1","003N8EMH8GTFRIVOG7KG9IQXA","GSON1112031125")</f>
        <v>#NAME?</v>
      </c>
      <c r="N442" s="8" t="e">
        <f ca="1">[1]!BexGetData("DP_1","003N8EMH8GTFRIVOG7KG9IX8U","GSON1112031125")</f>
        <v>#NAME?</v>
      </c>
      <c r="O442" s="8" t="e">
        <f ca="1">[1]!BexGetData("DP_1","003N8EMH8GTFRIVOG7KG9J3KE","GSON1112031125")</f>
        <v>#NAME?</v>
      </c>
      <c r="P442" s="8" t="e">
        <f ca="1">[1]!BexGetData("DP_1","003N8EMH8GTFRIVOG7KG9J9VY","GSON1112031125")</f>
        <v>#NAME?</v>
      </c>
      <c r="Q442" s="4" t="e">
        <f ca="1">[1]!BexGetData("DP_1","00O2TNJGODT0G5Z4TTKYMM5MT","GSON1112031125")</f>
        <v>#NAME?</v>
      </c>
      <c r="R442" s="4" t="e">
        <f ca="1">[1]!BexGetData("DP_1","00O2TNJGODT0G5Z4TTKYMMBYD","GSON1112031125")</f>
        <v>#NAME?</v>
      </c>
      <c r="S442" s="4" t="e">
        <f ca="1">[1]!BexGetData("DP_1","00O2TNJGODT0G5Z4TTKYMMI9X","GSON1112031125")</f>
        <v>#NAME?</v>
      </c>
      <c r="T442" s="4" t="e">
        <f ca="1">[1]!BexGetData("DP_1","00O2TNJGODT0G5Z4TTKYMMOLH","GSON1112031125")</f>
        <v>#NAME?</v>
      </c>
      <c r="U442" s="4" t="e">
        <f ca="1">[1]!BexGetData("DP_1","00O2TNJGODT0G5Z4TTKYMMUX1","GSON1112031125")</f>
        <v>#NAME?</v>
      </c>
      <c r="V442" s="4" t="e">
        <f ca="1">[1]!BexGetData("DP_1","00O2TNJGODT0G5Z4TTKYMN18L","GSON1112031125")</f>
        <v>#NAME?</v>
      </c>
      <c r="W442" s="4" t="e">
        <f ca="1">[1]!BexGetData("DP_1","00O2TNJGODT0G5Z4TTKYMN7K5","GSON1112031125")</f>
        <v>#NAME?</v>
      </c>
    </row>
    <row r="443" spans="1:23" x14ac:dyDescent="0.2">
      <c r="A443" s="16" t="s">
        <v>2283</v>
      </c>
      <c r="B443" s="7" t="s">
        <v>2284</v>
      </c>
      <c r="C443" s="3" t="e">
        <f ca="1">[1]!BexGetData("DP_1","003N8EMH8GTFRCSWKMPXRR8GU","GSON1112031140")</f>
        <v>#NAME?</v>
      </c>
      <c r="D443" s="3" t="e">
        <f ca="1">[1]!BexGetData("DP_1","003N8EMH8GTFRCSWKMPXRRESE","GSON1112031140")</f>
        <v>#NAME?</v>
      </c>
      <c r="E443" s="3" t="e">
        <f ca="1">[1]!BexGetData("DP_1","003N8EMH8GTFRCSWKMPXRRL3Y","GSON1112031140")</f>
        <v>#NAME?</v>
      </c>
      <c r="F443" s="4" t="e">
        <f ca="1">[1]!BexGetData("DP_1","003N8EMH8GTFRCSWKMPXRRRFI","GSON1112031140")</f>
        <v>#NAME?</v>
      </c>
      <c r="G443" s="4" t="e">
        <f ca="1">[1]!BexGetData("DP_1","003N8EMH8GTFRCSWKMPXRRXR2","GSON1112031140")</f>
        <v>#NAME?</v>
      </c>
      <c r="H443" s="4" t="e">
        <f ca="1">[1]!BexGetData("DP_1","003N8EMH8GTFRCSWKMPXRS42M","GSON1112031140")</f>
        <v>#NAME?</v>
      </c>
      <c r="I443" s="4" t="e">
        <f ca="1">[1]!BexGetData("DP_1","003N8EMH8GTFRCSWKMPXRSAE6","GSON1112031140")</f>
        <v>#NAME?</v>
      </c>
      <c r="J443" s="4" t="e">
        <f ca="1">[1]!BexGetData("DP_1","003N8EMH8GTFRCSWKMPXRSGPQ","GSON1112031140")</f>
        <v>#NAME?</v>
      </c>
      <c r="K443" s="3" t="e">
        <f ca="1">[1]!BexGetData("DP_1","003N8EMH8GTFRIVNUPY288VJH","GSON1112031140")</f>
        <v>#NAME?</v>
      </c>
      <c r="L443" s="3" t="e">
        <f ca="1">[1]!BexGetData("DP_1","003N8EMH8GTFRIVNUPY2891V1","GSON1112031140")</f>
        <v>#NAME?</v>
      </c>
      <c r="M443" s="8" t="e">
        <f ca="1">[1]!BexGetData("DP_1","003N8EMH8GTFRIVOG7KG9IQXA","GSON1112031140")</f>
        <v>#NAME?</v>
      </c>
      <c r="N443" s="3" t="e">
        <f ca="1">[1]!BexGetData("DP_1","003N8EMH8GTFRIVOG7KG9IX8U","GSON1112031140")</f>
        <v>#NAME?</v>
      </c>
      <c r="O443" s="8" t="e">
        <f ca="1">[1]!BexGetData("DP_1","003N8EMH8GTFRIVOG7KG9J3KE","GSON1112031140")</f>
        <v>#NAME?</v>
      </c>
      <c r="P443" s="3" t="e">
        <f ca="1">[1]!BexGetData("DP_1","003N8EMH8GTFRIVOG7KG9J9VY","GSON1112031140")</f>
        <v>#NAME?</v>
      </c>
      <c r="Q443" s="4" t="e">
        <f ca="1">[1]!BexGetData("DP_1","00O2TNJGODT0G5Z4TTKYMM5MT","GSON1112031140")</f>
        <v>#NAME?</v>
      </c>
      <c r="R443" s="4" t="e">
        <f ca="1">[1]!BexGetData("DP_1","00O2TNJGODT0G5Z4TTKYMMBYD","GSON1112031140")</f>
        <v>#NAME?</v>
      </c>
      <c r="S443" s="4" t="e">
        <f ca="1">[1]!BexGetData("DP_1","00O2TNJGODT0G5Z4TTKYMMI9X","GSON1112031140")</f>
        <v>#NAME?</v>
      </c>
      <c r="T443" s="4" t="e">
        <f ca="1">[1]!BexGetData("DP_1","00O2TNJGODT0G5Z4TTKYMMOLH","GSON1112031140")</f>
        <v>#NAME?</v>
      </c>
      <c r="U443" s="4" t="e">
        <f ca="1">[1]!BexGetData("DP_1","00O2TNJGODT0G5Z4TTKYMMUX1","GSON1112031140")</f>
        <v>#NAME?</v>
      </c>
      <c r="V443" s="4" t="e">
        <f ca="1">[1]!BexGetData("DP_1","00O2TNJGODT0G5Z4TTKYMN18L","GSON1112031140")</f>
        <v>#NAME?</v>
      </c>
      <c r="W443" s="4" t="e">
        <f ca="1">[1]!BexGetData("DP_1","00O2TNJGODT0G5Z4TTKYMN7K5","GSON1112031140")</f>
        <v>#NAME?</v>
      </c>
    </row>
    <row r="444" spans="1:23" x14ac:dyDescent="0.2">
      <c r="A444" s="16" t="s">
        <v>2285</v>
      </c>
      <c r="B444" s="7" t="s">
        <v>2286</v>
      </c>
      <c r="C444" s="3" t="e">
        <f ca="1">[1]!BexGetData("DP_1","003N8EMH8GTFRCSWKMPXRR8GU","GSON1112031141")</f>
        <v>#NAME?</v>
      </c>
      <c r="D444" s="3" t="e">
        <f ca="1">[1]!BexGetData("DP_1","003N8EMH8GTFRCSWKMPXRRESE","GSON1112031141")</f>
        <v>#NAME?</v>
      </c>
      <c r="E444" s="8" t="e">
        <f ca="1">[1]!BexGetData("DP_1","003N8EMH8GTFRCSWKMPXRRL3Y","GSON1112031141")</f>
        <v>#NAME?</v>
      </c>
      <c r="F444" s="4" t="e">
        <f ca="1">[1]!BexGetData("DP_1","003N8EMH8GTFRCSWKMPXRRRFI","GSON1112031141")</f>
        <v>#NAME?</v>
      </c>
      <c r="G444" s="4" t="e">
        <f ca="1">[1]!BexGetData("DP_1","003N8EMH8GTFRCSWKMPXRRXR2","GSON1112031141")</f>
        <v>#NAME?</v>
      </c>
      <c r="H444" s="4" t="e">
        <f ca="1">[1]!BexGetData("DP_1","003N8EMH8GTFRCSWKMPXRS42M","GSON1112031141")</f>
        <v>#NAME?</v>
      </c>
      <c r="I444" s="4" t="e">
        <f ca="1">[1]!BexGetData("DP_1","003N8EMH8GTFRCSWKMPXRSAE6","GSON1112031141")</f>
        <v>#NAME?</v>
      </c>
      <c r="J444" s="4" t="e">
        <f ca="1">[1]!BexGetData("DP_1","003N8EMH8GTFRCSWKMPXRSGPQ","GSON1112031141")</f>
        <v>#NAME?</v>
      </c>
      <c r="K444" s="8" t="e">
        <f ca="1">[1]!BexGetData("DP_1","003N8EMH8GTFRIVNUPY288VJH","GSON1112031141")</f>
        <v>#NAME?</v>
      </c>
      <c r="L444" s="8" t="e">
        <f ca="1">[1]!BexGetData("DP_1","003N8EMH8GTFRIVNUPY2891V1","GSON1112031141")</f>
        <v>#NAME?</v>
      </c>
      <c r="M444" s="8" t="e">
        <f ca="1">[1]!BexGetData("DP_1","003N8EMH8GTFRIVOG7KG9IQXA","GSON1112031141")</f>
        <v>#NAME?</v>
      </c>
      <c r="N444" s="8" t="e">
        <f ca="1">[1]!BexGetData("DP_1","003N8EMH8GTFRIVOG7KG9IX8U","GSON1112031141")</f>
        <v>#NAME?</v>
      </c>
      <c r="O444" s="8" t="e">
        <f ca="1">[1]!BexGetData("DP_1","003N8EMH8GTFRIVOG7KG9J3KE","GSON1112031141")</f>
        <v>#NAME?</v>
      </c>
      <c r="P444" s="8" t="e">
        <f ca="1">[1]!BexGetData("DP_1","003N8EMH8GTFRIVOG7KG9J9VY","GSON1112031141")</f>
        <v>#NAME?</v>
      </c>
      <c r="Q444" s="4" t="e">
        <f ca="1">[1]!BexGetData("DP_1","00O2TNJGODT0G5Z4TTKYMM5MT","GSON1112031141")</f>
        <v>#NAME?</v>
      </c>
      <c r="R444" s="4" t="e">
        <f ca="1">[1]!BexGetData("DP_1","00O2TNJGODT0G5Z4TTKYMMBYD","GSON1112031141")</f>
        <v>#NAME?</v>
      </c>
      <c r="S444" s="4" t="e">
        <f ca="1">[1]!BexGetData("DP_1","00O2TNJGODT0G5Z4TTKYMMI9X","GSON1112031141")</f>
        <v>#NAME?</v>
      </c>
      <c r="T444" s="4" t="e">
        <f ca="1">[1]!BexGetData("DP_1","00O2TNJGODT0G5Z4TTKYMMOLH","GSON1112031141")</f>
        <v>#NAME?</v>
      </c>
      <c r="U444" s="4" t="e">
        <f ca="1">[1]!BexGetData("DP_1","00O2TNJGODT0G5Z4TTKYMMUX1","GSON1112031141")</f>
        <v>#NAME?</v>
      </c>
      <c r="V444" s="4" t="e">
        <f ca="1">[1]!BexGetData("DP_1","00O2TNJGODT0G5Z4TTKYMN18L","GSON1112031141")</f>
        <v>#NAME?</v>
      </c>
      <c r="W444" s="4" t="e">
        <f ca="1">[1]!BexGetData("DP_1","00O2TNJGODT0G5Z4TTKYMN7K5","GSON1112031141")</f>
        <v>#NAME?</v>
      </c>
    </row>
    <row r="445" spans="1:23" x14ac:dyDescent="0.2">
      <c r="A445" s="16" t="s">
        <v>2287</v>
      </c>
      <c r="B445" s="7" t="s">
        <v>2288</v>
      </c>
      <c r="C445" s="8" t="e">
        <f ca="1">[1]!BexGetData("DP_1","003N8EMH8GTFRCSWKMPXRR8GU","GSON1112031142")</f>
        <v>#NAME?</v>
      </c>
      <c r="D445" s="3" t="e">
        <f ca="1">[1]!BexGetData("DP_1","003N8EMH8GTFRCSWKMPXRRESE","GSON1112031142")</f>
        <v>#NAME?</v>
      </c>
      <c r="E445" s="3" t="e">
        <f ca="1">[1]!BexGetData("DP_1","003N8EMH8GTFRCSWKMPXRRL3Y","GSON1112031142")</f>
        <v>#NAME?</v>
      </c>
      <c r="F445" s="4" t="e">
        <f ca="1">[1]!BexGetData("DP_1","003N8EMH8GTFRCSWKMPXRRRFI","GSON1112031142")</f>
        <v>#NAME?</v>
      </c>
      <c r="G445" s="4" t="e">
        <f ca="1">[1]!BexGetData("DP_1","003N8EMH8GTFRCSWKMPXRRXR2","GSON1112031142")</f>
        <v>#NAME?</v>
      </c>
      <c r="H445" s="4" t="e">
        <f ca="1">[1]!BexGetData("DP_1","003N8EMH8GTFRCSWKMPXRS42M","GSON1112031142")</f>
        <v>#NAME?</v>
      </c>
      <c r="I445" s="4" t="e">
        <f ca="1">[1]!BexGetData("DP_1","003N8EMH8GTFRCSWKMPXRSAE6","GSON1112031142")</f>
        <v>#NAME?</v>
      </c>
      <c r="J445" s="4" t="e">
        <f ca="1">[1]!BexGetData("DP_1","003N8EMH8GTFRCSWKMPXRSGPQ","GSON1112031142")</f>
        <v>#NAME?</v>
      </c>
      <c r="K445" s="3" t="e">
        <f ca="1">[1]!BexGetData("DP_1","003N8EMH8GTFRIVNUPY288VJH","GSON1112031142")</f>
        <v>#NAME?</v>
      </c>
      <c r="L445" s="3" t="e">
        <f ca="1">[1]!BexGetData("DP_1","003N8EMH8GTFRIVNUPY2891V1","GSON1112031142")</f>
        <v>#NAME?</v>
      </c>
      <c r="M445" s="3" t="e">
        <f ca="1">[1]!BexGetData("DP_1","003N8EMH8GTFRIVOG7KG9IQXA","GSON1112031142")</f>
        <v>#NAME?</v>
      </c>
      <c r="N445" s="8" t="e">
        <f ca="1">[1]!BexGetData("DP_1","003N8EMH8GTFRIVOG7KG9IX8U","GSON1112031142")</f>
        <v>#NAME?</v>
      </c>
      <c r="O445" s="3" t="e">
        <f ca="1">[1]!BexGetData("DP_1","003N8EMH8GTFRIVOG7KG9J3KE","GSON1112031142")</f>
        <v>#NAME?</v>
      </c>
      <c r="P445" s="8" t="e">
        <f ca="1">[1]!BexGetData("DP_1","003N8EMH8GTFRIVOG7KG9J9VY","GSON1112031142")</f>
        <v>#NAME?</v>
      </c>
      <c r="Q445" s="4" t="e">
        <f ca="1">[1]!BexGetData("DP_1","00O2TNJGODT0G5Z4TTKYMM5MT","GSON1112031142")</f>
        <v>#NAME?</v>
      </c>
      <c r="R445" s="4" t="e">
        <f ca="1">[1]!BexGetData("DP_1","00O2TNJGODT0G5Z4TTKYMMBYD","GSON1112031142")</f>
        <v>#NAME?</v>
      </c>
      <c r="S445" s="4" t="e">
        <f ca="1">[1]!BexGetData("DP_1","00O2TNJGODT0G5Z4TTKYMMI9X","GSON1112031142")</f>
        <v>#NAME?</v>
      </c>
      <c r="T445" s="4" t="e">
        <f ca="1">[1]!BexGetData("DP_1","00O2TNJGODT0G5Z4TTKYMMOLH","GSON1112031142")</f>
        <v>#NAME?</v>
      </c>
      <c r="U445" s="4" t="e">
        <f ca="1">[1]!BexGetData("DP_1","00O2TNJGODT0G5Z4TTKYMMUX1","GSON1112031142")</f>
        <v>#NAME?</v>
      </c>
      <c r="V445" s="4" t="e">
        <f ca="1">[1]!BexGetData("DP_1","00O2TNJGODT0G5Z4TTKYMN18L","GSON1112031142")</f>
        <v>#NAME?</v>
      </c>
      <c r="W445" s="4" t="e">
        <f ca="1">[1]!BexGetData("DP_1","00O2TNJGODT0G5Z4TTKYMN7K5","GSON1112031142")</f>
        <v>#NAME?</v>
      </c>
    </row>
    <row r="446" spans="1:23" x14ac:dyDescent="0.2">
      <c r="A446" s="16" t="s">
        <v>2289</v>
      </c>
      <c r="B446" s="7" t="s">
        <v>2290</v>
      </c>
      <c r="C446" s="3" t="e">
        <f ca="1">[1]!BexGetData("DP_1","003N8EMH8GTFRCSWKMPXRR8GU","GSON1112031143")</f>
        <v>#NAME?</v>
      </c>
      <c r="D446" s="3" t="e">
        <f ca="1">[1]!BexGetData("DP_1","003N8EMH8GTFRCSWKMPXRRESE","GSON1112031143")</f>
        <v>#NAME?</v>
      </c>
      <c r="E446" s="8" t="e">
        <f ca="1">[1]!BexGetData("DP_1","003N8EMH8GTFRCSWKMPXRRL3Y","GSON1112031143")</f>
        <v>#NAME?</v>
      </c>
      <c r="F446" s="4" t="e">
        <f ca="1">[1]!BexGetData("DP_1","003N8EMH8GTFRCSWKMPXRRRFI","GSON1112031143")</f>
        <v>#NAME?</v>
      </c>
      <c r="G446" s="4" t="e">
        <f ca="1">[1]!BexGetData("DP_1","003N8EMH8GTFRCSWKMPXRRXR2","GSON1112031143")</f>
        <v>#NAME?</v>
      </c>
      <c r="H446" s="4" t="e">
        <f ca="1">[1]!BexGetData("DP_1","003N8EMH8GTFRCSWKMPXRS42M","GSON1112031143")</f>
        <v>#NAME?</v>
      </c>
      <c r="I446" s="4" t="e">
        <f ca="1">[1]!BexGetData("DP_1","003N8EMH8GTFRCSWKMPXRSAE6","GSON1112031143")</f>
        <v>#NAME?</v>
      </c>
      <c r="J446" s="4" t="e">
        <f ca="1">[1]!BexGetData("DP_1","003N8EMH8GTFRCSWKMPXRSGPQ","GSON1112031143")</f>
        <v>#NAME?</v>
      </c>
      <c r="K446" s="8" t="e">
        <f ca="1">[1]!BexGetData("DP_1","003N8EMH8GTFRIVNUPY288VJH","GSON1112031143")</f>
        <v>#NAME?</v>
      </c>
      <c r="L446" s="8" t="e">
        <f ca="1">[1]!BexGetData("DP_1","003N8EMH8GTFRIVNUPY2891V1","GSON1112031143")</f>
        <v>#NAME?</v>
      </c>
      <c r="M446" s="8" t="e">
        <f ca="1">[1]!BexGetData("DP_1","003N8EMH8GTFRIVOG7KG9IQXA","GSON1112031143")</f>
        <v>#NAME?</v>
      </c>
      <c r="N446" s="8" t="e">
        <f ca="1">[1]!BexGetData("DP_1","003N8EMH8GTFRIVOG7KG9IX8U","GSON1112031143")</f>
        <v>#NAME?</v>
      </c>
      <c r="O446" s="8" t="e">
        <f ca="1">[1]!BexGetData("DP_1","003N8EMH8GTFRIVOG7KG9J3KE","GSON1112031143")</f>
        <v>#NAME?</v>
      </c>
      <c r="P446" s="8" t="e">
        <f ca="1">[1]!BexGetData("DP_1","003N8EMH8GTFRIVOG7KG9J9VY","GSON1112031143")</f>
        <v>#NAME?</v>
      </c>
      <c r="Q446" s="4" t="e">
        <f ca="1">[1]!BexGetData("DP_1","00O2TNJGODT0G5Z4TTKYMM5MT","GSON1112031143")</f>
        <v>#NAME?</v>
      </c>
      <c r="R446" s="4" t="e">
        <f ca="1">[1]!BexGetData("DP_1","00O2TNJGODT0G5Z4TTKYMMBYD","GSON1112031143")</f>
        <v>#NAME?</v>
      </c>
      <c r="S446" s="4" t="e">
        <f ca="1">[1]!BexGetData("DP_1","00O2TNJGODT0G5Z4TTKYMMI9X","GSON1112031143")</f>
        <v>#NAME?</v>
      </c>
      <c r="T446" s="4" t="e">
        <f ca="1">[1]!BexGetData("DP_1","00O2TNJGODT0G5Z4TTKYMMOLH","GSON1112031143")</f>
        <v>#NAME?</v>
      </c>
      <c r="U446" s="4" t="e">
        <f ca="1">[1]!BexGetData("DP_1","00O2TNJGODT0G5Z4TTKYMMUX1","GSON1112031143")</f>
        <v>#NAME?</v>
      </c>
      <c r="V446" s="4" t="e">
        <f ca="1">[1]!BexGetData("DP_1","00O2TNJGODT0G5Z4TTKYMN18L","GSON1112031143")</f>
        <v>#NAME?</v>
      </c>
      <c r="W446" s="4" t="e">
        <f ca="1">[1]!BexGetData("DP_1","00O2TNJGODT0G5Z4TTKYMN7K5","GSON1112031143")</f>
        <v>#NAME?</v>
      </c>
    </row>
    <row r="447" spans="1:23" x14ac:dyDescent="0.2">
      <c r="A447" s="16" t="s">
        <v>2291</v>
      </c>
      <c r="B447" s="7" t="s">
        <v>2292</v>
      </c>
      <c r="C447" s="3" t="e">
        <f ca="1">[1]!BexGetData("DP_1","003N8EMH8GTFRCSWKMPXRR8GU","GSON1112031145")</f>
        <v>#NAME?</v>
      </c>
      <c r="D447" s="3" t="e">
        <f ca="1">[1]!BexGetData("DP_1","003N8EMH8GTFRCSWKMPXRRESE","GSON1112031145")</f>
        <v>#NAME?</v>
      </c>
      <c r="E447" s="8" t="e">
        <f ca="1">[1]!BexGetData("DP_1","003N8EMH8GTFRCSWKMPXRRL3Y","GSON1112031145")</f>
        <v>#NAME?</v>
      </c>
      <c r="F447" s="4" t="e">
        <f ca="1">[1]!BexGetData("DP_1","003N8EMH8GTFRCSWKMPXRRRFI","GSON1112031145")</f>
        <v>#NAME?</v>
      </c>
      <c r="G447" s="4" t="e">
        <f ca="1">[1]!BexGetData("DP_1","003N8EMH8GTFRCSWKMPXRRXR2","GSON1112031145")</f>
        <v>#NAME?</v>
      </c>
      <c r="H447" s="4" t="e">
        <f ca="1">[1]!BexGetData("DP_1","003N8EMH8GTFRCSWKMPXRS42M","GSON1112031145")</f>
        <v>#NAME?</v>
      </c>
      <c r="I447" s="4" t="e">
        <f ca="1">[1]!BexGetData("DP_1","003N8EMH8GTFRCSWKMPXRSAE6","GSON1112031145")</f>
        <v>#NAME?</v>
      </c>
      <c r="J447" s="4" t="e">
        <f ca="1">[1]!BexGetData("DP_1","003N8EMH8GTFRCSWKMPXRSGPQ","GSON1112031145")</f>
        <v>#NAME?</v>
      </c>
      <c r="K447" s="8" t="e">
        <f ca="1">[1]!BexGetData("DP_1","003N8EMH8GTFRIVNUPY288VJH","GSON1112031145")</f>
        <v>#NAME?</v>
      </c>
      <c r="L447" s="8" t="e">
        <f ca="1">[1]!BexGetData("DP_1","003N8EMH8GTFRIVNUPY2891V1","GSON1112031145")</f>
        <v>#NAME?</v>
      </c>
      <c r="M447" s="8" t="e">
        <f ca="1">[1]!BexGetData("DP_1","003N8EMH8GTFRIVOG7KG9IQXA","GSON1112031145")</f>
        <v>#NAME?</v>
      </c>
      <c r="N447" s="8" t="e">
        <f ca="1">[1]!BexGetData("DP_1","003N8EMH8GTFRIVOG7KG9IX8U","GSON1112031145")</f>
        <v>#NAME?</v>
      </c>
      <c r="O447" s="8" t="e">
        <f ca="1">[1]!BexGetData("DP_1","003N8EMH8GTFRIVOG7KG9J3KE","GSON1112031145")</f>
        <v>#NAME?</v>
      </c>
      <c r="P447" s="8" t="e">
        <f ca="1">[1]!BexGetData("DP_1","003N8EMH8GTFRIVOG7KG9J9VY","GSON1112031145")</f>
        <v>#NAME?</v>
      </c>
      <c r="Q447" s="4" t="e">
        <f ca="1">[1]!BexGetData("DP_1","00O2TNJGODT0G5Z4TTKYMM5MT","GSON1112031145")</f>
        <v>#NAME?</v>
      </c>
      <c r="R447" s="4" t="e">
        <f ca="1">[1]!BexGetData("DP_1","00O2TNJGODT0G5Z4TTKYMMBYD","GSON1112031145")</f>
        <v>#NAME?</v>
      </c>
      <c r="S447" s="4" t="e">
        <f ca="1">[1]!BexGetData("DP_1","00O2TNJGODT0G5Z4TTKYMMI9X","GSON1112031145")</f>
        <v>#NAME?</v>
      </c>
      <c r="T447" s="4" t="e">
        <f ca="1">[1]!BexGetData("DP_1","00O2TNJGODT0G5Z4TTKYMMOLH","GSON1112031145")</f>
        <v>#NAME?</v>
      </c>
      <c r="U447" s="4" t="e">
        <f ca="1">[1]!BexGetData("DP_1","00O2TNJGODT0G5Z4TTKYMMUX1","GSON1112031145")</f>
        <v>#NAME?</v>
      </c>
      <c r="V447" s="4" t="e">
        <f ca="1">[1]!BexGetData("DP_1","00O2TNJGODT0G5Z4TTKYMN18L","GSON1112031145")</f>
        <v>#NAME?</v>
      </c>
      <c r="W447" s="4" t="e">
        <f ca="1">[1]!BexGetData("DP_1","00O2TNJGODT0G5Z4TTKYMN7K5","GSON1112031145")</f>
        <v>#NAME?</v>
      </c>
    </row>
    <row r="448" spans="1:23" x14ac:dyDescent="0.2">
      <c r="A448" s="16" t="s">
        <v>2293</v>
      </c>
      <c r="B448" s="7" t="s">
        <v>2294</v>
      </c>
      <c r="C448" s="3" t="e">
        <f ca="1">[1]!BexGetData("DP_1","003N8EMH8GTFRCSWKMPXRR8GU","GSON1112031150")</f>
        <v>#NAME?</v>
      </c>
      <c r="D448" s="3" t="e">
        <f ca="1">[1]!BexGetData("DP_1","003N8EMH8GTFRCSWKMPXRRESE","GSON1112031150")</f>
        <v>#NAME?</v>
      </c>
      <c r="E448" s="3" t="e">
        <f ca="1">[1]!BexGetData("DP_1","003N8EMH8GTFRCSWKMPXRRL3Y","GSON1112031150")</f>
        <v>#NAME?</v>
      </c>
      <c r="F448" s="4" t="e">
        <f ca="1">[1]!BexGetData("DP_1","003N8EMH8GTFRCSWKMPXRRRFI","GSON1112031150")</f>
        <v>#NAME?</v>
      </c>
      <c r="G448" s="4" t="e">
        <f ca="1">[1]!BexGetData("DP_1","003N8EMH8GTFRCSWKMPXRRXR2","GSON1112031150")</f>
        <v>#NAME?</v>
      </c>
      <c r="H448" s="4" t="e">
        <f ca="1">[1]!BexGetData("DP_1","003N8EMH8GTFRCSWKMPXRS42M","GSON1112031150")</f>
        <v>#NAME?</v>
      </c>
      <c r="I448" s="4" t="e">
        <f ca="1">[1]!BexGetData("DP_1","003N8EMH8GTFRCSWKMPXRSAE6","GSON1112031150")</f>
        <v>#NAME?</v>
      </c>
      <c r="J448" s="4" t="e">
        <f ca="1">[1]!BexGetData("DP_1","003N8EMH8GTFRCSWKMPXRSGPQ","GSON1112031150")</f>
        <v>#NAME?</v>
      </c>
      <c r="K448" s="3" t="e">
        <f ca="1">[1]!BexGetData("DP_1","003N8EMH8GTFRIVNUPY288VJH","GSON1112031150")</f>
        <v>#NAME?</v>
      </c>
      <c r="L448" s="3" t="e">
        <f ca="1">[1]!BexGetData("DP_1","003N8EMH8GTFRIVNUPY2891V1","GSON1112031150")</f>
        <v>#NAME?</v>
      </c>
      <c r="M448" s="8" t="e">
        <f ca="1">[1]!BexGetData("DP_1","003N8EMH8GTFRIVOG7KG9IQXA","GSON1112031150")</f>
        <v>#NAME?</v>
      </c>
      <c r="N448" s="3" t="e">
        <f ca="1">[1]!BexGetData("DP_1","003N8EMH8GTFRIVOG7KG9IX8U","GSON1112031150")</f>
        <v>#NAME?</v>
      </c>
      <c r="O448" s="8" t="e">
        <f ca="1">[1]!BexGetData("DP_1","003N8EMH8GTFRIVOG7KG9J3KE","GSON1112031150")</f>
        <v>#NAME?</v>
      </c>
      <c r="P448" s="3" t="e">
        <f ca="1">[1]!BexGetData("DP_1","003N8EMH8GTFRIVOG7KG9J9VY","GSON1112031150")</f>
        <v>#NAME?</v>
      </c>
      <c r="Q448" s="4" t="e">
        <f ca="1">[1]!BexGetData("DP_1","00O2TNJGODT0G5Z4TTKYMM5MT","GSON1112031150")</f>
        <v>#NAME?</v>
      </c>
      <c r="R448" s="4" t="e">
        <f ca="1">[1]!BexGetData("DP_1","00O2TNJGODT0G5Z4TTKYMMBYD","GSON1112031150")</f>
        <v>#NAME?</v>
      </c>
      <c r="S448" s="4" t="e">
        <f ca="1">[1]!BexGetData("DP_1","00O2TNJGODT0G5Z4TTKYMMI9X","GSON1112031150")</f>
        <v>#NAME?</v>
      </c>
      <c r="T448" s="4" t="e">
        <f ca="1">[1]!BexGetData("DP_1","00O2TNJGODT0G5Z4TTKYMMOLH","GSON1112031150")</f>
        <v>#NAME?</v>
      </c>
      <c r="U448" s="4" t="e">
        <f ca="1">[1]!BexGetData("DP_1","00O2TNJGODT0G5Z4TTKYMMUX1","GSON1112031150")</f>
        <v>#NAME?</v>
      </c>
      <c r="V448" s="4" t="e">
        <f ca="1">[1]!BexGetData("DP_1","00O2TNJGODT0G5Z4TTKYMN18L","GSON1112031150")</f>
        <v>#NAME?</v>
      </c>
      <c r="W448" s="4" t="e">
        <f ca="1">[1]!BexGetData("DP_1","00O2TNJGODT0G5Z4TTKYMN7K5","GSON1112031150")</f>
        <v>#NAME?</v>
      </c>
    </row>
    <row r="449" spans="1:23" x14ac:dyDescent="0.2">
      <c r="A449" s="16" t="s">
        <v>2295</v>
      </c>
      <c r="B449" s="7" t="s">
        <v>2296</v>
      </c>
      <c r="C449" s="3" t="e">
        <f ca="1">[1]!BexGetData("DP_1","003N8EMH8GTFRCSWKMPXRR8GU","GSON1112031151")</f>
        <v>#NAME?</v>
      </c>
      <c r="D449" s="3" t="e">
        <f ca="1">[1]!BexGetData("DP_1","003N8EMH8GTFRCSWKMPXRRESE","GSON1112031151")</f>
        <v>#NAME?</v>
      </c>
      <c r="E449" s="8" t="e">
        <f ca="1">[1]!BexGetData("DP_1","003N8EMH8GTFRCSWKMPXRRL3Y","GSON1112031151")</f>
        <v>#NAME?</v>
      </c>
      <c r="F449" s="4" t="e">
        <f ca="1">[1]!BexGetData("DP_1","003N8EMH8GTFRCSWKMPXRRRFI","GSON1112031151")</f>
        <v>#NAME?</v>
      </c>
      <c r="G449" s="4" t="e">
        <f ca="1">[1]!BexGetData("DP_1","003N8EMH8GTFRCSWKMPXRRXR2","GSON1112031151")</f>
        <v>#NAME?</v>
      </c>
      <c r="H449" s="4" t="e">
        <f ca="1">[1]!BexGetData("DP_1","003N8EMH8GTFRCSWKMPXRS42M","GSON1112031151")</f>
        <v>#NAME?</v>
      </c>
      <c r="I449" s="4" t="e">
        <f ca="1">[1]!BexGetData("DP_1","003N8EMH8GTFRCSWKMPXRSAE6","GSON1112031151")</f>
        <v>#NAME?</v>
      </c>
      <c r="J449" s="4" t="e">
        <f ca="1">[1]!BexGetData("DP_1","003N8EMH8GTFRCSWKMPXRSGPQ","GSON1112031151")</f>
        <v>#NAME?</v>
      </c>
      <c r="K449" s="8" t="e">
        <f ca="1">[1]!BexGetData("DP_1","003N8EMH8GTFRIVNUPY288VJH","GSON1112031151")</f>
        <v>#NAME?</v>
      </c>
      <c r="L449" s="8" t="e">
        <f ca="1">[1]!BexGetData("DP_1","003N8EMH8GTFRIVNUPY2891V1","GSON1112031151")</f>
        <v>#NAME?</v>
      </c>
      <c r="M449" s="8" t="e">
        <f ca="1">[1]!BexGetData("DP_1","003N8EMH8GTFRIVOG7KG9IQXA","GSON1112031151")</f>
        <v>#NAME?</v>
      </c>
      <c r="N449" s="8" t="e">
        <f ca="1">[1]!BexGetData("DP_1","003N8EMH8GTFRIVOG7KG9IX8U","GSON1112031151")</f>
        <v>#NAME?</v>
      </c>
      <c r="O449" s="8" t="e">
        <f ca="1">[1]!BexGetData("DP_1","003N8EMH8GTFRIVOG7KG9J3KE","GSON1112031151")</f>
        <v>#NAME?</v>
      </c>
      <c r="P449" s="8" t="e">
        <f ca="1">[1]!BexGetData("DP_1","003N8EMH8GTFRIVOG7KG9J9VY","GSON1112031151")</f>
        <v>#NAME?</v>
      </c>
      <c r="Q449" s="4" t="e">
        <f ca="1">[1]!BexGetData("DP_1","00O2TNJGODT0G5Z4TTKYMM5MT","GSON1112031151")</f>
        <v>#NAME?</v>
      </c>
      <c r="R449" s="4" t="e">
        <f ca="1">[1]!BexGetData("DP_1","00O2TNJGODT0G5Z4TTKYMMBYD","GSON1112031151")</f>
        <v>#NAME?</v>
      </c>
      <c r="S449" s="4" t="e">
        <f ca="1">[1]!BexGetData("DP_1","00O2TNJGODT0G5Z4TTKYMMI9X","GSON1112031151")</f>
        <v>#NAME?</v>
      </c>
      <c r="T449" s="4" t="e">
        <f ca="1">[1]!BexGetData("DP_1","00O2TNJGODT0G5Z4TTKYMMOLH","GSON1112031151")</f>
        <v>#NAME?</v>
      </c>
      <c r="U449" s="4" t="e">
        <f ca="1">[1]!BexGetData("DP_1","00O2TNJGODT0G5Z4TTKYMMUX1","GSON1112031151")</f>
        <v>#NAME?</v>
      </c>
      <c r="V449" s="4" t="e">
        <f ca="1">[1]!BexGetData("DP_1","00O2TNJGODT0G5Z4TTKYMN18L","GSON1112031151")</f>
        <v>#NAME?</v>
      </c>
      <c r="W449" s="4" t="e">
        <f ca="1">[1]!BexGetData("DP_1","00O2TNJGODT0G5Z4TTKYMN7K5","GSON1112031151")</f>
        <v>#NAME?</v>
      </c>
    </row>
    <row r="450" spans="1:23" x14ac:dyDescent="0.2">
      <c r="A450" s="16" t="s">
        <v>2297</v>
      </c>
      <c r="B450" s="7" t="s">
        <v>2298</v>
      </c>
      <c r="C450" s="3" t="e">
        <f ca="1">[1]!BexGetData("DP_1","003N8EMH8GTFRCSWKMPXRR8GU","GSON1112031153")</f>
        <v>#NAME?</v>
      </c>
      <c r="D450" s="3" t="e">
        <f ca="1">[1]!BexGetData("DP_1","003N8EMH8GTFRCSWKMPXRRESE","GSON1112031153")</f>
        <v>#NAME?</v>
      </c>
      <c r="E450" s="8" t="e">
        <f ca="1">[1]!BexGetData("DP_1","003N8EMH8GTFRCSWKMPXRRL3Y","GSON1112031153")</f>
        <v>#NAME?</v>
      </c>
      <c r="F450" s="4" t="e">
        <f ca="1">[1]!BexGetData("DP_1","003N8EMH8GTFRCSWKMPXRRRFI","GSON1112031153")</f>
        <v>#NAME?</v>
      </c>
      <c r="G450" s="4" t="e">
        <f ca="1">[1]!BexGetData("DP_1","003N8EMH8GTFRCSWKMPXRRXR2","GSON1112031153")</f>
        <v>#NAME?</v>
      </c>
      <c r="H450" s="4" t="e">
        <f ca="1">[1]!BexGetData("DP_1","003N8EMH8GTFRCSWKMPXRS42M","GSON1112031153")</f>
        <v>#NAME?</v>
      </c>
      <c r="I450" s="4" t="e">
        <f ca="1">[1]!BexGetData("DP_1","003N8EMH8GTFRCSWKMPXRSAE6","GSON1112031153")</f>
        <v>#NAME?</v>
      </c>
      <c r="J450" s="4" t="e">
        <f ca="1">[1]!BexGetData("DP_1","003N8EMH8GTFRCSWKMPXRSGPQ","GSON1112031153")</f>
        <v>#NAME?</v>
      </c>
      <c r="K450" s="8" t="e">
        <f ca="1">[1]!BexGetData("DP_1","003N8EMH8GTFRIVNUPY288VJH","GSON1112031153")</f>
        <v>#NAME?</v>
      </c>
      <c r="L450" s="8" t="e">
        <f ca="1">[1]!BexGetData("DP_1","003N8EMH8GTFRIVNUPY2891V1","GSON1112031153")</f>
        <v>#NAME?</v>
      </c>
      <c r="M450" s="8" t="e">
        <f ca="1">[1]!BexGetData("DP_1","003N8EMH8GTFRIVOG7KG9IQXA","GSON1112031153")</f>
        <v>#NAME?</v>
      </c>
      <c r="N450" s="8" t="e">
        <f ca="1">[1]!BexGetData("DP_1","003N8EMH8GTFRIVOG7KG9IX8U","GSON1112031153")</f>
        <v>#NAME?</v>
      </c>
      <c r="O450" s="8" t="e">
        <f ca="1">[1]!BexGetData("DP_1","003N8EMH8GTFRIVOG7KG9J3KE","GSON1112031153")</f>
        <v>#NAME?</v>
      </c>
      <c r="P450" s="8" t="e">
        <f ca="1">[1]!BexGetData("DP_1","003N8EMH8GTFRIVOG7KG9J9VY","GSON1112031153")</f>
        <v>#NAME?</v>
      </c>
      <c r="Q450" s="4" t="e">
        <f ca="1">[1]!BexGetData("DP_1","00O2TNJGODT0G5Z4TTKYMM5MT","GSON1112031153")</f>
        <v>#NAME?</v>
      </c>
      <c r="R450" s="4" t="e">
        <f ca="1">[1]!BexGetData("DP_1","00O2TNJGODT0G5Z4TTKYMMBYD","GSON1112031153")</f>
        <v>#NAME?</v>
      </c>
      <c r="S450" s="4" t="e">
        <f ca="1">[1]!BexGetData("DP_1","00O2TNJGODT0G5Z4TTKYMMI9X","GSON1112031153")</f>
        <v>#NAME?</v>
      </c>
      <c r="T450" s="4" t="e">
        <f ca="1">[1]!BexGetData("DP_1","00O2TNJGODT0G5Z4TTKYMMOLH","GSON1112031153")</f>
        <v>#NAME?</v>
      </c>
      <c r="U450" s="4" t="e">
        <f ca="1">[1]!BexGetData("DP_1","00O2TNJGODT0G5Z4TTKYMMUX1","GSON1112031153")</f>
        <v>#NAME?</v>
      </c>
      <c r="V450" s="4" t="e">
        <f ca="1">[1]!BexGetData("DP_1","00O2TNJGODT0G5Z4TTKYMN18L","GSON1112031153")</f>
        <v>#NAME?</v>
      </c>
      <c r="W450" s="4" t="e">
        <f ca="1">[1]!BexGetData("DP_1","00O2TNJGODT0G5Z4TTKYMN7K5","GSON1112031153")</f>
        <v>#NAME?</v>
      </c>
    </row>
    <row r="451" spans="1:23" x14ac:dyDescent="0.2">
      <c r="A451" s="16" t="s">
        <v>2299</v>
      </c>
      <c r="B451" s="7" t="s">
        <v>2300</v>
      </c>
      <c r="C451" s="3" t="e">
        <f ca="1">[1]!BexGetData("DP_1","003N8EMH8GTFRCSWKMPXRR8GU","GSON1112031155")</f>
        <v>#NAME?</v>
      </c>
      <c r="D451" s="3" t="e">
        <f ca="1">[1]!BexGetData("DP_1","003N8EMH8GTFRCSWKMPXRRESE","GSON1112031155")</f>
        <v>#NAME?</v>
      </c>
      <c r="E451" s="8" t="e">
        <f ca="1">[1]!BexGetData("DP_1","003N8EMH8GTFRCSWKMPXRRL3Y","GSON1112031155")</f>
        <v>#NAME?</v>
      </c>
      <c r="F451" s="4" t="e">
        <f ca="1">[1]!BexGetData("DP_1","003N8EMH8GTFRCSWKMPXRRRFI","GSON1112031155")</f>
        <v>#NAME?</v>
      </c>
      <c r="G451" s="4" t="e">
        <f ca="1">[1]!BexGetData("DP_1","003N8EMH8GTFRCSWKMPXRRXR2","GSON1112031155")</f>
        <v>#NAME?</v>
      </c>
      <c r="H451" s="4" t="e">
        <f ca="1">[1]!BexGetData("DP_1","003N8EMH8GTFRCSWKMPXRS42M","GSON1112031155")</f>
        <v>#NAME?</v>
      </c>
      <c r="I451" s="4" t="e">
        <f ca="1">[1]!BexGetData("DP_1","003N8EMH8GTFRCSWKMPXRSAE6","GSON1112031155")</f>
        <v>#NAME?</v>
      </c>
      <c r="J451" s="4" t="e">
        <f ca="1">[1]!BexGetData("DP_1","003N8EMH8GTFRCSWKMPXRSGPQ","GSON1112031155")</f>
        <v>#NAME?</v>
      </c>
      <c r="K451" s="8" t="e">
        <f ca="1">[1]!BexGetData("DP_1","003N8EMH8GTFRIVNUPY288VJH","GSON1112031155")</f>
        <v>#NAME?</v>
      </c>
      <c r="L451" s="8" t="e">
        <f ca="1">[1]!BexGetData("DP_1","003N8EMH8GTFRIVNUPY2891V1","GSON1112031155")</f>
        <v>#NAME?</v>
      </c>
      <c r="M451" s="8" t="e">
        <f ca="1">[1]!BexGetData("DP_1","003N8EMH8GTFRIVOG7KG9IQXA","GSON1112031155")</f>
        <v>#NAME?</v>
      </c>
      <c r="N451" s="8" t="e">
        <f ca="1">[1]!BexGetData("DP_1","003N8EMH8GTFRIVOG7KG9IX8U","GSON1112031155")</f>
        <v>#NAME?</v>
      </c>
      <c r="O451" s="8" t="e">
        <f ca="1">[1]!BexGetData("DP_1","003N8EMH8GTFRIVOG7KG9J3KE","GSON1112031155")</f>
        <v>#NAME?</v>
      </c>
      <c r="P451" s="8" t="e">
        <f ca="1">[1]!BexGetData("DP_1","003N8EMH8GTFRIVOG7KG9J9VY","GSON1112031155")</f>
        <v>#NAME?</v>
      </c>
      <c r="Q451" s="4" t="e">
        <f ca="1">[1]!BexGetData("DP_1","00O2TNJGODT0G5Z4TTKYMM5MT","GSON1112031155")</f>
        <v>#NAME?</v>
      </c>
      <c r="R451" s="4" t="e">
        <f ca="1">[1]!BexGetData("DP_1","00O2TNJGODT0G5Z4TTKYMMBYD","GSON1112031155")</f>
        <v>#NAME?</v>
      </c>
      <c r="S451" s="4" t="e">
        <f ca="1">[1]!BexGetData("DP_1","00O2TNJGODT0G5Z4TTKYMMI9X","GSON1112031155")</f>
        <v>#NAME?</v>
      </c>
      <c r="T451" s="4" t="e">
        <f ca="1">[1]!BexGetData("DP_1","00O2TNJGODT0G5Z4TTKYMMOLH","GSON1112031155")</f>
        <v>#NAME?</v>
      </c>
      <c r="U451" s="4" t="e">
        <f ca="1">[1]!BexGetData("DP_1","00O2TNJGODT0G5Z4TTKYMMUX1","GSON1112031155")</f>
        <v>#NAME?</v>
      </c>
      <c r="V451" s="4" t="e">
        <f ca="1">[1]!BexGetData("DP_1","00O2TNJGODT0G5Z4TTKYMN18L","GSON1112031155")</f>
        <v>#NAME?</v>
      </c>
      <c r="W451" s="4" t="e">
        <f ca="1">[1]!BexGetData("DP_1","00O2TNJGODT0G5Z4TTKYMN7K5","GSON1112031155")</f>
        <v>#NAME?</v>
      </c>
    </row>
    <row r="452" spans="1:23" x14ac:dyDescent="0.2">
      <c r="A452" s="16" t="s">
        <v>2301</v>
      </c>
      <c r="B452" s="7" t="s">
        <v>2302</v>
      </c>
      <c r="C452" s="3" t="e">
        <f ca="1">[1]!BexGetData("DP_1","003N8EMH8GTFRCSWKMPXRR8GU","GSON1112031160")</f>
        <v>#NAME?</v>
      </c>
      <c r="D452" s="3" t="e">
        <f ca="1">[1]!BexGetData("DP_1","003N8EMH8GTFRCSWKMPXRRESE","GSON1112031160")</f>
        <v>#NAME?</v>
      </c>
      <c r="E452" s="3" t="e">
        <f ca="1">[1]!BexGetData("DP_1","003N8EMH8GTFRCSWKMPXRRL3Y","GSON1112031160")</f>
        <v>#NAME?</v>
      </c>
      <c r="F452" s="4" t="e">
        <f ca="1">[1]!BexGetData("DP_1","003N8EMH8GTFRCSWKMPXRRRFI","GSON1112031160")</f>
        <v>#NAME?</v>
      </c>
      <c r="G452" s="4" t="e">
        <f ca="1">[1]!BexGetData("DP_1","003N8EMH8GTFRCSWKMPXRRXR2","GSON1112031160")</f>
        <v>#NAME?</v>
      </c>
      <c r="H452" s="4" t="e">
        <f ca="1">[1]!BexGetData("DP_1","003N8EMH8GTFRCSWKMPXRS42M","GSON1112031160")</f>
        <v>#NAME?</v>
      </c>
      <c r="I452" s="4" t="e">
        <f ca="1">[1]!BexGetData("DP_1","003N8EMH8GTFRCSWKMPXRSAE6","GSON1112031160")</f>
        <v>#NAME?</v>
      </c>
      <c r="J452" s="4" t="e">
        <f ca="1">[1]!BexGetData("DP_1","003N8EMH8GTFRCSWKMPXRSGPQ","GSON1112031160")</f>
        <v>#NAME?</v>
      </c>
      <c r="K452" s="3" t="e">
        <f ca="1">[1]!BexGetData("DP_1","003N8EMH8GTFRIVNUPY288VJH","GSON1112031160")</f>
        <v>#NAME?</v>
      </c>
      <c r="L452" s="3" t="e">
        <f ca="1">[1]!BexGetData("DP_1","003N8EMH8GTFRIVNUPY2891V1","GSON1112031160")</f>
        <v>#NAME?</v>
      </c>
      <c r="M452" s="8" t="e">
        <f ca="1">[1]!BexGetData("DP_1","003N8EMH8GTFRIVOG7KG9IQXA","GSON1112031160")</f>
        <v>#NAME?</v>
      </c>
      <c r="N452" s="3" t="e">
        <f ca="1">[1]!BexGetData("DP_1","003N8EMH8GTFRIVOG7KG9IX8U","GSON1112031160")</f>
        <v>#NAME?</v>
      </c>
      <c r="O452" s="8" t="e">
        <f ca="1">[1]!BexGetData("DP_1","003N8EMH8GTFRIVOG7KG9J3KE","GSON1112031160")</f>
        <v>#NAME?</v>
      </c>
      <c r="P452" s="3" t="e">
        <f ca="1">[1]!BexGetData("DP_1","003N8EMH8GTFRIVOG7KG9J9VY","GSON1112031160")</f>
        <v>#NAME?</v>
      </c>
      <c r="Q452" s="4" t="e">
        <f ca="1">[1]!BexGetData("DP_1","00O2TNJGODT0G5Z4TTKYMM5MT","GSON1112031160")</f>
        <v>#NAME?</v>
      </c>
      <c r="R452" s="4" t="e">
        <f ca="1">[1]!BexGetData("DP_1","00O2TNJGODT0G5Z4TTKYMMBYD","GSON1112031160")</f>
        <v>#NAME?</v>
      </c>
      <c r="S452" s="4" t="e">
        <f ca="1">[1]!BexGetData("DP_1","00O2TNJGODT0G5Z4TTKYMMI9X","GSON1112031160")</f>
        <v>#NAME?</v>
      </c>
      <c r="T452" s="4" t="e">
        <f ca="1">[1]!BexGetData("DP_1","00O2TNJGODT0G5Z4TTKYMMOLH","GSON1112031160")</f>
        <v>#NAME?</v>
      </c>
      <c r="U452" s="4" t="e">
        <f ca="1">[1]!BexGetData("DP_1","00O2TNJGODT0G5Z4TTKYMMUX1","GSON1112031160")</f>
        <v>#NAME?</v>
      </c>
      <c r="V452" s="4" t="e">
        <f ca="1">[1]!BexGetData("DP_1","00O2TNJGODT0G5Z4TTKYMN18L","GSON1112031160")</f>
        <v>#NAME?</v>
      </c>
      <c r="W452" s="4" t="e">
        <f ca="1">[1]!BexGetData("DP_1","00O2TNJGODT0G5Z4TTKYMN7K5","GSON1112031160")</f>
        <v>#NAME?</v>
      </c>
    </row>
    <row r="453" spans="1:23" x14ac:dyDescent="0.2">
      <c r="A453" s="16" t="s">
        <v>2303</v>
      </c>
      <c r="B453" s="7" t="s">
        <v>2304</v>
      </c>
      <c r="C453" s="3" t="e">
        <f ca="1">[1]!BexGetData("DP_1","003N8EMH8GTFRCSWKMPXRR8GU","GSON1112031161")</f>
        <v>#NAME?</v>
      </c>
      <c r="D453" s="3" t="e">
        <f ca="1">[1]!BexGetData("DP_1","003N8EMH8GTFRCSWKMPXRRESE","GSON1112031161")</f>
        <v>#NAME?</v>
      </c>
      <c r="E453" s="8" t="e">
        <f ca="1">[1]!BexGetData("DP_1","003N8EMH8GTFRCSWKMPXRRL3Y","GSON1112031161")</f>
        <v>#NAME?</v>
      </c>
      <c r="F453" s="4" t="e">
        <f ca="1">[1]!BexGetData("DP_1","003N8EMH8GTFRCSWKMPXRRRFI","GSON1112031161")</f>
        <v>#NAME?</v>
      </c>
      <c r="G453" s="4" t="e">
        <f ca="1">[1]!BexGetData("DP_1","003N8EMH8GTFRCSWKMPXRRXR2","GSON1112031161")</f>
        <v>#NAME?</v>
      </c>
      <c r="H453" s="4" t="e">
        <f ca="1">[1]!BexGetData("DP_1","003N8EMH8GTFRCSWKMPXRS42M","GSON1112031161")</f>
        <v>#NAME?</v>
      </c>
      <c r="I453" s="4" t="e">
        <f ca="1">[1]!BexGetData("DP_1","003N8EMH8GTFRCSWKMPXRSAE6","GSON1112031161")</f>
        <v>#NAME?</v>
      </c>
      <c r="J453" s="4" t="e">
        <f ca="1">[1]!BexGetData("DP_1","003N8EMH8GTFRCSWKMPXRSGPQ","GSON1112031161")</f>
        <v>#NAME?</v>
      </c>
      <c r="K453" s="8" t="e">
        <f ca="1">[1]!BexGetData("DP_1","003N8EMH8GTFRIVNUPY288VJH","GSON1112031161")</f>
        <v>#NAME?</v>
      </c>
      <c r="L453" s="8" t="e">
        <f ca="1">[1]!BexGetData("DP_1","003N8EMH8GTFRIVNUPY2891V1","GSON1112031161")</f>
        <v>#NAME?</v>
      </c>
      <c r="M453" s="8" t="e">
        <f ca="1">[1]!BexGetData("DP_1","003N8EMH8GTFRIVOG7KG9IQXA","GSON1112031161")</f>
        <v>#NAME?</v>
      </c>
      <c r="N453" s="8" t="e">
        <f ca="1">[1]!BexGetData("DP_1","003N8EMH8GTFRIVOG7KG9IX8U","GSON1112031161")</f>
        <v>#NAME?</v>
      </c>
      <c r="O453" s="8" t="e">
        <f ca="1">[1]!BexGetData("DP_1","003N8EMH8GTFRIVOG7KG9J3KE","GSON1112031161")</f>
        <v>#NAME?</v>
      </c>
      <c r="P453" s="8" t="e">
        <f ca="1">[1]!BexGetData("DP_1","003N8EMH8GTFRIVOG7KG9J9VY","GSON1112031161")</f>
        <v>#NAME?</v>
      </c>
      <c r="Q453" s="4" t="e">
        <f ca="1">[1]!BexGetData("DP_1","00O2TNJGODT0G5Z4TTKYMM5MT","GSON1112031161")</f>
        <v>#NAME?</v>
      </c>
      <c r="R453" s="4" t="e">
        <f ca="1">[1]!BexGetData("DP_1","00O2TNJGODT0G5Z4TTKYMMBYD","GSON1112031161")</f>
        <v>#NAME?</v>
      </c>
      <c r="S453" s="4" t="e">
        <f ca="1">[1]!BexGetData("DP_1","00O2TNJGODT0G5Z4TTKYMMI9X","GSON1112031161")</f>
        <v>#NAME?</v>
      </c>
      <c r="T453" s="4" t="e">
        <f ca="1">[1]!BexGetData("DP_1","00O2TNJGODT0G5Z4TTKYMMOLH","GSON1112031161")</f>
        <v>#NAME?</v>
      </c>
      <c r="U453" s="4" t="e">
        <f ca="1">[1]!BexGetData("DP_1","00O2TNJGODT0G5Z4TTKYMMUX1","GSON1112031161")</f>
        <v>#NAME?</v>
      </c>
      <c r="V453" s="4" t="e">
        <f ca="1">[1]!BexGetData("DP_1","00O2TNJGODT0G5Z4TTKYMN18L","GSON1112031161")</f>
        <v>#NAME?</v>
      </c>
      <c r="W453" s="4" t="e">
        <f ca="1">[1]!BexGetData("DP_1","00O2TNJGODT0G5Z4TTKYMN7K5","GSON1112031161")</f>
        <v>#NAME?</v>
      </c>
    </row>
    <row r="454" spans="1:23" x14ac:dyDescent="0.2">
      <c r="A454" s="16" t="s">
        <v>2305</v>
      </c>
      <c r="B454" s="7" t="s">
        <v>2306</v>
      </c>
      <c r="C454" s="3" t="e">
        <f ca="1">[1]!BexGetData("DP_1","003N8EMH8GTFRCSWKMPXRR8GU","GSON1112031163")</f>
        <v>#NAME?</v>
      </c>
      <c r="D454" s="3" t="e">
        <f ca="1">[1]!BexGetData("DP_1","003N8EMH8GTFRCSWKMPXRRESE","GSON1112031163")</f>
        <v>#NAME?</v>
      </c>
      <c r="E454" s="8" t="e">
        <f ca="1">[1]!BexGetData("DP_1","003N8EMH8GTFRCSWKMPXRRL3Y","GSON1112031163")</f>
        <v>#NAME?</v>
      </c>
      <c r="F454" s="4" t="e">
        <f ca="1">[1]!BexGetData("DP_1","003N8EMH8GTFRCSWKMPXRRRFI","GSON1112031163")</f>
        <v>#NAME?</v>
      </c>
      <c r="G454" s="4" t="e">
        <f ca="1">[1]!BexGetData("DP_1","003N8EMH8GTFRCSWKMPXRRXR2","GSON1112031163")</f>
        <v>#NAME?</v>
      </c>
      <c r="H454" s="4" t="e">
        <f ca="1">[1]!BexGetData("DP_1","003N8EMH8GTFRCSWKMPXRS42M","GSON1112031163")</f>
        <v>#NAME?</v>
      </c>
      <c r="I454" s="4" t="e">
        <f ca="1">[1]!BexGetData("DP_1","003N8EMH8GTFRCSWKMPXRSAE6","GSON1112031163")</f>
        <v>#NAME?</v>
      </c>
      <c r="J454" s="4" t="e">
        <f ca="1">[1]!BexGetData("DP_1","003N8EMH8GTFRCSWKMPXRSGPQ","GSON1112031163")</f>
        <v>#NAME?</v>
      </c>
      <c r="K454" s="8" t="e">
        <f ca="1">[1]!BexGetData("DP_1","003N8EMH8GTFRIVNUPY288VJH","GSON1112031163")</f>
        <v>#NAME?</v>
      </c>
      <c r="L454" s="8" t="e">
        <f ca="1">[1]!BexGetData("DP_1","003N8EMH8GTFRIVNUPY2891V1","GSON1112031163")</f>
        <v>#NAME?</v>
      </c>
      <c r="M454" s="8" t="e">
        <f ca="1">[1]!BexGetData("DP_1","003N8EMH8GTFRIVOG7KG9IQXA","GSON1112031163")</f>
        <v>#NAME?</v>
      </c>
      <c r="N454" s="8" t="e">
        <f ca="1">[1]!BexGetData("DP_1","003N8EMH8GTFRIVOG7KG9IX8U","GSON1112031163")</f>
        <v>#NAME?</v>
      </c>
      <c r="O454" s="8" t="e">
        <f ca="1">[1]!BexGetData("DP_1","003N8EMH8GTFRIVOG7KG9J3KE","GSON1112031163")</f>
        <v>#NAME?</v>
      </c>
      <c r="P454" s="8" t="e">
        <f ca="1">[1]!BexGetData("DP_1","003N8EMH8GTFRIVOG7KG9J9VY","GSON1112031163")</f>
        <v>#NAME?</v>
      </c>
      <c r="Q454" s="4" t="e">
        <f ca="1">[1]!BexGetData("DP_1","00O2TNJGODT0G5Z4TTKYMM5MT","GSON1112031163")</f>
        <v>#NAME?</v>
      </c>
      <c r="R454" s="4" t="e">
        <f ca="1">[1]!BexGetData("DP_1","00O2TNJGODT0G5Z4TTKYMMBYD","GSON1112031163")</f>
        <v>#NAME?</v>
      </c>
      <c r="S454" s="4" t="e">
        <f ca="1">[1]!BexGetData("DP_1","00O2TNJGODT0G5Z4TTKYMMI9X","GSON1112031163")</f>
        <v>#NAME?</v>
      </c>
      <c r="T454" s="4" t="e">
        <f ca="1">[1]!BexGetData("DP_1","00O2TNJGODT0G5Z4TTKYMMOLH","GSON1112031163")</f>
        <v>#NAME?</v>
      </c>
      <c r="U454" s="4" t="e">
        <f ca="1">[1]!BexGetData("DP_1","00O2TNJGODT0G5Z4TTKYMMUX1","GSON1112031163")</f>
        <v>#NAME?</v>
      </c>
      <c r="V454" s="4" t="e">
        <f ca="1">[1]!BexGetData("DP_1","00O2TNJGODT0G5Z4TTKYMN18L","GSON1112031163")</f>
        <v>#NAME?</v>
      </c>
      <c r="W454" s="4" t="e">
        <f ca="1">[1]!BexGetData("DP_1","00O2TNJGODT0G5Z4TTKYMN7K5","GSON1112031163")</f>
        <v>#NAME?</v>
      </c>
    </row>
    <row r="455" spans="1:23" x14ac:dyDescent="0.2">
      <c r="A455" s="16" t="s">
        <v>2307</v>
      </c>
      <c r="B455" s="7" t="s">
        <v>2308</v>
      </c>
      <c r="C455" s="3" t="e">
        <f ca="1">[1]!BexGetData("DP_1","003N8EMH8GTFRCSWKMPXRR8GU","GSON1112031165")</f>
        <v>#NAME?</v>
      </c>
      <c r="D455" s="3" t="e">
        <f ca="1">[1]!BexGetData("DP_1","003N8EMH8GTFRCSWKMPXRRESE","GSON1112031165")</f>
        <v>#NAME?</v>
      </c>
      <c r="E455" s="8" t="e">
        <f ca="1">[1]!BexGetData("DP_1","003N8EMH8GTFRCSWKMPXRRL3Y","GSON1112031165")</f>
        <v>#NAME?</v>
      </c>
      <c r="F455" s="4" t="e">
        <f ca="1">[1]!BexGetData("DP_1","003N8EMH8GTFRCSWKMPXRRRFI","GSON1112031165")</f>
        <v>#NAME?</v>
      </c>
      <c r="G455" s="4" t="e">
        <f ca="1">[1]!BexGetData("DP_1","003N8EMH8GTFRCSWKMPXRRXR2","GSON1112031165")</f>
        <v>#NAME?</v>
      </c>
      <c r="H455" s="4" t="e">
        <f ca="1">[1]!BexGetData("DP_1","003N8EMH8GTFRCSWKMPXRS42M","GSON1112031165")</f>
        <v>#NAME?</v>
      </c>
      <c r="I455" s="4" t="e">
        <f ca="1">[1]!BexGetData("DP_1","003N8EMH8GTFRCSWKMPXRSAE6","GSON1112031165")</f>
        <v>#NAME?</v>
      </c>
      <c r="J455" s="4" t="e">
        <f ca="1">[1]!BexGetData("DP_1","003N8EMH8GTFRCSWKMPXRSGPQ","GSON1112031165")</f>
        <v>#NAME?</v>
      </c>
      <c r="K455" s="8" t="e">
        <f ca="1">[1]!BexGetData("DP_1","003N8EMH8GTFRIVNUPY288VJH","GSON1112031165")</f>
        <v>#NAME?</v>
      </c>
      <c r="L455" s="8" t="e">
        <f ca="1">[1]!BexGetData("DP_1","003N8EMH8GTFRIVNUPY2891V1","GSON1112031165")</f>
        <v>#NAME?</v>
      </c>
      <c r="M455" s="8" t="e">
        <f ca="1">[1]!BexGetData("DP_1","003N8EMH8GTFRIVOG7KG9IQXA","GSON1112031165")</f>
        <v>#NAME?</v>
      </c>
      <c r="N455" s="8" t="e">
        <f ca="1">[1]!BexGetData("DP_1","003N8EMH8GTFRIVOG7KG9IX8U","GSON1112031165")</f>
        <v>#NAME?</v>
      </c>
      <c r="O455" s="8" t="e">
        <f ca="1">[1]!BexGetData("DP_1","003N8EMH8GTFRIVOG7KG9J3KE","GSON1112031165")</f>
        <v>#NAME?</v>
      </c>
      <c r="P455" s="8" t="e">
        <f ca="1">[1]!BexGetData("DP_1","003N8EMH8GTFRIVOG7KG9J9VY","GSON1112031165")</f>
        <v>#NAME?</v>
      </c>
      <c r="Q455" s="4" t="e">
        <f ca="1">[1]!BexGetData("DP_1","00O2TNJGODT0G5Z4TTKYMM5MT","GSON1112031165")</f>
        <v>#NAME?</v>
      </c>
      <c r="R455" s="4" t="e">
        <f ca="1">[1]!BexGetData("DP_1","00O2TNJGODT0G5Z4TTKYMMBYD","GSON1112031165")</f>
        <v>#NAME?</v>
      </c>
      <c r="S455" s="4" t="e">
        <f ca="1">[1]!BexGetData("DP_1","00O2TNJGODT0G5Z4TTKYMMI9X","GSON1112031165")</f>
        <v>#NAME?</v>
      </c>
      <c r="T455" s="4" t="e">
        <f ca="1">[1]!BexGetData("DP_1","00O2TNJGODT0G5Z4TTKYMMOLH","GSON1112031165")</f>
        <v>#NAME?</v>
      </c>
      <c r="U455" s="4" t="e">
        <f ca="1">[1]!BexGetData("DP_1","00O2TNJGODT0G5Z4TTKYMMUX1","GSON1112031165")</f>
        <v>#NAME?</v>
      </c>
      <c r="V455" s="4" t="e">
        <f ca="1">[1]!BexGetData("DP_1","00O2TNJGODT0G5Z4TTKYMN18L","GSON1112031165")</f>
        <v>#NAME?</v>
      </c>
      <c r="W455" s="4" t="e">
        <f ca="1">[1]!BexGetData("DP_1","00O2TNJGODT0G5Z4TTKYMN7K5","GSON1112031165")</f>
        <v>#NAME?</v>
      </c>
    </row>
    <row r="456" spans="1:23" x14ac:dyDescent="0.2">
      <c r="A456" s="16" t="s">
        <v>1630</v>
      </c>
      <c r="B456" s="7" t="s">
        <v>1631</v>
      </c>
      <c r="C456" s="3" t="e">
        <f ca="1">[1]!BexGetData("DP_1","003N8EMH8GTFRCSWKMPXRR8GU","GSON1112031170")</f>
        <v>#NAME?</v>
      </c>
      <c r="D456" s="3" t="e">
        <f ca="1">[1]!BexGetData("DP_1","003N8EMH8GTFRCSWKMPXRRESE","GSON1112031170")</f>
        <v>#NAME?</v>
      </c>
      <c r="E456" s="3" t="e">
        <f ca="1">[1]!BexGetData("DP_1","003N8EMH8GTFRCSWKMPXRRL3Y","GSON1112031170")</f>
        <v>#NAME?</v>
      </c>
      <c r="F456" s="4" t="e">
        <f ca="1">[1]!BexGetData("DP_1","003N8EMH8GTFRCSWKMPXRRRFI","GSON1112031170")</f>
        <v>#NAME?</v>
      </c>
      <c r="G456" s="4" t="e">
        <f ca="1">[1]!BexGetData("DP_1","003N8EMH8GTFRCSWKMPXRRXR2","GSON1112031170")</f>
        <v>#NAME?</v>
      </c>
      <c r="H456" s="4" t="e">
        <f ca="1">[1]!BexGetData("DP_1","003N8EMH8GTFRCSWKMPXRS42M","GSON1112031170")</f>
        <v>#NAME?</v>
      </c>
      <c r="I456" s="4" t="e">
        <f ca="1">[1]!BexGetData("DP_1","003N8EMH8GTFRCSWKMPXRSAE6","GSON1112031170")</f>
        <v>#NAME?</v>
      </c>
      <c r="J456" s="4" t="e">
        <f ca="1">[1]!BexGetData("DP_1","003N8EMH8GTFRCSWKMPXRSGPQ","GSON1112031170")</f>
        <v>#NAME?</v>
      </c>
      <c r="K456" s="3" t="e">
        <f ca="1">[1]!BexGetData("DP_1","003N8EMH8GTFRIVNUPY288VJH","GSON1112031170")</f>
        <v>#NAME?</v>
      </c>
      <c r="L456" s="3" t="e">
        <f ca="1">[1]!BexGetData("DP_1","003N8EMH8GTFRIVNUPY2891V1","GSON1112031170")</f>
        <v>#NAME?</v>
      </c>
      <c r="M456" s="8" t="e">
        <f ca="1">[1]!BexGetData("DP_1","003N8EMH8GTFRIVOG7KG9IQXA","GSON1112031170")</f>
        <v>#NAME?</v>
      </c>
      <c r="N456" s="3" t="e">
        <f ca="1">[1]!BexGetData("DP_1","003N8EMH8GTFRIVOG7KG9IX8U","GSON1112031170")</f>
        <v>#NAME?</v>
      </c>
      <c r="O456" s="8" t="e">
        <f ca="1">[1]!BexGetData("DP_1","003N8EMH8GTFRIVOG7KG9J3KE","GSON1112031170")</f>
        <v>#NAME?</v>
      </c>
      <c r="P456" s="3" t="e">
        <f ca="1">[1]!BexGetData("DP_1","003N8EMH8GTFRIVOG7KG9J9VY","GSON1112031170")</f>
        <v>#NAME?</v>
      </c>
      <c r="Q456" s="4" t="e">
        <f ca="1">[1]!BexGetData("DP_1","00O2TNJGODT0G5Z4TTKYMM5MT","GSON1112031170")</f>
        <v>#NAME?</v>
      </c>
      <c r="R456" s="4" t="e">
        <f ca="1">[1]!BexGetData("DP_1","00O2TNJGODT0G5Z4TTKYMMBYD","GSON1112031170")</f>
        <v>#NAME?</v>
      </c>
      <c r="S456" s="4" t="e">
        <f ca="1">[1]!BexGetData("DP_1","00O2TNJGODT0G5Z4TTKYMMI9X","GSON1112031170")</f>
        <v>#NAME?</v>
      </c>
      <c r="T456" s="4" t="e">
        <f ca="1">[1]!BexGetData("DP_1","00O2TNJGODT0G5Z4TTKYMMOLH","GSON1112031170")</f>
        <v>#NAME?</v>
      </c>
      <c r="U456" s="4" t="e">
        <f ca="1">[1]!BexGetData("DP_1","00O2TNJGODT0G5Z4TTKYMMUX1","GSON1112031170")</f>
        <v>#NAME?</v>
      </c>
      <c r="V456" s="4" t="e">
        <f ca="1">[1]!BexGetData("DP_1","00O2TNJGODT0G5Z4TTKYMN18L","GSON1112031170")</f>
        <v>#NAME?</v>
      </c>
      <c r="W456" s="4" t="e">
        <f ca="1">[1]!BexGetData("DP_1","00O2TNJGODT0G5Z4TTKYMN7K5","GSON1112031170")</f>
        <v>#NAME?</v>
      </c>
    </row>
    <row r="457" spans="1:23" x14ac:dyDescent="0.2">
      <c r="A457" s="16" t="s">
        <v>2309</v>
      </c>
      <c r="B457" s="7" t="s">
        <v>2310</v>
      </c>
      <c r="C457" s="3" t="e">
        <f ca="1">[1]!BexGetData("DP_1","003N8EMH8GTFRCSWKMPXRR8GU","GSON1112031171")</f>
        <v>#NAME?</v>
      </c>
      <c r="D457" s="3" t="e">
        <f ca="1">[1]!BexGetData("DP_1","003N8EMH8GTFRCSWKMPXRRESE","GSON1112031171")</f>
        <v>#NAME?</v>
      </c>
      <c r="E457" s="8" t="e">
        <f ca="1">[1]!BexGetData("DP_1","003N8EMH8GTFRCSWKMPXRRL3Y","GSON1112031171")</f>
        <v>#NAME?</v>
      </c>
      <c r="F457" s="4" t="e">
        <f ca="1">[1]!BexGetData("DP_1","003N8EMH8GTFRCSWKMPXRRRFI","GSON1112031171")</f>
        <v>#NAME?</v>
      </c>
      <c r="G457" s="4" t="e">
        <f ca="1">[1]!BexGetData("DP_1","003N8EMH8GTFRCSWKMPXRRXR2","GSON1112031171")</f>
        <v>#NAME?</v>
      </c>
      <c r="H457" s="4" t="e">
        <f ca="1">[1]!BexGetData("DP_1","003N8EMH8GTFRCSWKMPXRS42M","GSON1112031171")</f>
        <v>#NAME?</v>
      </c>
      <c r="I457" s="4" t="e">
        <f ca="1">[1]!BexGetData("DP_1","003N8EMH8GTFRCSWKMPXRSAE6","GSON1112031171")</f>
        <v>#NAME?</v>
      </c>
      <c r="J457" s="4" t="e">
        <f ca="1">[1]!BexGetData("DP_1","003N8EMH8GTFRCSWKMPXRSGPQ","GSON1112031171")</f>
        <v>#NAME?</v>
      </c>
      <c r="K457" s="8" t="e">
        <f ca="1">[1]!BexGetData("DP_1","003N8EMH8GTFRIVNUPY288VJH","GSON1112031171")</f>
        <v>#NAME?</v>
      </c>
      <c r="L457" s="8" t="e">
        <f ca="1">[1]!BexGetData("DP_1","003N8EMH8GTFRIVNUPY2891V1","GSON1112031171")</f>
        <v>#NAME?</v>
      </c>
      <c r="M457" s="8" t="e">
        <f ca="1">[1]!BexGetData("DP_1","003N8EMH8GTFRIVOG7KG9IQXA","GSON1112031171")</f>
        <v>#NAME?</v>
      </c>
      <c r="N457" s="8" t="e">
        <f ca="1">[1]!BexGetData("DP_1","003N8EMH8GTFRIVOG7KG9IX8U","GSON1112031171")</f>
        <v>#NAME?</v>
      </c>
      <c r="O457" s="8" t="e">
        <f ca="1">[1]!BexGetData("DP_1","003N8EMH8GTFRIVOG7KG9J3KE","GSON1112031171")</f>
        <v>#NAME?</v>
      </c>
      <c r="P457" s="8" t="e">
        <f ca="1">[1]!BexGetData("DP_1","003N8EMH8GTFRIVOG7KG9J9VY","GSON1112031171")</f>
        <v>#NAME?</v>
      </c>
      <c r="Q457" s="4" t="e">
        <f ca="1">[1]!BexGetData("DP_1","00O2TNJGODT0G5Z4TTKYMM5MT","GSON1112031171")</f>
        <v>#NAME?</v>
      </c>
      <c r="R457" s="4" t="e">
        <f ca="1">[1]!BexGetData("DP_1","00O2TNJGODT0G5Z4TTKYMMBYD","GSON1112031171")</f>
        <v>#NAME?</v>
      </c>
      <c r="S457" s="4" t="e">
        <f ca="1">[1]!BexGetData("DP_1","00O2TNJGODT0G5Z4TTKYMMI9X","GSON1112031171")</f>
        <v>#NAME?</v>
      </c>
      <c r="T457" s="4" t="e">
        <f ca="1">[1]!BexGetData("DP_1","00O2TNJGODT0G5Z4TTKYMMOLH","GSON1112031171")</f>
        <v>#NAME?</v>
      </c>
      <c r="U457" s="4" t="e">
        <f ca="1">[1]!BexGetData("DP_1","00O2TNJGODT0G5Z4TTKYMMUX1","GSON1112031171")</f>
        <v>#NAME?</v>
      </c>
      <c r="V457" s="4" t="e">
        <f ca="1">[1]!BexGetData("DP_1","00O2TNJGODT0G5Z4TTKYMN18L","GSON1112031171")</f>
        <v>#NAME?</v>
      </c>
      <c r="W457" s="4" t="e">
        <f ca="1">[1]!BexGetData("DP_1","00O2TNJGODT0G5Z4TTKYMN7K5","GSON1112031171")</f>
        <v>#NAME?</v>
      </c>
    </row>
    <row r="458" spans="1:23" x14ac:dyDescent="0.2">
      <c r="A458" s="16" t="s">
        <v>1632</v>
      </c>
      <c r="B458" s="7" t="s">
        <v>1633</v>
      </c>
      <c r="C458" s="3" t="e">
        <f ca="1">[1]!BexGetData("DP_1","003N8EMH8GTFRCSWKMPXRR8GU","GSON1112031173")</f>
        <v>#NAME?</v>
      </c>
      <c r="D458" s="3" t="e">
        <f ca="1">[1]!BexGetData("DP_1","003N8EMH8GTFRCSWKMPXRRESE","GSON1112031173")</f>
        <v>#NAME?</v>
      </c>
      <c r="E458" s="8" t="e">
        <f ca="1">[1]!BexGetData("DP_1","003N8EMH8GTFRCSWKMPXRRL3Y","GSON1112031173")</f>
        <v>#NAME?</v>
      </c>
      <c r="F458" s="4" t="e">
        <f ca="1">[1]!BexGetData("DP_1","003N8EMH8GTFRCSWKMPXRRRFI","GSON1112031173")</f>
        <v>#NAME?</v>
      </c>
      <c r="G458" s="4" t="e">
        <f ca="1">[1]!BexGetData("DP_1","003N8EMH8GTFRCSWKMPXRRXR2","GSON1112031173")</f>
        <v>#NAME?</v>
      </c>
      <c r="H458" s="4" t="e">
        <f ca="1">[1]!BexGetData("DP_1","003N8EMH8GTFRCSWKMPXRS42M","GSON1112031173")</f>
        <v>#NAME?</v>
      </c>
      <c r="I458" s="4" t="e">
        <f ca="1">[1]!BexGetData("DP_1","003N8EMH8GTFRCSWKMPXRSAE6","GSON1112031173")</f>
        <v>#NAME?</v>
      </c>
      <c r="J458" s="4" t="e">
        <f ca="1">[1]!BexGetData("DP_1","003N8EMH8GTFRCSWKMPXRSGPQ","GSON1112031173")</f>
        <v>#NAME?</v>
      </c>
      <c r="K458" s="8" t="e">
        <f ca="1">[1]!BexGetData("DP_1","003N8EMH8GTFRIVNUPY288VJH","GSON1112031173")</f>
        <v>#NAME?</v>
      </c>
      <c r="L458" s="8" t="e">
        <f ca="1">[1]!BexGetData("DP_1","003N8EMH8GTFRIVNUPY2891V1","GSON1112031173")</f>
        <v>#NAME?</v>
      </c>
      <c r="M458" s="8" t="e">
        <f ca="1">[1]!BexGetData("DP_1","003N8EMH8GTFRIVOG7KG9IQXA","GSON1112031173")</f>
        <v>#NAME?</v>
      </c>
      <c r="N458" s="8" t="e">
        <f ca="1">[1]!BexGetData("DP_1","003N8EMH8GTFRIVOG7KG9IX8U","GSON1112031173")</f>
        <v>#NAME?</v>
      </c>
      <c r="O458" s="8" t="e">
        <f ca="1">[1]!BexGetData("DP_1","003N8EMH8GTFRIVOG7KG9J3KE","GSON1112031173")</f>
        <v>#NAME?</v>
      </c>
      <c r="P458" s="8" t="e">
        <f ca="1">[1]!BexGetData("DP_1","003N8EMH8GTFRIVOG7KG9J9VY","GSON1112031173")</f>
        <v>#NAME?</v>
      </c>
      <c r="Q458" s="4" t="e">
        <f ca="1">[1]!BexGetData("DP_1","00O2TNJGODT0G5Z4TTKYMM5MT","GSON1112031173")</f>
        <v>#NAME?</v>
      </c>
      <c r="R458" s="4" t="e">
        <f ca="1">[1]!BexGetData("DP_1","00O2TNJGODT0G5Z4TTKYMMBYD","GSON1112031173")</f>
        <v>#NAME?</v>
      </c>
      <c r="S458" s="4" t="e">
        <f ca="1">[1]!BexGetData("DP_1","00O2TNJGODT0G5Z4TTKYMMI9X","GSON1112031173")</f>
        <v>#NAME?</v>
      </c>
      <c r="T458" s="4" t="e">
        <f ca="1">[1]!BexGetData("DP_1","00O2TNJGODT0G5Z4TTKYMMOLH","GSON1112031173")</f>
        <v>#NAME?</v>
      </c>
      <c r="U458" s="4" t="e">
        <f ca="1">[1]!BexGetData("DP_1","00O2TNJGODT0G5Z4TTKYMMUX1","GSON1112031173")</f>
        <v>#NAME?</v>
      </c>
      <c r="V458" s="4" t="e">
        <f ca="1">[1]!BexGetData("DP_1","00O2TNJGODT0G5Z4TTKYMN18L","GSON1112031173")</f>
        <v>#NAME?</v>
      </c>
      <c r="W458" s="4" t="e">
        <f ca="1">[1]!BexGetData("DP_1","00O2TNJGODT0G5Z4TTKYMN7K5","GSON1112031173")</f>
        <v>#NAME?</v>
      </c>
    </row>
    <row r="459" spans="1:23" x14ac:dyDescent="0.2">
      <c r="A459" s="16" t="s">
        <v>2311</v>
      </c>
      <c r="B459" s="7" t="s">
        <v>2312</v>
      </c>
      <c r="C459" s="3" t="e">
        <f ca="1">[1]!BexGetData("DP_1","003N8EMH8GTFRCSWKMPXRR8GU","GSON1112031175")</f>
        <v>#NAME?</v>
      </c>
      <c r="D459" s="3" t="e">
        <f ca="1">[1]!BexGetData("DP_1","003N8EMH8GTFRCSWKMPXRRESE","GSON1112031175")</f>
        <v>#NAME?</v>
      </c>
      <c r="E459" s="8" t="e">
        <f ca="1">[1]!BexGetData("DP_1","003N8EMH8GTFRCSWKMPXRRL3Y","GSON1112031175")</f>
        <v>#NAME?</v>
      </c>
      <c r="F459" s="4" t="e">
        <f ca="1">[1]!BexGetData("DP_1","003N8EMH8GTFRCSWKMPXRRRFI","GSON1112031175")</f>
        <v>#NAME?</v>
      </c>
      <c r="G459" s="4" t="e">
        <f ca="1">[1]!BexGetData("DP_1","003N8EMH8GTFRCSWKMPXRRXR2","GSON1112031175")</f>
        <v>#NAME?</v>
      </c>
      <c r="H459" s="4" t="e">
        <f ca="1">[1]!BexGetData("DP_1","003N8EMH8GTFRCSWKMPXRS42M","GSON1112031175")</f>
        <v>#NAME?</v>
      </c>
      <c r="I459" s="4" t="e">
        <f ca="1">[1]!BexGetData("DP_1","003N8EMH8GTFRCSWKMPXRSAE6","GSON1112031175")</f>
        <v>#NAME?</v>
      </c>
      <c r="J459" s="4" t="e">
        <f ca="1">[1]!BexGetData("DP_1","003N8EMH8GTFRCSWKMPXRSGPQ","GSON1112031175")</f>
        <v>#NAME?</v>
      </c>
      <c r="K459" s="8" t="e">
        <f ca="1">[1]!BexGetData("DP_1","003N8EMH8GTFRIVNUPY288VJH","GSON1112031175")</f>
        <v>#NAME?</v>
      </c>
      <c r="L459" s="8" t="e">
        <f ca="1">[1]!BexGetData("DP_1","003N8EMH8GTFRIVNUPY2891V1","GSON1112031175")</f>
        <v>#NAME?</v>
      </c>
      <c r="M459" s="8" t="e">
        <f ca="1">[1]!BexGetData("DP_1","003N8EMH8GTFRIVOG7KG9IQXA","GSON1112031175")</f>
        <v>#NAME?</v>
      </c>
      <c r="N459" s="8" t="e">
        <f ca="1">[1]!BexGetData("DP_1","003N8EMH8GTFRIVOG7KG9IX8U","GSON1112031175")</f>
        <v>#NAME?</v>
      </c>
      <c r="O459" s="8" t="e">
        <f ca="1">[1]!BexGetData("DP_1","003N8EMH8GTFRIVOG7KG9J3KE","GSON1112031175")</f>
        <v>#NAME?</v>
      </c>
      <c r="P459" s="8" t="e">
        <f ca="1">[1]!BexGetData("DP_1","003N8EMH8GTFRIVOG7KG9J9VY","GSON1112031175")</f>
        <v>#NAME?</v>
      </c>
      <c r="Q459" s="4" t="e">
        <f ca="1">[1]!BexGetData("DP_1","00O2TNJGODT0G5Z4TTKYMM5MT","GSON1112031175")</f>
        <v>#NAME?</v>
      </c>
      <c r="R459" s="4" t="e">
        <f ca="1">[1]!BexGetData("DP_1","00O2TNJGODT0G5Z4TTKYMMBYD","GSON1112031175")</f>
        <v>#NAME?</v>
      </c>
      <c r="S459" s="4" t="e">
        <f ca="1">[1]!BexGetData("DP_1","00O2TNJGODT0G5Z4TTKYMMI9X","GSON1112031175")</f>
        <v>#NAME?</v>
      </c>
      <c r="T459" s="4" t="e">
        <f ca="1">[1]!BexGetData("DP_1","00O2TNJGODT0G5Z4TTKYMMOLH","GSON1112031175")</f>
        <v>#NAME?</v>
      </c>
      <c r="U459" s="4" t="e">
        <f ca="1">[1]!BexGetData("DP_1","00O2TNJGODT0G5Z4TTKYMMUX1","GSON1112031175")</f>
        <v>#NAME?</v>
      </c>
      <c r="V459" s="4" t="e">
        <f ca="1">[1]!BexGetData("DP_1","00O2TNJGODT0G5Z4TTKYMN18L","GSON1112031175")</f>
        <v>#NAME?</v>
      </c>
      <c r="W459" s="4" t="e">
        <f ca="1">[1]!BexGetData("DP_1","00O2TNJGODT0G5Z4TTKYMN7K5","GSON1112031175")</f>
        <v>#NAME?</v>
      </c>
    </row>
    <row r="460" spans="1:23" x14ac:dyDescent="0.2">
      <c r="A460" s="16" t="s">
        <v>2313</v>
      </c>
      <c r="B460" s="7" t="s">
        <v>2314</v>
      </c>
      <c r="C460" s="3" t="e">
        <f ca="1">[1]!BexGetData("DP_1","003N8EMH8GTFRCSWKMPXRR8GU","GSON1112031180")</f>
        <v>#NAME?</v>
      </c>
      <c r="D460" s="3" t="e">
        <f ca="1">[1]!BexGetData("DP_1","003N8EMH8GTFRCSWKMPXRRESE","GSON1112031180")</f>
        <v>#NAME?</v>
      </c>
      <c r="E460" s="3" t="e">
        <f ca="1">[1]!BexGetData("DP_1","003N8EMH8GTFRCSWKMPXRRL3Y","GSON1112031180")</f>
        <v>#NAME?</v>
      </c>
      <c r="F460" s="4" t="e">
        <f ca="1">[1]!BexGetData("DP_1","003N8EMH8GTFRCSWKMPXRRRFI","GSON1112031180")</f>
        <v>#NAME?</v>
      </c>
      <c r="G460" s="4" t="e">
        <f ca="1">[1]!BexGetData("DP_1","003N8EMH8GTFRCSWKMPXRRXR2","GSON1112031180")</f>
        <v>#NAME?</v>
      </c>
      <c r="H460" s="4" t="e">
        <f ca="1">[1]!BexGetData("DP_1","003N8EMH8GTFRCSWKMPXRS42M","GSON1112031180")</f>
        <v>#NAME?</v>
      </c>
      <c r="I460" s="4" t="e">
        <f ca="1">[1]!BexGetData("DP_1","003N8EMH8GTFRCSWKMPXRSAE6","GSON1112031180")</f>
        <v>#NAME?</v>
      </c>
      <c r="J460" s="4" t="e">
        <f ca="1">[1]!BexGetData("DP_1","003N8EMH8GTFRCSWKMPXRSGPQ","GSON1112031180")</f>
        <v>#NAME?</v>
      </c>
      <c r="K460" s="3" t="e">
        <f ca="1">[1]!BexGetData("DP_1","003N8EMH8GTFRIVNUPY288VJH","GSON1112031180")</f>
        <v>#NAME?</v>
      </c>
      <c r="L460" s="3" t="e">
        <f ca="1">[1]!BexGetData("DP_1","003N8EMH8GTFRIVNUPY2891V1","GSON1112031180")</f>
        <v>#NAME?</v>
      </c>
      <c r="M460" s="8" t="e">
        <f ca="1">[1]!BexGetData("DP_1","003N8EMH8GTFRIVOG7KG9IQXA","GSON1112031180")</f>
        <v>#NAME?</v>
      </c>
      <c r="N460" s="3" t="e">
        <f ca="1">[1]!BexGetData("DP_1","003N8EMH8GTFRIVOG7KG9IX8U","GSON1112031180")</f>
        <v>#NAME?</v>
      </c>
      <c r="O460" s="8" t="e">
        <f ca="1">[1]!BexGetData("DP_1","003N8EMH8GTFRIVOG7KG9J3KE","GSON1112031180")</f>
        <v>#NAME?</v>
      </c>
      <c r="P460" s="3" t="e">
        <f ca="1">[1]!BexGetData("DP_1","003N8EMH8GTFRIVOG7KG9J9VY","GSON1112031180")</f>
        <v>#NAME?</v>
      </c>
      <c r="Q460" s="4" t="e">
        <f ca="1">[1]!BexGetData("DP_1","00O2TNJGODT0G5Z4TTKYMM5MT","GSON1112031180")</f>
        <v>#NAME?</v>
      </c>
      <c r="R460" s="4" t="e">
        <f ca="1">[1]!BexGetData("DP_1","00O2TNJGODT0G5Z4TTKYMMBYD","GSON1112031180")</f>
        <v>#NAME?</v>
      </c>
      <c r="S460" s="4" t="e">
        <f ca="1">[1]!BexGetData("DP_1","00O2TNJGODT0G5Z4TTKYMMI9X","GSON1112031180")</f>
        <v>#NAME?</v>
      </c>
      <c r="T460" s="4" t="e">
        <f ca="1">[1]!BexGetData("DP_1","00O2TNJGODT0G5Z4TTKYMMOLH","GSON1112031180")</f>
        <v>#NAME?</v>
      </c>
      <c r="U460" s="4" t="e">
        <f ca="1">[1]!BexGetData("DP_1","00O2TNJGODT0G5Z4TTKYMMUX1","GSON1112031180")</f>
        <v>#NAME?</v>
      </c>
      <c r="V460" s="4" t="e">
        <f ca="1">[1]!BexGetData("DP_1","00O2TNJGODT0G5Z4TTKYMN18L","GSON1112031180")</f>
        <v>#NAME?</v>
      </c>
      <c r="W460" s="4" t="e">
        <f ca="1">[1]!BexGetData("DP_1","00O2TNJGODT0G5Z4TTKYMN7K5","GSON1112031180")</f>
        <v>#NAME?</v>
      </c>
    </row>
    <row r="461" spans="1:23" x14ac:dyDescent="0.2">
      <c r="A461" s="16" t="s">
        <v>2315</v>
      </c>
      <c r="B461" s="7" t="s">
        <v>2316</v>
      </c>
      <c r="C461" s="3" t="e">
        <f ca="1">[1]!BexGetData("DP_1","003N8EMH8GTFRCSWKMPXRR8GU","GSON1112031181")</f>
        <v>#NAME?</v>
      </c>
      <c r="D461" s="3" t="e">
        <f ca="1">[1]!BexGetData("DP_1","003N8EMH8GTFRCSWKMPXRRESE","GSON1112031181")</f>
        <v>#NAME?</v>
      </c>
      <c r="E461" s="8" t="e">
        <f ca="1">[1]!BexGetData("DP_1","003N8EMH8GTFRCSWKMPXRRL3Y","GSON1112031181")</f>
        <v>#NAME?</v>
      </c>
      <c r="F461" s="4" t="e">
        <f ca="1">[1]!BexGetData("DP_1","003N8EMH8GTFRCSWKMPXRRRFI","GSON1112031181")</f>
        <v>#NAME?</v>
      </c>
      <c r="G461" s="4" t="e">
        <f ca="1">[1]!BexGetData("DP_1","003N8EMH8GTFRCSWKMPXRRXR2","GSON1112031181")</f>
        <v>#NAME?</v>
      </c>
      <c r="H461" s="4" t="e">
        <f ca="1">[1]!BexGetData("DP_1","003N8EMH8GTFRCSWKMPXRS42M","GSON1112031181")</f>
        <v>#NAME?</v>
      </c>
      <c r="I461" s="4" t="e">
        <f ca="1">[1]!BexGetData("DP_1","003N8EMH8GTFRCSWKMPXRSAE6","GSON1112031181")</f>
        <v>#NAME?</v>
      </c>
      <c r="J461" s="4" t="e">
        <f ca="1">[1]!BexGetData("DP_1","003N8EMH8GTFRCSWKMPXRSGPQ","GSON1112031181")</f>
        <v>#NAME?</v>
      </c>
      <c r="K461" s="8" t="e">
        <f ca="1">[1]!BexGetData("DP_1","003N8EMH8GTFRIVNUPY288VJH","GSON1112031181")</f>
        <v>#NAME?</v>
      </c>
      <c r="L461" s="8" t="e">
        <f ca="1">[1]!BexGetData("DP_1","003N8EMH8GTFRIVNUPY2891V1","GSON1112031181")</f>
        <v>#NAME?</v>
      </c>
      <c r="M461" s="8" t="e">
        <f ca="1">[1]!BexGetData("DP_1","003N8EMH8GTFRIVOG7KG9IQXA","GSON1112031181")</f>
        <v>#NAME?</v>
      </c>
      <c r="N461" s="8" t="e">
        <f ca="1">[1]!BexGetData("DP_1","003N8EMH8GTFRIVOG7KG9IX8U","GSON1112031181")</f>
        <v>#NAME?</v>
      </c>
      <c r="O461" s="8" t="e">
        <f ca="1">[1]!BexGetData("DP_1","003N8EMH8GTFRIVOG7KG9J3KE","GSON1112031181")</f>
        <v>#NAME?</v>
      </c>
      <c r="P461" s="8" t="e">
        <f ca="1">[1]!BexGetData("DP_1","003N8EMH8GTFRIVOG7KG9J9VY","GSON1112031181")</f>
        <v>#NAME?</v>
      </c>
      <c r="Q461" s="4" t="e">
        <f ca="1">[1]!BexGetData("DP_1","00O2TNJGODT0G5Z4TTKYMM5MT","GSON1112031181")</f>
        <v>#NAME?</v>
      </c>
      <c r="R461" s="4" t="e">
        <f ca="1">[1]!BexGetData("DP_1","00O2TNJGODT0G5Z4TTKYMMBYD","GSON1112031181")</f>
        <v>#NAME?</v>
      </c>
      <c r="S461" s="4" t="e">
        <f ca="1">[1]!BexGetData("DP_1","00O2TNJGODT0G5Z4TTKYMMI9X","GSON1112031181")</f>
        <v>#NAME?</v>
      </c>
      <c r="T461" s="4" t="e">
        <f ca="1">[1]!BexGetData("DP_1","00O2TNJGODT0G5Z4TTKYMMOLH","GSON1112031181")</f>
        <v>#NAME?</v>
      </c>
      <c r="U461" s="4" t="e">
        <f ca="1">[1]!BexGetData("DP_1","00O2TNJGODT0G5Z4TTKYMMUX1","GSON1112031181")</f>
        <v>#NAME?</v>
      </c>
      <c r="V461" s="4" t="e">
        <f ca="1">[1]!BexGetData("DP_1","00O2TNJGODT0G5Z4TTKYMN18L","GSON1112031181")</f>
        <v>#NAME?</v>
      </c>
      <c r="W461" s="4" t="e">
        <f ca="1">[1]!BexGetData("DP_1","00O2TNJGODT0G5Z4TTKYMN7K5","GSON1112031181")</f>
        <v>#NAME?</v>
      </c>
    </row>
    <row r="462" spans="1:23" x14ac:dyDescent="0.2">
      <c r="A462" s="16" t="s">
        <v>2317</v>
      </c>
      <c r="B462" s="7" t="s">
        <v>2318</v>
      </c>
      <c r="C462" s="3" t="e">
        <f ca="1">[1]!BexGetData("DP_1","003N8EMH8GTFRCSWKMPXRR8GU","GSON1112031183")</f>
        <v>#NAME?</v>
      </c>
      <c r="D462" s="3" t="e">
        <f ca="1">[1]!BexGetData("DP_1","003N8EMH8GTFRCSWKMPXRRESE","GSON1112031183")</f>
        <v>#NAME?</v>
      </c>
      <c r="E462" s="8" t="e">
        <f ca="1">[1]!BexGetData("DP_1","003N8EMH8GTFRCSWKMPXRRL3Y","GSON1112031183")</f>
        <v>#NAME?</v>
      </c>
      <c r="F462" s="4" t="e">
        <f ca="1">[1]!BexGetData("DP_1","003N8EMH8GTFRCSWKMPXRRRFI","GSON1112031183")</f>
        <v>#NAME?</v>
      </c>
      <c r="G462" s="4" t="e">
        <f ca="1">[1]!BexGetData("DP_1","003N8EMH8GTFRCSWKMPXRRXR2","GSON1112031183")</f>
        <v>#NAME?</v>
      </c>
      <c r="H462" s="4" t="e">
        <f ca="1">[1]!BexGetData("DP_1","003N8EMH8GTFRCSWKMPXRS42M","GSON1112031183")</f>
        <v>#NAME?</v>
      </c>
      <c r="I462" s="4" t="e">
        <f ca="1">[1]!BexGetData("DP_1","003N8EMH8GTFRCSWKMPXRSAE6","GSON1112031183")</f>
        <v>#NAME?</v>
      </c>
      <c r="J462" s="4" t="e">
        <f ca="1">[1]!BexGetData("DP_1","003N8EMH8GTFRCSWKMPXRSGPQ","GSON1112031183")</f>
        <v>#NAME?</v>
      </c>
      <c r="K462" s="8" t="e">
        <f ca="1">[1]!BexGetData("DP_1","003N8EMH8GTFRIVNUPY288VJH","GSON1112031183")</f>
        <v>#NAME?</v>
      </c>
      <c r="L462" s="8" t="e">
        <f ca="1">[1]!BexGetData("DP_1","003N8EMH8GTFRIVNUPY2891V1","GSON1112031183")</f>
        <v>#NAME?</v>
      </c>
      <c r="M462" s="8" t="e">
        <f ca="1">[1]!BexGetData("DP_1","003N8EMH8GTFRIVOG7KG9IQXA","GSON1112031183")</f>
        <v>#NAME?</v>
      </c>
      <c r="N462" s="8" t="e">
        <f ca="1">[1]!BexGetData("DP_1","003N8EMH8GTFRIVOG7KG9IX8U","GSON1112031183")</f>
        <v>#NAME?</v>
      </c>
      <c r="O462" s="8" t="e">
        <f ca="1">[1]!BexGetData("DP_1","003N8EMH8GTFRIVOG7KG9J3KE","GSON1112031183")</f>
        <v>#NAME?</v>
      </c>
      <c r="P462" s="8" t="e">
        <f ca="1">[1]!BexGetData("DP_1","003N8EMH8GTFRIVOG7KG9J9VY","GSON1112031183")</f>
        <v>#NAME?</v>
      </c>
      <c r="Q462" s="4" t="e">
        <f ca="1">[1]!BexGetData("DP_1","00O2TNJGODT0G5Z4TTKYMM5MT","GSON1112031183")</f>
        <v>#NAME?</v>
      </c>
      <c r="R462" s="4" t="e">
        <f ca="1">[1]!BexGetData("DP_1","00O2TNJGODT0G5Z4TTKYMMBYD","GSON1112031183")</f>
        <v>#NAME?</v>
      </c>
      <c r="S462" s="4" t="e">
        <f ca="1">[1]!BexGetData("DP_1","00O2TNJGODT0G5Z4TTKYMMI9X","GSON1112031183")</f>
        <v>#NAME?</v>
      </c>
      <c r="T462" s="4" t="e">
        <f ca="1">[1]!BexGetData("DP_1","00O2TNJGODT0G5Z4TTKYMMOLH","GSON1112031183")</f>
        <v>#NAME?</v>
      </c>
      <c r="U462" s="4" t="e">
        <f ca="1">[1]!BexGetData("DP_1","00O2TNJGODT0G5Z4TTKYMMUX1","GSON1112031183")</f>
        <v>#NAME?</v>
      </c>
      <c r="V462" s="4" t="e">
        <f ca="1">[1]!BexGetData("DP_1","00O2TNJGODT0G5Z4TTKYMN18L","GSON1112031183")</f>
        <v>#NAME?</v>
      </c>
      <c r="W462" s="4" t="e">
        <f ca="1">[1]!BexGetData("DP_1","00O2TNJGODT0G5Z4TTKYMN7K5","GSON1112031183")</f>
        <v>#NAME?</v>
      </c>
    </row>
    <row r="463" spans="1:23" x14ac:dyDescent="0.2">
      <c r="A463" s="16" t="s">
        <v>2319</v>
      </c>
      <c r="B463" s="7" t="s">
        <v>2320</v>
      </c>
      <c r="C463" s="3" t="e">
        <f ca="1">[1]!BexGetData("DP_1","003N8EMH8GTFRCSWKMPXRR8GU","GSON1112031185")</f>
        <v>#NAME?</v>
      </c>
      <c r="D463" s="3" t="e">
        <f ca="1">[1]!BexGetData("DP_1","003N8EMH8GTFRCSWKMPXRRESE","GSON1112031185")</f>
        <v>#NAME?</v>
      </c>
      <c r="E463" s="8" t="e">
        <f ca="1">[1]!BexGetData("DP_1","003N8EMH8GTFRCSWKMPXRRL3Y","GSON1112031185")</f>
        <v>#NAME?</v>
      </c>
      <c r="F463" s="4" t="e">
        <f ca="1">[1]!BexGetData("DP_1","003N8EMH8GTFRCSWKMPXRRRFI","GSON1112031185")</f>
        <v>#NAME?</v>
      </c>
      <c r="G463" s="4" t="e">
        <f ca="1">[1]!BexGetData("DP_1","003N8EMH8GTFRCSWKMPXRRXR2","GSON1112031185")</f>
        <v>#NAME?</v>
      </c>
      <c r="H463" s="4" t="e">
        <f ca="1">[1]!BexGetData("DP_1","003N8EMH8GTFRCSWKMPXRS42M","GSON1112031185")</f>
        <v>#NAME?</v>
      </c>
      <c r="I463" s="4" t="e">
        <f ca="1">[1]!BexGetData("DP_1","003N8EMH8GTFRCSWKMPXRSAE6","GSON1112031185")</f>
        <v>#NAME?</v>
      </c>
      <c r="J463" s="4" t="e">
        <f ca="1">[1]!BexGetData("DP_1","003N8EMH8GTFRCSWKMPXRSGPQ","GSON1112031185")</f>
        <v>#NAME?</v>
      </c>
      <c r="K463" s="8" t="e">
        <f ca="1">[1]!BexGetData("DP_1","003N8EMH8GTFRIVNUPY288VJH","GSON1112031185")</f>
        <v>#NAME?</v>
      </c>
      <c r="L463" s="8" t="e">
        <f ca="1">[1]!BexGetData("DP_1","003N8EMH8GTFRIVNUPY2891V1","GSON1112031185")</f>
        <v>#NAME?</v>
      </c>
      <c r="M463" s="8" t="e">
        <f ca="1">[1]!BexGetData("DP_1","003N8EMH8GTFRIVOG7KG9IQXA","GSON1112031185")</f>
        <v>#NAME?</v>
      </c>
      <c r="N463" s="8" t="e">
        <f ca="1">[1]!BexGetData("DP_1","003N8EMH8GTFRIVOG7KG9IX8U","GSON1112031185")</f>
        <v>#NAME?</v>
      </c>
      <c r="O463" s="8" t="e">
        <f ca="1">[1]!BexGetData("DP_1","003N8EMH8GTFRIVOG7KG9J3KE","GSON1112031185")</f>
        <v>#NAME?</v>
      </c>
      <c r="P463" s="8" t="e">
        <f ca="1">[1]!BexGetData("DP_1","003N8EMH8GTFRIVOG7KG9J9VY","GSON1112031185")</f>
        <v>#NAME?</v>
      </c>
      <c r="Q463" s="4" t="e">
        <f ca="1">[1]!BexGetData("DP_1","00O2TNJGODT0G5Z4TTKYMM5MT","GSON1112031185")</f>
        <v>#NAME?</v>
      </c>
      <c r="R463" s="4" t="e">
        <f ca="1">[1]!BexGetData("DP_1","00O2TNJGODT0G5Z4TTKYMMBYD","GSON1112031185")</f>
        <v>#NAME?</v>
      </c>
      <c r="S463" s="4" t="e">
        <f ca="1">[1]!BexGetData("DP_1","00O2TNJGODT0G5Z4TTKYMMI9X","GSON1112031185")</f>
        <v>#NAME?</v>
      </c>
      <c r="T463" s="4" t="e">
        <f ca="1">[1]!BexGetData("DP_1","00O2TNJGODT0G5Z4TTKYMMOLH","GSON1112031185")</f>
        <v>#NAME?</v>
      </c>
      <c r="U463" s="4" t="e">
        <f ca="1">[1]!BexGetData("DP_1","00O2TNJGODT0G5Z4TTKYMMUX1","GSON1112031185")</f>
        <v>#NAME?</v>
      </c>
      <c r="V463" s="4" t="e">
        <f ca="1">[1]!BexGetData("DP_1","00O2TNJGODT0G5Z4TTKYMN18L","GSON1112031185")</f>
        <v>#NAME?</v>
      </c>
      <c r="W463" s="4" t="e">
        <f ca="1">[1]!BexGetData("DP_1","00O2TNJGODT0G5Z4TTKYMN7K5","GSON1112031185")</f>
        <v>#NAME?</v>
      </c>
    </row>
    <row r="464" spans="1:23" x14ac:dyDescent="0.2">
      <c r="A464" s="16" t="s">
        <v>2321</v>
      </c>
      <c r="B464" s="7" t="s">
        <v>2322</v>
      </c>
      <c r="C464" s="3" t="e">
        <f ca="1">[1]!BexGetData("DP_1","003N8EMH8GTFRCSWKMPXRR8GU","GSON1112031190")</f>
        <v>#NAME?</v>
      </c>
      <c r="D464" s="3" t="e">
        <f ca="1">[1]!BexGetData("DP_1","003N8EMH8GTFRCSWKMPXRRESE","GSON1112031190")</f>
        <v>#NAME?</v>
      </c>
      <c r="E464" s="3" t="e">
        <f ca="1">[1]!BexGetData("DP_1","003N8EMH8GTFRCSWKMPXRRL3Y","GSON1112031190")</f>
        <v>#NAME?</v>
      </c>
      <c r="F464" s="4" t="e">
        <f ca="1">[1]!BexGetData("DP_1","003N8EMH8GTFRCSWKMPXRRRFI","GSON1112031190")</f>
        <v>#NAME?</v>
      </c>
      <c r="G464" s="4" t="e">
        <f ca="1">[1]!BexGetData("DP_1","003N8EMH8GTFRCSWKMPXRRXR2","GSON1112031190")</f>
        <v>#NAME?</v>
      </c>
      <c r="H464" s="4" t="e">
        <f ca="1">[1]!BexGetData("DP_1","003N8EMH8GTFRCSWKMPXRS42M","GSON1112031190")</f>
        <v>#NAME?</v>
      </c>
      <c r="I464" s="4" t="e">
        <f ca="1">[1]!BexGetData("DP_1","003N8EMH8GTFRCSWKMPXRSAE6","GSON1112031190")</f>
        <v>#NAME?</v>
      </c>
      <c r="J464" s="4" t="e">
        <f ca="1">[1]!BexGetData("DP_1","003N8EMH8GTFRCSWKMPXRSGPQ","GSON1112031190")</f>
        <v>#NAME?</v>
      </c>
      <c r="K464" s="3" t="e">
        <f ca="1">[1]!BexGetData("DP_1","003N8EMH8GTFRIVNUPY288VJH","GSON1112031190")</f>
        <v>#NAME?</v>
      </c>
      <c r="L464" s="3" t="e">
        <f ca="1">[1]!BexGetData("DP_1","003N8EMH8GTFRIVNUPY2891V1","GSON1112031190")</f>
        <v>#NAME?</v>
      </c>
      <c r="M464" s="8" t="e">
        <f ca="1">[1]!BexGetData("DP_1","003N8EMH8GTFRIVOG7KG9IQXA","GSON1112031190")</f>
        <v>#NAME?</v>
      </c>
      <c r="N464" s="3" t="e">
        <f ca="1">[1]!BexGetData("DP_1","003N8EMH8GTFRIVOG7KG9IX8U","GSON1112031190")</f>
        <v>#NAME?</v>
      </c>
      <c r="O464" s="8" t="e">
        <f ca="1">[1]!BexGetData("DP_1","003N8EMH8GTFRIVOG7KG9J3KE","GSON1112031190")</f>
        <v>#NAME?</v>
      </c>
      <c r="P464" s="3" t="e">
        <f ca="1">[1]!BexGetData("DP_1","003N8EMH8GTFRIVOG7KG9J9VY","GSON1112031190")</f>
        <v>#NAME?</v>
      </c>
      <c r="Q464" s="4" t="e">
        <f ca="1">[1]!BexGetData("DP_1","00O2TNJGODT0G5Z4TTKYMM5MT","GSON1112031190")</f>
        <v>#NAME?</v>
      </c>
      <c r="R464" s="4" t="e">
        <f ca="1">[1]!BexGetData("DP_1","00O2TNJGODT0G5Z4TTKYMMBYD","GSON1112031190")</f>
        <v>#NAME?</v>
      </c>
      <c r="S464" s="4" t="e">
        <f ca="1">[1]!BexGetData("DP_1","00O2TNJGODT0G5Z4TTKYMMI9X","GSON1112031190")</f>
        <v>#NAME?</v>
      </c>
      <c r="T464" s="4" t="e">
        <f ca="1">[1]!BexGetData("DP_1","00O2TNJGODT0G5Z4TTKYMMOLH","GSON1112031190")</f>
        <v>#NAME?</v>
      </c>
      <c r="U464" s="4" t="e">
        <f ca="1">[1]!BexGetData("DP_1","00O2TNJGODT0G5Z4TTKYMMUX1","GSON1112031190")</f>
        <v>#NAME?</v>
      </c>
      <c r="V464" s="4" t="e">
        <f ca="1">[1]!BexGetData("DP_1","00O2TNJGODT0G5Z4TTKYMN18L","GSON1112031190")</f>
        <v>#NAME?</v>
      </c>
      <c r="W464" s="4" t="e">
        <f ca="1">[1]!BexGetData("DP_1","00O2TNJGODT0G5Z4TTKYMN7K5","GSON1112031190")</f>
        <v>#NAME?</v>
      </c>
    </row>
    <row r="465" spans="1:23" x14ac:dyDescent="0.2">
      <c r="A465" s="16" t="s">
        <v>2323</v>
      </c>
      <c r="B465" s="7" t="s">
        <v>2324</v>
      </c>
      <c r="C465" s="3" t="e">
        <f ca="1">[1]!BexGetData("DP_1","003N8EMH8GTFRCSWKMPXRR8GU","GSON1112031191")</f>
        <v>#NAME?</v>
      </c>
      <c r="D465" s="3" t="e">
        <f ca="1">[1]!BexGetData("DP_1","003N8EMH8GTFRCSWKMPXRRESE","GSON1112031191")</f>
        <v>#NAME?</v>
      </c>
      <c r="E465" s="8" t="e">
        <f ca="1">[1]!BexGetData("DP_1","003N8EMH8GTFRCSWKMPXRRL3Y","GSON1112031191")</f>
        <v>#NAME?</v>
      </c>
      <c r="F465" s="4" t="e">
        <f ca="1">[1]!BexGetData("DP_1","003N8EMH8GTFRCSWKMPXRRRFI","GSON1112031191")</f>
        <v>#NAME?</v>
      </c>
      <c r="G465" s="4" t="e">
        <f ca="1">[1]!BexGetData("DP_1","003N8EMH8GTFRCSWKMPXRRXR2","GSON1112031191")</f>
        <v>#NAME?</v>
      </c>
      <c r="H465" s="4" t="e">
        <f ca="1">[1]!BexGetData("DP_1","003N8EMH8GTFRCSWKMPXRS42M","GSON1112031191")</f>
        <v>#NAME?</v>
      </c>
      <c r="I465" s="4" t="e">
        <f ca="1">[1]!BexGetData("DP_1","003N8EMH8GTFRCSWKMPXRSAE6","GSON1112031191")</f>
        <v>#NAME?</v>
      </c>
      <c r="J465" s="4" t="e">
        <f ca="1">[1]!BexGetData("DP_1","003N8EMH8GTFRCSWKMPXRSGPQ","GSON1112031191")</f>
        <v>#NAME?</v>
      </c>
      <c r="K465" s="8" t="e">
        <f ca="1">[1]!BexGetData("DP_1","003N8EMH8GTFRIVNUPY288VJH","GSON1112031191")</f>
        <v>#NAME?</v>
      </c>
      <c r="L465" s="8" t="e">
        <f ca="1">[1]!BexGetData("DP_1","003N8EMH8GTFRIVNUPY2891V1","GSON1112031191")</f>
        <v>#NAME?</v>
      </c>
      <c r="M465" s="8" t="e">
        <f ca="1">[1]!BexGetData("DP_1","003N8EMH8GTFRIVOG7KG9IQXA","GSON1112031191")</f>
        <v>#NAME?</v>
      </c>
      <c r="N465" s="8" t="e">
        <f ca="1">[1]!BexGetData("DP_1","003N8EMH8GTFRIVOG7KG9IX8U","GSON1112031191")</f>
        <v>#NAME?</v>
      </c>
      <c r="O465" s="8" t="e">
        <f ca="1">[1]!BexGetData("DP_1","003N8EMH8GTFRIVOG7KG9J3KE","GSON1112031191")</f>
        <v>#NAME?</v>
      </c>
      <c r="P465" s="8" t="e">
        <f ca="1">[1]!BexGetData("DP_1","003N8EMH8GTFRIVOG7KG9J9VY","GSON1112031191")</f>
        <v>#NAME?</v>
      </c>
      <c r="Q465" s="4" t="e">
        <f ca="1">[1]!BexGetData("DP_1","00O2TNJGODT0G5Z4TTKYMM5MT","GSON1112031191")</f>
        <v>#NAME?</v>
      </c>
      <c r="R465" s="4" t="e">
        <f ca="1">[1]!BexGetData("DP_1","00O2TNJGODT0G5Z4TTKYMMBYD","GSON1112031191")</f>
        <v>#NAME?</v>
      </c>
      <c r="S465" s="4" t="e">
        <f ca="1">[1]!BexGetData("DP_1","00O2TNJGODT0G5Z4TTKYMMI9X","GSON1112031191")</f>
        <v>#NAME?</v>
      </c>
      <c r="T465" s="4" t="e">
        <f ca="1">[1]!BexGetData("DP_1","00O2TNJGODT0G5Z4TTKYMMOLH","GSON1112031191")</f>
        <v>#NAME?</v>
      </c>
      <c r="U465" s="4" t="e">
        <f ca="1">[1]!BexGetData("DP_1","00O2TNJGODT0G5Z4TTKYMMUX1","GSON1112031191")</f>
        <v>#NAME?</v>
      </c>
      <c r="V465" s="4" t="e">
        <f ca="1">[1]!BexGetData("DP_1","00O2TNJGODT0G5Z4TTKYMN18L","GSON1112031191")</f>
        <v>#NAME?</v>
      </c>
      <c r="W465" s="4" t="e">
        <f ca="1">[1]!BexGetData("DP_1","00O2TNJGODT0G5Z4TTKYMN7K5","GSON1112031191")</f>
        <v>#NAME?</v>
      </c>
    </row>
    <row r="466" spans="1:23" x14ac:dyDescent="0.2">
      <c r="A466" s="16" t="s">
        <v>2325</v>
      </c>
      <c r="B466" s="7" t="s">
        <v>2326</v>
      </c>
      <c r="C466" s="3" t="e">
        <f ca="1">[1]!BexGetData("DP_1","003N8EMH8GTFRCSWKMPXRR8GU","GSON1112031193")</f>
        <v>#NAME?</v>
      </c>
      <c r="D466" s="3" t="e">
        <f ca="1">[1]!BexGetData("DP_1","003N8EMH8GTFRCSWKMPXRRESE","GSON1112031193")</f>
        <v>#NAME?</v>
      </c>
      <c r="E466" s="8" t="e">
        <f ca="1">[1]!BexGetData("DP_1","003N8EMH8GTFRCSWKMPXRRL3Y","GSON1112031193")</f>
        <v>#NAME?</v>
      </c>
      <c r="F466" s="4" t="e">
        <f ca="1">[1]!BexGetData("DP_1","003N8EMH8GTFRCSWKMPXRRRFI","GSON1112031193")</f>
        <v>#NAME?</v>
      </c>
      <c r="G466" s="4" t="e">
        <f ca="1">[1]!BexGetData("DP_1","003N8EMH8GTFRCSWKMPXRRXR2","GSON1112031193")</f>
        <v>#NAME?</v>
      </c>
      <c r="H466" s="4" t="e">
        <f ca="1">[1]!BexGetData("DP_1","003N8EMH8GTFRCSWKMPXRS42M","GSON1112031193")</f>
        <v>#NAME?</v>
      </c>
      <c r="I466" s="4" t="e">
        <f ca="1">[1]!BexGetData("DP_1","003N8EMH8GTFRCSWKMPXRSAE6","GSON1112031193")</f>
        <v>#NAME?</v>
      </c>
      <c r="J466" s="4" t="e">
        <f ca="1">[1]!BexGetData("DP_1","003N8EMH8GTFRCSWKMPXRSGPQ","GSON1112031193")</f>
        <v>#NAME?</v>
      </c>
      <c r="K466" s="8" t="e">
        <f ca="1">[1]!BexGetData("DP_1","003N8EMH8GTFRIVNUPY288VJH","GSON1112031193")</f>
        <v>#NAME?</v>
      </c>
      <c r="L466" s="8" t="e">
        <f ca="1">[1]!BexGetData("DP_1","003N8EMH8GTFRIVNUPY2891V1","GSON1112031193")</f>
        <v>#NAME?</v>
      </c>
      <c r="M466" s="8" t="e">
        <f ca="1">[1]!BexGetData("DP_1","003N8EMH8GTFRIVOG7KG9IQXA","GSON1112031193")</f>
        <v>#NAME?</v>
      </c>
      <c r="N466" s="8" t="e">
        <f ca="1">[1]!BexGetData("DP_1","003N8EMH8GTFRIVOG7KG9IX8U","GSON1112031193")</f>
        <v>#NAME?</v>
      </c>
      <c r="O466" s="8" t="e">
        <f ca="1">[1]!BexGetData("DP_1","003N8EMH8GTFRIVOG7KG9J3KE","GSON1112031193")</f>
        <v>#NAME?</v>
      </c>
      <c r="P466" s="8" t="e">
        <f ca="1">[1]!BexGetData("DP_1","003N8EMH8GTFRIVOG7KG9J9VY","GSON1112031193")</f>
        <v>#NAME?</v>
      </c>
      <c r="Q466" s="4" t="e">
        <f ca="1">[1]!BexGetData("DP_1","00O2TNJGODT0G5Z4TTKYMM5MT","GSON1112031193")</f>
        <v>#NAME?</v>
      </c>
      <c r="R466" s="4" t="e">
        <f ca="1">[1]!BexGetData("DP_1","00O2TNJGODT0G5Z4TTKYMMBYD","GSON1112031193")</f>
        <v>#NAME?</v>
      </c>
      <c r="S466" s="4" t="e">
        <f ca="1">[1]!BexGetData("DP_1","00O2TNJGODT0G5Z4TTKYMMI9X","GSON1112031193")</f>
        <v>#NAME?</v>
      </c>
      <c r="T466" s="4" t="e">
        <f ca="1">[1]!BexGetData("DP_1","00O2TNJGODT0G5Z4TTKYMMOLH","GSON1112031193")</f>
        <v>#NAME?</v>
      </c>
      <c r="U466" s="4" t="e">
        <f ca="1">[1]!BexGetData("DP_1","00O2TNJGODT0G5Z4TTKYMMUX1","GSON1112031193")</f>
        <v>#NAME?</v>
      </c>
      <c r="V466" s="4" t="e">
        <f ca="1">[1]!BexGetData("DP_1","00O2TNJGODT0G5Z4TTKYMN18L","GSON1112031193")</f>
        <v>#NAME?</v>
      </c>
      <c r="W466" s="4" t="e">
        <f ca="1">[1]!BexGetData("DP_1","00O2TNJGODT0G5Z4TTKYMN7K5","GSON1112031193")</f>
        <v>#NAME?</v>
      </c>
    </row>
    <row r="467" spans="1:23" x14ac:dyDescent="0.2">
      <c r="A467" s="16" t="s">
        <v>2327</v>
      </c>
      <c r="B467" s="7" t="s">
        <v>2328</v>
      </c>
      <c r="C467" s="3" t="e">
        <f ca="1">[1]!BexGetData("DP_1","003N8EMH8GTFRCSWKMPXRR8GU","GSON1112031194")</f>
        <v>#NAME?</v>
      </c>
      <c r="D467" s="3" t="e">
        <f ca="1">[1]!BexGetData("DP_1","003N8EMH8GTFRCSWKMPXRRESE","GSON1112031194")</f>
        <v>#NAME?</v>
      </c>
      <c r="E467" s="8" t="e">
        <f ca="1">[1]!BexGetData("DP_1","003N8EMH8GTFRCSWKMPXRRL3Y","GSON1112031194")</f>
        <v>#NAME?</v>
      </c>
      <c r="F467" s="4" t="e">
        <f ca="1">[1]!BexGetData("DP_1","003N8EMH8GTFRCSWKMPXRRRFI","GSON1112031194")</f>
        <v>#NAME?</v>
      </c>
      <c r="G467" s="4" t="e">
        <f ca="1">[1]!BexGetData("DP_1","003N8EMH8GTFRCSWKMPXRRXR2","GSON1112031194")</f>
        <v>#NAME?</v>
      </c>
      <c r="H467" s="4" t="e">
        <f ca="1">[1]!BexGetData("DP_1","003N8EMH8GTFRCSWKMPXRS42M","GSON1112031194")</f>
        <v>#NAME?</v>
      </c>
      <c r="I467" s="4" t="e">
        <f ca="1">[1]!BexGetData("DP_1","003N8EMH8GTFRCSWKMPXRSAE6","GSON1112031194")</f>
        <v>#NAME?</v>
      </c>
      <c r="J467" s="4" t="e">
        <f ca="1">[1]!BexGetData("DP_1","003N8EMH8GTFRCSWKMPXRSGPQ","GSON1112031194")</f>
        <v>#NAME?</v>
      </c>
      <c r="K467" s="8" t="e">
        <f ca="1">[1]!BexGetData("DP_1","003N8EMH8GTFRIVNUPY288VJH","GSON1112031194")</f>
        <v>#NAME?</v>
      </c>
      <c r="L467" s="8" t="e">
        <f ca="1">[1]!BexGetData("DP_1","003N8EMH8GTFRIVNUPY2891V1","GSON1112031194")</f>
        <v>#NAME?</v>
      </c>
      <c r="M467" s="8" t="e">
        <f ca="1">[1]!BexGetData("DP_1","003N8EMH8GTFRIVOG7KG9IQXA","GSON1112031194")</f>
        <v>#NAME?</v>
      </c>
      <c r="N467" s="8" t="e">
        <f ca="1">[1]!BexGetData("DP_1","003N8EMH8GTFRIVOG7KG9IX8U","GSON1112031194")</f>
        <v>#NAME?</v>
      </c>
      <c r="O467" s="8" t="e">
        <f ca="1">[1]!BexGetData("DP_1","003N8EMH8GTFRIVOG7KG9J3KE","GSON1112031194")</f>
        <v>#NAME?</v>
      </c>
      <c r="P467" s="8" t="e">
        <f ca="1">[1]!BexGetData("DP_1","003N8EMH8GTFRIVOG7KG9J9VY","GSON1112031194")</f>
        <v>#NAME?</v>
      </c>
      <c r="Q467" s="4" t="e">
        <f ca="1">[1]!BexGetData("DP_1","00O2TNJGODT0G5Z4TTKYMM5MT","GSON1112031194")</f>
        <v>#NAME?</v>
      </c>
      <c r="R467" s="4" t="e">
        <f ca="1">[1]!BexGetData("DP_1","00O2TNJGODT0G5Z4TTKYMMBYD","GSON1112031194")</f>
        <v>#NAME?</v>
      </c>
      <c r="S467" s="4" t="e">
        <f ca="1">[1]!BexGetData("DP_1","00O2TNJGODT0G5Z4TTKYMMI9X","GSON1112031194")</f>
        <v>#NAME?</v>
      </c>
      <c r="T467" s="4" t="e">
        <f ca="1">[1]!BexGetData("DP_1","00O2TNJGODT0G5Z4TTKYMMOLH","GSON1112031194")</f>
        <v>#NAME?</v>
      </c>
      <c r="U467" s="4" t="e">
        <f ca="1">[1]!BexGetData("DP_1","00O2TNJGODT0G5Z4TTKYMMUX1","GSON1112031194")</f>
        <v>#NAME?</v>
      </c>
      <c r="V467" s="4" t="e">
        <f ca="1">[1]!BexGetData("DP_1","00O2TNJGODT0G5Z4TTKYMN18L","GSON1112031194")</f>
        <v>#NAME?</v>
      </c>
      <c r="W467" s="4" t="e">
        <f ca="1">[1]!BexGetData("DP_1","00O2TNJGODT0G5Z4TTKYMN7K5","GSON1112031194")</f>
        <v>#NAME?</v>
      </c>
    </row>
    <row r="468" spans="1:23" x14ac:dyDescent="0.2">
      <c r="A468" s="16" t="s">
        <v>2329</v>
      </c>
      <c r="B468" s="7" t="s">
        <v>2330</v>
      </c>
      <c r="C468" s="3" t="e">
        <f ca="1">[1]!BexGetData("DP_1","003N8EMH8GTFRCSWKMPXRR8GU","GSON1112031195")</f>
        <v>#NAME?</v>
      </c>
      <c r="D468" s="3" t="e">
        <f ca="1">[1]!BexGetData("DP_1","003N8EMH8GTFRCSWKMPXRRESE","GSON1112031195")</f>
        <v>#NAME?</v>
      </c>
      <c r="E468" s="8" t="e">
        <f ca="1">[1]!BexGetData("DP_1","003N8EMH8GTFRCSWKMPXRRL3Y","GSON1112031195")</f>
        <v>#NAME?</v>
      </c>
      <c r="F468" s="4" t="e">
        <f ca="1">[1]!BexGetData("DP_1","003N8EMH8GTFRCSWKMPXRRRFI","GSON1112031195")</f>
        <v>#NAME?</v>
      </c>
      <c r="G468" s="4" t="e">
        <f ca="1">[1]!BexGetData("DP_1","003N8EMH8GTFRCSWKMPXRRXR2","GSON1112031195")</f>
        <v>#NAME?</v>
      </c>
      <c r="H468" s="4" t="e">
        <f ca="1">[1]!BexGetData("DP_1","003N8EMH8GTFRCSWKMPXRS42M","GSON1112031195")</f>
        <v>#NAME?</v>
      </c>
      <c r="I468" s="4" t="e">
        <f ca="1">[1]!BexGetData("DP_1","003N8EMH8GTFRCSWKMPXRSAE6","GSON1112031195")</f>
        <v>#NAME?</v>
      </c>
      <c r="J468" s="4" t="e">
        <f ca="1">[1]!BexGetData("DP_1","003N8EMH8GTFRCSWKMPXRSGPQ","GSON1112031195")</f>
        <v>#NAME?</v>
      </c>
      <c r="K468" s="8" t="e">
        <f ca="1">[1]!BexGetData("DP_1","003N8EMH8GTFRIVNUPY288VJH","GSON1112031195")</f>
        <v>#NAME?</v>
      </c>
      <c r="L468" s="8" t="e">
        <f ca="1">[1]!BexGetData("DP_1","003N8EMH8GTFRIVNUPY2891V1","GSON1112031195")</f>
        <v>#NAME?</v>
      </c>
      <c r="M468" s="8" t="e">
        <f ca="1">[1]!BexGetData("DP_1","003N8EMH8GTFRIVOG7KG9IQXA","GSON1112031195")</f>
        <v>#NAME?</v>
      </c>
      <c r="N468" s="8" t="e">
        <f ca="1">[1]!BexGetData("DP_1","003N8EMH8GTFRIVOG7KG9IX8U","GSON1112031195")</f>
        <v>#NAME?</v>
      </c>
      <c r="O468" s="8" t="e">
        <f ca="1">[1]!BexGetData("DP_1","003N8EMH8GTFRIVOG7KG9J3KE","GSON1112031195")</f>
        <v>#NAME?</v>
      </c>
      <c r="P468" s="8" t="e">
        <f ca="1">[1]!BexGetData("DP_1","003N8EMH8GTFRIVOG7KG9J9VY","GSON1112031195")</f>
        <v>#NAME?</v>
      </c>
      <c r="Q468" s="4" t="e">
        <f ca="1">[1]!BexGetData("DP_1","00O2TNJGODT0G5Z4TTKYMM5MT","GSON1112031195")</f>
        <v>#NAME?</v>
      </c>
      <c r="R468" s="4" t="e">
        <f ca="1">[1]!BexGetData("DP_1","00O2TNJGODT0G5Z4TTKYMMBYD","GSON1112031195")</f>
        <v>#NAME?</v>
      </c>
      <c r="S468" s="4" t="e">
        <f ca="1">[1]!BexGetData("DP_1","00O2TNJGODT0G5Z4TTKYMMI9X","GSON1112031195")</f>
        <v>#NAME?</v>
      </c>
      <c r="T468" s="4" t="e">
        <f ca="1">[1]!BexGetData("DP_1","00O2TNJGODT0G5Z4TTKYMMOLH","GSON1112031195")</f>
        <v>#NAME?</v>
      </c>
      <c r="U468" s="4" t="e">
        <f ca="1">[1]!BexGetData("DP_1","00O2TNJGODT0G5Z4TTKYMMUX1","GSON1112031195")</f>
        <v>#NAME?</v>
      </c>
      <c r="V468" s="4" t="e">
        <f ca="1">[1]!BexGetData("DP_1","00O2TNJGODT0G5Z4TTKYMN18L","GSON1112031195")</f>
        <v>#NAME?</v>
      </c>
      <c r="W468" s="4" t="e">
        <f ca="1">[1]!BexGetData("DP_1","00O2TNJGODT0G5Z4TTKYMN7K5","GSON1112031195")</f>
        <v>#NAME?</v>
      </c>
    </row>
    <row r="469" spans="1:23" x14ac:dyDescent="0.2">
      <c r="A469" s="16" t="s">
        <v>2331</v>
      </c>
      <c r="B469" s="7" t="s">
        <v>2332</v>
      </c>
      <c r="C469" s="3" t="e">
        <f ca="1">[1]!BexGetData("DP_1","003N8EMH8GTFRCSWKMPXRR8GU","GSON1112031200")</f>
        <v>#NAME?</v>
      </c>
      <c r="D469" s="3" t="e">
        <f ca="1">[1]!BexGetData("DP_1","003N8EMH8GTFRCSWKMPXRRESE","GSON1112031200")</f>
        <v>#NAME?</v>
      </c>
      <c r="E469" s="3" t="e">
        <f ca="1">[1]!BexGetData("DP_1","003N8EMH8GTFRCSWKMPXRRL3Y","GSON1112031200")</f>
        <v>#NAME?</v>
      </c>
      <c r="F469" s="4" t="e">
        <f ca="1">[1]!BexGetData("DP_1","003N8EMH8GTFRCSWKMPXRRRFI","GSON1112031200")</f>
        <v>#NAME?</v>
      </c>
      <c r="G469" s="4" t="e">
        <f ca="1">[1]!BexGetData("DP_1","003N8EMH8GTFRCSWKMPXRRXR2","GSON1112031200")</f>
        <v>#NAME?</v>
      </c>
      <c r="H469" s="4" t="e">
        <f ca="1">[1]!BexGetData("DP_1","003N8EMH8GTFRCSWKMPXRS42M","GSON1112031200")</f>
        <v>#NAME?</v>
      </c>
      <c r="I469" s="4" t="e">
        <f ca="1">[1]!BexGetData("DP_1","003N8EMH8GTFRCSWKMPXRSAE6","GSON1112031200")</f>
        <v>#NAME?</v>
      </c>
      <c r="J469" s="4" t="e">
        <f ca="1">[1]!BexGetData("DP_1","003N8EMH8GTFRCSWKMPXRSGPQ","GSON1112031200")</f>
        <v>#NAME?</v>
      </c>
      <c r="K469" s="3" t="e">
        <f ca="1">[1]!BexGetData("DP_1","003N8EMH8GTFRIVNUPY288VJH","GSON1112031200")</f>
        <v>#NAME?</v>
      </c>
      <c r="L469" s="3" t="e">
        <f ca="1">[1]!BexGetData("DP_1","003N8EMH8GTFRIVNUPY2891V1","GSON1112031200")</f>
        <v>#NAME?</v>
      </c>
      <c r="M469" s="8" t="e">
        <f ca="1">[1]!BexGetData("DP_1","003N8EMH8GTFRIVOG7KG9IQXA","GSON1112031200")</f>
        <v>#NAME?</v>
      </c>
      <c r="N469" s="3" t="e">
        <f ca="1">[1]!BexGetData("DP_1","003N8EMH8GTFRIVOG7KG9IX8U","GSON1112031200")</f>
        <v>#NAME?</v>
      </c>
      <c r="O469" s="8" t="e">
        <f ca="1">[1]!BexGetData("DP_1","003N8EMH8GTFRIVOG7KG9J3KE","GSON1112031200")</f>
        <v>#NAME?</v>
      </c>
      <c r="P469" s="3" t="e">
        <f ca="1">[1]!BexGetData("DP_1","003N8EMH8GTFRIVOG7KG9J9VY","GSON1112031200")</f>
        <v>#NAME?</v>
      </c>
      <c r="Q469" s="4" t="e">
        <f ca="1">[1]!BexGetData("DP_1","00O2TNJGODT0G5Z4TTKYMM5MT","GSON1112031200")</f>
        <v>#NAME?</v>
      </c>
      <c r="R469" s="4" t="e">
        <f ca="1">[1]!BexGetData("DP_1","00O2TNJGODT0G5Z4TTKYMMBYD","GSON1112031200")</f>
        <v>#NAME?</v>
      </c>
      <c r="S469" s="4" t="e">
        <f ca="1">[1]!BexGetData("DP_1","00O2TNJGODT0G5Z4TTKYMMI9X","GSON1112031200")</f>
        <v>#NAME?</v>
      </c>
      <c r="T469" s="4" t="e">
        <f ca="1">[1]!BexGetData("DP_1","00O2TNJGODT0G5Z4TTKYMMOLH","GSON1112031200")</f>
        <v>#NAME?</v>
      </c>
      <c r="U469" s="4" t="e">
        <f ca="1">[1]!BexGetData("DP_1","00O2TNJGODT0G5Z4TTKYMMUX1","GSON1112031200")</f>
        <v>#NAME?</v>
      </c>
      <c r="V469" s="4" t="e">
        <f ca="1">[1]!BexGetData("DP_1","00O2TNJGODT0G5Z4TTKYMN18L","GSON1112031200")</f>
        <v>#NAME?</v>
      </c>
      <c r="W469" s="4" t="e">
        <f ca="1">[1]!BexGetData("DP_1","00O2TNJGODT0G5Z4TTKYMN7K5","GSON1112031200")</f>
        <v>#NAME?</v>
      </c>
    </row>
    <row r="470" spans="1:23" x14ac:dyDescent="0.2">
      <c r="A470" s="16" t="s">
        <v>2333</v>
      </c>
      <c r="B470" s="7" t="s">
        <v>2334</v>
      </c>
      <c r="C470" s="3" t="e">
        <f ca="1">[1]!BexGetData("DP_1","003N8EMH8GTFRCSWKMPXRR8GU","GSON1112031201")</f>
        <v>#NAME?</v>
      </c>
      <c r="D470" s="3" t="e">
        <f ca="1">[1]!BexGetData("DP_1","003N8EMH8GTFRCSWKMPXRRESE","GSON1112031201")</f>
        <v>#NAME?</v>
      </c>
      <c r="E470" s="8" t="e">
        <f ca="1">[1]!BexGetData("DP_1","003N8EMH8GTFRCSWKMPXRRL3Y","GSON1112031201")</f>
        <v>#NAME?</v>
      </c>
      <c r="F470" s="4" t="e">
        <f ca="1">[1]!BexGetData("DP_1","003N8EMH8GTFRCSWKMPXRRRFI","GSON1112031201")</f>
        <v>#NAME?</v>
      </c>
      <c r="G470" s="4" t="e">
        <f ca="1">[1]!BexGetData("DP_1","003N8EMH8GTFRCSWKMPXRRXR2","GSON1112031201")</f>
        <v>#NAME?</v>
      </c>
      <c r="H470" s="4" t="e">
        <f ca="1">[1]!BexGetData("DP_1","003N8EMH8GTFRCSWKMPXRS42M","GSON1112031201")</f>
        <v>#NAME?</v>
      </c>
      <c r="I470" s="4" t="e">
        <f ca="1">[1]!BexGetData("DP_1","003N8EMH8GTFRCSWKMPXRSAE6","GSON1112031201")</f>
        <v>#NAME?</v>
      </c>
      <c r="J470" s="4" t="e">
        <f ca="1">[1]!BexGetData("DP_1","003N8EMH8GTFRCSWKMPXRSGPQ","GSON1112031201")</f>
        <v>#NAME?</v>
      </c>
      <c r="K470" s="8" t="e">
        <f ca="1">[1]!BexGetData("DP_1","003N8EMH8GTFRIVNUPY288VJH","GSON1112031201")</f>
        <v>#NAME?</v>
      </c>
      <c r="L470" s="8" t="e">
        <f ca="1">[1]!BexGetData("DP_1","003N8EMH8GTFRIVNUPY2891V1","GSON1112031201")</f>
        <v>#NAME?</v>
      </c>
      <c r="M470" s="8" t="e">
        <f ca="1">[1]!BexGetData("DP_1","003N8EMH8GTFRIVOG7KG9IQXA","GSON1112031201")</f>
        <v>#NAME?</v>
      </c>
      <c r="N470" s="8" t="e">
        <f ca="1">[1]!BexGetData("DP_1","003N8EMH8GTFRIVOG7KG9IX8U","GSON1112031201")</f>
        <v>#NAME?</v>
      </c>
      <c r="O470" s="8" t="e">
        <f ca="1">[1]!BexGetData("DP_1","003N8EMH8GTFRIVOG7KG9J3KE","GSON1112031201")</f>
        <v>#NAME?</v>
      </c>
      <c r="P470" s="8" t="e">
        <f ca="1">[1]!BexGetData("DP_1","003N8EMH8GTFRIVOG7KG9J9VY","GSON1112031201")</f>
        <v>#NAME?</v>
      </c>
      <c r="Q470" s="4" t="e">
        <f ca="1">[1]!BexGetData("DP_1","00O2TNJGODT0G5Z4TTKYMM5MT","GSON1112031201")</f>
        <v>#NAME?</v>
      </c>
      <c r="R470" s="4" t="e">
        <f ca="1">[1]!BexGetData("DP_1","00O2TNJGODT0G5Z4TTKYMMBYD","GSON1112031201")</f>
        <v>#NAME?</v>
      </c>
      <c r="S470" s="4" t="e">
        <f ca="1">[1]!BexGetData("DP_1","00O2TNJGODT0G5Z4TTKYMMI9X","GSON1112031201")</f>
        <v>#NAME?</v>
      </c>
      <c r="T470" s="4" t="e">
        <f ca="1">[1]!BexGetData("DP_1","00O2TNJGODT0G5Z4TTKYMMOLH","GSON1112031201")</f>
        <v>#NAME?</v>
      </c>
      <c r="U470" s="4" t="e">
        <f ca="1">[1]!BexGetData("DP_1","00O2TNJGODT0G5Z4TTKYMMUX1","GSON1112031201")</f>
        <v>#NAME?</v>
      </c>
      <c r="V470" s="4" t="e">
        <f ca="1">[1]!BexGetData("DP_1","00O2TNJGODT0G5Z4TTKYMN18L","GSON1112031201")</f>
        <v>#NAME?</v>
      </c>
      <c r="W470" s="4" t="e">
        <f ca="1">[1]!BexGetData("DP_1","00O2TNJGODT0G5Z4TTKYMN7K5","GSON1112031201")</f>
        <v>#NAME?</v>
      </c>
    </row>
    <row r="471" spans="1:23" x14ac:dyDescent="0.2">
      <c r="A471" s="16" t="s">
        <v>2335</v>
      </c>
      <c r="B471" s="7" t="s">
        <v>2336</v>
      </c>
      <c r="C471" s="3" t="e">
        <f ca="1">[1]!BexGetData("DP_1","003N8EMH8GTFRCSWKMPXRR8GU","GSON1112031203")</f>
        <v>#NAME?</v>
      </c>
      <c r="D471" s="3" t="e">
        <f ca="1">[1]!BexGetData("DP_1","003N8EMH8GTFRCSWKMPXRRESE","GSON1112031203")</f>
        <v>#NAME?</v>
      </c>
      <c r="E471" s="8" t="e">
        <f ca="1">[1]!BexGetData("DP_1","003N8EMH8GTFRCSWKMPXRRL3Y","GSON1112031203")</f>
        <v>#NAME?</v>
      </c>
      <c r="F471" s="4" t="e">
        <f ca="1">[1]!BexGetData("DP_1","003N8EMH8GTFRCSWKMPXRRRFI","GSON1112031203")</f>
        <v>#NAME?</v>
      </c>
      <c r="G471" s="4" t="e">
        <f ca="1">[1]!BexGetData("DP_1","003N8EMH8GTFRCSWKMPXRRXR2","GSON1112031203")</f>
        <v>#NAME?</v>
      </c>
      <c r="H471" s="4" t="e">
        <f ca="1">[1]!BexGetData("DP_1","003N8EMH8GTFRCSWKMPXRS42M","GSON1112031203")</f>
        <v>#NAME?</v>
      </c>
      <c r="I471" s="4" t="e">
        <f ca="1">[1]!BexGetData("DP_1","003N8EMH8GTFRCSWKMPXRSAE6","GSON1112031203")</f>
        <v>#NAME?</v>
      </c>
      <c r="J471" s="4" t="e">
        <f ca="1">[1]!BexGetData("DP_1","003N8EMH8GTFRCSWKMPXRSGPQ","GSON1112031203")</f>
        <v>#NAME?</v>
      </c>
      <c r="K471" s="8" t="e">
        <f ca="1">[1]!BexGetData("DP_1","003N8EMH8GTFRIVNUPY288VJH","GSON1112031203")</f>
        <v>#NAME?</v>
      </c>
      <c r="L471" s="8" t="e">
        <f ca="1">[1]!BexGetData("DP_1","003N8EMH8GTFRIVNUPY2891V1","GSON1112031203")</f>
        <v>#NAME?</v>
      </c>
      <c r="M471" s="8" t="e">
        <f ca="1">[1]!BexGetData("DP_1","003N8EMH8GTFRIVOG7KG9IQXA","GSON1112031203")</f>
        <v>#NAME?</v>
      </c>
      <c r="N471" s="8" t="e">
        <f ca="1">[1]!BexGetData("DP_1","003N8EMH8GTFRIVOG7KG9IX8U","GSON1112031203")</f>
        <v>#NAME?</v>
      </c>
      <c r="O471" s="8" t="e">
        <f ca="1">[1]!BexGetData("DP_1","003N8EMH8GTFRIVOG7KG9J3KE","GSON1112031203")</f>
        <v>#NAME?</v>
      </c>
      <c r="P471" s="8" t="e">
        <f ca="1">[1]!BexGetData("DP_1","003N8EMH8GTFRIVOG7KG9J9VY","GSON1112031203")</f>
        <v>#NAME?</v>
      </c>
      <c r="Q471" s="4" t="e">
        <f ca="1">[1]!BexGetData("DP_1","00O2TNJGODT0G5Z4TTKYMM5MT","GSON1112031203")</f>
        <v>#NAME?</v>
      </c>
      <c r="R471" s="4" t="e">
        <f ca="1">[1]!BexGetData("DP_1","00O2TNJGODT0G5Z4TTKYMMBYD","GSON1112031203")</f>
        <v>#NAME?</v>
      </c>
      <c r="S471" s="4" t="e">
        <f ca="1">[1]!BexGetData("DP_1","00O2TNJGODT0G5Z4TTKYMMI9X","GSON1112031203")</f>
        <v>#NAME?</v>
      </c>
      <c r="T471" s="4" t="e">
        <f ca="1">[1]!BexGetData("DP_1","00O2TNJGODT0G5Z4TTKYMMOLH","GSON1112031203")</f>
        <v>#NAME?</v>
      </c>
      <c r="U471" s="4" t="e">
        <f ca="1">[1]!BexGetData("DP_1","00O2TNJGODT0G5Z4TTKYMMUX1","GSON1112031203")</f>
        <v>#NAME?</v>
      </c>
      <c r="V471" s="4" t="e">
        <f ca="1">[1]!BexGetData("DP_1","00O2TNJGODT0G5Z4TTKYMN18L","GSON1112031203")</f>
        <v>#NAME?</v>
      </c>
      <c r="W471" s="4" t="e">
        <f ca="1">[1]!BexGetData("DP_1","00O2TNJGODT0G5Z4TTKYMN7K5","GSON1112031203")</f>
        <v>#NAME?</v>
      </c>
    </row>
    <row r="472" spans="1:23" x14ac:dyDescent="0.2">
      <c r="A472" s="16" t="s">
        <v>2337</v>
      </c>
      <c r="B472" s="7" t="s">
        <v>2338</v>
      </c>
      <c r="C472" s="3" t="e">
        <f ca="1">[1]!BexGetData("DP_1","003N8EMH8GTFRCSWKMPXRR8GU","GSON1112031205")</f>
        <v>#NAME?</v>
      </c>
      <c r="D472" s="3" t="e">
        <f ca="1">[1]!BexGetData("DP_1","003N8EMH8GTFRCSWKMPXRRESE","GSON1112031205")</f>
        <v>#NAME?</v>
      </c>
      <c r="E472" s="8" t="e">
        <f ca="1">[1]!BexGetData("DP_1","003N8EMH8GTFRCSWKMPXRRL3Y","GSON1112031205")</f>
        <v>#NAME?</v>
      </c>
      <c r="F472" s="4" t="e">
        <f ca="1">[1]!BexGetData("DP_1","003N8EMH8GTFRCSWKMPXRRRFI","GSON1112031205")</f>
        <v>#NAME?</v>
      </c>
      <c r="G472" s="4" t="e">
        <f ca="1">[1]!BexGetData("DP_1","003N8EMH8GTFRCSWKMPXRRXR2","GSON1112031205")</f>
        <v>#NAME?</v>
      </c>
      <c r="H472" s="4" t="e">
        <f ca="1">[1]!BexGetData("DP_1","003N8EMH8GTFRCSWKMPXRS42M","GSON1112031205")</f>
        <v>#NAME?</v>
      </c>
      <c r="I472" s="4" t="e">
        <f ca="1">[1]!BexGetData("DP_1","003N8EMH8GTFRCSWKMPXRSAE6","GSON1112031205")</f>
        <v>#NAME?</v>
      </c>
      <c r="J472" s="4" t="e">
        <f ca="1">[1]!BexGetData("DP_1","003N8EMH8GTFRCSWKMPXRSGPQ","GSON1112031205")</f>
        <v>#NAME?</v>
      </c>
      <c r="K472" s="8" t="e">
        <f ca="1">[1]!BexGetData("DP_1","003N8EMH8GTFRIVNUPY288VJH","GSON1112031205")</f>
        <v>#NAME?</v>
      </c>
      <c r="L472" s="8" t="e">
        <f ca="1">[1]!BexGetData("DP_1","003N8EMH8GTFRIVNUPY2891V1","GSON1112031205")</f>
        <v>#NAME?</v>
      </c>
      <c r="M472" s="8" t="e">
        <f ca="1">[1]!BexGetData("DP_1","003N8EMH8GTFRIVOG7KG9IQXA","GSON1112031205")</f>
        <v>#NAME?</v>
      </c>
      <c r="N472" s="8" t="e">
        <f ca="1">[1]!BexGetData("DP_1","003N8EMH8GTFRIVOG7KG9IX8U","GSON1112031205")</f>
        <v>#NAME?</v>
      </c>
      <c r="O472" s="8" t="e">
        <f ca="1">[1]!BexGetData("DP_1","003N8EMH8GTFRIVOG7KG9J3KE","GSON1112031205")</f>
        <v>#NAME?</v>
      </c>
      <c r="P472" s="8" t="e">
        <f ca="1">[1]!BexGetData("DP_1","003N8EMH8GTFRIVOG7KG9J9VY","GSON1112031205")</f>
        <v>#NAME?</v>
      </c>
      <c r="Q472" s="4" t="e">
        <f ca="1">[1]!BexGetData("DP_1","00O2TNJGODT0G5Z4TTKYMM5MT","GSON1112031205")</f>
        <v>#NAME?</v>
      </c>
      <c r="R472" s="4" t="e">
        <f ca="1">[1]!BexGetData("DP_1","00O2TNJGODT0G5Z4TTKYMMBYD","GSON1112031205")</f>
        <v>#NAME?</v>
      </c>
      <c r="S472" s="4" t="e">
        <f ca="1">[1]!BexGetData("DP_1","00O2TNJGODT0G5Z4TTKYMMI9X","GSON1112031205")</f>
        <v>#NAME?</v>
      </c>
      <c r="T472" s="4" t="e">
        <f ca="1">[1]!BexGetData("DP_1","00O2TNJGODT0G5Z4TTKYMMOLH","GSON1112031205")</f>
        <v>#NAME?</v>
      </c>
      <c r="U472" s="4" t="e">
        <f ca="1">[1]!BexGetData("DP_1","00O2TNJGODT0G5Z4TTKYMMUX1","GSON1112031205")</f>
        <v>#NAME?</v>
      </c>
      <c r="V472" s="4" t="e">
        <f ca="1">[1]!BexGetData("DP_1","00O2TNJGODT0G5Z4TTKYMN18L","GSON1112031205")</f>
        <v>#NAME?</v>
      </c>
      <c r="W472" s="4" t="e">
        <f ca="1">[1]!BexGetData("DP_1","00O2TNJGODT0G5Z4TTKYMN7K5","GSON1112031205")</f>
        <v>#NAME?</v>
      </c>
    </row>
    <row r="473" spans="1:23" x14ac:dyDescent="0.2">
      <c r="A473" s="16" t="s">
        <v>2339</v>
      </c>
      <c r="B473" s="7" t="s">
        <v>2340</v>
      </c>
      <c r="C473" s="3" t="e">
        <f ca="1">[1]!BexGetData("DP_1","003N8EMH8GTFRCSWKMPXRR8GU","GSON1112031210")</f>
        <v>#NAME?</v>
      </c>
      <c r="D473" s="3" t="e">
        <f ca="1">[1]!BexGetData("DP_1","003N8EMH8GTFRCSWKMPXRRESE","GSON1112031210")</f>
        <v>#NAME?</v>
      </c>
      <c r="E473" s="3" t="e">
        <f ca="1">[1]!BexGetData("DP_1","003N8EMH8GTFRCSWKMPXRRL3Y","GSON1112031210")</f>
        <v>#NAME?</v>
      </c>
      <c r="F473" s="4" t="e">
        <f ca="1">[1]!BexGetData("DP_1","003N8EMH8GTFRCSWKMPXRRRFI","GSON1112031210")</f>
        <v>#NAME?</v>
      </c>
      <c r="G473" s="4" t="e">
        <f ca="1">[1]!BexGetData("DP_1","003N8EMH8GTFRCSWKMPXRRXR2","GSON1112031210")</f>
        <v>#NAME?</v>
      </c>
      <c r="H473" s="4" t="e">
        <f ca="1">[1]!BexGetData("DP_1","003N8EMH8GTFRCSWKMPXRS42M","GSON1112031210")</f>
        <v>#NAME?</v>
      </c>
      <c r="I473" s="4" t="e">
        <f ca="1">[1]!BexGetData("DP_1","003N8EMH8GTFRCSWKMPXRSAE6","GSON1112031210")</f>
        <v>#NAME?</v>
      </c>
      <c r="J473" s="4" t="e">
        <f ca="1">[1]!BexGetData("DP_1","003N8EMH8GTFRCSWKMPXRSGPQ","GSON1112031210")</f>
        <v>#NAME?</v>
      </c>
      <c r="K473" s="3" t="e">
        <f ca="1">[1]!BexGetData("DP_1","003N8EMH8GTFRIVNUPY288VJH","GSON1112031210")</f>
        <v>#NAME?</v>
      </c>
      <c r="L473" s="3" t="e">
        <f ca="1">[1]!BexGetData("DP_1","003N8EMH8GTFRIVNUPY2891V1","GSON1112031210")</f>
        <v>#NAME?</v>
      </c>
      <c r="M473" s="8" t="e">
        <f ca="1">[1]!BexGetData("DP_1","003N8EMH8GTFRIVOG7KG9IQXA","GSON1112031210")</f>
        <v>#NAME?</v>
      </c>
      <c r="N473" s="3" t="e">
        <f ca="1">[1]!BexGetData("DP_1","003N8EMH8GTFRIVOG7KG9IX8U","GSON1112031210")</f>
        <v>#NAME?</v>
      </c>
      <c r="O473" s="8" t="e">
        <f ca="1">[1]!BexGetData("DP_1","003N8EMH8GTFRIVOG7KG9J3KE","GSON1112031210")</f>
        <v>#NAME?</v>
      </c>
      <c r="P473" s="3" t="e">
        <f ca="1">[1]!BexGetData("DP_1","003N8EMH8GTFRIVOG7KG9J9VY","GSON1112031210")</f>
        <v>#NAME?</v>
      </c>
      <c r="Q473" s="4" t="e">
        <f ca="1">[1]!BexGetData("DP_1","00O2TNJGODT0G5Z4TTKYMM5MT","GSON1112031210")</f>
        <v>#NAME?</v>
      </c>
      <c r="R473" s="4" t="e">
        <f ca="1">[1]!BexGetData("DP_1","00O2TNJGODT0G5Z4TTKYMMBYD","GSON1112031210")</f>
        <v>#NAME?</v>
      </c>
      <c r="S473" s="4" t="e">
        <f ca="1">[1]!BexGetData("DP_1","00O2TNJGODT0G5Z4TTKYMMI9X","GSON1112031210")</f>
        <v>#NAME?</v>
      </c>
      <c r="T473" s="4" t="e">
        <f ca="1">[1]!BexGetData("DP_1","00O2TNJGODT0G5Z4TTKYMMOLH","GSON1112031210")</f>
        <v>#NAME?</v>
      </c>
      <c r="U473" s="4" t="e">
        <f ca="1">[1]!BexGetData("DP_1","00O2TNJGODT0G5Z4TTKYMMUX1","GSON1112031210")</f>
        <v>#NAME?</v>
      </c>
      <c r="V473" s="4" t="e">
        <f ca="1">[1]!BexGetData("DP_1","00O2TNJGODT0G5Z4TTKYMN18L","GSON1112031210")</f>
        <v>#NAME?</v>
      </c>
      <c r="W473" s="4" t="e">
        <f ca="1">[1]!BexGetData("DP_1","00O2TNJGODT0G5Z4TTKYMN7K5","GSON1112031210")</f>
        <v>#NAME?</v>
      </c>
    </row>
    <row r="474" spans="1:23" x14ac:dyDescent="0.2">
      <c r="A474" s="16" t="s">
        <v>2341</v>
      </c>
      <c r="B474" s="7" t="s">
        <v>2342</v>
      </c>
      <c r="C474" s="3" t="e">
        <f ca="1">[1]!BexGetData("DP_1","003N8EMH8GTFRCSWKMPXRR8GU","GSON1112031211")</f>
        <v>#NAME?</v>
      </c>
      <c r="D474" s="3" t="e">
        <f ca="1">[1]!BexGetData("DP_1","003N8EMH8GTFRCSWKMPXRRESE","GSON1112031211")</f>
        <v>#NAME?</v>
      </c>
      <c r="E474" s="8" t="e">
        <f ca="1">[1]!BexGetData("DP_1","003N8EMH8GTFRCSWKMPXRRL3Y","GSON1112031211")</f>
        <v>#NAME?</v>
      </c>
      <c r="F474" s="4" t="e">
        <f ca="1">[1]!BexGetData("DP_1","003N8EMH8GTFRCSWKMPXRRRFI","GSON1112031211")</f>
        <v>#NAME?</v>
      </c>
      <c r="G474" s="4" t="e">
        <f ca="1">[1]!BexGetData("DP_1","003N8EMH8GTFRCSWKMPXRRXR2","GSON1112031211")</f>
        <v>#NAME?</v>
      </c>
      <c r="H474" s="4" t="e">
        <f ca="1">[1]!BexGetData("DP_1","003N8EMH8GTFRCSWKMPXRS42M","GSON1112031211")</f>
        <v>#NAME?</v>
      </c>
      <c r="I474" s="4" t="e">
        <f ca="1">[1]!BexGetData("DP_1","003N8EMH8GTFRCSWKMPXRSAE6","GSON1112031211")</f>
        <v>#NAME?</v>
      </c>
      <c r="J474" s="4" t="e">
        <f ca="1">[1]!BexGetData("DP_1","003N8EMH8GTFRCSWKMPXRSGPQ","GSON1112031211")</f>
        <v>#NAME?</v>
      </c>
      <c r="K474" s="8" t="e">
        <f ca="1">[1]!BexGetData("DP_1","003N8EMH8GTFRIVNUPY288VJH","GSON1112031211")</f>
        <v>#NAME?</v>
      </c>
      <c r="L474" s="8" t="e">
        <f ca="1">[1]!BexGetData("DP_1","003N8EMH8GTFRIVNUPY2891V1","GSON1112031211")</f>
        <v>#NAME?</v>
      </c>
      <c r="M474" s="8" t="e">
        <f ca="1">[1]!BexGetData("DP_1","003N8EMH8GTFRIVOG7KG9IQXA","GSON1112031211")</f>
        <v>#NAME?</v>
      </c>
      <c r="N474" s="8" t="e">
        <f ca="1">[1]!BexGetData("DP_1","003N8EMH8GTFRIVOG7KG9IX8U","GSON1112031211")</f>
        <v>#NAME?</v>
      </c>
      <c r="O474" s="8" t="e">
        <f ca="1">[1]!BexGetData("DP_1","003N8EMH8GTFRIVOG7KG9J3KE","GSON1112031211")</f>
        <v>#NAME?</v>
      </c>
      <c r="P474" s="8" t="e">
        <f ca="1">[1]!BexGetData("DP_1","003N8EMH8GTFRIVOG7KG9J9VY","GSON1112031211")</f>
        <v>#NAME?</v>
      </c>
      <c r="Q474" s="4" t="e">
        <f ca="1">[1]!BexGetData("DP_1","00O2TNJGODT0G5Z4TTKYMM5MT","GSON1112031211")</f>
        <v>#NAME?</v>
      </c>
      <c r="R474" s="4" t="e">
        <f ca="1">[1]!BexGetData("DP_1","00O2TNJGODT0G5Z4TTKYMMBYD","GSON1112031211")</f>
        <v>#NAME?</v>
      </c>
      <c r="S474" s="4" t="e">
        <f ca="1">[1]!BexGetData("DP_1","00O2TNJGODT0G5Z4TTKYMMI9X","GSON1112031211")</f>
        <v>#NAME?</v>
      </c>
      <c r="T474" s="4" t="e">
        <f ca="1">[1]!BexGetData("DP_1","00O2TNJGODT0G5Z4TTKYMMOLH","GSON1112031211")</f>
        <v>#NAME?</v>
      </c>
      <c r="U474" s="4" t="e">
        <f ca="1">[1]!BexGetData("DP_1","00O2TNJGODT0G5Z4TTKYMMUX1","GSON1112031211")</f>
        <v>#NAME?</v>
      </c>
      <c r="V474" s="4" t="e">
        <f ca="1">[1]!BexGetData("DP_1","00O2TNJGODT0G5Z4TTKYMN18L","GSON1112031211")</f>
        <v>#NAME?</v>
      </c>
      <c r="W474" s="4" t="e">
        <f ca="1">[1]!BexGetData("DP_1","00O2TNJGODT0G5Z4TTKYMN7K5","GSON1112031211")</f>
        <v>#NAME?</v>
      </c>
    </row>
    <row r="475" spans="1:23" x14ac:dyDescent="0.2">
      <c r="A475" s="16" t="s">
        <v>2343</v>
      </c>
      <c r="B475" s="7" t="s">
        <v>2344</v>
      </c>
      <c r="C475" s="3" t="e">
        <f ca="1">[1]!BexGetData("DP_1","003N8EMH8GTFRCSWKMPXRR8GU","GSON1112031213")</f>
        <v>#NAME?</v>
      </c>
      <c r="D475" s="3" t="e">
        <f ca="1">[1]!BexGetData("DP_1","003N8EMH8GTFRCSWKMPXRRESE","GSON1112031213")</f>
        <v>#NAME?</v>
      </c>
      <c r="E475" s="8" t="e">
        <f ca="1">[1]!BexGetData("DP_1","003N8EMH8GTFRCSWKMPXRRL3Y","GSON1112031213")</f>
        <v>#NAME?</v>
      </c>
      <c r="F475" s="4" t="e">
        <f ca="1">[1]!BexGetData("DP_1","003N8EMH8GTFRCSWKMPXRRRFI","GSON1112031213")</f>
        <v>#NAME?</v>
      </c>
      <c r="G475" s="4" t="e">
        <f ca="1">[1]!BexGetData("DP_1","003N8EMH8GTFRCSWKMPXRRXR2","GSON1112031213")</f>
        <v>#NAME?</v>
      </c>
      <c r="H475" s="4" t="e">
        <f ca="1">[1]!BexGetData("DP_1","003N8EMH8GTFRCSWKMPXRS42M","GSON1112031213")</f>
        <v>#NAME?</v>
      </c>
      <c r="I475" s="4" t="e">
        <f ca="1">[1]!BexGetData("DP_1","003N8EMH8GTFRCSWKMPXRSAE6","GSON1112031213")</f>
        <v>#NAME?</v>
      </c>
      <c r="J475" s="4" t="e">
        <f ca="1">[1]!BexGetData("DP_1","003N8EMH8GTFRCSWKMPXRSGPQ","GSON1112031213")</f>
        <v>#NAME?</v>
      </c>
      <c r="K475" s="8" t="e">
        <f ca="1">[1]!BexGetData("DP_1","003N8EMH8GTFRIVNUPY288VJH","GSON1112031213")</f>
        <v>#NAME?</v>
      </c>
      <c r="L475" s="8" t="e">
        <f ca="1">[1]!BexGetData("DP_1","003N8EMH8GTFRIVNUPY2891V1","GSON1112031213")</f>
        <v>#NAME?</v>
      </c>
      <c r="M475" s="8" t="e">
        <f ca="1">[1]!BexGetData("DP_1","003N8EMH8GTFRIVOG7KG9IQXA","GSON1112031213")</f>
        <v>#NAME?</v>
      </c>
      <c r="N475" s="8" t="e">
        <f ca="1">[1]!BexGetData("DP_1","003N8EMH8GTFRIVOG7KG9IX8U","GSON1112031213")</f>
        <v>#NAME?</v>
      </c>
      <c r="O475" s="8" t="e">
        <f ca="1">[1]!BexGetData("DP_1","003N8EMH8GTFRIVOG7KG9J3KE","GSON1112031213")</f>
        <v>#NAME?</v>
      </c>
      <c r="P475" s="8" t="e">
        <f ca="1">[1]!BexGetData("DP_1","003N8EMH8GTFRIVOG7KG9J9VY","GSON1112031213")</f>
        <v>#NAME?</v>
      </c>
      <c r="Q475" s="4" t="e">
        <f ca="1">[1]!BexGetData("DP_1","00O2TNJGODT0G5Z4TTKYMM5MT","GSON1112031213")</f>
        <v>#NAME?</v>
      </c>
      <c r="R475" s="4" t="e">
        <f ca="1">[1]!BexGetData("DP_1","00O2TNJGODT0G5Z4TTKYMMBYD","GSON1112031213")</f>
        <v>#NAME?</v>
      </c>
      <c r="S475" s="4" t="e">
        <f ca="1">[1]!BexGetData("DP_1","00O2TNJGODT0G5Z4TTKYMMI9X","GSON1112031213")</f>
        <v>#NAME?</v>
      </c>
      <c r="T475" s="4" t="e">
        <f ca="1">[1]!BexGetData("DP_1","00O2TNJGODT0G5Z4TTKYMMOLH","GSON1112031213")</f>
        <v>#NAME?</v>
      </c>
      <c r="U475" s="4" t="e">
        <f ca="1">[1]!BexGetData("DP_1","00O2TNJGODT0G5Z4TTKYMMUX1","GSON1112031213")</f>
        <v>#NAME?</v>
      </c>
      <c r="V475" s="4" t="e">
        <f ca="1">[1]!BexGetData("DP_1","00O2TNJGODT0G5Z4TTKYMN18L","GSON1112031213")</f>
        <v>#NAME?</v>
      </c>
      <c r="W475" s="4" t="e">
        <f ca="1">[1]!BexGetData("DP_1","00O2TNJGODT0G5Z4TTKYMN7K5","GSON1112031213")</f>
        <v>#NAME?</v>
      </c>
    </row>
    <row r="476" spans="1:23" x14ac:dyDescent="0.2">
      <c r="A476" s="16" t="s">
        <v>2345</v>
      </c>
      <c r="B476" s="7" t="s">
        <v>2346</v>
      </c>
      <c r="C476" s="3" t="e">
        <f ca="1">[1]!BexGetData("DP_1","003N8EMH8GTFRCSWKMPXRR8GU","GSON1112031215")</f>
        <v>#NAME?</v>
      </c>
      <c r="D476" s="3" t="e">
        <f ca="1">[1]!BexGetData("DP_1","003N8EMH8GTFRCSWKMPXRRESE","GSON1112031215")</f>
        <v>#NAME?</v>
      </c>
      <c r="E476" s="8" t="e">
        <f ca="1">[1]!BexGetData("DP_1","003N8EMH8GTFRCSWKMPXRRL3Y","GSON1112031215")</f>
        <v>#NAME?</v>
      </c>
      <c r="F476" s="4" t="e">
        <f ca="1">[1]!BexGetData("DP_1","003N8EMH8GTFRCSWKMPXRRRFI","GSON1112031215")</f>
        <v>#NAME?</v>
      </c>
      <c r="G476" s="4" t="e">
        <f ca="1">[1]!BexGetData("DP_1","003N8EMH8GTFRCSWKMPXRRXR2","GSON1112031215")</f>
        <v>#NAME?</v>
      </c>
      <c r="H476" s="4" t="e">
        <f ca="1">[1]!BexGetData("DP_1","003N8EMH8GTFRCSWKMPXRS42M","GSON1112031215")</f>
        <v>#NAME?</v>
      </c>
      <c r="I476" s="4" t="e">
        <f ca="1">[1]!BexGetData("DP_1","003N8EMH8GTFRCSWKMPXRSAE6","GSON1112031215")</f>
        <v>#NAME?</v>
      </c>
      <c r="J476" s="4" t="e">
        <f ca="1">[1]!BexGetData("DP_1","003N8EMH8GTFRCSWKMPXRSGPQ","GSON1112031215")</f>
        <v>#NAME?</v>
      </c>
      <c r="K476" s="8" t="e">
        <f ca="1">[1]!BexGetData("DP_1","003N8EMH8GTFRIVNUPY288VJH","GSON1112031215")</f>
        <v>#NAME?</v>
      </c>
      <c r="L476" s="8" t="e">
        <f ca="1">[1]!BexGetData("DP_1","003N8EMH8GTFRIVNUPY2891V1","GSON1112031215")</f>
        <v>#NAME?</v>
      </c>
      <c r="M476" s="8" t="e">
        <f ca="1">[1]!BexGetData("DP_1","003N8EMH8GTFRIVOG7KG9IQXA","GSON1112031215")</f>
        <v>#NAME?</v>
      </c>
      <c r="N476" s="8" t="e">
        <f ca="1">[1]!BexGetData("DP_1","003N8EMH8GTFRIVOG7KG9IX8U","GSON1112031215")</f>
        <v>#NAME?</v>
      </c>
      <c r="O476" s="8" t="e">
        <f ca="1">[1]!BexGetData("DP_1","003N8EMH8GTFRIVOG7KG9J3KE","GSON1112031215")</f>
        <v>#NAME?</v>
      </c>
      <c r="P476" s="8" t="e">
        <f ca="1">[1]!BexGetData("DP_1","003N8EMH8GTFRIVOG7KG9J9VY","GSON1112031215")</f>
        <v>#NAME?</v>
      </c>
      <c r="Q476" s="4" t="e">
        <f ca="1">[1]!BexGetData("DP_1","00O2TNJGODT0G5Z4TTKYMM5MT","GSON1112031215")</f>
        <v>#NAME?</v>
      </c>
      <c r="R476" s="4" t="e">
        <f ca="1">[1]!BexGetData("DP_1","00O2TNJGODT0G5Z4TTKYMMBYD","GSON1112031215")</f>
        <v>#NAME?</v>
      </c>
      <c r="S476" s="4" t="e">
        <f ca="1">[1]!BexGetData("DP_1","00O2TNJGODT0G5Z4TTKYMMI9X","GSON1112031215")</f>
        <v>#NAME?</v>
      </c>
      <c r="T476" s="4" t="e">
        <f ca="1">[1]!BexGetData("DP_1","00O2TNJGODT0G5Z4TTKYMMOLH","GSON1112031215")</f>
        <v>#NAME?</v>
      </c>
      <c r="U476" s="4" t="e">
        <f ca="1">[1]!BexGetData("DP_1","00O2TNJGODT0G5Z4TTKYMMUX1","GSON1112031215")</f>
        <v>#NAME?</v>
      </c>
      <c r="V476" s="4" t="e">
        <f ca="1">[1]!BexGetData("DP_1","00O2TNJGODT0G5Z4TTKYMN18L","GSON1112031215")</f>
        <v>#NAME?</v>
      </c>
      <c r="W476" s="4" t="e">
        <f ca="1">[1]!BexGetData("DP_1","00O2TNJGODT0G5Z4TTKYMN7K5","GSON1112031215")</f>
        <v>#NAME?</v>
      </c>
    </row>
    <row r="477" spans="1:23" x14ac:dyDescent="0.2">
      <c r="A477" s="16" t="s">
        <v>2347</v>
      </c>
      <c r="B477" s="7" t="s">
        <v>2348</v>
      </c>
      <c r="C477" s="3" t="e">
        <f ca="1">[1]!BexGetData("DP_1","003N8EMH8GTFRCSWKMPXRR8GU","GSON1112031220")</f>
        <v>#NAME?</v>
      </c>
      <c r="D477" s="3" t="e">
        <f ca="1">[1]!BexGetData("DP_1","003N8EMH8GTFRCSWKMPXRRESE","GSON1112031220")</f>
        <v>#NAME?</v>
      </c>
      <c r="E477" s="3" t="e">
        <f ca="1">[1]!BexGetData("DP_1","003N8EMH8GTFRCSWKMPXRRL3Y","GSON1112031220")</f>
        <v>#NAME?</v>
      </c>
      <c r="F477" s="4" t="e">
        <f ca="1">[1]!BexGetData("DP_1","003N8EMH8GTFRCSWKMPXRRRFI","GSON1112031220")</f>
        <v>#NAME?</v>
      </c>
      <c r="G477" s="4" t="e">
        <f ca="1">[1]!BexGetData("DP_1","003N8EMH8GTFRCSWKMPXRRXR2","GSON1112031220")</f>
        <v>#NAME?</v>
      </c>
      <c r="H477" s="4" t="e">
        <f ca="1">[1]!BexGetData("DP_1","003N8EMH8GTFRCSWKMPXRS42M","GSON1112031220")</f>
        <v>#NAME?</v>
      </c>
      <c r="I477" s="4" t="e">
        <f ca="1">[1]!BexGetData("DP_1","003N8EMH8GTFRCSWKMPXRSAE6","GSON1112031220")</f>
        <v>#NAME?</v>
      </c>
      <c r="J477" s="4" t="e">
        <f ca="1">[1]!BexGetData("DP_1","003N8EMH8GTFRCSWKMPXRSGPQ","GSON1112031220")</f>
        <v>#NAME?</v>
      </c>
      <c r="K477" s="3" t="e">
        <f ca="1">[1]!BexGetData("DP_1","003N8EMH8GTFRIVNUPY288VJH","GSON1112031220")</f>
        <v>#NAME?</v>
      </c>
      <c r="L477" s="3" t="e">
        <f ca="1">[1]!BexGetData("DP_1","003N8EMH8GTFRIVNUPY2891V1","GSON1112031220")</f>
        <v>#NAME?</v>
      </c>
      <c r="M477" s="8" t="e">
        <f ca="1">[1]!BexGetData("DP_1","003N8EMH8GTFRIVOG7KG9IQXA","GSON1112031220")</f>
        <v>#NAME?</v>
      </c>
      <c r="N477" s="3" t="e">
        <f ca="1">[1]!BexGetData("DP_1","003N8EMH8GTFRIVOG7KG9IX8U","GSON1112031220")</f>
        <v>#NAME?</v>
      </c>
      <c r="O477" s="8" t="e">
        <f ca="1">[1]!BexGetData("DP_1","003N8EMH8GTFRIVOG7KG9J3KE","GSON1112031220")</f>
        <v>#NAME?</v>
      </c>
      <c r="P477" s="3" t="e">
        <f ca="1">[1]!BexGetData("DP_1","003N8EMH8GTFRIVOG7KG9J9VY","GSON1112031220")</f>
        <v>#NAME?</v>
      </c>
      <c r="Q477" s="4" t="e">
        <f ca="1">[1]!BexGetData("DP_1","00O2TNJGODT0G5Z4TTKYMM5MT","GSON1112031220")</f>
        <v>#NAME?</v>
      </c>
      <c r="R477" s="4" t="e">
        <f ca="1">[1]!BexGetData("DP_1","00O2TNJGODT0G5Z4TTKYMMBYD","GSON1112031220")</f>
        <v>#NAME?</v>
      </c>
      <c r="S477" s="4" t="e">
        <f ca="1">[1]!BexGetData("DP_1","00O2TNJGODT0G5Z4TTKYMMI9X","GSON1112031220")</f>
        <v>#NAME?</v>
      </c>
      <c r="T477" s="4" t="e">
        <f ca="1">[1]!BexGetData("DP_1","00O2TNJGODT0G5Z4TTKYMMOLH","GSON1112031220")</f>
        <v>#NAME?</v>
      </c>
      <c r="U477" s="4" t="e">
        <f ca="1">[1]!BexGetData("DP_1","00O2TNJGODT0G5Z4TTKYMMUX1","GSON1112031220")</f>
        <v>#NAME?</v>
      </c>
      <c r="V477" s="4" t="e">
        <f ca="1">[1]!BexGetData("DP_1","00O2TNJGODT0G5Z4TTKYMN18L","GSON1112031220")</f>
        <v>#NAME?</v>
      </c>
      <c r="W477" s="4" t="e">
        <f ca="1">[1]!BexGetData("DP_1","00O2TNJGODT0G5Z4TTKYMN7K5","GSON1112031220")</f>
        <v>#NAME?</v>
      </c>
    </row>
    <row r="478" spans="1:23" x14ac:dyDescent="0.2">
      <c r="A478" s="16" t="s">
        <v>2349</v>
      </c>
      <c r="B478" s="7" t="s">
        <v>2350</v>
      </c>
      <c r="C478" s="3" t="e">
        <f ca="1">[1]!BexGetData("DP_1","003N8EMH8GTFRCSWKMPXRR8GU","GSON1112031221")</f>
        <v>#NAME?</v>
      </c>
      <c r="D478" s="3" t="e">
        <f ca="1">[1]!BexGetData("DP_1","003N8EMH8GTFRCSWKMPXRRESE","GSON1112031221")</f>
        <v>#NAME?</v>
      </c>
      <c r="E478" s="8" t="e">
        <f ca="1">[1]!BexGetData("DP_1","003N8EMH8GTFRCSWKMPXRRL3Y","GSON1112031221")</f>
        <v>#NAME?</v>
      </c>
      <c r="F478" s="4" t="e">
        <f ca="1">[1]!BexGetData("DP_1","003N8EMH8GTFRCSWKMPXRRRFI","GSON1112031221")</f>
        <v>#NAME?</v>
      </c>
      <c r="G478" s="4" t="e">
        <f ca="1">[1]!BexGetData("DP_1","003N8EMH8GTFRCSWKMPXRRXR2","GSON1112031221")</f>
        <v>#NAME?</v>
      </c>
      <c r="H478" s="4" t="e">
        <f ca="1">[1]!BexGetData("DP_1","003N8EMH8GTFRCSWKMPXRS42M","GSON1112031221")</f>
        <v>#NAME?</v>
      </c>
      <c r="I478" s="4" t="e">
        <f ca="1">[1]!BexGetData("DP_1","003N8EMH8GTFRCSWKMPXRSAE6","GSON1112031221")</f>
        <v>#NAME?</v>
      </c>
      <c r="J478" s="4" t="e">
        <f ca="1">[1]!BexGetData("DP_1","003N8EMH8GTFRCSWKMPXRSGPQ","GSON1112031221")</f>
        <v>#NAME?</v>
      </c>
      <c r="K478" s="8" t="e">
        <f ca="1">[1]!BexGetData("DP_1","003N8EMH8GTFRIVNUPY288VJH","GSON1112031221")</f>
        <v>#NAME?</v>
      </c>
      <c r="L478" s="8" t="e">
        <f ca="1">[1]!BexGetData("DP_1","003N8EMH8GTFRIVNUPY2891V1","GSON1112031221")</f>
        <v>#NAME?</v>
      </c>
      <c r="M478" s="8" t="e">
        <f ca="1">[1]!BexGetData("DP_1","003N8EMH8GTFRIVOG7KG9IQXA","GSON1112031221")</f>
        <v>#NAME?</v>
      </c>
      <c r="N478" s="8" t="e">
        <f ca="1">[1]!BexGetData("DP_1","003N8EMH8GTFRIVOG7KG9IX8U","GSON1112031221")</f>
        <v>#NAME?</v>
      </c>
      <c r="O478" s="8" t="e">
        <f ca="1">[1]!BexGetData("DP_1","003N8EMH8GTFRIVOG7KG9J3KE","GSON1112031221")</f>
        <v>#NAME?</v>
      </c>
      <c r="P478" s="8" t="e">
        <f ca="1">[1]!BexGetData("DP_1","003N8EMH8GTFRIVOG7KG9J9VY","GSON1112031221")</f>
        <v>#NAME?</v>
      </c>
      <c r="Q478" s="4" t="e">
        <f ca="1">[1]!BexGetData("DP_1","00O2TNJGODT0G5Z4TTKYMM5MT","GSON1112031221")</f>
        <v>#NAME?</v>
      </c>
      <c r="R478" s="4" t="e">
        <f ca="1">[1]!BexGetData("DP_1","00O2TNJGODT0G5Z4TTKYMMBYD","GSON1112031221")</f>
        <v>#NAME?</v>
      </c>
      <c r="S478" s="4" t="e">
        <f ca="1">[1]!BexGetData("DP_1","00O2TNJGODT0G5Z4TTKYMMI9X","GSON1112031221")</f>
        <v>#NAME?</v>
      </c>
      <c r="T478" s="4" t="e">
        <f ca="1">[1]!BexGetData("DP_1","00O2TNJGODT0G5Z4TTKYMMOLH","GSON1112031221")</f>
        <v>#NAME?</v>
      </c>
      <c r="U478" s="4" t="e">
        <f ca="1">[1]!BexGetData("DP_1","00O2TNJGODT0G5Z4TTKYMMUX1","GSON1112031221")</f>
        <v>#NAME?</v>
      </c>
      <c r="V478" s="4" t="e">
        <f ca="1">[1]!BexGetData("DP_1","00O2TNJGODT0G5Z4TTKYMN18L","GSON1112031221")</f>
        <v>#NAME?</v>
      </c>
      <c r="W478" s="4" t="e">
        <f ca="1">[1]!BexGetData("DP_1","00O2TNJGODT0G5Z4TTKYMN7K5","GSON1112031221")</f>
        <v>#NAME?</v>
      </c>
    </row>
    <row r="479" spans="1:23" x14ac:dyDescent="0.2">
      <c r="A479" s="16" t="s">
        <v>2351</v>
      </c>
      <c r="B479" s="7" t="s">
        <v>2352</v>
      </c>
      <c r="C479" s="3" t="e">
        <f ca="1">[1]!BexGetData("DP_1","003N8EMH8GTFRCSWKMPXRR8GU","GSON1112031223")</f>
        <v>#NAME?</v>
      </c>
      <c r="D479" s="3" t="e">
        <f ca="1">[1]!BexGetData("DP_1","003N8EMH8GTFRCSWKMPXRRESE","GSON1112031223")</f>
        <v>#NAME?</v>
      </c>
      <c r="E479" s="8" t="e">
        <f ca="1">[1]!BexGetData("DP_1","003N8EMH8GTFRCSWKMPXRRL3Y","GSON1112031223")</f>
        <v>#NAME?</v>
      </c>
      <c r="F479" s="4" t="e">
        <f ca="1">[1]!BexGetData("DP_1","003N8EMH8GTFRCSWKMPXRRRFI","GSON1112031223")</f>
        <v>#NAME?</v>
      </c>
      <c r="G479" s="4" t="e">
        <f ca="1">[1]!BexGetData("DP_1","003N8EMH8GTFRCSWKMPXRRXR2","GSON1112031223")</f>
        <v>#NAME?</v>
      </c>
      <c r="H479" s="4" t="e">
        <f ca="1">[1]!BexGetData("DP_1","003N8EMH8GTFRCSWKMPXRS42M","GSON1112031223")</f>
        <v>#NAME?</v>
      </c>
      <c r="I479" s="4" t="e">
        <f ca="1">[1]!BexGetData("DP_1","003N8EMH8GTFRCSWKMPXRSAE6","GSON1112031223")</f>
        <v>#NAME?</v>
      </c>
      <c r="J479" s="4" t="e">
        <f ca="1">[1]!BexGetData("DP_1","003N8EMH8GTFRCSWKMPXRSGPQ","GSON1112031223")</f>
        <v>#NAME?</v>
      </c>
      <c r="K479" s="8" t="e">
        <f ca="1">[1]!BexGetData("DP_1","003N8EMH8GTFRIVNUPY288VJH","GSON1112031223")</f>
        <v>#NAME?</v>
      </c>
      <c r="L479" s="8" t="e">
        <f ca="1">[1]!BexGetData("DP_1","003N8EMH8GTFRIVNUPY2891V1","GSON1112031223")</f>
        <v>#NAME?</v>
      </c>
      <c r="M479" s="8" t="e">
        <f ca="1">[1]!BexGetData("DP_1","003N8EMH8GTFRIVOG7KG9IQXA","GSON1112031223")</f>
        <v>#NAME?</v>
      </c>
      <c r="N479" s="8" t="e">
        <f ca="1">[1]!BexGetData("DP_1","003N8EMH8GTFRIVOG7KG9IX8U","GSON1112031223")</f>
        <v>#NAME?</v>
      </c>
      <c r="O479" s="8" t="e">
        <f ca="1">[1]!BexGetData("DP_1","003N8EMH8GTFRIVOG7KG9J3KE","GSON1112031223")</f>
        <v>#NAME?</v>
      </c>
      <c r="P479" s="8" t="e">
        <f ca="1">[1]!BexGetData("DP_1","003N8EMH8GTFRIVOG7KG9J9VY","GSON1112031223")</f>
        <v>#NAME?</v>
      </c>
      <c r="Q479" s="4" t="e">
        <f ca="1">[1]!BexGetData("DP_1","00O2TNJGODT0G5Z4TTKYMM5MT","GSON1112031223")</f>
        <v>#NAME?</v>
      </c>
      <c r="R479" s="4" t="e">
        <f ca="1">[1]!BexGetData("DP_1","00O2TNJGODT0G5Z4TTKYMMBYD","GSON1112031223")</f>
        <v>#NAME?</v>
      </c>
      <c r="S479" s="4" t="e">
        <f ca="1">[1]!BexGetData("DP_1","00O2TNJGODT0G5Z4TTKYMMI9X","GSON1112031223")</f>
        <v>#NAME?</v>
      </c>
      <c r="T479" s="4" t="e">
        <f ca="1">[1]!BexGetData("DP_1","00O2TNJGODT0G5Z4TTKYMMOLH","GSON1112031223")</f>
        <v>#NAME?</v>
      </c>
      <c r="U479" s="4" t="e">
        <f ca="1">[1]!BexGetData("DP_1","00O2TNJGODT0G5Z4TTKYMMUX1","GSON1112031223")</f>
        <v>#NAME?</v>
      </c>
      <c r="V479" s="4" t="e">
        <f ca="1">[1]!BexGetData("DP_1","00O2TNJGODT0G5Z4TTKYMN18L","GSON1112031223")</f>
        <v>#NAME?</v>
      </c>
      <c r="W479" s="4" t="e">
        <f ca="1">[1]!BexGetData("DP_1","00O2TNJGODT0G5Z4TTKYMN7K5","GSON1112031223")</f>
        <v>#NAME?</v>
      </c>
    </row>
    <row r="480" spans="1:23" x14ac:dyDescent="0.2">
      <c r="A480" s="16" t="s">
        <v>2353</v>
      </c>
      <c r="B480" s="7" t="s">
        <v>2354</v>
      </c>
      <c r="C480" s="3" t="e">
        <f ca="1">[1]!BexGetData("DP_1","003N8EMH8GTFRCSWKMPXRR8GU","GSON1112031225")</f>
        <v>#NAME?</v>
      </c>
      <c r="D480" s="3" t="e">
        <f ca="1">[1]!BexGetData("DP_1","003N8EMH8GTFRCSWKMPXRRESE","GSON1112031225")</f>
        <v>#NAME?</v>
      </c>
      <c r="E480" s="8" t="e">
        <f ca="1">[1]!BexGetData("DP_1","003N8EMH8GTFRCSWKMPXRRL3Y","GSON1112031225")</f>
        <v>#NAME?</v>
      </c>
      <c r="F480" s="4" t="e">
        <f ca="1">[1]!BexGetData("DP_1","003N8EMH8GTFRCSWKMPXRRRFI","GSON1112031225")</f>
        <v>#NAME?</v>
      </c>
      <c r="G480" s="4" t="e">
        <f ca="1">[1]!BexGetData("DP_1","003N8EMH8GTFRCSWKMPXRRXR2","GSON1112031225")</f>
        <v>#NAME?</v>
      </c>
      <c r="H480" s="4" t="e">
        <f ca="1">[1]!BexGetData("DP_1","003N8EMH8GTFRCSWKMPXRS42M","GSON1112031225")</f>
        <v>#NAME?</v>
      </c>
      <c r="I480" s="4" t="e">
        <f ca="1">[1]!BexGetData("DP_1","003N8EMH8GTFRCSWKMPXRSAE6","GSON1112031225")</f>
        <v>#NAME?</v>
      </c>
      <c r="J480" s="4" t="e">
        <f ca="1">[1]!BexGetData("DP_1","003N8EMH8GTFRCSWKMPXRSGPQ","GSON1112031225")</f>
        <v>#NAME?</v>
      </c>
      <c r="K480" s="8" t="e">
        <f ca="1">[1]!BexGetData("DP_1","003N8EMH8GTFRIVNUPY288VJH","GSON1112031225")</f>
        <v>#NAME?</v>
      </c>
      <c r="L480" s="8" t="e">
        <f ca="1">[1]!BexGetData("DP_1","003N8EMH8GTFRIVNUPY2891V1","GSON1112031225")</f>
        <v>#NAME?</v>
      </c>
      <c r="M480" s="8" t="e">
        <f ca="1">[1]!BexGetData("DP_1","003N8EMH8GTFRIVOG7KG9IQXA","GSON1112031225")</f>
        <v>#NAME?</v>
      </c>
      <c r="N480" s="8" t="e">
        <f ca="1">[1]!BexGetData("DP_1","003N8EMH8GTFRIVOG7KG9IX8U","GSON1112031225")</f>
        <v>#NAME?</v>
      </c>
      <c r="O480" s="8" t="e">
        <f ca="1">[1]!BexGetData("DP_1","003N8EMH8GTFRIVOG7KG9J3KE","GSON1112031225")</f>
        <v>#NAME?</v>
      </c>
      <c r="P480" s="8" t="e">
        <f ca="1">[1]!BexGetData("DP_1","003N8EMH8GTFRIVOG7KG9J9VY","GSON1112031225")</f>
        <v>#NAME?</v>
      </c>
      <c r="Q480" s="4" t="e">
        <f ca="1">[1]!BexGetData("DP_1","00O2TNJGODT0G5Z4TTKYMM5MT","GSON1112031225")</f>
        <v>#NAME?</v>
      </c>
      <c r="R480" s="4" t="e">
        <f ca="1">[1]!BexGetData("DP_1","00O2TNJGODT0G5Z4TTKYMMBYD","GSON1112031225")</f>
        <v>#NAME?</v>
      </c>
      <c r="S480" s="4" t="e">
        <f ca="1">[1]!BexGetData("DP_1","00O2TNJGODT0G5Z4TTKYMMI9X","GSON1112031225")</f>
        <v>#NAME?</v>
      </c>
      <c r="T480" s="4" t="e">
        <f ca="1">[1]!BexGetData("DP_1","00O2TNJGODT0G5Z4TTKYMMOLH","GSON1112031225")</f>
        <v>#NAME?</v>
      </c>
      <c r="U480" s="4" t="e">
        <f ca="1">[1]!BexGetData("DP_1","00O2TNJGODT0G5Z4TTKYMMUX1","GSON1112031225")</f>
        <v>#NAME?</v>
      </c>
      <c r="V480" s="4" t="e">
        <f ca="1">[1]!BexGetData("DP_1","00O2TNJGODT0G5Z4TTKYMN18L","GSON1112031225")</f>
        <v>#NAME?</v>
      </c>
      <c r="W480" s="4" t="e">
        <f ca="1">[1]!BexGetData("DP_1","00O2TNJGODT0G5Z4TTKYMN7K5","GSON1112031225")</f>
        <v>#NAME?</v>
      </c>
    </row>
    <row r="481" spans="1:23" x14ac:dyDescent="0.2">
      <c r="A481" s="16" t="s">
        <v>2355</v>
      </c>
      <c r="B481" s="7" t="s">
        <v>2356</v>
      </c>
      <c r="C481" s="3" t="e">
        <f ca="1">[1]!BexGetData("DP_1","003N8EMH8GTFRCSWKMPXRR8GU","GSON1112031230")</f>
        <v>#NAME?</v>
      </c>
      <c r="D481" s="3" t="e">
        <f ca="1">[1]!BexGetData("DP_1","003N8EMH8GTFRCSWKMPXRRESE","GSON1112031230")</f>
        <v>#NAME?</v>
      </c>
      <c r="E481" s="3" t="e">
        <f ca="1">[1]!BexGetData("DP_1","003N8EMH8GTFRCSWKMPXRRL3Y","GSON1112031230")</f>
        <v>#NAME?</v>
      </c>
      <c r="F481" s="4" t="e">
        <f ca="1">[1]!BexGetData("DP_1","003N8EMH8GTFRCSWKMPXRRRFI","GSON1112031230")</f>
        <v>#NAME?</v>
      </c>
      <c r="G481" s="4" t="e">
        <f ca="1">[1]!BexGetData("DP_1","003N8EMH8GTFRCSWKMPXRRXR2","GSON1112031230")</f>
        <v>#NAME?</v>
      </c>
      <c r="H481" s="4" t="e">
        <f ca="1">[1]!BexGetData("DP_1","003N8EMH8GTFRCSWKMPXRS42M","GSON1112031230")</f>
        <v>#NAME?</v>
      </c>
      <c r="I481" s="4" t="e">
        <f ca="1">[1]!BexGetData("DP_1","003N8EMH8GTFRCSWKMPXRSAE6","GSON1112031230")</f>
        <v>#NAME?</v>
      </c>
      <c r="J481" s="4" t="e">
        <f ca="1">[1]!BexGetData("DP_1","003N8EMH8GTFRCSWKMPXRSGPQ","GSON1112031230")</f>
        <v>#NAME?</v>
      </c>
      <c r="K481" s="3" t="e">
        <f ca="1">[1]!BexGetData("DP_1","003N8EMH8GTFRIVNUPY288VJH","GSON1112031230")</f>
        <v>#NAME?</v>
      </c>
      <c r="L481" s="3" t="e">
        <f ca="1">[1]!BexGetData("DP_1","003N8EMH8GTFRIVNUPY2891V1","GSON1112031230")</f>
        <v>#NAME?</v>
      </c>
      <c r="M481" s="8" t="e">
        <f ca="1">[1]!BexGetData("DP_1","003N8EMH8GTFRIVOG7KG9IQXA","GSON1112031230")</f>
        <v>#NAME?</v>
      </c>
      <c r="N481" s="3" t="e">
        <f ca="1">[1]!BexGetData("DP_1","003N8EMH8GTFRIVOG7KG9IX8U","GSON1112031230")</f>
        <v>#NAME?</v>
      </c>
      <c r="O481" s="8" t="e">
        <f ca="1">[1]!BexGetData("DP_1","003N8EMH8GTFRIVOG7KG9J3KE","GSON1112031230")</f>
        <v>#NAME?</v>
      </c>
      <c r="P481" s="3" t="e">
        <f ca="1">[1]!BexGetData("DP_1","003N8EMH8GTFRIVOG7KG9J9VY","GSON1112031230")</f>
        <v>#NAME?</v>
      </c>
      <c r="Q481" s="4" t="e">
        <f ca="1">[1]!BexGetData("DP_1","00O2TNJGODT0G5Z4TTKYMM5MT","GSON1112031230")</f>
        <v>#NAME?</v>
      </c>
      <c r="R481" s="4" t="e">
        <f ca="1">[1]!BexGetData("DP_1","00O2TNJGODT0G5Z4TTKYMMBYD","GSON1112031230")</f>
        <v>#NAME?</v>
      </c>
      <c r="S481" s="4" t="e">
        <f ca="1">[1]!BexGetData("DP_1","00O2TNJGODT0G5Z4TTKYMMI9X","GSON1112031230")</f>
        <v>#NAME?</v>
      </c>
      <c r="T481" s="4" t="e">
        <f ca="1">[1]!BexGetData("DP_1","00O2TNJGODT0G5Z4TTKYMMOLH","GSON1112031230")</f>
        <v>#NAME?</v>
      </c>
      <c r="U481" s="4" t="e">
        <f ca="1">[1]!BexGetData("DP_1","00O2TNJGODT0G5Z4TTKYMMUX1","GSON1112031230")</f>
        <v>#NAME?</v>
      </c>
      <c r="V481" s="4" t="e">
        <f ca="1">[1]!BexGetData("DP_1","00O2TNJGODT0G5Z4TTKYMN18L","GSON1112031230")</f>
        <v>#NAME?</v>
      </c>
      <c r="W481" s="4" t="e">
        <f ca="1">[1]!BexGetData("DP_1","00O2TNJGODT0G5Z4TTKYMN7K5","GSON1112031230")</f>
        <v>#NAME?</v>
      </c>
    </row>
    <row r="482" spans="1:23" x14ac:dyDescent="0.2">
      <c r="A482" s="16" t="s">
        <v>2357</v>
      </c>
      <c r="B482" s="7" t="s">
        <v>2358</v>
      </c>
      <c r="C482" s="3" t="e">
        <f ca="1">[1]!BexGetData("DP_1","003N8EMH8GTFRCSWKMPXRR8GU","GSON1112031231")</f>
        <v>#NAME?</v>
      </c>
      <c r="D482" s="3" t="e">
        <f ca="1">[1]!BexGetData("DP_1","003N8EMH8GTFRCSWKMPXRRESE","GSON1112031231")</f>
        <v>#NAME?</v>
      </c>
      <c r="E482" s="8" t="e">
        <f ca="1">[1]!BexGetData("DP_1","003N8EMH8GTFRCSWKMPXRRL3Y","GSON1112031231")</f>
        <v>#NAME?</v>
      </c>
      <c r="F482" s="4" t="e">
        <f ca="1">[1]!BexGetData("DP_1","003N8EMH8GTFRCSWKMPXRRRFI","GSON1112031231")</f>
        <v>#NAME?</v>
      </c>
      <c r="G482" s="4" t="e">
        <f ca="1">[1]!BexGetData("DP_1","003N8EMH8GTFRCSWKMPXRRXR2","GSON1112031231")</f>
        <v>#NAME?</v>
      </c>
      <c r="H482" s="4" t="e">
        <f ca="1">[1]!BexGetData("DP_1","003N8EMH8GTFRCSWKMPXRS42M","GSON1112031231")</f>
        <v>#NAME?</v>
      </c>
      <c r="I482" s="4" t="e">
        <f ca="1">[1]!BexGetData("DP_1","003N8EMH8GTFRCSWKMPXRSAE6","GSON1112031231")</f>
        <v>#NAME?</v>
      </c>
      <c r="J482" s="4" t="e">
        <f ca="1">[1]!BexGetData("DP_1","003N8EMH8GTFRCSWKMPXRSGPQ","GSON1112031231")</f>
        <v>#NAME?</v>
      </c>
      <c r="K482" s="8" t="e">
        <f ca="1">[1]!BexGetData("DP_1","003N8EMH8GTFRIVNUPY288VJH","GSON1112031231")</f>
        <v>#NAME?</v>
      </c>
      <c r="L482" s="8" t="e">
        <f ca="1">[1]!BexGetData("DP_1","003N8EMH8GTFRIVNUPY2891V1","GSON1112031231")</f>
        <v>#NAME?</v>
      </c>
      <c r="M482" s="8" t="e">
        <f ca="1">[1]!BexGetData("DP_1","003N8EMH8GTFRIVOG7KG9IQXA","GSON1112031231")</f>
        <v>#NAME?</v>
      </c>
      <c r="N482" s="8" t="e">
        <f ca="1">[1]!BexGetData("DP_1","003N8EMH8GTFRIVOG7KG9IX8U","GSON1112031231")</f>
        <v>#NAME?</v>
      </c>
      <c r="O482" s="8" t="e">
        <f ca="1">[1]!BexGetData("DP_1","003N8EMH8GTFRIVOG7KG9J3KE","GSON1112031231")</f>
        <v>#NAME?</v>
      </c>
      <c r="P482" s="8" t="e">
        <f ca="1">[1]!BexGetData("DP_1","003N8EMH8GTFRIVOG7KG9J9VY","GSON1112031231")</f>
        <v>#NAME?</v>
      </c>
      <c r="Q482" s="4" t="e">
        <f ca="1">[1]!BexGetData("DP_1","00O2TNJGODT0G5Z4TTKYMM5MT","GSON1112031231")</f>
        <v>#NAME?</v>
      </c>
      <c r="R482" s="4" t="e">
        <f ca="1">[1]!BexGetData("DP_1","00O2TNJGODT0G5Z4TTKYMMBYD","GSON1112031231")</f>
        <v>#NAME?</v>
      </c>
      <c r="S482" s="4" t="e">
        <f ca="1">[1]!BexGetData("DP_1","00O2TNJGODT0G5Z4TTKYMMI9X","GSON1112031231")</f>
        <v>#NAME?</v>
      </c>
      <c r="T482" s="4" t="e">
        <f ca="1">[1]!BexGetData("DP_1","00O2TNJGODT0G5Z4TTKYMMOLH","GSON1112031231")</f>
        <v>#NAME?</v>
      </c>
      <c r="U482" s="4" t="e">
        <f ca="1">[1]!BexGetData("DP_1","00O2TNJGODT0G5Z4TTKYMMUX1","GSON1112031231")</f>
        <v>#NAME?</v>
      </c>
      <c r="V482" s="4" t="e">
        <f ca="1">[1]!BexGetData("DP_1","00O2TNJGODT0G5Z4TTKYMN18L","GSON1112031231")</f>
        <v>#NAME?</v>
      </c>
      <c r="W482" s="4" t="e">
        <f ca="1">[1]!BexGetData("DP_1","00O2TNJGODT0G5Z4TTKYMN7K5","GSON1112031231")</f>
        <v>#NAME?</v>
      </c>
    </row>
    <row r="483" spans="1:23" x14ac:dyDescent="0.2">
      <c r="A483" s="16" t="s">
        <v>2359</v>
      </c>
      <c r="B483" s="7" t="s">
        <v>2360</v>
      </c>
      <c r="C483" s="3" t="e">
        <f ca="1">[1]!BexGetData("DP_1","003N8EMH8GTFRCSWKMPXRR8GU","GSON1112031233")</f>
        <v>#NAME?</v>
      </c>
      <c r="D483" s="3" t="e">
        <f ca="1">[1]!BexGetData("DP_1","003N8EMH8GTFRCSWKMPXRRESE","GSON1112031233")</f>
        <v>#NAME?</v>
      </c>
      <c r="E483" s="8" t="e">
        <f ca="1">[1]!BexGetData("DP_1","003N8EMH8GTFRCSWKMPXRRL3Y","GSON1112031233")</f>
        <v>#NAME?</v>
      </c>
      <c r="F483" s="4" t="e">
        <f ca="1">[1]!BexGetData("DP_1","003N8EMH8GTFRCSWKMPXRRRFI","GSON1112031233")</f>
        <v>#NAME?</v>
      </c>
      <c r="G483" s="4" t="e">
        <f ca="1">[1]!BexGetData("DP_1","003N8EMH8GTFRCSWKMPXRRXR2","GSON1112031233")</f>
        <v>#NAME?</v>
      </c>
      <c r="H483" s="4" t="e">
        <f ca="1">[1]!BexGetData("DP_1","003N8EMH8GTFRCSWKMPXRS42M","GSON1112031233")</f>
        <v>#NAME?</v>
      </c>
      <c r="I483" s="4" t="e">
        <f ca="1">[1]!BexGetData("DP_1","003N8EMH8GTFRCSWKMPXRSAE6","GSON1112031233")</f>
        <v>#NAME?</v>
      </c>
      <c r="J483" s="4" t="e">
        <f ca="1">[1]!BexGetData("DP_1","003N8EMH8GTFRCSWKMPXRSGPQ","GSON1112031233")</f>
        <v>#NAME?</v>
      </c>
      <c r="K483" s="8" t="e">
        <f ca="1">[1]!BexGetData("DP_1","003N8EMH8GTFRIVNUPY288VJH","GSON1112031233")</f>
        <v>#NAME?</v>
      </c>
      <c r="L483" s="8" t="e">
        <f ca="1">[1]!BexGetData("DP_1","003N8EMH8GTFRIVNUPY2891V1","GSON1112031233")</f>
        <v>#NAME?</v>
      </c>
      <c r="M483" s="8" t="e">
        <f ca="1">[1]!BexGetData("DP_1","003N8EMH8GTFRIVOG7KG9IQXA","GSON1112031233")</f>
        <v>#NAME?</v>
      </c>
      <c r="N483" s="8" t="e">
        <f ca="1">[1]!BexGetData("DP_1","003N8EMH8GTFRIVOG7KG9IX8U","GSON1112031233")</f>
        <v>#NAME?</v>
      </c>
      <c r="O483" s="8" t="e">
        <f ca="1">[1]!BexGetData("DP_1","003N8EMH8GTFRIVOG7KG9J3KE","GSON1112031233")</f>
        <v>#NAME?</v>
      </c>
      <c r="P483" s="8" t="e">
        <f ca="1">[1]!BexGetData("DP_1","003N8EMH8GTFRIVOG7KG9J9VY","GSON1112031233")</f>
        <v>#NAME?</v>
      </c>
      <c r="Q483" s="4" t="e">
        <f ca="1">[1]!BexGetData("DP_1","00O2TNJGODT0G5Z4TTKYMM5MT","GSON1112031233")</f>
        <v>#NAME?</v>
      </c>
      <c r="R483" s="4" t="e">
        <f ca="1">[1]!BexGetData("DP_1","00O2TNJGODT0G5Z4TTKYMMBYD","GSON1112031233")</f>
        <v>#NAME?</v>
      </c>
      <c r="S483" s="4" t="e">
        <f ca="1">[1]!BexGetData("DP_1","00O2TNJGODT0G5Z4TTKYMMI9X","GSON1112031233")</f>
        <v>#NAME?</v>
      </c>
      <c r="T483" s="4" t="e">
        <f ca="1">[1]!BexGetData("DP_1","00O2TNJGODT0G5Z4TTKYMMOLH","GSON1112031233")</f>
        <v>#NAME?</v>
      </c>
      <c r="U483" s="4" t="e">
        <f ca="1">[1]!BexGetData("DP_1","00O2TNJGODT0G5Z4TTKYMMUX1","GSON1112031233")</f>
        <v>#NAME?</v>
      </c>
      <c r="V483" s="4" t="e">
        <f ca="1">[1]!BexGetData("DP_1","00O2TNJGODT0G5Z4TTKYMN18L","GSON1112031233")</f>
        <v>#NAME?</v>
      </c>
      <c r="W483" s="4" t="e">
        <f ca="1">[1]!BexGetData("DP_1","00O2TNJGODT0G5Z4TTKYMN7K5","GSON1112031233")</f>
        <v>#NAME?</v>
      </c>
    </row>
    <row r="484" spans="1:23" x14ac:dyDescent="0.2">
      <c r="A484" s="16" t="s">
        <v>2361</v>
      </c>
      <c r="B484" s="7" t="s">
        <v>2362</v>
      </c>
      <c r="C484" s="3" t="e">
        <f ca="1">[1]!BexGetData("DP_1","003N8EMH8GTFRCSWKMPXRR8GU","GSON1112031235")</f>
        <v>#NAME?</v>
      </c>
      <c r="D484" s="3" t="e">
        <f ca="1">[1]!BexGetData("DP_1","003N8EMH8GTFRCSWKMPXRRESE","GSON1112031235")</f>
        <v>#NAME?</v>
      </c>
      <c r="E484" s="8" t="e">
        <f ca="1">[1]!BexGetData("DP_1","003N8EMH8GTFRCSWKMPXRRL3Y","GSON1112031235")</f>
        <v>#NAME?</v>
      </c>
      <c r="F484" s="4" t="e">
        <f ca="1">[1]!BexGetData("DP_1","003N8EMH8GTFRCSWKMPXRRRFI","GSON1112031235")</f>
        <v>#NAME?</v>
      </c>
      <c r="G484" s="4" t="e">
        <f ca="1">[1]!BexGetData("DP_1","003N8EMH8GTFRCSWKMPXRRXR2","GSON1112031235")</f>
        <v>#NAME?</v>
      </c>
      <c r="H484" s="4" t="e">
        <f ca="1">[1]!BexGetData("DP_1","003N8EMH8GTFRCSWKMPXRS42M","GSON1112031235")</f>
        <v>#NAME?</v>
      </c>
      <c r="I484" s="4" t="e">
        <f ca="1">[1]!BexGetData("DP_1","003N8EMH8GTFRCSWKMPXRSAE6","GSON1112031235")</f>
        <v>#NAME?</v>
      </c>
      <c r="J484" s="4" t="e">
        <f ca="1">[1]!BexGetData("DP_1","003N8EMH8GTFRCSWKMPXRSGPQ","GSON1112031235")</f>
        <v>#NAME?</v>
      </c>
      <c r="K484" s="8" t="e">
        <f ca="1">[1]!BexGetData("DP_1","003N8EMH8GTFRIVNUPY288VJH","GSON1112031235")</f>
        <v>#NAME?</v>
      </c>
      <c r="L484" s="8" t="e">
        <f ca="1">[1]!BexGetData("DP_1","003N8EMH8GTFRIVNUPY2891V1","GSON1112031235")</f>
        <v>#NAME?</v>
      </c>
      <c r="M484" s="8" t="e">
        <f ca="1">[1]!BexGetData("DP_1","003N8EMH8GTFRIVOG7KG9IQXA","GSON1112031235")</f>
        <v>#NAME?</v>
      </c>
      <c r="N484" s="8" t="e">
        <f ca="1">[1]!BexGetData("DP_1","003N8EMH8GTFRIVOG7KG9IX8U","GSON1112031235")</f>
        <v>#NAME?</v>
      </c>
      <c r="O484" s="8" t="e">
        <f ca="1">[1]!BexGetData("DP_1","003N8EMH8GTFRIVOG7KG9J3KE","GSON1112031235")</f>
        <v>#NAME?</v>
      </c>
      <c r="P484" s="8" t="e">
        <f ca="1">[1]!BexGetData("DP_1","003N8EMH8GTFRIVOG7KG9J9VY","GSON1112031235")</f>
        <v>#NAME?</v>
      </c>
      <c r="Q484" s="4" t="e">
        <f ca="1">[1]!BexGetData("DP_1","00O2TNJGODT0G5Z4TTKYMM5MT","GSON1112031235")</f>
        <v>#NAME?</v>
      </c>
      <c r="R484" s="4" t="e">
        <f ca="1">[1]!BexGetData("DP_1","00O2TNJGODT0G5Z4TTKYMMBYD","GSON1112031235")</f>
        <v>#NAME?</v>
      </c>
      <c r="S484" s="4" t="e">
        <f ca="1">[1]!BexGetData("DP_1","00O2TNJGODT0G5Z4TTKYMMI9X","GSON1112031235")</f>
        <v>#NAME?</v>
      </c>
      <c r="T484" s="4" t="e">
        <f ca="1">[1]!BexGetData("DP_1","00O2TNJGODT0G5Z4TTKYMMOLH","GSON1112031235")</f>
        <v>#NAME?</v>
      </c>
      <c r="U484" s="4" t="e">
        <f ca="1">[1]!BexGetData("DP_1","00O2TNJGODT0G5Z4TTKYMMUX1","GSON1112031235")</f>
        <v>#NAME?</v>
      </c>
      <c r="V484" s="4" t="e">
        <f ca="1">[1]!BexGetData("DP_1","00O2TNJGODT0G5Z4TTKYMN18L","GSON1112031235")</f>
        <v>#NAME?</v>
      </c>
      <c r="W484" s="4" t="e">
        <f ca="1">[1]!BexGetData("DP_1","00O2TNJGODT0G5Z4TTKYMN7K5","GSON1112031235")</f>
        <v>#NAME?</v>
      </c>
    </row>
    <row r="485" spans="1:23" x14ac:dyDescent="0.2">
      <c r="A485" s="16" t="s">
        <v>2363</v>
      </c>
      <c r="B485" s="7" t="s">
        <v>2364</v>
      </c>
      <c r="C485" s="3" t="e">
        <f ca="1">[1]!BexGetData("DP_1","003N8EMH8GTFRCSWKMPXRR8GU","GSON1112031240")</f>
        <v>#NAME?</v>
      </c>
      <c r="D485" s="3" t="e">
        <f ca="1">[1]!BexGetData("DP_1","003N8EMH8GTFRCSWKMPXRRESE","GSON1112031240")</f>
        <v>#NAME?</v>
      </c>
      <c r="E485" s="3" t="e">
        <f ca="1">[1]!BexGetData("DP_1","003N8EMH8GTFRCSWKMPXRRL3Y","GSON1112031240")</f>
        <v>#NAME?</v>
      </c>
      <c r="F485" s="4" t="e">
        <f ca="1">[1]!BexGetData("DP_1","003N8EMH8GTFRCSWKMPXRRRFI","GSON1112031240")</f>
        <v>#NAME?</v>
      </c>
      <c r="G485" s="4" t="e">
        <f ca="1">[1]!BexGetData("DP_1","003N8EMH8GTFRCSWKMPXRRXR2","GSON1112031240")</f>
        <v>#NAME?</v>
      </c>
      <c r="H485" s="4" t="e">
        <f ca="1">[1]!BexGetData("DP_1","003N8EMH8GTFRCSWKMPXRS42M","GSON1112031240")</f>
        <v>#NAME?</v>
      </c>
      <c r="I485" s="4" t="e">
        <f ca="1">[1]!BexGetData("DP_1","003N8EMH8GTFRCSWKMPXRSAE6","GSON1112031240")</f>
        <v>#NAME?</v>
      </c>
      <c r="J485" s="4" t="e">
        <f ca="1">[1]!BexGetData("DP_1","003N8EMH8GTFRCSWKMPXRSGPQ","GSON1112031240")</f>
        <v>#NAME?</v>
      </c>
      <c r="K485" s="3" t="e">
        <f ca="1">[1]!BexGetData("DP_1","003N8EMH8GTFRIVNUPY288VJH","GSON1112031240")</f>
        <v>#NAME?</v>
      </c>
      <c r="L485" s="3" t="e">
        <f ca="1">[1]!BexGetData("DP_1","003N8EMH8GTFRIVNUPY2891V1","GSON1112031240")</f>
        <v>#NAME?</v>
      </c>
      <c r="M485" s="8" t="e">
        <f ca="1">[1]!BexGetData("DP_1","003N8EMH8GTFRIVOG7KG9IQXA","GSON1112031240")</f>
        <v>#NAME?</v>
      </c>
      <c r="N485" s="3" t="e">
        <f ca="1">[1]!BexGetData("DP_1","003N8EMH8GTFRIVOG7KG9IX8U","GSON1112031240")</f>
        <v>#NAME?</v>
      </c>
      <c r="O485" s="8" t="e">
        <f ca="1">[1]!BexGetData("DP_1","003N8EMH8GTFRIVOG7KG9J3KE","GSON1112031240")</f>
        <v>#NAME?</v>
      </c>
      <c r="P485" s="3" t="e">
        <f ca="1">[1]!BexGetData("DP_1","003N8EMH8GTFRIVOG7KG9J9VY","GSON1112031240")</f>
        <v>#NAME?</v>
      </c>
      <c r="Q485" s="4" t="e">
        <f ca="1">[1]!BexGetData("DP_1","00O2TNJGODT0G5Z4TTKYMM5MT","GSON1112031240")</f>
        <v>#NAME?</v>
      </c>
      <c r="R485" s="4" t="e">
        <f ca="1">[1]!BexGetData("DP_1","00O2TNJGODT0G5Z4TTKYMMBYD","GSON1112031240")</f>
        <v>#NAME?</v>
      </c>
      <c r="S485" s="4" t="e">
        <f ca="1">[1]!BexGetData("DP_1","00O2TNJGODT0G5Z4TTKYMMI9X","GSON1112031240")</f>
        <v>#NAME?</v>
      </c>
      <c r="T485" s="4" t="e">
        <f ca="1">[1]!BexGetData("DP_1","00O2TNJGODT0G5Z4TTKYMMOLH","GSON1112031240")</f>
        <v>#NAME?</v>
      </c>
      <c r="U485" s="4" t="e">
        <f ca="1">[1]!BexGetData("DP_1","00O2TNJGODT0G5Z4TTKYMMUX1","GSON1112031240")</f>
        <v>#NAME?</v>
      </c>
      <c r="V485" s="4" t="e">
        <f ca="1">[1]!BexGetData("DP_1","00O2TNJGODT0G5Z4TTKYMN18L","GSON1112031240")</f>
        <v>#NAME?</v>
      </c>
      <c r="W485" s="4" t="e">
        <f ca="1">[1]!BexGetData("DP_1","00O2TNJGODT0G5Z4TTKYMN7K5","GSON1112031240")</f>
        <v>#NAME?</v>
      </c>
    </row>
    <row r="486" spans="1:23" x14ac:dyDescent="0.2">
      <c r="A486" s="16" t="s">
        <v>2365</v>
      </c>
      <c r="B486" s="7" t="s">
        <v>2366</v>
      </c>
      <c r="C486" s="3" t="e">
        <f ca="1">[1]!BexGetData("DP_1","003N8EMH8GTFRCSWKMPXRR8GU","GSON1112031241")</f>
        <v>#NAME?</v>
      </c>
      <c r="D486" s="3" t="e">
        <f ca="1">[1]!BexGetData("DP_1","003N8EMH8GTFRCSWKMPXRRESE","GSON1112031241")</f>
        <v>#NAME?</v>
      </c>
      <c r="E486" s="8" t="e">
        <f ca="1">[1]!BexGetData("DP_1","003N8EMH8GTFRCSWKMPXRRL3Y","GSON1112031241")</f>
        <v>#NAME?</v>
      </c>
      <c r="F486" s="4" t="e">
        <f ca="1">[1]!BexGetData("DP_1","003N8EMH8GTFRCSWKMPXRRRFI","GSON1112031241")</f>
        <v>#NAME?</v>
      </c>
      <c r="G486" s="4" t="e">
        <f ca="1">[1]!BexGetData("DP_1","003N8EMH8GTFRCSWKMPXRRXR2","GSON1112031241")</f>
        <v>#NAME?</v>
      </c>
      <c r="H486" s="4" t="e">
        <f ca="1">[1]!BexGetData("DP_1","003N8EMH8GTFRCSWKMPXRS42M","GSON1112031241")</f>
        <v>#NAME?</v>
      </c>
      <c r="I486" s="4" t="e">
        <f ca="1">[1]!BexGetData("DP_1","003N8EMH8GTFRCSWKMPXRSAE6","GSON1112031241")</f>
        <v>#NAME?</v>
      </c>
      <c r="J486" s="4" t="e">
        <f ca="1">[1]!BexGetData("DP_1","003N8EMH8GTFRCSWKMPXRSGPQ","GSON1112031241")</f>
        <v>#NAME?</v>
      </c>
      <c r="K486" s="8" t="e">
        <f ca="1">[1]!BexGetData("DP_1","003N8EMH8GTFRIVNUPY288VJH","GSON1112031241")</f>
        <v>#NAME?</v>
      </c>
      <c r="L486" s="8" t="e">
        <f ca="1">[1]!BexGetData("DP_1","003N8EMH8GTFRIVNUPY2891V1","GSON1112031241")</f>
        <v>#NAME?</v>
      </c>
      <c r="M486" s="8" t="e">
        <f ca="1">[1]!BexGetData("DP_1","003N8EMH8GTFRIVOG7KG9IQXA","GSON1112031241")</f>
        <v>#NAME?</v>
      </c>
      <c r="N486" s="8" t="e">
        <f ca="1">[1]!BexGetData("DP_1","003N8EMH8GTFRIVOG7KG9IX8U","GSON1112031241")</f>
        <v>#NAME?</v>
      </c>
      <c r="O486" s="8" t="e">
        <f ca="1">[1]!BexGetData("DP_1","003N8EMH8GTFRIVOG7KG9J3KE","GSON1112031241")</f>
        <v>#NAME?</v>
      </c>
      <c r="P486" s="8" t="e">
        <f ca="1">[1]!BexGetData("DP_1","003N8EMH8GTFRIVOG7KG9J9VY","GSON1112031241")</f>
        <v>#NAME?</v>
      </c>
      <c r="Q486" s="4" t="e">
        <f ca="1">[1]!BexGetData("DP_1","00O2TNJGODT0G5Z4TTKYMM5MT","GSON1112031241")</f>
        <v>#NAME?</v>
      </c>
      <c r="R486" s="4" t="e">
        <f ca="1">[1]!BexGetData("DP_1","00O2TNJGODT0G5Z4TTKYMMBYD","GSON1112031241")</f>
        <v>#NAME?</v>
      </c>
      <c r="S486" s="4" t="e">
        <f ca="1">[1]!BexGetData("DP_1","00O2TNJGODT0G5Z4TTKYMMI9X","GSON1112031241")</f>
        <v>#NAME?</v>
      </c>
      <c r="T486" s="4" t="e">
        <f ca="1">[1]!BexGetData("DP_1","00O2TNJGODT0G5Z4TTKYMMOLH","GSON1112031241")</f>
        <v>#NAME?</v>
      </c>
      <c r="U486" s="4" t="e">
        <f ca="1">[1]!BexGetData("DP_1","00O2TNJGODT0G5Z4TTKYMMUX1","GSON1112031241")</f>
        <v>#NAME?</v>
      </c>
      <c r="V486" s="4" t="e">
        <f ca="1">[1]!BexGetData("DP_1","00O2TNJGODT0G5Z4TTKYMN18L","GSON1112031241")</f>
        <v>#NAME?</v>
      </c>
      <c r="W486" s="4" t="e">
        <f ca="1">[1]!BexGetData("DP_1","00O2TNJGODT0G5Z4TTKYMN7K5","GSON1112031241")</f>
        <v>#NAME?</v>
      </c>
    </row>
    <row r="487" spans="1:23" x14ac:dyDescent="0.2">
      <c r="A487" s="16" t="s">
        <v>2367</v>
      </c>
      <c r="B487" s="7" t="s">
        <v>2368</v>
      </c>
      <c r="C487" s="3" t="e">
        <f ca="1">[1]!BexGetData("DP_1","003N8EMH8GTFRCSWKMPXRR8GU","GSON1112031243")</f>
        <v>#NAME?</v>
      </c>
      <c r="D487" s="3" t="e">
        <f ca="1">[1]!BexGetData("DP_1","003N8EMH8GTFRCSWKMPXRRESE","GSON1112031243")</f>
        <v>#NAME?</v>
      </c>
      <c r="E487" s="8" t="e">
        <f ca="1">[1]!BexGetData("DP_1","003N8EMH8GTFRCSWKMPXRRL3Y","GSON1112031243")</f>
        <v>#NAME?</v>
      </c>
      <c r="F487" s="4" t="e">
        <f ca="1">[1]!BexGetData("DP_1","003N8EMH8GTFRCSWKMPXRRRFI","GSON1112031243")</f>
        <v>#NAME?</v>
      </c>
      <c r="G487" s="4" t="e">
        <f ca="1">[1]!BexGetData("DP_1","003N8EMH8GTFRCSWKMPXRRXR2","GSON1112031243")</f>
        <v>#NAME?</v>
      </c>
      <c r="H487" s="4" t="e">
        <f ca="1">[1]!BexGetData("DP_1","003N8EMH8GTFRCSWKMPXRS42M","GSON1112031243")</f>
        <v>#NAME?</v>
      </c>
      <c r="I487" s="4" t="e">
        <f ca="1">[1]!BexGetData("DP_1","003N8EMH8GTFRCSWKMPXRSAE6","GSON1112031243")</f>
        <v>#NAME?</v>
      </c>
      <c r="J487" s="4" t="e">
        <f ca="1">[1]!BexGetData("DP_1","003N8EMH8GTFRCSWKMPXRSGPQ","GSON1112031243")</f>
        <v>#NAME?</v>
      </c>
      <c r="K487" s="8" t="e">
        <f ca="1">[1]!BexGetData("DP_1","003N8EMH8GTFRIVNUPY288VJH","GSON1112031243")</f>
        <v>#NAME?</v>
      </c>
      <c r="L487" s="8" t="e">
        <f ca="1">[1]!BexGetData("DP_1","003N8EMH8GTFRIVNUPY2891V1","GSON1112031243")</f>
        <v>#NAME?</v>
      </c>
      <c r="M487" s="8" t="e">
        <f ca="1">[1]!BexGetData("DP_1","003N8EMH8GTFRIVOG7KG9IQXA","GSON1112031243")</f>
        <v>#NAME?</v>
      </c>
      <c r="N487" s="8" t="e">
        <f ca="1">[1]!BexGetData("DP_1","003N8EMH8GTFRIVOG7KG9IX8U","GSON1112031243")</f>
        <v>#NAME?</v>
      </c>
      <c r="O487" s="8" t="e">
        <f ca="1">[1]!BexGetData("DP_1","003N8EMH8GTFRIVOG7KG9J3KE","GSON1112031243")</f>
        <v>#NAME?</v>
      </c>
      <c r="P487" s="8" t="e">
        <f ca="1">[1]!BexGetData("DP_1","003N8EMH8GTFRIVOG7KG9J9VY","GSON1112031243")</f>
        <v>#NAME?</v>
      </c>
      <c r="Q487" s="4" t="e">
        <f ca="1">[1]!BexGetData("DP_1","00O2TNJGODT0G5Z4TTKYMM5MT","GSON1112031243")</f>
        <v>#NAME?</v>
      </c>
      <c r="R487" s="4" t="e">
        <f ca="1">[1]!BexGetData("DP_1","00O2TNJGODT0G5Z4TTKYMMBYD","GSON1112031243")</f>
        <v>#NAME?</v>
      </c>
      <c r="S487" s="4" t="e">
        <f ca="1">[1]!BexGetData("DP_1","00O2TNJGODT0G5Z4TTKYMMI9X","GSON1112031243")</f>
        <v>#NAME?</v>
      </c>
      <c r="T487" s="4" t="e">
        <f ca="1">[1]!BexGetData("DP_1","00O2TNJGODT0G5Z4TTKYMMOLH","GSON1112031243")</f>
        <v>#NAME?</v>
      </c>
      <c r="U487" s="4" t="e">
        <f ca="1">[1]!BexGetData("DP_1","00O2TNJGODT0G5Z4TTKYMMUX1","GSON1112031243")</f>
        <v>#NAME?</v>
      </c>
      <c r="V487" s="4" t="e">
        <f ca="1">[1]!BexGetData("DP_1","00O2TNJGODT0G5Z4TTKYMN18L","GSON1112031243")</f>
        <v>#NAME?</v>
      </c>
      <c r="W487" s="4" t="e">
        <f ca="1">[1]!BexGetData("DP_1","00O2TNJGODT0G5Z4TTKYMN7K5","GSON1112031243")</f>
        <v>#NAME?</v>
      </c>
    </row>
    <row r="488" spans="1:23" x14ac:dyDescent="0.2">
      <c r="A488" s="16" t="s">
        <v>2369</v>
      </c>
      <c r="B488" s="7" t="s">
        <v>2370</v>
      </c>
      <c r="C488" s="3" t="e">
        <f ca="1">[1]!BexGetData("DP_1","003N8EMH8GTFRCSWKMPXRR8GU","GSON1112031245")</f>
        <v>#NAME?</v>
      </c>
      <c r="D488" s="3" t="e">
        <f ca="1">[1]!BexGetData("DP_1","003N8EMH8GTFRCSWKMPXRRESE","GSON1112031245")</f>
        <v>#NAME?</v>
      </c>
      <c r="E488" s="8" t="e">
        <f ca="1">[1]!BexGetData("DP_1","003N8EMH8GTFRCSWKMPXRRL3Y","GSON1112031245")</f>
        <v>#NAME?</v>
      </c>
      <c r="F488" s="4" t="e">
        <f ca="1">[1]!BexGetData("DP_1","003N8EMH8GTFRCSWKMPXRRRFI","GSON1112031245")</f>
        <v>#NAME?</v>
      </c>
      <c r="G488" s="4" t="e">
        <f ca="1">[1]!BexGetData("DP_1","003N8EMH8GTFRCSWKMPXRRXR2","GSON1112031245")</f>
        <v>#NAME?</v>
      </c>
      <c r="H488" s="4" t="e">
        <f ca="1">[1]!BexGetData("DP_1","003N8EMH8GTFRCSWKMPXRS42M","GSON1112031245")</f>
        <v>#NAME?</v>
      </c>
      <c r="I488" s="4" t="e">
        <f ca="1">[1]!BexGetData("DP_1","003N8EMH8GTFRCSWKMPXRSAE6","GSON1112031245")</f>
        <v>#NAME?</v>
      </c>
      <c r="J488" s="4" t="e">
        <f ca="1">[1]!BexGetData("DP_1","003N8EMH8GTFRCSWKMPXRSGPQ","GSON1112031245")</f>
        <v>#NAME?</v>
      </c>
      <c r="K488" s="8" t="e">
        <f ca="1">[1]!BexGetData("DP_1","003N8EMH8GTFRIVNUPY288VJH","GSON1112031245")</f>
        <v>#NAME?</v>
      </c>
      <c r="L488" s="8" t="e">
        <f ca="1">[1]!BexGetData("DP_1","003N8EMH8GTFRIVNUPY2891V1","GSON1112031245")</f>
        <v>#NAME?</v>
      </c>
      <c r="M488" s="8" t="e">
        <f ca="1">[1]!BexGetData("DP_1","003N8EMH8GTFRIVOG7KG9IQXA","GSON1112031245")</f>
        <v>#NAME?</v>
      </c>
      <c r="N488" s="8" t="e">
        <f ca="1">[1]!BexGetData("DP_1","003N8EMH8GTFRIVOG7KG9IX8U","GSON1112031245")</f>
        <v>#NAME?</v>
      </c>
      <c r="O488" s="8" t="e">
        <f ca="1">[1]!BexGetData("DP_1","003N8EMH8GTFRIVOG7KG9J3KE","GSON1112031245")</f>
        <v>#NAME?</v>
      </c>
      <c r="P488" s="8" t="e">
        <f ca="1">[1]!BexGetData("DP_1","003N8EMH8GTFRIVOG7KG9J9VY","GSON1112031245")</f>
        <v>#NAME?</v>
      </c>
      <c r="Q488" s="4" t="e">
        <f ca="1">[1]!BexGetData("DP_1","00O2TNJGODT0G5Z4TTKYMM5MT","GSON1112031245")</f>
        <v>#NAME?</v>
      </c>
      <c r="R488" s="4" t="e">
        <f ca="1">[1]!BexGetData("DP_1","00O2TNJGODT0G5Z4TTKYMMBYD","GSON1112031245")</f>
        <v>#NAME?</v>
      </c>
      <c r="S488" s="4" t="e">
        <f ca="1">[1]!BexGetData("DP_1","00O2TNJGODT0G5Z4TTKYMMI9X","GSON1112031245")</f>
        <v>#NAME?</v>
      </c>
      <c r="T488" s="4" t="e">
        <f ca="1">[1]!BexGetData("DP_1","00O2TNJGODT0G5Z4TTKYMMOLH","GSON1112031245")</f>
        <v>#NAME?</v>
      </c>
      <c r="U488" s="4" t="e">
        <f ca="1">[1]!BexGetData("DP_1","00O2TNJGODT0G5Z4TTKYMMUX1","GSON1112031245")</f>
        <v>#NAME?</v>
      </c>
      <c r="V488" s="4" t="e">
        <f ca="1">[1]!BexGetData("DP_1","00O2TNJGODT0G5Z4TTKYMN18L","GSON1112031245")</f>
        <v>#NAME?</v>
      </c>
      <c r="W488" s="4" t="e">
        <f ca="1">[1]!BexGetData("DP_1","00O2TNJGODT0G5Z4TTKYMN7K5","GSON1112031245")</f>
        <v>#NAME?</v>
      </c>
    </row>
    <row r="489" spans="1:23" x14ac:dyDescent="0.2">
      <c r="A489" s="16" t="s">
        <v>2371</v>
      </c>
      <c r="B489" s="7" t="s">
        <v>2372</v>
      </c>
      <c r="C489" s="3" t="e">
        <f ca="1">[1]!BexGetData("DP_1","003N8EMH8GTFRCSWKMPXRR8GU","GSON1112031250")</f>
        <v>#NAME?</v>
      </c>
      <c r="D489" s="3" t="e">
        <f ca="1">[1]!BexGetData("DP_1","003N8EMH8GTFRCSWKMPXRRESE","GSON1112031250")</f>
        <v>#NAME?</v>
      </c>
      <c r="E489" s="3" t="e">
        <f ca="1">[1]!BexGetData("DP_1","003N8EMH8GTFRCSWKMPXRRL3Y","GSON1112031250")</f>
        <v>#NAME?</v>
      </c>
      <c r="F489" s="4" t="e">
        <f ca="1">[1]!BexGetData("DP_1","003N8EMH8GTFRCSWKMPXRRRFI","GSON1112031250")</f>
        <v>#NAME?</v>
      </c>
      <c r="G489" s="4" t="e">
        <f ca="1">[1]!BexGetData("DP_1","003N8EMH8GTFRCSWKMPXRRXR2","GSON1112031250")</f>
        <v>#NAME?</v>
      </c>
      <c r="H489" s="4" t="e">
        <f ca="1">[1]!BexGetData("DP_1","003N8EMH8GTFRCSWKMPXRS42M","GSON1112031250")</f>
        <v>#NAME?</v>
      </c>
      <c r="I489" s="4" t="e">
        <f ca="1">[1]!BexGetData("DP_1","003N8EMH8GTFRCSWKMPXRSAE6","GSON1112031250")</f>
        <v>#NAME?</v>
      </c>
      <c r="J489" s="4" t="e">
        <f ca="1">[1]!BexGetData("DP_1","003N8EMH8GTFRCSWKMPXRSGPQ","GSON1112031250")</f>
        <v>#NAME?</v>
      </c>
      <c r="K489" s="3" t="e">
        <f ca="1">[1]!BexGetData("DP_1","003N8EMH8GTFRIVNUPY288VJH","GSON1112031250")</f>
        <v>#NAME?</v>
      </c>
      <c r="L489" s="3" t="e">
        <f ca="1">[1]!BexGetData("DP_1","003N8EMH8GTFRIVNUPY2891V1","GSON1112031250")</f>
        <v>#NAME?</v>
      </c>
      <c r="M489" s="8" t="e">
        <f ca="1">[1]!BexGetData("DP_1","003N8EMH8GTFRIVOG7KG9IQXA","GSON1112031250")</f>
        <v>#NAME?</v>
      </c>
      <c r="N489" s="3" t="e">
        <f ca="1">[1]!BexGetData("DP_1","003N8EMH8GTFRIVOG7KG9IX8U","GSON1112031250")</f>
        <v>#NAME?</v>
      </c>
      <c r="O489" s="8" t="e">
        <f ca="1">[1]!BexGetData("DP_1","003N8EMH8GTFRIVOG7KG9J3KE","GSON1112031250")</f>
        <v>#NAME?</v>
      </c>
      <c r="P489" s="3" t="e">
        <f ca="1">[1]!BexGetData("DP_1","003N8EMH8GTFRIVOG7KG9J9VY","GSON1112031250")</f>
        <v>#NAME?</v>
      </c>
      <c r="Q489" s="4" t="e">
        <f ca="1">[1]!BexGetData("DP_1","00O2TNJGODT0G5Z4TTKYMM5MT","GSON1112031250")</f>
        <v>#NAME?</v>
      </c>
      <c r="R489" s="4" t="e">
        <f ca="1">[1]!BexGetData("DP_1","00O2TNJGODT0G5Z4TTKYMMBYD","GSON1112031250")</f>
        <v>#NAME?</v>
      </c>
      <c r="S489" s="4" t="e">
        <f ca="1">[1]!BexGetData("DP_1","00O2TNJGODT0G5Z4TTKYMMI9X","GSON1112031250")</f>
        <v>#NAME?</v>
      </c>
      <c r="T489" s="4" t="e">
        <f ca="1">[1]!BexGetData("DP_1","00O2TNJGODT0G5Z4TTKYMMOLH","GSON1112031250")</f>
        <v>#NAME?</v>
      </c>
      <c r="U489" s="4" t="e">
        <f ca="1">[1]!BexGetData("DP_1","00O2TNJGODT0G5Z4TTKYMMUX1","GSON1112031250")</f>
        <v>#NAME?</v>
      </c>
      <c r="V489" s="4" t="e">
        <f ca="1">[1]!BexGetData("DP_1","00O2TNJGODT0G5Z4TTKYMN18L","GSON1112031250")</f>
        <v>#NAME?</v>
      </c>
      <c r="W489" s="4" t="e">
        <f ca="1">[1]!BexGetData("DP_1","00O2TNJGODT0G5Z4TTKYMN7K5","GSON1112031250")</f>
        <v>#NAME?</v>
      </c>
    </row>
    <row r="490" spans="1:23" x14ac:dyDescent="0.2">
      <c r="A490" s="16" t="s">
        <v>2373</v>
      </c>
      <c r="B490" s="7" t="s">
        <v>2374</v>
      </c>
      <c r="C490" s="3" t="e">
        <f ca="1">[1]!BexGetData("DP_1","003N8EMH8GTFRCSWKMPXRR8GU","GSON1112031251")</f>
        <v>#NAME?</v>
      </c>
      <c r="D490" s="3" t="e">
        <f ca="1">[1]!BexGetData("DP_1","003N8EMH8GTFRCSWKMPXRRESE","GSON1112031251")</f>
        <v>#NAME?</v>
      </c>
      <c r="E490" s="8" t="e">
        <f ca="1">[1]!BexGetData("DP_1","003N8EMH8GTFRCSWKMPXRRL3Y","GSON1112031251")</f>
        <v>#NAME?</v>
      </c>
      <c r="F490" s="4" t="e">
        <f ca="1">[1]!BexGetData("DP_1","003N8EMH8GTFRCSWKMPXRRRFI","GSON1112031251")</f>
        <v>#NAME?</v>
      </c>
      <c r="G490" s="4" t="e">
        <f ca="1">[1]!BexGetData("DP_1","003N8EMH8GTFRCSWKMPXRRXR2","GSON1112031251")</f>
        <v>#NAME?</v>
      </c>
      <c r="H490" s="4" t="e">
        <f ca="1">[1]!BexGetData("DP_1","003N8EMH8GTFRCSWKMPXRS42M","GSON1112031251")</f>
        <v>#NAME?</v>
      </c>
      <c r="I490" s="4" t="e">
        <f ca="1">[1]!BexGetData("DP_1","003N8EMH8GTFRCSWKMPXRSAE6","GSON1112031251")</f>
        <v>#NAME?</v>
      </c>
      <c r="J490" s="4" t="e">
        <f ca="1">[1]!BexGetData("DP_1","003N8EMH8GTFRCSWKMPXRSGPQ","GSON1112031251")</f>
        <v>#NAME?</v>
      </c>
      <c r="K490" s="8" t="e">
        <f ca="1">[1]!BexGetData("DP_1","003N8EMH8GTFRIVNUPY288VJH","GSON1112031251")</f>
        <v>#NAME?</v>
      </c>
      <c r="L490" s="8" t="e">
        <f ca="1">[1]!BexGetData("DP_1","003N8EMH8GTFRIVNUPY2891V1","GSON1112031251")</f>
        <v>#NAME?</v>
      </c>
      <c r="M490" s="8" t="e">
        <f ca="1">[1]!BexGetData("DP_1","003N8EMH8GTFRIVOG7KG9IQXA","GSON1112031251")</f>
        <v>#NAME?</v>
      </c>
      <c r="N490" s="8" t="e">
        <f ca="1">[1]!BexGetData("DP_1","003N8EMH8GTFRIVOG7KG9IX8U","GSON1112031251")</f>
        <v>#NAME?</v>
      </c>
      <c r="O490" s="8" t="e">
        <f ca="1">[1]!BexGetData("DP_1","003N8EMH8GTFRIVOG7KG9J3KE","GSON1112031251")</f>
        <v>#NAME?</v>
      </c>
      <c r="P490" s="8" t="e">
        <f ca="1">[1]!BexGetData("DP_1","003N8EMH8GTFRIVOG7KG9J9VY","GSON1112031251")</f>
        <v>#NAME?</v>
      </c>
      <c r="Q490" s="4" t="e">
        <f ca="1">[1]!BexGetData("DP_1","00O2TNJGODT0G5Z4TTKYMM5MT","GSON1112031251")</f>
        <v>#NAME?</v>
      </c>
      <c r="R490" s="4" t="e">
        <f ca="1">[1]!BexGetData("DP_1","00O2TNJGODT0G5Z4TTKYMMBYD","GSON1112031251")</f>
        <v>#NAME?</v>
      </c>
      <c r="S490" s="4" t="e">
        <f ca="1">[1]!BexGetData("DP_1","00O2TNJGODT0G5Z4TTKYMMI9X","GSON1112031251")</f>
        <v>#NAME?</v>
      </c>
      <c r="T490" s="4" t="e">
        <f ca="1">[1]!BexGetData("DP_1","00O2TNJGODT0G5Z4TTKYMMOLH","GSON1112031251")</f>
        <v>#NAME?</v>
      </c>
      <c r="U490" s="4" t="e">
        <f ca="1">[1]!BexGetData("DP_1","00O2TNJGODT0G5Z4TTKYMMUX1","GSON1112031251")</f>
        <v>#NAME?</v>
      </c>
      <c r="V490" s="4" t="e">
        <f ca="1">[1]!BexGetData("DP_1","00O2TNJGODT0G5Z4TTKYMN18L","GSON1112031251")</f>
        <v>#NAME?</v>
      </c>
      <c r="W490" s="4" t="e">
        <f ca="1">[1]!BexGetData("DP_1","00O2TNJGODT0G5Z4TTKYMN7K5","GSON1112031251")</f>
        <v>#NAME?</v>
      </c>
    </row>
    <row r="491" spans="1:23" x14ac:dyDescent="0.2">
      <c r="A491" s="16" t="s">
        <v>2375</v>
      </c>
      <c r="B491" s="7" t="s">
        <v>2376</v>
      </c>
      <c r="C491" s="3" t="e">
        <f ca="1">[1]!BexGetData("DP_1","003N8EMH8GTFRCSWKMPXRR8GU","GSON1112031253")</f>
        <v>#NAME?</v>
      </c>
      <c r="D491" s="3" t="e">
        <f ca="1">[1]!BexGetData("DP_1","003N8EMH8GTFRCSWKMPXRRESE","GSON1112031253")</f>
        <v>#NAME?</v>
      </c>
      <c r="E491" s="8" t="e">
        <f ca="1">[1]!BexGetData("DP_1","003N8EMH8GTFRCSWKMPXRRL3Y","GSON1112031253")</f>
        <v>#NAME?</v>
      </c>
      <c r="F491" s="4" t="e">
        <f ca="1">[1]!BexGetData("DP_1","003N8EMH8GTFRCSWKMPXRRRFI","GSON1112031253")</f>
        <v>#NAME?</v>
      </c>
      <c r="G491" s="4" t="e">
        <f ca="1">[1]!BexGetData("DP_1","003N8EMH8GTFRCSWKMPXRRXR2","GSON1112031253")</f>
        <v>#NAME?</v>
      </c>
      <c r="H491" s="4" t="e">
        <f ca="1">[1]!BexGetData("DP_1","003N8EMH8GTFRCSWKMPXRS42M","GSON1112031253")</f>
        <v>#NAME?</v>
      </c>
      <c r="I491" s="4" t="e">
        <f ca="1">[1]!BexGetData("DP_1","003N8EMH8GTFRCSWKMPXRSAE6","GSON1112031253")</f>
        <v>#NAME?</v>
      </c>
      <c r="J491" s="4" t="e">
        <f ca="1">[1]!BexGetData("DP_1","003N8EMH8GTFRCSWKMPXRSGPQ","GSON1112031253")</f>
        <v>#NAME?</v>
      </c>
      <c r="K491" s="8" t="e">
        <f ca="1">[1]!BexGetData("DP_1","003N8EMH8GTFRIVNUPY288VJH","GSON1112031253")</f>
        <v>#NAME?</v>
      </c>
      <c r="L491" s="8" t="e">
        <f ca="1">[1]!BexGetData("DP_1","003N8EMH8GTFRIVNUPY2891V1","GSON1112031253")</f>
        <v>#NAME?</v>
      </c>
      <c r="M491" s="8" t="e">
        <f ca="1">[1]!BexGetData("DP_1","003N8EMH8GTFRIVOG7KG9IQXA","GSON1112031253")</f>
        <v>#NAME?</v>
      </c>
      <c r="N491" s="8" t="e">
        <f ca="1">[1]!BexGetData("DP_1","003N8EMH8GTFRIVOG7KG9IX8U","GSON1112031253")</f>
        <v>#NAME?</v>
      </c>
      <c r="O491" s="8" t="e">
        <f ca="1">[1]!BexGetData("DP_1","003N8EMH8GTFRIVOG7KG9J3KE","GSON1112031253")</f>
        <v>#NAME?</v>
      </c>
      <c r="P491" s="8" t="e">
        <f ca="1">[1]!BexGetData("DP_1","003N8EMH8GTFRIVOG7KG9J9VY","GSON1112031253")</f>
        <v>#NAME?</v>
      </c>
      <c r="Q491" s="4" t="e">
        <f ca="1">[1]!BexGetData("DP_1","00O2TNJGODT0G5Z4TTKYMM5MT","GSON1112031253")</f>
        <v>#NAME?</v>
      </c>
      <c r="R491" s="4" t="e">
        <f ca="1">[1]!BexGetData("DP_1","00O2TNJGODT0G5Z4TTKYMMBYD","GSON1112031253")</f>
        <v>#NAME?</v>
      </c>
      <c r="S491" s="4" t="e">
        <f ca="1">[1]!BexGetData("DP_1","00O2TNJGODT0G5Z4TTKYMMI9X","GSON1112031253")</f>
        <v>#NAME?</v>
      </c>
      <c r="T491" s="4" t="e">
        <f ca="1">[1]!BexGetData("DP_1","00O2TNJGODT0G5Z4TTKYMMOLH","GSON1112031253")</f>
        <v>#NAME?</v>
      </c>
      <c r="U491" s="4" t="e">
        <f ca="1">[1]!BexGetData("DP_1","00O2TNJGODT0G5Z4TTKYMMUX1","GSON1112031253")</f>
        <v>#NAME?</v>
      </c>
      <c r="V491" s="4" t="e">
        <f ca="1">[1]!BexGetData("DP_1","00O2TNJGODT0G5Z4TTKYMN18L","GSON1112031253")</f>
        <v>#NAME?</v>
      </c>
      <c r="W491" s="4" t="e">
        <f ca="1">[1]!BexGetData("DP_1","00O2TNJGODT0G5Z4TTKYMN7K5","GSON1112031253")</f>
        <v>#NAME?</v>
      </c>
    </row>
    <row r="492" spans="1:23" x14ac:dyDescent="0.2">
      <c r="A492" s="16" t="s">
        <v>2377</v>
      </c>
      <c r="B492" s="7" t="s">
        <v>2378</v>
      </c>
      <c r="C492" s="3" t="e">
        <f ca="1">[1]!BexGetData("DP_1","003N8EMH8GTFRCSWKMPXRR8GU","GSON1112031255")</f>
        <v>#NAME?</v>
      </c>
      <c r="D492" s="3" t="e">
        <f ca="1">[1]!BexGetData("DP_1","003N8EMH8GTFRCSWKMPXRRESE","GSON1112031255")</f>
        <v>#NAME?</v>
      </c>
      <c r="E492" s="8" t="e">
        <f ca="1">[1]!BexGetData("DP_1","003N8EMH8GTFRCSWKMPXRRL3Y","GSON1112031255")</f>
        <v>#NAME?</v>
      </c>
      <c r="F492" s="4" t="e">
        <f ca="1">[1]!BexGetData("DP_1","003N8EMH8GTFRCSWKMPXRRRFI","GSON1112031255")</f>
        <v>#NAME?</v>
      </c>
      <c r="G492" s="4" t="e">
        <f ca="1">[1]!BexGetData("DP_1","003N8EMH8GTFRCSWKMPXRRXR2","GSON1112031255")</f>
        <v>#NAME?</v>
      </c>
      <c r="H492" s="4" t="e">
        <f ca="1">[1]!BexGetData("DP_1","003N8EMH8GTFRCSWKMPXRS42M","GSON1112031255")</f>
        <v>#NAME?</v>
      </c>
      <c r="I492" s="4" t="e">
        <f ca="1">[1]!BexGetData("DP_1","003N8EMH8GTFRCSWKMPXRSAE6","GSON1112031255")</f>
        <v>#NAME?</v>
      </c>
      <c r="J492" s="4" t="e">
        <f ca="1">[1]!BexGetData("DP_1","003N8EMH8GTFRCSWKMPXRSGPQ","GSON1112031255")</f>
        <v>#NAME?</v>
      </c>
      <c r="K492" s="8" t="e">
        <f ca="1">[1]!BexGetData("DP_1","003N8EMH8GTFRIVNUPY288VJH","GSON1112031255")</f>
        <v>#NAME?</v>
      </c>
      <c r="L492" s="8" t="e">
        <f ca="1">[1]!BexGetData("DP_1","003N8EMH8GTFRIVNUPY2891V1","GSON1112031255")</f>
        <v>#NAME?</v>
      </c>
      <c r="M492" s="8" t="e">
        <f ca="1">[1]!BexGetData("DP_1","003N8EMH8GTFRIVOG7KG9IQXA","GSON1112031255")</f>
        <v>#NAME?</v>
      </c>
      <c r="N492" s="8" t="e">
        <f ca="1">[1]!BexGetData("DP_1","003N8EMH8GTFRIVOG7KG9IX8U","GSON1112031255")</f>
        <v>#NAME?</v>
      </c>
      <c r="O492" s="8" t="e">
        <f ca="1">[1]!BexGetData("DP_1","003N8EMH8GTFRIVOG7KG9J3KE","GSON1112031255")</f>
        <v>#NAME?</v>
      </c>
      <c r="P492" s="8" t="e">
        <f ca="1">[1]!BexGetData("DP_1","003N8EMH8GTFRIVOG7KG9J9VY","GSON1112031255")</f>
        <v>#NAME?</v>
      </c>
      <c r="Q492" s="4" t="e">
        <f ca="1">[1]!BexGetData("DP_1","00O2TNJGODT0G5Z4TTKYMM5MT","GSON1112031255")</f>
        <v>#NAME?</v>
      </c>
      <c r="R492" s="4" t="e">
        <f ca="1">[1]!BexGetData("DP_1","00O2TNJGODT0G5Z4TTKYMMBYD","GSON1112031255")</f>
        <v>#NAME?</v>
      </c>
      <c r="S492" s="4" t="e">
        <f ca="1">[1]!BexGetData("DP_1","00O2TNJGODT0G5Z4TTKYMMI9X","GSON1112031255")</f>
        <v>#NAME?</v>
      </c>
      <c r="T492" s="4" t="e">
        <f ca="1">[1]!BexGetData("DP_1","00O2TNJGODT0G5Z4TTKYMMOLH","GSON1112031255")</f>
        <v>#NAME?</v>
      </c>
      <c r="U492" s="4" t="e">
        <f ca="1">[1]!BexGetData("DP_1","00O2TNJGODT0G5Z4TTKYMMUX1","GSON1112031255")</f>
        <v>#NAME?</v>
      </c>
      <c r="V492" s="4" t="e">
        <f ca="1">[1]!BexGetData("DP_1","00O2TNJGODT0G5Z4TTKYMN18L","GSON1112031255")</f>
        <v>#NAME?</v>
      </c>
      <c r="W492" s="4" t="e">
        <f ca="1">[1]!BexGetData("DP_1","00O2TNJGODT0G5Z4TTKYMN7K5","GSON1112031255")</f>
        <v>#NAME?</v>
      </c>
    </row>
    <row r="493" spans="1:23" x14ac:dyDescent="0.2">
      <c r="A493" s="16" t="s">
        <v>2379</v>
      </c>
      <c r="B493" s="7" t="s">
        <v>2380</v>
      </c>
      <c r="C493" s="3" t="e">
        <f ca="1">[1]!BexGetData("DP_1","003N8EMH8GTFRCSWKMPXRR8GU","GSON1112031260")</f>
        <v>#NAME?</v>
      </c>
      <c r="D493" s="3" t="e">
        <f ca="1">[1]!BexGetData("DP_1","003N8EMH8GTFRCSWKMPXRRESE","GSON1112031260")</f>
        <v>#NAME?</v>
      </c>
      <c r="E493" s="3" t="e">
        <f ca="1">[1]!BexGetData("DP_1","003N8EMH8GTFRCSWKMPXRRL3Y","GSON1112031260")</f>
        <v>#NAME?</v>
      </c>
      <c r="F493" s="4" t="e">
        <f ca="1">[1]!BexGetData("DP_1","003N8EMH8GTFRCSWKMPXRRRFI","GSON1112031260")</f>
        <v>#NAME?</v>
      </c>
      <c r="G493" s="4" t="e">
        <f ca="1">[1]!BexGetData("DP_1","003N8EMH8GTFRCSWKMPXRRXR2","GSON1112031260")</f>
        <v>#NAME?</v>
      </c>
      <c r="H493" s="4" t="e">
        <f ca="1">[1]!BexGetData("DP_1","003N8EMH8GTFRCSWKMPXRS42M","GSON1112031260")</f>
        <v>#NAME?</v>
      </c>
      <c r="I493" s="4" t="e">
        <f ca="1">[1]!BexGetData("DP_1","003N8EMH8GTFRCSWKMPXRSAE6","GSON1112031260")</f>
        <v>#NAME?</v>
      </c>
      <c r="J493" s="4" t="e">
        <f ca="1">[1]!BexGetData("DP_1","003N8EMH8GTFRCSWKMPXRSGPQ","GSON1112031260")</f>
        <v>#NAME?</v>
      </c>
      <c r="K493" s="3" t="e">
        <f ca="1">[1]!BexGetData("DP_1","003N8EMH8GTFRIVNUPY288VJH","GSON1112031260")</f>
        <v>#NAME?</v>
      </c>
      <c r="L493" s="3" t="e">
        <f ca="1">[1]!BexGetData("DP_1","003N8EMH8GTFRIVNUPY2891V1","GSON1112031260")</f>
        <v>#NAME?</v>
      </c>
      <c r="M493" s="8" t="e">
        <f ca="1">[1]!BexGetData("DP_1","003N8EMH8GTFRIVOG7KG9IQXA","GSON1112031260")</f>
        <v>#NAME?</v>
      </c>
      <c r="N493" s="3" t="e">
        <f ca="1">[1]!BexGetData("DP_1","003N8EMH8GTFRIVOG7KG9IX8U","GSON1112031260")</f>
        <v>#NAME?</v>
      </c>
      <c r="O493" s="8" t="e">
        <f ca="1">[1]!BexGetData("DP_1","003N8EMH8GTFRIVOG7KG9J3KE","GSON1112031260")</f>
        <v>#NAME?</v>
      </c>
      <c r="P493" s="3" t="e">
        <f ca="1">[1]!BexGetData("DP_1","003N8EMH8GTFRIVOG7KG9J9VY","GSON1112031260")</f>
        <v>#NAME?</v>
      </c>
      <c r="Q493" s="4" t="e">
        <f ca="1">[1]!BexGetData("DP_1","00O2TNJGODT0G5Z4TTKYMM5MT","GSON1112031260")</f>
        <v>#NAME?</v>
      </c>
      <c r="R493" s="4" t="e">
        <f ca="1">[1]!BexGetData("DP_1","00O2TNJGODT0G5Z4TTKYMMBYD","GSON1112031260")</f>
        <v>#NAME?</v>
      </c>
      <c r="S493" s="4" t="e">
        <f ca="1">[1]!BexGetData("DP_1","00O2TNJGODT0G5Z4TTKYMMI9X","GSON1112031260")</f>
        <v>#NAME?</v>
      </c>
      <c r="T493" s="4" t="e">
        <f ca="1">[1]!BexGetData("DP_1","00O2TNJGODT0G5Z4TTKYMMOLH","GSON1112031260")</f>
        <v>#NAME?</v>
      </c>
      <c r="U493" s="4" t="e">
        <f ca="1">[1]!BexGetData("DP_1","00O2TNJGODT0G5Z4TTKYMMUX1","GSON1112031260")</f>
        <v>#NAME?</v>
      </c>
      <c r="V493" s="4" t="e">
        <f ca="1">[1]!BexGetData("DP_1","00O2TNJGODT0G5Z4TTKYMN18L","GSON1112031260")</f>
        <v>#NAME?</v>
      </c>
      <c r="W493" s="4" t="e">
        <f ca="1">[1]!BexGetData("DP_1","00O2TNJGODT0G5Z4TTKYMN7K5","GSON1112031260")</f>
        <v>#NAME?</v>
      </c>
    </row>
    <row r="494" spans="1:23" x14ac:dyDescent="0.2">
      <c r="A494" s="16" t="s">
        <v>2381</v>
      </c>
      <c r="B494" s="7" t="s">
        <v>2382</v>
      </c>
      <c r="C494" s="3" t="e">
        <f ca="1">[1]!BexGetData("DP_1","003N8EMH8GTFRCSWKMPXRR8GU","GSON1112031261")</f>
        <v>#NAME?</v>
      </c>
      <c r="D494" s="3" t="e">
        <f ca="1">[1]!BexGetData("DP_1","003N8EMH8GTFRCSWKMPXRRESE","GSON1112031261")</f>
        <v>#NAME?</v>
      </c>
      <c r="E494" s="8" t="e">
        <f ca="1">[1]!BexGetData("DP_1","003N8EMH8GTFRCSWKMPXRRL3Y","GSON1112031261")</f>
        <v>#NAME?</v>
      </c>
      <c r="F494" s="4" t="e">
        <f ca="1">[1]!BexGetData("DP_1","003N8EMH8GTFRCSWKMPXRRRFI","GSON1112031261")</f>
        <v>#NAME?</v>
      </c>
      <c r="G494" s="4" t="e">
        <f ca="1">[1]!BexGetData("DP_1","003N8EMH8GTFRCSWKMPXRRXR2","GSON1112031261")</f>
        <v>#NAME?</v>
      </c>
      <c r="H494" s="4" t="e">
        <f ca="1">[1]!BexGetData("DP_1","003N8EMH8GTFRCSWKMPXRS42M","GSON1112031261")</f>
        <v>#NAME?</v>
      </c>
      <c r="I494" s="4" t="e">
        <f ca="1">[1]!BexGetData("DP_1","003N8EMH8GTFRCSWKMPXRSAE6","GSON1112031261")</f>
        <v>#NAME?</v>
      </c>
      <c r="J494" s="4" t="e">
        <f ca="1">[1]!BexGetData("DP_1","003N8EMH8GTFRCSWKMPXRSGPQ","GSON1112031261")</f>
        <v>#NAME?</v>
      </c>
      <c r="K494" s="8" t="e">
        <f ca="1">[1]!BexGetData("DP_1","003N8EMH8GTFRIVNUPY288VJH","GSON1112031261")</f>
        <v>#NAME?</v>
      </c>
      <c r="L494" s="8" t="e">
        <f ca="1">[1]!BexGetData("DP_1","003N8EMH8GTFRIVNUPY2891V1","GSON1112031261")</f>
        <v>#NAME?</v>
      </c>
      <c r="M494" s="8" t="e">
        <f ca="1">[1]!BexGetData("DP_1","003N8EMH8GTFRIVOG7KG9IQXA","GSON1112031261")</f>
        <v>#NAME?</v>
      </c>
      <c r="N494" s="8" t="e">
        <f ca="1">[1]!BexGetData("DP_1","003N8EMH8GTFRIVOG7KG9IX8U","GSON1112031261")</f>
        <v>#NAME?</v>
      </c>
      <c r="O494" s="8" t="e">
        <f ca="1">[1]!BexGetData("DP_1","003N8EMH8GTFRIVOG7KG9J3KE","GSON1112031261")</f>
        <v>#NAME?</v>
      </c>
      <c r="P494" s="8" t="e">
        <f ca="1">[1]!BexGetData("DP_1","003N8EMH8GTFRIVOG7KG9J9VY","GSON1112031261")</f>
        <v>#NAME?</v>
      </c>
      <c r="Q494" s="4" t="e">
        <f ca="1">[1]!BexGetData("DP_1","00O2TNJGODT0G5Z4TTKYMM5MT","GSON1112031261")</f>
        <v>#NAME?</v>
      </c>
      <c r="R494" s="4" t="e">
        <f ca="1">[1]!BexGetData("DP_1","00O2TNJGODT0G5Z4TTKYMMBYD","GSON1112031261")</f>
        <v>#NAME?</v>
      </c>
      <c r="S494" s="4" t="e">
        <f ca="1">[1]!BexGetData("DP_1","00O2TNJGODT0G5Z4TTKYMMI9X","GSON1112031261")</f>
        <v>#NAME?</v>
      </c>
      <c r="T494" s="4" t="e">
        <f ca="1">[1]!BexGetData("DP_1","00O2TNJGODT0G5Z4TTKYMMOLH","GSON1112031261")</f>
        <v>#NAME?</v>
      </c>
      <c r="U494" s="4" t="e">
        <f ca="1">[1]!BexGetData("DP_1","00O2TNJGODT0G5Z4TTKYMMUX1","GSON1112031261")</f>
        <v>#NAME?</v>
      </c>
      <c r="V494" s="4" t="e">
        <f ca="1">[1]!BexGetData("DP_1","00O2TNJGODT0G5Z4TTKYMN18L","GSON1112031261")</f>
        <v>#NAME?</v>
      </c>
      <c r="W494" s="4" t="e">
        <f ca="1">[1]!BexGetData("DP_1","00O2TNJGODT0G5Z4TTKYMN7K5","GSON1112031261")</f>
        <v>#NAME?</v>
      </c>
    </row>
    <row r="495" spans="1:23" x14ac:dyDescent="0.2">
      <c r="A495" s="16" t="s">
        <v>2383</v>
      </c>
      <c r="B495" s="7" t="s">
        <v>2384</v>
      </c>
      <c r="C495" s="3" t="e">
        <f ca="1">[1]!BexGetData("DP_1","003N8EMH8GTFRCSWKMPXRR8GU","GSON1112031263")</f>
        <v>#NAME?</v>
      </c>
      <c r="D495" s="3" t="e">
        <f ca="1">[1]!BexGetData("DP_1","003N8EMH8GTFRCSWKMPXRRESE","GSON1112031263")</f>
        <v>#NAME?</v>
      </c>
      <c r="E495" s="8" t="e">
        <f ca="1">[1]!BexGetData("DP_1","003N8EMH8GTFRCSWKMPXRRL3Y","GSON1112031263")</f>
        <v>#NAME?</v>
      </c>
      <c r="F495" s="4" t="e">
        <f ca="1">[1]!BexGetData("DP_1","003N8EMH8GTFRCSWKMPXRRRFI","GSON1112031263")</f>
        <v>#NAME?</v>
      </c>
      <c r="G495" s="4" t="e">
        <f ca="1">[1]!BexGetData("DP_1","003N8EMH8GTFRCSWKMPXRRXR2","GSON1112031263")</f>
        <v>#NAME?</v>
      </c>
      <c r="H495" s="4" t="e">
        <f ca="1">[1]!BexGetData("DP_1","003N8EMH8GTFRCSWKMPXRS42M","GSON1112031263")</f>
        <v>#NAME?</v>
      </c>
      <c r="I495" s="4" t="e">
        <f ca="1">[1]!BexGetData("DP_1","003N8EMH8GTFRCSWKMPXRSAE6","GSON1112031263")</f>
        <v>#NAME?</v>
      </c>
      <c r="J495" s="4" t="e">
        <f ca="1">[1]!BexGetData("DP_1","003N8EMH8GTFRCSWKMPXRSGPQ","GSON1112031263")</f>
        <v>#NAME?</v>
      </c>
      <c r="K495" s="8" t="e">
        <f ca="1">[1]!BexGetData("DP_1","003N8EMH8GTFRIVNUPY288VJH","GSON1112031263")</f>
        <v>#NAME?</v>
      </c>
      <c r="L495" s="8" t="e">
        <f ca="1">[1]!BexGetData("DP_1","003N8EMH8GTFRIVNUPY2891V1","GSON1112031263")</f>
        <v>#NAME?</v>
      </c>
      <c r="M495" s="8" t="e">
        <f ca="1">[1]!BexGetData("DP_1","003N8EMH8GTFRIVOG7KG9IQXA","GSON1112031263")</f>
        <v>#NAME?</v>
      </c>
      <c r="N495" s="8" t="e">
        <f ca="1">[1]!BexGetData("DP_1","003N8EMH8GTFRIVOG7KG9IX8U","GSON1112031263")</f>
        <v>#NAME?</v>
      </c>
      <c r="O495" s="8" t="e">
        <f ca="1">[1]!BexGetData("DP_1","003N8EMH8GTFRIVOG7KG9J3KE","GSON1112031263")</f>
        <v>#NAME?</v>
      </c>
      <c r="P495" s="8" t="e">
        <f ca="1">[1]!BexGetData("DP_1","003N8EMH8GTFRIVOG7KG9J9VY","GSON1112031263")</f>
        <v>#NAME?</v>
      </c>
      <c r="Q495" s="4" t="e">
        <f ca="1">[1]!BexGetData("DP_1","00O2TNJGODT0G5Z4TTKYMM5MT","GSON1112031263")</f>
        <v>#NAME?</v>
      </c>
      <c r="R495" s="4" t="e">
        <f ca="1">[1]!BexGetData("DP_1","00O2TNJGODT0G5Z4TTKYMMBYD","GSON1112031263")</f>
        <v>#NAME?</v>
      </c>
      <c r="S495" s="4" t="e">
        <f ca="1">[1]!BexGetData("DP_1","00O2TNJGODT0G5Z4TTKYMMI9X","GSON1112031263")</f>
        <v>#NAME?</v>
      </c>
      <c r="T495" s="4" t="e">
        <f ca="1">[1]!BexGetData("DP_1","00O2TNJGODT0G5Z4TTKYMMOLH","GSON1112031263")</f>
        <v>#NAME?</v>
      </c>
      <c r="U495" s="4" t="e">
        <f ca="1">[1]!BexGetData("DP_1","00O2TNJGODT0G5Z4TTKYMMUX1","GSON1112031263")</f>
        <v>#NAME?</v>
      </c>
      <c r="V495" s="4" t="e">
        <f ca="1">[1]!BexGetData("DP_1","00O2TNJGODT0G5Z4TTKYMN18L","GSON1112031263")</f>
        <v>#NAME?</v>
      </c>
      <c r="W495" s="4" t="e">
        <f ca="1">[1]!BexGetData("DP_1","00O2TNJGODT0G5Z4TTKYMN7K5","GSON1112031263")</f>
        <v>#NAME?</v>
      </c>
    </row>
    <row r="496" spans="1:23" x14ac:dyDescent="0.2">
      <c r="A496" s="16" t="s">
        <v>2385</v>
      </c>
      <c r="B496" s="7" t="s">
        <v>2386</v>
      </c>
      <c r="C496" s="3" t="e">
        <f ca="1">[1]!BexGetData("DP_1","003N8EMH8GTFRCSWKMPXRR8GU","GSON1112031265")</f>
        <v>#NAME?</v>
      </c>
      <c r="D496" s="3" t="e">
        <f ca="1">[1]!BexGetData("DP_1","003N8EMH8GTFRCSWKMPXRRESE","GSON1112031265")</f>
        <v>#NAME?</v>
      </c>
      <c r="E496" s="8" t="e">
        <f ca="1">[1]!BexGetData("DP_1","003N8EMH8GTFRCSWKMPXRRL3Y","GSON1112031265")</f>
        <v>#NAME?</v>
      </c>
      <c r="F496" s="4" t="e">
        <f ca="1">[1]!BexGetData("DP_1","003N8EMH8GTFRCSWKMPXRRRFI","GSON1112031265")</f>
        <v>#NAME?</v>
      </c>
      <c r="G496" s="4" t="e">
        <f ca="1">[1]!BexGetData("DP_1","003N8EMH8GTFRCSWKMPXRRXR2","GSON1112031265")</f>
        <v>#NAME?</v>
      </c>
      <c r="H496" s="4" t="e">
        <f ca="1">[1]!BexGetData("DP_1","003N8EMH8GTFRCSWKMPXRS42M","GSON1112031265")</f>
        <v>#NAME?</v>
      </c>
      <c r="I496" s="4" t="e">
        <f ca="1">[1]!BexGetData("DP_1","003N8EMH8GTFRCSWKMPXRSAE6","GSON1112031265")</f>
        <v>#NAME?</v>
      </c>
      <c r="J496" s="4" t="e">
        <f ca="1">[1]!BexGetData("DP_1","003N8EMH8GTFRCSWKMPXRSGPQ","GSON1112031265")</f>
        <v>#NAME?</v>
      </c>
      <c r="K496" s="8" t="e">
        <f ca="1">[1]!BexGetData("DP_1","003N8EMH8GTFRIVNUPY288VJH","GSON1112031265")</f>
        <v>#NAME?</v>
      </c>
      <c r="L496" s="8" t="e">
        <f ca="1">[1]!BexGetData("DP_1","003N8EMH8GTFRIVNUPY2891V1","GSON1112031265")</f>
        <v>#NAME?</v>
      </c>
      <c r="M496" s="8" t="e">
        <f ca="1">[1]!BexGetData("DP_1","003N8EMH8GTFRIVOG7KG9IQXA","GSON1112031265")</f>
        <v>#NAME?</v>
      </c>
      <c r="N496" s="8" t="e">
        <f ca="1">[1]!BexGetData("DP_1","003N8EMH8GTFRIVOG7KG9IX8U","GSON1112031265")</f>
        <v>#NAME?</v>
      </c>
      <c r="O496" s="8" t="e">
        <f ca="1">[1]!BexGetData("DP_1","003N8EMH8GTFRIVOG7KG9J3KE","GSON1112031265")</f>
        <v>#NAME?</v>
      </c>
      <c r="P496" s="8" t="e">
        <f ca="1">[1]!BexGetData("DP_1","003N8EMH8GTFRIVOG7KG9J9VY","GSON1112031265")</f>
        <v>#NAME?</v>
      </c>
      <c r="Q496" s="4" t="e">
        <f ca="1">[1]!BexGetData("DP_1","00O2TNJGODT0G5Z4TTKYMM5MT","GSON1112031265")</f>
        <v>#NAME?</v>
      </c>
      <c r="R496" s="4" t="e">
        <f ca="1">[1]!BexGetData("DP_1","00O2TNJGODT0G5Z4TTKYMMBYD","GSON1112031265")</f>
        <v>#NAME?</v>
      </c>
      <c r="S496" s="4" t="e">
        <f ca="1">[1]!BexGetData("DP_1","00O2TNJGODT0G5Z4TTKYMMI9X","GSON1112031265")</f>
        <v>#NAME?</v>
      </c>
      <c r="T496" s="4" t="e">
        <f ca="1">[1]!BexGetData("DP_1","00O2TNJGODT0G5Z4TTKYMMOLH","GSON1112031265")</f>
        <v>#NAME?</v>
      </c>
      <c r="U496" s="4" t="e">
        <f ca="1">[1]!BexGetData("DP_1","00O2TNJGODT0G5Z4TTKYMMUX1","GSON1112031265")</f>
        <v>#NAME?</v>
      </c>
      <c r="V496" s="4" t="e">
        <f ca="1">[1]!BexGetData("DP_1","00O2TNJGODT0G5Z4TTKYMN18L","GSON1112031265")</f>
        <v>#NAME?</v>
      </c>
      <c r="W496" s="4" t="e">
        <f ca="1">[1]!BexGetData("DP_1","00O2TNJGODT0G5Z4TTKYMN7K5","GSON1112031265")</f>
        <v>#NAME?</v>
      </c>
    </row>
    <row r="497" spans="1:23" x14ac:dyDescent="0.2">
      <c r="A497" s="16" t="s">
        <v>2387</v>
      </c>
      <c r="B497" s="7" t="s">
        <v>1634</v>
      </c>
      <c r="C497" s="3" t="e">
        <f ca="1">[1]!BexGetData("DP_1","003N8EMH8GTFRCSWKMPXRR8GU","GSON1112031270")</f>
        <v>#NAME?</v>
      </c>
      <c r="D497" s="3" t="e">
        <f ca="1">[1]!BexGetData("DP_1","003N8EMH8GTFRCSWKMPXRRESE","GSON1112031270")</f>
        <v>#NAME?</v>
      </c>
      <c r="E497" s="3" t="e">
        <f ca="1">[1]!BexGetData("DP_1","003N8EMH8GTFRCSWKMPXRRL3Y","GSON1112031270")</f>
        <v>#NAME?</v>
      </c>
      <c r="F497" s="4" t="e">
        <f ca="1">[1]!BexGetData("DP_1","003N8EMH8GTFRCSWKMPXRRRFI","GSON1112031270")</f>
        <v>#NAME?</v>
      </c>
      <c r="G497" s="4" t="e">
        <f ca="1">[1]!BexGetData("DP_1","003N8EMH8GTFRCSWKMPXRRXR2","GSON1112031270")</f>
        <v>#NAME?</v>
      </c>
      <c r="H497" s="4" t="e">
        <f ca="1">[1]!BexGetData("DP_1","003N8EMH8GTFRCSWKMPXRS42M","GSON1112031270")</f>
        <v>#NAME?</v>
      </c>
      <c r="I497" s="4" t="e">
        <f ca="1">[1]!BexGetData("DP_1","003N8EMH8GTFRCSWKMPXRSAE6","GSON1112031270")</f>
        <v>#NAME?</v>
      </c>
      <c r="J497" s="4" t="e">
        <f ca="1">[1]!BexGetData("DP_1","003N8EMH8GTFRCSWKMPXRSGPQ","GSON1112031270")</f>
        <v>#NAME?</v>
      </c>
      <c r="K497" s="3" t="e">
        <f ca="1">[1]!BexGetData("DP_1","003N8EMH8GTFRIVNUPY288VJH","GSON1112031270")</f>
        <v>#NAME?</v>
      </c>
      <c r="L497" s="3" t="e">
        <f ca="1">[1]!BexGetData("DP_1","003N8EMH8GTFRIVNUPY2891V1","GSON1112031270")</f>
        <v>#NAME?</v>
      </c>
      <c r="M497" s="8" t="e">
        <f ca="1">[1]!BexGetData("DP_1","003N8EMH8GTFRIVOG7KG9IQXA","GSON1112031270")</f>
        <v>#NAME?</v>
      </c>
      <c r="N497" s="3" t="e">
        <f ca="1">[1]!BexGetData("DP_1","003N8EMH8GTFRIVOG7KG9IX8U","GSON1112031270")</f>
        <v>#NAME?</v>
      </c>
      <c r="O497" s="8" t="e">
        <f ca="1">[1]!BexGetData("DP_1","003N8EMH8GTFRIVOG7KG9J3KE","GSON1112031270")</f>
        <v>#NAME?</v>
      </c>
      <c r="P497" s="3" t="e">
        <f ca="1">[1]!BexGetData("DP_1","003N8EMH8GTFRIVOG7KG9J9VY","GSON1112031270")</f>
        <v>#NAME?</v>
      </c>
      <c r="Q497" s="4" t="e">
        <f ca="1">[1]!BexGetData("DP_1","00O2TNJGODT0G5Z4TTKYMM5MT","GSON1112031270")</f>
        <v>#NAME?</v>
      </c>
      <c r="R497" s="4" t="e">
        <f ca="1">[1]!BexGetData("DP_1","00O2TNJGODT0G5Z4TTKYMMBYD","GSON1112031270")</f>
        <v>#NAME?</v>
      </c>
      <c r="S497" s="4" t="e">
        <f ca="1">[1]!BexGetData("DP_1","00O2TNJGODT0G5Z4TTKYMMI9X","GSON1112031270")</f>
        <v>#NAME?</v>
      </c>
      <c r="T497" s="4" t="e">
        <f ca="1">[1]!BexGetData("DP_1","00O2TNJGODT0G5Z4TTKYMMOLH","GSON1112031270")</f>
        <v>#NAME?</v>
      </c>
      <c r="U497" s="4" t="e">
        <f ca="1">[1]!BexGetData("DP_1","00O2TNJGODT0G5Z4TTKYMMUX1","GSON1112031270")</f>
        <v>#NAME?</v>
      </c>
      <c r="V497" s="4" t="e">
        <f ca="1">[1]!BexGetData("DP_1","00O2TNJGODT0G5Z4TTKYMN18L","GSON1112031270")</f>
        <v>#NAME?</v>
      </c>
      <c r="W497" s="4" t="e">
        <f ca="1">[1]!BexGetData("DP_1","00O2TNJGODT0G5Z4TTKYMN7K5","GSON1112031270")</f>
        <v>#NAME?</v>
      </c>
    </row>
    <row r="498" spans="1:23" x14ac:dyDescent="0.2">
      <c r="A498" s="16" t="s">
        <v>2388</v>
      </c>
      <c r="B498" s="7" t="s">
        <v>1635</v>
      </c>
      <c r="C498" s="3" t="e">
        <f ca="1">[1]!BexGetData("DP_1","003N8EMH8GTFRCSWKMPXRR8GU","GSON1112031271")</f>
        <v>#NAME?</v>
      </c>
      <c r="D498" s="3" t="e">
        <f ca="1">[1]!BexGetData("DP_1","003N8EMH8GTFRCSWKMPXRRESE","GSON1112031271")</f>
        <v>#NAME?</v>
      </c>
      <c r="E498" s="8" t="e">
        <f ca="1">[1]!BexGetData("DP_1","003N8EMH8GTFRCSWKMPXRRL3Y","GSON1112031271")</f>
        <v>#NAME?</v>
      </c>
      <c r="F498" s="4" t="e">
        <f ca="1">[1]!BexGetData("DP_1","003N8EMH8GTFRCSWKMPXRRRFI","GSON1112031271")</f>
        <v>#NAME?</v>
      </c>
      <c r="G498" s="4" t="e">
        <f ca="1">[1]!BexGetData("DP_1","003N8EMH8GTFRCSWKMPXRRXR2","GSON1112031271")</f>
        <v>#NAME?</v>
      </c>
      <c r="H498" s="4" t="e">
        <f ca="1">[1]!BexGetData("DP_1","003N8EMH8GTFRCSWKMPXRS42M","GSON1112031271")</f>
        <v>#NAME?</v>
      </c>
      <c r="I498" s="4" t="e">
        <f ca="1">[1]!BexGetData("DP_1","003N8EMH8GTFRCSWKMPXRSAE6","GSON1112031271")</f>
        <v>#NAME?</v>
      </c>
      <c r="J498" s="4" t="e">
        <f ca="1">[1]!BexGetData("DP_1","003N8EMH8GTFRCSWKMPXRSGPQ","GSON1112031271")</f>
        <v>#NAME?</v>
      </c>
      <c r="K498" s="8" t="e">
        <f ca="1">[1]!BexGetData("DP_1","003N8EMH8GTFRIVNUPY288VJH","GSON1112031271")</f>
        <v>#NAME?</v>
      </c>
      <c r="L498" s="8" t="e">
        <f ca="1">[1]!BexGetData("DP_1","003N8EMH8GTFRIVNUPY2891V1","GSON1112031271")</f>
        <v>#NAME?</v>
      </c>
      <c r="M498" s="8" t="e">
        <f ca="1">[1]!BexGetData("DP_1","003N8EMH8GTFRIVOG7KG9IQXA","GSON1112031271")</f>
        <v>#NAME?</v>
      </c>
      <c r="N498" s="8" t="e">
        <f ca="1">[1]!BexGetData("DP_1","003N8EMH8GTFRIVOG7KG9IX8U","GSON1112031271")</f>
        <v>#NAME?</v>
      </c>
      <c r="O498" s="8" t="e">
        <f ca="1">[1]!BexGetData("DP_1","003N8EMH8GTFRIVOG7KG9J3KE","GSON1112031271")</f>
        <v>#NAME?</v>
      </c>
      <c r="P498" s="8" t="e">
        <f ca="1">[1]!BexGetData("DP_1","003N8EMH8GTFRIVOG7KG9J9VY","GSON1112031271")</f>
        <v>#NAME?</v>
      </c>
      <c r="Q498" s="4" t="e">
        <f ca="1">[1]!BexGetData("DP_1","00O2TNJGODT0G5Z4TTKYMM5MT","GSON1112031271")</f>
        <v>#NAME?</v>
      </c>
      <c r="R498" s="4" t="e">
        <f ca="1">[1]!BexGetData("DP_1","00O2TNJGODT0G5Z4TTKYMMBYD","GSON1112031271")</f>
        <v>#NAME?</v>
      </c>
      <c r="S498" s="4" t="e">
        <f ca="1">[1]!BexGetData("DP_1","00O2TNJGODT0G5Z4TTKYMMI9X","GSON1112031271")</f>
        <v>#NAME?</v>
      </c>
      <c r="T498" s="4" t="e">
        <f ca="1">[1]!BexGetData("DP_1","00O2TNJGODT0G5Z4TTKYMMOLH","GSON1112031271")</f>
        <v>#NAME?</v>
      </c>
      <c r="U498" s="4" t="e">
        <f ca="1">[1]!BexGetData("DP_1","00O2TNJGODT0G5Z4TTKYMMUX1","GSON1112031271")</f>
        <v>#NAME?</v>
      </c>
      <c r="V498" s="4" t="e">
        <f ca="1">[1]!BexGetData("DP_1","00O2TNJGODT0G5Z4TTKYMN18L","GSON1112031271")</f>
        <v>#NAME?</v>
      </c>
      <c r="W498" s="4" t="e">
        <f ca="1">[1]!BexGetData("DP_1","00O2TNJGODT0G5Z4TTKYMN7K5","GSON1112031271")</f>
        <v>#NAME?</v>
      </c>
    </row>
    <row r="499" spans="1:23" x14ac:dyDescent="0.2">
      <c r="A499" s="16" t="s">
        <v>2389</v>
      </c>
      <c r="B499" s="7" t="s">
        <v>2390</v>
      </c>
      <c r="C499" s="3" t="e">
        <f ca="1">[1]!BexGetData("DP_1","003N8EMH8GTFRCSWKMPXRR8GU","GSON1112031273")</f>
        <v>#NAME?</v>
      </c>
      <c r="D499" s="3" t="e">
        <f ca="1">[1]!BexGetData("DP_1","003N8EMH8GTFRCSWKMPXRRESE","GSON1112031273")</f>
        <v>#NAME?</v>
      </c>
      <c r="E499" s="8" t="e">
        <f ca="1">[1]!BexGetData("DP_1","003N8EMH8GTFRCSWKMPXRRL3Y","GSON1112031273")</f>
        <v>#NAME?</v>
      </c>
      <c r="F499" s="4" t="e">
        <f ca="1">[1]!BexGetData("DP_1","003N8EMH8GTFRCSWKMPXRRRFI","GSON1112031273")</f>
        <v>#NAME?</v>
      </c>
      <c r="G499" s="4" t="e">
        <f ca="1">[1]!BexGetData("DP_1","003N8EMH8GTFRCSWKMPXRRXR2","GSON1112031273")</f>
        <v>#NAME?</v>
      </c>
      <c r="H499" s="4" t="e">
        <f ca="1">[1]!BexGetData("DP_1","003N8EMH8GTFRCSWKMPXRS42M","GSON1112031273")</f>
        <v>#NAME?</v>
      </c>
      <c r="I499" s="4" t="e">
        <f ca="1">[1]!BexGetData("DP_1","003N8EMH8GTFRCSWKMPXRSAE6","GSON1112031273")</f>
        <v>#NAME?</v>
      </c>
      <c r="J499" s="4" t="e">
        <f ca="1">[1]!BexGetData("DP_1","003N8EMH8GTFRCSWKMPXRSGPQ","GSON1112031273")</f>
        <v>#NAME?</v>
      </c>
      <c r="K499" s="8" t="e">
        <f ca="1">[1]!BexGetData("DP_1","003N8EMH8GTFRIVNUPY288VJH","GSON1112031273")</f>
        <v>#NAME?</v>
      </c>
      <c r="L499" s="8" t="e">
        <f ca="1">[1]!BexGetData("DP_1","003N8EMH8GTFRIVNUPY2891V1","GSON1112031273")</f>
        <v>#NAME?</v>
      </c>
      <c r="M499" s="8" t="e">
        <f ca="1">[1]!BexGetData("DP_1","003N8EMH8GTFRIVOG7KG9IQXA","GSON1112031273")</f>
        <v>#NAME?</v>
      </c>
      <c r="N499" s="8" t="e">
        <f ca="1">[1]!BexGetData("DP_1","003N8EMH8GTFRIVOG7KG9IX8U","GSON1112031273")</f>
        <v>#NAME?</v>
      </c>
      <c r="O499" s="8" t="e">
        <f ca="1">[1]!BexGetData("DP_1","003N8EMH8GTFRIVOG7KG9J3KE","GSON1112031273")</f>
        <v>#NAME?</v>
      </c>
      <c r="P499" s="8" t="e">
        <f ca="1">[1]!BexGetData("DP_1","003N8EMH8GTFRIVOG7KG9J9VY","GSON1112031273")</f>
        <v>#NAME?</v>
      </c>
      <c r="Q499" s="4" t="e">
        <f ca="1">[1]!BexGetData("DP_1","00O2TNJGODT0G5Z4TTKYMM5MT","GSON1112031273")</f>
        <v>#NAME?</v>
      </c>
      <c r="R499" s="4" t="e">
        <f ca="1">[1]!BexGetData("DP_1","00O2TNJGODT0G5Z4TTKYMMBYD","GSON1112031273")</f>
        <v>#NAME?</v>
      </c>
      <c r="S499" s="4" t="e">
        <f ca="1">[1]!BexGetData("DP_1","00O2TNJGODT0G5Z4TTKYMMI9X","GSON1112031273")</f>
        <v>#NAME?</v>
      </c>
      <c r="T499" s="4" t="e">
        <f ca="1">[1]!BexGetData("DP_1","00O2TNJGODT0G5Z4TTKYMMOLH","GSON1112031273")</f>
        <v>#NAME?</v>
      </c>
      <c r="U499" s="4" t="e">
        <f ca="1">[1]!BexGetData("DP_1","00O2TNJGODT0G5Z4TTKYMMUX1","GSON1112031273")</f>
        <v>#NAME?</v>
      </c>
      <c r="V499" s="4" t="e">
        <f ca="1">[1]!BexGetData("DP_1","00O2TNJGODT0G5Z4TTKYMN18L","GSON1112031273")</f>
        <v>#NAME?</v>
      </c>
      <c r="W499" s="4" t="e">
        <f ca="1">[1]!BexGetData("DP_1","00O2TNJGODT0G5Z4TTKYMN7K5","GSON1112031273")</f>
        <v>#NAME?</v>
      </c>
    </row>
    <row r="500" spans="1:23" x14ac:dyDescent="0.2">
      <c r="A500" s="16" t="s">
        <v>2391</v>
      </c>
      <c r="B500" s="7" t="s">
        <v>2392</v>
      </c>
      <c r="C500" s="3" t="e">
        <f ca="1">[1]!BexGetData("DP_1","003N8EMH8GTFRCSWKMPXRR8GU","GSON1112031275")</f>
        <v>#NAME?</v>
      </c>
      <c r="D500" s="3" t="e">
        <f ca="1">[1]!BexGetData("DP_1","003N8EMH8GTFRCSWKMPXRRESE","GSON1112031275")</f>
        <v>#NAME?</v>
      </c>
      <c r="E500" s="8" t="e">
        <f ca="1">[1]!BexGetData("DP_1","003N8EMH8GTFRCSWKMPXRRL3Y","GSON1112031275")</f>
        <v>#NAME?</v>
      </c>
      <c r="F500" s="4" t="e">
        <f ca="1">[1]!BexGetData("DP_1","003N8EMH8GTFRCSWKMPXRRRFI","GSON1112031275")</f>
        <v>#NAME?</v>
      </c>
      <c r="G500" s="4" t="e">
        <f ca="1">[1]!BexGetData("DP_1","003N8EMH8GTFRCSWKMPXRRXR2","GSON1112031275")</f>
        <v>#NAME?</v>
      </c>
      <c r="H500" s="4" t="e">
        <f ca="1">[1]!BexGetData("DP_1","003N8EMH8GTFRCSWKMPXRS42M","GSON1112031275")</f>
        <v>#NAME?</v>
      </c>
      <c r="I500" s="4" t="e">
        <f ca="1">[1]!BexGetData("DP_1","003N8EMH8GTFRCSWKMPXRSAE6","GSON1112031275")</f>
        <v>#NAME?</v>
      </c>
      <c r="J500" s="4" t="e">
        <f ca="1">[1]!BexGetData("DP_1","003N8EMH8GTFRCSWKMPXRSGPQ","GSON1112031275")</f>
        <v>#NAME?</v>
      </c>
      <c r="K500" s="8" t="e">
        <f ca="1">[1]!BexGetData("DP_1","003N8EMH8GTFRIVNUPY288VJH","GSON1112031275")</f>
        <v>#NAME?</v>
      </c>
      <c r="L500" s="8" t="e">
        <f ca="1">[1]!BexGetData("DP_1","003N8EMH8GTFRIVNUPY2891V1","GSON1112031275")</f>
        <v>#NAME?</v>
      </c>
      <c r="M500" s="8" t="e">
        <f ca="1">[1]!BexGetData("DP_1","003N8EMH8GTFRIVOG7KG9IQXA","GSON1112031275")</f>
        <v>#NAME?</v>
      </c>
      <c r="N500" s="8" t="e">
        <f ca="1">[1]!BexGetData("DP_1","003N8EMH8GTFRIVOG7KG9IX8U","GSON1112031275")</f>
        <v>#NAME?</v>
      </c>
      <c r="O500" s="8" t="e">
        <f ca="1">[1]!BexGetData("DP_1","003N8EMH8GTFRIVOG7KG9J3KE","GSON1112031275")</f>
        <v>#NAME?</v>
      </c>
      <c r="P500" s="8" t="e">
        <f ca="1">[1]!BexGetData("DP_1","003N8EMH8GTFRIVOG7KG9J9VY","GSON1112031275")</f>
        <v>#NAME?</v>
      </c>
      <c r="Q500" s="4" t="e">
        <f ca="1">[1]!BexGetData("DP_1","00O2TNJGODT0G5Z4TTKYMM5MT","GSON1112031275")</f>
        <v>#NAME?</v>
      </c>
      <c r="R500" s="4" t="e">
        <f ca="1">[1]!BexGetData("DP_1","00O2TNJGODT0G5Z4TTKYMMBYD","GSON1112031275")</f>
        <v>#NAME?</v>
      </c>
      <c r="S500" s="4" t="e">
        <f ca="1">[1]!BexGetData("DP_1","00O2TNJGODT0G5Z4TTKYMMI9X","GSON1112031275")</f>
        <v>#NAME?</v>
      </c>
      <c r="T500" s="4" t="e">
        <f ca="1">[1]!BexGetData("DP_1","00O2TNJGODT0G5Z4TTKYMMOLH","GSON1112031275")</f>
        <v>#NAME?</v>
      </c>
      <c r="U500" s="4" t="e">
        <f ca="1">[1]!BexGetData("DP_1","00O2TNJGODT0G5Z4TTKYMMUX1","GSON1112031275")</f>
        <v>#NAME?</v>
      </c>
      <c r="V500" s="4" t="e">
        <f ca="1">[1]!BexGetData("DP_1","00O2TNJGODT0G5Z4TTKYMN18L","GSON1112031275")</f>
        <v>#NAME?</v>
      </c>
      <c r="W500" s="4" t="e">
        <f ca="1">[1]!BexGetData("DP_1","00O2TNJGODT0G5Z4TTKYMN7K5","GSON1112031275")</f>
        <v>#NAME?</v>
      </c>
    </row>
    <row r="501" spans="1:23" x14ac:dyDescent="0.2">
      <c r="A501" s="16" t="s">
        <v>2393</v>
      </c>
      <c r="B501" s="7" t="s">
        <v>2394</v>
      </c>
      <c r="C501" s="3" t="e">
        <f ca="1">[1]!BexGetData("DP_1","003N8EMH8GTFRCSWKMPXRR8GU","GSON1112031280")</f>
        <v>#NAME?</v>
      </c>
      <c r="D501" s="3" t="e">
        <f ca="1">[1]!BexGetData("DP_1","003N8EMH8GTFRCSWKMPXRRESE","GSON1112031280")</f>
        <v>#NAME?</v>
      </c>
      <c r="E501" s="3" t="e">
        <f ca="1">[1]!BexGetData("DP_1","003N8EMH8GTFRCSWKMPXRRL3Y","GSON1112031280")</f>
        <v>#NAME?</v>
      </c>
      <c r="F501" s="4" t="e">
        <f ca="1">[1]!BexGetData("DP_1","003N8EMH8GTFRCSWKMPXRRRFI","GSON1112031280")</f>
        <v>#NAME?</v>
      </c>
      <c r="G501" s="4" t="e">
        <f ca="1">[1]!BexGetData("DP_1","003N8EMH8GTFRCSWKMPXRRXR2","GSON1112031280")</f>
        <v>#NAME?</v>
      </c>
      <c r="H501" s="4" t="e">
        <f ca="1">[1]!BexGetData("DP_1","003N8EMH8GTFRCSWKMPXRS42M","GSON1112031280")</f>
        <v>#NAME?</v>
      </c>
      <c r="I501" s="4" t="e">
        <f ca="1">[1]!BexGetData("DP_1","003N8EMH8GTFRCSWKMPXRSAE6","GSON1112031280")</f>
        <v>#NAME?</v>
      </c>
      <c r="J501" s="4" t="e">
        <f ca="1">[1]!BexGetData("DP_1","003N8EMH8GTFRCSWKMPXRSGPQ","GSON1112031280")</f>
        <v>#NAME?</v>
      </c>
      <c r="K501" s="3" t="e">
        <f ca="1">[1]!BexGetData("DP_1","003N8EMH8GTFRIVNUPY288VJH","GSON1112031280")</f>
        <v>#NAME?</v>
      </c>
      <c r="L501" s="3" t="e">
        <f ca="1">[1]!BexGetData("DP_1","003N8EMH8GTFRIVNUPY2891V1","GSON1112031280")</f>
        <v>#NAME?</v>
      </c>
      <c r="M501" s="8" t="e">
        <f ca="1">[1]!BexGetData("DP_1","003N8EMH8GTFRIVOG7KG9IQXA","GSON1112031280")</f>
        <v>#NAME?</v>
      </c>
      <c r="N501" s="3" t="e">
        <f ca="1">[1]!BexGetData("DP_1","003N8EMH8GTFRIVOG7KG9IX8U","GSON1112031280")</f>
        <v>#NAME?</v>
      </c>
      <c r="O501" s="8" t="e">
        <f ca="1">[1]!BexGetData("DP_1","003N8EMH8GTFRIVOG7KG9J3KE","GSON1112031280")</f>
        <v>#NAME?</v>
      </c>
      <c r="P501" s="3" t="e">
        <f ca="1">[1]!BexGetData("DP_1","003N8EMH8GTFRIVOG7KG9J9VY","GSON1112031280")</f>
        <v>#NAME?</v>
      </c>
      <c r="Q501" s="4" t="e">
        <f ca="1">[1]!BexGetData("DP_1","00O2TNJGODT0G5Z4TTKYMM5MT","GSON1112031280")</f>
        <v>#NAME?</v>
      </c>
      <c r="R501" s="4" t="e">
        <f ca="1">[1]!BexGetData("DP_1","00O2TNJGODT0G5Z4TTKYMMBYD","GSON1112031280")</f>
        <v>#NAME?</v>
      </c>
      <c r="S501" s="4" t="e">
        <f ca="1">[1]!BexGetData("DP_1","00O2TNJGODT0G5Z4TTKYMMI9X","GSON1112031280")</f>
        <v>#NAME?</v>
      </c>
      <c r="T501" s="4" t="e">
        <f ca="1">[1]!BexGetData("DP_1","00O2TNJGODT0G5Z4TTKYMMOLH","GSON1112031280")</f>
        <v>#NAME?</v>
      </c>
      <c r="U501" s="4" t="e">
        <f ca="1">[1]!BexGetData("DP_1","00O2TNJGODT0G5Z4TTKYMMUX1","GSON1112031280")</f>
        <v>#NAME?</v>
      </c>
      <c r="V501" s="4" t="e">
        <f ca="1">[1]!BexGetData("DP_1","00O2TNJGODT0G5Z4TTKYMN18L","GSON1112031280")</f>
        <v>#NAME?</v>
      </c>
      <c r="W501" s="4" t="e">
        <f ca="1">[1]!BexGetData("DP_1","00O2TNJGODT0G5Z4TTKYMN7K5","GSON1112031280")</f>
        <v>#NAME?</v>
      </c>
    </row>
    <row r="502" spans="1:23" x14ac:dyDescent="0.2">
      <c r="A502" s="16" t="s">
        <v>2395</v>
      </c>
      <c r="B502" s="7" t="s">
        <v>2396</v>
      </c>
      <c r="C502" s="3" t="e">
        <f ca="1">[1]!BexGetData("DP_1","003N8EMH8GTFRCSWKMPXRR8GU","GSON1112031281")</f>
        <v>#NAME?</v>
      </c>
      <c r="D502" s="3" t="e">
        <f ca="1">[1]!BexGetData("DP_1","003N8EMH8GTFRCSWKMPXRRESE","GSON1112031281")</f>
        <v>#NAME?</v>
      </c>
      <c r="E502" s="8" t="e">
        <f ca="1">[1]!BexGetData("DP_1","003N8EMH8GTFRCSWKMPXRRL3Y","GSON1112031281")</f>
        <v>#NAME?</v>
      </c>
      <c r="F502" s="4" t="e">
        <f ca="1">[1]!BexGetData("DP_1","003N8EMH8GTFRCSWKMPXRRRFI","GSON1112031281")</f>
        <v>#NAME?</v>
      </c>
      <c r="G502" s="4" t="e">
        <f ca="1">[1]!BexGetData("DP_1","003N8EMH8GTFRCSWKMPXRRXR2","GSON1112031281")</f>
        <v>#NAME?</v>
      </c>
      <c r="H502" s="4" t="e">
        <f ca="1">[1]!BexGetData("DP_1","003N8EMH8GTFRCSWKMPXRS42M","GSON1112031281")</f>
        <v>#NAME?</v>
      </c>
      <c r="I502" s="4" t="e">
        <f ca="1">[1]!BexGetData("DP_1","003N8EMH8GTFRCSWKMPXRSAE6","GSON1112031281")</f>
        <v>#NAME?</v>
      </c>
      <c r="J502" s="4" t="e">
        <f ca="1">[1]!BexGetData("DP_1","003N8EMH8GTFRCSWKMPXRSGPQ","GSON1112031281")</f>
        <v>#NAME?</v>
      </c>
      <c r="K502" s="8" t="e">
        <f ca="1">[1]!BexGetData("DP_1","003N8EMH8GTFRIVNUPY288VJH","GSON1112031281")</f>
        <v>#NAME?</v>
      </c>
      <c r="L502" s="8" t="e">
        <f ca="1">[1]!BexGetData("DP_1","003N8EMH8GTFRIVNUPY2891V1","GSON1112031281")</f>
        <v>#NAME?</v>
      </c>
      <c r="M502" s="8" t="e">
        <f ca="1">[1]!BexGetData("DP_1","003N8EMH8GTFRIVOG7KG9IQXA","GSON1112031281")</f>
        <v>#NAME?</v>
      </c>
      <c r="N502" s="8" t="e">
        <f ca="1">[1]!BexGetData("DP_1","003N8EMH8GTFRIVOG7KG9IX8U","GSON1112031281")</f>
        <v>#NAME?</v>
      </c>
      <c r="O502" s="8" t="e">
        <f ca="1">[1]!BexGetData("DP_1","003N8EMH8GTFRIVOG7KG9J3KE","GSON1112031281")</f>
        <v>#NAME?</v>
      </c>
      <c r="P502" s="8" t="e">
        <f ca="1">[1]!BexGetData("DP_1","003N8EMH8GTFRIVOG7KG9J9VY","GSON1112031281")</f>
        <v>#NAME?</v>
      </c>
      <c r="Q502" s="4" t="e">
        <f ca="1">[1]!BexGetData("DP_1","00O2TNJGODT0G5Z4TTKYMM5MT","GSON1112031281")</f>
        <v>#NAME?</v>
      </c>
      <c r="R502" s="4" t="e">
        <f ca="1">[1]!BexGetData("DP_1","00O2TNJGODT0G5Z4TTKYMMBYD","GSON1112031281")</f>
        <v>#NAME?</v>
      </c>
      <c r="S502" s="4" t="e">
        <f ca="1">[1]!BexGetData("DP_1","00O2TNJGODT0G5Z4TTKYMMI9X","GSON1112031281")</f>
        <v>#NAME?</v>
      </c>
      <c r="T502" s="4" t="e">
        <f ca="1">[1]!BexGetData("DP_1","00O2TNJGODT0G5Z4TTKYMMOLH","GSON1112031281")</f>
        <v>#NAME?</v>
      </c>
      <c r="U502" s="4" t="e">
        <f ca="1">[1]!BexGetData("DP_1","00O2TNJGODT0G5Z4TTKYMMUX1","GSON1112031281")</f>
        <v>#NAME?</v>
      </c>
      <c r="V502" s="4" t="e">
        <f ca="1">[1]!BexGetData("DP_1","00O2TNJGODT0G5Z4TTKYMN18L","GSON1112031281")</f>
        <v>#NAME?</v>
      </c>
      <c r="W502" s="4" t="e">
        <f ca="1">[1]!BexGetData("DP_1","00O2TNJGODT0G5Z4TTKYMN7K5","GSON1112031281")</f>
        <v>#NAME?</v>
      </c>
    </row>
    <row r="503" spans="1:23" x14ac:dyDescent="0.2">
      <c r="A503" s="16" t="s">
        <v>2397</v>
      </c>
      <c r="B503" s="7" t="s">
        <v>2398</v>
      </c>
      <c r="C503" s="3" t="e">
        <f ca="1">[1]!BexGetData("DP_1","003N8EMH8GTFRCSWKMPXRR8GU","GSON1112031282")</f>
        <v>#NAME?</v>
      </c>
      <c r="D503" s="3" t="e">
        <f ca="1">[1]!BexGetData("DP_1","003N8EMH8GTFRCSWKMPXRRESE","GSON1112031282")</f>
        <v>#NAME?</v>
      </c>
      <c r="E503" s="8" t="e">
        <f ca="1">[1]!BexGetData("DP_1","003N8EMH8GTFRCSWKMPXRRL3Y","GSON1112031282")</f>
        <v>#NAME?</v>
      </c>
      <c r="F503" s="4" t="e">
        <f ca="1">[1]!BexGetData("DP_1","003N8EMH8GTFRCSWKMPXRRRFI","GSON1112031282")</f>
        <v>#NAME?</v>
      </c>
      <c r="G503" s="4" t="e">
        <f ca="1">[1]!BexGetData("DP_1","003N8EMH8GTFRCSWKMPXRRXR2","GSON1112031282")</f>
        <v>#NAME?</v>
      </c>
      <c r="H503" s="4" t="e">
        <f ca="1">[1]!BexGetData("DP_1","003N8EMH8GTFRCSWKMPXRS42M","GSON1112031282")</f>
        <v>#NAME?</v>
      </c>
      <c r="I503" s="4" t="e">
        <f ca="1">[1]!BexGetData("DP_1","003N8EMH8GTFRCSWKMPXRSAE6","GSON1112031282")</f>
        <v>#NAME?</v>
      </c>
      <c r="J503" s="4" t="e">
        <f ca="1">[1]!BexGetData("DP_1","003N8EMH8GTFRCSWKMPXRSGPQ","GSON1112031282")</f>
        <v>#NAME?</v>
      </c>
      <c r="K503" s="8" t="e">
        <f ca="1">[1]!BexGetData("DP_1","003N8EMH8GTFRIVNUPY288VJH","GSON1112031282")</f>
        <v>#NAME?</v>
      </c>
      <c r="L503" s="8" t="e">
        <f ca="1">[1]!BexGetData("DP_1","003N8EMH8GTFRIVNUPY2891V1","GSON1112031282")</f>
        <v>#NAME?</v>
      </c>
      <c r="M503" s="8" t="e">
        <f ca="1">[1]!BexGetData("DP_1","003N8EMH8GTFRIVOG7KG9IQXA","GSON1112031282")</f>
        <v>#NAME?</v>
      </c>
      <c r="N503" s="8" t="e">
        <f ca="1">[1]!BexGetData("DP_1","003N8EMH8GTFRIVOG7KG9IX8U","GSON1112031282")</f>
        <v>#NAME?</v>
      </c>
      <c r="O503" s="8" t="e">
        <f ca="1">[1]!BexGetData("DP_1","003N8EMH8GTFRIVOG7KG9J3KE","GSON1112031282")</f>
        <v>#NAME?</v>
      </c>
      <c r="P503" s="8" t="e">
        <f ca="1">[1]!BexGetData("DP_1","003N8EMH8GTFRIVOG7KG9J9VY","GSON1112031282")</f>
        <v>#NAME?</v>
      </c>
      <c r="Q503" s="4" t="e">
        <f ca="1">[1]!BexGetData("DP_1","00O2TNJGODT0G5Z4TTKYMM5MT","GSON1112031282")</f>
        <v>#NAME?</v>
      </c>
      <c r="R503" s="4" t="e">
        <f ca="1">[1]!BexGetData("DP_1","00O2TNJGODT0G5Z4TTKYMMBYD","GSON1112031282")</f>
        <v>#NAME?</v>
      </c>
      <c r="S503" s="4" t="e">
        <f ca="1">[1]!BexGetData("DP_1","00O2TNJGODT0G5Z4TTKYMMI9X","GSON1112031282")</f>
        <v>#NAME?</v>
      </c>
      <c r="T503" s="4" t="e">
        <f ca="1">[1]!BexGetData("DP_1","00O2TNJGODT0G5Z4TTKYMMOLH","GSON1112031282")</f>
        <v>#NAME?</v>
      </c>
      <c r="U503" s="4" t="e">
        <f ca="1">[1]!BexGetData("DP_1","00O2TNJGODT0G5Z4TTKYMMUX1","GSON1112031282")</f>
        <v>#NAME?</v>
      </c>
      <c r="V503" s="4" t="e">
        <f ca="1">[1]!BexGetData("DP_1","00O2TNJGODT0G5Z4TTKYMN18L","GSON1112031282")</f>
        <v>#NAME?</v>
      </c>
      <c r="W503" s="4" t="e">
        <f ca="1">[1]!BexGetData("DP_1","00O2TNJGODT0G5Z4TTKYMN7K5","GSON1112031282")</f>
        <v>#NAME?</v>
      </c>
    </row>
    <row r="504" spans="1:23" x14ac:dyDescent="0.2">
      <c r="A504" s="16" t="s">
        <v>2399</v>
      </c>
      <c r="B504" s="7" t="s">
        <v>2400</v>
      </c>
      <c r="C504" s="3" t="e">
        <f ca="1">[1]!BexGetData("DP_1","003N8EMH8GTFRCSWKMPXRR8GU","GSON1112031283")</f>
        <v>#NAME?</v>
      </c>
      <c r="D504" s="3" t="e">
        <f ca="1">[1]!BexGetData("DP_1","003N8EMH8GTFRCSWKMPXRRESE","GSON1112031283")</f>
        <v>#NAME?</v>
      </c>
      <c r="E504" s="8" t="e">
        <f ca="1">[1]!BexGetData("DP_1","003N8EMH8GTFRCSWKMPXRRL3Y","GSON1112031283")</f>
        <v>#NAME?</v>
      </c>
      <c r="F504" s="4" t="e">
        <f ca="1">[1]!BexGetData("DP_1","003N8EMH8GTFRCSWKMPXRRRFI","GSON1112031283")</f>
        <v>#NAME?</v>
      </c>
      <c r="G504" s="4" t="e">
        <f ca="1">[1]!BexGetData("DP_1","003N8EMH8GTFRCSWKMPXRRXR2","GSON1112031283")</f>
        <v>#NAME?</v>
      </c>
      <c r="H504" s="4" t="e">
        <f ca="1">[1]!BexGetData("DP_1","003N8EMH8GTFRCSWKMPXRS42M","GSON1112031283")</f>
        <v>#NAME?</v>
      </c>
      <c r="I504" s="4" t="e">
        <f ca="1">[1]!BexGetData("DP_1","003N8EMH8GTFRCSWKMPXRSAE6","GSON1112031283")</f>
        <v>#NAME?</v>
      </c>
      <c r="J504" s="4" t="e">
        <f ca="1">[1]!BexGetData("DP_1","003N8EMH8GTFRCSWKMPXRSGPQ","GSON1112031283")</f>
        <v>#NAME?</v>
      </c>
      <c r="K504" s="8" t="e">
        <f ca="1">[1]!BexGetData("DP_1","003N8EMH8GTFRIVNUPY288VJH","GSON1112031283")</f>
        <v>#NAME?</v>
      </c>
      <c r="L504" s="8" t="e">
        <f ca="1">[1]!BexGetData("DP_1","003N8EMH8GTFRIVNUPY2891V1","GSON1112031283")</f>
        <v>#NAME?</v>
      </c>
      <c r="M504" s="8" t="e">
        <f ca="1">[1]!BexGetData("DP_1","003N8EMH8GTFRIVOG7KG9IQXA","GSON1112031283")</f>
        <v>#NAME?</v>
      </c>
      <c r="N504" s="8" t="e">
        <f ca="1">[1]!BexGetData("DP_1","003N8EMH8GTFRIVOG7KG9IX8U","GSON1112031283")</f>
        <v>#NAME?</v>
      </c>
      <c r="O504" s="8" t="e">
        <f ca="1">[1]!BexGetData("DP_1","003N8EMH8GTFRIVOG7KG9J3KE","GSON1112031283")</f>
        <v>#NAME?</v>
      </c>
      <c r="P504" s="8" t="e">
        <f ca="1">[1]!BexGetData("DP_1","003N8EMH8GTFRIVOG7KG9J9VY","GSON1112031283")</f>
        <v>#NAME?</v>
      </c>
      <c r="Q504" s="4" t="e">
        <f ca="1">[1]!BexGetData("DP_1","00O2TNJGODT0G5Z4TTKYMM5MT","GSON1112031283")</f>
        <v>#NAME?</v>
      </c>
      <c r="R504" s="4" t="e">
        <f ca="1">[1]!BexGetData("DP_1","00O2TNJGODT0G5Z4TTKYMMBYD","GSON1112031283")</f>
        <v>#NAME?</v>
      </c>
      <c r="S504" s="4" t="e">
        <f ca="1">[1]!BexGetData("DP_1","00O2TNJGODT0G5Z4TTKYMMI9X","GSON1112031283")</f>
        <v>#NAME?</v>
      </c>
      <c r="T504" s="4" t="e">
        <f ca="1">[1]!BexGetData("DP_1","00O2TNJGODT0G5Z4TTKYMMOLH","GSON1112031283")</f>
        <v>#NAME?</v>
      </c>
      <c r="U504" s="4" t="e">
        <f ca="1">[1]!BexGetData("DP_1","00O2TNJGODT0G5Z4TTKYMMUX1","GSON1112031283")</f>
        <v>#NAME?</v>
      </c>
      <c r="V504" s="4" t="e">
        <f ca="1">[1]!BexGetData("DP_1","00O2TNJGODT0G5Z4TTKYMN18L","GSON1112031283")</f>
        <v>#NAME?</v>
      </c>
      <c r="W504" s="4" t="e">
        <f ca="1">[1]!BexGetData("DP_1","00O2TNJGODT0G5Z4TTKYMN7K5","GSON1112031283")</f>
        <v>#NAME?</v>
      </c>
    </row>
    <row r="505" spans="1:23" x14ac:dyDescent="0.2">
      <c r="A505" s="16" t="s">
        <v>2401</v>
      </c>
      <c r="B505" s="7" t="s">
        <v>2402</v>
      </c>
      <c r="C505" s="3" t="e">
        <f ca="1">[1]!BexGetData("DP_1","003N8EMH8GTFRCSWKMPXRR8GU","GSON1112031285")</f>
        <v>#NAME?</v>
      </c>
      <c r="D505" s="3" t="e">
        <f ca="1">[1]!BexGetData("DP_1","003N8EMH8GTFRCSWKMPXRRESE","GSON1112031285")</f>
        <v>#NAME?</v>
      </c>
      <c r="E505" s="8" t="e">
        <f ca="1">[1]!BexGetData("DP_1","003N8EMH8GTFRCSWKMPXRRL3Y","GSON1112031285")</f>
        <v>#NAME?</v>
      </c>
      <c r="F505" s="4" t="e">
        <f ca="1">[1]!BexGetData("DP_1","003N8EMH8GTFRCSWKMPXRRRFI","GSON1112031285")</f>
        <v>#NAME?</v>
      </c>
      <c r="G505" s="4" t="e">
        <f ca="1">[1]!BexGetData("DP_1","003N8EMH8GTFRCSWKMPXRRXR2","GSON1112031285")</f>
        <v>#NAME?</v>
      </c>
      <c r="H505" s="4" t="e">
        <f ca="1">[1]!BexGetData("DP_1","003N8EMH8GTFRCSWKMPXRS42M","GSON1112031285")</f>
        <v>#NAME?</v>
      </c>
      <c r="I505" s="4" t="e">
        <f ca="1">[1]!BexGetData("DP_1","003N8EMH8GTFRCSWKMPXRSAE6","GSON1112031285")</f>
        <v>#NAME?</v>
      </c>
      <c r="J505" s="4" t="e">
        <f ca="1">[1]!BexGetData("DP_1","003N8EMH8GTFRCSWKMPXRSGPQ","GSON1112031285")</f>
        <v>#NAME?</v>
      </c>
      <c r="K505" s="8" t="e">
        <f ca="1">[1]!BexGetData("DP_1","003N8EMH8GTFRIVNUPY288VJH","GSON1112031285")</f>
        <v>#NAME?</v>
      </c>
      <c r="L505" s="8" t="e">
        <f ca="1">[1]!BexGetData("DP_1","003N8EMH8GTFRIVNUPY2891V1","GSON1112031285")</f>
        <v>#NAME?</v>
      </c>
      <c r="M505" s="8" t="e">
        <f ca="1">[1]!BexGetData("DP_1","003N8EMH8GTFRIVOG7KG9IQXA","GSON1112031285")</f>
        <v>#NAME?</v>
      </c>
      <c r="N505" s="8" t="e">
        <f ca="1">[1]!BexGetData("DP_1","003N8EMH8GTFRIVOG7KG9IX8U","GSON1112031285")</f>
        <v>#NAME?</v>
      </c>
      <c r="O505" s="8" t="e">
        <f ca="1">[1]!BexGetData("DP_1","003N8EMH8GTFRIVOG7KG9J3KE","GSON1112031285")</f>
        <v>#NAME?</v>
      </c>
      <c r="P505" s="8" t="e">
        <f ca="1">[1]!BexGetData("DP_1","003N8EMH8GTFRIVOG7KG9J9VY","GSON1112031285")</f>
        <v>#NAME?</v>
      </c>
      <c r="Q505" s="4" t="e">
        <f ca="1">[1]!BexGetData("DP_1","00O2TNJGODT0G5Z4TTKYMM5MT","GSON1112031285")</f>
        <v>#NAME?</v>
      </c>
      <c r="R505" s="4" t="e">
        <f ca="1">[1]!BexGetData("DP_1","00O2TNJGODT0G5Z4TTKYMMBYD","GSON1112031285")</f>
        <v>#NAME?</v>
      </c>
      <c r="S505" s="4" t="e">
        <f ca="1">[1]!BexGetData("DP_1","00O2TNJGODT0G5Z4TTKYMMI9X","GSON1112031285")</f>
        <v>#NAME?</v>
      </c>
      <c r="T505" s="4" t="e">
        <f ca="1">[1]!BexGetData("DP_1","00O2TNJGODT0G5Z4TTKYMMOLH","GSON1112031285")</f>
        <v>#NAME?</v>
      </c>
      <c r="U505" s="4" t="e">
        <f ca="1">[1]!BexGetData("DP_1","00O2TNJGODT0G5Z4TTKYMMUX1","GSON1112031285")</f>
        <v>#NAME?</v>
      </c>
      <c r="V505" s="4" t="e">
        <f ca="1">[1]!BexGetData("DP_1","00O2TNJGODT0G5Z4TTKYMN18L","GSON1112031285")</f>
        <v>#NAME?</v>
      </c>
      <c r="W505" s="4" t="e">
        <f ca="1">[1]!BexGetData("DP_1","00O2TNJGODT0G5Z4TTKYMN7K5","GSON1112031285")</f>
        <v>#NAME?</v>
      </c>
    </row>
    <row r="506" spans="1:23" x14ac:dyDescent="0.2">
      <c r="A506" s="16" t="s">
        <v>2403</v>
      </c>
      <c r="B506" s="7" t="s">
        <v>2404</v>
      </c>
      <c r="C506" s="3" t="e">
        <f ca="1">[1]!BexGetData("DP_1","003N8EMH8GTFRCSWKMPXRR8GU","GSON1112031290")</f>
        <v>#NAME?</v>
      </c>
      <c r="D506" s="3" t="e">
        <f ca="1">[1]!BexGetData("DP_1","003N8EMH8GTFRCSWKMPXRRESE","GSON1112031290")</f>
        <v>#NAME?</v>
      </c>
      <c r="E506" s="3" t="e">
        <f ca="1">[1]!BexGetData("DP_1","003N8EMH8GTFRCSWKMPXRRL3Y","GSON1112031290")</f>
        <v>#NAME?</v>
      </c>
      <c r="F506" s="4" t="e">
        <f ca="1">[1]!BexGetData("DP_1","003N8EMH8GTFRCSWKMPXRRRFI","GSON1112031290")</f>
        <v>#NAME?</v>
      </c>
      <c r="G506" s="4" t="e">
        <f ca="1">[1]!BexGetData("DP_1","003N8EMH8GTFRCSWKMPXRRXR2","GSON1112031290")</f>
        <v>#NAME?</v>
      </c>
      <c r="H506" s="4" t="e">
        <f ca="1">[1]!BexGetData("DP_1","003N8EMH8GTFRCSWKMPXRS42M","GSON1112031290")</f>
        <v>#NAME?</v>
      </c>
      <c r="I506" s="4" t="e">
        <f ca="1">[1]!BexGetData("DP_1","003N8EMH8GTFRCSWKMPXRSAE6","GSON1112031290")</f>
        <v>#NAME?</v>
      </c>
      <c r="J506" s="4" t="e">
        <f ca="1">[1]!BexGetData("DP_1","003N8EMH8GTFRCSWKMPXRSGPQ","GSON1112031290")</f>
        <v>#NAME?</v>
      </c>
      <c r="K506" s="3" t="e">
        <f ca="1">[1]!BexGetData("DP_1","003N8EMH8GTFRIVNUPY288VJH","GSON1112031290")</f>
        <v>#NAME?</v>
      </c>
      <c r="L506" s="3" t="e">
        <f ca="1">[1]!BexGetData("DP_1","003N8EMH8GTFRIVNUPY2891V1","GSON1112031290")</f>
        <v>#NAME?</v>
      </c>
      <c r="M506" s="8" t="e">
        <f ca="1">[1]!BexGetData("DP_1","003N8EMH8GTFRIVOG7KG9IQXA","GSON1112031290")</f>
        <v>#NAME?</v>
      </c>
      <c r="N506" s="3" t="e">
        <f ca="1">[1]!BexGetData("DP_1","003N8EMH8GTFRIVOG7KG9IX8U","GSON1112031290")</f>
        <v>#NAME?</v>
      </c>
      <c r="O506" s="8" t="e">
        <f ca="1">[1]!BexGetData("DP_1","003N8EMH8GTFRIVOG7KG9J3KE","GSON1112031290")</f>
        <v>#NAME?</v>
      </c>
      <c r="P506" s="3" t="e">
        <f ca="1">[1]!BexGetData("DP_1","003N8EMH8GTFRIVOG7KG9J9VY","GSON1112031290")</f>
        <v>#NAME?</v>
      </c>
      <c r="Q506" s="4" t="e">
        <f ca="1">[1]!BexGetData("DP_1","00O2TNJGODT0G5Z4TTKYMM5MT","GSON1112031290")</f>
        <v>#NAME?</v>
      </c>
      <c r="R506" s="4" t="e">
        <f ca="1">[1]!BexGetData("DP_1","00O2TNJGODT0G5Z4TTKYMMBYD","GSON1112031290")</f>
        <v>#NAME?</v>
      </c>
      <c r="S506" s="4" t="e">
        <f ca="1">[1]!BexGetData("DP_1","00O2TNJGODT0G5Z4TTKYMMI9X","GSON1112031290")</f>
        <v>#NAME?</v>
      </c>
      <c r="T506" s="4" t="e">
        <f ca="1">[1]!BexGetData("DP_1","00O2TNJGODT0G5Z4TTKYMMOLH","GSON1112031290")</f>
        <v>#NAME?</v>
      </c>
      <c r="U506" s="4" t="e">
        <f ca="1">[1]!BexGetData("DP_1","00O2TNJGODT0G5Z4TTKYMMUX1","GSON1112031290")</f>
        <v>#NAME?</v>
      </c>
      <c r="V506" s="4" t="e">
        <f ca="1">[1]!BexGetData("DP_1","00O2TNJGODT0G5Z4TTKYMN18L","GSON1112031290")</f>
        <v>#NAME?</v>
      </c>
      <c r="W506" s="4" t="e">
        <f ca="1">[1]!BexGetData("DP_1","00O2TNJGODT0G5Z4TTKYMN7K5","GSON1112031290")</f>
        <v>#NAME?</v>
      </c>
    </row>
    <row r="507" spans="1:23" x14ac:dyDescent="0.2">
      <c r="A507" s="16" t="s">
        <v>2405</v>
      </c>
      <c r="B507" s="7" t="s">
        <v>2406</v>
      </c>
      <c r="C507" s="3" t="e">
        <f ca="1">[1]!BexGetData("DP_1","003N8EMH8GTFRCSWKMPXRR8GU","GSON1112031291")</f>
        <v>#NAME?</v>
      </c>
      <c r="D507" s="3" t="e">
        <f ca="1">[1]!BexGetData("DP_1","003N8EMH8GTFRCSWKMPXRRESE","GSON1112031291")</f>
        <v>#NAME?</v>
      </c>
      <c r="E507" s="8" t="e">
        <f ca="1">[1]!BexGetData("DP_1","003N8EMH8GTFRCSWKMPXRRL3Y","GSON1112031291")</f>
        <v>#NAME?</v>
      </c>
      <c r="F507" s="4" t="e">
        <f ca="1">[1]!BexGetData("DP_1","003N8EMH8GTFRCSWKMPXRRRFI","GSON1112031291")</f>
        <v>#NAME?</v>
      </c>
      <c r="G507" s="4" t="e">
        <f ca="1">[1]!BexGetData("DP_1","003N8EMH8GTFRCSWKMPXRRXR2","GSON1112031291")</f>
        <v>#NAME?</v>
      </c>
      <c r="H507" s="4" t="e">
        <f ca="1">[1]!BexGetData("DP_1","003N8EMH8GTFRCSWKMPXRS42M","GSON1112031291")</f>
        <v>#NAME?</v>
      </c>
      <c r="I507" s="4" t="e">
        <f ca="1">[1]!BexGetData("DP_1","003N8EMH8GTFRCSWKMPXRSAE6","GSON1112031291")</f>
        <v>#NAME?</v>
      </c>
      <c r="J507" s="4" t="e">
        <f ca="1">[1]!BexGetData("DP_1","003N8EMH8GTFRCSWKMPXRSGPQ","GSON1112031291")</f>
        <v>#NAME?</v>
      </c>
      <c r="K507" s="8" t="e">
        <f ca="1">[1]!BexGetData("DP_1","003N8EMH8GTFRIVNUPY288VJH","GSON1112031291")</f>
        <v>#NAME?</v>
      </c>
      <c r="L507" s="8" t="e">
        <f ca="1">[1]!BexGetData("DP_1","003N8EMH8GTFRIVNUPY2891V1","GSON1112031291")</f>
        <v>#NAME?</v>
      </c>
      <c r="M507" s="8" t="e">
        <f ca="1">[1]!BexGetData("DP_1","003N8EMH8GTFRIVOG7KG9IQXA","GSON1112031291")</f>
        <v>#NAME?</v>
      </c>
      <c r="N507" s="8" t="e">
        <f ca="1">[1]!BexGetData("DP_1","003N8EMH8GTFRIVOG7KG9IX8U","GSON1112031291")</f>
        <v>#NAME?</v>
      </c>
      <c r="O507" s="8" t="e">
        <f ca="1">[1]!BexGetData("DP_1","003N8EMH8GTFRIVOG7KG9J3KE","GSON1112031291")</f>
        <v>#NAME?</v>
      </c>
      <c r="P507" s="8" t="e">
        <f ca="1">[1]!BexGetData("DP_1","003N8EMH8GTFRIVOG7KG9J9VY","GSON1112031291")</f>
        <v>#NAME?</v>
      </c>
      <c r="Q507" s="4" t="e">
        <f ca="1">[1]!BexGetData("DP_1","00O2TNJGODT0G5Z4TTKYMM5MT","GSON1112031291")</f>
        <v>#NAME?</v>
      </c>
      <c r="R507" s="4" t="e">
        <f ca="1">[1]!BexGetData("DP_1","00O2TNJGODT0G5Z4TTKYMMBYD","GSON1112031291")</f>
        <v>#NAME?</v>
      </c>
      <c r="S507" s="4" t="e">
        <f ca="1">[1]!BexGetData("DP_1","00O2TNJGODT0G5Z4TTKYMMI9X","GSON1112031291")</f>
        <v>#NAME?</v>
      </c>
      <c r="T507" s="4" t="e">
        <f ca="1">[1]!BexGetData("DP_1","00O2TNJGODT0G5Z4TTKYMMOLH","GSON1112031291")</f>
        <v>#NAME?</v>
      </c>
      <c r="U507" s="4" t="e">
        <f ca="1">[1]!BexGetData("DP_1","00O2TNJGODT0G5Z4TTKYMMUX1","GSON1112031291")</f>
        <v>#NAME?</v>
      </c>
      <c r="V507" s="4" t="e">
        <f ca="1">[1]!BexGetData("DP_1","00O2TNJGODT0G5Z4TTKYMN18L","GSON1112031291")</f>
        <v>#NAME?</v>
      </c>
      <c r="W507" s="4" t="e">
        <f ca="1">[1]!BexGetData("DP_1","00O2TNJGODT0G5Z4TTKYMN7K5","GSON1112031291")</f>
        <v>#NAME?</v>
      </c>
    </row>
    <row r="508" spans="1:23" x14ac:dyDescent="0.2">
      <c r="A508" s="16" t="s">
        <v>2407</v>
      </c>
      <c r="B508" s="7" t="s">
        <v>2408</v>
      </c>
      <c r="C508" s="3" t="e">
        <f ca="1">[1]!BexGetData("DP_1","003N8EMH8GTFRCSWKMPXRR8GU","GSON1112031293")</f>
        <v>#NAME?</v>
      </c>
      <c r="D508" s="3" t="e">
        <f ca="1">[1]!BexGetData("DP_1","003N8EMH8GTFRCSWKMPXRRESE","GSON1112031293")</f>
        <v>#NAME?</v>
      </c>
      <c r="E508" s="8" t="e">
        <f ca="1">[1]!BexGetData("DP_1","003N8EMH8GTFRCSWKMPXRRL3Y","GSON1112031293")</f>
        <v>#NAME?</v>
      </c>
      <c r="F508" s="4" t="e">
        <f ca="1">[1]!BexGetData("DP_1","003N8EMH8GTFRCSWKMPXRRRFI","GSON1112031293")</f>
        <v>#NAME?</v>
      </c>
      <c r="G508" s="4" t="e">
        <f ca="1">[1]!BexGetData("DP_1","003N8EMH8GTFRCSWKMPXRRXR2","GSON1112031293")</f>
        <v>#NAME?</v>
      </c>
      <c r="H508" s="4" t="e">
        <f ca="1">[1]!BexGetData("DP_1","003N8EMH8GTFRCSWKMPXRS42M","GSON1112031293")</f>
        <v>#NAME?</v>
      </c>
      <c r="I508" s="4" t="e">
        <f ca="1">[1]!BexGetData("DP_1","003N8EMH8GTFRCSWKMPXRSAE6","GSON1112031293")</f>
        <v>#NAME?</v>
      </c>
      <c r="J508" s="4" t="e">
        <f ca="1">[1]!BexGetData("DP_1","003N8EMH8GTFRCSWKMPXRSGPQ","GSON1112031293")</f>
        <v>#NAME?</v>
      </c>
      <c r="K508" s="8" t="e">
        <f ca="1">[1]!BexGetData("DP_1","003N8EMH8GTFRIVNUPY288VJH","GSON1112031293")</f>
        <v>#NAME?</v>
      </c>
      <c r="L508" s="8" t="e">
        <f ca="1">[1]!BexGetData("DP_1","003N8EMH8GTFRIVNUPY2891V1","GSON1112031293")</f>
        <v>#NAME?</v>
      </c>
      <c r="M508" s="8" t="e">
        <f ca="1">[1]!BexGetData("DP_1","003N8EMH8GTFRIVOG7KG9IQXA","GSON1112031293")</f>
        <v>#NAME?</v>
      </c>
      <c r="N508" s="8" t="e">
        <f ca="1">[1]!BexGetData("DP_1","003N8EMH8GTFRIVOG7KG9IX8U","GSON1112031293")</f>
        <v>#NAME?</v>
      </c>
      <c r="O508" s="8" t="e">
        <f ca="1">[1]!BexGetData("DP_1","003N8EMH8GTFRIVOG7KG9J3KE","GSON1112031293")</f>
        <v>#NAME?</v>
      </c>
      <c r="P508" s="8" t="e">
        <f ca="1">[1]!BexGetData("DP_1","003N8EMH8GTFRIVOG7KG9J9VY","GSON1112031293")</f>
        <v>#NAME?</v>
      </c>
      <c r="Q508" s="4" t="e">
        <f ca="1">[1]!BexGetData("DP_1","00O2TNJGODT0G5Z4TTKYMM5MT","GSON1112031293")</f>
        <v>#NAME?</v>
      </c>
      <c r="R508" s="4" t="e">
        <f ca="1">[1]!BexGetData("DP_1","00O2TNJGODT0G5Z4TTKYMMBYD","GSON1112031293")</f>
        <v>#NAME?</v>
      </c>
      <c r="S508" s="4" t="e">
        <f ca="1">[1]!BexGetData("DP_1","00O2TNJGODT0G5Z4TTKYMMI9X","GSON1112031293")</f>
        <v>#NAME?</v>
      </c>
      <c r="T508" s="4" t="e">
        <f ca="1">[1]!BexGetData("DP_1","00O2TNJGODT0G5Z4TTKYMMOLH","GSON1112031293")</f>
        <v>#NAME?</v>
      </c>
      <c r="U508" s="4" t="e">
        <f ca="1">[1]!BexGetData("DP_1","00O2TNJGODT0G5Z4TTKYMMUX1","GSON1112031293")</f>
        <v>#NAME?</v>
      </c>
      <c r="V508" s="4" t="e">
        <f ca="1">[1]!BexGetData("DP_1","00O2TNJGODT0G5Z4TTKYMN18L","GSON1112031293")</f>
        <v>#NAME?</v>
      </c>
      <c r="W508" s="4" t="e">
        <f ca="1">[1]!BexGetData("DP_1","00O2TNJGODT0G5Z4TTKYMN7K5","GSON1112031293")</f>
        <v>#NAME?</v>
      </c>
    </row>
    <row r="509" spans="1:23" x14ac:dyDescent="0.2">
      <c r="A509" s="16" t="s">
        <v>2409</v>
      </c>
      <c r="B509" s="7" t="s">
        <v>2410</v>
      </c>
      <c r="C509" s="3" t="e">
        <f ca="1">[1]!BexGetData("DP_1","003N8EMH8GTFRCSWKMPXRR8GU","GSON1112031295")</f>
        <v>#NAME?</v>
      </c>
      <c r="D509" s="3" t="e">
        <f ca="1">[1]!BexGetData("DP_1","003N8EMH8GTFRCSWKMPXRRESE","GSON1112031295")</f>
        <v>#NAME?</v>
      </c>
      <c r="E509" s="8" t="e">
        <f ca="1">[1]!BexGetData("DP_1","003N8EMH8GTFRCSWKMPXRRL3Y","GSON1112031295")</f>
        <v>#NAME?</v>
      </c>
      <c r="F509" s="4" t="e">
        <f ca="1">[1]!BexGetData("DP_1","003N8EMH8GTFRCSWKMPXRRRFI","GSON1112031295")</f>
        <v>#NAME?</v>
      </c>
      <c r="G509" s="4" t="e">
        <f ca="1">[1]!BexGetData("DP_1","003N8EMH8GTFRCSWKMPXRRXR2","GSON1112031295")</f>
        <v>#NAME?</v>
      </c>
      <c r="H509" s="4" t="e">
        <f ca="1">[1]!BexGetData("DP_1","003N8EMH8GTFRCSWKMPXRS42M","GSON1112031295")</f>
        <v>#NAME?</v>
      </c>
      <c r="I509" s="4" t="e">
        <f ca="1">[1]!BexGetData("DP_1","003N8EMH8GTFRCSWKMPXRSAE6","GSON1112031295")</f>
        <v>#NAME?</v>
      </c>
      <c r="J509" s="4" t="e">
        <f ca="1">[1]!BexGetData("DP_1","003N8EMH8GTFRCSWKMPXRSGPQ","GSON1112031295")</f>
        <v>#NAME?</v>
      </c>
      <c r="K509" s="8" t="e">
        <f ca="1">[1]!BexGetData("DP_1","003N8EMH8GTFRIVNUPY288VJH","GSON1112031295")</f>
        <v>#NAME?</v>
      </c>
      <c r="L509" s="8" t="e">
        <f ca="1">[1]!BexGetData("DP_1","003N8EMH8GTFRIVNUPY2891V1","GSON1112031295")</f>
        <v>#NAME?</v>
      </c>
      <c r="M509" s="8" t="e">
        <f ca="1">[1]!BexGetData("DP_1","003N8EMH8GTFRIVOG7KG9IQXA","GSON1112031295")</f>
        <v>#NAME?</v>
      </c>
      <c r="N509" s="8" t="e">
        <f ca="1">[1]!BexGetData("DP_1","003N8EMH8GTFRIVOG7KG9IX8U","GSON1112031295")</f>
        <v>#NAME?</v>
      </c>
      <c r="O509" s="8" t="e">
        <f ca="1">[1]!BexGetData("DP_1","003N8EMH8GTFRIVOG7KG9J3KE","GSON1112031295")</f>
        <v>#NAME?</v>
      </c>
      <c r="P509" s="8" t="e">
        <f ca="1">[1]!BexGetData("DP_1","003N8EMH8GTFRIVOG7KG9J9VY","GSON1112031295")</f>
        <v>#NAME?</v>
      </c>
      <c r="Q509" s="4" t="e">
        <f ca="1">[1]!BexGetData("DP_1","00O2TNJGODT0G5Z4TTKYMM5MT","GSON1112031295")</f>
        <v>#NAME?</v>
      </c>
      <c r="R509" s="4" t="e">
        <f ca="1">[1]!BexGetData("DP_1","00O2TNJGODT0G5Z4TTKYMMBYD","GSON1112031295")</f>
        <v>#NAME?</v>
      </c>
      <c r="S509" s="4" t="e">
        <f ca="1">[1]!BexGetData("DP_1","00O2TNJGODT0G5Z4TTKYMMI9X","GSON1112031295")</f>
        <v>#NAME?</v>
      </c>
      <c r="T509" s="4" t="e">
        <f ca="1">[1]!BexGetData("DP_1","00O2TNJGODT0G5Z4TTKYMMOLH","GSON1112031295")</f>
        <v>#NAME?</v>
      </c>
      <c r="U509" s="4" t="e">
        <f ca="1">[1]!BexGetData("DP_1","00O2TNJGODT0G5Z4TTKYMMUX1","GSON1112031295")</f>
        <v>#NAME?</v>
      </c>
      <c r="V509" s="4" t="e">
        <f ca="1">[1]!BexGetData("DP_1","00O2TNJGODT0G5Z4TTKYMN18L","GSON1112031295")</f>
        <v>#NAME?</v>
      </c>
      <c r="W509" s="4" t="e">
        <f ca="1">[1]!BexGetData("DP_1","00O2TNJGODT0G5Z4TTKYMN7K5","GSON1112031295")</f>
        <v>#NAME?</v>
      </c>
    </row>
    <row r="510" spans="1:23" x14ac:dyDescent="0.2">
      <c r="A510" s="16" t="s">
        <v>2411</v>
      </c>
      <c r="B510" s="7" t="s">
        <v>2412</v>
      </c>
      <c r="C510" s="3" t="e">
        <f ca="1">[1]!BexGetData("DP_1","003N8EMH8GTFRCSWKMPXRR8GU","GSON1112031300")</f>
        <v>#NAME?</v>
      </c>
      <c r="D510" s="8" t="e">
        <f ca="1">[1]!BexGetData("DP_1","003N8EMH8GTFRCSWKMPXRRESE","GSON1112031300")</f>
        <v>#NAME?</v>
      </c>
      <c r="E510" s="3" t="e">
        <f ca="1">[1]!BexGetData("DP_1","003N8EMH8GTFRCSWKMPXRRL3Y","GSON1112031300")</f>
        <v>#NAME?</v>
      </c>
      <c r="F510" s="4" t="e">
        <f ca="1">[1]!BexGetData("DP_1","003N8EMH8GTFRCSWKMPXRRRFI","GSON1112031300")</f>
        <v>#NAME?</v>
      </c>
      <c r="G510" s="4" t="e">
        <f ca="1">[1]!BexGetData("DP_1","003N8EMH8GTFRCSWKMPXRRXR2","GSON1112031300")</f>
        <v>#NAME?</v>
      </c>
      <c r="H510" s="4" t="e">
        <f ca="1">[1]!BexGetData("DP_1","003N8EMH8GTFRCSWKMPXRS42M","GSON1112031300")</f>
        <v>#NAME?</v>
      </c>
      <c r="I510" s="4" t="e">
        <f ca="1">[1]!BexGetData("DP_1","003N8EMH8GTFRCSWKMPXRSAE6","GSON1112031300")</f>
        <v>#NAME?</v>
      </c>
      <c r="J510" s="4" t="e">
        <f ca="1">[1]!BexGetData("DP_1","003N8EMH8GTFRCSWKMPXRSGPQ","GSON1112031300")</f>
        <v>#NAME?</v>
      </c>
      <c r="K510" s="3" t="e">
        <f ca="1">[1]!BexGetData("DP_1","003N8EMH8GTFRIVNUPY288VJH","GSON1112031300")</f>
        <v>#NAME?</v>
      </c>
      <c r="L510" s="3" t="e">
        <f ca="1">[1]!BexGetData("DP_1","003N8EMH8GTFRIVNUPY2891V1","GSON1112031300")</f>
        <v>#NAME?</v>
      </c>
      <c r="M510" s="8" t="e">
        <f ca="1">[1]!BexGetData("DP_1","003N8EMH8GTFRIVOG7KG9IQXA","GSON1112031300")</f>
        <v>#NAME?</v>
      </c>
      <c r="N510" s="3" t="e">
        <f ca="1">[1]!BexGetData("DP_1","003N8EMH8GTFRIVOG7KG9IX8U","GSON1112031300")</f>
        <v>#NAME?</v>
      </c>
      <c r="O510" s="8" t="e">
        <f ca="1">[1]!BexGetData("DP_1","003N8EMH8GTFRIVOG7KG9J3KE","GSON1112031300")</f>
        <v>#NAME?</v>
      </c>
      <c r="P510" s="3" t="e">
        <f ca="1">[1]!BexGetData("DP_1","003N8EMH8GTFRIVOG7KG9J9VY","GSON1112031300")</f>
        <v>#NAME?</v>
      </c>
      <c r="Q510" s="4" t="e">
        <f ca="1">[1]!BexGetData("DP_1","00O2TNJGODT0G5Z4TTKYMM5MT","GSON1112031300")</f>
        <v>#NAME?</v>
      </c>
      <c r="R510" s="4" t="e">
        <f ca="1">[1]!BexGetData("DP_1","00O2TNJGODT0G5Z4TTKYMMBYD","GSON1112031300")</f>
        <v>#NAME?</v>
      </c>
      <c r="S510" s="4" t="e">
        <f ca="1">[1]!BexGetData("DP_1","00O2TNJGODT0G5Z4TTKYMMI9X","GSON1112031300")</f>
        <v>#NAME?</v>
      </c>
      <c r="T510" s="4" t="e">
        <f ca="1">[1]!BexGetData("DP_1","00O2TNJGODT0G5Z4TTKYMMOLH","GSON1112031300")</f>
        <v>#NAME?</v>
      </c>
      <c r="U510" s="4" t="e">
        <f ca="1">[1]!BexGetData("DP_1","00O2TNJGODT0G5Z4TTKYMMUX1","GSON1112031300")</f>
        <v>#NAME?</v>
      </c>
      <c r="V510" s="4" t="e">
        <f ca="1">[1]!BexGetData("DP_1","00O2TNJGODT0G5Z4TTKYMN18L","GSON1112031300")</f>
        <v>#NAME?</v>
      </c>
      <c r="W510" s="4" t="e">
        <f ca="1">[1]!BexGetData("DP_1","00O2TNJGODT0G5Z4TTKYMN7K5","GSON1112031300")</f>
        <v>#NAME?</v>
      </c>
    </row>
    <row r="511" spans="1:23" x14ac:dyDescent="0.2">
      <c r="A511" s="16" t="s">
        <v>2413</v>
      </c>
      <c r="B511" s="7" t="s">
        <v>2414</v>
      </c>
      <c r="C511" s="3" t="e">
        <f ca="1">[1]!BexGetData("DP_1","003N8EMH8GTFRCSWKMPXRR8GU","GSON1112031301")</f>
        <v>#NAME?</v>
      </c>
      <c r="D511" s="3" t="e">
        <f ca="1">[1]!BexGetData("DP_1","003N8EMH8GTFRCSWKMPXRRESE","GSON1112031301")</f>
        <v>#NAME?</v>
      </c>
      <c r="E511" s="8" t="e">
        <f ca="1">[1]!BexGetData("DP_1","003N8EMH8GTFRCSWKMPXRRL3Y","GSON1112031301")</f>
        <v>#NAME?</v>
      </c>
      <c r="F511" s="4" t="e">
        <f ca="1">[1]!BexGetData("DP_1","003N8EMH8GTFRCSWKMPXRRRFI","GSON1112031301")</f>
        <v>#NAME?</v>
      </c>
      <c r="G511" s="4" t="e">
        <f ca="1">[1]!BexGetData("DP_1","003N8EMH8GTFRCSWKMPXRRXR2","GSON1112031301")</f>
        <v>#NAME?</v>
      </c>
      <c r="H511" s="4" t="e">
        <f ca="1">[1]!BexGetData("DP_1","003N8EMH8GTFRCSWKMPXRS42M","GSON1112031301")</f>
        <v>#NAME?</v>
      </c>
      <c r="I511" s="4" t="e">
        <f ca="1">[1]!BexGetData("DP_1","003N8EMH8GTFRCSWKMPXRSAE6","GSON1112031301")</f>
        <v>#NAME?</v>
      </c>
      <c r="J511" s="4" t="e">
        <f ca="1">[1]!BexGetData("DP_1","003N8EMH8GTFRCSWKMPXRSGPQ","GSON1112031301")</f>
        <v>#NAME?</v>
      </c>
      <c r="K511" s="8" t="e">
        <f ca="1">[1]!BexGetData("DP_1","003N8EMH8GTFRIVNUPY288VJH","GSON1112031301")</f>
        <v>#NAME?</v>
      </c>
      <c r="L511" s="8" t="e">
        <f ca="1">[1]!BexGetData("DP_1","003N8EMH8GTFRIVNUPY2891V1","GSON1112031301")</f>
        <v>#NAME?</v>
      </c>
      <c r="M511" s="8" t="e">
        <f ca="1">[1]!BexGetData("DP_1","003N8EMH8GTFRIVOG7KG9IQXA","GSON1112031301")</f>
        <v>#NAME?</v>
      </c>
      <c r="N511" s="8" t="e">
        <f ca="1">[1]!BexGetData("DP_1","003N8EMH8GTFRIVOG7KG9IX8U","GSON1112031301")</f>
        <v>#NAME?</v>
      </c>
      <c r="O511" s="8" t="e">
        <f ca="1">[1]!BexGetData("DP_1","003N8EMH8GTFRIVOG7KG9J3KE","GSON1112031301")</f>
        <v>#NAME?</v>
      </c>
      <c r="P511" s="8" t="e">
        <f ca="1">[1]!BexGetData("DP_1","003N8EMH8GTFRIVOG7KG9J9VY","GSON1112031301")</f>
        <v>#NAME?</v>
      </c>
      <c r="Q511" s="4" t="e">
        <f ca="1">[1]!BexGetData("DP_1","00O2TNJGODT0G5Z4TTKYMM5MT","GSON1112031301")</f>
        <v>#NAME?</v>
      </c>
      <c r="R511" s="4" t="e">
        <f ca="1">[1]!BexGetData("DP_1","00O2TNJGODT0G5Z4TTKYMMBYD","GSON1112031301")</f>
        <v>#NAME?</v>
      </c>
      <c r="S511" s="4" t="e">
        <f ca="1">[1]!BexGetData("DP_1","00O2TNJGODT0G5Z4TTKYMMI9X","GSON1112031301")</f>
        <v>#NAME?</v>
      </c>
      <c r="T511" s="4" t="e">
        <f ca="1">[1]!BexGetData("DP_1","00O2TNJGODT0G5Z4TTKYMMOLH","GSON1112031301")</f>
        <v>#NAME?</v>
      </c>
      <c r="U511" s="4" t="e">
        <f ca="1">[1]!BexGetData("DP_1","00O2TNJGODT0G5Z4TTKYMMUX1","GSON1112031301")</f>
        <v>#NAME?</v>
      </c>
      <c r="V511" s="4" t="e">
        <f ca="1">[1]!BexGetData("DP_1","00O2TNJGODT0G5Z4TTKYMN18L","GSON1112031301")</f>
        <v>#NAME?</v>
      </c>
      <c r="W511" s="4" t="e">
        <f ca="1">[1]!BexGetData("DP_1","00O2TNJGODT0G5Z4TTKYMN7K5","GSON1112031301")</f>
        <v>#NAME?</v>
      </c>
    </row>
    <row r="512" spans="1:23" x14ac:dyDescent="0.2">
      <c r="A512" s="16" t="s">
        <v>2415</v>
      </c>
      <c r="B512" s="7" t="s">
        <v>2416</v>
      </c>
      <c r="C512" s="3" t="e">
        <f ca="1">[1]!BexGetData("DP_1","003N8EMH8GTFRCSWKMPXRR8GU","GSON1112031310")</f>
        <v>#NAME?</v>
      </c>
      <c r="D512" s="3" t="e">
        <f ca="1">[1]!BexGetData("DP_1","003N8EMH8GTFRCSWKMPXRRESE","GSON1112031310")</f>
        <v>#NAME?</v>
      </c>
      <c r="E512" s="3" t="e">
        <f ca="1">[1]!BexGetData("DP_1","003N8EMH8GTFRCSWKMPXRRL3Y","GSON1112031310")</f>
        <v>#NAME?</v>
      </c>
      <c r="F512" s="4" t="e">
        <f ca="1">[1]!BexGetData("DP_1","003N8EMH8GTFRCSWKMPXRRRFI","GSON1112031310")</f>
        <v>#NAME?</v>
      </c>
      <c r="G512" s="4" t="e">
        <f ca="1">[1]!BexGetData("DP_1","003N8EMH8GTFRCSWKMPXRRXR2","GSON1112031310")</f>
        <v>#NAME?</v>
      </c>
      <c r="H512" s="4" t="e">
        <f ca="1">[1]!BexGetData("DP_1","003N8EMH8GTFRCSWKMPXRS42M","GSON1112031310")</f>
        <v>#NAME?</v>
      </c>
      <c r="I512" s="4" t="e">
        <f ca="1">[1]!BexGetData("DP_1","003N8EMH8GTFRCSWKMPXRSAE6","GSON1112031310")</f>
        <v>#NAME?</v>
      </c>
      <c r="J512" s="4" t="e">
        <f ca="1">[1]!BexGetData("DP_1","003N8EMH8GTFRCSWKMPXRSGPQ","GSON1112031310")</f>
        <v>#NAME?</v>
      </c>
      <c r="K512" s="3" t="e">
        <f ca="1">[1]!BexGetData("DP_1","003N8EMH8GTFRIVNUPY288VJH","GSON1112031310")</f>
        <v>#NAME?</v>
      </c>
      <c r="L512" s="3" t="e">
        <f ca="1">[1]!BexGetData("DP_1","003N8EMH8GTFRIVNUPY2891V1","GSON1112031310")</f>
        <v>#NAME?</v>
      </c>
      <c r="M512" s="8" t="e">
        <f ca="1">[1]!BexGetData("DP_1","003N8EMH8GTFRIVOG7KG9IQXA","GSON1112031310")</f>
        <v>#NAME?</v>
      </c>
      <c r="N512" s="3" t="e">
        <f ca="1">[1]!BexGetData("DP_1","003N8EMH8GTFRIVOG7KG9IX8U","GSON1112031310")</f>
        <v>#NAME?</v>
      </c>
      <c r="O512" s="8" t="e">
        <f ca="1">[1]!BexGetData("DP_1","003N8EMH8GTFRIVOG7KG9J3KE","GSON1112031310")</f>
        <v>#NAME?</v>
      </c>
      <c r="P512" s="3" t="e">
        <f ca="1">[1]!BexGetData("DP_1","003N8EMH8GTFRIVOG7KG9J9VY","GSON1112031310")</f>
        <v>#NAME?</v>
      </c>
      <c r="Q512" s="4" t="e">
        <f ca="1">[1]!BexGetData("DP_1","00O2TNJGODT0G5Z4TTKYMM5MT","GSON1112031310")</f>
        <v>#NAME?</v>
      </c>
      <c r="R512" s="4" t="e">
        <f ca="1">[1]!BexGetData("DP_1","00O2TNJGODT0G5Z4TTKYMMBYD","GSON1112031310")</f>
        <v>#NAME?</v>
      </c>
      <c r="S512" s="4" t="e">
        <f ca="1">[1]!BexGetData("DP_1","00O2TNJGODT0G5Z4TTKYMMI9X","GSON1112031310")</f>
        <v>#NAME?</v>
      </c>
      <c r="T512" s="4" t="e">
        <f ca="1">[1]!BexGetData("DP_1","00O2TNJGODT0G5Z4TTKYMMOLH","GSON1112031310")</f>
        <v>#NAME?</v>
      </c>
      <c r="U512" s="4" t="e">
        <f ca="1">[1]!BexGetData("DP_1","00O2TNJGODT0G5Z4TTKYMMUX1","GSON1112031310")</f>
        <v>#NAME?</v>
      </c>
      <c r="V512" s="4" t="e">
        <f ca="1">[1]!BexGetData("DP_1","00O2TNJGODT0G5Z4TTKYMN18L","GSON1112031310")</f>
        <v>#NAME?</v>
      </c>
      <c r="W512" s="4" t="e">
        <f ca="1">[1]!BexGetData("DP_1","00O2TNJGODT0G5Z4TTKYMN7K5","GSON1112031310")</f>
        <v>#NAME?</v>
      </c>
    </row>
    <row r="513" spans="1:23" x14ac:dyDescent="0.2">
      <c r="A513" s="16" t="s">
        <v>2417</v>
      </c>
      <c r="B513" s="7" t="s">
        <v>2418</v>
      </c>
      <c r="C513" s="3" t="e">
        <f ca="1">[1]!BexGetData("DP_1","003N8EMH8GTFRCSWKMPXRR8GU","GSON1112031311")</f>
        <v>#NAME?</v>
      </c>
      <c r="D513" s="3" t="e">
        <f ca="1">[1]!BexGetData("DP_1","003N8EMH8GTFRCSWKMPXRRESE","GSON1112031311")</f>
        <v>#NAME?</v>
      </c>
      <c r="E513" s="3" t="e">
        <f ca="1">[1]!BexGetData("DP_1","003N8EMH8GTFRCSWKMPXRRL3Y","GSON1112031311")</f>
        <v>#NAME?</v>
      </c>
      <c r="F513" s="4" t="e">
        <f ca="1">[1]!BexGetData("DP_1","003N8EMH8GTFRCSWKMPXRRRFI","GSON1112031311")</f>
        <v>#NAME?</v>
      </c>
      <c r="G513" s="4" t="e">
        <f ca="1">[1]!BexGetData("DP_1","003N8EMH8GTFRCSWKMPXRRXR2","GSON1112031311")</f>
        <v>#NAME?</v>
      </c>
      <c r="H513" s="4" t="e">
        <f ca="1">[1]!BexGetData("DP_1","003N8EMH8GTFRCSWKMPXRS42M","GSON1112031311")</f>
        <v>#NAME?</v>
      </c>
      <c r="I513" s="4" t="e">
        <f ca="1">[1]!BexGetData("DP_1","003N8EMH8GTFRCSWKMPXRSAE6","GSON1112031311")</f>
        <v>#NAME?</v>
      </c>
      <c r="J513" s="4" t="e">
        <f ca="1">[1]!BexGetData("DP_1","003N8EMH8GTFRCSWKMPXRSGPQ","GSON1112031311")</f>
        <v>#NAME?</v>
      </c>
      <c r="K513" s="3" t="e">
        <f ca="1">[1]!BexGetData("DP_1","003N8EMH8GTFRIVNUPY288VJH","GSON1112031311")</f>
        <v>#NAME?</v>
      </c>
      <c r="L513" s="3" t="e">
        <f ca="1">[1]!BexGetData("DP_1","003N8EMH8GTFRIVNUPY2891V1","GSON1112031311")</f>
        <v>#NAME?</v>
      </c>
      <c r="M513" s="8" t="e">
        <f ca="1">[1]!BexGetData("DP_1","003N8EMH8GTFRIVOG7KG9IQXA","GSON1112031311")</f>
        <v>#NAME?</v>
      </c>
      <c r="N513" s="3" t="e">
        <f ca="1">[1]!BexGetData("DP_1","003N8EMH8GTFRIVOG7KG9IX8U","GSON1112031311")</f>
        <v>#NAME?</v>
      </c>
      <c r="O513" s="8" t="e">
        <f ca="1">[1]!BexGetData("DP_1","003N8EMH8GTFRIVOG7KG9J3KE","GSON1112031311")</f>
        <v>#NAME?</v>
      </c>
      <c r="P513" s="3" t="e">
        <f ca="1">[1]!BexGetData("DP_1","003N8EMH8GTFRIVOG7KG9J9VY","GSON1112031311")</f>
        <v>#NAME?</v>
      </c>
      <c r="Q513" s="4" t="e">
        <f ca="1">[1]!BexGetData("DP_1","00O2TNJGODT0G5Z4TTKYMM5MT","GSON1112031311")</f>
        <v>#NAME?</v>
      </c>
      <c r="R513" s="4" t="e">
        <f ca="1">[1]!BexGetData("DP_1","00O2TNJGODT0G5Z4TTKYMMBYD","GSON1112031311")</f>
        <v>#NAME?</v>
      </c>
      <c r="S513" s="4" t="e">
        <f ca="1">[1]!BexGetData("DP_1","00O2TNJGODT0G5Z4TTKYMMI9X","GSON1112031311")</f>
        <v>#NAME?</v>
      </c>
      <c r="T513" s="4" t="e">
        <f ca="1">[1]!BexGetData("DP_1","00O2TNJGODT0G5Z4TTKYMMOLH","GSON1112031311")</f>
        <v>#NAME?</v>
      </c>
      <c r="U513" s="4" t="e">
        <f ca="1">[1]!BexGetData("DP_1","00O2TNJGODT0G5Z4TTKYMMUX1","GSON1112031311")</f>
        <v>#NAME?</v>
      </c>
      <c r="V513" s="4" t="e">
        <f ca="1">[1]!BexGetData("DP_1","00O2TNJGODT0G5Z4TTKYMN18L","GSON1112031311")</f>
        <v>#NAME?</v>
      </c>
      <c r="W513" s="4" t="e">
        <f ca="1">[1]!BexGetData("DP_1","00O2TNJGODT0G5Z4TTKYMN7K5","GSON1112031311")</f>
        <v>#NAME?</v>
      </c>
    </row>
    <row r="514" spans="1:23" x14ac:dyDescent="0.2">
      <c r="A514" s="16" t="s">
        <v>2419</v>
      </c>
      <c r="B514" s="7" t="s">
        <v>2420</v>
      </c>
      <c r="C514" s="3" t="e">
        <f ca="1">[1]!BexGetData("DP_1","003N8EMH8GTFRCSWKMPXRR8GU","GSON1112031313")</f>
        <v>#NAME?</v>
      </c>
      <c r="D514" s="3" t="e">
        <f ca="1">[1]!BexGetData("DP_1","003N8EMH8GTFRCSWKMPXRRESE","GSON1112031313")</f>
        <v>#NAME?</v>
      </c>
      <c r="E514" s="8" t="e">
        <f ca="1">[1]!BexGetData("DP_1","003N8EMH8GTFRCSWKMPXRRL3Y","GSON1112031313")</f>
        <v>#NAME?</v>
      </c>
      <c r="F514" s="4" t="e">
        <f ca="1">[1]!BexGetData("DP_1","003N8EMH8GTFRCSWKMPXRRRFI","GSON1112031313")</f>
        <v>#NAME?</v>
      </c>
      <c r="G514" s="4" t="e">
        <f ca="1">[1]!BexGetData("DP_1","003N8EMH8GTFRCSWKMPXRRXR2","GSON1112031313")</f>
        <v>#NAME?</v>
      </c>
      <c r="H514" s="4" t="e">
        <f ca="1">[1]!BexGetData("DP_1","003N8EMH8GTFRCSWKMPXRS42M","GSON1112031313")</f>
        <v>#NAME?</v>
      </c>
      <c r="I514" s="4" t="e">
        <f ca="1">[1]!BexGetData("DP_1","003N8EMH8GTFRCSWKMPXRSAE6","GSON1112031313")</f>
        <v>#NAME?</v>
      </c>
      <c r="J514" s="4" t="e">
        <f ca="1">[1]!BexGetData("DP_1","003N8EMH8GTFRCSWKMPXRSGPQ","GSON1112031313")</f>
        <v>#NAME?</v>
      </c>
      <c r="K514" s="8" t="e">
        <f ca="1">[1]!BexGetData("DP_1","003N8EMH8GTFRIVNUPY288VJH","GSON1112031313")</f>
        <v>#NAME?</v>
      </c>
      <c r="L514" s="8" t="e">
        <f ca="1">[1]!BexGetData("DP_1","003N8EMH8GTFRIVNUPY2891V1","GSON1112031313")</f>
        <v>#NAME?</v>
      </c>
      <c r="M514" s="8" t="e">
        <f ca="1">[1]!BexGetData("DP_1","003N8EMH8GTFRIVOG7KG9IQXA","GSON1112031313")</f>
        <v>#NAME?</v>
      </c>
      <c r="N514" s="8" t="e">
        <f ca="1">[1]!BexGetData("DP_1","003N8EMH8GTFRIVOG7KG9IX8U","GSON1112031313")</f>
        <v>#NAME?</v>
      </c>
      <c r="O514" s="8" t="e">
        <f ca="1">[1]!BexGetData("DP_1","003N8EMH8GTFRIVOG7KG9J3KE","GSON1112031313")</f>
        <v>#NAME?</v>
      </c>
      <c r="P514" s="8" t="e">
        <f ca="1">[1]!BexGetData("DP_1","003N8EMH8GTFRIVOG7KG9J9VY","GSON1112031313")</f>
        <v>#NAME?</v>
      </c>
      <c r="Q514" s="4" t="e">
        <f ca="1">[1]!BexGetData("DP_1","00O2TNJGODT0G5Z4TTKYMM5MT","GSON1112031313")</f>
        <v>#NAME?</v>
      </c>
      <c r="R514" s="4" t="e">
        <f ca="1">[1]!BexGetData("DP_1","00O2TNJGODT0G5Z4TTKYMMBYD","GSON1112031313")</f>
        <v>#NAME?</v>
      </c>
      <c r="S514" s="4" t="e">
        <f ca="1">[1]!BexGetData("DP_1","00O2TNJGODT0G5Z4TTKYMMI9X","GSON1112031313")</f>
        <v>#NAME?</v>
      </c>
      <c r="T514" s="4" t="e">
        <f ca="1">[1]!BexGetData("DP_1","00O2TNJGODT0G5Z4TTKYMMOLH","GSON1112031313")</f>
        <v>#NAME?</v>
      </c>
      <c r="U514" s="4" t="e">
        <f ca="1">[1]!BexGetData("DP_1","00O2TNJGODT0G5Z4TTKYMMUX1","GSON1112031313")</f>
        <v>#NAME?</v>
      </c>
      <c r="V514" s="4" t="e">
        <f ca="1">[1]!BexGetData("DP_1","00O2TNJGODT0G5Z4TTKYMN18L","GSON1112031313")</f>
        <v>#NAME?</v>
      </c>
      <c r="W514" s="4" t="e">
        <f ca="1">[1]!BexGetData("DP_1","00O2TNJGODT0G5Z4TTKYMN7K5","GSON1112031313")</f>
        <v>#NAME?</v>
      </c>
    </row>
    <row r="515" spans="1:23" x14ac:dyDescent="0.2">
      <c r="A515" s="16" t="s">
        <v>2421</v>
      </c>
      <c r="B515" s="7" t="s">
        <v>2422</v>
      </c>
      <c r="C515" s="3" t="e">
        <f ca="1">[1]!BexGetData("DP_1","003N8EMH8GTFRCSWKMPXRR8GU","GSON1112031314")</f>
        <v>#NAME?</v>
      </c>
      <c r="D515" s="3" t="e">
        <f ca="1">[1]!BexGetData("DP_1","003N8EMH8GTFRCSWKMPXRRESE","GSON1112031314")</f>
        <v>#NAME?</v>
      </c>
      <c r="E515" s="8" t="e">
        <f ca="1">[1]!BexGetData("DP_1","003N8EMH8GTFRCSWKMPXRRL3Y","GSON1112031314")</f>
        <v>#NAME?</v>
      </c>
      <c r="F515" s="4" t="e">
        <f ca="1">[1]!BexGetData("DP_1","003N8EMH8GTFRCSWKMPXRRRFI","GSON1112031314")</f>
        <v>#NAME?</v>
      </c>
      <c r="G515" s="4" t="e">
        <f ca="1">[1]!BexGetData("DP_1","003N8EMH8GTFRCSWKMPXRRXR2","GSON1112031314")</f>
        <v>#NAME?</v>
      </c>
      <c r="H515" s="4" t="e">
        <f ca="1">[1]!BexGetData("DP_1","003N8EMH8GTFRCSWKMPXRS42M","GSON1112031314")</f>
        <v>#NAME?</v>
      </c>
      <c r="I515" s="4" t="e">
        <f ca="1">[1]!BexGetData("DP_1","003N8EMH8GTFRCSWKMPXRSAE6","GSON1112031314")</f>
        <v>#NAME?</v>
      </c>
      <c r="J515" s="4" t="e">
        <f ca="1">[1]!BexGetData("DP_1","003N8EMH8GTFRCSWKMPXRSGPQ","GSON1112031314")</f>
        <v>#NAME?</v>
      </c>
      <c r="K515" s="8" t="e">
        <f ca="1">[1]!BexGetData("DP_1","003N8EMH8GTFRIVNUPY288VJH","GSON1112031314")</f>
        <v>#NAME?</v>
      </c>
      <c r="L515" s="8" t="e">
        <f ca="1">[1]!BexGetData("DP_1","003N8EMH8GTFRIVNUPY2891V1","GSON1112031314")</f>
        <v>#NAME?</v>
      </c>
      <c r="M515" s="8" t="e">
        <f ca="1">[1]!BexGetData("DP_1","003N8EMH8GTFRIVOG7KG9IQXA","GSON1112031314")</f>
        <v>#NAME?</v>
      </c>
      <c r="N515" s="8" t="e">
        <f ca="1">[1]!BexGetData("DP_1","003N8EMH8GTFRIVOG7KG9IX8U","GSON1112031314")</f>
        <v>#NAME?</v>
      </c>
      <c r="O515" s="8" t="e">
        <f ca="1">[1]!BexGetData("DP_1","003N8EMH8GTFRIVOG7KG9J3KE","GSON1112031314")</f>
        <v>#NAME?</v>
      </c>
      <c r="P515" s="8" t="e">
        <f ca="1">[1]!BexGetData("DP_1","003N8EMH8GTFRIVOG7KG9J9VY","GSON1112031314")</f>
        <v>#NAME?</v>
      </c>
      <c r="Q515" s="4" t="e">
        <f ca="1">[1]!BexGetData("DP_1","00O2TNJGODT0G5Z4TTKYMM5MT","GSON1112031314")</f>
        <v>#NAME?</v>
      </c>
      <c r="R515" s="4" t="e">
        <f ca="1">[1]!BexGetData("DP_1","00O2TNJGODT0G5Z4TTKYMMBYD","GSON1112031314")</f>
        <v>#NAME?</v>
      </c>
      <c r="S515" s="4" t="e">
        <f ca="1">[1]!BexGetData("DP_1","00O2TNJGODT0G5Z4TTKYMMI9X","GSON1112031314")</f>
        <v>#NAME?</v>
      </c>
      <c r="T515" s="4" t="e">
        <f ca="1">[1]!BexGetData("DP_1","00O2TNJGODT0G5Z4TTKYMMOLH","GSON1112031314")</f>
        <v>#NAME?</v>
      </c>
      <c r="U515" s="4" t="e">
        <f ca="1">[1]!BexGetData("DP_1","00O2TNJGODT0G5Z4TTKYMMUX1","GSON1112031314")</f>
        <v>#NAME?</v>
      </c>
      <c r="V515" s="4" t="e">
        <f ca="1">[1]!BexGetData("DP_1","00O2TNJGODT0G5Z4TTKYMN18L","GSON1112031314")</f>
        <v>#NAME?</v>
      </c>
      <c r="W515" s="4" t="e">
        <f ca="1">[1]!BexGetData("DP_1","00O2TNJGODT0G5Z4TTKYMN7K5","GSON1112031314")</f>
        <v>#NAME?</v>
      </c>
    </row>
    <row r="516" spans="1:23" x14ac:dyDescent="0.2">
      <c r="A516" s="16" t="s">
        <v>2423</v>
      </c>
      <c r="B516" s="7" t="s">
        <v>2424</v>
      </c>
      <c r="C516" s="3" t="e">
        <f ca="1">[1]!BexGetData("DP_1","003N8EMH8GTFRCSWKMPXRR8GU","GSON1112031320")</f>
        <v>#NAME?</v>
      </c>
      <c r="D516" s="3" t="e">
        <f ca="1">[1]!BexGetData("DP_1","003N8EMH8GTFRCSWKMPXRRESE","GSON1112031320")</f>
        <v>#NAME?</v>
      </c>
      <c r="E516" s="3" t="e">
        <f ca="1">[1]!BexGetData("DP_1","003N8EMH8GTFRCSWKMPXRRL3Y","GSON1112031320")</f>
        <v>#NAME?</v>
      </c>
      <c r="F516" s="4" t="e">
        <f ca="1">[1]!BexGetData("DP_1","003N8EMH8GTFRCSWKMPXRRRFI","GSON1112031320")</f>
        <v>#NAME?</v>
      </c>
      <c r="G516" s="4" t="e">
        <f ca="1">[1]!BexGetData("DP_1","003N8EMH8GTFRCSWKMPXRRXR2","GSON1112031320")</f>
        <v>#NAME?</v>
      </c>
      <c r="H516" s="4" t="e">
        <f ca="1">[1]!BexGetData("DP_1","003N8EMH8GTFRCSWKMPXRS42M","GSON1112031320")</f>
        <v>#NAME?</v>
      </c>
      <c r="I516" s="4" t="e">
        <f ca="1">[1]!BexGetData("DP_1","003N8EMH8GTFRCSWKMPXRSAE6","GSON1112031320")</f>
        <v>#NAME?</v>
      </c>
      <c r="J516" s="4" t="e">
        <f ca="1">[1]!BexGetData("DP_1","003N8EMH8GTFRCSWKMPXRSGPQ","GSON1112031320")</f>
        <v>#NAME?</v>
      </c>
      <c r="K516" s="3" t="e">
        <f ca="1">[1]!BexGetData("DP_1","003N8EMH8GTFRIVNUPY288VJH","GSON1112031320")</f>
        <v>#NAME?</v>
      </c>
      <c r="L516" s="3" t="e">
        <f ca="1">[1]!BexGetData("DP_1","003N8EMH8GTFRIVNUPY2891V1","GSON1112031320")</f>
        <v>#NAME?</v>
      </c>
      <c r="M516" s="8" t="e">
        <f ca="1">[1]!BexGetData("DP_1","003N8EMH8GTFRIVOG7KG9IQXA","GSON1112031320")</f>
        <v>#NAME?</v>
      </c>
      <c r="N516" s="3" t="e">
        <f ca="1">[1]!BexGetData("DP_1","003N8EMH8GTFRIVOG7KG9IX8U","GSON1112031320")</f>
        <v>#NAME?</v>
      </c>
      <c r="O516" s="8" t="e">
        <f ca="1">[1]!BexGetData("DP_1","003N8EMH8GTFRIVOG7KG9J3KE","GSON1112031320")</f>
        <v>#NAME?</v>
      </c>
      <c r="P516" s="3" t="e">
        <f ca="1">[1]!BexGetData("DP_1","003N8EMH8GTFRIVOG7KG9J9VY","GSON1112031320")</f>
        <v>#NAME?</v>
      </c>
      <c r="Q516" s="4" t="e">
        <f ca="1">[1]!BexGetData("DP_1","00O2TNJGODT0G5Z4TTKYMM5MT","GSON1112031320")</f>
        <v>#NAME?</v>
      </c>
      <c r="R516" s="4" t="e">
        <f ca="1">[1]!BexGetData("DP_1","00O2TNJGODT0G5Z4TTKYMMBYD","GSON1112031320")</f>
        <v>#NAME?</v>
      </c>
      <c r="S516" s="4" t="e">
        <f ca="1">[1]!BexGetData("DP_1","00O2TNJGODT0G5Z4TTKYMMI9X","GSON1112031320")</f>
        <v>#NAME?</v>
      </c>
      <c r="T516" s="4" t="e">
        <f ca="1">[1]!BexGetData("DP_1","00O2TNJGODT0G5Z4TTKYMMOLH","GSON1112031320")</f>
        <v>#NAME?</v>
      </c>
      <c r="U516" s="4" t="e">
        <f ca="1">[1]!BexGetData("DP_1","00O2TNJGODT0G5Z4TTKYMMUX1","GSON1112031320")</f>
        <v>#NAME?</v>
      </c>
      <c r="V516" s="4" t="e">
        <f ca="1">[1]!BexGetData("DP_1","00O2TNJGODT0G5Z4TTKYMN18L","GSON1112031320")</f>
        <v>#NAME?</v>
      </c>
      <c r="W516" s="4" t="e">
        <f ca="1">[1]!BexGetData("DP_1","00O2TNJGODT0G5Z4TTKYMN7K5","GSON1112031320")</f>
        <v>#NAME?</v>
      </c>
    </row>
    <row r="517" spans="1:23" x14ac:dyDescent="0.2">
      <c r="A517" s="16" t="s">
        <v>2425</v>
      </c>
      <c r="B517" s="7" t="s">
        <v>2426</v>
      </c>
      <c r="C517" s="3" t="e">
        <f ca="1">[1]!BexGetData("DP_1","003N8EMH8GTFRCSWKMPXRR8GU","GSON1112031321")</f>
        <v>#NAME?</v>
      </c>
      <c r="D517" s="3" t="e">
        <f ca="1">[1]!BexGetData("DP_1","003N8EMH8GTFRCSWKMPXRRESE","GSON1112031321")</f>
        <v>#NAME?</v>
      </c>
      <c r="E517" s="3" t="e">
        <f ca="1">[1]!BexGetData("DP_1","003N8EMH8GTFRCSWKMPXRRL3Y","GSON1112031321")</f>
        <v>#NAME?</v>
      </c>
      <c r="F517" s="4" t="e">
        <f ca="1">[1]!BexGetData("DP_1","003N8EMH8GTFRCSWKMPXRRRFI","GSON1112031321")</f>
        <v>#NAME?</v>
      </c>
      <c r="G517" s="4" t="e">
        <f ca="1">[1]!BexGetData("DP_1","003N8EMH8GTFRCSWKMPXRRXR2","GSON1112031321")</f>
        <v>#NAME?</v>
      </c>
      <c r="H517" s="4" t="e">
        <f ca="1">[1]!BexGetData("DP_1","003N8EMH8GTFRCSWKMPXRS42M","GSON1112031321")</f>
        <v>#NAME?</v>
      </c>
      <c r="I517" s="4" t="e">
        <f ca="1">[1]!BexGetData("DP_1","003N8EMH8GTFRCSWKMPXRSAE6","GSON1112031321")</f>
        <v>#NAME?</v>
      </c>
      <c r="J517" s="4" t="e">
        <f ca="1">[1]!BexGetData("DP_1","003N8EMH8GTFRCSWKMPXRSGPQ","GSON1112031321")</f>
        <v>#NAME?</v>
      </c>
      <c r="K517" s="3" t="e">
        <f ca="1">[1]!BexGetData("DP_1","003N8EMH8GTFRIVNUPY288VJH","GSON1112031321")</f>
        <v>#NAME?</v>
      </c>
      <c r="L517" s="3" t="e">
        <f ca="1">[1]!BexGetData("DP_1","003N8EMH8GTFRIVNUPY2891V1","GSON1112031321")</f>
        <v>#NAME?</v>
      </c>
      <c r="M517" s="8" t="e">
        <f ca="1">[1]!BexGetData("DP_1","003N8EMH8GTFRIVOG7KG9IQXA","GSON1112031321")</f>
        <v>#NAME?</v>
      </c>
      <c r="N517" s="3" t="e">
        <f ca="1">[1]!BexGetData("DP_1","003N8EMH8GTFRIVOG7KG9IX8U","GSON1112031321")</f>
        <v>#NAME?</v>
      </c>
      <c r="O517" s="8" t="e">
        <f ca="1">[1]!BexGetData("DP_1","003N8EMH8GTFRIVOG7KG9J3KE","GSON1112031321")</f>
        <v>#NAME?</v>
      </c>
      <c r="P517" s="3" t="e">
        <f ca="1">[1]!BexGetData("DP_1","003N8EMH8GTFRIVOG7KG9J9VY","GSON1112031321")</f>
        <v>#NAME?</v>
      </c>
      <c r="Q517" s="4" t="e">
        <f ca="1">[1]!BexGetData("DP_1","00O2TNJGODT0G5Z4TTKYMM5MT","GSON1112031321")</f>
        <v>#NAME?</v>
      </c>
      <c r="R517" s="4" t="e">
        <f ca="1">[1]!BexGetData("DP_1","00O2TNJGODT0G5Z4TTKYMMBYD","GSON1112031321")</f>
        <v>#NAME?</v>
      </c>
      <c r="S517" s="4" t="e">
        <f ca="1">[1]!BexGetData("DP_1","00O2TNJGODT0G5Z4TTKYMMI9X","GSON1112031321")</f>
        <v>#NAME?</v>
      </c>
      <c r="T517" s="4" t="e">
        <f ca="1">[1]!BexGetData("DP_1","00O2TNJGODT0G5Z4TTKYMMOLH","GSON1112031321")</f>
        <v>#NAME?</v>
      </c>
      <c r="U517" s="4" t="e">
        <f ca="1">[1]!BexGetData("DP_1","00O2TNJGODT0G5Z4TTKYMMUX1","GSON1112031321")</f>
        <v>#NAME?</v>
      </c>
      <c r="V517" s="4" t="e">
        <f ca="1">[1]!BexGetData("DP_1","00O2TNJGODT0G5Z4TTKYMN18L","GSON1112031321")</f>
        <v>#NAME?</v>
      </c>
      <c r="W517" s="4" t="e">
        <f ca="1">[1]!BexGetData("DP_1","00O2TNJGODT0G5Z4TTKYMN7K5","GSON1112031321")</f>
        <v>#NAME?</v>
      </c>
    </row>
    <row r="518" spans="1:23" x14ac:dyDescent="0.2">
      <c r="A518" s="16" t="s">
        <v>2427</v>
      </c>
      <c r="B518" s="7" t="s">
        <v>2428</v>
      </c>
      <c r="C518" s="3" t="e">
        <f ca="1">[1]!BexGetData("DP_1","003N8EMH8GTFRCSWKMPXRR8GU","GSON1112031323")</f>
        <v>#NAME?</v>
      </c>
      <c r="D518" s="3" t="e">
        <f ca="1">[1]!BexGetData("DP_1","003N8EMH8GTFRCSWKMPXRRESE","GSON1112031323")</f>
        <v>#NAME?</v>
      </c>
      <c r="E518" s="8" t="e">
        <f ca="1">[1]!BexGetData("DP_1","003N8EMH8GTFRCSWKMPXRRL3Y","GSON1112031323")</f>
        <v>#NAME?</v>
      </c>
      <c r="F518" s="4" t="e">
        <f ca="1">[1]!BexGetData("DP_1","003N8EMH8GTFRCSWKMPXRRRFI","GSON1112031323")</f>
        <v>#NAME?</v>
      </c>
      <c r="G518" s="4" t="e">
        <f ca="1">[1]!BexGetData("DP_1","003N8EMH8GTFRCSWKMPXRRXR2","GSON1112031323")</f>
        <v>#NAME?</v>
      </c>
      <c r="H518" s="4" t="e">
        <f ca="1">[1]!BexGetData("DP_1","003N8EMH8GTFRCSWKMPXRS42M","GSON1112031323")</f>
        <v>#NAME?</v>
      </c>
      <c r="I518" s="4" t="e">
        <f ca="1">[1]!BexGetData("DP_1","003N8EMH8GTFRCSWKMPXRSAE6","GSON1112031323")</f>
        <v>#NAME?</v>
      </c>
      <c r="J518" s="4" t="e">
        <f ca="1">[1]!BexGetData("DP_1","003N8EMH8GTFRCSWKMPXRSGPQ","GSON1112031323")</f>
        <v>#NAME?</v>
      </c>
      <c r="K518" s="8" t="e">
        <f ca="1">[1]!BexGetData("DP_1","003N8EMH8GTFRIVNUPY288VJH","GSON1112031323")</f>
        <v>#NAME?</v>
      </c>
      <c r="L518" s="8" t="e">
        <f ca="1">[1]!BexGetData("DP_1","003N8EMH8GTFRIVNUPY2891V1","GSON1112031323")</f>
        <v>#NAME?</v>
      </c>
      <c r="M518" s="8" t="e">
        <f ca="1">[1]!BexGetData("DP_1","003N8EMH8GTFRIVOG7KG9IQXA","GSON1112031323")</f>
        <v>#NAME?</v>
      </c>
      <c r="N518" s="8" t="e">
        <f ca="1">[1]!BexGetData("DP_1","003N8EMH8GTFRIVOG7KG9IX8U","GSON1112031323")</f>
        <v>#NAME?</v>
      </c>
      <c r="O518" s="8" t="e">
        <f ca="1">[1]!BexGetData("DP_1","003N8EMH8GTFRIVOG7KG9J3KE","GSON1112031323")</f>
        <v>#NAME?</v>
      </c>
      <c r="P518" s="8" t="e">
        <f ca="1">[1]!BexGetData("DP_1","003N8EMH8GTFRIVOG7KG9J9VY","GSON1112031323")</f>
        <v>#NAME?</v>
      </c>
      <c r="Q518" s="4" t="e">
        <f ca="1">[1]!BexGetData("DP_1","00O2TNJGODT0G5Z4TTKYMM5MT","GSON1112031323")</f>
        <v>#NAME?</v>
      </c>
      <c r="R518" s="4" t="e">
        <f ca="1">[1]!BexGetData("DP_1","00O2TNJGODT0G5Z4TTKYMMBYD","GSON1112031323")</f>
        <v>#NAME?</v>
      </c>
      <c r="S518" s="4" t="e">
        <f ca="1">[1]!BexGetData("DP_1","00O2TNJGODT0G5Z4TTKYMMI9X","GSON1112031323")</f>
        <v>#NAME?</v>
      </c>
      <c r="T518" s="4" t="e">
        <f ca="1">[1]!BexGetData("DP_1","00O2TNJGODT0G5Z4TTKYMMOLH","GSON1112031323")</f>
        <v>#NAME?</v>
      </c>
      <c r="U518" s="4" t="e">
        <f ca="1">[1]!BexGetData("DP_1","00O2TNJGODT0G5Z4TTKYMMUX1","GSON1112031323")</f>
        <v>#NAME?</v>
      </c>
      <c r="V518" s="4" t="e">
        <f ca="1">[1]!BexGetData("DP_1","00O2TNJGODT0G5Z4TTKYMN18L","GSON1112031323")</f>
        <v>#NAME?</v>
      </c>
      <c r="W518" s="4" t="e">
        <f ca="1">[1]!BexGetData("DP_1","00O2TNJGODT0G5Z4TTKYMN7K5","GSON1112031323")</f>
        <v>#NAME?</v>
      </c>
    </row>
    <row r="519" spans="1:23" x14ac:dyDescent="0.2">
      <c r="A519" s="16" t="s">
        <v>2429</v>
      </c>
      <c r="B519" s="7" t="s">
        <v>2430</v>
      </c>
      <c r="C519" s="3" t="e">
        <f ca="1">[1]!BexGetData("DP_1","003N8EMH8GTFRCSWKMPXRR8GU","GSON1112031324")</f>
        <v>#NAME?</v>
      </c>
      <c r="D519" s="3" t="e">
        <f ca="1">[1]!BexGetData("DP_1","003N8EMH8GTFRCSWKMPXRRESE","GSON1112031324")</f>
        <v>#NAME?</v>
      </c>
      <c r="E519" s="8" t="e">
        <f ca="1">[1]!BexGetData("DP_1","003N8EMH8GTFRCSWKMPXRRL3Y","GSON1112031324")</f>
        <v>#NAME?</v>
      </c>
      <c r="F519" s="4" t="e">
        <f ca="1">[1]!BexGetData("DP_1","003N8EMH8GTFRCSWKMPXRRRFI","GSON1112031324")</f>
        <v>#NAME?</v>
      </c>
      <c r="G519" s="4" t="e">
        <f ca="1">[1]!BexGetData("DP_1","003N8EMH8GTFRCSWKMPXRRXR2","GSON1112031324")</f>
        <v>#NAME?</v>
      </c>
      <c r="H519" s="4" t="e">
        <f ca="1">[1]!BexGetData("DP_1","003N8EMH8GTFRCSWKMPXRS42M","GSON1112031324")</f>
        <v>#NAME?</v>
      </c>
      <c r="I519" s="4" t="e">
        <f ca="1">[1]!BexGetData("DP_1","003N8EMH8GTFRCSWKMPXRSAE6","GSON1112031324")</f>
        <v>#NAME?</v>
      </c>
      <c r="J519" s="4" t="e">
        <f ca="1">[1]!BexGetData("DP_1","003N8EMH8GTFRCSWKMPXRSGPQ","GSON1112031324")</f>
        <v>#NAME?</v>
      </c>
      <c r="K519" s="8" t="e">
        <f ca="1">[1]!BexGetData("DP_1","003N8EMH8GTFRIVNUPY288VJH","GSON1112031324")</f>
        <v>#NAME?</v>
      </c>
      <c r="L519" s="8" t="e">
        <f ca="1">[1]!BexGetData("DP_1","003N8EMH8GTFRIVNUPY2891V1","GSON1112031324")</f>
        <v>#NAME?</v>
      </c>
      <c r="M519" s="8" t="e">
        <f ca="1">[1]!BexGetData("DP_1","003N8EMH8GTFRIVOG7KG9IQXA","GSON1112031324")</f>
        <v>#NAME?</v>
      </c>
      <c r="N519" s="8" t="e">
        <f ca="1">[1]!BexGetData("DP_1","003N8EMH8GTFRIVOG7KG9IX8U","GSON1112031324")</f>
        <v>#NAME?</v>
      </c>
      <c r="O519" s="8" t="e">
        <f ca="1">[1]!BexGetData("DP_1","003N8EMH8GTFRIVOG7KG9J3KE","GSON1112031324")</f>
        <v>#NAME?</v>
      </c>
      <c r="P519" s="8" t="e">
        <f ca="1">[1]!BexGetData("DP_1","003N8EMH8GTFRIVOG7KG9J9VY","GSON1112031324")</f>
        <v>#NAME?</v>
      </c>
      <c r="Q519" s="4" t="e">
        <f ca="1">[1]!BexGetData("DP_1","00O2TNJGODT0G5Z4TTKYMM5MT","GSON1112031324")</f>
        <v>#NAME?</v>
      </c>
      <c r="R519" s="4" t="e">
        <f ca="1">[1]!BexGetData("DP_1","00O2TNJGODT0G5Z4TTKYMMBYD","GSON1112031324")</f>
        <v>#NAME?</v>
      </c>
      <c r="S519" s="4" t="e">
        <f ca="1">[1]!BexGetData("DP_1","00O2TNJGODT0G5Z4TTKYMMI9X","GSON1112031324")</f>
        <v>#NAME?</v>
      </c>
      <c r="T519" s="4" t="e">
        <f ca="1">[1]!BexGetData("DP_1","00O2TNJGODT0G5Z4TTKYMMOLH","GSON1112031324")</f>
        <v>#NAME?</v>
      </c>
      <c r="U519" s="4" t="e">
        <f ca="1">[1]!BexGetData("DP_1","00O2TNJGODT0G5Z4TTKYMMUX1","GSON1112031324")</f>
        <v>#NAME?</v>
      </c>
      <c r="V519" s="4" t="e">
        <f ca="1">[1]!BexGetData("DP_1","00O2TNJGODT0G5Z4TTKYMN18L","GSON1112031324")</f>
        <v>#NAME?</v>
      </c>
      <c r="W519" s="4" t="e">
        <f ca="1">[1]!BexGetData("DP_1","00O2TNJGODT0G5Z4TTKYMN7K5","GSON1112031324")</f>
        <v>#NAME?</v>
      </c>
    </row>
    <row r="520" spans="1:23" x14ac:dyDescent="0.2">
      <c r="A520" s="16" t="s">
        <v>2431</v>
      </c>
      <c r="B520" s="7" t="s">
        <v>2432</v>
      </c>
      <c r="C520" s="3" t="e">
        <f ca="1">[1]!BexGetData("DP_1","003N8EMH8GTFRCSWKMPXRR8GU","GSON1112031330")</f>
        <v>#NAME?</v>
      </c>
      <c r="D520" s="3" t="e">
        <f ca="1">[1]!BexGetData("DP_1","003N8EMH8GTFRCSWKMPXRRESE","GSON1112031330")</f>
        <v>#NAME?</v>
      </c>
      <c r="E520" s="3" t="e">
        <f ca="1">[1]!BexGetData("DP_1","003N8EMH8GTFRCSWKMPXRRL3Y","GSON1112031330")</f>
        <v>#NAME?</v>
      </c>
      <c r="F520" s="4" t="e">
        <f ca="1">[1]!BexGetData("DP_1","003N8EMH8GTFRCSWKMPXRRRFI","GSON1112031330")</f>
        <v>#NAME?</v>
      </c>
      <c r="G520" s="4" t="e">
        <f ca="1">[1]!BexGetData("DP_1","003N8EMH8GTFRCSWKMPXRRXR2","GSON1112031330")</f>
        <v>#NAME?</v>
      </c>
      <c r="H520" s="4" t="e">
        <f ca="1">[1]!BexGetData("DP_1","003N8EMH8GTFRCSWKMPXRS42M","GSON1112031330")</f>
        <v>#NAME?</v>
      </c>
      <c r="I520" s="4" t="e">
        <f ca="1">[1]!BexGetData("DP_1","003N8EMH8GTFRCSWKMPXRSAE6","GSON1112031330")</f>
        <v>#NAME?</v>
      </c>
      <c r="J520" s="4" t="e">
        <f ca="1">[1]!BexGetData("DP_1","003N8EMH8GTFRCSWKMPXRSGPQ","GSON1112031330")</f>
        <v>#NAME?</v>
      </c>
      <c r="K520" s="3" t="e">
        <f ca="1">[1]!BexGetData("DP_1","003N8EMH8GTFRIVNUPY288VJH","GSON1112031330")</f>
        <v>#NAME?</v>
      </c>
      <c r="L520" s="3" t="e">
        <f ca="1">[1]!BexGetData("DP_1","003N8EMH8GTFRIVNUPY2891V1","GSON1112031330")</f>
        <v>#NAME?</v>
      </c>
      <c r="M520" s="8" t="e">
        <f ca="1">[1]!BexGetData("DP_1","003N8EMH8GTFRIVOG7KG9IQXA","GSON1112031330")</f>
        <v>#NAME?</v>
      </c>
      <c r="N520" s="3" t="e">
        <f ca="1">[1]!BexGetData("DP_1","003N8EMH8GTFRIVOG7KG9IX8U","GSON1112031330")</f>
        <v>#NAME?</v>
      </c>
      <c r="O520" s="8" t="e">
        <f ca="1">[1]!BexGetData("DP_1","003N8EMH8GTFRIVOG7KG9J3KE","GSON1112031330")</f>
        <v>#NAME?</v>
      </c>
      <c r="P520" s="3" t="e">
        <f ca="1">[1]!BexGetData("DP_1","003N8EMH8GTFRIVOG7KG9J9VY","GSON1112031330")</f>
        <v>#NAME?</v>
      </c>
      <c r="Q520" s="4" t="e">
        <f ca="1">[1]!BexGetData("DP_1","00O2TNJGODT0G5Z4TTKYMM5MT","GSON1112031330")</f>
        <v>#NAME?</v>
      </c>
      <c r="R520" s="4" t="e">
        <f ca="1">[1]!BexGetData("DP_1","00O2TNJGODT0G5Z4TTKYMMBYD","GSON1112031330")</f>
        <v>#NAME?</v>
      </c>
      <c r="S520" s="4" t="e">
        <f ca="1">[1]!BexGetData("DP_1","00O2TNJGODT0G5Z4TTKYMMI9X","GSON1112031330")</f>
        <v>#NAME?</v>
      </c>
      <c r="T520" s="4" t="e">
        <f ca="1">[1]!BexGetData("DP_1","00O2TNJGODT0G5Z4TTKYMMOLH","GSON1112031330")</f>
        <v>#NAME?</v>
      </c>
      <c r="U520" s="4" t="e">
        <f ca="1">[1]!BexGetData("DP_1","00O2TNJGODT0G5Z4TTKYMMUX1","GSON1112031330")</f>
        <v>#NAME?</v>
      </c>
      <c r="V520" s="4" t="e">
        <f ca="1">[1]!BexGetData("DP_1","00O2TNJGODT0G5Z4TTKYMN18L","GSON1112031330")</f>
        <v>#NAME?</v>
      </c>
      <c r="W520" s="4" t="e">
        <f ca="1">[1]!BexGetData("DP_1","00O2TNJGODT0G5Z4TTKYMN7K5","GSON1112031330")</f>
        <v>#NAME?</v>
      </c>
    </row>
    <row r="521" spans="1:23" x14ac:dyDescent="0.2">
      <c r="A521" s="16" t="s">
        <v>2433</v>
      </c>
      <c r="B521" s="7" t="s">
        <v>2434</v>
      </c>
      <c r="C521" s="3" t="e">
        <f ca="1">[1]!BexGetData("DP_1","003N8EMH8GTFRCSWKMPXRR8GU","GSON1112031331")</f>
        <v>#NAME?</v>
      </c>
      <c r="D521" s="3" t="e">
        <f ca="1">[1]!BexGetData("DP_1","003N8EMH8GTFRCSWKMPXRRESE","GSON1112031331")</f>
        <v>#NAME?</v>
      </c>
      <c r="E521" s="8" t="e">
        <f ca="1">[1]!BexGetData("DP_1","003N8EMH8GTFRCSWKMPXRRL3Y","GSON1112031331")</f>
        <v>#NAME?</v>
      </c>
      <c r="F521" s="4" t="e">
        <f ca="1">[1]!BexGetData("DP_1","003N8EMH8GTFRCSWKMPXRRRFI","GSON1112031331")</f>
        <v>#NAME?</v>
      </c>
      <c r="G521" s="4" t="e">
        <f ca="1">[1]!BexGetData("DP_1","003N8EMH8GTFRCSWKMPXRRXR2","GSON1112031331")</f>
        <v>#NAME?</v>
      </c>
      <c r="H521" s="4" t="e">
        <f ca="1">[1]!BexGetData("DP_1","003N8EMH8GTFRCSWKMPXRS42M","GSON1112031331")</f>
        <v>#NAME?</v>
      </c>
      <c r="I521" s="4" t="e">
        <f ca="1">[1]!BexGetData("DP_1","003N8EMH8GTFRCSWKMPXRSAE6","GSON1112031331")</f>
        <v>#NAME?</v>
      </c>
      <c r="J521" s="4" t="e">
        <f ca="1">[1]!BexGetData("DP_1","003N8EMH8GTFRCSWKMPXRSGPQ","GSON1112031331")</f>
        <v>#NAME?</v>
      </c>
      <c r="K521" s="8" t="e">
        <f ca="1">[1]!BexGetData("DP_1","003N8EMH8GTFRIVNUPY288VJH","GSON1112031331")</f>
        <v>#NAME?</v>
      </c>
      <c r="L521" s="8" t="e">
        <f ca="1">[1]!BexGetData("DP_1","003N8EMH8GTFRIVNUPY2891V1","GSON1112031331")</f>
        <v>#NAME?</v>
      </c>
      <c r="M521" s="8" t="e">
        <f ca="1">[1]!BexGetData("DP_1","003N8EMH8GTFRIVOG7KG9IQXA","GSON1112031331")</f>
        <v>#NAME?</v>
      </c>
      <c r="N521" s="8" t="e">
        <f ca="1">[1]!BexGetData("DP_1","003N8EMH8GTFRIVOG7KG9IX8U","GSON1112031331")</f>
        <v>#NAME?</v>
      </c>
      <c r="O521" s="8" t="e">
        <f ca="1">[1]!BexGetData("DP_1","003N8EMH8GTFRIVOG7KG9J3KE","GSON1112031331")</f>
        <v>#NAME?</v>
      </c>
      <c r="P521" s="8" t="e">
        <f ca="1">[1]!BexGetData("DP_1","003N8EMH8GTFRIVOG7KG9J9VY","GSON1112031331")</f>
        <v>#NAME?</v>
      </c>
      <c r="Q521" s="4" t="e">
        <f ca="1">[1]!BexGetData("DP_1","00O2TNJGODT0G5Z4TTKYMM5MT","GSON1112031331")</f>
        <v>#NAME?</v>
      </c>
      <c r="R521" s="4" t="e">
        <f ca="1">[1]!BexGetData("DP_1","00O2TNJGODT0G5Z4TTKYMMBYD","GSON1112031331")</f>
        <v>#NAME?</v>
      </c>
      <c r="S521" s="4" t="e">
        <f ca="1">[1]!BexGetData("DP_1","00O2TNJGODT0G5Z4TTKYMMI9X","GSON1112031331")</f>
        <v>#NAME?</v>
      </c>
      <c r="T521" s="4" t="e">
        <f ca="1">[1]!BexGetData("DP_1","00O2TNJGODT0G5Z4TTKYMMOLH","GSON1112031331")</f>
        <v>#NAME?</v>
      </c>
      <c r="U521" s="4" t="e">
        <f ca="1">[1]!BexGetData("DP_1","00O2TNJGODT0G5Z4TTKYMMUX1","GSON1112031331")</f>
        <v>#NAME?</v>
      </c>
      <c r="V521" s="4" t="e">
        <f ca="1">[1]!BexGetData("DP_1","00O2TNJGODT0G5Z4TTKYMN18L","GSON1112031331")</f>
        <v>#NAME?</v>
      </c>
      <c r="W521" s="4" t="e">
        <f ca="1">[1]!BexGetData("DP_1","00O2TNJGODT0G5Z4TTKYMN7K5","GSON1112031331")</f>
        <v>#NAME?</v>
      </c>
    </row>
    <row r="522" spans="1:23" x14ac:dyDescent="0.2">
      <c r="A522" s="16" t="s">
        <v>2435</v>
      </c>
      <c r="B522" s="7" t="s">
        <v>2436</v>
      </c>
      <c r="C522" s="3" t="e">
        <f ca="1">[1]!BexGetData("DP_1","003N8EMH8GTFRCSWKMPXRR8GU","GSON1112031333")</f>
        <v>#NAME?</v>
      </c>
      <c r="D522" s="3" t="e">
        <f ca="1">[1]!BexGetData("DP_1","003N8EMH8GTFRCSWKMPXRRESE","GSON1112031333")</f>
        <v>#NAME?</v>
      </c>
      <c r="E522" s="8" t="e">
        <f ca="1">[1]!BexGetData("DP_1","003N8EMH8GTFRCSWKMPXRRL3Y","GSON1112031333")</f>
        <v>#NAME?</v>
      </c>
      <c r="F522" s="4" t="e">
        <f ca="1">[1]!BexGetData("DP_1","003N8EMH8GTFRCSWKMPXRRRFI","GSON1112031333")</f>
        <v>#NAME?</v>
      </c>
      <c r="G522" s="4" t="e">
        <f ca="1">[1]!BexGetData("DP_1","003N8EMH8GTFRCSWKMPXRRXR2","GSON1112031333")</f>
        <v>#NAME?</v>
      </c>
      <c r="H522" s="4" t="e">
        <f ca="1">[1]!BexGetData("DP_1","003N8EMH8GTFRCSWKMPXRS42M","GSON1112031333")</f>
        <v>#NAME?</v>
      </c>
      <c r="I522" s="4" t="e">
        <f ca="1">[1]!BexGetData("DP_1","003N8EMH8GTFRCSWKMPXRSAE6","GSON1112031333")</f>
        <v>#NAME?</v>
      </c>
      <c r="J522" s="4" t="e">
        <f ca="1">[1]!BexGetData("DP_1","003N8EMH8GTFRCSWKMPXRSGPQ","GSON1112031333")</f>
        <v>#NAME?</v>
      </c>
      <c r="K522" s="8" t="e">
        <f ca="1">[1]!BexGetData("DP_1","003N8EMH8GTFRIVNUPY288VJH","GSON1112031333")</f>
        <v>#NAME?</v>
      </c>
      <c r="L522" s="8" t="e">
        <f ca="1">[1]!BexGetData("DP_1","003N8EMH8GTFRIVNUPY2891V1","GSON1112031333")</f>
        <v>#NAME?</v>
      </c>
      <c r="M522" s="8" t="e">
        <f ca="1">[1]!BexGetData("DP_1","003N8EMH8GTFRIVOG7KG9IQXA","GSON1112031333")</f>
        <v>#NAME?</v>
      </c>
      <c r="N522" s="8" t="e">
        <f ca="1">[1]!BexGetData("DP_1","003N8EMH8GTFRIVOG7KG9IX8U","GSON1112031333")</f>
        <v>#NAME?</v>
      </c>
      <c r="O522" s="8" t="e">
        <f ca="1">[1]!BexGetData("DP_1","003N8EMH8GTFRIVOG7KG9J3KE","GSON1112031333")</f>
        <v>#NAME?</v>
      </c>
      <c r="P522" s="8" t="e">
        <f ca="1">[1]!BexGetData("DP_1","003N8EMH8GTFRIVOG7KG9J9VY","GSON1112031333")</f>
        <v>#NAME?</v>
      </c>
      <c r="Q522" s="4" t="e">
        <f ca="1">[1]!BexGetData("DP_1","00O2TNJGODT0G5Z4TTKYMM5MT","GSON1112031333")</f>
        <v>#NAME?</v>
      </c>
      <c r="R522" s="4" t="e">
        <f ca="1">[1]!BexGetData("DP_1","00O2TNJGODT0G5Z4TTKYMMBYD","GSON1112031333")</f>
        <v>#NAME?</v>
      </c>
      <c r="S522" s="4" t="e">
        <f ca="1">[1]!BexGetData("DP_1","00O2TNJGODT0G5Z4TTKYMMI9X","GSON1112031333")</f>
        <v>#NAME?</v>
      </c>
      <c r="T522" s="4" t="e">
        <f ca="1">[1]!BexGetData("DP_1","00O2TNJGODT0G5Z4TTKYMMOLH","GSON1112031333")</f>
        <v>#NAME?</v>
      </c>
      <c r="U522" s="4" t="e">
        <f ca="1">[1]!BexGetData("DP_1","00O2TNJGODT0G5Z4TTKYMMUX1","GSON1112031333")</f>
        <v>#NAME?</v>
      </c>
      <c r="V522" s="4" t="e">
        <f ca="1">[1]!BexGetData("DP_1","00O2TNJGODT0G5Z4TTKYMN18L","GSON1112031333")</f>
        <v>#NAME?</v>
      </c>
      <c r="W522" s="4" t="e">
        <f ca="1">[1]!BexGetData("DP_1","00O2TNJGODT0G5Z4TTKYMN7K5","GSON1112031333")</f>
        <v>#NAME?</v>
      </c>
    </row>
    <row r="523" spans="1:23" x14ac:dyDescent="0.2">
      <c r="A523" s="16" t="s">
        <v>2437</v>
      </c>
      <c r="B523" s="7" t="s">
        <v>2438</v>
      </c>
      <c r="C523" s="3" t="e">
        <f ca="1">[1]!BexGetData("DP_1","003N8EMH8GTFRCSWKMPXRR8GU","GSON1112031335")</f>
        <v>#NAME?</v>
      </c>
      <c r="D523" s="3" t="e">
        <f ca="1">[1]!BexGetData("DP_1","003N8EMH8GTFRCSWKMPXRRESE","GSON1112031335")</f>
        <v>#NAME?</v>
      </c>
      <c r="E523" s="8" t="e">
        <f ca="1">[1]!BexGetData("DP_1","003N8EMH8GTFRCSWKMPXRRL3Y","GSON1112031335")</f>
        <v>#NAME?</v>
      </c>
      <c r="F523" s="4" t="e">
        <f ca="1">[1]!BexGetData("DP_1","003N8EMH8GTFRCSWKMPXRRRFI","GSON1112031335")</f>
        <v>#NAME?</v>
      </c>
      <c r="G523" s="4" t="e">
        <f ca="1">[1]!BexGetData("DP_1","003N8EMH8GTFRCSWKMPXRRXR2","GSON1112031335")</f>
        <v>#NAME?</v>
      </c>
      <c r="H523" s="4" t="e">
        <f ca="1">[1]!BexGetData("DP_1","003N8EMH8GTFRCSWKMPXRS42M","GSON1112031335")</f>
        <v>#NAME?</v>
      </c>
      <c r="I523" s="4" t="e">
        <f ca="1">[1]!BexGetData("DP_1","003N8EMH8GTFRCSWKMPXRSAE6","GSON1112031335")</f>
        <v>#NAME?</v>
      </c>
      <c r="J523" s="4" t="e">
        <f ca="1">[1]!BexGetData("DP_1","003N8EMH8GTFRCSWKMPXRSGPQ","GSON1112031335")</f>
        <v>#NAME?</v>
      </c>
      <c r="K523" s="8" t="e">
        <f ca="1">[1]!BexGetData("DP_1","003N8EMH8GTFRIVNUPY288VJH","GSON1112031335")</f>
        <v>#NAME?</v>
      </c>
      <c r="L523" s="8" t="e">
        <f ca="1">[1]!BexGetData("DP_1","003N8EMH8GTFRIVNUPY2891V1","GSON1112031335")</f>
        <v>#NAME?</v>
      </c>
      <c r="M523" s="8" t="e">
        <f ca="1">[1]!BexGetData("DP_1","003N8EMH8GTFRIVOG7KG9IQXA","GSON1112031335")</f>
        <v>#NAME?</v>
      </c>
      <c r="N523" s="8" t="e">
        <f ca="1">[1]!BexGetData("DP_1","003N8EMH8GTFRIVOG7KG9IX8U","GSON1112031335")</f>
        <v>#NAME?</v>
      </c>
      <c r="O523" s="8" t="e">
        <f ca="1">[1]!BexGetData("DP_1","003N8EMH8GTFRIVOG7KG9J3KE","GSON1112031335")</f>
        <v>#NAME?</v>
      </c>
      <c r="P523" s="8" t="e">
        <f ca="1">[1]!BexGetData("DP_1","003N8EMH8GTFRIVOG7KG9J9VY","GSON1112031335")</f>
        <v>#NAME?</v>
      </c>
      <c r="Q523" s="4" t="e">
        <f ca="1">[1]!BexGetData("DP_1","00O2TNJGODT0G5Z4TTKYMM5MT","GSON1112031335")</f>
        <v>#NAME?</v>
      </c>
      <c r="R523" s="4" t="e">
        <f ca="1">[1]!BexGetData("DP_1","00O2TNJGODT0G5Z4TTKYMMBYD","GSON1112031335")</f>
        <v>#NAME?</v>
      </c>
      <c r="S523" s="4" t="e">
        <f ca="1">[1]!BexGetData("DP_1","00O2TNJGODT0G5Z4TTKYMMI9X","GSON1112031335")</f>
        <v>#NAME?</v>
      </c>
      <c r="T523" s="4" t="e">
        <f ca="1">[1]!BexGetData("DP_1","00O2TNJGODT0G5Z4TTKYMMOLH","GSON1112031335")</f>
        <v>#NAME?</v>
      </c>
      <c r="U523" s="4" t="e">
        <f ca="1">[1]!BexGetData("DP_1","00O2TNJGODT0G5Z4TTKYMMUX1","GSON1112031335")</f>
        <v>#NAME?</v>
      </c>
      <c r="V523" s="4" t="e">
        <f ca="1">[1]!BexGetData("DP_1","00O2TNJGODT0G5Z4TTKYMN18L","GSON1112031335")</f>
        <v>#NAME?</v>
      </c>
      <c r="W523" s="4" t="e">
        <f ca="1">[1]!BexGetData("DP_1","00O2TNJGODT0G5Z4TTKYMN7K5","GSON1112031335")</f>
        <v>#NAME?</v>
      </c>
    </row>
    <row r="524" spans="1:23" x14ac:dyDescent="0.2">
      <c r="A524" s="16" t="s">
        <v>2439</v>
      </c>
      <c r="B524" s="7" t="s">
        <v>2440</v>
      </c>
      <c r="C524" s="3" t="e">
        <f ca="1">[1]!BexGetData("DP_1","003N8EMH8GTFRCSWKMPXRR8GU","GSON1112031340")</f>
        <v>#NAME?</v>
      </c>
      <c r="D524" s="3" t="e">
        <f ca="1">[1]!BexGetData("DP_1","003N8EMH8GTFRCSWKMPXRRESE","GSON1112031340")</f>
        <v>#NAME?</v>
      </c>
      <c r="E524" s="3" t="e">
        <f ca="1">[1]!BexGetData("DP_1","003N8EMH8GTFRCSWKMPXRRL3Y","GSON1112031340")</f>
        <v>#NAME?</v>
      </c>
      <c r="F524" s="4" t="e">
        <f ca="1">[1]!BexGetData("DP_1","003N8EMH8GTFRCSWKMPXRRRFI","GSON1112031340")</f>
        <v>#NAME?</v>
      </c>
      <c r="G524" s="4" t="e">
        <f ca="1">[1]!BexGetData("DP_1","003N8EMH8GTFRCSWKMPXRRXR2","GSON1112031340")</f>
        <v>#NAME?</v>
      </c>
      <c r="H524" s="4" t="e">
        <f ca="1">[1]!BexGetData("DP_1","003N8EMH8GTFRCSWKMPXRS42M","GSON1112031340")</f>
        <v>#NAME?</v>
      </c>
      <c r="I524" s="4" t="e">
        <f ca="1">[1]!BexGetData("DP_1","003N8EMH8GTFRCSWKMPXRSAE6","GSON1112031340")</f>
        <v>#NAME?</v>
      </c>
      <c r="J524" s="4" t="e">
        <f ca="1">[1]!BexGetData("DP_1","003N8EMH8GTFRCSWKMPXRSGPQ","GSON1112031340")</f>
        <v>#NAME?</v>
      </c>
      <c r="K524" s="3" t="e">
        <f ca="1">[1]!BexGetData("DP_1","003N8EMH8GTFRIVNUPY288VJH","GSON1112031340")</f>
        <v>#NAME?</v>
      </c>
      <c r="L524" s="3" t="e">
        <f ca="1">[1]!BexGetData("DP_1","003N8EMH8GTFRIVNUPY2891V1","GSON1112031340")</f>
        <v>#NAME?</v>
      </c>
      <c r="M524" s="8" t="e">
        <f ca="1">[1]!BexGetData("DP_1","003N8EMH8GTFRIVOG7KG9IQXA","GSON1112031340")</f>
        <v>#NAME?</v>
      </c>
      <c r="N524" s="3" t="e">
        <f ca="1">[1]!BexGetData("DP_1","003N8EMH8GTFRIVOG7KG9IX8U","GSON1112031340")</f>
        <v>#NAME?</v>
      </c>
      <c r="O524" s="8" t="e">
        <f ca="1">[1]!BexGetData("DP_1","003N8EMH8GTFRIVOG7KG9J3KE","GSON1112031340")</f>
        <v>#NAME?</v>
      </c>
      <c r="P524" s="3" t="e">
        <f ca="1">[1]!BexGetData("DP_1","003N8EMH8GTFRIVOG7KG9J9VY","GSON1112031340")</f>
        <v>#NAME?</v>
      </c>
      <c r="Q524" s="4" t="e">
        <f ca="1">[1]!BexGetData("DP_1","00O2TNJGODT0G5Z4TTKYMM5MT","GSON1112031340")</f>
        <v>#NAME?</v>
      </c>
      <c r="R524" s="4" t="e">
        <f ca="1">[1]!BexGetData("DP_1","00O2TNJGODT0G5Z4TTKYMMBYD","GSON1112031340")</f>
        <v>#NAME?</v>
      </c>
      <c r="S524" s="4" t="e">
        <f ca="1">[1]!BexGetData("DP_1","00O2TNJGODT0G5Z4TTKYMMI9X","GSON1112031340")</f>
        <v>#NAME?</v>
      </c>
      <c r="T524" s="4" t="e">
        <f ca="1">[1]!BexGetData("DP_1","00O2TNJGODT0G5Z4TTKYMMOLH","GSON1112031340")</f>
        <v>#NAME?</v>
      </c>
      <c r="U524" s="4" t="e">
        <f ca="1">[1]!BexGetData("DP_1","00O2TNJGODT0G5Z4TTKYMMUX1","GSON1112031340")</f>
        <v>#NAME?</v>
      </c>
      <c r="V524" s="4" t="e">
        <f ca="1">[1]!BexGetData("DP_1","00O2TNJGODT0G5Z4TTKYMN18L","GSON1112031340")</f>
        <v>#NAME?</v>
      </c>
      <c r="W524" s="4" t="e">
        <f ca="1">[1]!BexGetData("DP_1","00O2TNJGODT0G5Z4TTKYMN7K5","GSON1112031340")</f>
        <v>#NAME?</v>
      </c>
    </row>
    <row r="525" spans="1:23" x14ac:dyDescent="0.2">
      <c r="A525" s="16" t="s">
        <v>2441</v>
      </c>
      <c r="B525" s="7" t="s">
        <v>2442</v>
      </c>
      <c r="C525" s="3" t="e">
        <f ca="1">[1]!BexGetData("DP_1","003N8EMH8GTFRCSWKMPXRR8GU","GSON1112031341")</f>
        <v>#NAME?</v>
      </c>
      <c r="D525" s="3" t="e">
        <f ca="1">[1]!BexGetData("DP_1","003N8EMH8GTFRCSWKMPXRRESE","GSON1112031341")</f>
        <v>#NAME?</v>
      </c>
      <c r="E525" s="8" t="e">
        <f ca="1">[1]!BexGetData("DP_1","003N8EMH8GTFRCSWKMPXRRL3Y","GSON1112031341")</f>
        <v>#NAME?</v>
      </c>
      <c r="F525" s="4" t="e">
        <f ca="1">[1]!BexGetData("DP_1","003N8EMH8GTFRCSWKMPXRRRFI","GSON1112031341")</f>
        <v>#NAME?</v>
      </c>
      <c r="G525" s="4" t="e">
        <f ca="1">[1]!BexGetData("DP_1","003N8EMH8GTFRCSWKMPXRRXR2","GSON1112031341")</f>
        <v>#NAME?</v>
      </c>
      <c r="H525" s="4" t="e">
        <f ca="1">[1]!BexGetData("DP_1","003N8EMH8GTFRCSWKMPXRS42M","GSON1112031341")</f>
        <v>#NAME?</v>
      </c>
      <c r="I525" s="4" t="e">
        <f ca="1">[1]!BexGetData("DP_1","003N8EMH8GTFRCSWKMPXRSAE6","GSON1112031341")</f>
        <v>#NAME?</v>
      </c>
      <c r="J525" s="4" t="e">
        <f ca="1">[1]!BexGetData("DP_1","003N8EMH8GTFRCSWKMPXRSGPQ","GSON1112031341")</f>
        <v>#NAME?</v>
      </c>
      <c r="K525" s="8" t="e">
        <f ca="1">[1]!BexGetData("DP_1","003N8EMH8GTFRIVNUPY288VJH","GSON1112031341")</f>
        <v>#NAME?</v>
      </c>
      <c r="L525" s="8" t="e">
        <f ca="1">[1]!BexGetData("DP_1","003N8EMH8GTFRIVNUPY2891V1","GSON1112031341")</f>
        <v>#NAME?</v>
      </c>
      <c r="M525" s="8" t="e">
        <f ca="1">[1]!BexGetData("DP_1","003N8EMH8GTFRIVOG7KG9IQXA","GSON1112031341")</f>
        <v>#NAME?</v>
      </c>
      <c r="N525" s="8" t="e">
        <f ca="1">[1]!BexGetData("DP_1","003N8EMH8GTFRIVOG7KG9IX8U","GSON1112031341")</f>
        <v>#NAME?</v>
      </c>
      <c r="O525" s="8" t="e">
        <f ca="1">[1]!BexGetData("DP_1","003N8EMH8GTFRIVOG7KG9J3KE","GSON1112031341")</f>
        <v>#NAME?</v>
      </c>
      <c r="P525" s="8" t="e">
        <f ca="1">[1]!BexGetData("DP_1","003N8EMH8GTFRIVOG7KG9J9VY","GSON1112031341")</f>
        <v>#NAME?</v>
      </c>
      <c r="Q525" s="4" t="e">
        <f ca="1">[1]!BexGetData("DP_1","00O2TNJGODT0G5Z4TTKYMM5MT","GSON1112031341")</f>
        <v>#NAME?</v>
      </c>
      <c r="R525" s="4" t="e">
        <f ca="1">[1]!BexGetData("DP_1","00O2TNJGODT0G5Z4TTKYMMBYD","GSON1112031341")</f>
        <v>#NAME?</v>
      </c>
      <c r="S525" s="4" t="e">
        <f ca="1">[1]!BexGetData("DP_1","00O2TNJGODT0G5Z4TTKYMMI9X","GSON1112031341")</f>
        <v>#NAME?</v>
      </c>
      <c r="T525" s="4" t="e">
        <f ca="1">[1]!BexGetData("DP_1","00O2TNJGODT0G5Z4TTKYMMOLH","GSON1112031341")</f>
        <v>#NAME?</v>
      </c>
      <c r="U525" s="4" t="e">
        <f ca="1">[1]!BexGetData("DP_1","00O2TNJGODT0G5Z4TTKYMMUX1","GSON1112031341")</f>
        <v>#NAME?</v>
      </c>
      <c r="V525" s="4" t="e">
        <f ca="1">[1]!BexGetData("DP_1","00O2TNJGODT0G5Z4TTKYMN18L","GSON1112031341")</f>
        <v>#NAME?</v>
      </c>
      <c r="W525" s="4" t="e">
        <f ca="1">[1]!BexGetData("DP_1","00O2TNJGODT0G5Z4TTKYMN7K5","GSON1112031341")</f>
        <v>#NAME?</v>
      </c>
    </row>
    <row r="526" spans="1:23" x14ac:dyDescent="0.2">
      <c r="A526" s="16" t="s">
        <v>2443</v>
      </c>
      <c r="B526" s="7" t="s">
        <v>2444</v>
      </c>
      <c r="C526" s="8" t="e">
        <f ca="1">[1]!BexGetData("DP_1","003N8EMH8GTFRCSWKMPXRR8GU","GSON1112031342")</f>
        <v>#NAME?</v>
      </c>
      <c r="D526" s="3" t="e">
        <f ca="1">[1]!BexGetData("DP_1","003N8EMH8GTFRCSWKMPXRRESE","GSON1112031342")</f>
        <v>#NAME?</v>
      </c>
      <c r="E526" s="3" t="e">
        <f ca="1">[1]!BexGetData("DP_1","003N8EMH8GTFRCSWKMPXRRL3Y","GSON1112031342")</f>
        <v>#NAME?</v>
      </c>
      <c r="F526" s="4" t="e">
        <f ca="1">[1]!BexGetData("DP_1","003N8EMH8GTFRCSWKMPXRRRFI","GSON1112031342")</f>
        <v>#NAME?</v>
      </c>
      <c r="G526" s="4" t="e">
        <f ca="1">[1]!BexGetData("DP_1","003N8EMH8GTFRCSWKMPXRRXR2","GSON1112031342")</f>
        <v>#NAME?</v>
      </c>
      <c r="H526" s="4" t="e">
        <f ca="1">[1]!BexGetData("DP_1","003N8EMH8GTFRCSWKMPXRS42M","GSON1112031342")</f>
        <v>#NAME?</v>
      </c>
      <c r="I526" s="4" t="e">
        <f ca="1">[1]!BexGetData("DP_1","003N8EMH8GTFRCSWKMPXRSAE6","GSON1112031342")</f>
        <v>#NAME?</v>
      </c>
      <c r="J526" s="4" t="e">
        <f ca="1">[1]!BexGetData("DP_1","003N8EMH8GTFRCSWKMPXRSGPQ","GSON1112031342")</f>
        <v>#NAME?</v>
      </c>
      <c r="K526" s="3" t="e">
        <f ca="1">[1]!BexGetData("DP_1","003N8EMH8GTFRIVNUPY288VJH","GSON1112031342")</f>
        <v>#NAME?</v>
      </c>
      <c r="L526" s="3" t="e">
        <f ca="1">[1]!BexGetData("DP_1","003N8EMH8GTFRIVNUPY2891V1","GSON1112031342")</f>
        <v>#NAME?</v>
      </c>
      <c r="M526" s="3" t="e">
        <f ca="1">[1]!BexGetData("DP_1","003N8EMH8GTFRIVOG7KG9IQXA","GSON1112031342")</f>
        <v>#NAME?</v>
      </c>
      <c r="N526" s="8" t="e">
        <f ca="1">[1]!BexGetData("DP_1","003N8EMH8GTFRIVOG7KG9IX8U","GSON1112031342")</f>
        <v>#NAME?</v>
      </c>
      <c r="O526" s="3" t="e">
        <f ca="1">[1]!BexGetData("DP_1","003N8EMH8GTFRIVOG7KG9J3KE","GSON1112031342")</f>
        <v>#NAME?</v>
      </c>
      <c r="P526" s="8" t="e">
        <f ca="1">[1]!BexGetData("DP_1","003N8EMH8GTFRIVOG7KG9J9VY","GSON1112031342")</f>
        <v>#NAME?</v>
      </c>
      <c r="Q526" s="4" t="e">
        <f ca="1">[1]!BexGetData("DP_1","00O2TNJGODT0G5Z4TTKYMM5MT","GSON1112031342")</f>
        <v>#NAME?</v>
      </c>
      <c r="R526" s="4" t="e">
        <f ca="1">[1]!BexGetData("DP_1","00O2TNJGODT0G5Z4TTKYMMBYD","GSON1112031342")</f>
        <v>#NAME?</v>
      </c>
      <c r="S526" s="4" t="e">
        <f ca="1">[1]!BexGetData("DP_1","00O2TNJGODT0G5Z4TTKYMMI9X","GSON1112031342")</f>
        <v>#NAME?</v>
      </c>
      <c r="T526" s="4" t="e">
        <f ca="1">[1]!BexGetData("DP_1","00O2TNJGODT0G5Z4TTKYMMOLH","GSON1112031342")</f>
        <v>#NAME?</v>
      </c>
      <c r="U526" s="4" t="e">
        <f ca="1">[1]!BexGetData("DP_1","00O2TNJGODT0G5Z4TTKYMMUX1","GSON1112031342")</f>
        <v>#NAME?</v>
      </c>
      <c r="V526" s="4" t="e">
        <f ca="1">[1]!BexGetData("DP_1","00O2TNJGODT0G5Z4TTKYMN18L","GSON1112031342")</f>
        <v>#NAME?</v>
      </c>
      <c r="W526" s="4" t="e">
        <f ca="1">[1]!BexGetData("DP_1","00O2TNJGODT0G5Z4TTKYMN7K5","GSON1112031342")</f>
        <v>#NAME?</v>
      </c>
    </row>
    <row r="527" spans="1:23" x14ac:dyDescent="0.2">
      <c r="A527" s="16" t="s">
        <v>2445</v>
      </c>
      <c r="B527" s="7" t="s">
        <v>2446</v>
      </c>
      <c r="C527" s="3" t="e">
        <f ca="1">[1]!BexGetData("DP_1","003N8EMH8GTFRCSWKMPXRR8GU","GSON1112031343")</f>
        <v>#NAME?</v>
      </c>
      <c r="D527" s="3" t="e">
        <f ca="1">[1]!BexGetData("DP_1","003N8EMH8GTFRCSWKMPXRRESE","GSON1112031343")</f>
        <v>#NAME?</v>
      </c>
      <c r="E527" s="8" t="e">
        <f ca="1">[1]!BexGetData("DP_1","003N8EMH8GTFRCSWKMPXRRL3Y","GSON1112031343")</f>
        <v>#NAME?</v>
      </c>
      <c r="F527" s="4" t="e">
        <f ca="1">[1]!BexGetData("DP_1","003N8EMH8GTFRCSWKMPXRRRFI","GSON1112031343")</f>
        <v>#NAME?</v>
      </c>
      <c r="G527" s="4" t="e">
        <f ca="1">[1]!BexGetData("DP_1","003N8EMH8GTFRCSWKMPXRRXR2","GSON1112031343")</f>
        <v>#NAME?</v>
      </c>
      <c r="H527" s="4" t="e">
        <f ca="1">[1]!BexGetData("DP_1","003N8EMH8GTFRCSWKMPXRS42M","GSON1112031343")</f>
        <v>#NAME?</v>
      </c>
      <c r="I527" s="4" t="e">
        <f ca="1">[1]!BexGetData("DP_1","003N8EMH8GTFRCSWKMPXRSAE6","GSON1112031343")</f>
        <v>#NAME?</v>
      </c>
      <c r="J527" s="4" t="e">
        <f ca="1">[1]!BexGetData("DP_1","003N8EMH8GTFRCSWKMPXRSGPQ","GSON1112031343")</f>
        <v>#NAME?</v>
      </c>
      <c r="K527" s="8" t="e">
        <f ca="1">[1]!BexGetData("DP_1","003N8EMH8GTFRIVNUPY288VJH","GSON1112031343")</f>
        <v>#NAME?</v>
      </c>
      <c r="L527" s="8" t="e">
        <f ca="1">[1]!BexGetData("DP_1","003N8EMH8GTFRIVNUPY2891V1","GSON1112031343")</f>
        <v>#NAME?</v>
      </c>
      <c r="M527" s="8" t="e">
        <f ca="1">[1]!BexGetData("DP_1","003N8EMH8GTFRIVOG7KG9IQXA","GSON1112031343")</f>
        <v>#NAME?</v>
      </c>
      <c r="N527" s="8" t="e">
        <f ca="1">[1]!BexGetData("DP_1","003N8EMH8GTFRIVOG7KG9IX8U","GSON1112031343")</f>
        <v>#NAME?</v>
      </c>
      <c r="O527" s="8" t="e">
        <f ca="1">[1]!BexGetData("DP_1","003N8EMH8GTFRIVOG7KG9J3KE","GSON1112031343")</f>
        <v>#NAME?</v>
      </c>
      <c r="P527" s="8" t="e">
        <f ca="1">[1]!BexGetData("DP_1","003N8EMH8GTFRIVOG7KG9J9VY","GSON1112031343")</f>
        <v>#NAME?</v>
      </c>
      <c r="Q527" s="4" t="e">
        <f ca="1">[1]!BexGetData("DP_1","00O2TNJGODT0G5Z4TTKYMM5MT","GSON1112031343")</f>
        <v>#NAME?</v>
      </c>
      <c r="R527" s="4" t="e">
        <f ca="1">[1]!BexGetData("DP_1","00O2TNJGODT0G5Z4TTKYMMBYD","GSON1112031343")</f>
        <v>#NAME?</v>
      </c>
      <c r="S527" s="4" t="e">
        <f ca="1">[1]!BexGetData("DP_1","00O2TNJGODT0G5Z4TTKYMMI9X","GSON1112031343")</f>
        <v>#NAME?</v>
      </c>
      <c r="T527" s="4" t="e">
        <f ca="1">[1]!BexGetData("DP_1","00O2TNJGODT0G5Z4TTKYMMOLH","GSON1112031343")</f>
        <v>#NAME?</v>
      </c>
      <c r="U527" s="4" t="e">
        <f ca="1">[1]!BexGetData("DP_1","00O2TNJGODT0G5Z4TTKYMMUX1","GSON1112031343")</f>
        <v>#NAME?</v>
      </c>
      <c r="V527" s="4" t="e">
        <f ca="1">[1]!BexGetData("DP_1","00O2TNJGODT0G5Z4TTKYMN18L","GSON1112031343")</f>
        <v>#NAME?</v>
      </c>
      <c r="W527" s="4" t="e">
        <f ca="1">[1]!BexGetData("DP_1","00O2TNJGODT0G5Z4TTKYMN7K5","GSON1112031343")</f>
        <v>#NAME?</v>
      </c>
    </row>
    <row r="528" spans="1:23" x14ac:dyDescent="0.2">
      <c r="A528" s="16" t="s">
        <v>2447</v>
      </c>
      <c r="B528" s="7" t="s">
        <v>2448</v>
      </c>
      <c r="C528" s="3" t="e">
        <f ca="1">[1]!BexGetData("DP_1","003N8EMH8GTFRCSWKMPXRR8GU","GSON1112031345")</f>
        <v>#NAME?</v>
      </c>
      <c r="D528" s="3" t="e">
        <f ca="1">[1]!BexGetData("DP_1","003N8EMH8GTFRCSWKMPXRRESE","GSON1112031345")</f>
        <v>#NAME?</v>
      </c>
      <c r="E528" s="8" t="e">
        <f ca="1">[1]!BexGetData("DP_1","003N8EMH8GTFRCSWKMPXRRL3Y","GSON1112031345")</f>
        <v>#NAME?</v>
      </c>
      <c r="F528" s="4" t="e">
        <f ca="1">[1]!BexGetData("DP_1","003N8EMH8GTFRCSWKMPXRRRFI","GSON1112031345")</f>
        <v>#NAME?</v>
      </c>
      <c r="G528" s="4" t="e">
        <f ca="1">[1]!BexGetData("DP_1","003N8EMH8GTFRCSWKMPXRRXR2","GSON1112031345")</f>
        <v>#NAME?</v>
      </c>
      <c r="H528" s="4" t="e">
        <f ca="1">[1]!BexGetData("DP_1","003N8EMH8GTFRCSWKMPXRS42M","GSON1112031345")</f>
        <v>#NAME?</v>
      </c>
      <c r="I528" s="4" t="e">
        <f ca="1">[1]!BexGetData("DP_1","003N8EMH8GTFRCSWKMPXRSAE6","GSON1112031345")</f>
        <v>#NAME?</v>
      </c>
      <c r="J528" s="4" t="e">
        <f ca="1">[1]!BexGetData("DP_1","003N8EMH8GTFRCSWKMPXRSGPQ","GSON1112031345")</f>
        <v>#NAME?</v>
      </c>
      <c r="K528" s="8" t="e">
        <f ca="1">[1]!BexGetData("DP_1","003N8EMH8GTFRIVNUPY288VJH","GSON1112031345")</f>
        <v>#NAME?</v>
      </c>
      <c r="L528" s="8" t="e">
        <f ca="1">[1]!BexGetData("DP_1","003N8EMH8GTFRIVNUPY2891V1","GSON1112031345")</f>
        <v>#NAME?</v>
      </c>
      <c r="M528" s="8" t="e">
        <f ca="1">[1]!BexGetData("DP_1","003N8EMH8GTFRIVOG7KG9IQXA","GSON1112031345")</f>
        <v>#NAME?</v>
      </c>
      <c r="N528" s="8" t="e">
        <f ca="1">[1]!BexGetData("DP_1","003N8EMH8GTFRIVOG7KG9IX8U","GSON1112031345")</f>
        <v>#NAME?</v>
      </c>
      <c r="O528" s="8" t="e">
        <f ca="1">[1]!BexGetData("DP_1","003N8EMH8GTFRIVOG7KG9J3KE","GSON1112031345")</f>
        <v>#NAME?</v>
      </c>
      <c r="P528" s="8" t="e">
        <f ca="1">[1]!BexGetData("DP_1","003N8EMH8GTFRIVOG7KG9J9VY","GSON1112031345")</f>
        <v>#NAME?</v>
      </c>
      <c r="Q528" s="4" t="e">
        <f ca="1">[1]!BexGetData("DP_1","00O2TNJGODT0G5Z4TTKYMM5MT","GSON1112031345")</f>
        <v>#NAME?</v>
      </c>
      <c r="R528" s="4" t="e">
        <f ca="1">[1]!BexGetData("DP_1","00O2TNJGODT0G5Z4TTKYMMBYD","GSON1112031345")</f>
        <v>#NAME?</v>
      </c>
      <c r="S528" s="4" t="e">
        <f ca="1">[1]!BexGetData("DP_1","00O2TNJGODT0G5Z4TTKYMMI9X","GSON1112031345")</f>
        <v>#NAME?</v>
      </c>
      <c r="T528" s="4" t="e">
        <f ca="1">[1]!BexGetData("DP_1","00O2TNJGODT0G5Z4TTKYMMOLH","GSON1112031345")</f>
        <v>#NAME?</v>
      </c>
      <c r="U528" s="4" t="e">
        <f ca="1">[1]!BexGetData("DP_1","00O2TNJGODT0G5Z4TTKYMMUX1","GSON1112031345")</f>
        <v>#NAME?</v>
      </c>
      <c r="V528" s="4" t="e">
        <f ca="1">[1]!BexGetData("DP_1","00O2TNJGODT0G5Z4TTKYMN18L","GSON1112031345")</f>
        <v>#NAME?</v>
      </c>
      <c r="W528" s="4" t="e">
        <f ca="1">[1]!BexGetData("DP_1","00O2TNJGODT0G5Z4TTKYMN7K5","GSON1112031345")</f>
        <v>#NAME?</v>
      </c>
    </row>
    <row r="529" spans="1:23" x14ac:dyDescent="0.2">
      <c r="A529" s="16" t="s">
        <v>2449</v>
      </c>
      <c r="B529" s="7" t="s">
        <v>2450</v>
      </c>
      <c r="C529" s="3" t="e">
        <f ca="1">[1]!BexGetData("DP_1","003N8EMH8GTFRCSWKMPXRR8GU","GSON1112031350")</f>
        <v>#NAME?</v>
      </c>
      <c r="D529" s="3" t="e">
        <f ca="1">[1]!BexGetData("DP_1","003N8EMH8GTFRCSWKMPXRRESE","GSON1112031350")</f>
        <v>#NAME?</v>
      </c>
      <c r="E529" s="3" t="e">
        <f ca="1">[1]!BexGetData("DP_1","003N8EMH8GTFRCSWKMPXRRL3Y","GSON1112031350")</f>
        <v>#NAME?</v>
      </c>
      <c r="F529" s="4" t="e">
        <f ca="1">[1]!BexGetData("DP_1","003N8EMH8GTFRCSWKMPXRRRFI","GSON1112031350")</f>
        <v>#NAME?</v>
      </c>
      <c r="G529" s="4" t="e">
        <f ca="1">[1]!BexGetData("DP_1","003N8EMH8GTFRCSWKMPXRRXR2","GSON1112031350")</f>
        <v>#NAME?</v>
      </c>
      <c r="H529" s="4" t="e">
        <f ca="1">[1]!BexGetData("DP_1","003N8EMH8GTFRCSWKMPXRS42M","GSON1112031350")</f>
        <v>#NAME?</v>
      </c>
      <c r="I529" s="4" t="e">
        <f ca="1">[1]!BexGetData("DP_1","003N8EMH8GTFRCSWKMPXRSAE6","GSON1112031350")</f>
        <v>#NAME?</v>
      </c>
      <c r="J529" s="4" t="e">
        <f ca="1">[1]!BexGetData("DP_1","003N8EMH8GTFRCSWKMPXRSGPQ","GSON1112031350")</f>
        <v>#NAME?</v>
      </c>
      <c r="K529" s="3" t="e">
        <f ca="1">[1]!BexGetData("DP_1","003N8EMH8GTFRIVNUPY288VJH","GSON1112031350")</f>
        <v>#NAME?</v>
      </c>
      <c r="L529" s="3" t="e">
        <f ca="1">[1]!BexGetData("DP_1","003N8EMH8GTFRIVNUPY2891V1","GSON1112031350")</f>
        <v>#NAME?</v>
      </c>
      <c r="M529" s="8" t="e">
        <f ca="1">[1]!BexGetData("DP_1","003N8EMH8GTFRIVOG7KG9IQXA","GSON1112031350")</f>
        <v>#NAME?</v>
      </c>
      <c r="N529" s="3" t="e">
        <f ca="1">[1]!BexGetData("DP_1","003N8EMH8GTFRIVOG7KG9IX8U","GSON1112031350")</f>
        <v>#NAME?</v>
      </c>
      <c r="O529" s="8" t="e">
        <f ca="1">[1]!BexGetData("DP_1","003N8EMH8GTFRIVOG7KG9J3KE","GSON1112031350")</f>
        <v>#NAME?</v>
      </c>
      <c r="P529" s="3" t="e">
        <f ca="1">[1]!BexGetData("DP_1","003N8EMH8GTFRIVOG7KG9J9VY","GSON1112031350")</f>
        <v>#NAME?</v>
      </c>
      <c r="Q529" s="4" t="e">
        <f ca="1">[1]!BexGetData("DP_1","00O2TNJGODT0G5Z4TTKYMM5MT","GSON1112031350")</f>
        <v>#NAME?</v>
      </c>
      <c r="R529" s="4" t="e">
        <f ca="1">[1]!BexGetData("DP_1","00O2TNJGODT0G5Z4TTKYMMBYD","GSON1112031350")</f>
        <v>#NAME?</v>
      </c>
      <c r="S529" s="4" t="e">
        <f ca="1">[1]!BexGetData("DP_1","00O2TNJGODT0G5Z4TTKYMMI9X","GSON1112031350")</f>
        <v>#NAME?</v>
      </c>
      <c r="T529" s="4" t="e">
        <f ca="1">[1]!BexGetData("DP_1","00O2TNJGODT0G5Z4TTKYMMOLH","GSON1112031350")</f>
        <v>#NAME?</v>
      </c>
      <c r="U529" s="4" t="e">
        <f ca="1">[1]!BexGetData("DP_1","00O2TNJGODT0G5Z4TTKYMMUX1","GSON1112031350")</f>
        <v>#NAME?</v>
      </c>
      <c r="V529" s="4" t="e">
        <f ca="1">[1]!BexGetData("DP_1","00O2TNJGODT0G5Z4TTKYMN18L","GSON1112031350")</f>
        <v>#NAME?</v>
      </c>
      <c r="W529" s="4" t="e">
        <f ca="1">[1]!BexGetData("DP_1","00O2TNJGODT0G5Z4TTKYMN7K5","GSON1112031350")</f>
        <v>#NAME?</v>
      </c>
    </row>
    <row r="530" spans="1:23" x14ac:dyDescent="0.2">
      <c r="A530" s="16" t="s">
        <v>2451</v>
      </c>
      <c r="B530" s="7" t="s">
        <v>2452</v>
      </c>
      <c r="C530" s="3" t="e">
        <f ca="1">[1]!BexGetData("DP_1","003N8EMH8GTFRCSWKMPXRR8GU","GSON1112031351")</f>
        <v>#NAME?</v>
      </c>
      <c r="D530" s="3" t="e">
        <f ca="1">[1]!BexGetData("DP_1","003N8EMH8GTFRCSWKMPXRRESE","GSON1112031351")</f>
        <v>#NAME?</v>
      </c>
      <c r="E530" s="8" t="e">
        <f ca="1">[1]!BexGetData("DP_1","003N8EMH8GTFRCSWKMPXRRL3Y","GSON1112031351")</f>
        <v>#NAME?</v>
      </c>
      <c r="F530" s="4" t="e">
        <f ca="1">[1]!BexGetData("DP_1","003N8EMH8GTFRCSWKMPXRRRFI","GSON1112031351")</f>
        <v>#NAME?</v>
      </c>
      <c r="G530" s="4" t="e">
        <f ca="1">[1]!BexGetData("DP_1","003N8EMH8GTFRCSWKMPXRRXR2","GSON1112031351")</f>
        <v>#NAME?</v>
      </c>
      <c r="H530" s="4" t="e">
        <f ca="1">[1]!BexGetData("DP_1","003N8EMH8GTFRCSWKMPXRS42M","GSON1112031351")</f>
        <v>#NAME?</v>
      </c>
      <c r="I530" s="4" t="e">
        <f ca="1">[1]!BexGetData("DP_1","003N8EMH8GTFRCSWKMPXRSAE6","GSON1112031351")</f>
        <v>#NAME?</v>
      </c>
      <c r="J530" s="4" t="e">
        <f ca="1">[1]!BexGetData("DP_1","003N8EMH8GTFRCSWKMPXRSGPQ","GSON1112031351")</f>
        <v>#NAME?</v>
      </c>
      <c r="K530" s="8" t="e">
        <f ca="1">[1]!BexGetData("DP_1","003N8EMH8GTFRIVNUPY288VJH","GSON1112031351")</f>
        <v>#NAME?</v>
      </c>
      <c r="L530" s="8" t="e">
        <f ca="1">[1]!BexGetData("DP_1","003N8EMH8GTFRIVNUPY2891V1","GSON1112031351")</f>
        <v>#NAME?</v>
      </c>
      <c r="M530" s="8" t="e">
        <f ca="1">[1]!BexGetData("DP_1","003N8EMH8GTFRIVOG7KG9IQXA","GSON1112031351")</f>
        <v>#NAME?</v>
      </c>
      <c r="N530" s="8" t="e">
        <f ca="1">[1]!BexGetData("DP_1","003N8EMH8GTFRIVOG7KG9IX8U","GSON1112031351")</f>
        <v>#NAME?</v>
      </c>
      <c r="O530" s="8" t="e">
        <f ca="1">[1]!BexGetData("DP_1","003N8EMH8GTFRIVOG7KG9J3KE","GSON1112031351")</f>
        <v>#NAME?</v>
      </c>
      <c r="P530" s="8" t="e">
        <f ca="1">[1]!BexGetData("DP_1","003N8EMH8GTFRIVOG7KG9J9VY","GSON1112031351")</f>
        <v>#NAME?</v>
      </c>
      <c r="Q530" s="4" t="e">
        <f ca="1">[1]!BexGetData("DP_1","00O2TNJGODT0G5Z4TTKYMM5MT","GSON1112031351")</f>
        <v>#NAME?</v>
      </c>
      <c r="R530" s="4" t="e">
        <f ca="1">[1]!BexGetData("DP_1","00O2TNJGODT0G5Z4TTKYMMBYD","GSON1112031351")</f>
        <v>#NAME?</v>
      </c>
      <c r="S530" s="4" t="e">
        <f ca="1">[1]!BexGetData("DP_1","00O2TNJGODT0G5Z4TTKYMMI9X","GSON1112031351")</f>
        <v>#NAME?</v>
      </c>
      <c r="T530" s="4" t="e">
        <f ca="1">[1]!BexGetData("DP_1","00O2TNJGODT0G5Z4TTKYMMOLH","GSON1112031351")</f>
        <v>#NAME?</v>
      </c>
      <c r="U530" s="4" t="e">
        <f ca="1">[1]!BexGetData("DP_1","00O2TNJGODT0G5Z4TTKYMMUX1","GSON1112031351")</f>
        <v>#NAME?</v>
      </c>
      <c r="V530" s="4" t="e">
        <f ca="1">[1]!BexGetData("DP_1","00O2TNJGODT0G5Z4TTKYMN18L","GSON1112031351")</f>
        <v>#NAME?</v>
      </c>
      <c r="W530" s="4" t="e">
        <f ca="1">[1]!BexGetData("DP_1","00O2TNJGODT0G5Z4TTKYMN7K5","GSON1112031351")</f>
        <v>#NAME?</v>
      </c>
    </row>
    <row r="531" spans="1:23" x14ac:dyDescent="0.2">
      <c r="A531" s="16" t="s">
        <v>2453</v>
      </c>
      <c r="B531" s="7" t="s">
        <v>2454</v>
      </c>
      <c r="C531" s="3" t="e">
        <f ca="1">[1]!BexGetData("DP_1","003N8EMH8GTFRCSWKMPXRR8GU","GSON1112031353")</f>
        <v>#NAME?</v>
      </c>
      <c r="D531" s="3" t="e">
        <f ca="1">[1]!BexGetData("DP_1","003N8EMH8GTFRCSWKMPXRRESE","GSON1112031353")</f>
        <v>#NAME?</v>
      </c>
      <c r="E531" s="8" t="e">
        <f ca="1">[1]!BexGetData("DP_1","003N8EMH8GTFRCSWKMPXRRL3Y","GSON1112031353")</f>
        <v>#NAME?</v>
      </c>
      <c r="F531" s="4" t="e">
        <f ca="1">[1]!BexGetData("DP_1","003N8EMH8GTFRCSWKMPXRRRFI","GSON1112031353")</f>
        <v>#NAME?</v>
      </c>
      <c r="G531" s="4" t="e">
        <f ca="1">[1]!BexGetData("DP_1","003N8EMH8GTFRCSWKMPXRRXR2","GSON1112031353")</f>
        <v>#NAME?</v>
      </c>
      <c r="H531" s="4" t="e">
        <f ca="1">[1]!BexGetData("DP_1","003N8EMH8GTFRCSWKMPXRS42M","GSON1112031353")</f>
        <v>#NAME?</v>
      </c>
      <c r="I531" s="4" t="e">
        <f ca="1">[1]!BexGetData("DP_1","003N8EMH8GTFRCSWKMPXRSAE6","GSON1112031353")</f>
        <v>#NAME?</v>
      </c>
      <c r="J531" s="4" t="e">
        <f ca="1">[1]!BexGetData("DP_1","003N8EMH8GTFRCSWKMPXRSGPQ","GSON1112031353")</f>
        <v>#NAME?</v>
      </c>
      <c r="K531" s="8" t="e">
        <f ca="1">[1]!BexGetData("DP_1","003N8EMH8GTFRIVNUPY288VJH","GSON1112031353")</f>
        <v>#NAME?</v>
      </c>
      <c r="L531" s="8" t="e">
        <f ca="1">[1]!BexGetData("DP_1","003N8EMH8GTFRIVNUPY2891V1","GSON1112031353")</f>
        <v>#NAME?</v>
      </c>
      <c r="M531" s="8" t="e">
        <f ca="1">[1]!BexGetData("DP_1","003N8EMH8GTFRIVOG7KG9IQXA","GSON1112031353")</f>
        <v>#NAME?</v>
      </c>
      <c r="N531" s="8" t="e">
        <f ca="1">[1]!BexGetData("DP_1","003N8EMH8GTFRIVOG7KG9IX8U","GSON1112031353")</f>
        <v>#NAME?</v>
      </c>
      <c r="O531" s="8" t="e">
        <f ca="1">[1]!BexGetData("DP_1","003N8EMH8GTFRIVOG7KG9J3KE","GSON1112031353")</f>
        <v>#NAME?</v>
      </c>
      <c r="P531" s="8" t="e">
        <f ca="1">[1]!BexGetData("DP_1","003N8EMH8GTFRIVOG7KG9J9VY","GSON1112031353")</f>
        <v>#NAME?</v>
      </c>
      <c r="Q531" s="4" t="e">
        <f ca="1">[1]!BexGetData("DP_1","00O2TNJGODT0G5Z4TTKYMM5MT","GSON1112031353")</f>
        <v>#NAME?</v>
      </c>
      <c r="R531" s="4" t="e">
        <f ca="1">[1]!BexGetData("DP_1","00O2TNJGODT0G5Z4TTKYMMBYD","GSON1112031353")</f>
        <v>#NAME?</v>
      </c>
      <c r="S531" s="4" t="e">
        <f ca="1">[1]!BexGetData("DP_1","00O2TNJGODT0G5Z4TTKYMMI9X","GSON1112031353")</f>
        <v>#NAME?</v>
      </c>
      <c r="T531" s="4" t="e">
        <f ca="1">[1]!BexGetData("DP_1","00O2TNJGODT0G5Z4TTKYMMOLH","GSON1112031353")</f>
        <v>#NAME?</v>
      </c>
      <c r="U531" s="4" t="e">
        <f ca="1">[1]!BexGetData("DP_1","00O2TNJGODT0G5Z4TTKYMMUX1","GSON1112031353")</f>
        <v>#NAME?</v>
      </c>
      <c r="V531" s="4" t="e">
        <f ca="1">[1]!BexGetData("DP_1","00O2TNJGODT0G5Z4TTKYMN18L","GSON1112031353")</f>
        <v>#NAME?</v>
      </c>
      <c r="W531" s="4" t="e">
        <f ca="1">[1]!BexGetData("DP_1","00O2TNJGODT0G5Z4TTKYMN7K5","GSON1112031353")</f>
        <v>#NAME?</v>
      </c>
    </row>
    <row r="532" spans="1:23" x14ac:dyDescent="0.2">
      <c r="A532" s="16" t="s">
        <v>2455</v>
      </c>
      <c r="B532" s="7" t="s">
        <v>2456</v>
      </c>
      <c r="C532" s="3" t="e">
        <f ca="1">[1]!BexGetData("DP_1","003N8EMH8GTFRCSWKMPXRR8GU","GSON1112031355")</f>
        <v>#NAME?</v>
      </c>
      <c r="D532" s="3" t="e">
        <f ca="1">[1]!BexGetData("DP_1","003N8EMH8GTFRCSWKMPXRRESE","GSON1112031355")</f>
        <v>#NAME?</v>
      </c>
      <c r="E532" s="8" t="e">
        <f ca="1">[1]!BexGetData("DP_1","003N8EMH8GTFRCSWKMPXRRL3Y","GSON1112031355")</f>
        <v>#NAME?</v>
      </c>
      <c r="F532" s="4" t="e">
        <f ca="1">[1]!BexGetData("DP_1","003N8EMH8GTFRCSWKMPXRRRFI","GSON1112031355")</f>
        <v>#NAME?</v>
      </c>
      <c r="G532" s="4" t="e">
        <f ca="1">[1]!BexGetData("DP_1","003N8EMH8GTFRCSWKMPXRRXR2","GSON1112031355")</f>
        <v>#NAME?</v>
      </c>
      <c r="H532" s="4" t="e">
        <f ca="1">[1]!BexGetData("DP_1","003N8EMH8GTFRCSWKMPXRS42M","GSON1112031355")</f>
        <v>#NAME?</v>
      </c>
      <c r="I532" s="4" t="e">
        <f ca="1">[1]!BexGetData("DP_1","003N8EMH8GTFRCSWKMPXRSAE6","GSON1112031355")</f>
        <v>#NAME?</v>
      </c>
      <c r="J532" s="4" t="e">
        <f ca="1">[1]!BexGetData("DP_1","003N8EMH8GTFRCSWKMPXRSGPQ","GSON1112031355")</f>
        <v>#NAME?</v>
      </c>
      <c r="K532" s="8" t="e">
        <f ca="1">[1]!BexGetData("DP_1","003N8EMH8GTFRIVNUPY288VJH","GSON1112031355")</f>
        <v>#NAME?</v>
      </c>
      <c r="L532" s="8" t="e">
        <f ca="1">[1]!BexGetData("DP_1","003N8EMH8GTFRIVNUPY2891V1","GSON1112031355")</f>
        <v>#NAME?</v>
      </c>
      <c r="M532" s="8" t="e">
        <f ca="1">[1]!BexGetData("DP_1","003N8EMH8GTFRIVOG7KG9IQXA","GSON1112031355")</f>
        <v>#NAME?</v>
      </c>
      <c r="N532" s="8" t="e">
        <f ca="1">[1]!BexGetData("DP_1","003N8EMH8GTFRIVOG7KG9IX8U","GSON1112031355")</f>
        <v>#NAME?</v>
      </c>
      <c r="O532" s="8" t="e">
        <f ca="1">[1]!BexGetData("DP_1","003N8EMH8GTFRIVOG7KG9J3KE","GSON1112031355")</f>
        <v>#NAME?</v>
      </c>
      <c r="P532" s="8" t="e">
        <f ca="1">[1]!BexGetData("DP_1","003N8EMH8GTFRIVOG7KG9J9VY","GSON1112031355")</f>
        <v>#NAME?</v>
      </c>
      <c r="Q532" s="4" t="e">
        <f ca="1">[1]!BexGetData("DP_1","00O2TNJGODT0G5Z4TTKYMM5MT","GSON1112031355")</f>
        <v>#NAME?</v>
      </c>
      <c r="R532" s="4" t="e">
        <f ca="1">[1]!BexGetData("DP_1","00O2TNJGODT0G5Z4TTKYMMBYD","GSON1112031355")</f>
        <v>#NAME?</v>
      </c>
      <c r="S532" s="4" t="e">
        <f ca="1">[1]!BexGetData("DP_1","00O2TNJGODT0G5Z4TTKYMMI9X","GSON1112031355")</f>
        <v>#NAME?</v>
      </c>
      <c r="T532" s="4" t="e">
        <f ca="1">[1]!BexGetData("DP_1","00O2TNJGODT0G5Z4TTKYMMOLH","GSON1112031355")</f>
        <v>#NAME?</v>
      </c>
      <c r="U532" s="4" t="e">
        <f ca="1">[1]!BexGetData("DP_1","00O2TNJGODT0G5Z4TTKYMMUX1","GSON1112031355")</f>
        <v>#NAME?</v>
      </c>
      <c r="V532" s="4" t="e">
        <f ca="1">[1]!BexGetData("DP_1","00O2TNJGODT0G5Z4TTKYMN18L","GSON1112031355")</f>
        <v>#NAME?</v>
      </c>
      <c r="W532" s="4" t="e">
        <f ca="1">[1]!BexGetData("DP_1","00O2TNJGODT0G5Z4TTKYMN7K5","GSON1112031355")</f>
        <v>#NAME?</v>
      </c>
    </row>
    <row r="533" spans="1:23" x14ac:dyDescent="0.2">
      <c r="A533" s="16" t="s">
        <v>2457</v>
      </c>
      <c r="B533" s="7" t="s">
        <v>2458</v>
      </c>
      <c r="C533" s="3" t="e">
        <f ca="1">[1]!BexGetData("DP_1","003N8EMH8GTFRCSWKMPXRR8GU","GSON1112031400")</f>
        <v>#NAME?</v>
      </c>
      <c r="D533" s="3" t="e">
        <f ca="1">[1]!BexGetData("DP_1","003N8EMH8GTFRCSWKMPXRRESE","GSON1112031400")</f>
        <v>#NAME?</v>
      </c>
      <c r="E533" s="8" t="e">
        <f ca="1">[1]!BexGetData("DP_1","003N8EMH8GTFRCSWKMPXRRL3Y","GSON1112031400")</f>
        <v>#NAME?</v>
      </c>
      <c r="F533" s="4" t="e">
        <f ca="1">[1]!BexGetData("DP_1","003N8EMH8GTFRCSWKMPXRRRFI","GSON1112031400")</f>
        <v>#NAME?</v>
      </c>
      <c r="G533" s="4" t="e">
        <f ca="1">[1]!BexGetData("DP_1","003N8EMH8GTFRCSWKMPXRRXR2","GSON1112031400")</f>
        <v>#NAME?</v>
      </c>
      <c r="H533" s="4" t="e">
        <f ca="1">[1]!BexGetData("DP_1","003N8EMH8GTFRCSWKMPXRS42M","GSON1112031400")</f>
        <v>#NAME?</v>
      </c>
      <c r="I533" s="4" t="e">
        <f ca="1">[1]!BexGetData("DP_1","003N8EMH8GTFRCSWKMPXRSAE6","GSON1112031400")</f>
        <v>#NAME?</v>
      </c>
      <c r="J533" s="4" t="e">
        <f ca="1">[1]!BexGetData("DP_1","003N8EMH8GTFRCSWKMPXRSGPQ","GSON1112031400")</f>
        <v>#NAME?</v>
      </c>
      <c r="K533" s="8" t="e">
        <f ca="1">[1]!BexGetData("DP_1","003N8EMH8GTFRIVNUPY288VJH","GSON1112031400")</f>
        <v>#NAME?</v>
      </c>
      <c r="L533" s="8" t="e">
        <f ca="1">[1]!BexGetData("DP_1","003N8EMH8GTFRIVNUPY2891V1","GSON1112031400")</f>
        <v>#NAME?</v>
      </c>
      <c r="M533" s="8" t="e">
        <f ca="1">[1]!BexGetData("DP_1","003N8EMH8GTFRIVOG7KG9IQXA","GSON1112031400")</f>
        <v>#NAME?</v>
      </c>
      <c r="N533" s="8" t="e">
        <f ca="1">[1]!BexGetData("DP_1","003N8EMH8GTFRIVOG7KG9IX8U","GSON1112031400")</f>
        <v>#NAME?</v>
      </c>
      <c r="O533" s="8" t="e">
        <f ca="1">[1]!BexGetData("DP_1","003N8EMH8GTFRIVOG7KG9J3KE","GSON1112031400")</f>
        <v>#NAME?</v>
      </c>
      <c r="P533" s="8" t="e">
        <f ca="1">[1]!BexGetData("DP_1","003N8EMH8GTFRIVOG7KG9J9VY","GSON1112031400")</f>
        <v>#NAME?</v>
      </c>
      <c r="Q533" s="4" t="e">
        <f ca="1">[1]!BexGetData("DP_1","00O2TNJGODT0G5Z4TTKYMM5MT","GSON1112031400")</f>
        <v>#NAME?</v>
      </c>
      <c r="R533" s="4" t="e">
        <f ca="1">[1]!BexGetData("DP_1","00O2TNJGODT0G5Z4TTKYMMBYD","GSON1112031400")</f>
        <v>#NAME?</v>
      </c>
      <c r="S533" s="4" t="e">
        <f ca="1">[1]!BexGetData("DP_1","00O2TNJGODT0G5Z4TTKYMMI9X","GSON1112031400")</f>
        <v>#NAME?</v>
      </c>
      <c r="T533" s="4" t="e">
        <f ca="1">[1]!BexGetData("DP_1","00O2TNJGODT0G5Z4TTKYMMOLH","GSON1112031400")</f>
        <v>#NAME?</v>
      </c>
      <c r="U533" s="4" t="e">
        <f ca="1">[1]!BexGetData("DP_1","00O2TNJGODT0G5Z4TTKYMMUX1","GSON1112031400")</f>
        <v>#NAME?</v>
      </c>
      <c r="V533" s="4" t="e">
        <f ca="1">[1]!BexGetData("DP_1","00O2TNJGODT0G5Z4TTKYMN18L","GSON1112031400")</f>
        <v>#NAME?</v>
      </c>
      <c r="W533" s="4" t="e">
        <f ca="1">[1]!BexGetData("DP_1","00O2TNJGODT0G5Z4TTKYMN7K5","GSON1112031400")</f>
        <v>#NAME?</v>
      </c>
    </row>
    <row r="534" spans="1:23" x14ac:dyDescent="0.2">
      <c r="A534" s="16" t="s">
        <v>2459</v>
      </c>
      <c r="B534" s="7" t="s">
        <v>2460</v>
      </c>
      <c r="C534" s="3" t="e">
        <f ca="1">[1]!BexGetData("DP_1","003N8EMH8GTFRCSWKMPXRR8GU","GSON1112031401")</f>
        <v>#NAME?</v>
      </c>
      <c r="D534" s="3" t="e">
        <f ca="1">[1]!BexGetData("DP_1","003N8EMH8GTFRCSWKMPXRRESE","GSON1112031401")</f>
        <v>#NAME?</v>
      </c>
      <c r="E534" s="8" t="e">
        <f ca="1">[1]!BexGetData("DP_1","003N8EMH8GTFRCSWKMPXRRL3Y","GSON1112031401")</f>
        <v>#NAME?</v>
      </c>
      <c r="F534" s="4" t="e">
        <f ca="1">[1]!BexGetData("DP_1","003N8EMH8GTFRCSWKMPXRRRFI","GSON1112031401")</f>
        <v>#NAME?</v>
      </c>
      <c r="G534" s="4" t="e">
        <f ca="1">[1]!BexGetData("DP_1","003N8EMH8GTFRCSWKMPXRRXR2","GSON1112031401")</f>
        <v>#NAME?</v>
      </c>
      <c r="H534" s="4" t="e">
        <f ca="1">[1]!BexGetData("DP_1","003N8EMH8GTFRCSWKMPXRS42M","GSON1112031401")</f>
        <v>#NAME?</v>
      </c>
      <c r="I534" s="4" t="e">
        <f ca="1">[1]!BexGetData("DP_1","003N8EMH8GTFRCSWKMPXRSAE6","GSON1112031401")</f>
        <v>#NAME?</v>
      </c>
      <c r="J534" s="4" t="e">
        <f ca="1">[1]!BexGetData("DP_1","003N8EMH8GTFRCSWKMPXRSGPQ","GSON1112031401")</f>
        <v>#NAME?</v>
      </c>
      <c r="K534" s="8" t="e">
        <f ca="1">[1]!BexGetData("DP_1","003N8EMH8GTFRIVNUPY288VJH","GSON1112031401")</f>
        <v>#NAME?</v>
      </c>
      <c r="L534" s="8" t="e">
        <f ca="1">[1]!BexGetData("DP_1","003N8EMH8GTFRIVNUPY2891V1","GSON1112031401")</f>
        <v>#NAME?</v>
      </c>
      <c r="M534" s="8" t="e">
        <f ca="1">[1]!BexGetData("DP_1","003N8EMH8GTFRIVOG7KG9IQXA","GSON1112031401")</f>
        <v>#NAME?</v>
      </c>
      <c r="N534" s="8" t="e">
        <f ca="1">[1]!BexGetData("DP_1","003N8EMH8GTFRIVOG7KG9IX8U","GSON1112031401")</f>
        <v>#NAME?</v>
      </c>
      <c r="O534" s="8" t="e">
        <f ca="1">[1]!BexGetData("DP_1","003N8EMH8GTFRIVOG7KG9J3KE","GSON1112031401")</f>
        <v>#NAME?</v>
      </c>
      <c r="P534" s="8" t="e">
        <f ca="1">[1]!BexGetData("DP_1","003N8EMH8GTFRIVOG7KG9J9VY","GSON1112031401")</f>
        <v>#NAME?</v>
      </c>
      <c r="Q534" s="4" t="e">
        <f ca="1">[1]!BexGetData("DP_1","00O2TNJGODT0G5Z4TTKYMM5MT","GSON1112031401")</f>
        <v>#NAME?</v>
      </c>
      <c r="R534" s="4" t="e">
        <f ca="1">[1]!BexGetData("DP_1","00O2TNJGODT0G5Z4TTKYMMBYD","GSON1112031401")</f>
        <v>#NAME?</v>
      </c>
      <c r="S534" s="4" t="e">
        <f ca="1">[1]!BexGetData("DP_1","00O2TNJGODT0G5Z4TTKYMMI9X","GSON1112031401")</f>
        <v>#NAME?</v>
      </c>
      <c r="T534" s="4" t="e">
        <f ca="1">[1]!BexGetData("DP_1","00O2TNJGODT0G5Z4TTKYMMOLH","GSON1112031401")</f>
        <v>#NAME?</v>
      </c>
      <c r="U534" s="4" t="e">
        <f ca="1">[1]!BexGetData("DP_1","00O2TNJGODT0G5Z4TTKYMMUX1","GSON1112031401")</f>
        <v>#NAME?</v>
      </c>
      <c r="V534" s="4" t="e">
        <f ca="1">[1]!BexGetData("DP_1","00O2TNJGODT0G5Z4TTKYMN18L","GSON1112031401")</f>
        <v>#NAME?</v>
      </c>
      <c r="W534" s="4" t="e">
        <f ca="1">[1]!BexGetData("DP_1","00O2TNJGODT0G5Z4TTKYMN7K5","GSON1112031401")</f>
        <v>#NAME?</v>
      </c>
    </row>
    <row r="535" spans="1:23" x14ac:dyDescent="0.2">
      <c r="A535" s="16" t="s">
        <v>2461</v>
      </c>
      <c r="B535" s="7" t="s">
        <v>2462</v>
      </c>
      <c r="C535" s="3" t="e">
        <f ca="1">[1]!BexGetData("DP_1","003N8EMH8GTFRCSWKMPXRR8GU","GSON1112031403")</f>
        <v>#NAME?</v>
      </c>
      <c r="D535" s="3" t="e">
        <f ca="1">[1]!BexGetData("DP_1","003N8EMH8GTFRCSWKMPXRRESE","GSON1112031403")</f>
        <v>#NAME?</v>
      </c>
      <c r="E535" s="8" t="e">
        <f ca="1">[1]!BexGetData("DP_1","003N8EMH8GTFRCSWKMPXRRL3Y","GSON1112031403")</f>
        <v>#NAME?</v>
      </c>
      <c r="F535" s="4" t="e">
        <f ca="1">[1]!BexGetData("DP_1","003N8EMH8GTFRCSWKMPXRRRFI","GSON1112031403")</f>
        <v>#NAME?</v>
      </c>
      <c r="G535" s="4" t="e">
        <f ca="1">[1]!BexGetData("DP_1","003N8EMH8GTFRCSWKMPXRRXR2","GSON1112031403")</f>
        <v>#NAME?</v>
      </c>
      <c r="H535" s="4" t="e">
        <f ca="1">[1]!BexGetData("DP_1","003N8EMH8GTFRCSWKMPXRS42M","GSON1112031403")</f>
        <v>#NAME?</v>
      </c>
      <c r="I535" s="4" t="e">
        <f ca="1">[1]!BexGetData("DP_1","003N8EMH8GTFRCSWKMPXRSAE6","GSON1112031403")</f>
        <v>#NAME?</v>
      </c>
      <c r="J535" s="4" t="e">
        <f ca="1">[1]!BexGetData("DP_1","003N8EMH8GTFRCSWKMPXRSGPQ","GSON1112031403")</f>
        <v>#NAME?</v>
      </c>
      <c r="K535" s="8" t="e">
        <f ca="1">[1]!BexGetData("DP_1","003N8EMH8GTFRIVNUPY288VJH","GSON1112031403")</f>
        <v>#NAME?</v>
      </c>
      <c r="L535" s="8" t="e">
        <f ca="1">[1]!BexGetData("DP_1","003N8EMH8GTFRIVNUPY2891V1","GSON1112031403")</f>
        <v>#NAME?</v>
      </c>
      <c r="M535" s="8" t="e">
        <f ca="1">[1]!BexGetData("DP_1","003N8EMH8GTFRIVOG7KG9IQXA","GSON1112031403")</f>
        <v>#NAME?</v>
      </c>
      <c r="N535" s="8" t="e">
        <f ca="1">[1]!BexGetData("DP_1","003N8EMH8GTFRIVOG7KG9IX8U","GSON1112031403")</f>
        <v>#NAME?</v>
      </c>
      <c r="O535" s="8" t="e">
        <f ca="1">[1]!BexGetData("DP_1","003N8EMH8GTFRIVOG7KG9J3KE","GSON1112031403")</f>
        <v>#NAME?</v>
      </c>
      <c r="P535" s="8" t="e">
        <f ca="1">[1]!BexGetData("DP_1","003N8EMH8GTFRIVOG7KG9J9VY","GSON1112031403")</f>
        <v>#NAME?</v>
      </c>
      <c r="Q535" s="4" t="e">
        <f ca="1">[1]!BexGetData("DP_1","00O2TNJGODT0G5Z4TTKYMM5MT","GSON1112031403")</f>
        <v>#NAME?</v>
      </c>
      <c r="R535" s="4" t="e">
        <f ca="1">[1]!BexGetData("DP_1","00O2TNJGODT0G5Z4TTKYMMBYD","GSON1112031403")</f>
        <v>#NAME?</v>
      </c>
      <c r="S535" s="4" t="e">
        <f ca="1">[1]!BexGetData("DP_1","00O2TNJGODT0G5Z4TTKYMMI9X","GSON1112031403")</f>
        <v>#NAME?</v>
      </c>
      <c r="T535" s="4" t="e">
        <f ca="1">[1]!BexGetData("DP_1","00O2TNJGODT0G5Z4TTKYMMOLH","GSON1112031403")</f>
        <v>#NAME?</v>
      </c>
      <c r="U535" s="4" t="e">
        <f ca="1">[1]!BexGetData("DP_1","00O2TNJGODT0G5Z4TTKYMMUX1","GSON1112031403")</f>
        <v>#NAME?</v>
      </c>
      <c r="V535" s="4" t="e">
        <f ca="1">[1]!BexGetData("DP_1","00O2TNJGODT0G5Z4TTKYMN18L","GSON1112031403")</f>
        <v>#NAME?</v>
      </c>
      <c r="W535" s="4" t="e">
        <f ca="1">[1]!BexGetData("DP_1","00O2TNJGODT0G5Z4TTKYMN7K5","GSON1112031403")</f>
        <v>#NAME?</v>
      </c>
    </row>
    <row r="536" spans="1:23" x14ac:dyDescent="0.2">
      <c r="A536" s="16" t="s">
        <v>2463</v>
      </c>
      <c r="B536" s="7" t="s">
        <v>2464</v>
      </c>
      <c r="C536" s="3" t="e">
        <f ca="1">[1]!BexGetData("DP_1","003N8EMH8GTFRCSWKMPXRR8GU","GSON1112031410")</f>
        <v>#NAME?</v>
      </c>
      <c r="D536" s="3" t="e">
        <f ca="1">[1]!BexGetData("DP_1","003N8EMH8GTFRCSWKMPXRRESE","GSON1112031410")</f>
        <v>#NAME?</v>
      </c>
      <c r="E536" s="8" t="e">
        <f ca="1">[1]!BexGetData("DP_1","003N8EMH8GTFRCSWKMPXRRL3Y","GSON1112031410")</f>
        <v>#NAME?</v>
      </c>
      <c r="F536" s="4" t="e">
        <f ca="1">[1]!BexGetData("DP_1","003N8EMH8GTFRCSWKMPXRRRFI","GSON1112031410")</f>
        <v>#NAME?</v>
      </c>
      <c r="G536" s="4" t="e">
        <f ca="1">[1]!BexGetData("DP_1","003N8EMH8GTFRCSWKMPXRRXR2","GSON1112031410")</f>
        <v>#NAME?</v>
      </c>
      <c r="H536" s="4" t="e">
        <f ca="1">[1]!BexGetData("DP_1","003N8EMH8GTFRCSWKMPXRS42M","GSON1112031410")</f>
        <v>#NAME?</v>
      </c>
      <c r="I536" s="4" t="e">
        <f ca="1">[1]!BexGetData("DP_1","003N8EMH8GTFRCSWKMPXRSAE6","GSON1112031410")</f>
        <v>#NAME?</v>
      </c>
      <c r="J536" s="4" t="e">
        <f ca="1">[1]!BexGetData("DP_1","003N8EMH8GTFRCSWKMPXRSGPQ","GSON1112031410")</f>
        <v>#NAME?</v>
      </c>
      <c r="K536" s="8" t="e">
        <f ca="1">[1]!BexGetData("DP_1","003N8EMH8GTFRIVNUPY288VJH","GSON1112031410")</f>
        <v>#NAME?</v>
      </c>
      <c r="L536" s="8" t="e">
        <f ca="1">[1]!BexGetData("DP_1","003N8EMH8GTFRIVNUPY2891V1","GSON1112031410")</f>
        <v>#NAME?</v>
      </c>
      <c r="M536" s="8" t="e">
        <f ca="1">[1]!BexGetData("DP_1","003N8EMH8GTFRIVOG7KG9IQXA","GSON1112031410")</f>
        <v>#NAME?</v>
      </c>
      <c r="N536" s="8" t="e">
        <f ca="1">[1]!BexGetData("DP_1","003N8EMH8GTFRIVOG7KG9IX8U","GSON1112031410")</f>
        <v>#NAME?</v>
      </c>
      <c r="O536" s="8" t="e">
        <f ca="1">[1]!BexGetData("DP_1","003N8EMH8GTFRIVOG7KG9J3KE","GSON1112031410")</f>
        <v>#NAME?</v>
      </c>
      <c r="P536" s="8" t="e">
        <f ca="1">[1]!BexGetData("DP_1","003N8EMH8GTFRIVOG7KG9J9VY","GSON1112031410")</f>
        <v>#NAME?</v>
      </c>
      <c r="Q536" s="4" t="e">
        <f ca="1">[1]!BexGetData("DP_1","00O2TNJGODT0G5Z4TTKYMM5MT","GSON1112031410")</f>
        <v>#NAME?</v>
      </c>
      <c r="R536" s="4" t="e">
        <f ca="1">[1]!BexGetData("DP_1","00O2TNJGODT0G5Z4TTKYMMBYD","GSON1112031410")</f>
        <v>#NAME?</v>
      </c>
      <c r="S536" s="4" t="e">
        <f ca="1">[1]!BexGetData("DP_1","00O2TNJGODT0G5Z4TTKYMMI9X","GSON1112031410")</f>
        <v>#NAME?</v>
      </c>
      <c r="T536" s="4" t="e">
        <f ca="1">[1]!BexGetData("DP_1","00O2TNJGODT0G5Z4TTKYMMOLH","GSON1112031410")</f>
        <v>#NAME?</v>
      </c>
      <c r="U536" s="4" t="e">
        <f ca="1">[1]!BexGetData("DP_1","00O2TNJGODT0G5Z4TTKYMMUX1","GSON1112031410")</f>
        <v>#NAME?</v>
      </c>
      <c r="V536" s="4" t="e">
        <f ca="1">[1]!BexGetData("DP_1","00O2TNJGODT0G5Z4TTKYMN18L","GSON1112031410")</f>
        <v>#NAME?</v>
      </c>
      <c r="W536" s="4" t="e">
        <f ca="1">[1]!BexGetData("DP_1","00O2TNJGODT0G5Z4TTKYMN7K5","GSON1112031410")</f>
        <v>#NAME?</v>
      </c>
    </row>
    <row r="537" spans="1:23" x14ac:dyDescent="0.2">
      <c r="A537" s="16" t="s">
        <v>2465</v>
      </c>
      <c r="B537" s="7" t="s">
        <v>2466</v>
      </c>
      <c r="C537" s="3" t="e">
        <f ca="1">[1]!BexGetData("DP_1","003N8EMH8GTFRCSWKMPXRR8GU","GSON1112031411")</f>
        <v>#NAME?</v>
      </c>
      <c r="D537" s="3" t="e">
        <f ca="1">[1]!BexGetData("DP_1","003N8EMH8GTFRCSWKMPXRRESE","GSON1112031411")</f>
        <v>#NAME?</v>
      </c>
      <c r="E537" s="8" t="e">
        <f ca="1">[1]!BexGetData("DP_1","003N8EMH8GTFRCSWKMPXRRL3Y","GSON1112031411")</f>
        <v>#NAME?</v>
      </c>
      <c r="F537" s="4" t="e">
        <f ca="1">[1]!BexGetData("DP_1","003N8EMH8GTFRCSWKMPXRRRFI","GSON1112031411")</f>
        <v>#NAME?</v>
      </c>
      <c r="G537" s="4" t="e">
        <f ca="1">[1]!BexGetData("DP_1","003N8EMH8GTFRCSWKMPXRRXR2","GSON1112031411")</f>
        <v>#NAME?</v>
      </c>
      <c r="H537" s="4" t="e">
        <f ca="1">[1]!BexGetData("DP_1","003N8EMH8GTFRCSWKMPXRS42M","GSON1112031411")</f>
        <v>#NAME?</v>
      </c>
      <c r="I537" s="4" t="e">
        <f ca="1">[1]!BexGetData("DP_1","003N8EMH8GTFRCSWKMPXRSAE6","GSON1112031411")</f>
        <v>#NAME?</v>
      </c>
      <c r="J537" s="4" t="e">
        <f ca="1">[1]!BexGetData("DP_1","003N8EMH8GTFRCSWKMPXRSGPQ","GSON1112031411")</f>
        <v>#NAME?</v>
      </c>
      <c r="K537" s="8" t="e">
        <f ca="1">[1]!BexGetData("DP_1","003N8EMH8GTFRIVNUPY288VJH","GSON1112031411")</f>
        <v>#NAME?</v>
      </c>
      <c r="L537" s="8" t="e">
        <f ca="1">[1]!BexGetData("DP_1","003N8EMH8GTFRIVNUPY2891V1","GSON1112031411")</f>
        <v>#NAME?</v>
      </c>
      <c r="M537" s="8" t="e">
        <f ca="1">[1]!BexGetData("DP_1","003N8EMH8GTFRIVOG7KG9IQXA","GSON1112031411")</f>
        <v>#NAME?</v>
      </c>
      <c r="N537" s="8" t="e">
        <f ca="1">[1]!BexGetData("DP_1","003N8EMH8GTFRIVOG7KG9IX8U","GSON1112031411")</f>
        <v>#NAME?</v>
      </c>
      <c r="O537" s="8" t="e">
        <f ca="1">[1]!BexGetData("DP_1","003N8EMH8GTFRIVOG7KG9J3KE","GSON1112031411")</f>
        <v>#NAME?</v>
      </c>
      <c r="P537" s="8" t="e">
        <f ca="1">[1]!BexGetData("DP_1","003N8EMH8GTFRIVOG7KG9J9VY","GSON1112031411")</f>
        <v>#NAME?</v>
      </c>
      <c r="Q537" s="4" t="e">
        <f ca="1">[1]!BexGetData("DP_1","00O2TNJGODT0G5Z4TTKYMM5MT","GSON1112031411")</f>
        <v>#NAME?</v>
      </c>
      <c r="R537" s="4" t="e">
        <f ca="1">[1]!BexGetData("DP_1","00O2TNJGODT0G5Z4TTKYMMBYD","GSON1112031411")</f>
        <v>#NAME?</v>
      </c>
      <c r="S537" s="4" t="e">
        <f ca="1">[1]!BexGetData("DP_1","00O2TNJGODT0G5Z4TTKYMMI9X","GSON1112031411")</f>
        <v>#NAME?</v>
      </c>
      <c r="T537" s="4" t="e">
        <f ca="1">[1]!BexGetData("DP_1","00O2TNJGODT0G5Z4TTKYMMOLH","GSON1112031411")</f>
        <v>#NAME?</v>
      </c>
      <c r="U537" s="4" t="e">
        <f ca="1">[1]!BexGetData("DP_1","00O2TNJGODT0G5Z4TTKYMMUX1","GSON1112031411")</f>
        <v>#NAME?</v>
      </c>
      <c r="V537" s="4" t="e">
        <f ca="1">[1]!BexGetData("DP_1","00O2TNJGODT0G5Z4TTKYMN18L","GSON1112031411")</f>
        <v>#NAME?</v>
      </c>
      <c r="W537" s="4" t="e">
        <f ca="1">[1]!BexGetData("DP_1","00O2TNJGODT0G5Z4TTKYMN7K5","GSON1112031411")</f>
        <v>#NAME?</v>
      </c>
    </row>
    <row r="538" spans="1:23" x14ac:dyDescent="0.2">
      <c r="A538" s="16" t="s">
        <v>2467</v>
      </c>
      <c r="B538" s="7" t="s">
        <v>2468</v>
      </c>
      <c r="C538" s="3" t="e">
        <f ca="1">[1]!BexGetData("DP_1","003N8EMH8GTFRCSWKMPXRR8GU","GSON1112031413")</f>
        <v>#NAME?</v>
      </c>
      <c r="D538" s="3" t="e">
        <f ca="1">[1]!BexGetData("DP_1","003N8EMH8GTFRCSWKMPXRRESE","GSON1112031413")</f>
        <v>#NAME?</v>
      </c>
      <c r="E538" s="8" t="e">
        <f ca="1">[1]!BexGetData("DP_1","003N8EMH8GTFRCSWKMPXRRL3Y","GSON1112031413")</f>
        <v>#NAME?</v>
      </c>
      <c r="F538" s="4" t="e">
        <f ca="1">[1]!BexGetData("DP_1","003N8EMH8GTFRCSWKMPXRRRFI","GSON1112031413")</f>
        <v>#NAME?</v>
      </c>
      <c r="G538" s="4" t="e">
        <f ca="1">[1]!BexGetData("DP_1","003N8EMH8GTFRCSWKMPXRRXR2","GSON1112031413")</f>
        <v>#NAME?</v>
      </c>
      <c r="H538" s="4" t="e">
        <f ca="1">[1]!BexGetData("DP_1","003N8EMH8GTFRCSWKMPXRS42M","GSON1112031413")</f>
        <v>#NAME?</v>
      </c>
      <c r="I538" s="4" t="e">
        <f ca="1">[1]!BexGetData("DP_1","003N8EMH8GTFRCSWKMPXRSAE6","GSON1112031413")</f>
        <v>#NAME?</v>
      </c>
      <c r="J538" s="4" t="e">
        <f ca="1">[1]!BexGetData("DP_1","003N8EMH8GTFRCSWKMPXRSGPQ","GSON1112031413")</f>
        <v>#NAME?</v>
      </c>
      <c r="K538" s="8" t="e">
        <f ca="1">[1]!BexGetData("DP_1","003N8EMH8GTFRIVNUPY288VJH","GSON1112031413")</f>
        <v>#NAME?</v>
      </c>
      <c r="L538" s="8" t="e">
        <f ca="1">[1]!BexGetData("DP_1","003N8EMH8GTFRIVNUPY2891V1","GSON1112031413")</f>
        <v>#NAME?</v>
      </c>
      <c r="M538" s="8" t="e">
        <f ca="1">[1]!BexGetData("DP_1","003N8EMH8GTFRIVOG7KG9IQXA","GSON1112031413")</f>
        <v>#NAME?</v>
      </c>
      <c r="N538" s="8" t="e">
        <f ca="1">[1]!BexGetData("DP_1","003N8EMH8GTFRIVOG7KG9IX8U","GSON1112031413")</f>
        <v>#NAME?</v>
      </c>
      <c r="O538" s="8" t="e">
        <f ca="1">[1]!BexGetData("DP_1","003N8EMH8GTFRIVOG7KG9J3KE","GSON1112031413")</f>
        <v>#NAME?</v>
      </c>
      <c r="P538" s="8" t="e">
        <f ca="1">[1]!BexGetData("DP_1","003N8EMH8GTFRIVOG7KG9J9VY","GSON1112031413")</f>
        <v>#NAME?</v>
      </c>
      <c r="Q538" s="4" t="e">
        <f ca="1">[1]!BexGetData("DP_1","00O2TNJGODT0G5Z4TTKYMM5MT","GSON1112031413")</f>
        <v>#NAME?</v>
      </c>
      <c r="R538" s="4" t="e">
        <f ca="1">[1]!BexGetData("DP_1","00O2TNJGODT0G5Z4TTKYMMBYD","GSON1112031413")</f>
        <v>#NAME?</v>
      </c>
      <c r="S538" s="4" t="e">
        <f ca="1">[1]!BexGetData("DP_1","00O2TNJGODT0G5Z4TTKYMMI9X","GSON1112031413")</f>
        <v>#NAME?</v>
      </c>
      <c r="T538" s="4" t="e">
        <f ca="1">[1]!BexGetData("DP_1","00O2TNJGODT0G5Z4TTKYMMOLH","GSON1112031413")</f>
        <v>#NAME?</v>
      </c>
      <c r="U538" s="4" t="e">
        <f ca="1">[1]!BexGetData("DP_1","00O2TNJGODT0G5Z4TTKYMMUX1","GSON1112031413")</f>
        <v>#NAME?</v>
      </c>
      <c r="V538" s="4" t="e">
        <f ca="1">[1]!BexGetData("DP_1","00O2TNJGODT0G5Z4TTKYMN18L","GSON1112031413")</f>
        <v>#NAME?</v>
      </c>
      <c r="W538" s="4" t="e">
        <f ca="1">[1]!BexGetData("DP_1","00O2TNJGODT0G5Z4TTKYMN7K5","GSON1112031413")</f>
        <v>#NAME?</v>
      </c>
    </row>
    <row r="539" spans="1:23" x14ac:dyDescent="0.2">
      <c r="A539" s="16" t="s">
        <v>2469</v>
      </c>
      <c r="B539" s="7" t="s">
        <v>2470</v>
      </c>
      <c r="C539" s="3" t="e">
        <f ca="1">[1]!BexGetData("DP_1","003N8EMH8GTFRCSWKMPXRR8GU","GSON1112031430")</f>
        <v>#NAME?</v>
      </c>
      <c r="D539" s="3" t="e">
        <f ca="1">[1]!BexGetData("DP_1","003N8EMH8GTFRCSWKMPXRRESE","GSON1112031430")</f>
        <v>#NAME?</v>
      </c>
      <c r="E539" s="8" t="e">
        <f ca="1">[1]!BexGetData("DP_1","003N8EMH8GTFRCSWKMPXRRL3Y","GSON1112031430")</f>
        <v>#NAME?</v>
      </c>
      <c r="F539" s="4" t="e">
        <f ca="1">[1]!BexGetData("DP_1","003N8EMH8GTFRCSWKMPXRRRFI","GSON1112031430")</f>
        <v>#NAME?</v>
      </c>
      <c r="G539" s="4" t="e">
        <f ca="1">[1]!BexGetData("DP_1","003N8EMH8GTFRCSWKMPXRRXR2","GSON1112031430")</f>
        <v>#NAME?</v>
      </c>
      <c r="H539" s="4" t="e">
        <f ca="1">[1]!BexGetData("DP_1","003N8EMH8GTFRCSWKMPXRS42M","GSON1112031430")</f>
        <v>#NAME?</v>
      </c>
      <c r="I539" s="4" t="e">
        <f ca="1">[1]!BexGetData("DP_1","003N8EMH8GTFRCSWKMPXRSAE6","GSON1112031430")</f>
        <v>#NAME?</v>
      </c>
      <c r="J539" s="4" t="e">
        <f ca="1">[1]!BexGetData("DP_1","003N8EMH8GTFRCSWKMPXRSGPQ","GSON1112031430")</f>
        <v>#NAME?</v>
      </c>
      <c r="K539" s="8" t="e">
        <f ca="1">[1]!BexGetData("DP_1","003N8EMH8GTFRIVNUPY288VJH","GSON1112031430")</f>
        <v>#NAME?</v>
      </c>
      <c r="L539" s="8" t="e">
        <f ca="1">[1]!BexGetData("DP_1","003N8EMH8GTFRIVNUPY2891V1","GSON1112031430")</f>
        <v>#NAME?</v>
      </c>
      <c r="M539" s="8" t="e">
        <f ca="1">[1]!BexGetData("DP_1","003N8EMH8GTFRIVOG7KG9IQXA","GSON1112031430")</f>
        <v>#NAME?</v>
      </c>
      <c r="N539" s="8" t="e">
        <f ca="1">[1]!BexGetData("DP_1","003N8EMH8GTFRIVOG7KG9IX8U","GSON1112031430")</f>
        <v>#NAME?</v>
      </c>
      <c r="O539" s="8" t="e">
        <f ca="1">[1]!BexGetData("DP_1","003N8EMH8GTFRIVOG7KG9J3KE","GSON1112031430")</f>
        <v>#NAME?</v>
      </c>
      <c r="P539" s="8" t="e">
        <f ca="1">[1]!BexGetData("DP_1","003N8EMH8GTFRIVOG7KG9J9VY","GSON1112031430")</f>
        <v>#NAME?</v>
      </c>
      <c r="Q539" s="4" t="e">
        <f ca="1">[1]!BexGetData("DP_1","00O2TNJGODT0G5Z4TTKYMM5MT","GSON1112031430")</f>
        <v>#NAME?</v>
      </c>
      <c r="R539" s="4" t="e">
        <f ca="1">[1]!BexGetData("DP_1","00O2TNJGODT0G5Z4TTKYMMBYD","GSON1112031430")</f>
        <v>#NAME?</v>
      </c>
      <c r="S539" s="4" t="e">
        <f ca="1">[1]!BexGetData("DP_1","00O2TNJGODT0G5Z4TTKYMMI9X","GSON1112031430")</f>
        <v>#NAME?</v>
      </c>
      <c r="T539" s="4" t="e">
        <f ca="1">[1]!BexGetData("DP_1","00O2TNJGODT0G5Z4TTKYMMOLH","GSON1112031430")</f>
        <v>#NAME?</v>
      </c>
      <c r="U539" s="4" t="e">
        <f ca="1">[1]!BexGetData("DP_1","00O2TNJGODT0G5Z4TTKYMMUX1","GSON1112031430")</f>
        <v>#NAME?</v>
      </c>
      <c r="V539" s="4" t="e">
        <f ca="1">[1]!BexGetData("DP_1","00O2TNJGODT0G5Z4TTKYMN18L","GSON1112031430")</f>
        <v>#NAME?</v>
      </c>
      <c r="W539" s="4" t="e">
        <f ca="1">[1]!BexGetData("DP_1","00O2TNJGODT0G5Z4TTKYMN7K5","GSON1112031430")</f>
        <v>#NAME?</v>
      </c>
    </row>
    <row r="540" spans="1:23" x14ac:dyDescent="0.2">
      <c r="A540" s="16" t="s">
        <v>2471</v>
      </c>
      <c r="B540" s="7" t="s">
        <v>2472</v>
      </c>
      <c r="C540" s="3" t="e">
        <f ca="1">[1]!BexGetData("DP_1","003N8EMH8GTFRCSWKMPXRR8GU","GSON1112031431")</f>
        <v>#NAME?</v>
      </c>
      <c r="D540" s="3" t="e">
        <f ca="1">[1]!BexGetData("DP_1","003N8EMH8GTFRCSWKMPXRRESE","GSON1112031431")</f>
        <v>#NAME?</v>
      </c>
      <c r="E540" s="8" t="e">
        <f ca="1">[1]!BexGetData("DP_1","003N8EMH8GTFRCSWKMPXRRL3Y","GSON1112031431")</f>
        <v>#NAME?</v>
      </c>
      <c r="F540" s="4" t="e">
        <f ca="1">[1]!BexGetData("DP_1","003N8EMH8GTFRCSWKMPXRRRFI","GSON1112031431")</f>
        <v>#NAME?</v>
      </c>
      <c r="G540" s="4" t="e">
        <f ca="1">[1]!BexGetData("DP_1","003N8EMH8GTFRCSWKMPXRRXR2","GSON1112031431")</f>
        <v>#NAME?</v>
      </c>
      <c r="H540" s="4" t="e">
        <f ca="1">[1]!BexGetData("DP_1","003N8EMH8GTFRCSWKMPXRS42M","GSON1112031431")</f>
        <v>#NAME?</v>
      </c>
      <c r="I540" s="4" t="e">
        <f ca="1">[1]!BexGetData("DP_1","003N8EMH8GTFRCSWKMPXRSAE6","GSON1112031431")</f>
        <v>#NAME?</v>
      </c>
      <c r="J540" s="4" t="e">
        <f ca="1">[1]!BexGetData("DP_1","003N8EMH8GTFRCSWKMPXRSGPQ","GSON1112031431")</f>
        <v>#NAME?</v>
      </c>
      <c r="K540" s="8" t="e">
        <f ca="1">[1]!BexGetData("DP_1","003N8EMH8GTFRIVNUPY288VJH","GSON1112031431")</f>
        <v>#NAME?</v>
      </c>
      <c r="L540" s="8" t="e">
        <f ca="1">[1]!BexGetData("DP_1","003N8EMH8GTFRIVNUPY2891V1","GSON1112031431")</f>
        <v>#NAME?</v>
      </c>
      <c r="M540" s="8" t="e">
        <f ca="1">[1]!BexGetData("DP_1","003N8EMH8GTFRIVOG7KG9IQXA","GSON1112031431")</f>
        <v>#NAME?</v>
      </c>
      <c r="N540" s="8" t="e">
        <f ca="1">[1]!BexGetData("DP_1","003N8EMH8GTFRIVOG7KG9IX8U","GSON1112031431")</f>
        <v>#NAME?</v>
      </c>
      <c r="O540" s="8" t="e">
        <f ca="1">[1]!BexGetData("DP_1","003N8EMH8GTFRIVOG7KG9J3KE","GSON1112031431")</f>
        <v>#NAME?</v>
      </c>
      <c r="P540" s="8" t="e">
        <f ca="1">[1]!BexGetData("DP_1","003N8EMH8GTFRIVOG7KG9J9VY","GSON1112031431")</f>
        <v>#NAME?</v>
      </c>
      <c r="Q540" s="4" t="e">
        <f ca="1">[1]!BexGetData("DP_1","00O2TNJGODT0G5Z4TTKYMM5MT","GSON1112031431")</f>
        <v>#NAME?</v>
      </c>
      <c r="R540" s="4" t="e">
        <f ca="1">[1]!BexGetData("DP_1","00O2TNJGODT0G5Z4TTKYMMBYD","GSON1112031431")</f>
        <v>#NAME?</v>
      </c>
      <c r="S540" s="4" t="e">
        <f ca="1">[1]!BexGetData("DP_1","00O2TNJGODT0G5Z4TTKYMMI9X","GSON1112031431")</f>
        <v>#NAME?</v>
      </c>
      <c r="T540" s="4" t="e">
        <f ca="1">[1]!BexGetData("DP_1","00O2TNJGODT0G5Z4TTKYMMOLH","GSON1112031431")</f>
        <v>#NAME?</v>
      </c>
      <c r="U540" s="4" t="e">
        <f ca="1">[1]!BexGetData("DP_1","00O2TNJGODT0G5Z4TTKYMMUX1","GSON1112031431")</f>
        <v>#NAME?</v>
      </c>
      <c r="V540" s="4" t="e">
        <f ca="1">[1]!BexGetData("DP_1","00O2TNJGODT0G5Z4TTKYMN18L","GSON1112031431")</f>
        <v>#NAME?</v>
      </c>
      <c r="W540" s="4" t="e">
        <f ca="1">[1]!BexGetData("DP_1","00O2TNJGODT0G5Z4TTKYMN7K5","GSON1112031431")</f>
        <v>#NAME?</v>
      </c>
    </row>
    <row r="541" spans="1:23" x14ac:dyDescent="0.2">
      <c r="A541" s="16" t="s">
        <v>2473</v>
      </c>
      <c r="B541" s="7" t="s">
        <v>2474</v>
      </c>
      <c r="C541" s="3" t="e">
        <f ca="1">[1]!BexGetData("DP_1","003N8EMH8GTFRCSWKMPXRR8GU","GSON1112031433")</f>
        <v>#NAME?</v>
      </c>
      <c r="D541" s="3" t="e">
        <f ca="1">[1]!BexGetData("DP_1","003N8EMH8GTFRCSWKMPXRRESE","GSON1112031433")</f>
        <v>#NAME?</v>
      </c>
      <c r="E541" s="8" t="e">
        <f ca="1">[1]!BexGetData("DP_1","003N8EMH8GTFRCSWKMPXRRL3Y","GSON1112031433")</f>
        <v>#NAME?</v>
      </c>
      <c r="F541" s="4" t="e">
        <f ca="1">[1]!BexGetData("DP_1","003N8EMH8GTFRCSWKMPXRRRFI","GSON1112031433")</f>
        <v>#NAME?</v>
      </c>
      <c r="G541" s="4" t="e">
        <f ca="1">[1]!BexGetData("DP_1","003N8EMH8GTFRCSWKMPXRRXR2","GSON1112031433")</f>
        <v>#NAME?</v>
      </c>
      <c r="H541" s="4" t="e">
        <f ca="1">[1]!BexGetData("DP_1","003N8EMH8GTFRCSWKMPXRS42M","GSON1112031433")</f>
        <v>#NAME?</v>
      </c>
      <c r="I541" s="4" t="e">
        <f ca="1">[1]!BexGetData("DP_1","003N8EMH8GTFRCSWKMPXRSAE6","GSON1112031433")</f>
        <v>#NAME?</v>
      </c>
      <c r="J541" s="4" t="e">
        <f ca="1">[1]!BexGetData("DP_1","003N8EMH8GTFRCSWKMPXRSGPQ","GSON1112031433")</f>
        <v>#NAME?</v>
      </c>
      <c r="K541" s="8" t="e">
        <f ca="1">[1]!BexGetData("DP_1","003N8EMH8GTFRIVNUPY288VJH","GSON1112031433")</f>
        <v>#NAME?</v>
      </c>
      <c r="L541" s="8" t="e">
        <f ca="1">[1]!BexGetData("DP_1","003N8EMH8GTFRIVNUPY2891V1","GSON1112031433")</f>
        <v>#NAME?</v>
      </c>
      <c r="M541" s="8" t="e">
        <f ca="1">[1]!BexGetData("DP_1","003N8EMH8GTFRIVOG7KG9IQXA","GSON1112031433")</f>
        <v>#NAME?</v>
      </c>
      <c r="N541" s="8" t="e">
        <f ca="1">[1]!BexGetData("DP_1","003N8EMH8GTFRIVOG7KG9IX8U","GSON1112031433")</f>
        <v>#NAME?</v>
      </c>
      <c r="O541" s="8" t="e">
        <f ca="1">[1]!BexGetData("DP_1","003N8EMH8GTFRIVOG7KG9J3KE","GSON1112031433")</f>
        <v>#NAME?</v>
      </c>
      <c r="P541" s="8" t="e">
        <f ca="1">[1]!BexGetData("DP_1","003N8EMH8GTFRIVOG7KG9J9VY","GSON1112031433")</f>
        <v>#NAME?</v>
      </c>
      <c r="Q541" s="4" t="e">
        <f ca="1">[1]!BexGetData("DP_1","00O2TNJGODT0G5Z4TTKYMM5MT","GSON1112031433")</f>
        <v>#NAME?</v>
      </c>
      <c r="R541" s="4" t="e">
        <f ca="1">[1]!BexGetData("DP_1","00O2TNJGODT0G5Z4TTKYMMBYD","GSON1112031433")</f>
        <v>#NAME?</v>
      </c>
      <c r="S541" s="4" t="e">
        <f ca="1">[1]!BexGetData("DP_1","00O2TNJGODT0G5Z4TTKYMMI9X","GSON1112031433")</f>
        <v>#NAME?</v>
      </c>
      <c r="T541" s="4" t="e">
        <f ca="1">[1]!BexGetData("DP_1","00O2TNJGODT0G5Z4TTKYMMOLH","GSON1112031433")</f>
        <v>#NAME?</v>
      </c>
      <c r="U541" s="4" t="e">
        <f ca="1">[1]!BexGetData("DP_1","00O2TNJGODT0G5Z4TTKYMMUX1","GSON1112031433")</f>
        <v>#NAME?</v>
      </c>
      <c r="V541" s="4" t="e">
        <f ca="1">[1]!BexGetData("DP_1","00O2TNJGODT0G5Z4TTKYMN18L","GSON1112031433")</f>
        <v>#NAME?</v>
      </c>
      <c r="W541" s="4" t="e">
        <f ca="1">[1]!BexGetData("DP_1","00O2TNJGODT0G5Z4TTKYMN7K5","GSON1112031433")</f>
        <v>#NAME?</v>
      </c>
    </row>
    <row r="542" spans="1:23" x14ac:dyDescent="0.2">
      <c r="A542" s="16" t="s">
        <v>2475</v>
      </c>
      <c r="B542" s="7" t="s">
        <v>2476</v>
      </c>
      <c r="C542" s="3" t="e">
        <f ca="1">[1]!BexGetData("DP_1","003N8EMH8GTFRCSWKMPXRR8GU","GSON1112031440")</f>
        <v>#NAME?</v>
      </c>
      <c r="D542" s="3" t="e">
        <f ca="1">[1]!BexGetData("DP_1","003N8EMH8GTFRCSWKMPXRRESE","GSON1112031440")</f>
        <v>#NAME?</v>
      </c>
      <c r="E542" s="8" t="e">
        <f ca="1">[1]!BexGetData("DP_1","003N8EMH8GTFRCSWKMPXRRL3Y","GSON1112031440")</f>
        <v>#NAME?</v>
      </c>
      <c r="F542" s="4" t="e">
        <f ca="1">[1]!BexGetData("DP_1","003N8EMH8GTFRCSWKMPXRRRFI","GSON1112031440")</f>
        <v>#NAME?</v>
      </c>
      <c r="G542" s="4" t="e">
        <f ca="1">[1]!BexGetData("DP_1","003N8EMH8GTFRCSWKMPXRRXR2","GSON1112031440")</f>
        <v>#NAME?</v>
      </c>
      <c r="H542" s="4" t="e">
        <f ca="1">[1]!BexGetData("DP_1","003N8EMH8GTFRCSWKMPXRS42M","GSON1112031440")</f>
        <v>#NAME?</v>
      </c>
      <c r="I542" s="4" t="e">
        <f ca="1">[1]!BexGetData("DP_1","003N8EMH8GTFRCSWKMPXRSAE6","GSON1112031440")</f>
        <v>#NAME?</v>
      </c>
      <c r="J542" s="4" t="e">
        <f ca="1">[1]!BexGetData("DP_1","003N8EMH8GTFRCSWKMPXRSGPQ","GSON1112031440")</f>
        <v>#NAME?</v>
      </c>
      <c r="K542" s="8" t="e">
        <f ca="1">[1]!BexGetData("DP_1","003N8EMH8GTFRIVNUPY288VJH","GSON1112031440")</f>
        <v>#NAME?</v>
      </c>
      <c r="L542" s="8" t="e">
        <f ca="1">[1]!BexGetData("DP_1","003N8EMH8GTFRIVNUPY2891V1","GSON1112031440")</f>
        <v>#NAME?</v>
      </c>
      <c r="M542" s="8" t="e">
        <f ca="1">[1]!BexGetData("DP_1","003N8EMH8GTFRIVOG7KG9IQXA","GSON1112031440")</f>
        <v>#NAME?</v>
      </c>
      <c r="N542" s="8" t="e">
        <f ca="1">[1]!BexGetData("DP_1","003N8EMH8GTFRIVOG7KG9IX8U","GSON1112031440")</f>
        <v>#NAME?</v>
      </c>
      <c r="O542" s="8" t="e">
        <f ca="1">[1]!BexGetData("DP_1","003N8EMH8GTFRIVOG7KG9J3KE","GSON1112031440")</f>
        <v>#NAME?</v>
      </c>
      <c r="P542" s="8" t="e">
        <f ca="1">[1]!BexGetData("DP_1","003N8EMH8GTFRIVOG7KG9J9VY","GSON1112031440")</f>
        <v>#NAME?</v>
      </c>
      <c r="Q542" s="4" t="e">
        <f ca="1">[1]!BexGetData("DP_1","00O2TNJGODT0G5Z4TTKYMM5MT","GSON1112031440")</f>
        <v>#NAME?</v>
      </c>
      <c r="R542" s="4" t="e">
        <f ca="1">[1]!BexGetData("DP_1","00O2TNJGODT0G5Z4TTKYMMBYD","GSON1112031440")</f>
        <v>#NAME?</v>
      </c>
      <c r="S542" s="4" t="e">
        <f ca="1">[1]!BexGetData("DP_1","00O2TNJGODT0G5Z4TTKYMMI9X","GSON1112031440")</f>
        <v>#NAME?</v>
      </c>
      <c r="T542" s="4" t="e">
        <f ca="1">[1]!BexGetData("DP_1","00O2TNJGODT0G5Z4TTKYMMOLH","GSON1112031440")</f>
        <v>#NAME?</v>
      </c>
      <c r="U542" s="4" t="e">
        <f ca="1">[1]!BexGetData("DP_1","00O2TNJGODT0G5Z4TTKYMMUX1","GSON1112031440")</f>
        <v>#NAME?</v>
      </c>
      <c r="V542" s="4" t="e">
        <f ca="1">[1]!BexGetData("DP_1","00O2TNJGODT0G5Z4TTKYMN18L","GSON1112031440")</f>
        <v>#NAME?</v>
      </c>
      <c r="W542" s="4" t="e">
        <f ca="1">[1]!BexGetData("DP_1","00O2TNJGODT0G5Z4TTKYMN7K5","GSON1112031440")</f>
        <v>#NAME?</v>
      </c>
    </row>
    <row r="543" spans="1:23" x14ac:dyDescent="0.2">
      <c r="A543" s="16" t="s">
        <v>2477</v>
      </c>
      <c r="B543" s="7" t="s">
        <v>2478</v>
      </c>
      <c r="C543" s="3" t="e">
        <f ca="1">[1]!BexGetData("DP_1","003N8EMH8GTFRCSWKMPXRR8GU","GSON1112031441")</f>
        <v>#NAME?</v>
      </c>
      <c r="D543" s="3" t="e">
        <f ca="1">[1]!BexGetData("DP_1","003N8EMH8GTFRCSWKMPXRRESE","GSON1112031441")</f>
        <v>#NAME?</v>
      </c>
      <c r="E543" s="8" t="e">
        <f ca="1">[1]!BexGetData("DP_1","003N8EMH8GTFRCSWKMPXRRL3Y","GSON1112031441")</f>
        <v>#NAME?</v>
      </c>
      <c r="F543" s="4" t="e">
        <f ca="1">[1]!BexGetData("DP_1","003N8EMH8GTFRCSWKMPXRRRFI","GSON1112031441")</f>
        <v>#NAME?</v>
      </c>
      <c r="G543" s="4" t="e">
        <f ca="1">[1]!BexGetData("DP_1","003N8EMH8GTFRCSWKMPXRRXR2","GSON1112031441")</f>
        <v>#NAME?</v>
      </c>
      <c r="H543" s="4" t="e">
        <f ca="1">[1]!BexGetData("DP_1","003N8EMH8GTFRCSWKMPXRS42M","GSON1112031441")</f>
        <v>#NAME?</v>
      </c>
      <c r="I543" s="4" t="e">
        <f ca="1">[1]!BexGetData("DP_1","003N8EMH8GTFRCSWKMPXRSAE6","GSON1112031441")</f>
        <v>#NAME?</v>
      </c>
      <c r="J543" s="4" t="e">
        <f ca="1">[1]!BexGetData("DP_1","003N8EMH8GTFRCSWKMPXRSGPQ","GSON1112031441")</f>
        <v>#NAME?</v>
      </c>
      <c r="K543" s="8" t="e">
        <f ca="1">[1]!BexGetData("DP_1","003N8EMH8GTFRIVNUPY288VJH","GSON1112031441")</f>
        <v>#NAME?</v>
      </c>
      <c r="L543" s="8" t="e">
        <f ca="1">[1]!BexGetData("DP_1","003N8EMH8GTFRIVNUPY2891V1","GSON1112031441")</f>
        <v>#NAME?</v>
      </c>
      <c r="M543" s="8" t="e">
        <f ca="1">[1]!BexGetData("DP_1","003N8EMH8GTFRIVOG7KG9IQXA","GSON1112031441")</f>
        <v>#NAME?</v>
      </c>
      <c r="N543" s="8" t="e">
        <f ca="1">[1]!BexGetData("DP_1","003N8EMH8GTFRIVOG7KG9IX8U","GSON1112031441")</f>
        <v>#NAME?</v>
      </c>
      <c r="O543" s="8" t="e">
        <f ca="1">[1]!BexGetData("DP_1","003N8EMH8GTFRIVOG7KG9J3KE","GSON1112031441")</f>
        <v>#NAME?</v>
      </c>
      <c r="P543" s="8" t="e">
        <f ca="1">[1]!BexGetData("DP_1","003N8EMH8GTFRIVOG7KG9J9VY","GSON1112031441")</f>
        <v>#NAME?</v>
      </c>
      <c r="Q543" s="4" t="e">
        <f ca="1">[1]!BexGetData("DP_1","00O2TNJGODT0G5Z4TTKYMM5MT","GSON1112031441")</f>
        <v>#NAME?</v>
      </c>
      <c r="R543" s="4" t="e">
        <f ca="1">[1]!BexGetData("DP_1","00O2TNJGODT0G5Z4TTKYMMBYD","GSON1112031441")</f>
        <v>#NAME?</v>
      </c>
      <c r="S543" s="4" t="e">
        <f ca="1">[1]!BexGetData("DP_1","00O2TNJGODT0G5Z4TTKYMMI9X","GSON1112031441")</f>
        <v>#NAME?</v>
      </c>
      <c r="T543" s="4" t="e">
        <f ca="1">[1]!BexGetData("DP_1","00O2TNJGODT0G5Z4TTKYMMOLH","GSON1112031441")</f>
        <v>#NAME?</v>
      </c>
      <c r="U543" s="4" t="e">
        <f ca="1">[1]!BexGetData("DP_1","00O2TNJGODT0G5Z4TTKYMMUX1","GSON1112031441")</f>
        <v>#NAME?</v>
      </c>
      <c r="V543" s="4" t="e">
        <f ca="1">[1]!BexGetData("DP_1","00O2TNJGODT0G5Z4TTKYMN18L","GSON1112031441")</f>
        <v>#NAME?</v>
      </c>
      <c r="W543" s="4" t="e">
        <f ca="1">[1]!BexGetData("DP_1","00O2TNJGODT0G5Z4TTKYMN7K5","GSON1112031441")</f>
        <v>#NAME?</v>
      </c>
    </row>
    <row r="544" spans="1:23" x14ac:dyDescent="0.2">
      <c r="A544" s="16" t="s">
        <v>2479</v>
      </c>
      <c r="B544" s="7" t="s">
        <v>2480</v>
      </c>
      <c r="C544" s="3" t="e">
        <f ca="1">[1]!BexGetData("DP_1","003N8EMH8GTFRCSWKMPXRR8GU","GSON1112031443")</f>
        <v>#NAME?</v>
      </c>
      <c r="D544" s="3" t="e">
        <f ca="1">[1]!BexGetData("DP_1","003N8EMH8GTFRCSWKMPXRRESE","GSON1112031443")</f>
        <v>#NAME?</v>
      </c>
      <c r="E544" s="8" t="e">
        <f ca="1">[1]!BexGetData("DP_1","003N8EMH8GTFRCSWKMPXRRL3Y","GSON1112031443")</f>
        <v>#NAME?</v>
      </c>
      <c r="F544" s="4" t="e">
        <f ca="1">[1]!BexGetData("DP_1","003N8EMH8GTFRCSWKMPXRRRFI","GSON1112031443")</f>
        <v>#NAME?</v>
      </c>
      <c r="G544" s="4" t="e">
        <f ca="1">[1]!BexGetData("DP_1","003N8EMH8GTFRCSWKMPXRRXR2","GSON1112031443")</f>
        <v>#NAME?</v>
      </c>
      <c r="H544" s="4" t="e">
        <f ca="1">[1]!BexGetData("DP_1","003N8EMH8GTFRCSWKMPXRS42M","GSON1112031443")</f>
        <v>#NAME?</v>
      </c>
      <c r="I544" s="4" t="e">
        <f ca="1">[1]!BexGetData("DP_1","003N8EMH8GTFRCSWKMPXRSAE6","GSON1112031443")</f>
        <v>#NAME?</v>
      </c>
      <c r="J544" s="4" t="e">
        <f ca="1">[1]!BexGetData("DP_1","003N8EMH8GTFRCSWKMPXRSGPQ","GSON1112031443")</f>
        <v>#NAME?</v>
      </c>
      <c r="K544" s="8" t="e">
        <f ca="1">[1]!BexGetData("DP_1","003N8EMH8GTFRIVNUPY288VJH","GSON1112031443")</f>
        <v>#NAME?</v>
      </c>
      <c r="L544" s="8" t="e">
        <f ca="1">[1]!BexGetData("DP_1","003N8EMH8GTFRIVNUPY2891V1","GSON1112031443")</f>
        <v>#NAME?</v>
      </c>
      <c r="M544" s="8" t="e">
        <f ca="1">[1]!BexGetData("DP_1","003N8EMH8GTFRIVOG7KG9IQXA","GSON1112031443")</f>
        <v>#NAME?</v>
      </c>
      <c r="N544" s="8" t="e">
        <f ca="1">[1]!BexGetData("DP_1","003N8EMH8GTFRIVOG7KG9IX8U","GSON1112031443")</f>
        <v>#NAME?</v>
      </c>
      <c r="O544" s="8" t="e">
        <f ca="1">[1]!BexGetData("DP_1","003N8EMH8GTFRIVOG7KG9J3KE","GSON1112031443")</f>
        <v>#NAME?</v>
      </c>
      <c r="P544" s="8" t="e">
        <f ca="1">[1]!BexGetData("DP_1","003N8EMH8GTFRIVOG7KG9J9VY","GSON1112031443")</f>
        <v>#NAME?</v>
      </c>
      <c r="Q544" s="4" t="e">
        <f ca="1">[1]!BexGetData("DP_1","00O2TNJGODT0G5Z4TTKYMM5MT","GSON1112031443")</f>
        <v>#NAME?</v>
      </c>
      <c r="R544" s="4" t="e">
        <f ca="1">[1]!BexGetData("DP_1","00O2TNJGODT0G5Z4TTKYMMBYD","GSON1112031443")</f>
        <v>#NAME?</v>
      </c>
      <c r="S544" s="4" t="e">
        <f ca="1">[1]!BexGetData("DP_1","00O2TNJGODT0G5Z4TTKYMMI9X","GSON1112031443")</f>
        <v>#NAME?</v>
      </c>
      <c r="T544" s="4" t="e">
        <f ca="1">[1]!BexGetData("DP_1","00O2TNJGODT0G5Z4TTKYMMOLH","GSON1112031443")</f>
        <v>#NAME?</v>
      </c>
      <c r="U544" s="4" t="e">
        <f ca="1">[1]!BexGetData("DP_1","00O2TNJGODT0G5Z4TTKYMMUX1","GSON1112031443")</f>
        <v>#NAME?</v>
      </c>
      <c r="V544" s="4" t="e">
        <f ca="1">[1]!BexGetData("DP_1","00O2TNJGODT0G5Z4TTKYMN18L","GSON1112031443")</f>
        <v>#NAME?</v>
      </c>
      <c r="W544" s="4" t="e">
        <f ca="1">[1]!BexGetData("DP_1","00O2TNJGODT0G5Z4TTKYMN7K5","GSON1112031443")</f>
        <v>#NAME?</v>
      </c>
    </row>
    <row r="545" spans="1:23" x14ac:dyDescent="0.2">
      <c r="A545" s="16" t="s">
        <v>740</v>
      </c>
      <c r="B545" s="7" t="s">
        <v>2481</v>
      </c>
      <c r="C545" s="3" t="e">
        <f ca="1">[1]!BexGetData("DP_1","003N8EMH8GTFRCSWKMPXRR8GU","GSON1112040010")</f>
        <v>#NAME?</v>
      </c>
      <c r="D545" s="8" t="e">
        <f ca="1">[1]!BexGetData("DP_1","003N8EMH8GTFRCSWKMPXRRESE","GSON1112040010")</f>
        <v>#NAME?</v>
      </c>
      <c r="E545" s="3" t="e">
        <f ca="1">[1]!BexGetData("DP_1","003N8EMH8GTFRCSWKMPXRRL3Y","GSON1112040010")</f>
        <v>#NAME?</v>
      </c>
      <c r="F545" s="3" t="e">
        <f ca="1">[1]!BexGetData("DP_1","003N8EMH8GTFRCSWKMPXRRRFI","GSON1112040010")</f>
        <v>#NAME?</v>
      </c>
      <c r="G545" s="3" t="e">
        <f ca="1">[1]!BexGetData("DP_1","003N8EMH8GTFRCSWKMPXRRXR2","GSON1112040010")</f>
        <v>#NAME?</v>
      </c>
      <c r="H545" s="8" t="e">
        <f ca="1">[1]!BexGetData("DP_1","003N8EMH8GTFRCSWKMPXRS42M","GSON1112040010")</f>
        <v>#NAME?</v>
      </c>
      <c r="I545" s="3" t="e">
        <f ca="1">[1]!BexGetData("DP_1","003N8EMH8GTFRCSWKMPXRSAE6","GSON1112040010")</f>
        <v>#NAME?</v>
      </c>
      <c r="J545" s="4" t="e">
        <f ca="1">[1]!BexGetData("DP_1","003N8EMH8GTFRCSWKMPXRSGPQ","GSON1112040010")</f>
        <v>#NAME?</v>
      </c>
      <c r="K545" s="3" t="e">
        <f ca="1">[1]!BexGetData("DP_1","003N8EMH8GTFRIVNUPY288VJH","GSON1112040010")</f>
        <v>#NAME?</v>
      </c>
      <c r="L545" s="3" t="e">
        <f ca="1">[1]!BexGetData("DP_1","003N8EMH8GTFRIVNUPY2891V1","GSON1112040010")</f>
        <v>#NAME?</v>
      </c>
      <c r="M545" s="8" t="e">
        <f ca="1">[1]!BexGetData("DP_1","003N8EMH8GTFRIVOG7KG9IQXA","GSON1112040010")</f>
        <v>#NAME?</v>
      </c>
      <c r="N545" s="3" t="e">
        <f ca="1">[1]!BexGetData("DP_1","003N8EMH8GTFRIVOG7KG9IX8U","GSON1112040010")</f>
        <v>#NAME?</v>
      </c>
      <c r="O545" s="8" t="e">
        <f ca="1">[1]!BexGetData("DP_1","003N8EMH8GTFRIVOG7KG9J3KE","GSON1112040010")</f>
        <v>#NAME?</v>
      </c>
      <c r="P545" s="3" t="e">
        <f ca="1">[1]!BexGetData("DP_1","003N8EMH8GTFRIVOG7KG9J9VY","GSON1112040010")</f>
        <v>#NAME?</v>
      </c>
      <c r="Q545" s="4" t="e">
        <f ca="1">[1]!BexGetData("DP_1","00O2TNJGODT0G5Z4TTKYMM5MT","GSON1112040010")</f>
        <v>#NAME?</v>
      </c>
      <c r="R545" s="3" t="e">
        <f ca="1">[1]!BexGetData("DP_1","00O2TNJGODT0G5Z4TTKYMMBYD","GSON1112040010")</f>
        <v>#NAME?</v>
      </c>
      <c r="S545" s="3" t="e">
        <f ca="1">[1]!BexGetData("DP_1","00O2TNJGODT0G5Z4TTKYMMI9X","GSON1112040010")</f>
        <v>#NAME?</v>
      </c>
      <c r="T545" s="8" t="e">
        <f ca="1">[1]!BexGetData("DP_1","00O2TNJGODT0G5Z4TTKYMMOLH","GSON1112040010")</f>
        <v>#NAME?</v>
      </c>
      <c r="U545" s="3" t="e">
        <f ca="1">[1]!BexGetData("DP_1","00O2TNJGODT0G5Z4TTKYMMUX1","GSON1112040010")</f>
        <v>#NAME?</v>
      </c>
      <c r="V545" s="8" t="e">
        <f ca="1">[1]!BexGetData("DP_1","00O2TNJGODT0G5Z4TTKYMN18L","GSON1112040010")</f>
        <v>#NAME?</v>
      </c>
      <c r="W545" s="3" t="e">
        <f ca="1">[1]!BexGetData("DP_1","00O2TNJGODT0G5Z4TTKYMN7K5","GSON1112040010")</f>
        <v>#NAME?</v>
      </c>
    </row>
    <row r="546" spans="1:23" x14ac:dyDescent="0.2">
      <c r="A546" s="16" t="s">
        <v>943</v>
      </c>
      <c r="B546" s="7" t="s">
        <v>2482</v>
      </c>
      <c r="C546" s="3" t="e">
        <f ca="1">[1]!BexGetData("DP_1","003N8EMH8GTFRCSWKMPXRR8GU","GSON1112040011")</f>
        <v>#NAME?</v>
      </c>
      <c r="D546" s="3" t="e">
        <f ca="1">[1]!BexGetData("DP_1","003N8EMH8GTFRCSWKMPXRRESE","GSON1112040011")</f>
        <v>#NAME?</v>
      </c>
      <c r="E546" s="8" t="e">
        <f ca="1">[1]!BexGetData("DP_1","003N8EMH8GTFRCSWKMPXRRL3Y","GSON1112040011")</f>
        <v>#NAME?</v>
      </c>
      <c r="F546" s="4" t="e">
        <f ca="1">[1]!BexGetData("DP_1","003N8EMH8GTFRCSWKMPXRRRFI","GSON1112040011")</f>
        <v>#NAME?</v>
      </c>
      <c r="G546" s="4" t="e">
        <f ca="1">[1]!BexGetData("DP_1","003N8EMH8GTFRCSWKMPXRRXR2","GSON1112040011")</f>
        <v>#NAME?</v>
      </c>
      <c r="H546" s="4" t="e">
        <f ca="1">[1]!BexGetData("DP_1","003N8EMH8GTFRCSWKMPXRS42M","GSON1112040011")</f>
        <v>#NAME?</v>
      </c>
      <c r="I546" s="4" t="e">
        <f ca="1">[1]!BexGetData("DP_1","003N8EMH8GTFRCSWKMPXRSAE6","GSON1112040011")</f>
        <v>#NAME?</v>
      </c>
      <c r="J546" s="4" t="e">
        <f ca="1">[1]!BexGetData("DP_1","003N8EMH8GTFRCSWKMPXRSGPQ","GSON1112040011")</f>
        <v>#NAME?</v>
      </c>
      <c r="K546" s="8" t="e">
        <f ca="1">[1]!BexGetData("DP_1","003N8EMH8GTFRIVNUPY288VJH","GSON1112040011")</f>
        <v>#NAME?</v>
      </c>
      <c r="L546" s="8" t="e">
        <f ca="1">[1]!BexGetData("DP_1","003N8EMH8GTFRIVNUPY2891V1","GSON1112040011")</f>
        <v>#NAME?</v>
      </c>
      <c r="M546" s="8" t="e">
        <f ca="1">[1]!BexGetData("DP_1","003N8EMH8GTFRIVOG7KG9IQXA","GSON1112040011")</f>
        <v>#NAME?</v>
      </c>
      <c r="N546" s="8" t="e">
        <f ca="1">[1]!BexGetData("DP_1","003N8EMH8GTFRIVOG7KG9IX8U","GSON1112040011")</f>
        <v>#NAME?</v>
      </c>
      <c r="O546" s="8" t="e">
        <f ca="1">[1]!BexGetData("DP_1","003N8EMH8GTFRIVOG7KG9J3KE","GSON1112040011")</f>
        <v>#NAME?</v>
      </c>
      <c r="P546" s="8" t="e">
        <f ca="1">[1]!BexGetData("DP_1","003N8EMH8GTFRIVOG7KG9J9VY","GSON1112040011")</f>
        <v>#NAME?</v>
      </c>
      <c r="Q546" s="4" t="e">
        <f ca="1">[1]!BexGetData("DP_1","00O2TNJGODT0G5Z4TTKYMM5MT","GSON1112040011")</f>
        <v>#NAME?</v>
      </c>
      <c r="R546" s="4" t="e">
        <f ca="1">[1]!BexGetData("DP_1","00O2TNJGODT0G5Z4TTKYMMBYD","GSON1112040011")</f>
        <v>#NAME?</v>
      </c>
      <c r="S546" s="4" t="e">
        <f ca="1">[1]!BexGetData("DP_1","00O2TNJGODT0G5Z4TTKYMMI9X","GSON1112040011")</f>
        <v>#NAME?</v>
      </c>
      <c r="T546" s="4" t="e">
        <f ca="1">[1]!BexGetData("DP_1","00O2TNJGODT0G5Z4TTKYMMOLH","GSON1112040011")</f>
        <v>#NAME?</v>
      </c>
      <c r="U546" s="4" t="e">
        <f ca="1">[1]!BexGetData("DP_1","00O2TNJGODT0G5Z4TTKYMMUX1","GSON1112040011")</f>
        <v>#NAME?</v>
      </c>
      <c r="V546" s="4" t="e">
        <f ca="1">[1]!BexGetData("DP_1","00O2TNJGODT0G5Z4TTKYMN18L","GSON1112040011")</f>
        <v>#NAME?</v>
      </c>
      <c r="W546" s="4" t="e">
        <f ca="1">[1]!BexGetData("DP_1","00O2TNJGODT0G5Z4TTKYMN7K5","GSON1112040011")</f>
        <v>#NAME?</v>
      </c>
    </row>
    <row r="547" spans="1:23" x14ac:dyDescent="0.2">
      <c r="A547" s="16" t="s">
        <v>2483</v>
      </c>
      <c r="B547" s="7" t="s">
        <v>2484</v>
      </c>
      <c r="C547" s="3" t="e">
        <f ca="1">[1]!BexGetData("DP_1","003N8EMH8GTFRCSWKMPXRR8GU","GSON1112040015")</f>
        <v>#NAME?</v>
      </c>
      <c r="D547" s="3" t="e">
        <f ca="1">[1]!BexGetData("DP_1","003N8EMH8GTFRCSWKMPXRRESE","GSON1112040015")</f>
        <v>#NAME?</v>
      </c>
      <c r="E547" s="8" t="e">
        <f ca="1">[1]!BexGetData("DP_1","003N8EMH8GTFRCSWKMPXRRL3Y","GSON1112040015")</f>
        <v>#NAME?</v>
      </c>
      <c r="F547" s="4" t="e">
        <f ca="1">[1]!BexGetData("DP_1","003N8EMH8GTFRCSWKMPXRRRFI","GSON1112040015")</f>
        <v>#NAME?</v>
      </c>
      <c r="G547" s="4" t="e">
        <f ca="1">[1]!BexGetData("DP_1","003N8EMH8GTFRCSWKMPXRRXR2","GSON1112040015")</f>
        <v>#NAME?</v>
      </c>
      <c r="H547" s="4" t="e">
        <f ca="1">[1]!BexGetData("DP_1","003N8EMH8GTFRCSWKMPXRS42M","GSON1112040015")</f>
        <v>#NAME?</v>
      </c>
      <c r="I547" s="4" t="e">
        <f ca="1">[1]!BexGetData("DP_1","003N8EMH8GTFRCSWKMPXRSAE6","GSON1112040015")</f>
        <v>#NAME?</v>
      </c>
      <c r="J547" s="4" t="e">
        <f ca="1">[1]!BexGetData("DP_1","003N8EMH8GTFRCSWKMPXRSGPQ","GSON1112040015")</f>
        <v>#NAME?</v>
      </c>
      <c r="K547" s="8" t="e">
        <f ca="1">[1]!BexGetData("DP_1","003N8EMH8GTFRIVNUPY288VJH","GSON1112040015")</f>
        <v>#NAME?</v>
      </c>
      <c r="L547" s="8" t="e">
        <f ca="1">[1]!BexGetData("DP_1","003N8EMH8GTFRIVNUPY2891V1","GSON1112040015")</f>
        <v>#NAME?</v>
      </c>
      <c r="M547" s="8" t="e">
        <f ca="1">[1]!BexGetData("DP_1","003N8EMH8GTFRIVOG7KG9IQXA","GSON1112040015")</f>
        <v>#NAME?</v>
      </c>
      <c r="N547" s="8" t="e">
        <f ca="1">[1]!BexGetData("DP_1","003N8EMH8GTFRIVOG7KG9IX8U","GSON1112040015")</f>
        <v>#NAME?</v>
      </c>
      <c r="O547" s="8" t="e">
        <f ca="1">[1]!BexGetData("DP_1","003N8EMH8GTFRIVOG7KG9J3KE","GSON1112040015")</f>
        <v>#NAME?</v>
      </c>
      <c r="P547" s="8" t="e">
        <f ca="1">[1]!BexGetData("DP_1","003N8EMH8GTFRIVOG7KG9J9VY","GSON1112040015")</f>
        <v>#NAME?</v>
      </c>
      <c r="Q547" s="4" t="e">
        <f ca="1">[1]!BexGetData("DP_1","00O2TNJGODT0G5Z4TTKYMM5MT","GSON1112040015")</f>
        <v>#NAME?</v>
      </c>
      <c r="R547" s="4" t="e">
        <f ca="1">[1]!BexGetData("DP_1","00O2TNJGODT0G5Z4TTKYMMBYD","GSON1112040015")</f>
        <v>#NAME?</v>
      </c>
      <c r="S547" s="4" t="e">
        <f ca="1">[1]!BexGetData("DP_1","00O2TNJGODT0G5Z4TTKYMMI9X","GSON1112040015")</f>
        <v>#NAME?</v>
      </c>
      <c r="T547" s="4" t="e">
        <f ca="1">[1]!BexGetData("DP_1","00O2TNJGODT0G5Z4TTKYMMOLH","GSON1112040015")</f>
        <v>#NAME?</v>
      </c>
      <c r="U547" s="4" t="e">
        <f ca="1">[1]!BexGetData("DP_1","00O2TNJGODT0G5Z4TTKYMMUX1","GSON1112040015")</f>
        <v>#NAME?</v>
      </c>
      <c r="V547" s="4" t="e">
        <f ca="1">[1]!BexGetData("DP_1","00O2TNJGODT0G5Z4TTKYMN18L","GSON1112040015")</f>
        <v>#NAME?</v>
      </c>
      <c r="W547" s="4" t="e">
        <f ca="1">[1]!BexGetData("DP_1","00O2TNJGODT0G5Z4TTKYMN7K5","GSON1112040015")</f>
        <v>#NAME?</v>
      </c>
    </row>
    <row r="548" spans="1:23" x14ac:dyDescent="0.2">
      <c r="A548" s="16" t="s">
        <v>2485</v>
      </c>
      <c r="B548" s="7" t="s">
        <v>2486</v>
      </c>
      <c r="C548" s="3" t="e">
        <f ca="1">[1]!BexGetData("DP_1","003N8EMH8GTFRCSWKMPXRR8GU","GSON1112050020")</f>
        <v>#NAME?</v>
      </c>
      <c r="D548" s="3" t="e">
        <f ca="1">[1]!BexGetData("DP_1","003N8EMH8GTFRCSWKMPXRRESE","GSON1112050020")</f>
        <v>#NAME?</v>
      </c>
      <c r="E548" s="3" t="e">
        <f ca="1">[1]!BexGetData("DP_1","003N8EMH8GTFRCSWKMPXRRL3Y","GSON1112050020")</f>
        <v>#NAME?</v>
      </c>
      <c r="F548" s="3" t="e">
        <f ca="1">[1]!BexGetData("DP_1","003N8EMH8GTFRCSWKMPXRRRFI","GSON1112050020")</f>
        <v>#NAME?</v>
      </c>
      <c r="G548" s="3" t="e">
        <f ca="1">[1]!BexGetData("DP_1","003N8EMH8GTFRCSWKMPXRRXR2","GSON1112050020")</f>
        <v>#NAME?</v>
      </c>
      <c r="H548" s="8" t="e">
        <f ca="1">[1]!BexGetData("DP_1","003N8EMH8GTFRCSWKMPXRS42M","GSON1112050020")</f>
        <v>#NAME?</v>
      </c>
      <c r="I548" s="3" t="e">
        <f ca="1">[1]!BexGetData("DP_1","003N8EMH8GTFRCSWKMPXRSAE6","GSON1112050020")</f>
        <v>#NAME?</v>
      </c>
      <c r="J548" s="4" t="e">
        <f ca="1">[1]!BexGetData("DP_1","003N8EMH8GTFRCSWKMPXRSGPQ","GSON1112050020")</f>
        <v>#NAME?</v>
      </c>
      <c r="K548" s="3" t="e">
        <f ca="1">[1]!BexGetData("DP_1","003N8EMH8GTFRIVNUPY288VJH","GSON1112050020")</f>
        <v>#NAME?</v>
      </c>
      <c r="L548" s="3" t="e">
        <f ca="1">[1]!BexGetData("DP_1","003N8EMH8GTFRIVNUPY2891V1","GSON1112050020")</f>
        <v>#NAME?</v>
      </c>
      <c r="M548" s="8" t="e">
        <f ca="1">[1]!BexGetData("DP_1","003N8EMH8GTFRIVOG7KG9IQXA","GSON1112050020")</f>
        <v>#NAME?</v>
      </c>
      <c r="N548" s="3" t="e">
        <f ca="1">[1]!BexGetData("DP_1","003N8EMH8GTFRIVOG7KG9IX8U","GSON1112050020")</f>
        <v>#NAME?</v>
      </c>
      <c r="O548" s="8" t="e">
        <f ca="1">[1]!BexGetData("DP_1","003N8EMH8GTFRIVOG7KG9J3KE","GSON1112050020")</f>
        <v>#NAME?</v>
      </c>
      <c r="P548" s="3" t="e">
        <f ca="1">[1]!BexGetData("DP_1","003N8EMH8GTFRIVOG7KG9J9VY","GSON1112050020")</f>
        <v>#NAME?</v>
      </c>
      <c r="Q548" s="4" t="e">
        <f ca="1">[1]!BexGetData("DP_1","00O2TNJGODT0G5Z4TTKYMM5MT","GSON1112050020")</f>
        <v>#NAME?</v>
      </c>
      <c r="R548" s="3" t="e">
        <f ca="1">[1]!BexGetData("DP_1","00O2TNJGODT0G5Z4TTKYMMBYD","GSON1112050020")</f>
        <v>#NAME?</v>
      </c>
      <c r="S548" s="3" t="e">
        <f ca="1">[1]!BexGetData("DP_1","00O2TNJGODT0G5Z4TTKYMMI9X","GSON1112050020")</f>
        <v>#NAME?</v>
      </c>
      <c r="T548" s="8" t="e">
        <f ca="1">[1]!BexGetData("DP_1","00O2TNJGODT0G5Z4TTKYMMOLH","GSON1112050020")</f>
        <v>#NAME?</v>
      </c>
      <c r="U548" s="3" t="e">
        <f ca="1">[1]!BexGetData("DP_1","00O2TNJGODT0G5Z4TTKYMMUX1","GSON1112050020")</f>
        <v>#NAME?</v>
      </c>
      <c r="V548" s="8" t="e">
        <f ca="1">[1]!BexGetData("DP_1","00O2TNJGODT0G5Z4TTKYMN18L","GSON1112050020")</f>
        <v>#NAME?</v>
      </c>
      <c r="W548" s="3" t="e">
        <f ca="1">[1]!BexGetData("DP_1","00O2TNJGODT0G5Z4TTKYMN7K5","GSON1112050020")</f>
        <v>#NAME?</v>
      </c>
    </row>
    <row r="549" spans="1:23" x14ac:dyDescent="0.2">
      <c r="A549" s="16" t="s">
        <v>1636</v>
      </c>
      <c r="B549" s="7" t="s">
        <v>1637</v>
      </c>
      <c r="C549" s="3" t="e">
        <f ca="1">[1]!BexGetData("DP_1","003N8EMH8GTFRCSWKMPXRR8GU","GSON1112050021")</f>
        <v>#NAME?</v>
      </c>
      <c r="D549" s="3" t="e">
        <f ca="1">[1]!BexGetData("DP_1","003N8EMH8GTFRCSWKMPXRRESE","GSON1112050021")</f>
        <v>#NAME?</v>
      </c>
      <c r="E549" s="8" t="e">
        <f ca="1">[1]!BexGetData("DP_1","003N8EMH8GTFRCSWKMPXRRL3Y","GSON1112050021")</f>
        <v>#NAME?</v>
      </c>
      <c r="F549" s="4" t="e">
        <f ca="1">[1]!BexGetData("DP_1","003N8EMH8GTFRCSWKMPXRRRFI","GSON1112050021")</f>
        <v>#NAME?</v>
      </c>
      <c r="G549" s="4" t="e">
        <f ca="1">[1]!BexGetData("DP_1","003N8EMH8GTFRCSWKMPXRRXR2","GSON1112050021")</f>
        <v>#NAME?</v>
      </c>
      <c r="H549" s="4" t="e">
        <f ca="1">[1]!BexGetData("DP_1","003N8EMH8GTFRCSWKMPXRS42M","GSON1112050021")</f>
        <v>#NAME?</v>
      </c>
      <c r="I549" s="4" t="e">
        <f ca="1">[1]!BexGetData("DP_1","003N8EMH8GTFRCSWKMPXRSAE6","GSON1112050021")</f>
        <v>#NAME?</v>
      </c>
      <c r="J549" s="4" t="e">
        <f ca="1">[1]!BexGetData("DP_1","003N8EMH8GTFRCSWKMPXRSGPQ","GSON1112050021")</f>
        <v>#NAME?</v>
      </c>
      <c r="K549" s="8" t="e">
        <f ca="1">[1]!BexGetData("DP_1","003N8EMH8GTFRIVNUPY288VJH","GSON1112050021")</f>
        <v>#NAME?</v>
      </c>
      <c r="L549" s="8" t="e">
        <f ca="1">[1]!BexGetData("DP_1","003N8EMH8GTFRIVNUPY2891V1","GSON1112050021")</f>
        <v>#NAME?</v>
      </c>
      <c r="M549" s="8" t="e">
        <f ca="1">[1]!BexGetData("DP_1","003N8EMH8GTFRIVOG7KG9IQXA","GSON1112050021")</f>
        <v>#NAME?</v>
      </c>
      <c r="N549" s="8" t="e">
        <f ca="1">[1]!BexGetData("DP_1","003N8EMH8GTFRIVOG7KG9IX8U","GSON1112050021")</f>
        <v>#NAME?</v>
      </c>
      <c r="O549" s="8" t="e">
        <f ca="1">[1]!BexGetData("DP_1","003N8EMH8GTFRIVOG7KG9J3KE","GSON1112050021")</f>
        <v>#NAME?</v>
      </c>
      <c r="P549" s="8" t="e">
        <f ca="1">[1]!BexGetData("DP_1","003N8EMH8GTFRIVOG7KG9J9VY","GSON1112050021")</f>
        <v>#NAME?</v>
      </c>
      <c r="Q549" s="4" t="e">
        <f ca="1">[1]!BexGetData("DP_1","00O2TNJGODT0G5Z4TTKYMM5MT","GSON1112050021")</f>
        <v>#NAME?</v>
      </c>
      <c r="R549" s="4" t="e">
        <f ca="1">[1]!BexGetData("DP_1","00O2TNJGODT0G5Z4TTKYMMBYD","GSON1112050021")</f>
        <v>#NAME?</v>
      </c>
      <c r="S549" s="4" t="e">
        <f ca="1">[1]!BexGetData("DP_1","00O2TNJGODT0G5Z4TTKYMMI9X","GSON1112050021")</f>
        <v>#NAME?</v>
      </c>
      <c r="T549" s="4" t="e">
        <f ca="1">[1]!BexGetData("DP_1","00O2TNJGODT0G5Z4TTKYMMOLH","GSON1112050021")</f>
        <v>#NAME?</v>
      </c>
      <c r="U549" s="4" t="e">
        <f ca="1">[1]!BexGetData("DP_1","00O2TNJGODT0G5Z4TTKYMMUX1","GSON1112050021")</f>
        <v>#NAME?</v>
      </c>
      <c r="V549" s="4" t="e">
        <f ca="1">[1]!BexGetData("DP_1","00O2TNJGODT0G5Z4TTKYMN18L","GSON1112050021")</f>
        <v>#NAME?</v>
      </c>
      <c r="W549" s="4" t="e">
        <f ca="1">[1]!BexGetData("DP_1","00O2TNJGODT0G5Z4TTKYMN7K5","GSON1112050021")</f>
        <v>#NAME?</v>
      </c>
    </row>
    <row r="550" spans="1:23" x14ac:dyDescent="0.2">
      <c r="A550" s="16" t="s">
        <v>2487</v>
      </c>
      <c r="B550" s="7" t="s">
        <v>2488</v>
      </c>
      <c r="C550" s="3" t="e">
        <f ca="1">[1]!BexGetData("DP_1","003N8EMH8GTFRCSWKMPXRR8GU","GSON1112050023")</f>
        <v>#NAME?</v>
      </c>
      <c r="D550" s="3" t="e">
        <f ca="1">[1]!BexGetData("DP_1","003N8EMH8GTFRCSWKMPXRRESE","GSON1112050023")</f>
        <v>#NAME?</v>
      </c>
      <c r="E550" s="8" t="e">
        <f ca="1">[1]!BexGetData("DP_1","003N8EMH8GTFRCSWKMPXRRL3Y","GSON1112050023")</f>
        <v>#NAME?</v>
      </c>
      <c r="F550" s="4" t="e">
        <f ca="1">[1]!BexGetData("DP_1","003N8EMH8GTFRCSWKMPXRRRFI","GSON1112050023")</f>
        <v>#NAME?</v>
      </c>
      <c r="G550" s="4" t="e">
        <f ca="1">[1]!BexGetData("DP_1","003N8EMH8GTFRCSWKMPXRRXR2","GSON1112050023")</f>
        <v>#NAME?</v>
      </c>
      <c r="H550" s="4" t="e">
        <f ca="1">[1]!BexGetData("DP_1","003N8EMH8GTFRCSWKMPXRS42M","GSON1112050023")</f>
        <v>#NAME?</v>
      </c>
      <c r="I550" s="4" t="e">
        <f ca="1">[1]!BexGetData("DP_1","003N8EMH8GTFRCSWKMPXRSAE6","GSON1112050023")</f>
        <v>#NAME?</v>
      </c>
      <c r="J550" s="4" t="e">
        <f ca="1">[1]!BexGetData("DP_1","003N8EMH8GTFRCSWKMPXRSGPQ","GSON1112050023")</f>
        <v>#NAME?</v>
      </c>
      <c r="K550" s="8" t="e">
        <f ca="1">[1]!BexGetData("DP_1","003N8EMH8GTFRIVNUPY288VJH","GSON1112050023")</f>
        <v>#NAME?</v>
      </c>
      <c r="L550" s="8" t="e">
        <f ca="1">[1]!BexGetData("DP_1","003N8EMH8GTFRIVNUPY2891V1","GSON1112050023")</f>
        <v>#NAME?</v>
      </c>
      <c r="M550" s="8" t="e">
        <f ca="1">[1]!BexGetData("DP_1","003N8EMH8GTFRIVOG7KG9IQXA","GSON1112050023")</f>
        <v>#NAME?</v>
      </c>
      <c r="N550" s="8" t="e">
        <f ca="1">[1]!BexGetData("DP_1","003N8EMH8GTFRIVOG7KG9IX8U","GSON1112050023")</f>
        <v>#NAME?</v>
      </c>
      <c r="O550" s="8" t="e">
        <f ca="1">[1]!BexGetData("DP_1","003N8EMH8GTFRIVOG7KG9J3KE","GSON1112050023")</f>
        <v>#NAME?</v>
      </c>
      <c r="P550" s="8" t="e">
        <f ca="1">[1]!BexGetData("DP_1","003N8EMH8GTFRIVOG7KG9J9VY","GSON1112050023")</f>
        <v>#NAME?</v>
      </c>
      <c r="Q550" s="4" t="e">
        <f ca="1">[1]!BexGetData("DP_1","00O2TNJGODT0G5Z4TTKYMM5MT","GSON1112050023")</f>
        <v>#NAME?</v>
      </c>
      <c r="R550" s="4" t="e">
        <f ca="1">[1]!BexGetData("DP_1","00O2TNJGODT0G5Z4TTKYMMBYD","GSON1112050023")</f>
        <v>#NAME?</v>
      </c>
      <c r="S550" s="4" t="e">
        <f ca="1">[1]!BexGetData("DP_1","00O2TNJGODT0G5Z4TTKYMMI9X","GSON1112050023")</f>
        <v>#NAME?</v>
      </c>
      <c r="T550" s="4" t="e">
        <f ca="1">[1]!BexGetData("DP_1","00O2TNJGODT0G5Z4TTKYMMOLH","GSON1112050023")</f>
        <v>#NAME?</v>
      </c>
      <c r="U550" s="4" t="e">
        <f ca="1">[1]!BexGetData("DP_1","00O2TNJGODT0G5Z4TTKYMMUX1","GSON1112050023")</f>
        <v>#NAME?</v>
      </c>
      <c r="V550" s="4" t="e">
        <f ca="1">[1]!BexGetData("DP_1","00O2TNJGODT0G5Z4TTKYMN18L","GSON1112050023")</f>
        <v>#NAME?</v>
      </c>
      <c r="W550" s="4" t="e">
        <f ca="1">[1]!BexGetData("DP_1","00O2TNJGODT0G5Z4TTKYMN7K5","GSON1112050023")</f>
        <v>#NAME?</v>
      </c>
    </row>
    <row r="551" spans="1:23" x14ac:dyDescent="0.2">
      <c r="A551" s="16" t="s">
        <v>2489</v>
      </c>
      <c r="B551" s="7" t="s">
        <v>2490</v>
      </c>
      <c r="C551" s="3" t="e">
        <f ca="1">[1]!BexGetData("DP_1","003N8EMH8GTFRCSWKMPXRR8GU","GSON1112050024")</f>
        <v>#NAME?</v>
      </c>
      <c r="D551" s="3" t="e">
        <f ca="1">[1]!BexGetData("DP_1","003N8EMH8GTFRCSWKMPXRRESE","GSON1112050024")</f>
        <v>#NAME?</v>
      </c>
      <c r="E551" s="8" t="e">
        <f ca="1">[1]!BexGetData("DP_1","003N8EMH8GTFRCSWKMPXRRL3Y","GSON1112050024")</f>
        <v>#NAME?</v>
      </c>
      <c r="F551" s="4" t="e">
        <f ca="1">[1]!BexGetData("DP_1","003N8EMH8GTFRCSWKMPXRRRFI","GSON1112050024")</f>
        <v>#NAME?</v>
      </c>
      <c r="G551" s="4" t="e">
        <f ca="1">[1]!BexGetData("DP_1","003N8EMH8GTFRCSWKMPXRRXR2","GSON1112050024")</f>
        <v>#NAME?</v>
      </c>
      <c r="H551" s="4" t="e">
        <f ca="1">[1]!BexGetData("DP_1","003N8EMH8GTFRCSWKMPXRS42M","GSON1112050024")</f>
        <v>#NAME?</v>
      </c>
      <c r="I551" s="4" t="e">
        <f ca="1">[1]!BexGetData("DP_1","003N8EMH8GTFRCSWKMPXRSAE6","GSON1112050024")</f>
        <v>#NAME?</v>
      </c>
      <c r="J551" s="4" t="e">
        <f ca="1">[1]!BexGetData("DP_1","003N8EMH8GTFRCSWKMPXRSGPQ","GSON1112050024")</f>
        <v>#NAME?</v>
      </c>
      <c r="K551" s="8" t="e">
        <f ca="1">[1]!BexGetData("DP_1","003N8EMH8GTFRIVNUPY288VJH","GSON1112050024")</f>
        <v>#NAME?</v>
      </c>
      <c r="L551" s="8" t="e">
        <f ca="1">[1]!BexGetData("DP_1","003N8EMH8GTFRIVNUPY2891V1","GSON1112050024")</f>
        <v>#NAME?</v>
      </c>
      <c r="M551" s="8" t="e">
        <f ca="1">[1]!BexGetData("DP_1","003N8EMH8GTFRIVOG7KG9IQXA","GSON1112050024")</f>
        <v>#NAME?</v>
      </c>
      <c r="N551" s="8" t="e">
        <f ca="1">[1]!BexGetData("DP_1","003N8EMH8GTFRIVOG7KG9IX8U","GSON1112050024")</f>
        <v>#NAME?</v>
      </c>
      <c r="O551" s="8" t="e">
        <f ca="1">[1]!BexGetData("DP_1","003N8EMH8GTFRIVOG7KG9J3KE","GSON1112050024")</f>
        <v>#NAME?</v>
      </c>
      <c r="P551" s="8" t="e">
        <f ca="1">[1]!BexGetData("DP_1","003N8EMH8GTFRIVOG7KG9J9VY","GSON1112050024")</f>
        <v>#NAME?</v>
      </c>
      <c r="Q551" s="4" t="e">
        <f ca="1">[1]!BexGetData("DP_1","00O2TNJGODT0G5Z4TTKYMM5MT","GSON1112050024")</f>
        <v>#NAME?</v>
      </c>
      <c r="R551" s="4" t="e">
        <f ca="1">[1]!BexGetData("DP_1","00O2TNJGODT0G5Z4TTKYMMBYD","GSON1112050024")</f>
        <v>#NAME?</v>
      </c>
      <c r="S551" s="4" t="e">
        <f ca="1">[1]!BexGetData("DP_1","00O2TNJGODT0G5Z4TTKYMMI9X","GSON1112050024")</f>
        <v>#NAME?</v>
      </c>
      <c r="T551" s="4" t="e">
        <f ca="1">[1]!BexGetData("DP_1","00O2TNJGODT0G5Z4TTKYMMOLH","GSON1112050024")</f>
        <v>#NAME?</v>
      </c>
      <c r="U551" s="4" t="e">
        <f ca="1">[1]!BexGetData("DP_1","00O2TNJGODT0G5Z4TTKYMMUX1","GSON1112050024")</f>
        <v>#NAME?</v>
      </c>
      <c r="V551" s="4" t="e">
        <f ca="1">[1]!BexGetData("DP_1","00O2TNJGODT0G5Z4TTKYMN18L","GSON1112050024")</f>
        <v>#NAME?</v>
      </c>
      <c r="W551" s="4" t="e">
        <f ca="1">[1]!BexGetData("DP_1","00O2TNJGODT0G5Z4TTKYMN7K5","GSON1112050024")</f>
        <v>#NAME?</v>
      </c>
    </row>
    <row r="552" spans="1:23" x14ac:dyDescent="0.2">
      <c r="A552" s="16" t="s">
        <v>2491</v>
      </c>
      <c r="B552" s="7" t="s">
        <v>2492</v>
      </c>
      <c r="C552" s="3" t="e">
        <f ca="1">[1]!BexGetData("DP_1","003N8EMH8GTFRCSWKMPXRR8GU","GSON1112050025")</f>
        <v>#NAME?</v>
      </c>
      <c r="D552" s="3" t="e">
        <f ca="1">[1]!BexGetData("DP_1","003N8EMH8GTFRCSWKMPXRRESE","GSON1112050025")</f>
        <v>#NAME?</v>
      </c>
      <c r="E552" s="8" t="e">
        <f ca="1">[1]!BexGetData("DP_1","003N8EMH8GTFRCSWKMPXRRL3Y","GSON1112050025")</f>
        <v>#NAME?</v>
      </c>
      <c r="F552" s="4" t="e">
        <f ca="1">[1]!BexGetData("DP_1","003N8EMH8GTFRCSWKMPXRRRFI","GSON1112050025")</f>
        <v>#NAME?</v>
      </c>
      <c r="G552" s="4" t="e">
        <f ca="1">[1]!BexGetData("DP_1","003N8EMH8GTFRCSWKMPXRRXR2","GSON1112050025")</f>
        <v>#NAME?</v>
      </c>
      <c r="H552" s="4" t="e">
        <f ca="1">[1]!BexGetData("DP_1","003N8EMH8GTFRCSWKMPXRS42M","GSON1112050025")</f>
        <v>#NAME?</v>
      </c>
      <c r="I552" s="4" t="e">
        <f ca="1">[1]!BexGetData("DP_1","003N8EMH8GTFRCSWKMPXRSAE6","GSON1112050025")</f>
        <v>#NAME?</v>
      </c>
      <c r="J552" s="4" t="e">
        <f ca="1">[1]!BexGetData("DP_1","003N8EMH8GTFRCSWKMPXRSGPQ","GSON1112050025")</f>
        <v>#NAME?</v>
      </c>
      <c r="K552" s="8" t="e">
        <f ca="1">[1]!BexGetData("DP_1","003N8EMH8GTFRIVNUPY288VJH","GSON1112050025")</f>
        <v>#NAME?</v>
      </c>
      <c r="L552" s="8" t="e">
        <f ca="1">[1]!BexGetData("DP_1","003N8EMH8GTFRIVNUPY2891V1","GSON1112050025")</f>
        <v>#NAME?</v>
      </c>
      <c r="M552" s="8" t="e">
        <f ca="1">[1]!BexGetData("DP_1","003N8EMH8GTFRIVOG7KG9IQXA","GSON1112050025")</f>
        <v>#NAME?</v>
      </c>
      <c r="N552" s="8" t="e">
        <f ca="1">[1]!BexGetData("DP_1","003N8EMH8GTFRIVOG7KG9IX8U","GSON1112050025")</f>
        <v>#NAME?</v>
      </c>
      <c r="O552" s="8" t="e">
        <f ca="1">[1]!BexGetData("DP_1","003N8EMH8GTFRIVOG7KG9J3KE","GSON1112050025")</f>
        <v>#NAME?</v>
      </c>
      <c r="P552" s="8" t="e">
        <f ca="1">[1]!BexGetData("DP_1","003N8EMH8GTFRIVOG7KG9J9VY","GSON1112050025")</f>
        <v>#NAME?</v>
      </c>
      <c r="Q552" s="4" t="e">
        <f ca="1">[1]!BexGetData("DP_1","00O2TNJGODT0G5Z4TTKYMM5MT","GSON1112050025")</f>
        <v>#NAME?</v>
      </c>
      <c r="R552" s="4" t="e">
        <f ca="1">[1]!BexGetData("DP_1","00O2TNJGODT0G5Z4TTKYMMBYD","GSON1112050025")</f>
        <v>#NAME?</v>
      </c>
      <c r="S552" s="4" t="e">
        <f ca="1">[1]!BexGetData("DP_1","00O2TNJGODT0G5Z4TTKYMMI9X","GSON1112050025")</f>
        <v>#NAME?</v>
      </c>
      <c r="T552" s="4" t="e">
        <f ca="1">[1]!BexGetData("DP_1","00O2TNJGODT0G5Z4TTKYMMOLH","GSON1112050025")</f>
        <v>#NAME?</v>
      </c>
      <c r="U552" s="4" t="e">
        <f ca="1">[1]!BexGetData("DP_1","00O2TNJGODT0G5Z4TTKYMMUX1","GSON1112050025")</f>
        <v>#NAME?</v>
      </c>
      <c r="V552" s="4" t="e">
        <f ca="1">[1]!BexGetData("DP_1","00O2TNJGODT0G5Z4TTKYMN18L","GSON1112050025")</f>
        <v>#NAME?</v>
      </c>
      <c r="W552" s="4" t="e">
        <f ca="1">[1]!BexGetData("DP_1","00O2TNJGODT0G5Z4TTKYMN7K5","GSON1112050025")</f>
        <v>#NAME?</v>
      </c>
    </row>
    <row r="553" spans="1:23" x14ac:dyDescent="0.2">
      <c r="A553" s="16" t="s">
        <v>2493</v>
      </c>
      <c r="B553" s="7" t="s">
        <v>2494</v>
      </c>
      <c r="C553" s="3" t="e">
        <f ca="1">[1]!BexGetData("DP_1","003N8EMH8GTFRCSWKMPXRR8GU","GSON1112050030")</f>
        <v>#NAME?</v>
      </c>
      <c r="D553" s="3" t="e">
        <f ca="1">[1]!BexGetData("DP_1","003N8EMH8GTFRCSWKMPXRRESE","GSON1112050030")</f>
        <v>#NAME?</v>
      </c>
      <c r="E553" s="3" t="e">
        <f ca="1">[1]!BexGetData("DP_1","003N8EMH8GTFRCSWKMPXRRL3Y","GSON1112050030")</f>
        <v>#NAME?</v>
      </c>
      <c r="F553" s="3" t="e">
        <f ca="1">[1]!BexGetData("DP_1","003N8EMH8GTFRCSWKMPXRRRFI","GSON1112050030")</f>
        <v>#NAME?</v>
      </c>
      <c r="G553" s="3" t="e">
        <f ca="1">[1]!BexGetData("DP_1","003N8EMH8GTFRCSWKMPXRRXR2","GSON1112050030")</f>
        <v>#NAME?</v>
      </c>
      <c r="H553" s="8" t="e">
        <f ca="1">[1]!BexGetData("DP_1","003N8EMH8GTFRCSWKMPXRS42M","GSON1112050030")</f>
        <v>#NAME?</v>
      </c>
      <c r="I553" s="3" t="e">
        <f ca="1">[1]!BexGetData("DP_1","003N8EMH8GTFRCSWKMPXRSAE6","GSON1112050030")</f>
        <v>#NAME?</v>
      </c>
      <c r="J553" s="4" t="e">
        <f ca="1">[1]!BexGetData("DP_1","003N8EMH8GTFRCSWKMPXRSGPQ","GSON1112050030")</f>
        <v>#NAME?</v>
      </c>
      <c r="K553" s="3" t="e">
        <f ca="1">[1]!BexGetData("DP_1","003N8EMH8GTFRIVNUPY288VJH","GSON1112050030")</f>
        <v>#NAME?</v>
      </c>
      <c r="L553" s="3" t="e">
        <f ca="1">[1]!BexGetData("DP_1","003N8EMH8GTFRIVNUPY2891V1","GSON1112050030")</f>
        <v>#NAME?</v>
      </c>
      <c r="M553" s="8" t="e">
        <f ca="1">[1]!BexGetData("DP_1","003N8EMH8GTFRIVOG7KG9IQXA","GSON1112050030")</f>
        <v>#NAME?</v>
      </c>
      <c r="N553" s="3" t="e">
        <f ca="1">[1]!BexGetData("DP_1","003N8EMH8GTFRIVOG7KG9IX8U","GSON1112050030")</f>
        <v>#NAME?</v>
      </c>
      <c r="O553" s="8" t="e">
        <f ca="1">[1]!BexGetData("DP_1","003N8EMH8GTFRIVOG7KG9J3KE","GSON1112050030")</f>
        <v>#NAME?</v>
      </c>
      <c r="P553" s="3" t="e">
        <f ca="1">[1]!BexGetData("DP_1","003N8EMH8GTFRIVOG7KG9J9VY","GSON1112050030")</f>
        <v>#NAME?</v>
      </c>
      <c r="Q553" s="4" t="e">
        <f ca="1">[1]!BexGetData("DP_1","00O2TNJGODT0G5Z4TTKYMM5MT","GSON1112050030")</f>
        <v>#NAME?</v>
      </c>
      <c r="R553" s="3" t="e">
        <f ca="1">[1]!BexGetData("DP_1","00O2TNJGODT0G5Z4TTKYMMBYD","GSON1112050030")</f>
        <v>#NAME?</v>
      </c>
      <c r="S553" s="3" t="e">
        <f ca="1">[1]!BexGetData("DP_1","00O2TNJGODT0G5Z4TTKYMMI9X","GSON1112050030")</f>
        <v>#NAME?</v>
      </c>
      <c r="T553" s="8" t="e">
        <f ca="1">[1]!BexGetData("DP_1","00O2TNJGODT0G5Z4TTKYMMOLH","GSON1112050030")</f>
        <v>#NAME?</v>
      </c>
      <c r="U553" s="3" t="e">
        <f ca="1">[1]!BexGetData("DP_1","00O2TNJGODT0G5Z4TTKYMMUX1","GSON1112050030")</f>
        <v>#NAME?</v>
      </c>
      <c r="V553" s="8" t="e">
        <f ca="1">[1]!BexGetData("DP_1","00O2TNJGODT0G5Z4TTKYMN18L","GSON1112050030")</f>
        <v>#NAME?</v>
      </c>
      <c r="W553" s="3" t="e">
        <f ca="1">[1]!BexGetData("DP_1","00O2TNJGODT0G5Z4TTKYMN7K5","GSON1112050030")</f>
        <v>#NAME?</v>
      </c>
    </row>
    <row r="554" spans="1:23" x14ac:dyDescent="0.2">
      <c r="A554" s="16" t="s">
        <v>2495</v>
      </c>
      <c r="B554" s="7" t="s">
        <v>2496</v>
      </c>
      <c r="C554" s="3" t="e">
        <f ca="1">[1]!BexGetData("DP_1","003N8EMH8GTFRCSWKMPXRR8GU","GSON1112050031")</f>
        <v>#NAME?</v>
      </c>
      <c r="D554" s="3" t="e">
        <f ca="1">[1]!BexGetData("DP_1","003N8EMH8GTFRCSWKMPXRRESE","GSON1112050031")</f>
        <v>#NAME?</v>
      </c>
      <c r="E554" s="8" t="e">
        <f ca="1">[1]!BexGetData("DP_1","003N8EMH8GTFRCSWKMPXRRL3Y","GSON1112050031")</f>
        <v>#NAME?</v>
      </c>
      <c r="F554" s="4" t="e">
        <f ca="1">[1]!BexGetData("DP_1","003N8EMH8GTFRCSWKMPXRRRFI","GSON1112050031")</f>
        <v>#NAME?</v>
      </c>
      <c r="G554" s="4" t="e">
        <f ca="1">[1]!BexGetData("DP_1","003N8EMH8GTFRCSWKMPXRRXR2","GSON1112050031")</f>
        <v>#NAME?</v>
      </c>
      <c r="H554" s="4" t="e">
        <f ca="1">[1]!BexGetData("DP_1","003N8EMH8GTFRCSWKMPXRS42M","GSON1112050031")</f>
        <v>#NAME?</v>
      </c>
      <c r="I554" s="4" t="e">
        <f ca="1">[1]!BexGetData("DP_1","003N8EMH8GTFRCSWKMPXRSAE6","GSON1112050031")</f>
        <v>#NAME?</v>
      </c>
      <c r="J554" s="4" t="e">
        <f ca="1">[1]!BexGetData("DP_1","003N8EMH8GTFRCSWKMPXRSGPQ","GSON1112050031")</f>
        <v>#NAME?</v>
      </c>
      <c r="K554" s="8" t="e">
        <f ca="1">[1]!BexGetData("DP_1","003N8EMH8GTFRIVNUPY288VJH","GSON1112050031")</f>
        <v>#NAME?</v>
      </c>
      <c r="L554" s="8" t="e">
        <f ca="1">[1]!BexGetData("DP_1","003N8EMH8GTFRIVNUPY2891V1","GSON1112050031")</f>
        <v>#NAME?</v>
      </c>
      <c r="M554" s="8" t="e">
        <f ca="1">[1]!BexGetData("DP_1","003N8EMH8GTFRIVOG7KG9IQXA","GSON1112050031")</f>
        <v>#NAME?</v>
      </c>
      <c r="N554" s="8" t="e">
        <f ca="1">[1]!BexGetData("DP_1","003N8EMH8GTFRIVOG7KG9IX8U","GSON1112050031")</f>
        <v>#NAME?</v>
      </c>
      <c r="O554" s="8" t="e">
        <f ca="1">[1]!BexGetData("DP_1","003N8EMH8GTFRIVOG7KG9J3KE","GSON1112050031")</f>
        <v>#NAME?</v>
      </c>
      <c r="P554" s="8" t="e">
        <f ca="1">[1]!BexGetData("DP_1","003N8EMH8GTFRIVOG7KG9J9VY","GSON1112050031")</f>
        <v>#NAME?</v>
      </c>
      <c r="Q554" s="4" t="e">
        <f ca="1">[1]!BexGetData("DP_1","00O2TNJGODT0G5Z4TTKYMM5MT","GSON1112050031")</f>
        <v>#NAME?</v>
      </c>
      <c r="R554" s="4" t="e">
        <f ca="1">[1]!BexGetData("DP_1","00O2TNJGODT0G5Z4TTKYMMBYD","GSON1112050031")</f>
        <v>#NAME?</v>
      </c>
      <c r="S554" s="4" t="e">
        <f ca="1">[1]!BexGetData("DP_1","00O2TNJGODT0G5Z4TTKYMMI9X","GSON1112050031")</f>
        <v>#NAME?</v>
      </c>
      <c r="T554" s="4" t="e">
        <f ca="1">[1]!BexGetData("DP_1","00O2TNJGODT0G5Z4TTKYMMOLH","GSON1112050031")</f>
        <v>#NAME?</v>
      </c>
      <c r="U554" s="4" t="e">
        <f ca="1">[1]!BexGetData("DP_1","00O2TNJGODT0G5Z4TTKYMMUX1","GSON1112050031")</f>
        <v>#NAME?</v>
      </c>
      <c r="V554" s="4" t="e">
        <f ca="1">[1]!BexGetData("DP_1","00O2TNJGODT0G5Z4TTKYMN18L","GSON1112050031")</f>
        <v>#NAME?</v>
      </c>
      <c r="W554" s="4" t="e">
        <f ca="1">[1]!BexGetData("DP_1","00O2TNJGODT0G5Z4TTKYMN7K5","GSON1112050031")</f>
        <v>#NAME?</v>
      </c>
    </row>
    <row r="555" spans="1:23" x14ac:dyDescent="0.2">
      <c r="A555" s="16" t="s">
        <v>2497</v>
      </c>
      <c r="B555" s="7" t="s">
        <v>2498</v>
      </c>
      <c r="C555" s="3" t="e">
        <f ca="1">[1]!BexGetData("DP_1","003N8EMH8GTFRCSWKMPXRR8GU","GSON1112050032")</f>
        <v>#NAME?</v>
      </c>
      <c r="D555" s="3" t="e">
        <f ca="1">[1]!BexGetData("DP_1","003N8EMH8GTFRCSWKMPXRRESE","GSON1112050032")</f>
        <v>#NAME?</v>
      </c>
      <c r="E555" s="8" t="e">
        <f ca="1">[1]!BexGetData("DP_1","003N8EMH8GTFRCSWKMPXRRL3Y","GSON1112050032")</f>
        <v>#NAME?</v>
      </c>
      <c r="F555" s="4" t="e">
        <f ca="1">[1]!BexGetData("DP_1","003N8EMH8GTFRCSWKMPXRRRFI","GSON1112050032")</f>
        <v>#NAME?</v>
      </c>
      <c r="G555" s="4" t="e">
        <f ca="1">[1]!BexGetData("DP_1","003N8EMH8GTFRCSWKMPXRRXR2","GSON1112050032")</f>
        <v>#NAME?</v>
      </c>
      <c r="H555" s="4" t="e">
        <f ca="1">[1]!BexGetData("DP_1","003N8EMH8GTFRCSWKMPXRS42M","GSON1112050032")</f>
        <v>#NAME?</v>
      </c>
      <c r="I555" s="4" t="e">
        <f ca="1">[1]!BexGetData("DP_1","003N8EMH8GTFRCSWKMPXRSAE6","GSON1112050032")</f>
        <v>#NAME?</v>
      </c>
      <c r="J555" s="4" t="e">
        <f ca="1">[1]!BexGetData("DP_1","003N8EMH8GTFRCSWKMPXRSGPQ","GSON1112050032")</f>
        <v>#NAME?</v>
      </c>
      <c r="K555" s="8" t="e">
        <f ca="1">[1]!BexGetData("DP_1","003N8EMH8GTFRIVNUPY288VJH","GSON1112050032")</f>
        <v>#NAME?</v>
      </c>
      <c r="L555" s="8" t="e">
        <f ca="1">[1]!BexGetData("DP_1","003N8EMH8GTFRIVNUPY2891V1","GSON1112050032")</f>
        <v>#NAME?</v>
      </c>
      <c r="M555" s="8" t="e">
        <f ca="1">[1]!BexGetData("DP_1","003N8EMH8GTFRIVOG7KG9IQXA","GSON1112050032")</f>
        <v>#NAME?</v>
      </c>
      <c r="N555" s="8" t="e">
        <f ca="1">[1]!BexGetData("DP_1","003N8EMH8GTFRIVOG7KG9IX8U","GSON1112050032")</f>
        <v>#NAME?</v>
      </c>
      <c r="O555" s="8" t="e">
        <f ca="1">[1]!BexGetData("DP_1","003N8EMH8GTFRIVOG7KG9J3KE","GSON1112050032")</f>
        <v>#NAME?</v>
      </c>
      <c r="P555" s="8" t="e">
        <f ca="1">[1]!BexGetData("DP_1","003N8EMH8GTFRIVOG7KG9J9VY","GSON1112050032")</f>
        <v>#NAME?</v>
      </c>
      <c r="Q555" s="4" t="e">
        <f ca="1">[1]!BexGetData("DP_1","00O2TNJGODT0G5Z4TTKYMM5MT","GSON1112050032")</f>
        <v>#NAME?</v>
      </c>
      <c r="R555" s="4" t="e">
        <f ca="1">[1]!BexGetData("DP_1","00O2TNJGODT0G5Z4TTKYMMBYD","GSON1112050032")</f>
        <v>#NAME?</v>
      </c>
      <c r="S555" s="4" t="e">
        <f ca="1">[1]!BexGetData("DP_1","00O2TNJGODT0G5Z4TTKYMMI9X","GSON1112050032")</f>
        <v>#NAME?</v>
      </c>
      <c r="T555" s="4" t="e">
        <f ca="1">[1]!BexGetData("DP_1","00O2TNJGODT0G5Z4TTKYMMOLH","GSON1112050032")</f>
        <v>#NAME?</v>
      </c>
      <c r="U555" s="4" t="e">
        <f ca="1">[1]!BexGetData("DP_1","00O2TNJGODT0G5Z4TTKYMMUX1","GSON1112050032")</f>
        <v>#NAME?</v>
      </c>
      <c r="V555" s="4" t="e">
        <f ca="1">[1]!BexGetData("DP_1","00O2TNJGODT0G5Z4TTKYMN18L","GSON1112050032")</f>
        <v>#NAME?</v>
      </c>
      <c r="W555" s="4" t="e">
        <f ca="1">[1]!BexGetData("DP_1","00O2TNJGODT0G5Z4TTKYMN7K5","GSON1112050032")</f>
        <v>#NAME?</v>
      </c>
    </row>
    <row r="556" spans="1:23" x14ac:dyDescent="0.2">
      <c r="A556" s="16" t="s">
        <v>2499</v>
      </c>
      <c r="B556" s="7" t="s">
        <v>2500</v>
      </c>
      <c r="C556" s="3" t="e">
        <f ca="1">[1]!BexGetData("DP_1","003N8EMH8GTFRCSWKMPXRR8GU","GSON1112050033")</f>
        <v>#NAME?</v>
      </c>
      <c r="D556" s="3" t="e">
        <f ca="1">[1]!BexGetData("DP_1","003N8EMH8GTFRCSWKMPXRRESE","GSON1112050033")</f>
        <v>#NAME?</v>
      </c>
      <c r="E556" s="8" t="e">
        <f ca="1">[1]!BexGetData("DP_1","003N8EMH8GTFRCSWKMPXRRL3Y","GSON1112050033")</f>
        <v>#NAME?</v>
      </c>
      <c r="F556" s="4" t="e">
        <f ca="1">[1]!BexGetData("DP_1","003N8EMH8GTFRCSWKMPXRRRFI","GSON1112050033")</f>
        <v>#NAME?</v>
      </c>
      <c r="G556" s="4" t="e">
        <f ca="1">[1]!BexGetData("DP_1","003N8EMH8GTFRCSWKMPXRRXR2","GSON1112050033")</f>
        <v>#NAME?</v>
      </c>
      <c r="H556" s="4" t="e">
        <f ca="1">[1]!BexGetData("DP_1","003N8EMH8GTFRCSWKMPXRS42M","GSON1112050033")</f>
        <v>#NAME?</v>
      </c>
      <c r="I556" s="4" t="e">
        <f ca="1">[1]!BexGetData("DP_1","003N8EMH8GTFRCSWKMPXRSAE6","GSON1112050033")</f>
        <v>#NAME?</v>
      </c>
      <c r="J556" s="4" t="e">
        <f ca="1">[1]!BexGetData("DP_1","003N8EMH8GTFRCSWKMPXRSGPQ","GSON1112050033")</f>
        <v>#NAME?</v>
      </c>
      <c r="K556" s="8" t="e">
        <f ca="1">[1]!BexGetData("DP_1","003N8EMH8GTFRIVNUPY288VJH","GSON1112050033")</f>
        <v>#NAME?</v>
      </c>
      <c r="L556" s="8" t="e">
        <f ca="1">[1]!BexGetData("DP_1","003N8EMH8GTFRIVNUPY2891V1","GSON1112050033")</f>
        <v>#NAME?</v>
      </c>
      <c r="M556" s="8" t="e">
        <f ca="1">[1]!BexGetData("DP_1","003N8EMH8GTFRIVOG7KG9IQXA","GSON1112050033")</f>
        <v>#NAME?</v>
      </c>
      <c r="N556" s="8" t="e">
        <f ca="1">[1]!BexGetData("DP_1","003N8EMH8GTFRIVOG7KG9IX8U","GSON1112050033")</f>
        <v>#NAME?</v>
      </c>
      <c r="O556" s="8" t="e">
        <f ca="1">[1]!BexGetData("DP_1","003N8EMH8GTFRIVOG7KG9J3KE","GSON1112050033")</f>
        <v>#NAME?</v>
      </c>
      <c r="P556" s="8" t="e">
        <f ca="1">[1]!BexGetData("DP_1","003N8EMH8GTFRIVOG7KG9J9VY","GSON1112050033")</f>
        <v>#NAME?</v>
      </c>
      <c r="Q556" s="4" t="e">
        <f ca="1">[1]!BexGetData("DP_1","00O2TNJGODT0G5Z4TTKYMM5MT","GSON1112050033")</f>
        <v>#NAME?</v>
      </c>
      <c r="R556" s="4" t="e">
        <f ca="1">[1]!BexGetData("DP_1","00O2TNJGODT0G5Z4TTKYMMBYD","GSON1112050033")</f>
        <v>#NAME?</v>
      </c>
      <c r="S556" s="4" t="e">
        <f ca="1">[1]!BexGetData("DP_1","00O2TNJGODT0G5Z4TTKYMMI9X","GSON1112050033")</f>
        <v>#NAME?</v>
      </c>
      <c r="T556" s="4" t="e">
        <f ca="1">[1]!BexGetData("DP_1","00O2TNJGODT0G5Z4TTKYMMOLH","GSON1112050033")</f>
        <v>#NAME?</v>
      </c>
      <c r="U556" s="4" t="e">
        <f ca="1">[1]!BexGetData("DP_1","00O2TNJGODT0G5Z4TTKYMMUX1","GSON1112050033")</f>
        <v>#NAME?</v>
      </c>
      <c r="V556" s="4" t="e">
        <f ca="1">[1]!BexGetData("DP_1","00O2TNJGODT0G5Z4TTKYMN18L","GSON1112050033")</f>
        <v>#NAME?</v>
      </c>
      <c r="W556" s="4" t="e">
        <f ca="1">[1]!BexGetData("DP_1","00O2TNJGODT0G5Z4TTKYMN7K5","GSON1112050033")</f>
        <v>#NAME?</v>
      </c>
    </row>
    <row r="557" spans="1:23" x14ac:dyDescent="0.2">
      <c r="A557" s="16" t="s">
        <v>2501</v>
      </c>
      <c r="B557" s="7" t="s">
        <v>2502</v>
      </c>
      <c r="C557" s="3" t="e">
        <f ca="1">[1]!BexGetData("DP_1","003N8EMH8GTFRCSWKMPXRR8GU","GSON1112050034")</f>
        <v>#NAME?</v>
      </c>
      <c r="D557" s="3" t="e">
        <f ca="1">[1]!BexGetData("DP_1","003N8EMH8GTFRCSWKMPXRRESE","GSON1112050034")</f>
        <v>#NAME?</v>
      </c>
      <c r="E557" s="8" t="e">
        <f ca="1">[1]!BexGetData("DP_1","003N8EMH8GTFRCSWKMPXRRL3Y","GSON1112050034")</f>
        <v>#NAME?</v>
      </c>
      <c r="F557" s="4" t="e">
        <f ca="1">[1]!BexGetData("DP_1","003N8EMH8GTFRCSWKMPXRRRFI","GSON1112050034")</f>
        <v>#NAME?</v>
      </c>
      <c r="G557" s="4" t="e">
        <f ca="1">[1]!BexGetData("DP_1","003N8EMH8GTFRCSWKMPXRRXR2","GSON1112050034")</f>
        <v>#NAME?</v>
      </c>
      <c r="H557" s="4" t="e">
        <f ca="1">[1]!BexGetData("DP_1","003N8EMH8GTFRCSWKMPXRS42M","GSON1112050034")</f>
        <v>#NAME?</v>
      </c>
      <c r="I557" s="4" t="e">
        <f ca="1">[1]!BexGetData("DP_1","003N8EMH8GTFRCSWKMPXRSAE6","GSON1112050034")</f>
        <v>#NAME?</v>
      </c>
      <c r="J557" s="4" t="e">
        <f ca="1">[1]!BexGetData("DP_1","003N8EMH8GTFRCSWKMPXRSGPQ","GSON1112050034")</f>
        <v>#NAME?</v>
      </c>
      <c r="K557" s="8" t="e">
        <f ca="1">[1]!BexGetData("DP_1","003N8EMH8GTFRIVNUPY288VJH","GSON1112050034")</f>
        <v>#NAME?</v>
      </c>
      <c r="L557" s="8" t="e">
        <f ca="1">[1]!BexGetData("DP_1","003N8EMH8GTFRIVNUPY2891V1","GSON1112050034")</f>
        <v>#NAME?</v>
      </c>
      <c r="M557" s="8" t="e">
        <f ca="1">[1]!BexGetData("DP_1","003N8EMH8GTFRIVOG7KG9IQXA","GSON1112050034")</f>
        <v>#NAME?</v>
      </c>
      <c r="N557" s="8" t="e">
        <f ca="1">[1]!BexGetData("DP_1","003N8EMH8GTFRIVOG7KG9IX8U","GSON1112050034")</f>
        <v>#NAME?</v>
      </c>
      <c r="O557" s="8" t="e">
        <f ca="1">[1]!BexGetData("DP_1","003N8EMH8GTFRIVOG7KG9J3KE","GSON1112050034")</f>
        <v>#NAME?</v>
      </c>
      <c r="P557" s="8" t="e">
        <f ca="1">[1]!BexGetData("DP_1","003N8EMH8GTFRIVOG7KG9J9VY","GSON1112050034")</f>
        <v>#NAME?</v>
      </c>
      <c r="Q557" s="4" t="e">
        <f ca="1">[1]!BexGetData("DP_1","00O2TNJGODT0G5Z4TTKYMM5MT","GSON1112050034")</f>
        <v>#NAME?</v>
      </c>
      <c r="R557" s="4" t="e">
        <f ca="1">[1]!BexGetData("DP_1","00O2TNJGODT0G5Z4TTKYMMBYD","GSON1112050034")</f>
        <v>#NAME?</v>
      </c>
      <c r="S557" s="4" t="e">
        <f ca="1">[1]!BexGetData("DP_1","00O2TNJGODT0G5Z4TTKYMMI9X","GSON1112050034")</f>
        <v>#NAME?</v>
      </c>
      <c r="T557" s="4" t="e">
        <f ca="1">[1]!BexGetData("DP_1","00O2TNJGODT0G5Z4TTKYMMOLH","GSON1112050034")</f>
        <v>#NAME?</v>
      </c>
      <c r="U557" s="4" t="e">
        <f ca="1">[1]!BexGetData("DP_1","00O2TNJGODT0G5Z4TTKYMMUX1","GSON1112050034")</f>
        <v>#NAME?</v>
      </c>
      <c r="V557" s="4" t="e">
        <f ca="1">[1]!BexGetData("DP_1","00O2TNJGODT0G5Z4TTKYMN18L","GSON1112050034")</f>
        <v>#NAME?</v>
      </c>
      <c r="W557" s="4" t="e">
        <f ca="1">[1]!BexGetData("DP_1","00O2TNJGODT0G5Z4TTKYMN7K5","GSON1112050034")</f>
        <v>#NAME?</v>
      </c>
    </row>
    <row r="558" spans="1:23" x14ac:dyDescent="0.2">
      <c r="A558" s="16" t="s">
        <v>2503</v>
      </c>
      <c r="B558" s="7" t="s">
        <v>2504</v>
      </c>
      <c r="C558" s="3" t="e">
        <f ca="1">[1]!BexGetData("DP_1","003N8EMH8GTFRCSWKMPXRR8GU","GSON1112050035")</f>
        <v>#NAME?</v>
      </c>
      <c r="D558" s="3" t="e">
        <f ca="1">[1]!BexGetData("DP_1","003N8EMH8GTFRCSWKMPXRRESE","GSON1112050035")</f>
        <v>#NAME?</v>
      </c>
      <c r="E558" s="8" t="e">
        <f ca="1">[1]!BexGetData("DP_1","003N8EMH8GTFRCSWKMPXRRL3Y","GSON1112050035")</f>
        <v>#NAME?</v>
      </c>
      <c r="F558" s="4" t="e">
        <f ca="1">[1]!BexGetData("DP_1","003N8EMH8GTFRCSWKMPXRRRFI","GSON1112050035")</f>
        <v>#NAME?</v>
      </c>
      <c r="G558" s="4" t="e">
        <f ca="1">[1]!BexGetData("DP_1","003N8EMH8GTFRCSWKMPXRRXR2","GSON1112050035")</f>
        <v>#NAME?</v>
      </c>
      <c r="H558" s="4" t="e">
        <f ca="1">[1]!BexGetData("DP_1","003N8EMH8GTFRCSWKMPXRS42M","GSON1112050035")</f>
        <v>#NAME?</v>
      </c>
      <c r="I558" s="4" t="e">
        <f ca="1">[1]!BexGetData("DP_1","003N8EMH8GTFRCSWKMPXRSAE6","GSON1112050035")</f>
        <v>#NAME?</v>
      </c>
      <c r="J558" s="4" t="e">
        <f ca="1">[1]!BexGetData("DP_1","003N8EMH8GTFRCSWKMPXRSGPQ","GSON1112050035")</f>
        <v>#NAME?</v>
      </c>
      <c r="K558" s="8" t="e">
        <f ca="1">[1]!BexGetData("DP_1","003N8EMH8GTFRIVNUPY288VJH","GSON1112050035")</f>
        <v>#NAME?</v>
      </c>
      <c r="L558" s="8" t="e">
        <f ca="1">[1]!BexGetData("DP_1","003N8EMH8GTFRIVNUPY2891V1","GSON1112050035")</f>
        <v>#NAME?</v>
      </c>
      <c r="M558" s="8" t="e">
        <f ca="1">[1]!BexGetData("DP_1","003N8EMH8GTFRIVOG7KG9IQXA","GSON1112050035")</f>
        <v>#NAME?</v>
      </c>
      <c r="N558" s="8" t="e">
        <f ca="1">[1]!BexGetData("DP_1","003N8EMH8GTFRIVOG7KG9IX8U","GSON1112050035")</f>
        <v>#NAME?</v>
      </c>
      <c r="O558" s="8" t="e">
        <f ca="1">[1]!BexGetData("DP_1","003N8EMH8GTFRIVOG7KG9J3KE","GSON1112050035")</f>
        <v>#NAME?</v>
      </c>
      <c r="P558" s="8" t="e">
        <f ca="1">[1]!BexGetData("DP_1","003N8EMH8GTFRIVOG7KG9J9VY","GSON1112050035")</f>
        <v>#NAME?</v>
      </c>
      <c r="Q558" s="4" t="e">
        <f ca="1">[1]!BexGetData("DP_1","00O2TNJGODT0G5Z4TTKYMM5MT","GSON1112050035")</f>
        <v>#NAME?</v>
      </c>
      <c r="R558" s="4" t="e">
        <f ca="1">[1]!BexGetData("DP_1","00O2TNJGODT0G5Z4TTKYMMBYD","GSON1112050035")</f>
        <v>#NAME?</v>
      </c>
      <c r="S558" s="4" t="e">
        <f ca="1">[1]!BexGetData("DP_1","00O2TNJGODT0G5Z4TTKYMMI9X","GSON1112050035")</f>
        <v>#NAME?</v>
      </c>
      <c r="T558" s="4" t="e">
        <f ca="1">[1]!BexGetData("DP_1","00O2TNJGODT0G5Z4TTKYMMOLH","GSON1112050035")</f>
        <v>#NAME?</v>
      </c>
      <c r="U558" s="4" t="e">
        <f ca="1">[1]!BexGetData("DP_1","00O2TNJGODT0G5Z4TTKYMMUX1","GSON1112050035")</f>
        <v>#NAME?</v>
      </c>
      <c r="V558" s="4" t="e">
        <f ca="1">[1]!BexGetData("DP_1","00O2TNJGODT0G5Z4TTKYMN18L","GSON1112050035")</f>
        <v>#NAME?</v>
      </c>
      <c r="W558" s="4" t="e">
        <f ca="1">[1]!BexGetData("DP_1","00O2TNJGODT0G5Z4TTKYMN7K5","GSON1112050035")</f>
        <v>#NAME?</v>
      </c>
    </row>
    <row r="559" spans="1:23" x14ac:dyDescent="0.2">
      <c r="A559" s="16" t="s">
        <v>2505</v>
      </c>
      <c r="B559" s="7" t="s">
        <v>944</v>
      </c>
      <c r="C559" s="3" t="e">
        <f ca="1">[1]!BexGetData("DP_1","003N8EMH8GTFRCSWKMPXRR8GU","GSON1112060010")</f>
        <v>#NAME?</v>
      </c>
      <c r="D559" s="3" t="e">
        <f ca="1">[1]!BexGetData("DP_1","003N8EMH8GTFRCSWKMPXRRESE","GSON1112060010")</f>
        <v>#NAME?</v>
      </c>
      <c r="E559" s="3" t="e">
        <f ca="1">[1]!BexGetData("DP_1","003N8EMH8GTFRCSWKMPXRRL3Y","GSON1112060010")</f>
        <v>#NAME?</v>
      </c>
      <c r="F559" s="3" t="e">
        <f ca="1">[1]!BexGetData("DP_1","003N8EMH8GTFRCSWKMPXRRRFI","GSON1112060010")</f>
        <v>#NAME?</v>
      </c>
      <c r="G559" s="3" t="e">
        <f ca="1">[1]!BexGetData("DP_1","003N8EMH8GTFRCSWKMPXRRXR2","GSON1112060010")</f>
        <v>#NAME?</v>
      </c>
      <c r="H559" s="8" t="e">
        <f ca="1">[1]!BexGetData("DP_1","003N8EMH8GTFRCSWKMPXRS42M","GSON1112060010")</f>
        <v>#NAME?</v>
      </c>
      <c r="I559" s="3" t="e">
        <f ca="1">[1]!BexGetData("DP_1","003N8EMH8GTFRCSWKMPXRSAE6","GSON1112060010")</f>
        <v>#NAME?</v>
      </c>
      <c r="J559" s="4" t="e">
        <f ca="1">[1]!BexGetData("DP_1","003N8EMH8GTFRCSWKMPXRSGPQ","GSON1112060010")</f>
        <v>#NAME?</v>
      </c>
      <c r="K559" s="3" t="e">
        <f ca="1">[1]!BexGetData("DP_1","003N8EMH8GTFRIVNUPY288VJH","GSON1112060010")</f>
        <v>#NAME?</v>
      </c>
      <c r="L559" s="3" t="e">
        <f ca="1">[1]!BexGetData("DP_1","003N8EMH8GTFRIVNUPY2891V1","GSON1112060010")</f>
        <v>#NAME?</v>
      </c>
      <c r="M559" s="3" t="e">
        <f ca="1">[1]!BexGetData("DP_1","003N8EMH8GTFRIVOG7KG9IQXA","GSON1112060010")</f>
        <v>#NAME?</v>
      </c>
      <c r="N559" s="8" t="e">
        <f ca="1">[1]!BexGetData("DP_1","003N8EMH8GTFRIVOG7KG9IX8U","GSON1112060010")</f>
        <v>#NAME?</v>
      </c>
      <c r="O559" s="3" t="e">
        <f ca="1">[1]!BexGetData("DP_1","003N8EMH8GTFRIVOG7KG9J3KE","GSON1112060010")</f>
        <v>#NAME?</v>
      </c>
      <c r="P559" s="8" t="e">
        <f ca="1">[1]!BexGetData("DP_1","003N8EMH8GTFRIVOG7KG9J9VY","GSON1112060010")</f>
        <v>#NAME?</v>
      </c>
      <c r="Q559" s="4" t="e">
        <f ca="1">[1]!BexGetData("DP_1","00O2TNJGODT0G5Z4TTKYMM5MT","GSON1112060010")</f>
        <v>#NAME?</v>
      </c>
      <c r="R559" s="3" t="e">
        <f ca="1">[1]!BexGetData("DP_1","00O2TNJGODT0G5Z4TTKYMMBYD","GSON1112060010")</f>
        <v>#NAME?</v>
      </c>
      <c r="S559" s="3" t="e">
        <f ca="1">[1]!BexGetData("DP_1","00O2TNJGODT0G5Z4TTKYMMI9X","GSON1112060010")</f>
        <v>#NAME?</v>
      </c>
      <c r="T559" s="8" t="e">
        <f ca="1">[1]!BexGetData("DP_1","00O2TNJGODT0G5Z4TTKYMMOLH","GSON1112060010")</f>
        <v>#NAME?</v>
      </c>
      <c r="U559" s="3" t="e">
        <f ca="1">[1]!BexGetData("DP_1","00O2TNJGODT0G5Z4TTKYMMUX1","GSON1112060010")</f>
        <v>#NAME?</v>
      </c>
      <c r="V559" s="8" t="e">
        <f ca="1">[1]!BexGetData("DP_1","00O2TNJGODT0G5Z4TTKYMN18L","GSON1112060010")</f>
        <v>#NAME?</v>
      </c>
      <c r="W559" s="3" t="e">
        <f ca="1">[1]!BexGetData("DP_1","00O2TNJGODT0G5Z4TTKYMN7K5","GSON1112060010")</f>
        <v>#NAME?</v>
      </c>
    </row>
    <row r="560" spans="1:23" x14ac:dyDescent="0.2">
      <c r="A560" s="16" t="s">
        <v>2506</v>
      </c>
      <c r="B560" s="7" t="s">
        <v>626</v>
      </c>
      <c r="C560" s="3" t="e">
        <f ca="1">[1]!BexGetData("DP_1","003N8EMH8GTFRCSWKMPXRR8GU","GSON1112060011")</f>
        <v>#NAME?</v>
      </c>
      <c r="D560" s="3" t="e">
        <f ca="1">[1]!BexGetData("DP_1","003N8EMH8GTFRCSWKMPXRRESE","GSON1112060011")</f>
        <v>#NAME?</v>
      </c>
      <c r="E560" s="8" t="e">
        <f ca="1">[1]!BexGetData("DP_1","003N8EMH8GTFRCSWKMPXRRL3Y","GSON1112060011")</f>
        <v>#NAME?</v>
      </c>
      <c r="F560" s="4" t="e">
        <f ca="1">[1]!BexGetData("DP_1","003N8EMH8GTFRCSWKMPXRRRFI","GSON1112060011")</f>
        <v>#NAME?</v>
      </c>
      <c r="G560" s="4" t="e">
        <f ca="1">[1]!BexGetData("DP_1","003N8EMH8GTFRCSWKMPXRRXR2","GSON1112060011")</f>
        <v>#NAME?</v>
      </c>
      <c r="H560" s="4" t="e">
        <f ca="1">[1]!BexGetData("DP_1","003N8EMH8GTFRCSWKMPXRS42M","GSON1112060011")</f>
        <v>#NAME?</v>
      </c>
      <c r="I560" s="4" t="e">
        <f ca="1">[1]!BexGetData("DP_1","003N8EMH8GTFRCSWKMPXRSAE6","GSON1112060011")</f>
        <v>#NAME?</v>
      </c>
      <c r="J560" s="4" t="e">
        <f ca="1">[1]!BexGetData("DP_1","003N8EMH8GTFRCSWKMPXRSGPQ","GSON1112060011")</f>
        <v>#NAME?</v>
      </c>
      <c r="K560" s="8" t="e">
        <f ca="1">[1]!BexGetData("DP_1","003N8EMH8GTFRIVNUPY288VJH","GSON1112060011")</f>
        <v>#NAME?</v>
      </c>
      <c r="L560" s="8" t="e">
        <f ca="1">[1]!BexGetData("DP_1","003N8EMH8GTFRIVNUPY2891V1","GSON1112060011")</f>
        <v>#NAME?</v>
      </c>
      <c r="M560" s="8" t="e">
        <f ca="1">[1]!BexGetData("DP_1","003N8EMH8GTFRIVOG7KG9IQXA","GSON1112060011")</f>
        <v>#NAME?</v>
      </c>
      <c r="N560" s="8" t="e">
        <f ca="1">[1]!BexGetData("DP_1","003N8EMH8GTFRIVOG7KG9IX8U","GSON1112060011")</f>
        <v>#NAME?</v>
      </c>
      <c r="O560" s="8" t="e">
        <f ca="1">[1]!BexGetData("DP_1","003N8EMH8GTFRIVOG7KG9J3KE","GSON1112060011")</f>
        <v>#NAME?</v>
      </c>
      <c r="P560" s="8" t="e">
        <f ca="1">[1]!BexGetData("DP_1","003N8EMH8GTFRIVOG7KG9J9VY","GSON1112060011")</f>
        <v>#NAME?</v>
      </c>
      <c r="Q560" s="4" t="e">
        <f ca="1">[1]!BexGetData("DP_1","00O2TNJGODT0G5Z4TTKYMM5MT","GSON1112060011")</f>
        <v>#NAME?</v>
      </c>
      <c r="R560" s="4" t="e">
        <f ca="1">[1]!BexGetData("DP_1","00O2TNJGODT0G5Z4TTKYMMBYD","GSON1112060011")</f>
        <v>#NAME?</v>
      </c>
      <c r="S560" s="4" t="e">
        <f ca="1">[1]!BexGetData("DP_1","00O2TNJGODT0G5Z4TTKYMMI9X","GSON1112060011")</f>
        <v>#NAME?</v>
      </c>
      <c r="T560" s="4" t="e">
        <f ca="1">[1]!BexGetData("DP_1","00O2TNJGODT0G5Z4TTKYMMOLH","GSON1112060011")</f>
        <v>#NAME?</v>
      </c>
      <c r="U560" s="4" t="e">
        <f ca="1">[1]!BexGetData("DP_1","00O2TNJGODT0G5Z4TTKYMMUX1","GSON1112060011")</f>
        <v>#NAME?</v>
      </c>
      <c r="V560" s="4" t="e">
        <f ca="1">[1]!BexGetData("DP_1","00O2TNJGODT0G5Z4TTKYMN18L","GSON1112060011")</f>
        <v>#NAME?</v>
      </c>
      <c r="W560" s="4" t="e">
        <f ca="1">[1]!BexGetData("DP_1","00O2TNJGODT0G5Z4TTKYMN7K5","GSON1112060011")</f>
        <v>#NAME?</v>
      </c>
    </row>
    <row r="561" spans="1:23" x14ac:dyDescent="0.2">
      <c r="A561" s="16" t="s">
        <v>2507</v>
      </c>
      <c r="B561" s="7" t="s">
        <v>945</v>
      </c>
      <c r="C561" s="3" t="e">
        <f ca="1">[1]!BexGetData("DP_1","003N8EMH8GTFRCSWKMPXRR8GU","GSON1112060013")</f>
        <v>#NAME?</v>
      </c>
      <c r="D561" s="3" t="e">
        <f ca="1">[1]!BexGetData("DP_1","003N8EMH8GTFRCSWKMPXRRESE","GSON1112060013")</f>
        <v>#NAME?</v>
      </c>
      <c r="E561" s="8" t="e">
        <f ca="1">[1]!BexGetData("DP_1","003N8EMH8GTFRCSWKMPXRRL3Y","GSON1112060013")</f>
        <v>#NAME?</v>
      </c>
      <c r="F561" s="4" t="e">
        <f ca="1">[1]!BexGetData("DP_1","003N8EMH8GTFRCSWKMPXRRRFI","GSON1112060013")</f>
        <v>#NAME?</v>
      </c>
      <c r="G561" s="4" t="e">
        <f ca="1">[1]!BexGetData("DP_1","003N8EMH8GTFRCSWKMPXRRXR2","GSON1112060013")</f>
        <v>#NAME?</v>
      </c>
      <c r="H561" s="4" t="e">
        <f ca="1">[1]!BexGetData("DP_1","003N8EMH8GTFRCSWKMPXRS42M","GSON1112060013")</f>
        <v>#NAME?</v>
      </c>
      <c r="I561" s="4" t="e">
        <f ca="1">[1]!BexGetData("DP_1","003N8EMH8GTFRCSWKMPXRSAE6","GSON1112060013")</f>
        <v>#NAME?</v>
      </c>
      <c r="J561" s="4" t="e">
        <f ca="1">[1]!BexGetData("DP_1","003N8EMH8GTFRCSWKMPXRSGPQ","GSON1112060013")</f>
        <v>#NAME?</v>
      </c>
      <c r="K561" s="8" t="e">
        <f ca="1">[1]!BexGetData("DP_1","003N8EMH8GTFRIVNUPY288VJH","GSON1112060013")</f>
        <v>#NAME?</v>
      </c>
      <c r="L561" s="8" t="e">
        <f ca="1">[1]!BexGetData("DP_1","003N8EMH8GTFRIVNUPY2891V1","GSON1112060013")</f>
        <v>#NAME?</v>
      </c>
      <c r="M561" s="8" t="e">
        <f ca="1">[1]!BexGetData("DP_1","003N8EMH8GTFRIVOG7KG9IQXA","GSON1112060013")</f>
        <v>#NAME?</v>
      </c>
      <c r="N561" s="8" t="e">
        <f ca="1">[1]!BexGetData("DP_1","003N8EMH8GTFRIVOG7KG9IX8U","GSON1112060013")</f>
        <v>#NAME?</v>
      </c>
      <c r="O561" s="8" t="e">
        <f ca="1">[1]!BexGetData("DP_1","003N8EMH8GTFRIVOG7KG9J3KE","GSON1112060013")</f>
        <v>#NAME?</v>
      </c>
      <c r="P561" s="8" t="e">
        <f ca="1">[1]!BexGetData("DP_1","003N8EMH8GTFRIVOG7KG9J9VY","GSON1112060013")</f>
        <v>#NAME?</v>
      </c>
      <c r="Q561" s="4" t="e">
        <f ca="1">[1]!BexGetData("DP_1","00O2TNJGODT0G5Z4TTKYMM5MT","GSON1112060013")</f>
        <v>#NAME?</v>
      </c>
      <c r="R561" s="4" t="e">
        <f ca="1">[1]!BexGetData("DP_1","00O2TNJGODT0G5Z4TTKYMMBYD","GSON1112060013")</f>
        <v>#NAME?</v>
      </c>
      <c r="S561" s="4" t="e">
        <f ca="1">[1]!BexGetData("DP_1","00O2TNJGODT0G5Z4TTKYMMI9X","GSON1112060013")</f>
        <v>#NAME?</v>
      </c>
      <c r="T561" s="4" t="e">
        <f ca="1">[1]!BexGetData("DP_1","00O2TNJGODT0G5Z4TTKYMMOLH","GSON1112060013")</f>
        <v>#NAME?</v>
      </c>
      <c r="U561" s="4" t="e">
        <f ca="1">[1]!BexGetData("DP_1","00O2TNJGODT0G5Z4TTKYMMUX1","GSON1112060013")</f>
        <v>#NAME?</v>
      </c>
      <c r="V561" s="4" t="e">
        <f ca="1">[1]!BexGetData("DP_1","00O2TNJGODT0G5Z4TTKYMN18L","GSON1112060013")</f>
        <v>#NAME?</v>
      </c>
      <c r="W561" s="4" t="e">
        <f ca="1">[1]!BexGetData("DP_1","00O2TNJGODT0G5Z4TTKYMN7K5","GSON1112060013")</f>
        <v>#NAME?</v>
      </c>
    </row>
    <row r="562" spans="1:23" x14ac:dyDescent="0.2">
      <c r="A562" s="16" t="s">
        <v>2508</v>
      </c>
      <c r="B562" s="7" t="s">
        <v>946</v>
      </c>
      <c r="C562" s="3" t="e">
        <f ca="1">[1]!BexGetData("DP_1","003N8EMH8GTFRCSWKMPXRR8GU","GSON1112060014")</f>
        <v>#NAME?</v>
      </c>
      <c r="D562" s="3" t="e">
        <f ca="1">[1]!BexGetData("DP_1","003N8EMH8GTFRCSWKMPXRRESE","GSON1112060014")</f>
        <v>#NAME?</v>
      </c>
      <c r="E562" s="8" t="e">
        <f ca="1">[1]!BexGetData("DP_1","003N8EMH8GTFRCSWKMPXRRL3Y","GSON1112060014")</f>
        <v>#NAME?</v>
      </c>
      <c r="F562" s="4" t="e">
        <f ca="1">[1]!BexGetData("DP_1","003N8EMH8GTFRCSWKMPXRRRFI","GSON1112060014")</f>
        <v>#NAME?</v>
      </c>
      <c r="G562" s="4" t="e">
        <f ca="1">[1]!BexGetData("DP_1","003N8EMH8GTFRCSWKMPXRRXR2","GSON1112060014")</f>
        <v>#NAME?</v>
      </c>
      <c r="H562" s="4" t="e">
        <f ca="1">[1]!BexGetData("DP_1","003N8EMH8GTFRCSWKMPXRS42M","GSON1112060014")</f>
        <v>#NAME?</v>
      </c>
      <c r="I562" s="4" t="e">
        <f ca="1">[1]!BexGetData("DP_1","003N8EMH8GTFRCSWKMPXRSAE6","GSON1112060014")</f>
        <v>#NAME?</v>
      </c>
      <c r="J562" s="4" t="e">
        <f ca="1">[1]!BexGetData("DP_1","003N8EMH8GTFRCSWKMPXRSGPQ","GSON1112060014")</f>
        <v>#NAME?</v>
      </c>
      <c r="K562" s="8" t="e">
        <f ca="1">[1]!BexGetData("DP_1","003N8EMH8GTFRIVNUPY288VJH","GSON1112060014")</f>
        <v>#NAME?</v>
      </c>
      <c r="L562" s="8" t="e">
        <f ca="1">[1]!BexGetData("DP_1","003N8EMH8GTFRIVNUPY2891V1","GSON1112060014")</f>
        <v>#NAME?</v>
      </c>
      <c r="M562" s="8" t="e">
        <f ca="1">[1]!BexGetData("DP_1","003N8EMH8GTFRIVOG7KG9IQXA","GSON1112060014")</f>
        <v>#NAME?</v>
      </c>
      <c r="N562" s="8" t="e">
        <f ca="1">[1]!BexGetData("DP_1","003N8EMH8GTFRIVOG7KG9IX8U","GSON1112060014")</f>
        <v>#NAME?</v>
      </c>
      <c r="O562" s="8" t="e">
        <f ca="1">[1]!BexGetData("DP_1","003N8EMH8GTFRIVOG7KG9J3KE","GSON1112060014")</f>
        <v>#NAME?</v>
      </c>
      <c r="P562" s="8" t="e">
        <f ca="1">[1]!BexGetData("DP_1","003N8EMH8GTFRIVOG7KG9J9VY","GSON1112060014")</f>
        <v>#NAME?</v>
      </c>
      <c r="Q562" s="4" t="e">
        <f ca="1">[1]!BexGetData("DP_1","00O2TNJGODT0G5Z4TTKYMM5MT","GSON1112060014")</f>
        <v>#NAME?</v>
      </c>
      <c r="R562" s="4" t="e">
        <f ca="1">[1]!BexGetData("DP_1","00O2TNJGODT0G5Z4TTKYMMBYD","GSON1112060014")</f>
        <v>#NAME?</v>
      </c>
      <c r="S562" s="4" t="e">
        <f ca="1">[1]!BexGetData("DP_1","00O2TNJGODT0G5Z4TTKYMMI9X","GSON1112060014")</f>
        <v>#NAME?</v>
      </c>
      <c r="T562" s="4" t="e">
        <f ca="1">[1]!BexGetData("DP_1","00O2TNJGODT0G5Z4TTKYMMOLH","GSON1112060014")</f>
        <v>#NAME?</v>
      </c>
      <c r="U562" s="4" t="e">
        <f ca="1">[1]!BexGetData("DP_1","00O2TNJGODT0G5Z4TTKYMMUX1","GSON1112060014")</f>
        <v>#NAME?</v>
      </c>
      <c r="V562" s="4" t="e">
        <f ca="1">[1]!BexGetData("DP_1","00O2TNJGODT0G5Z4TTKYMN18L","GSON1112060014")</f>
        <v>#NAME?</v>
      </c>
      <c r="W562" s="4" t="e">
        <f ca="1">[1]!BexGetData("DP_1","00O2TNJGODT0G5Z4TTKYMN7K5","GSON1112060014")</f>
        <v>#NAME?</v>
      </c>
    </row>
    <row r="563" spans="1:23" x14ac:dyDescent="0.2">
      <c r="A563" s="16" t="s">
        <v>2509</v>
      </c>
      <c r="B563" s="7" t="s">
        <v>947</v>
      </c>
      <c r="C563" s="3" t="e">
        <f ca="1">[1]!BexGetData("DP_1","003N8EMH8GTFRCSWKMPXRR8GU","GSON1112060015")</f>
        <v>#NAME?</v>
      </c>
      <c r="D563" s="3" t="e">
        <f ca="1">[1]!BexGetData("DP_1","003N8EMH8GTFRCSWKMPXRRESE","GSON1112060015")</f>
        <v>#NAME?</v>
      </c>
      <c r="E563" s="8" t="e">
        <f ca="1">[1]!BexGetData("DP_1","003N8EMH8GTFRCSWKMPXRRL3Y","GSON1112060015")</f>
        <v>#NAME?</v>
      </c>
      <c r="F563" s="4" t="e">
        <f ca="1">[1]!BexGetData("DP_1","003N8EMH8GTFRCSWKMPXRRRFI","GSON1112060015")</f>
        <v>#NAME?</v>
      </c>
      <c r="G563" s="4" t="e">
        <f ca="1">[1]!BexGetData("DP_1","003N8EMH8GTFRCSWKMPXRRXR2","GSON1112060015")</f>
        <v>#NAME?</v>
      </c>
      <c r="H563" s="4" t="e">
        <f ca="1">[1]!BexGetData("DP_1","003N8EMH8GTFRCSWKMPXRS42M","GSON1112060015")</f>
        <v>#NAME?</v>
      </c>
      <c r="I563" s="4" t="e">
        <f ca="1">[1]!BexGetData("DP_1","003N8EMH8GTFRCSWKMPXRSAE6","GSON1112060015")</f>
        <v>#NAME?</v>
      </c>
      <c r="J563" s="4" t="e">
        <f ca="1">[1]!BexGetData("DP_1","003N8EMH8GTFRCSWKMPXRSGPQ","GSON1112060015")</f>
        <v>#NAME?</v>
      </c>
      <c r="K563" s="8" t="e">
        <f ca="1">[1]!BexGetData("DP_1","003N8EMH8GTFRIVNUPY288VJH","GSON1112060015")</f>
        <v>#NAME?</v>
      </c>
      <c r="L563" s="8" t="e">
        <f ca="1">[1]!BexGetData("DP_1","003N8EMH8GTFRIVNUPY2891V1","GSON1112060015")</f>
        <v>#NAME?</v>
      </c>
      <c r="M563" s="8" t="e">
        <f ca="1">[1]!BexGetData("DP_1","003N8EMH8GTFRIVOG7KG9IQXA","GSON1112060015")</f>
        <v>#NAME?</v>
      </c>
      <c r="N563" s="8" t="e">
        <f ca="1">[1]!BexGetData("DP_1","003N8EMH8GTFRIVOG7KG9IX8U","GSON1112060015")</f>
        <v>#NAME?</v>
      </c>
      <c r="O563" s="8" t="e">
        <f ca="1">[1]!BexGetData("DP_1","003N8EMH8GTFRIVOG7KG9J3KE","GSON1112060015")</f>
        <v>#NAME?</v>
      </c>
      <c r="P563" s="8" t="e">
        <f ca="1">[1]!BexGetData("DP_1","003N8EMH8GTFRIVOG7KG9J9VY","GSON1112060015")</f>
        <v>#NAME?</v>
      </c>
      <c r="Q563" s="4" t="e">
        <f ca="1">[1]!BexGetData("DP_1","00O2TNJGODT0G5Z4TTKYMM5MT","GSON1112060015")</f>
        <v>#NAME?</v>
      </c>
      <c r="R563" s="4" t="e">
        <f ca="1">[1]!BexGetData("DP_1","00O2TNJGODT0G5Z4TTKYMMBYD","GSON1112060015")</f>
        <v>#NAME?</v>
      </c>
      <c r="S563" s="4" t="e">
        <f ca="1">[1]!BexGetData("DP_1","00O2TNJGODT0G5Z4TTKYMMI9X","GSON1112060015")</f>
        <v>#NAME?</v>
      </c>
      <c r="T563" s="4" t="e">
        <f ca="1">[1]!BexGetData("DP_1","00O2TNJGODT0G5Z4TTKYMMOLH","GSON1112060015")</f>
        <v>#NAME?</v>
      </c>
      <c r="U563" s="4" t="e">
        <f ca="1">[1]!BexGetData("DP_1","00O2TNJGODT0G5Z4TTKYMMUX1","GSON1112060015")</f>
        <v>#NAME?</v>
      </c>
      <c r="V563" s="4" t="e">
        <f ca="1">[1]!BexGetData("DP_1","00O2TNJGODT0G5Z4TTKYMN18L","GSON1112060015")</f>
        <v>#NAME?</v>
      </c>
      <c r="W563" s="4" t="e">
        <f ca="1">[1]!BexGetData("DP_1","00O2TNJGODT0G5Z4TTKYMN7K5","GSON1112060015")</f>
        <v>#NAME?</v>
      </c>
    </row>
    <row r="564" spans="1:23" x14ac:dyDescent="0.2">
      <c r="A564" s="16" t="s">
        <v>2510</v>
      </c>
      <c r="B564" s="7" t="s">
        <v>2511</v>
      </c>
      <c r="C564" s="3" t="e">
        <f ca="1">[1]!BexGetData("DP_1","003N8EMH8GTFRCSWKMPXRR8GU","GSON1112060020")</f>
        <v>#NAME?</v>
      </c>
      <c r="D564" s="3" t="e">
        <f ca="1">[1]!BexGetData("DP_1","003N8EMH8GTFRCSWKMPXRRESE","GSON1112060020")</f>
        <v>#NAME?</v>
      </c>
      <c r="E564" s="3" t="e">
        <f ca="1">[1]!BexGetData("DP_1","003N8EMH8GTFRCSWKMPXRRL3Y","GSON1112060020")</f>
        <v>#NAME?</v>
      </c>
      <c r="F564" s="3" t="e">
        <f ca="1">[1]!BexGetData("DP_1","003N8EMH8GTFRCSWKMPXRRRFI","GSON1112060020")</f>
        <v>#NAME?</v>
      </c>
      <c r="G564" s="3" t="e">
        <f ca="1">[1]!BexGetData("DP_1","003N8EMH8GTFRCSWKMPXRRXR2","GSON1112060020")</f>
        <v>#NAME?</v>
      </c>
      <c r="H564" s="8" t="e">
        <f ca="1">[1]!BexGetData("DP_1","003N8EMH8GTFRCSWKMPXRS42M","GSON1112060020")</f>
        <v>#NAME?</v>
      </c>
      <c r="I564" s="3" t="e">
        <f ca="1">[1]!BexGetData("DP_1","003N8EMH8GTFRCSWKMPXRSAE6","GSON1112060020")</f>
        <v>#NAME?</v>
      </c>
      <c r="J564" s="4" t="e">
        <f ca="1">[1]!BexGetData("DP_1","003N8EMH8GTFRCSWKMPXRSGPQ","GSON1112060020")</f>
        <v>#NAME?</v>
      </c>
      <c r="K564" s="3" t="e">
        <f ca="1">[1]!BexGetData("DP_1","003N8EMH8GTFRIVNUPY288VJH","GSON1112060020")</f>
        <v>#NAME?</v>
      </c>
      <c r="L564" s="3" t="e">
        <f ca="1">[1]!BexGetData("DP_1","003N8EMH8GTFRIVNUPY2891V1","GSON1112060020")</f>
        <v>#NAME?</v>
      </c>
      <c r="M564" s="3" t="e">
        <f ca="1">[1]!BexGetData("DP_1","003N8EMH8GTFRIVOG7KG9IQXA","GSON1112060020")</f>
        <v>#NAME?</v>
      </c>
      <c r="N564" s="8" t="e">
        <f ca="1">[1]!BexGetData("DP_1","003N8EMH8GTFRIVOG7KG9IX8U","GSON1112060020")</f>
        <v>#NAME?</v>
      </c>
      <c r="O564" s="3" t="e">
        <f ca="1">[1]!BexGetData("DP_1","003N8EMH8GTFRIVOG7KG9J3KE","GSON1112060020")</f>
        <v>#NAME?</v>
      </c>
      <c r="P564" s="8" t="e">
        <f ca="1">[1]!BexGetData("DP_1","003N8EMH8GTFRIVOG7KG9J9VY","GSON1112060020")</f>
        <v>#NAME?</v>
      </c>
      <c r="Q564" s="4" t="e">
        <f ca="1">[1]!BexGetData("DP_1","00O2TNJGODT0G5Z4TTKYMM5MT","GSON1112060020")</f>
        <v>#NAME?</v>
      </c>
      <c r="R564" s="3" t="e">
        <f ca="1">[1]!BexGetData("DP_1","00O2TNJGODT0G5Z4TTKYMMBYD","GSON1112060020")</f>
        <v>#NAME?</v>
      </c>
      <c r="S564" s="3" t="e">
        <f ca="1">[1]!BexGetData("DP_1","00O2TNJGODT0G5Z4TTKYMMI9X","GSON1112060020")</f>
        <v>#NAME?</v>
      </c>
      <c r="T564" s="8" t="e">
        <f ca="1">[1]!BexGetData("DP_1","00O2TNJGODT0G5Z4TTKYMMOLH","GSON1112060020")</f>
        <v>#NAME?</v>
      </c>
      <c r="U564" s="3" t="e">
        <f ca="1">[1]!BexGetData("DP_1","00O2TNJGODT0G5Z4TTKYMMUX1","GSON1112060020")</f>
        <v>#NAME?</v>
      </c>
      <c r="V564" s="8" t="e">
        <f ca="1">[1]!BexGetData("DP_1","00O2TNJGODT0G5Z4TTKYMN18L","GSON1112060020")</f>
        <v>#NAME?</v>
      </c>
      <c r="W564" s="3" t="e">
        <f ca="1">[1]!BexGetData("DP_1","00O2TNJGODT0G5Z4TTKYMN7K5","GSON1112060020")</f>
        <v>#NAME?</v>
      </c>
    </row>
    <row r="565" spans="1:23" x14ac:dyDescent="0.2">
      <c r="A565" s="16" t="s">
        <v>948</v>
      </c>
      <c r="B565" s="7" t="s">
        <v>949</v>
      </c>
      <c r="C565" s="3" t="e">
        <f ca="1">[1]!BexGetData("DP_1","003N8EMH8GTFRCSWKMPXRR8GU","GSON1112060021")</f>
        <v>#NAME?</v>
      </c>
      <c r="D565" s="3" t="e">
        <f ca="1">[1]!BexGetData("DP_1","003N8EMH8GTFRCSWKMPXRRESE","GSON1112060021")</f>
        <v>#NAME?</v>
      </c>
      <c r="E565" s="8" t="e">
        <f ca="1">[1]!BexGetData("DP_1","003N8EMH8GTFRCSWKMPXRRL3Y","GSON1112060021")</f>
        <v>#NAME?</v>
      </c>
      <c r="F565" s="4" t="e">
        <f ca="1">[1]!BexGetData("DP_1","003N8EMH8GTFRCSWKMPXRRRFI","GSON1112060021")</f>
        <v>#NAME?</v>
      </c>
      <c r="G565" s="4" t="e">
        <f ca="1">[1]!BexGetData("DP_1","003N8EMH8GTFRCSWKMPXRRXR2","GSON1112060021")</f>
        <v>#NAME?</v>
      </c>
      <c r="H565" s="4" t="e">
        <f ca="1">[1]!BexGetData("DP_1","003N8EMH8GTFRCSWKMPXRS42M","GSON1112060021")</f>
        <v>#NAME?</v>
      </c>
      <c r="I565" s="4" t="e">
        <f ca="1">[1]!BexGetData("DP_1","003N8EMH8GTFRCSWKMPXRSAE6","GSON1112060021")</f>
        <v>#NAME?</v>
      </c>
      <c r="J565" s="4" t="e">
        <f ca="1">[1]!BexGetData("DP_1","003N8EMH8GTFRCSWKMPXRSGPQ","GSON1112060021")</f>
        <v>#NAME?</v>
      </c>
      <c r="K565" s="8" t="e">
        <f ca="1">[1]!BexGetData("DP_1","003N8EMH8GTFRIVNUPY288VJH","GSON1112060021")</f>
        <v>#NAME?</v>
      </c>
      <c r="L565" s="8" t="e">
        <f ca="1">[1]!BexGetData("DP_1","003N8EMH8GTFRIVNUPY2891V1","GSON1112060021")</f>
        <v>#NAME?</v>
      </c>
      <c r="M565" s="8" t="e">
        <f ca="1">[1]!BexGetData("DP_1","003N8EMH8GTFRIVOG7KG9IQXA","GSON1112060021")</f>
        <v>#NAME?</v>
      </c>
      <c r="N565" s="8" t="e">
        <f ca="1">[1]!BexGetData("DP_1","003N8EMH8GTFRIVOG7KG9IX8U","GSON1112060021")</f>
        <v>#NAME?</v>
      </c>
      <c r="O565" s="8" t="e">
        <f ca="1">[1]!BexGetData("DP_1","003N8EMH8GTFRIVOG7KG9J3KE","GSON1112060021")</f>
        <v>#NAME?</v>
      </c>
      <c r="P565" s="8" t="e">
        <f ca="1">[1]!BexGetData("DP_1","003N8EMH8GTFRIVOG7KG9J9VY","GSON1112060021")</f>
        <v>#NAME?</v>
      </c>
      <c r="Q565" s="4" t="e">
        <f ca="1">[1]!BexGetData("DP_1","00O2TNJGODT0G5Z4TTKYMM5MT","GSON1112060021")</f>
        <v>#NAME?</v>
      </c>
      <c r="R565" s="4" t="e">
        <f ca="1">[1]!BexGetData("DP_1","00O2TNJGODT0G5Z4TTKYMMBYD","GSON1112060021")</f>
        <v>#NAME?</v>
      </c>
      <c r="S565" s="4" t="e">
        <f ca="1">[1]!BexGetData("DP_1","00O2TNJGODT0G5Z4TTKYMMI9X","GSON1112060021")</f>
        <v>#NAME?</v>
      </c>
      <c r="T565" s="4" t="e">
        <f ca="1">[1]!BexGetData("DP_1","00O2TNJGODT0G5Z4TTKYMMOLH","GSON1112060021")</f>
        <v>#NAME?</v>
      </c>
      <c r="U565" s="4" t="e">
        <f ca="1">[1]!BexGetData("DP_1","00O2TNJGODT0G5Z4TTKYMMUX1","GSON1112060021")</f>
        <v>#NAME?</v>
      </c>
      <c r="V565" s="4" t="e">
        <f ca="1">[1]!BexGetData("DP_1","00O2TNJGODT0G5Z4TTKYMN18L","GSON1112060021")</f>
        <v>#NAME?</v>
      </c>
      <c r="W565" s="4" t="e">
        <f ca="1">[1]!BexGetData("DP_1","00O2TNJGODT0G5Z4TTKYMN7K5","GSON1112060021")</f>
        <v>#NAME?</v>
      </c>
    </row>
    <row r="566" spans="1:23" x14ac:dyDescent="0.2">
      <c r="A566" s="16" t="s">
        <v>950</v>
      </c>
      <c r="B566" s="7" t="s">
        <v>951</v>
      </c>
      <c r="C566" s="3" t="e">
        <f ca="1">[1]!BexGetData("DP_1","003N8EMH8GTFRCSWKMPXRR8GU","GSON1112060023")</f>
        <v>#NAME?</v>
      </c>
      <c r="D566" s="3" t="e">
        <f ca="1">[1]!BexGetData("DP_1","003N8EMH8GTFRCSWKMPXRRESE","GSON1112060023")</f>
        <v>#NAME?</v>
      </c>
      <c r="E566" s="8" t="e">
        <f ca="1">[1]!BexGetData("DP_1","003N8EMH8GTFRCSWKMPXRRL3Y","GSON1112060023")</f>
        <v>#NAME?</v>
      </c>
      <c r="F566" s="3" t="e">
        <f ca="1">[1]!BexGetData("DP_1","003N8EMH8GTFRCSWKMPXRRRFI","GSON1112060023")</f>
        <v>#NAME?</v>
      </c>
      <c r="G566" s="3" t="e">
        <f ca="1">[1]!BexGetData("DP_1","003N8EMH8GTFRCSWKMPXRRXR2","GSON1112060023")</f>
        <v>#NAME?</v>
      </c>
      <c r="H566" s="3" t="e">
        <f ca="1">[1]!BexGetData("DP_1","003N8EMH8GTFRCSWKMPXRS42M","GSON1112060023")</f>
        <v>#NAME?</v>
      </c>
      <c r="I566" s="3" t="e">
        <f ca="1">[1]!BexGetData("DP_1","003N8EMH8GTFRCSWKMPXRSAE6","GSON1112060023")</f>
        <v>#NAME?</v>
      </c>
      <c r="J566" s="4" t="e">
        <f ca="1">[1]!BexGetData("DP_1","003N8EMH8GTFRCSWKMPXRSGPQ","GSON1112060023")</f>
        <v>#NAME?</v>
      </c>
      <c r="K566" s="3" t="e">
        <f ca="1">[1]!BexGetData("DP_1","003N8EMH8GTFRIVNUPY288VJH","GSON1112060023")</f>
        <v>#NAME?</v>
      </c>
      <c r="L566" s="3" t="e">
        <f ca="1">[1]!BexGetData("DP_1","003N8EMH8GTFRIVNUPY2891V1","GSON1112060023")</f>
        <v>#NAME?</v>
      </c>
      <c r="M566" s="8" t="e">
        <f ca="1">[1]!BexGetData("DP_1","003N8EMH8GTFRIVOG7KG9IQXA","GSON1112060023")</f>
        <v>#NAME?</v>
      </c>
      <c r="N566" s="3" t="e">
        <f ca="1">[1]!BexGetData("DP_1","003N8EMH8GTFRIVOG7KG9IX8U","GSON1112060023")</f>
        <v>#NAME?</v>
      </c>
      <c r="O566" s="8" t="e">
        <f ca="1">[1]!BexGetData("DP_1","003N8EMH8GTFRIVOG7KG9J3KE","GSON1112060023")</f>
        <v>#NAME?</v>
      </c>
      <c r="P566" s="3" t="e">
        <f ca="1">[1]!BexGetData("DP_1","003N8EMH8GTFRIVOG7KG9J9VY","GSON1112060023")</f>
        <v>#NAME?</v>
      </c>
      <c r="Q566" s="4" t="e">
        <f ca="1">[1]!BexGetData("DP_1","00O2TNJGODT0G5Z4TTKYMM5MT","GSON1112060023")</f>
        <v>#NAME?</v>
      </c>
      <c r="R566" s="3" t="e">
        <f ca="1">[1]!BexGetData("DP_1","00O2TNJGODT0G5Z4TTKYMMBYD","GSON1112060023")</f>
        <v>#NAME?</v>
      </c>
      <c r="S566" s="3" t="e">
        <f ca="1">[1]!BexGetData("DP_1","00O2TNJGODT0G5Z4TTKYMMI9X","GSON1112060023")</f>
        <v>#NAME?</v>
      </c>
      <c r="T566" s="3" t="e">
        <f ca="1">[1]!BexGetData("DP_1","00O2TNJGODT0G5Z4TTKYMMOLH","GSON1112060023")</f>
        <v>#NAME?</v>
      </c>
      <c r="U566" s="8" t="e">
        <f ca="1">[1]!BexGetData("DP_1","00O2TNJGODT0G5Z4TTKYMMUX1","GSON1112060023")</f>
        <v>#NAME?</v>
      </c>
      <c r="V566" s="3" t="e">
        <f ca="1">[1]!BexGetData("DP_1","00O2TNJGODT0G5Z4TTKYMN18L","GSON1112060023")</f>
        <v>#NAME?</v>
      </c>
      <c r="W566" s="8" t="e">
        <f ca="1">[1]!BexGetData("DP_1","00O2TNJGODT0G5Z4TTKYMN7K5","GSON1112060023")</f>
        <v>#NAME?</v>
      </c>
    </row>
    <row r="567" spans="1:23" x14ac:dyDescent="0.2">
      <c r="A567" s="16" t="s">
        <v>2512</v>
      </c>
      <c r="B567" s="7" t="s">
        <v>2513</v>
      </c>
      <c r="C567" s="3" t="e">
        <f ca="1">[1]!BexGetData("DP_1","003N8EMH8GTFRCSWKMPXRR8GU","GSON1112060024")</f>
        <v>#NAME?</v>
      </c>
      <c r="D567" s="3" t="e">
        <f ca="1">[1]!BexGetData("DP_1","003N8EMH8GTFRCSWKMPXRRESE","GSON1112060024")</f>
        <v>#NAME?</v>
      </c>
      <c r="E567" s="8" t="e">
        <f ca="1">[1]!BexGetData("DP_1","003N8EMH8GTFRCSWKMPXRRL3Y","GSON1112060024")</f>
        <v>#NAME?</v>
      </c>
      <c r="F567" s="4" t="e">
        <f ca="1">[1]!BexGetData("DP_1","003N8EMH8GTFRCSWKMPXRRRFI","GSON1112060024")</f>
        <v>#NAME?</v>
      </c>
      <c r="G567" s="4" t="e">
        <f ca="1">[1]!BexGetData("DP_1","003N8EMH8GTFRCSWKMPXRRXR2","GSON1112060024")</f>
        <v>#NAME?</v>
      </c>
      <c r="H567" s="4" t="e">
        <f ca="1">[1]!BexGetData("DP_1","003N8EMH8GTFRCSWKMPXRS42M","GSON1112060024")</f>
        <v>#NAME?</v>
      </c>
      <c r="I567" s="4" t="e">
        <f ca="1">[1]!BexGetData("DP_1","003N8EMH8GTFRCSWKMPXRSAE6","GSON1112060024")</f>
        <v>#NAME?</v>
      </c>
      <c r="J567" s="4" t="e">
        <f ca="1">[1]!BexGetData("DP_1","003N8EMH8GTFRCSWKMPXRSGPQ","GSON1112060024")</f>
        <v>#NAME?</v>
      </c>
      <c r="K567" s="8" t="e">
        <f ca="1">[1]!BexGetData("DP_1","003N8EMH8GTFRIVNUPY288VJH","GSON1112060024")</f>
        <v>#NAME?</v>
      </c>
      <c r="L567" s="8" t="e">
        <f ca="1">[1]!BexGetData("DP_1","003N8EMH8GTFRIVNUPY2891V1","GSON1112060024")</f>
        <v>#NAME?</v>
      </c>
      <c r="M567" s="8" t="e">
        <f ca="1">[1]!BexGetData("DP_1","003N8EMH8GTFRIVOG7KG9IQXA","GSON1112060024")</f>
        <v>#NAME?</v>
      </c>
      <c r="N567" s="8" t="e">
        <f ca="1">[1]!BexGetData("DP_1","003N8EMH8GTFRIVOG7KG9IX8U","GSON1112060024")</f>
        <v>#NAME?</v>
      </c>
      <c r="O567" s="8" t="e">
        <f ca="1">[1]!BexGetData("DP_1","003N8EMH8GTFRIVOG7KG9J3KE","GSON1112060024")</f>
        <v>#NAME?</v>
      </c>
      <c r="P567" s="8" t="e">
        <f ca="1">[1]!BexGetData("DP_1","003N8EMH8GTFRIVOG7KG9J9VY","GSON1112060024")</f>
        <v>#NAME?</v>
      </c>
      <c r="Q567" s="4" t="e">
        <f ca="1">[1]!BexGetData("DP_1","00O2TNJGODT0G5Z4TTKYMM5MT","GSON1112060024")</f>
        <v>#NAME?</v>
      </c>
      <c r="R567" s="4" t="e">
        <f ca="1">[1]!BexGetData("DP_1","00O2TNJGODT0G5Z4TTKYMMBYD","GSON1112060024")</f>
        <v>#NAME?</v>
      </c>
      <c r="S567" s="4" t="e">
        <f ca="1">[1]!BexGetData("DP_1","00O2TNJGODT0G5Z4TTKYMMI9X","GSON1112060024")</f>
        <v>#NAME?</v>
      </c>
      <c r="T567" s="4" t="e">
        <f ca="1">[1]!BexGetData("DP_1","00O2TNJGODT0G5Z4TTKYMMOLH","GSON1112060024")</f>
        <v>#NAME?</v>
      </c>
      <c r="U567" s="4" t="e">
        <f ca="1">[1]!BexGetData("DP_1","00O2TNJGODT0G5Z4TTKYMMUX1","GSON1112060024")</f>
        <v>#NAME?</v>
      </c>
      <c r="V567" s="4" t="e">
        <f ca="1">[1]!BexGetData("DP_1","00O2TNJGODT0G5Z4TTKYMN18L","GSON1112060024")</f>
        <v>#NAME?</v>
      </c>
      <c r="W567" s="4" t="e">
        <f ca="1">[1]!BexGetData("DP_1","00O2TNJGODT0G5Z4TTKYMN7K5","GSON1112060024")</f>
        <v>#NAME?</v>
      </c>
    </row>
    <row r="568" spans="1:23" x14ac:dyDescent="0.2">
      <c r="A568" s="16" t="s">
        <v>2514</v>
      </c>
      <c r="B568" s="7" t="s">
        <v>2515</v>
      </c>
      <c r="C568" s="3" t="e">
        <f ca="1">[1]!BexGetData("DP_1","003N8EMH8GTFRCSWKMPXRR8GU","GSON1112060025")</f>
        <v>#NAME?</v>
      </c>
      <c r="D568" s="3" t="e">
        <f ca="1">[1]!BexGetData("DP_1","003N8EMH8GTFRCSWKMPXRRESE","GSON1112060025")</f>
        <v>#NAME?</v>
      </c>
      <c r="E568" s="8" t="e">
        <f ca="1">[1]!BexGetData("DP_1","003N8EMH8GTFRCSWKMPXRRL3Y","GSON1112060025")</f>
        <v>#NAME?</v>
      </c>
      <c r="F568" s="4" t="e">
        <f ca="1">[1]!BexGetData("DP_1","003N8EMH8GTFRCSWKMPXRRRFI","GSON1112060025")</f>
        <v>#NAME?</v>
      </c>
      <c r="G568" s="4" t="e">
        <f ca="1">[1]!BexGetData("DP_1","003N8EMH8GTFRCSWKMPXRRXR2","GSON1112060025")</f>
        <v>#NAME?</v>
      </c>
      <c r="H568" s="4" t="e">
        <f ca="1">[1]!BexGetData("DP_1","003N8EMH8GTFRCSWKMPXRS42M","GSON1112060025")</f>
        <v>#NAME?</v>
      </c>
      <c r="I568" s="4" t="e">
        <f ca="1">[1]!BexGetData("DP_1","003N8EMH8GTFRCSWKMPXRSAE6","GSON1112060025")</f>
        <v>#NAME?</v>
      </c>
      <c r="J568" s="4" t="e">
        <f ca="1">[1]!BexGetData("DP_1","003N8EMH8GTFRCSWKMPXRSGPQ","GSON1112060025")</f>
        <v>#NAME?</v>
      </c>
      <c r="K568" s="8" t="e">
        <f ca="1">[1]!BexGetData("DP_1","003N8EMH8GTFRIVNUPY288VJH","GSON1112060025")</f>
        <v>#NAME?</v>
      </c>
      <c r="L568" s="8" t="e">
        <f ca="1">[1]!BexGetData("DP_1","003N8EMH8GTFRIVNUPY2891V1","GSON1112060025")</f>
        <v>#NAME?</v>
      </c>
      <c r="M568" s="8" t="e">
        <f ca="1">[1]!BexGetData("DP_1","003N8EMH8GTFRIVOG7KG9IQXA","GSON1112060025")</f>
        <v>#NAME?</v>
      </c>
      <c r="N568" s="8" t="e">
        <f ca="1">[1]!BexGetData("DP_1","003N8EMH8GTFRIVOG7KG9IX8U","GSON1112060025")</f>
        <v>#NAME?</v>
      </c>
      <c r="O568" s="8" t="e">
        <f ca="1">[1]!BexGetData("DP_1","003N8EMH8GTFRIVOG7KG9J3KE","GSON1112060025")</f>
        <v>#NAME?</v>
      </c>
      <c r="P568" s="8" t="e">
        <f ca="1">[1]!BexGetData("DP_1","003N8EMH8GTFRIVOG7KG9J9VY","GSON1112060025")</f>
        <v>#NAME?</v>
      </c>
      <c r="Q568" s="4" t="e">
        <f ca="1">[1]!BexGetData("DP_1","00O2TNJGODT0G5Z4TTKYMM5MT","GSON1112060025")</f>
        <v>#NAME?</v>
      </c>
      <c r="R568" s="4" t="e">
        <f ca="1">[1]!BexGetData("DP_1","00O2TNJGODT0G5Z4TTKYMMBYD","GSON1112060025")</f>
        <v>#NAME?</v>
      </c>
      <c r="S568" s="4" t="e">
        <f ca="1">[1]!BexGetData("DP_1","00O2TNJGODT0G5Z4TTKYMMI9X","GSON1112060025")</f>
        <v>#NAME?</v>
      </c>
      <c r="T568" s="4" t="e">
        <f ca="1">[1]!BexGetData("DP_1","00O2TNJGODT0G5Z4TTKYMMOLH","GSON1112060025")</f>
        <v>#NAME?</v>
      </c>
      <c r="U568" s="4" t="e">
        <f ca="1">[1]!BexGetData("DP_1","00O2TNJGODT0G5Z4TTKYMMUX1","GSON1112060025")</f>
        <v>#NAME?</v>
      </c>
      <c r="V568" s="4" t="e">
        <f ca="1">[1]!BexGetData("DP_1","00O2TNJGODT0G5Z4TTKYMN18L","GSON1112060025")</f>
        <v>#NAME?</v>
      </c>
      <c r="W568" s="4" t="e">
        <f ca="1">[1]!BexGetData("DP_1","00O2TNJGODT0G5Z4TTKYMN7K5","GSON1112060025")</f>
        <v>#NAME?</v>
      </c>
    </row>
    <row r="569" spans="1:23" x14ac:dyDescent="0.2">
      <c r="A569" s="16" t="s">
        <v>2516</v>
      </c>
      <c r="B569" s="7" t="s">
        <v>2517</v>
      </c>
      <c r="C569" s="3" t="e">
        <f ca="1">[1]!BexGetData("DP_1","003N8EMH8GTFRCSWKMPXRR8GU","GSON1112060030")</f>
        <v>#NAME?</v>
      </c>
      <c r="D569" s="3" t="e">
        <f ca="1">[1]!BexGetData("DP_1","003N8EMH8GTFRCSWKMPXRRESE","GSON1112060030")</f>
        <v>#NAME?</v>
      </c>
      <c r="E569" s="3" t="e">
        <f ca="1">[1]!BexGetData("DP_1","003N8EMH8GTFRCSWKMPXRRL3Y","GSON1112060030")</f>
        <v>#NAME?</v>
      </c>
      <c r="F569" s="3" t="e">
        <f ca="1">[1]!BexGetData("DP_1","003N8EMH8GTFRCSWKMPXRRRFI","GSON1112060030")</f>
        <v>#NAME?</v>
      </c>
      <c r="G569" s="3" t="e">
        <f ca="1">[1]!BexGetData("DP_1","003N8EMH8GTFRCSWKMPXRRXR2","GSON1112060030")</f>
        <v>#NAME?</v>
      </c>
      <c r="H569" s="8" t="e">
        <f ca="1">[1]!BexGetData("DP_1","003N8EMH8GTFRCSWKMPXRS42M","GSON1112060030")</f>
        <v>#NAME?</v>
      </c>
      <c r="I569" s="3" t="e">
        <f ca="1">[1]!BexGetData("DP_1","003N8EMH8GTFRCSWKMPXRSAE6","GSON1112060030")</f>
        <v>#NAME?</v>
      </c>
      <c r="J569" s="4" t="e">
        <f ca="1">[1]!BexGetData("DP_1","003N8EMH8GTFRCSWKMPXRSGPQ","GSON1112060030")</f>
        <v>#NAME?</v>
      </c>
      <c r="K569" s="3" t="e">
        <f ca="1">[1]!BexGetData("DP_1","003N8EMH8GTFRIVNUPY288VJH","GSON1112060030")</f>
        <v>#NAME?</v>
      </c>
      <c r="L569" s="3" t="e">
        <f ca="1">[1]!BexGetData("DP_1","003N8EMH8GTFRIVNUPY2891V1","GSON1112060030")</f>
        <v>#NAME?</v>
      </c>
      <c r="M569" s="8" t="e">
        <f ca="1">[1]!BexGetData("DP_1","003N8EMH8GTFRIVOG7KG9IQXA","GSON1112060030")</f>
        <v>#NAME?</v>
      </c>
      <c r="N569" s="3" t="e">
        <f ca="1">[1]!BexGetData("DP_1","003N8EMH8GTFRIVOG7KG9IX8U","GSON1112060030")</f>
        <v>#NAME?</v>
      </c>
      <c r="O569" s="8" t="e">
        <f ca="1">[1]!BexGetData("DP_1","003N8EMH8GTFRIVOG7KG9J3KE","GSON1112060030")</f>
        <v>#NAME?</v>
      </c>
      <c r="P569" s="3" t="e">
        <f ca="1">[1]!BexGetData("DP_1","003N8EMH8GTFRIVOG7KG9J9VY","GSON1112060030")</f>
        <v>#NAME?</v>
      </c>
      <c r="Q569" s="4" t="e">
        <f ca="1">[1]!BexGetData("DP_1","00O2TNJGODT0G5Z4TTKYMM5MT","GSON1112060030")</f>
        <v>#NAME?</v>
      </c>
      <c r="R569" s="3" t="e">
        <f ca="1">[1]!BexGetData("DP_1","00O2TNJGODT0G5Z4TTKYMMBYD","GSON1112060030")</f>
        <v>#NAME?</v>
      </c>
      <c r="S569" s="3" t="e">
        <f ca="1">[1]!BexGetData("DP_1","00O2TNJGODT0G5Z4TTKYMMI9X","GSON1112060030")</f>
        <v>#NAME?</v>
      </c>
      <c r="T569" s="8" t="e">
        <f ca="1">[1]!BexGetData("DP_1","00O2TNJGODT0G5Z4TTKYMMOLH","GSON1112060030")</f>
        <v>#NAME?</v>
      </c>
      <c r="U569" s="3" t="e">
        <f ca="1">[1]!BexGetData("DP_1","00O2TNJGODT0G5Z4TTKYMMUX1","GSON1112060030")</f>
        <v>#NAME?</v>
      </c>
      <c r="V569" s="8" t="e">
        <f ca="1">[1]!BexGetData("DP_1","00O2TNJGODT0G5Z4TTKYMN18L","GSON1112060030")</f>
        <v>#NAME?</v>
      </c>
      <c r="W569" s="3" t="e">
        <f ca="1">[1]!BexGetData("DP_1","00O2TNJGODT0G5Z4TTKYMN7K5","GSON1112060030")</f>
        <v>#NAME?</v>
      </c>
    </row>
    <row r="570" spans="1:23" x14ac:dyDescent="0.2">
      <c r="A570" s="16" t="s">
        <v>2518</v>
      </c>
      <c r="B570" s="7" t="s">
        <v>2519</v>
      </c>
      <c r="C570" s="3" t="e">
        <f ca="1">[1]!BexGetData("DP_1","003N8EMH8GTFRCSWKMPXRR8GU","GSON1112060031")</f>
        <v>#NAME?</v>
      </c>
      <c r="D570" s="3" t="e">
        <f ca="1">[1]!BexGetData("DP_1","003N8EMH8GTFRCSWKMPXRRESE","GSON1112060031")</f>
        <v>#NAME?</v>
      </c>
      <c r="E570" s="8" t="e">
        <f ca="1">[1]!BexGetData("DP_1","003N8EMH8GTFRCSWKMPXRRL3Y","GSON1112060031")</f>
        <v>#NAME?</v>
      </c>
      <c r="F570" s="4" t="e">
        <f ca="1">[1]!BexGetData("DP_1","003N8EMH8GTFRCSWKMPXRRRFI","GSON1112060031")</f>
        <v>#NAME?</v>
      </c>
      <c r="G570" s="4" t="e">
        <f ca="1">[1]!BexGetData("DP_1","003N8EMH8GTFRCSWKMPXRRXR2","GSON1112060031")</f>
        <v>#NAME?</v>
      </c>
      <c r="H570" s="4" t="e">
        <f ca="1">[1]!BexGetData("DP_1","003N8EMH8GTFRCSWKMPXRS42M","GSON1112060031")</f>
        <v>#NAME?</v>
      </c>
      <c r="I570" s="4" t="e">
        <f ca="1">[1]!BexGetData("DP_1","003N8EMH8GTFRCSWKMPXRSAE6","GSON1112060031")</f>
        <v>#NAME?</v>
      </c>
      <c r="J570" s="4" t="e">
        <f ca="1">[1]!BexGetData("DP_1","003N8EMH8GTFRCSWKMPXRSGPQ","GSON1112060031")</f>
        <v>#NAME?</v>
      </c>
      <c r="K570" s="8" t="e">
        <f ca="1">[1]!BexGetData("DP_1","003N8EMH8GTFRIVNUPY288VJH","GSON1112060031")</f>
        <v>#NAME?</v>
      </c>
      <c r="L570" s="8" t="e">
        <f ca="1">[1]!BexGetData("DP_1","003N8EMH8GTFRIVNUPY2891V1","GSON1112060031")</f>
        <v>#NAME?</v>
      </c>
      <c r="M570" s="8" t="e">
        <f ca="1">[1]!BexGetData("DP_1","003N8EMH8GTFRIVOG7KG9IQXA","GSON1112060031")</f>
        <v>#NAME?</v>
      </c>
      <c r="N570" s="8" t="e">
        <f ca="1">[1]!BexGetData("DP_1","003N8EMH8GTFRIVOG7KG9IX8U","GSON1112060031")</f>
        <v>#NAME?</v>
      </c>
      <c r="O570" s="8" t="e">
        <f ca="1">[1]!BexGetData("DP_1","003N8EMH8GTFRIVOG7KG9J3KE","GSON1112060031")</f>
        <v>#NAME?</v>
      </c>
      <c r="P570" s="8" t="e">
        <f ca="1">[1]!BexGetData("DP_1","003N8EMH8GTFRIVOG7KG9J9VY","GSON1112060031")</f>
        <v>#NAME?</v>
      </c>
      <c r="Q570" s="4" t="e">
        <f ca="1">[1]!BexGetData("DP_1","00O2TNJGODT0G5Z4TTKYMM5MT","GSON1112060031")</f>
        <v>#NAME?</v>
      </c>
      <c r="R570" s="4" t="e">
        <f ca="1">[1]!BexGetData("DP_1","00O2TNJGODT0G5Z4TTKYMMBYD","GSON1112060031")</f>
        <v>#NAME?</v>
      </c>
      <c r="S570" s="4" t="e">
        <f ca="1">[1]!BexGetData("DP_1","00O2TNJGODT0G5Z4TTKYMMI9X","GSON1112060031")</f>
        <v>#NAME?</v>
      </c>
      <c r="T570" s="4" t="e">
        <f ca="1">[1]!BexGetData("DP_1","00O2TNJGODT0G5Z4TTKYMMOLH","GSON1112060031")</f>
        <v>#NAME?</v>
      </c>
      <c r="U570" s="4" t="e">
        <f ca="1">[1]!BexGetData("DP_1","00O2TNJGODT0G5Z4TTKYMMUX1","GSON1112060031")</f>
        <v>#NAME?</v>
      </c>
      <c r="V570" s="4" t="e">
        <f ca="1">[1]!BexGetData("DP_1","00O2TNJGODT0G5Z4TTKYMN18L","GSON1112060031")</f>
        <v>#NAME?</v>
      </c>
      <c r="W570" s="4" t="e">
        <f ca="1">[1]!BexGetData("DP_1","00O2TNJGODT0G5Z4TTKYMN7K5","GSON1112060031")</f>
        <v>#NAME?</v>
      </c>
    </row>
    <row r="571" spans="1:23" x14ac:dyDescent="0.2">
      <c r="A571" s="16" t="s">
        <v>2520</v>
      </c>
      <c r="B571" s="7" t="s">
        <v>2521</v>
      </c>
      <c r="C571" s="3" t="e">
        <f ca="1">[1]!BexGetData("DP_1","003N8EMH8GTFRCSWKMPXRR8GU","GSON1112060033")</f>
        <v>#NAME?</v>
      </c>
      <c r="D571" s="3" t="e">
        <f ca="1">[1]!BexGetData("DP_1","003N8EMH8GTFRCSWKMPXRRESE","GSON1112060033")</f>
        <v>#NAME?</v>
      </c>
      <c r="E571" s="8" t="e">
        <f ca="1">[1]!BexGetData("DP_1","003N8EMH8GTFRCSWKMPXRRL3Y","GSON1112060033")</f>
        <v>#NAME?</v>
      </c>
      <c r="F571" s="4" t="e">
        <f ca="1">[1]!BexGetData("DP_1","003N8EMH8GTFRCSWKMPXRRRFI","GSON1112060033")</f>
        <v>#NAME?</v>
      </c>
      <c r="G571" s="4" t="e">
        <f ca="1">[1]!BexGetData("DP_1","003N8EMH8GTFRCSWKMPXRRXR2","GSON1112060033")</f>
        <v>#NAME?</v>
      </c>
      <c r="H571" s="4" t="e">
        <f ca="1">[1]!BexGetData("DP_1","003N8EMH8GTFRCSWKMPXRS42M","GSON1112060033")</f>
        <v>#NAME?</v>
      </c>
      <c r="I571" s="4" t="e">
        <f ca="1">[1]!BexGetData("DP_1","003N8EMH8GTFRCSWKMPXRSAE6","GSON1112060033")</f>
        <v>#NAME?</v>
      </c>
      <c r="J571" s="4" t="e">
        <f ca="1">[1]!BexGetData("DP_1","003N8EMH8GTFRCSWKMPXRSGPQ","GSON1112060033")</f>
        <v>#NAME?</v>
      </c>
      <c r="K571" s="8" t="e">
        <f ca="1">[1]!BexGetData("DP_1","003N8EMH8GTFRIVNUPY288VJH","GSON1112060033")</f>
        <v>#NAME?</v>
      </c>
      <c r="L571" s="8" t="e">
        <f ca="1">[1]!BexGetData("DP_1","003N8EMH8GTFRIVNUPY2891V1","GSON1112060033")</f>
        <v>#NAME?</v>
      </c>
      <c r="M571" s="8" t="e">
        <f ca="1">[1]!BexGetData("DP_1","003N8EMH8GTFRIVOG7KG9IQXA","GSON1112060033")</f>
        <v>#NAME?</v>
      </c>
      <c r="N571" s="8" t="e">
        <f ca="1">[1]!BexGetData("DP_1","003N8EMH8GTFRIVOG7KG9IX8U","GSON1112060033")</f>
        <v>#NAME?</v>
      </c>
      <c r="O571" s="8" t="e">
        <f ca="1">[1]!BexGetData("DP_1","003N8EMH8GTFRIVOG7KG9J3KE","GSON1112060033")</f>
        <v>#NAME?</v>
      </c>
      <c r="P571" s="8" t="e">
        <f ca="1">[1]!BexGetData("DP_1","003N8EMH8GTFRIVOG7KG9J9VY","GSON1112060033")</f>
        <v>#NAME?</v>
      </c>
      <c r="Q571" s="4" t="e">
        <f ca="1">[1]!BexGetData("DP_1","00O2TNJGODT0G5Z4TTKYMM5MT","GSON1112060033")</f>
        <v>#NAME?</v>
      </c>
      <c r="R571" s="4" t="e">
        <f ca="1">[1]!BexGetData("DP_1","00O2TNJGODT0G5Z4TTKYMMBYD","GSON1112060033")</f>
        <v>#NAME?</v>
      </c>
      <c r="S571" s="4" t="e">
        <f ca="1">[1]!BexGetData("DP_1","00O2TNJGODT0G5Z4TTKYMMI9X","GSON1112060033")</f>
        <v>#NAME?</v>
      </c>
      <c r="T571" s="4" t="e">
        <f ca="1">[1]!BexGetData("DP_1","00O2TNJGODT0G5Z4TTKYMMOLH","GSON1112060033")</f>
        <v>#NAME?</v>
      </c>
      <c r="U571" s="4" t="e">
        <f ca="1">[1]!BexGetData("DP_1","00O2TNJGODT0G5Z4TTKYMMUX1","GSON1112060033")</f>
        <v>#NAME?</v>
      </c>
      <c r="V571" s="4" t="e">
        <f ca="1">[1]!BexGetData("DP_1","00O2TNJGODT0G5Z4TTKYMN18L","GSON1112060033")</f>
        <v>#NAME?</v>
      </c>
      <c r="W571" s="4" t="e">
        <f ca="1">[1]!BexGetData("DP_1","00O2TNJGODT0G5Z4TTKYMN7K5","GSON1112060033")</f>
        <v>#NAME?</v>
      </c>
    </row>
    <row r="572" spans="1:23" x14ac:dyDescent="0.2">
      <c r="A572" s="16" t="s">
        <v>2522</v>
      </c>
      <c r="B572" s="7" t="s">
        <v>2523</v>
      </c>
      <c r="C572" s="3" t="e">
        <f ca="1">[1]!BexGetData("DP_1","003N8EMH8GTFRCSWKMPXRR8GU","GSON1112060034")</f>
        <v>#NAME?</v>
      </c>
      <c r="D572" s="3" t="e">
        <f ca="1">[1]!BexGetData("DP_1","003N8EMH8GTFRCSWKMPXRRESE","GSON1112060034")</f>
        <v>#NAME?</v>
      </c>
      <c r="E572" s="8" t="e">
        <f ca="1">[1]!BexGetData("DP_1","003N8EMH8GTFRCSWKMPXRRL3Y","GSON1112060034")</f>
        <v>#NAME?</v>
      </c>
      <c r="F572" s="4" t="e">
        <f ca="1">[1]!BexGetData("DP_1","003N8EMH8GTFRCSWKMPXRRRFI","GSON1112060034")</f>
        <v>#NAME?</v>
      </c>
      <c r="G572" s="4" t="e">
        <f ca="1">[1]!BexGetData("DP_1","003N8EMH8GTFRCSWKMPXRRXR2","GSON1112060034")</f>
        <v>#NAME?</v>
      </c>
      <c r="H572" s="4" t="e">
        <f ca="1">[1]!BexGetData("DP_1","003N8EMH8GTFRCSWKMPXRS42M","GSON1112060034")</f>
        <v>#NAME?</v>
      </c>
      <c r="I572" s="4" t="e">
        <f ca="1">[1]!BexGetData("DP_1","003N8EMH8GTFRCSWKMPXRSAE6","GSON1112060034")</f>
        <v>#NAME?</v>
      </c>
      <c r="J572" s="4" t="e">
        <f ca="1">[1]!BexGetData("DP_1","003N8EMH8GTFRCSWKMPXRSGPQ","GSON1112060034")</f>
        <v>#NAME?</v>
      </c>
      <c r="K572" s="8" t="e">
        <f ca="1">[1]!BexGetData("DP_1","003N8EMH8GTFRIVNUPY288VJH","GSON1112060034")</f>
        <v>#NAME?</v>
      </c>
      <c r="L572" s="8" t="e">
        <f ca="1">[1]!BexGetData("DP_1","003N8EMH8GTFRIVNUPY2891V1","GSON1112060034")</f>
        <v>#NAME?</v>
      </c>
      <c r="M572" s="8" t="e">
        <f ca="1">[1]!BexGetData("DP_1","003N8EMH8GTFRIVOG7KG9IQXA","GSON1112060034")</f>
        <v>#NAME?</v>
      </c>
      <c r="N572" s="8" t="e">
        <f ca="1">[1]!BexGetData("DP_1","003N8EMH8GTFRIVOG7KG9IX8U","GSON1112060034")</f>
        <v>#NAME?</v>
      </c>
      <c r="O572" s="8" t="e">
        <f ca="1">[1]!BexGetData("DP_1","003N8EMH8GTFRIVOG7KG9J3KE","GSON1112060034")</f>
        <v>#NAME?</v>
      </c>
      <c r="P572" s="8" t="e">
        <f ca="1">[1]!BexGetData("DP_1","003N8EMH8GTFRIVOG7KG9J9VY","GSON1112060034")</f>
        <v>#NAME?</v>
      </c>
      <c r="Q572" s="4" t="e">
        <f ca="1">[1]!BexGetData("DP_1","00O2TNJGODT0G5Z4TTKYMM5MT","GSON1112060034")</f>
        <v>#NAME?</v>
      </c>
      <c r="R572" s="4" t="e">
        <f ca="1">[1]!BexGetData("DP_1","00O2TNJGODT0G5Z4TTKYMMBYD","GSON1112060034")</f>
        <v>#NAME?</v>
      </c>
      <c r="S572" s="4" t="e">
        <f ca="1">[1]!BexGetData("DP_1","00O2TNJGODT0G5Z4TTKYMMI9X","GSON1112060034")</f>
        <v>#NAME?</v>
      </c>
      <c r="T572" s="4" t="e">
        <f ca="1">[1]!BexGetData("DP_1","00O2TNJGODT0G5Z4TTKYMMOLH","GSON1112060034")</f>
        <v>#NAME?</v>
      </c>
      <c r="U572" s="4" t="e">
        <f ca="1">[1]!BexGetData("DP_1","00O2TNJGODT0G5Z4TTKYMMUX1","GSON1112060034")</f>
        <v>#NAME?</v>
      </c>
      <c r="V572" s="4" t="e">
        <f ca="1">[1]!BexGetData("DP_1","00O2TNJGODT0G5Z4TTKYMN18L","GSON1112060034")</f>
        <v>#NAME?</v>
      </c>
      <c r="W572" s="4" t="e">
        <f ca="1">[1]!BexGetData("DP_1","00O2TNJGODT0G5Z4TTKYMN7K5","GSON1112060034")</f>
        <v>#NAME?</v>
      </c>
    </row>
    <row r="573" spans="1:23" x14ac:dyDescent="0.2">
      <c r="A573" s="16" t="s">
        <v>2524</v>
      </c>
      <c r="B573" s="7" t="s">
        <v>2525</v>
      </c>
      <c r="C573" s="3" t="e">
        <f ca="1">[1]!BexGetData("DP_1","003N8EMH8GTFRCSWKMPXRR8GU","GSON1112060040")</f>
        <v>#NAME?</v>
      </c>
      <c r="D573" s="3" t="e">
        <f ca="1">[1]!BexGetData("DP_1","003N8EMH8GTFRCSWKMPXRRESE","GSON1112060040")</f>
        <v>#NAME?</v>
      </c>
      <c r="E573" s="3" t="e">
        <f ca="1">[1]!BexGetData("DP_1","003N8EMH8GTFRCSWKMPXRRL3Y","GSON1112060040")</f>
        <v>#NAME?</v>
      </c>
      <c r="F573" s="4" t="e">
        <f ca="1">[1]!BexGetData("DP_1","003N8EMH8GTFRCSWKMPXRRRFI","GSON1112060040")</f>
        <v>#NAME?</v>
      </c>
      <c r="G573" s="4" t="e">
        <f ca="1">[1]!BexGetData("DP_1","003N8EMH8GTFRCSWKMPXRRXR2","GSON1112060040")</f>
        <v>#NAME?</v>
      </c>
      <c r="H573" s="4" t="e">
        <f ca="1">[1]!BexGetData("DP_1","003N8EMH8GTFRCSWKMPXRS42M","GSON1112060040")</f>
        <v>#NAME?</v>
      </c>
      <c r="I573" s="4" t="e">
        <f ca="1">[1]!BexGetData("DP_1","003N8EMH8GTFRCSWKMPXRSAE6","GSON1112060040")</f>
        <v>#NAME?</v>
      </c>
      <c r="J573" s="4" t="e">
        <f ca="1">[1]!BexGetData("DP_1","003N8EMH8GTFRCSWKMPXRSGPQ","GSON1112060040")</f>
        <v>#NAME?</v>
      </c>
      <c r="K573" s="3" t="e">
        <f ca="1">[1]!BexGetData("DP_1","003N8EMH8GTFRIVNUPY288VJH","GSON1112060040")</f>
        <v>#NAME?</v>
      </c>
      <c r="L573" s="3" t="e">
        <f ca="1">[1]!BexGetData("DP_1","003N8EMH8GTFRIVNUPY2891V1","GSON1112060040")</f>
        <v>#NAME?</v>
      </c>
      <c r="M573" s="8" t="e">
        <f ca="1">[1]!BexGetData("DP_1","003N8EMH8GTFRIVOG7KG9IQXA","GSON1112060040")</f>
        <v>#NAME?</v>
      </c>
      <c r="N573" s="3" t="e">
        <f ca="1">[1]!BexGetData("DP_1","003N8EMH8GTFRIVOG7KG9IX8U","GSON1112060040")</f>
        <v>#NAME?</v>
      </c>
      <c r="O573" s="8" t="e">
        <f ca="1">[1]!BexGetData("DP_1","003N8EMH8GTFRIVOG7KG9J3KE","GSON1112060040")</f>
        <v>#NAME?</v>
      </c>
      <c r="P573" s="3" t="e">
        <f ca="1">[1]!BexGetData("DP_1","003N8EMH8GTFRIVOG7KG9J9VY","GSON1112060040")</f>
        <v>#NAME?</v>
      </c>
      <c r="Q573" s="4" t="e">
        <f ca="1">[1]!BexGetData("DP_1","00O2TNJGODT0G5Z4TTKYMM5MT","GSON1112060040")</f>
        <v>#NAME?</v>
      </c>
      <c r="R573" s="4" t="e">
        <f ca="1">[1]!BexGetData("DP_1","00O2TNJGODT0G5Z4TTKYMMBYD","GSON1112060040")</f>
        <v>#NAME?</v>
      </c>
      <c r="S573" s="4" t="e">
        <f ca="1">[1]!BexGetData("DP_1","00O2TNJGODT0G5Z4TTKYMMI9X","GSON1112060040")</f>
        <v>#NAME?</v>
      </c>
      <c r="T573" s="4" t="e">
        <f ca="1">[1]!BexGetData("DP_1","00O2TNJGODT0G5Z4TTKYMMOLH","GSON1112060040")</f>
        <v>#NAME?</v>
      </c>
      <c r="U573" s="4" t="e">
        <f ca="1">[1]!BexGetData("DP_1","00O2TNJGODT0G5Z4TTKYMMUX1","GSON1112060040")</f>
        <v>#NAME?</v>
      </c>
      <c r="V573" s="4" t="e">
        <f ca="1">[1]!BexGetData("DP_1","00O2TNJGODT0G5Z4TTKYMN18L","GSON1112060040")</f>
        <v>#NAME?</v>
      </c>
      <c r="W573" s="4" t="e">
        <f ca="1">[1]!BexGetData("DP_1","00O2TNJGODT0G5Z4TTKYMN7K5","GSON1112060040")</f>
        <v>#NAME?</v>
      </c>
    </row>
    <row r="574" spans="1:23" x14ac:dyDescent="0.2">
      <c r="A574" s="16" t="s">
        <v>2526</v>
      </c>
      <c r="B574" s="7" t="s">
        <v>2527</v>
      </c>
      <c r="C574" s="3" t="e">
        <f ca="1">[1]!BexGetData("DP_1","003N8EMH8GTFRCSWKMPXRR8GU","GSON1112060041")</f>
        <v>#NAME?</v>
      </c>
      <c r="D574" s="3" t="e">
        <f ca="1">[1]!BexGetData("DP_1","003N8EMH8GTFRCSWKMPXRRESE","GSON1112060041")</f>
        <v>#NAME?</v>
      </c>
      <c r="E574" s="8" t="e">
        <f ca="1">[1]!BexGetData("DP_1","003N8EMH8GTFRCSWKMPXRRL3Y","GSON1112060041")</f>
        <v>#NAME?</v>
      </c>
      <c r="F574" s="4" t="e">
        <f ca="1">[1]!BexGetData("DP_1","003N8EMH8GTFRCSWKMPXRRRFI","GSON1112060041")</f>
        <v>#NAME?</v>
      </c>
      <c r="G574" s="4" t="e">
        <f ca="1">[1]!BexGetData("DP_1","003N8EMH8GTFRCSWKMPXRRXR2","GSON1112060041")</f>
        <v>#NAME?</v>
      </c>
      <c r="H574" s="4" t="e">
        <f ca="1">[1]!BexGetData("DP_1","003N8EMH8GTFRCSWKMPXRS42M","GSON1112060041")</f>
        <v>#NAME?</v>
      </c>
      <c r="I574" s="4" t="e">
        <f ca="1">[1]!BexGetData("DP_1","003N8EMH8GTFRCSWKMPXRSAE6","GSON1112060041")</f>
        <v>#NAME?</v>
      </c>
      <c r="J574" s="4" t="e">
        <f ca="1">[1]!BexGetData("DP_1","003N8EMH8GTFRCSWKMPXRSGPQ","GSON1112060041")</f>
        <v>#NAME?</v>
      </c>
      <c r="K574" s="8" t="e">
        <f ca="1">[1]!BexGetData("DP_1","003N8EMH8GTFRIVNUPY288VJH","GSON1112060041")</f>
        <v>#NAME?</v>
      </c>
      <c r="L574" s="8" t="e">
        <f ca="1">[1]!BexGetData("DP_1","003N8EMH8GTFRIVNUPY2891V1","GSON1112060041")</f>
        <v>#NAME?</v>
      </c>
      <c r="M574" s="8" t="e">
        <f ca="1">[1]!BexGetData("DP_1","003N8EMH8GTFRIVOG7KG9IQXA","GSON1112060041")</f>
        <v>#NAME?</v>
      </c>
      <c r="N574" s="8" t="e">
        <f ca="1">[1]!BexGetData("DP_1","003N8EMH8GTFRIVOG7KG9IX8U","GSON1112060041")</f>
        <v>#NAME?</v>
      </c>
      <c r="O574" s="8" t="e">
        <f ca="1">[1]!BexGetData("DP_1","003N8EMH8GTFRIVOG7KG9J3KE","GSON1112060041")</f>
        <v>#NAME?</v>
      </c>
      <c r="P574" s="8" t="e">
        <f ca="1">[1]!BexGetData("DP_1","003N8EMH8GTFRIVOG7KG9J9VY","GSON1112060041")</f>
        <v>#NAME?</v>
      </c>
      <c r="Q574" s="4" t="e">
        <f ca="1">[1]!BexGetData("DP_1","00O2TNJGODT0G5Z4TTKYMM5MT","GSON1112060041")</f>
        <v>#NAME?</v>
      </c>
      <c r="R574" s="4" t="e">
        <f ca="1">[1]!BexGetData("DP_1","00O2TNJGODT0G5Z4TTKYMMBYD","GSON1112060041")</f>
        <v>#NAME?</v>
      </c>
      <c r="S574" s="4" t="e">
        <f ca="1">[1]!BexGetData("DP_1","00O2TNJGODT0G5Z4TTKYMMI9X","GSON1112060041")</f>
        <v>#NAME?</v>
      </c>
      <c r="T574" s="4" t="e">
        <f ca="1">[1]!BexGetData("DP_1","00O2TNJGODT0G5Z4TTKYMMOLH","GSON1112060041")</f>
        <v>#NAME?</v>
      </c>
      <c r="U574" s="4" t="e">
        <f ca="1">[1]!BexGetData("DP_1","00O2TNJGODT0G5Z4TTKYMMUX1","GSON1112060041")</f>
        <v>#NAME?</v>
      </c>
      <c r="V574" s="4" t="e">
        <f ca="1">[1]!BexGetData("DP_1","00O2TNJGODT0G5Z4TTKYMN18L","GSON1112060041")</f>
        <v>#NAME?</v>
      </c>
      <c r="W574" s="4" t="e">
        <f ca="1">[1]!BexGetData("DP_1","00O2TNJGODT0G5Z4TTKYMN7K5","GSON1112060041")</f>
        <v>#NAME?</v>
      </c>
    </row>
    <row r="575" spans="1:23" x14ac:dyDescent="0.2">
      <c r="A575" s="16" t="s">
        <v>2528</v>
      </c>
      <c r="B575" s="7" t="s">
        <v>2529</v>
      </c>
      <c r="C575" s="3" t="e">
        <f ca="1">[1]!BexGetData("DP_1","003N8EMH8GTFRCSWKMPXRR8GU","GSON1112060043")</f>
        <v>#NAME?</v>
      </c>
      <c r="D575" s="3" t="e">
        <f ca="1">[1]!BexGetData("DP_1","003N8EMH8GTFRCSWKMPXRRESE","GSON1112060043")</f>
        <v>#NAME?</v>
      </c>
      <c r="E575" s="8" t="e">
        <f ca="1">[1]!BexGetData("DP_1","003N8EMH8GTFRCSWKMPXRRL3Y","GSON1112060043")</f>
        <v>#NAME?</v>
      </c>
      <c r="F575" s="4" t="e">
        <f ca="1">[1]!BexGetData("DP_1","003N8EMH8GTFRCSWKMPXRRRFI","GSON1112060043")</f>
        <v>#NAME?</v>
      </c>
      <c r="G575" s="4" t="e">
        <f ca="1">[1]!BexGetData("DP_1","003N8EMH8GTFRCSWKMPXRRXR2","GSON1112060043")</f>
        <v>#NAME?</v>
      </c>
      <c r="H575" s="4" t="e">
        <f ca="1">[1]!BexGetData("DP_1","003N8EMH8GTFRCSWKMPXRS42M","GSON1112060043")</f>
        <v>#NAME?</v>
      </c>
      <c r="I575" s="4" t="e">
        <f ca="1">[1]!BexGetData("DP_1","003N8EMH8GTFRCSWKMPXRSAE6","GSON1112060043")</f>
        <v>#NAME?</v>
      </c>
      <c r="J575" s="4" t="e">
        <f ca="1">[1]!BexGetData("DP_1","003N8EMH8GTFRCSWKMPXRSGPQ","GSON1112060043")</f>
        <v>#NAME?</v>
      </c>
      <c r="K575" s="8" t="e">
        <f ca="1">[1]!BexGetData("DP_1","003N8EMH8GTFRIVNUPY288VJH","GSON1112060043")</f>
        <v>#NAME?</v>
      </c>
      <c r="L575" s="8" t="e">
        <f ca="1">[1]!BexGetData("DP_1","003N8EMH8GTFRIVNUPY2891V1","GSON1112060043")</f>
        <v>#NAME?</v>
      </c>
      <c r="M575" s="8" t="e">
        <f ca="1">[1]!BexGetData("DP_1","003N8EMH8GTFRIVOG7KG9IQXA","GSON1112060043")</f>
        <v>#NAME?</v>
      </c>
      <c r="N575" s="8" t="e">
        <f ca="1">[1]!BexGetData("DP_1","003N8EMH8GTFRIVOG7KG9IX8U","GSON1112060043")</f>
        <v>#NAME?</v>
      </c>
      <c r="O575" s="8" t="e">
        <f ca="1">[1]!BexGetData("DP_1","003N8EMH8GTFRIVOG7KG9J3KE","GSON1112060043")</f>
        <v>#NAME?</v>
      </c>
      <c r="P575" s="8" t="e">
        <f ca="1">[1]!BexGetData("DP_1","003N8EMH8GTFRIVOG7KG9J9VY","GSON1112060043")</f>
        <v>#NAME?</v>
      </c>
      <c r="Q575" s="4" t="e">
        <f ca="1">[1]!BexGetData("DP_1","00O2TNJGODT0G5Z4TTKYMM5MT","GSON1112060043")</f>
        <v>#NAME?</v>
      </c>
      <c r="R575" s="4" t="e">
        <f ca="1">[1]!BexGetData("DP_1","00O2TNJGODT0G5Z4TTKYMMBYD","GSON1112060043")</f>
        <v>#NAME?</v>
      </c>
      <c r="S575" s="4" t="e">
        <f ca="1">[1]!BexGetData("DP_1","00O2TNJGODT0G5Z4TTKYMMI9X","GSON1112060043")</f>
        <v>#NAME?</v>
      </c>
      <c r="T575" s="4" t="e">
        <f ca="1">[1]!BexGetData("DP_1","00O2TNJGODT0G5Z4TTKYMMOLH","GSON1112060043")</f>
        <v>#NAME?</v>
      </c>
      <c r="U575" s="4" t="e">
        <f ca="1">[1]!BexGetData("DP_1","00O2TNJGODT0G5Z4TTKYMMUX1","GSON1112060043")</f>
        <v>#NAME?</v>
      </c>
      <c r="V575" s="4" t="e">
        <f ca="1">[1]!BexGetData("DP_1","00O2TNJGODT0G5Z4TTKYMN18L","GSON1112060043")</f>
        <v>#NAME?</v>
      </c>
      <c r="W575" s="4" t="e">
        <f ca="1">[1]!BexGetData("DP_1","00O2TNJGODT0G5Z4TTKYMN7K5","GSON1112060043")</f>
        <v>#NAME?</v>
      </c>
    </row>
    <row r="576" spans="1:23" x14ac:dyDescent="0.2">
      <c r="A576" s="16" t="s">
        <v>2530</v>
      </c>
      <c r="B576" s="7" t="s">
        <v>2531</v>
      </c>
      <c r="C576" s="3" t="e">
        <f ca="1">[1]!BexGetData("DP_1","003N8EMH8GTFRCSWKMPXRR8GU","GSON1112060044")</f>
        <v>#NAME?</v>
      </c>
      <c r="D576" s="3" t="e">
        <f ca="1">[1]!BexGetData("DP_1","003N8EMH8GTFRCSWKMPXRRESE","GSON1112060044")</f>
        <v>#NAME?</v>
      </c>
      <c r="E576" s="8" t="e">
        <f ca="1">[1]!BexGetData("DP_1","003N8EMH8GTFRCSWKMPXRRL3Y","GSON1112060044")</f>
        <v>#NAME?</v>
      </c>
      <c r="F576" s="4" t="e">
        <f ca="1">[1]!BexGetData("DP_1","003N8EMH8GTFRCSWKMPXRRRFI","GSON1112060044")</f>
        <v>#NAME?</v>
      </c>
      <c r="G576" s="4" t="e">
        <f ca="1">[1]!BexGetData("DP_1","003N8EMH8GTFRCSWKMPXRRXR2","GSON1112060044")</f>
        <v>#NAME?</v>
      </c>
      <c r="H576" s="4" t="e">
        <f ca="1">[1]!BexGetData("DP_1","003N8EMH8GTFRCSWKMPXRS42M","GSON1112060044")</f>
        <v>#NAME?</v>
      </c>
      <c r="I576" s="4" t="e">
        <f ca="1">[1]!BexGetData("DP_1","003N8EMH8GTFRCSWKMPXRSAE6","GSON1112060044")</f>
        <v>#NAME?</v>
      </c>
      <c r="J576" s="4" t="e">
        <f ca="1">[1]!BexGetData("DP_1","003N8EMH8GTFRCSWKMPXRSGPQ","GSON1112060044")</f>
        <v>#NAME?</v>
      </c>
      <c r="K576" s="8" t="e">
        <f ca="1">[1]!BexGetData("DP_1","003N8EMH8GTFRIVNUPY288VJH","GSON1112060044")</f>
        <v>#NAME?</v>
      </c>
      <c r="L576" s="8" t="e">
        <f ca="1">[1]!BexGetData("DP_1","003N8EMH8GTFRIVNUPY2891V1","GSON1112060044")</f>
        <v>#NAME?</v>
      </c>
      <c r="M576" s="8" t="e">
        <f ca="1">[1]!BexGetData("DP_1","003N8EMH8GTFRIVOG7KG9IQXA","GSON1112060044")</f>
        <v>#NAME?</v>
      </c>
      <c r="N576" s="8" t="e">
        <f ca="1">[1]!BexGetData("DP_1","003N8EMH8GTFRIVOG7KG9IX8U","GSON1112060044")</f>
        <v>#NAME?</v>
      </c>
      <c r="O576" s="8" t="e">
        <f ca="1">[1]!BexGetData("DP_1","003N8EMH8GTFRIVOG7KG9J3KE","GSON1112060044")</f>
        <v>#NAME?</v>
      </c>
      <c r="P576" s="8" t="e">
        <f ca="1">[1]!BexGetData("DP_1","003N8EMH8GTFRIVOG7KG9J9VY","GSON1112060044")</f>
        <v>#NAME?</v>
      </c>
      <c r="Q576" s="4" t="e">
        <f ca="1">[1]!BexGetData("DP_1","00O2TNJGODT0G5Z4TTKYMM5MT","GSON1112060044")</f>
        <v>#NAME?</v>
      </c>
      <c r="R576" s="4" t="e">
        <f ca="1">[1]!BexGetData("DP_1","00O2TNJGODT0G5Z4TTKYMMBYD","GSON1112060044")</f>
        <v>#NAME?</v>
      </c>
      <c r="S576" s="4" t="e">
        <f ca="1">[1]!BexGetData("DP_1","00O2TNJGODT0G5Z4TTKYMMI9X","GSON1112060044")</f>
        <v>#NAME?</v>
      </c>
      <c r="T576" s="4" t="e">
        <f ca="1">[1]!BexGetData("DP_1","00O2TNJGODT0G5Z4TTKYMMOLH","GSON1112060044")</f>
        <v>#NAME?</v>
      </c>
      <c r="U576" s="4" t="e">
        <f ca="1">[1]!BexGetData("DP_1","00O2TNJGODT0G5Z4TTKYMMUX1","GSON1112060044")</f>
        <v>#NAME?</v>
      </c>
      <c r="V576" s="4" t="e">
        <f ca="1">[1]!BexGetData("DP_1","00O2TNJGODT0G5Z4TTKYMN18L","GSON1112060044")</f>
        <v>#NAME?</v>
      </c>
      <c r="W576" s="4" t="e">
        <f ca="1">[1]!BexGetData("DP_1","00O2TNJGODT0G5Z4TTKYMN7K5","GSON1112060044")</f>
        <v>#NAME?</v>
      </c>
    </row>
    <row r="577" spans="1:23" x14ac:dyDescent="0.2">
      <c r="A577" s="16" t="s">
        <v>650</v>
      </c>
      <c r="B577" s="7" t="s">
        <v>651</v>
      </c>
      <c r="C577" s="3" t="e">
        <f ca="1">[1]!BexGetData("DP_1","003N8EMH8GTFRCSWKMPXRR8GU","GSON1112060050")</f>
        <v>#NAME?</v>
      </c>
      <c r="D577" s="3" t="e">
        <f ca="1">[1]!BexGetData("DP_1","003N8EMH8GTFRCSWKMPXRRESE","GSON1112060050")</f>
        <v>#NAME?</v>
      </c>
      <c r="E577" s="3" t="e">
        <f ca="1">[1]!BexGetData("DP_1","003N8EMH8GTFRCSWKMPXRRL3Y","GSON1112060050")</f>
        <v>#NAME?</v>
      </c>
      <c r="F577" s="3" t="e">
        <f ca="1">[1]!BexGetData("DP_1","003N8EMH8GTFRCSWKMPXRRRFI","GSON1112060050")</f>
        <v>#NAME?</v>
      </c>
      <c r="G577" s="3" t="e">
        <f ca="1">[1]!BexGetData("DP_1","003N8EMH8GTFRCSWKMPXRRXR2","GSON1112060050")</f>
        <v>#NAME?</v>
      </c>
      <c r="H577" s="8" t="e">
        <f ca="1">[1]!BexGetData("DP_1","003N8EMH8GTFRCSWKMPXRS42M","GSON1112060050")</f>
        <v>#NAME?</v>
      </c>
      <c r="I577" s="3" t="e">
        <f ca="1">[1]!BexGetData("DP_1","003N8EMH8GTFRCSWKMPXRSAE6","GSON1112060050")</f>
        <v>#NAME?</v>
      </c>
      <c r="J577" s="4" t="e">
        <f ca="1">[1]!BexGetData("DP_1","003N8EMH8GTFRCSWKMPXRSGPQ","GSON1112060050")</f>
        <v>#NAME?</v>
      </c>
      <c r="K577" s="3" t="e">
        <f ca="1">[1]!BexGetData("DP_1","003N8EMH8GTFRIVNUPY288VJH","GSON1112060050")</f>
        <v>#NAME?</v>
      </c>
      <c r="L577" s="3" t="e">
        <f ca="1">[1]!BexGetData("DP_1","003N8EMH8GTFRIVNUPY2891V1","GSON1112060050")</f>
        <v>#NAME?</v>
      </c>
      <c r="M577" s="3" t="e">
        <f ca="1">[1]!BexGetData("DP_1","003N8EMH8GTFRIVOG7KG9IQXA","GSON1112060050")</f>
        <v>#NAME?</v>
      </c>
      <c r="N577" s="8" t="e">
        <f ca="1">[1]!BexGetData("DP_1","003N8EMH8GTFRIVOG7KG9IX8U","GSON1112060050")</f>
        <v>#NAME?</v>
      </c>
      <c r="O577" s="3" t="e">
        <f ca="1">[1]!BexGetData("DP_1","003N8EMH8GTFRIVOG7KG9J3KE","GSON1112060050")</f>
        <v>#NAME?</v>
      </c>
      <c r="P577" s="8" t="e">
        <f ca="1">[1]!BexGetData("DP_1","003N8EMH8GTFRIVOG7KG9J9VY","GSON1112060050")</f>
        <v>#NAME?</v>
      </c>
      <c r="Q577" s="4" t="e">
        <f ca="1">[1]!BexGetData("DP_1","00O2TNJGODT0G5Z4TTKYMM5MT","GSON1112060050")</f>
        <v>#NAME?</v>
      </c>
      <c r="R577" s="3" t="e">
        <f ca="1">[1]!BexGetData("DP_1","00O2TNJGODT0G5Z4TTKYMMBYD","GSON1112060050")</f>
        <v>#NAME?</v>
      </c>
      <c r="S577" s="3" t="e">
        <f ca="1">[1]!BexGetData("DP_1","00O2TNJGODT0G5Z4TTKYMMI9X","GSON1112060050")</f>
        <v>#NAME?</v>
      </c>
      <c r="T577" s="8" t="e">
        <f ca="1">[1]!BexGetData("DP_1","00O2TNJGODT0G5Z4TTKYMMOLH","GSON1112060050")</f>
        <v>#NAME?</v>
      </c>
      <c r="U577" s="3" t="e">
        <f ca="1">[1]!BexGetData("DP_1","00O2TNJGODT0G5Z4TTKYMMUX1","GSON1112060050")</f>
        <v>#NAME?</v>
      </c>
      <c r="V577" s="8" t="e">
        <f ca="1">[1]!BexGetData("DP_1","00O2TNJGODT0G5Z4TTKYMN18L","GSON1112060050")</f>
        <v>#NAME?</v>
      </c>
      <c r="W577" s="3" t="e">
        <f ca="1">[1]!BexGetData("DP_1","00O2TNJGODT0G5Z4TTKYMN7K5","GSON1112060050")</f>
        <v>#NAME?</v>
      </c>
    </row>
    <row r="578" spans="1:23" x14ac:dyDescent="0.2">
      <c r="A578" s="16" t="s">
        <v>652</v>
      </c>
      <c r="B578" s="7" t="s">
        <v>653</v>
      </c>
      <c r="C578" s="3" t="e">
        <f ca="1">[1]!BexGetData("DP_1","003N8EMH8GTFRCSWKMPXRR8GU","GSON1112060051")</f>
        <v>#NAME?</v>
      </c>
      <c r="D578" s="3" t="e">
        <f ca="1">[1]!BexGetData("DP_1","003N8EMH8GTFRCSWKMPXRRESE","GSON1112060051")</f>
        <v>#NAME?</v>
      </c>
      <c r="E578" s="8" t="e">
        <f ca="1">[1]!BexGetData("DP_1","003N8EMH8GTFRCSWKMPXRRL3Y","GSON1112060051")</f>
        <v>#NAME?</v>
      </c>
      <c r="F578" s="4" t="e">
        <f ca="1">[1]!BexGetData("DP_1","003N8EMH8GTFRCSWKMPXRRRFI","GSON1112060051")</f>
        <v>#NAME?</v>
      </c>
      <c r="G578" s="4" t="e">
        <f ca="1">[1]!BexGetData("DP_1","003N8EMH8GTFRCSWKMPXRRXR2","GSON1112060051")</f>
        <v>#NAME?</v>
      </c>
      <c r="H578" s="4" t="e">
        <f ca="1">[1]!BexGetData("DP_1","003N8EMH8GTFRCSWKMPXRS42M","GSON1112060051")</f>
        <v>#NAME?</v>
      </c>
      <c r="I578" s="4" t="e">
        <f ca="1">[1]!BexGetData("DP_1","003N8EMH8GTFRCSWKMPXRSAE6","GSON1112060051")</f>
        <v>#NAME?</v>
      </c>
      <c r="J578" s="4" t="e">
        <f ca="1">[1]!BexGetData("DP_1","003N8EMH8GTFRCSWKMPXRSGPQ","GSON1112060051")</f>
        <v>#NAME?</v>
      </c>
      <c r="K578" s="8" t="e">
        <f ca="1">[1]!BexGetData("DP_1","003N8EMH8GTFRIVNUPY288VJH","GSON1112060051")</f>
        <v>#NAME?</v>
      </c>
      <c r="L578" s="8" t="e">
        <f ca="1">[1]!BexGetData("DP_1","003N8EMH8GTFRIVNUPY2891V1","GSON1112060051")</f>
        <v>#NAME?</v>
      </c>
      <c r="M578" s="8" t="e">
        <f ca="1">[1]!BexGetData("DP_1","003N8EMH8GTFRIVOG7KG9IQXA","GSON1112060051")</f>
        <v>#NAME?</v>
      </c>
      <c r="N578" s="8" t="e">
        <f ca="1">[1]!BexGetData("DP_1","003N8EMH8GTFRIVOG7KG9IX8U","GSON1112060051")</f>
        <v>#NAME?</v>
      </c>
      <c r="O578" s="8" t="e">
        <f ca="1">[1]!BexGetData("DP_1","003N8EMH8GTFRIVOG7KG9J3KE","GSON1112060051")</f>
        <v>#NAME?</v>
      </c>
      <c r="P578" s="8" t="e">
        <f ca="1">[1]!BexGetData("DP_1","003N8EMH8GTFRIVOG7KG9J9VY","GSON1112060051")</f>
        <v>#NAME?</v>
      </c>
      <c r="Q578" s="4" t="e">
        <f ca="1">[1]!BexGetData("DP_1","00O2TNJGODT0G5Z4TTKYMM5MT","GSON1112060051")</f>
        <v>#NAME?</v>
      </c>
      <c r="R578" s="4" t="e">
        <f ca="1">[1]!BexGetData("DP_1","00O2TNJGODT0G5Z4TTKYMMBYD","GSON1112060051")</f>
        <v>#NAME?</v>
      </c>
      <c r="S578" s="4" t="e">
        <f ca="1">[1]!BexGetData("DP_1","00O2TNJGODT0G5Z4TTKYMMI9X","GSON1112060051")</f>
        <v>#NAME?</v>
      </c>
      <c r="T578" s="4" t="e">
        <f ca="1">[1]!BexGetData("DP_1","00O2TNJGODT0G5Z4TTKYMMOLH","GSON1112060051")</f>
        <v>#NAME?</v>
      </c>
      <c r="U578" s="4" t="e">
        <f ca="1">[1]!BexGetData("DP_1","00O2TNJGODT0G5Z4TTKYMMUX1","GSON1112060051")</f>
        <v>#NAME?</v>
      </c>
      <c r="V578" s="4" t="e">
        <f ca="1">[1]!BexGetData("DP_1","00O2TNJGODT0G5Z4TTKYMN18L","GSON1112060051")</f>
        <v>#NAME?</v>
      </c>
      <c r="W578" s="4" t="e">
        <f ca="1">[1]!BexGetData("DP_1","00O2TNJGODT0G5Z4TTKYMN7K5","GSON1112060051")</f>
        <v>#NAME?</v>
      </c>
    </row>
    <row r="579" spans="1:23" x14ac:dyDescent="0.2">
      <c r="A579" s="16" t="s">
        <v>2532</v>
      </c>
      <c r="B579" s="7" t="s">
        <v>2533</v>
      </c>
      <c r="C579" s="3" t="e">
        <f ca="1">[1]!BexGetData("DP_1","003N8EMH8GTFRCSWKMPXRR8GU","GSON1112060052")</f>
        <v>#NAME?</v>
      </c>
      <c r="D579" s="3" t="e">
        <f ca="1">[1]!BexGetData("DP_1","003N8EMH8GTFRCSWKMPXRRESE","GSON1112060052")</f>
        <v>#NAME?</v>
      </c>
      <c r="E579" s="3" t="e">
        <f ca="1">[1]!BexGetData("DP_1","003N8EMH8GTFRCSWKMPXRRL3Y","GSON1112060052")</f>
        <v>#NAME?</v>
      </c>
      <c r="F579" s="4" t="e">
        <f ca="1">[1]!BexGetData("DP_1","003N8EMH8GTFRCSWKMPXRRRFI","GSON1112060052")</f>
        <v>#NAME?</v>
      </c>
      <c r="G579" s="4" t="e">
        <f ca="1">[1]!BexGetData("DP_1","003N8EMH8GTFRCSWKMPXRRXR2","GSON1112060052")</f>
        <v>#NAME?</v>
      </c>
      <c r="H579" s="4" t="e">
        <f ca="1">[1]!BexGetData("DP_1","003N8EMH8GTFRCSWKMPXRS42M","GSON1112060052")</f>
        <v>#NAME?</v>
      </c>
      <c r="I579" s="4" t="e">
        <f ca="1">[1]!BexGetData("DP_1","003N8EMH8GTFRCSWKMPXRSAE6","GSON1112060052")</f>
        <v>#NAME?</v>
      </c>
      <c r="J579" s="4" t="e">
        <f ca="1">[1]!BexGetData("DP_1","003N8EMH8GTFRCSWKMPXRSGPQ","GSON1112060052")</f>
        <v>#NAME?</v>
      </c>
      <c r="K579" s="3" t="e">
        <f ca="1">[1]!BexGetData("DP_1","003N8EMH8GTFRIVNUPY288VJH","GSON1112060052")</f>
        <v>#NAME?</v>
      </c>
      <c r="L579" s="3" t="e">
        <f ca="1">[1]!BexGetData("DP_1","003N8EMH8GTFRIVNUPY2891V1","GSON1112060052")</f>
        <v>#NAME?</v>
      </c>
      <c r="M579" s="3" t="e">
        <f ca="1">[1]!BexGetData("DP_1","003N8EMH8GTFRIVOG7KG9IQXA","GSON1112060052")</f>
        <v>#NAME?</v>
      </c>
      <c r="N579" s="8" t="e">
        <f ca="1">[1]!BexGetData("DP_1","003N8EMH8GTFRIVOG7KG9IX8U","GSON1112060052")</f>
        <v>#NAME?</v>
      </c>
      <c r="O579" s="3" t="e">
        <f ca="1">[1]!BexGetData("DP_1","003N8EMH8GTFRIVOG7KG9J3KE","GSON1112060052")</f>
        <v>#NAME?</v>
      </c>
      <c r="P579" s="8" t="e">
        <f ca="1">[1]!BexGetData("DP_1","003N8EMH8GTFRIVOG7KG9J9VY","GSON1112060052")</f>
        <v>#NAME?</v>
      </c>
      <c r="Q579" s="4" t="e">
        <f ca="1">[1]!BexGetData("DP_1","00O2TNJGODT0G5Z4TTKYMM5MT","GSON1112060052")</f>
        <v>#NAME?</v>
      </c>
      <c r="R579" s="4" t="e">
        <f ca="1">[1]!BexGetData("DP_1","00O2TNJGODT0G5Z4TTKYMMBYD","GSON1112060052")</f>
        <v>#NAME?</v>
      </c>
      <c r="S579" s="4" t="e">
        <f ca="1">[1]!BexGetData("DP_1","00O2TNJGODT0G5Z4TTKYMMI9X","GSON1112060052")</f>
        <v>#NAME?</v>
      </c>
      <c r="T579" s="4" t="e">
        <f ca="1">[1]!BexGetData("DP_1","00O2TNJGODT0G5Z4TTKYMMOLH","GSON1112060052")</f>
        <v>#NAME?</v>
      </c>
      <c r="U579" s="4" t="e">
        <f ca="1">[1]!BexGetData("DP_1","00O2TNJGODT0G5Z4TTKYMMUX1","GSON1112060052")</f>
        <v>#NAME?</v>
      </c>
      <c r="V579" s="4" t="e">
        <f ca="1">[1]!BexGetData("DP_1","00O2TNJGODT0G5Z4TTKYMN18L","GSON1112060052")</f>
        <v>#NAME?</v>
      </c>
      <c r="W579" s="4" t="e">
        <f ca="1">[1]!BexGetData("DP_1","00O2TNJGODT0G5Z4TTKYMN7K5","GSON1112060052")</f>
        <v>#NAME?</v>
      </c>
    </row>
    <row r="580" spans="1:23" x14ac:dyDescent="0.2">
      <c r="A580" s="16" t="s">
        <v>654</v>
      </c>
      <c r="B580" s="7" t="s">
        <v>655</v>
      </c>
      <c r="C580" s="3" t="e">
        <f ca="1">[1]!BexGetData("DP_1","003N8EMH8GTFRCSWKMPXRR8GU","GSON1112060053")</f>
        <v>#NAME?</v>
      </c>
      <c r="D580" s="3" t="e">
        <f ca="1">[1]!BexGetData("DP_1","003N8EMH8GTFRCSWKMPXRRESE","GSON1112060053")</f>
        <v>#NAME?</v>
      </c>
      <c r="E580" s="3" t="e">
        <f ca="1">[1]!BexGetData("DP_1","003N8EMH8GTFRCSWKMPXRRL3Y","GSON1112060053")</f>
        <v>#NAME?</v>
      </c>
      <c r="F580" s="4" t="e">
        <f ca="1">[1]!BexGetData("DP_1","003N8EMH8GTFRCSWKMPXRRRFI","GSON1112060053")</f>
        <v>#NAME?</v>
      </c>
      <c r="G580" s="4" t="e">
        <f ca="1">[1]!BexGetData("DP_1","003N8EMH8GTFRCSWKMPXRRXR2","GSON1112060053")</f>
        <v>#NAME?</v>
      </c>
      <c r="H580" s="4" t="e">
        <f ca="1">[1]!BexGetData("DP_1","003N8EMH8GTFRCSWKMPXRS42M","GSON1112060053")</f>
        <v>#NAME?</v>
      </c>
      <c r="I580" s="4" t="e">
        <f ca="1">[1]!BexGetData("DP_1","003N8EMH8GTFRCSWKMPXRSAE6","GSON1112060053")</f>
        <v>#NAME?</v>
      </c>
      <c r="J580" s="4" t="e">
        <f ca="1">[1]!BexGetData("DP_1","003N8EMH8GTFRCSWKMPXRSGPQ","GSON1112060053")</f>
        <v>#NAME?</v>
      </c>
      <c r="K580" s="3" t="e">
        <f ca="1">[1]!BexGetData("DP_1","003N8EMH8GTFRIVNUPY288VJH","GSON1112060053")</f>
        <v>#NAME?</v>
      </c>
      <c r="L580" s="3" t="e">
        <f ca="1">[1]!BexGetData("DP_1","003N8EMH8GTFRIVNUPY2891V1","GSON1112060053")</f>
        <v>#NAME?</v>
      </c>
      <c r="M580" s="8" t="e">
        <f ca="1">[1]!BexGetData("DP_1","003N8EMH8GTFRIVOG7KG9IQXA","GSON1112060053")</f>
        <v>#NAME?</v>
      </c>
      <c r="N580" s="3" t="e">
        <f ca="1">[1]!BexGetData("DP_1","003N8EMH8GTFRIVOG7KG9IX8U","GSON1112060053")</f>
        <v>#NAME?</v>
      </c>
      <c r="O580" s="8" t="e">
        <f ca="1">[1]!BexGetData("DP_1","003N8EMH8GTFRIVOG7KG9J3KE","GSON1112060053")</f>
        <v>#NAME?</v>
      </c>
      <c r="P580" s="3" t="e">
        <f ca="1">[1]!BexGetData("DP_1","003N8EMH8GTFRIVOG7KG9J9VY","GSON1112060053")</f>
        <v>#NAME?</v>
      </c>
      <c r="Q580" s="4" t="e">
        <f ca="1">[1]!BexGetData("DP_1","00O2TNJGODT0G5Z4TTKYMM5MT","GSON1112060053")</f>
        <v>#NAME?</v>
      </c>
      <c r="R580" s="4" t="e">
        <f ca="1">[1]!BexGetData("DP_1","00O2TNJGODT0G5Z4TTKYMMBYD","GSON1112060053")</f>
        <v>#NAME?</v>
      </c>
      <c r="S580" s="4" t="e">
        <f ca="1">[1]!BexGetData("DP_1","00O2TNJGODT0G5Z4TTKYMMI9X","GSON1112060053")</f>
        <v>#NAME?</v>
      </c>
      <c r="T580" s="4" t="e">
        <f ca="1">[1]!BexGetData("DP_1","00O2TNJGODT0G5Z4TTKYMMOLH","GSON1112060053")</f>
        <v>#NAME?</v>
      </c>
      <c r="U580" s="4" t="e">
        <f ca="1">[1]!BexGetData("DP_1","00O2TNJGODT0G5Z4TTKYMMUX1","GSON1112060053")</f>
        <v>#NAME?</v>
      </c>
      <c r="V580" s="4" t="e">
        <f ca="1">[1]!BexGetData("DP_1","00O2TNJGODT0G5Z4TTKYMN18L","GSON1112060053")</f>
        <v>#NAME?</v>
      </c>
      <c r="W580" s="4" t="e">
        <f ca="1">[1]!BexGetData("DP_1","00O2TNJGODT0G5Z4TTKYMN7K5","GSON1112060053")</f>
        <v>#NAME?</v>
      </c>
    </row>
    <row r="581" spans="1:23" x14ac:dyDescent="0.2">
      <c r="A581" s="16" t="s">
        <v>2534</v>
      </c>
      <c r="B581" s="7" t="s">
        <v>656</v>
      </c>
      <c r="C581" s="3" t="e">
        <f ca="1">[1]!BexGetData("DP_1","003N8EMH8GTFRCSWKMPXRR8GU","GSON1112060054")</f>
        <v>#NAME?</v>
      </c>
      <c r="D581" s="3" t="e">
        <f ca="1">[1]!BexGetData("DP_1","003N8EMH8GTFRCSWKMPXRRESE","GSON1112060054")</f>
        <v>#NAME?</v>
      </c>
      <c r="E581" s="8" t="e">
        <f ca="1">[1]!BexGetData("DP_1","003N8EMH8GTFRCSWKMPXRRL3Y","GSON1112060054")</f>
        <v>#NAME?</v>
      </c>
      <c r="F581" s="4" t="e">
        <f ca="1">[1]!BexGetData("DP_1","003N8EMH8GTFRCSWKMPXRRRFI","GSON1112060054")</f>
        <v>#NAME?</v>
      </c>
      <c r="G581" s="4" t="e">
        <f ca="1">[1]!BexGetData("DP_1","003N8EMH8GTFRCSWKMPXRRXR2","GSON1112060054")</f>
        <v>#NAME?</v>
      </c>
      <c r="H581" s="4" t="e">
        <f ca="1">[1]!BexGetData("DP_1","003N8EMH8GTFRCSWKMPXRS42M","GSON1112060054")</f>
        <v>#NAME?</v>
      </c>
      <c r="I581" s="4" t="e">
        <f ca="1">[1]!BexGetData("DP_1","003N8EMH8GTFRCSWKMPXRSAE6","GSON1112060054")</f>
        <v>#NAME?</v>
      </c>
      <c r="J581" s="4" t="e">
        <f ca="1">[1]!BexGetData("DP_1","003N8EMH8GTFRCSWKMPXRSGPQ","GSON1112060054")</f>
        <v>#NAME?</v>
      </c>
      <c r="K581" s="8" t="e">
        <f ca="1">[1]!BexGetData("DP_1","003N8EMH8GTFRIVNUPY288VJH","GSON1112060054")</f>
        <v>#NAME?</v>
      </c>
      <c r="L581" s="8" t="e">
        <f ca="1">[1]!BexGetData("DP_1","003N8EMH8GTFRIVNUPY2891V1","GSON1112060054")</f>
        <v>#NAME?</v>
      </c>
      <c r="M581" s="8" t="e">
        <f ca="1">[1]!BexGetData("DP_1","003N8EMH8GTFRIVOG7KG9IQXA","GSON1112060054")</f>
        <v>#NAME?</v>
      </c>
      <c r="N581" s="8" t="e">
        <f ca="1">[1]!BexGetData("DP_1","003N8EMH8GTFRIVOG7KG9IX8U","GSON1112060054")</f>
        <v>#NAME?</v>
      </c>
      <c r="O581" s="8" t="e">
        <f ca="1">[1]!BexGetData("DP_1","003N8EMH8GTFRIVOG7KG9J3KE","GSON1112060054")</f>
        <v>#NAME?</v>
      </c>
      <c r="P581" s="8" t="e">
        <f ca="1">[1]!BexGetData("DP_1","003N8EMH8GTFRIVOG7KG9J9VY","GSON1112060054")</f>
        <v>#NAME?</v>
      </c>
      <c r="Q581" s="4" t="e">
        <f ca="1">[1]!BexGetData("DP_1","00O2TNJGODT0G5Z4TTKYMM5MT","GSON1112060054")</f>
        <v>#NAME?</v>
      </c>
      <c r="R581" s="4" t="e">
        <f ca="1">[1]!BexGetData("DP_1","00O2TNJGODT0G5Z4TTKYMMBYD","GSON1112060054")</f>
        <v>#NAME?</v>
      </c>
      <c r="S581" s="4" t="e">
        <f ca="1">[1]!BexGetData("DP_1","00O2TNJGODT0G5Z4TTKYMMI9X","GSON1112060054")</f>
        <v>#NAME?</v>
      </c>
      <c r="T581" s="4" t="e">
        <f ca="1">[1]!BexGetData("DP_1","00O2TNJGODT0G5Z4TTKYMMOLH","GSON1112060054")</f>
        <v>#NAME?</v>
      </c>
      <c r="U581" s="4" t="e">
        <f ca="1">[1]!BexGetData("DP_1","00O2TNJGODT0G5Z4TTKYMMUX1","GSON1112060054")</f>
        <v>#NAME?</v>
      </c>
      <c r="V581" s="4" t="e">
        <f ca="1">[1]!BexGetData("DP_1","00O2TNJGODT0G5Z4TTKYMN18L","GSON1112060054")</f>
        <v>#NAME?</v>
      </c>
      <c r="W581" s="4" t="e">
        <f ca="1">[1]!BexGetData("DP_1","00O2TNJGODT0G5Z4TTKYMN7K5","GSON1112060054")</f>
        <v>#NAME?</v>
      </c>
    </row>
    <row r="582" spans="1:23" x14ac:dyDescent="0.2">
      <c r="A582" s="16" t="s">
        <v>657</v>
      </c>
      <c r="B582" s="7" t="s">
        <v>658</v>
      </c>
      <c r="C582" s="3" t="e">
        <f ca="1">[1]!BexGetData("DP_1","003N8EMH8GTFRCSWKMPXRR8GU","GSON1112060055")</f>
        <v>#NAME?</v>
      </c>
      <c r="D582" s="3" t="e">
        <f ca="1">[1]!BexGetData("DP_1","003N8EMH8GTFRCSWKMPXRRESE","GSON1112060055")</f>
        <v>#NAME?</v>
      </c>
      <c r="E582" s="8" t="e">
        <f ca="1">[1]!BexGetData("DP_1","003N8EMH8GTFRCSWKMPXRRL3Y","GSON1112060055")</f>
        <v>#NAME?</v>
      </c>
      <c r="F582" s="4" t="e">
        <f ca="1">[1]!BexGetData("DP_1","003N8EMH8GTFRCSWKMPXRRRFI","GSON1112060055")</f>
        <v>#NAME?</v>
      </c>
      <c r="G582" s="4" t="e">
        <f ca="1">[1]!BexGetData("DP_1","003N8EMH8GTFRCSWKMPXRRXR2","GSON1112060055")</f>
        <v>#NAME?</v>
      </c>
      <c r="H582" s="4" t="e">
        <f ca="1">[1]!BexGetData("DP_1","003N8EMH8GTFRCSWKMPXRS42M","GSON1112060055")</f>
        <v>#NAME?</v>
      </c>
      <c r="I582" s="4" t="e">
        <f ca="1">[1]!BexGetData("DP_1","003N8EMH8GTFRCSWKMPXRSAE6","GSON1112060055")</f>
        <v>#NAME?</v>
      </c>
      <c r="J582" s="4" t="e">
        <f ca="1">[1]!BexGetData("DP_1","003N8EMH8GTFRCSWKMPXRSGPQ","GSON1112060055")</f>
        <v>#NAME?</v>
      </c>
      <c r="K582" s="8" t="e">
        <f ca="1">[1]!BexGetData("DP_1","003N8EMH8GTFRIVNUPY288VJH","GSON1112060055")</f>
        <v>#NAME?</v>
      </c>
      <c r="L582" s="8" t="e">
        <f ca="1">[1]!BexGetData("DP_1","003N8EMH8GTFRIVNUPY2891V1","GSON1112060055")</f>
        <v>#NAME?</v>
      </c>
      <c r="M582" s="8" t="e">
        <f ca="1">[1]!BexGetData("DP_1","003N8EMH8GTFRIVOG7KG9IQXA","GSON1112060055")</f>
        <v>#NAME?</v>
      </c>
      <c r="N582" s="8" t="e">
        <f ca="1">[1]!BexGetData("DP_1","003N8EMH8GTFRIVOG7KG9IX8U","GSON1112060055")</f>
        <v>#NAME?</v>
      </c>
      <c r="O582" s="8" t="e">
        <f ca="1">[1]!BexGetData("DP_1","003N8EMH8GTFRIVOG7KG9J3KE","GSON1112060055")</f>
        <v>#NAME?</v>
      </c>
      <c r="P582" s="8" t="e">
        <f ca="1">[1]!BexGetData("DP_1","003N8EMH8GTFRIVOG7KG9J9VY","GSON1112060055")</f>
        <v>#NAME?</v>
      </c>
      <c r="Q582" s="4" t="e">
        <f ca="1">[1]!BexGetData("DP_1","00O2TNJGODT0G5Z4TTKYMM5MT","GSON1112060055")</f>
        <v>#NAME?</v>
      </c>
      <c r="R582" s="4" t="e">
        <f ca="1">[1]!BexGetData("DP_1","00O2TNJGODT0G5Z4TTKYMMBYD","GSON1112060055")</f>
        <v>#NAME?</v>
      </c>
      <c r="S582" s="4" t="e">
        <f ca="1">[1]!BexGetData("DP_1","00O2TNJGODT0G5Z4TTKYMMI9X","GSON1112060055")</f>
        <v>#NAME?</v>
      </c>
      <c r="T582" s="4" t="e">
        <f ca="1">[1]!BexGetData("DP_1","00O2TNJGODT0G5Z4TTKYMMOLH","GSON1112060055")</f>
        <v>#NAME?</v>
      </c>
      <c r="U582" s="4" t="e">
        <f ca="1">[1]!BexGetData("DP_1","00O2TNJGODT0G5Z4TTKYMMUX1","GSON1112060055")</f>
        <v>#NAME?</v>
      </c>
      <c r="V582" s="4" t="e">
        <f ca="1">[1]!BexGetData("DP_1","00O2TNJGODT0G5Z4TTKYMN18L","GSON1112060055")</f>
        <v>#NAME?</v>
      </c>
      <c r="W582" s="4" t="e">
        <f ca="1">[1]!BexGetData("DP_1","00O2TNJGODT0G5Z4TTKYMN7K5","GSON1112060055")</f>
        <v>#NAME?</v>
      </c>
    </row>
    <row r="583" spans="1:23" x14ac:dyDescent="0.2">
      <c r="A583" s="16" t="s">
        <v>2535</v>
      </c>
      <c r="B583" s="7" t="s">
        <v>2536</v>
      </c>
      <c r="C583" s="3" t="e">
        <f ca="1">[1]!BexGetData("DP_1","003N8EMH8GTFRCSWKMPXRR8GU","GSON1112060060")</f>
        <v>#NAME?</v>
      </c>
      <c r="D583" s="3" t="e">
        <f ca="1">[1]!BexGetData("DP_1","003N8EMH8GTFRCSWKMPXRRESE","GSON1112060060")</f>
        <v>#NAME?</v>
      </c>
      <c r="E583" s="3" t="e">
        <f ca="1">[1]!BexGetData("DP_1","003N8EMH8GTFRCSWKMPXRRL3Y","GSON1112060060")</f>
        <v>#NAME?</v>
      </c>
      <c r="F583" s="3" t="e">
        <f ca="1">[1]!BexGetData("DP_1","003N8EMH8GTFRCSWKMPXRRRFI","GSON1112060060")</f>
        <v>#NAME?</v>
      </c>
      <c r="G583" s="3" t="e">
        <f ca="1">[1]!BexGetData("DP_1","003N8EMH8GTFRCSWKMPXRRXR2","GSON1112060060")</f>
        <v>#NAME?</v>
      </c>
      <c r="H583" s="8" t="e">
        <f ca="1">[1]!BexGetData("DP_1","003N8EMH8GTFRCSWKMPXRS42M","GSON1112060060")</f>
        <v>#NAME?</v>
      </c>
      <c r="I583" s="3" t="e">
        <f ca="1">[1]!BexGetData("DP_1","003N8EMH8GTFRCSWKMPXRSAE6","GSON1112060060")</f>
        <v>#NAME?</v>
      </c>
      <c r="J583" s="4" t="e">
        <f ca="1">[1]!BexGetData("DP_1","003N8EMH8GTFRCSWKMPXRSGPQ","GSON1112060060")</f>
        <v>#NAME?</v>
      </c>
      <c r="K583" s="3" t="e">
        <f ca="1">[1]!BexGetData("DP_1","003N8EMH8GTFRIVNUPY288VJH","GSON1112060060")</f>
        <v>#NAME?</v>
      </c>
      <c r="L583" s="3" t="e">
        <f ca="1">[1]!BexGetData("DP_1","003N8EMH8GTFRIVNUPY2891V1","GSON1112060060")</f>
        <v>#NAME?</v>
      </c>
      <c r="M583" s="8" t="e">
        <f ca="1">[1]!BexGetData("DP_1","003N8EMH8GTFRIVOG7KG9IQXA","GSON1112060060")</f>
        <v>#NAME?</v>
      </c>
      <c r="N583" s="3" t="e">
        <f ca="1">[1]!BexGetData("DP_1","003N8EMH8GTFRIVOG7KG9IX8U","GSON1112060060")</f>
        <v>#NAME?</v>
      </c>
      <c r="O583" s="8" t="e">
        <f ca="1">[1]!BexGetData("DP_1","003N8EMH8GTFRIVOG7KG9J3KE","GSON1112060060")</f>
        <v>#NAME?</v>
      </c>
      <c r="P583" s="3" t="e">
        <f ca="1">[1]!BexGetData("DP_1","003N8EMH8GTFRIVOG7KG9J9VY","GSON1112060060")</f>
        <v>#NAME?</v>
      </c>
      <c r="Q583" s="4" t="e">
        <f ca="1">[1]!BexGetData("DP_1","00O2TNJGODT0G5Z4TTKYMM5MT","GSON1112060060")</f>
        <v>#NAME?</v>
      </c>
      <c r="R583" s="3" t="e">
        <f ca="1">[1]!BexGetData("DP_1","00O2TNJGODT0G5Z4TTKYMMBYD","GSON1112060060")</f>
        <v>#NAME?</v>
      </c>
      <c r="S583" s="3" t="e">
        <f ca="1">[1]!BexGetData("DP_1","00O2TNJGODT0G5Z4TTKYMMI9X","GSON1112060060")</f>
        <v>#NAME?</v>
      </c>
      <c r="T583" s="8" t="e">
        <f ca="1">[1]!BexGetData("DP_1","00O2TNJGODT0G5Z4TTKYMMOLH","GSON1112060060")</f>
        <v>#NAME?</v>
      </c>
      <c r="U583" s="3" t="e">
        <f ca="1">[1]!BexGetData("DP_1","00O2TNJGODT0G5Z4TTKYMMUX1","GSON1112060060")</f>
        <v>#NAME?</v>
      </c>
      <c r="V583" s="8" t="e">
        <f ca="1">[1]!BexGetData("DP_1","00O2TNJGODT0G5Z4TTKYMN18L","GSON1112060060")</f>
        <v>#NAME?</v>
      </c>
      <c r="W583" s="3" t="e">
        <f ca="1">[1]!BexGetData("DP_1","00O2TNJGODT0G5Z4TTKYMN7K5","GSON1112060060")</f>
        <v>#NAME?</v>
      </c>
    </row>
    <row r="584" spans="1:23" x14ac:dyDescent="0.2">
      <c r="A584" s="16" t="s">
        <v>2537</v>
      </c>
      <c r="B584" s="7" t="s">
        <v>2538</v>
      </c>
      <c r="C584" s="3" t="e">
        <f ca="1">[1]!BexGetData("DP_1","003N8EMH8GTFRCSWKMPXRR8GU","GSON1112060061")</f>
        <v>#NAME?</v>
      </c>
      <c r="D584" s="3" t="e">
        <f ca="1">[1]!BexGetData("DP_1","003N8EMH8GTFRCSWKMPXRRESE","GSON1112060061")</f>
        <v>#NAME?</v>
      </c>
      <c r="E584" s="8" t="e">
        <f ca="1">[1]!BexGetData("DP_1","003N8EMH8GTFRCSWKMPXRRL3Y","GSON1112060061")</f>
        <v>#NAME?</v>
      </c>
      <c r="F584" s="4" t="e">
        <f ca="1">[1]!BexGetData("DP_1","003N8EMH8GTFRCSWKMPXRRRFI","GSON1112060061")</f>
        <v>#NAME?</v>
      </c>
      <c r="G584" s="4" t="e">
        <f ca="1">[1]!BexGetData("DP_1","003N8EMH8GTFRCSWKMPXRRXR2","GSON1112060061")</f>
        <v>#NAME?</v>
      </c>
      <c r="H584" s="4" t="e">
        <f ca="1">[1]!BexGetData("DP_1","003N8EMH8GTFRCSWKMPXRS42M","GSON1112060061")</f>
        <v>#NAME?</v>
      </c>
      <c r="I584" s="4" t="e">
        <f ca="1">[1]!BexGetData("DP_1","003N8EMH8GTFRCSWKMPXRSAE6","GSON1112060061")</f>
        <v>#NAME?</v>
      </c>
      <c r="J584" s="4" t="e">
        <f ca="1">[1]!BexGetData("DP_1","003N8EMH8GTFRCSWKMPXRSGPQ","GSON1112060061")</f>
        <v>#NAME?</v>
      </c>
      <c r="K584" s="8" t="e">
        <f ca="1">[1]!BexGetData("DP_1","003N8EMH8GTFRIVNUPY288VJH","GSON1112060061")</f>
        <v>#NAME?</v>
      </c>
      <c r="L584" s="8" t="e">
        <f ca="1">[1]!BexGetData("DP_1","003N8EMH8GTFRIVNUPY2891V1","GSON1112060061")</f>
        <v>#NAME?</v>
      </c>
      <c r="M584" s="8" t="e">
        <f ca="1">[1]!BexGetData("DP_1","003N8EMH8GTFRIVOG7KG9IQXA","GSON1112060061")</f>
        <v>#NAME?</v>
      </c>
      <c r="N584" s="8" t="e">
        <f ca="1">[1]!BexGetData("DP_1","003N8EMH8GTFRIVOG7KG9IX8U","GSON1112060061")</f>
        <v>#NAME?</v>
      </c>
      <c r="O584" s="8" t="e">
        <f ca="1">[1]!BexGetData("DP_1","003N8EMH8GTFRIVOG7KG9J3KE","GSON1112060061")</f>
        <v>#NAME?</v>
      </c>
      <c r="P584" s="8" t="e">
        <f ca="1">[1]!BexGetData("DP_1","003N8EMH8GTFRIVOG7KG9J9VY","GSON1112060061")</f>
        <v>#NAME?</v>
      </c>
      <c r="Q584" s="4" t="e">
        <f ca="1">[1]!BexGetData("DP_1","00O2TNJGODT0G5Z4TTKYMM5MT","GSON1112060061")</f>
        <v>#NAME?</v>
      </c>
      <c r="R584" s="4" t="e">
        <f ca="1">[1]!BexGetData("DP_1","00O2TNJGODT0G5Z4TTKYMMBYD","GSON1112060061")</f>
        <v>#NAME?</v>
      </c>
      <c r="S584" s="4" t="e">
        <f ca="1">[1]!BexGetData("DP_1","00O2TNJGODT0G5Z4TTKYMMI9X","GSON1112060061")</f>
        <v>#NAME?</v>
      </c>
      <c r="T584" s="4" t="e">
        <f ca="1">[1]!BexGetData("DP_1","00O2TNJGODT0G5Z4TTKYMMOLH","GSON1112060061")</f>
        <v>#NAME?</v>
      </c>
      <c r="U584" s="4" t="e">
        <f ca="1">[1]!BexGetData("DP_1","00O2TNJGODT0G5Z4TTKYMMUX1","GSON1112060061")</f>
        <v>#NAME?</v>
      </c>
      <c r="V584" s="4" t="e">
        <f ca="1">[1]!BexGetData("DP_1","00O2TNJGODT0G5Z4TTKYMN18L","GSON1112060061")</f>
        <v>#NAME?</v>
      </c>
      <c r="W584" s="4" t="e">
        <f ca="1">[1]!BexGetData("DP_1","00O2TNJGODT0G5Z4TTKYMN7K5","GSON1112060061")</f>
        <v>#NAME?</v>
      </c>
    </row>
    <row r="585" spans="1:23" x14ac:dyDescent="0.2">
      <c r="A585" s="16" t="s">
        <v>2539</v>
      </c>
      <c r="B585" s="7" t="s">
        <v>2540</v>
      </c>
      <c r="C585" s="3" t="e">
        <f ca="1">[1]!BexGetData("DP_1","003N8EMH8GTFRCSWKMPXRR8GU","GSON1112060064")</f>
        <v>#NAME?</v>
      </c>
      <c r="D585" s="3" t="e">
        <f ca="1">[1]!BexGetData("DP_1","003N8EMH8GTFRCSWKMPXRRESE","GSON1112060064")</f>
        <v>#NAME?</v>
      </c>
      <c r="E585" s="8" t="e">
        <f ca="1">[1]!BexGetData("DP_1","003N8EMH8GTFRCSWKMPXRRL3Y","GSON1112060064")</f>
        <v>#NAME?</v>
      </c>
      <c r="F585" s="4" t="e">
        <f ca="1">[1]!BexGetData("DP_1","003N8EMH8GTFRCSWKMPXRRRFI","GSON1112060064")</f>
        <v>#NAME?</v>
      </c>
      <c r="G585" s="4" t="e">
        <f ca="1">[1]!BexGetData("DP_1","003N8EMH8GTFRCSWKMPXRRXR2","GSON1112060064")</f>
        <v>#NAME?</v>
      </c>
      <c r="H585" s="4" t="e">
        <f ca="1">[1]!BexGetData("DP_1","003N8EMH8GTFRCSWKMPXRS42M","GSON1112060064")</f>
        <v>#NAME?</v>
      </c>
      <c r="I585" s="4" t="e">
        <f ca="1">[1]!BexGetData("DP_1","003N8EMH8GTFRCSWKMPXRSAE6","GSON1112060064")</f>
        <v>#NAME?</v>
      </c>
      <c r="J585" s="4" t="e">
        <f ca="1">[1]!BexGetData("DP_1","003N8EMH8GTFRCSWKMPXRSGPQ","GSON1112060064")</f>
        <v>#NAME?</v>
      </c>
      <c r="K585" s="8" t="e">
        <f ca="1">[1]!BexGetData("DP_1","003N8EMH8GTFRIVNUPY288VJH","GSON1112060064")</f>
        <v>#NAME?</v>
      </c>
      <c r="L585" s="8" t="e">
        <f ca="1">[1]!BexGetData("DP_1","003N8EMH8GTFRIVNUPY2891V1","GSON1112060064")</f>
        <v>#NAME?</v>
      </c>
      <c r="M585" s="8" t="e">
        <f ca="1">[1]!BexGetData("DP_1","003N8EMH8GTFRIVOG7KG9IQXA","GSON1112060064")</f>
        <v>#NAME?</v>
      </c>
      <c r="N585" s="8" t="e">
        <f ca="1">[1]!BexGetData("DP_1","003N8EMH8GTFRIVOG7KG9IX8U","GSON1112060064")</f>
        <v>#NAME?</v>
      </c>
      <c r="O585" s="8" t="e">
        <f ca="1">[1]!BexGetData("DP_1","003N8EMH8GTFRIVOG7KG9J3KE","GSON1112060064")</f>
        <v>#NAME?</v>
      </c>
      <c r="P585" s="8" t="e">
        <f ca="1">[1]!BexGetData("DP_1","003N8EMH8GTFRIVOG7KG9J9VY","GSON1112060064")</f>
        <v>#NAME?</v>
      </c>
      <c r="Q585" s="4" t="e">
        <f ca="1">[1]!BexGetData("DP_1","00O2TNJGODT0G5Z4TTKYMM5MT","GSON1112060064")</f>
        <v>#NAME?</v>
      </c>
      <c r="R585" s="4" t="e">
        <f ca="1">[1]!BexGetData("DP_1","00O2TNJGODT0G5Z4TTKYMMBYD","GSON1112060064")</f>
        <v>#NAME?</v>
      </c>
      <c r="S585" s="4" t="e">
        <f ca="1">[1]!BexGetData("DP_1","00O2TNJGODT0G5Z4TTKYMMI9X","GSON1112060064")</f>
        <v>#NAME?</v>
      </c>
      <c r="T585" s="4" t="e">
        <f ca="1">[1]!BexGetData("DP_1","00O2TNJGODT0G5Z4TTKYMMOLH","GSON1112060064")</f>
        <v>#NAME?</v>
      </c>
      <c r="U585" s="4" t="e">
        <f ca="1">[1]!BexGetData("DP_1","00O2TNJGODT0G5Z4TTKYMMUX1","GSON1112060064")</f>
        <v>#NAME?</v>
      </c>
      <c r="V585" s="4" t="e">
        <f ca="1">[1]!BexGetData("DP_1","00O2TNJGODT0G5Z4TTKYMN18L","GSON1112060064")</f>
        <v>#NAME?</v>
      </c>
      <c r="W585" s="4" t="e">
        <f ca="1">[1]!BexGetData("DP_1","00O2TNJGODT0G5Z4TTKYMN7K5","GSON1112060064")</f>
        <v>#NAME?</v>
      </c>
    </row>
    <row r="586" spans="1:23" x14ac:dyDescent="0.2">
      <c r="A586" s="16" t="s">
        <v>2541</v>
      </c>
      <c r="B586" s="7" t="s">
        <v>2542</v>
      </c>
      <c r="C586" s="3" t="e">
        <f ca="1">[1]!BexGetData("DP_1","003N8EMH8GTFRCSWKMPXRR8GU","GSON1112060065")</f>
        <v>#NAME?</v>
      </c>
      <c r="D586" s="3" t="e">
        <f ca="1">[1]!BexGetData("DP_1","003N8EMH8GTFRCSWKMPXRRESE","GSON1112060065")</f>
        <v>#NAME?</v>
      </c>
      <c r="E586" s="8" t="e">
        <f ca="1">[1]!BexGetData("DP_1","003N8EMH8GTFRCSWKMPXRRL3Y","GSON1112060065")</f>
        <v>#NAME?</v>
      </c>
      <c r="F586" s="4" t="e">
        <f ca="1">[1]!BexGetData("DP_1","003N8EMH8GTFRCSWKMPXRRRFI","GSON1112060065")</f>
        <v>#NAME?</v>
      </c>
      <c r="G586" s="4" t="e">
        <f ca="1">[1]!BexGetData("DP_1","003N8EMH8GTFRCSWKMPXRRXR2","GSON1112060065")</f>
        <v>#NAME?</v>
      </c>
      <c r="H586" s="4" t="e">
        <f ca="1">[1]!BexGetData("DP_1","003N8EMH8GTFRCSWKMPXRS42M","GSON1112060065")</f>
        <v>#NAME?</v>
      </c>
      <c r="I586" s="4" t="e">
        <f ca="1">[1]!BexGetData("DP_1","003N8EMH8GTFRCSWKMPXRSAE6","GSON1112060065")</f>
        <v>#NAME?</v>
      </c>
      <c r="J586" s="4" t="e">
        <f ca="1">[1]!BexGetData("DP_1","003N8EMH8GTFRCSWKMPXRSGPQ","GSON1112060065")</f>
        <v>#NAME?</v>
      </c>
      <c r="K586" s="8" t="e">
        <f ca="1">[1]!BexGetData("DP_1","003N8EMH8GTFRIVNUPY288VJH","GSON1112060065")</f>
        <v>#NAME?</v>
      </c>
      <c r="L586" s="8" t="e">
        <f ca="1">[1]!BexGetData("DP_1","003N8EMH8GTFRIVNUPY2891V1","GSON1112060065")</f>
        <v>#NAME?</v>
      </c>
      <c r="M586" s="8" t="e">
        <f ca="1">[1]!BexGetData("DP_1","003N8EMH8GTFRIVOG7KG9IQXA","GSON1112060065")</f>
        <v>#NAME?</v>
      </c>
      <c r="N586" s="8" t="e">
        <f ca="1">[1]!BexGetData("DP_1","003N8EMH8GTFRIVOG7KG9IX8U","GSON1112060065")</f>
        <v>#NAME?</v>
      </c>
      <c r="O586" s="8" t="e">
        <f ca="1">[1]!BexGetData("DP_1","003N8EMH8GTFRIVOG7KG9J3KE","GSON1112060065")</f>
        <v>#NAME?</v>
      </c>
      <c r="P586" s="8" t="e">
        <f ca="1">[1]!BexGetData("DP_1","003N8EMH8GTFRIVOG7KG9J9VY","GSON1112060065")</f>
        <v>#NAME?</v>
      </c>
      <c r="Q586" s="4" t="e">
        <f ca="1">[1]!BexGetData("DP_1","00O2TNJGODT0G5Z4TTKYMM5MT","GSON1112060065")</f>
        <v>#NAME?</v>
      </c>
      <c r="R586" s="4" t="e">
        <f ca="1">[1]!BexGetData("DP_1","00O2TNJGODT0G5Z4TTKYMMBYD","GSON1112060065")</f>
        <v>#NAME?</v>
      </c>
      <c r="S586" s="4" t="e">
        <f ca="1">[1]!BexGetData("DP_1","00O2TNJGODT0G5Z4TTKYMMI9X","GSON1112060065")</f>
        <v>#NAME?</v>
      </c>
      <c r="T586" s="4" t="e">
        <f ca="1">[1]!BexGetData("DP_1","00O2TNJGODT0G5Z4TTKYMMOLH","GSON1112060065")</f>
        <v>#NAME?</v>
      </c>
      <c r="U586" s="4" t="e">
        <f ca="1">[1]!BexGetData("DP_1","00O2TNJGODT0G5Z4TTKYMMUX1","GSON1112060065")</f>
        <v>#NAME?</v>
      </c>
      <c r="V586" s="4" t="e">
        <f ca="1">[1]!BexGetData("DP_1","00O2TNJGODT0G5Z4TTKYMN18L","GSON1112060065")</f>
        <v>#NAME?</v>
      </c>
      <c r="W586" s="4" t="e">
        <f ca="1">[1]!BexGetData("DP_1","00O2TNJGODT0G5Z4TTKYMN7K5","GSON1112060065")</f>
        <v>#NAME?</v>
      </c>
    </row>
    <row r="587" spans="1:23" x14ac:dyDescent="0.2">
      <c r="A587" s="16" t="s">
        <v>2543</v>
      </c>
      <c r="B587" s="7" t="s">
        <v>2544</v>
      </c>
      <c r="C587" s="3" t="e">
        <f ca="1">[1]!BexGetData("DP_1","003N8EMH8GTFRCSWKMPXRR8GU","GSON1112060070")</f>
        <v>#NAME?</v>
      </c>
      <c r="D587" s="3" t="e">
        <f ca="1">[1]!BexGetData("DP_1","003N8EMH8GTFRCSWKMPXRRESE","GSON1112060070")</f>
        <v>#NAME?</v>
      </c>
      <c r="E587" s="3" t="e">
        <f ca="1">[1]!BexGetData("DP_1","003N8EMH8GTFRCSWKMPXRRL3Y","GSON1112060070")</f>
        <v>#NAME?</v>
      </c>
      <c r="F587" s="3" t="e">
        <f ca="1">[1]!BexGetData("DP_1","003N8EMH8GTFRCSWKMPXRRRFI","GSON1112060070")</f>
        <v>#NAME?</v>
      </c>
      <c r="G587" s="3" t="e">
        <f ca="1">[1]!BexGetData("DP_1","003N8EMH8GTFRCSWKMPXRRXR2","GSON1112060070")</f>
        <v>#NAME?</v>
      </c>
      <c r="H587" s="8" t="e">
        <f ca="1">[1]!BexGetData("DP_1","003N8EMH8GTFRCSWKMPXRS42M","GSON1112060070")</f>
        <v>#NAME?</v>
      </c>
      <c r="I587" s="3" t="e">
        <f ca="1">[1]!BexGetData("DP_1","003N8EMH8GTFRCSWKMPXRSAE6","GSON1112060070")</f>
        <v>#NAME?</v>
      </c>
      <c r="J587" s="4" t="e">
        <f ca="1">[1]!BexGetData("DP_1","003N8EMH8GTFRCSWKMPXRSGPQ","GSON1112060070")</f>
        <v>#NAME?</v>
      </c>
      <c r="K587" s="3" t="e">
        <f ca="1">[1]!BexGetData("DP_1","003N8EMH8GTFRIVNUPY288VJH","GSON1112060070")</f>
        <v>#NAME?</v>
      </c>
      <c r="L587" s="3" t="e">
        <f ca="1">[1]!BexGetData("DP_1","003N8EMH8GTFRIVNUPY2891V1","GSON1112060070")</f>
        <v>#NAME?</v>
      </c>
      <c r="M587" s="8" t="e">
        <f ca="1">[1]!BexGetData("DP_1","003N8EMH8GTFRIVOG7KG9IQXA","GSON1112060070")</f>
        <v>#NAME?</v>
      </c>
      <c r="N587" s="3" t="e">
        <f ca="1">[1]!BexGetData("DP_1","003N8EMH8GTFRIVOG7KG9IX8U","GSON1112060070")</f>
        <v>#NAME?</v>
      </c>
      <c r="O587" s="8" t="e">
        <f ca="1">[1]!BexGetData("DP_1","003N8EMH8GTFRIVOG7KG9J3KE","GSON1112060070")</f>
        <v>#NAME?</v>
      </c>
      <c r="P587" s="3" t="e">
        <f ca="1">[1]!BexGetData("DP_1","003N8EMH8GTFRIVOG7KG9J9VY","GSON1112060070")</f>
        <v>#NAME?</v>
      </c>
      <c r="Q587" s="4" t="e">
        <f ca="1">[1]!BexGetData("DP_1","00O2TNJGODT0G5Z4TTKYMM5MT","GSON1112060070")</f>
        <v>#NAME?</v>
      </c>
      <c r="R587" s="3" t="e">
        <f ca="1">[1]!BexGetData("DP_1","00O2TNJGODT0G5Z4TTKYMMBYD","GSON1112060070")</f>
        <v>#NAME?</v>
      </c>
      <c r="S587" s="3" t="e">
        <f ca="1">[1]!BexGetData("DP_1","00O2TNJGODT0G5Z4TTKYMMI9X","GSON1112060070")</f>
        <v>#NAME?</v>
      </c>
      <c r="T587" s="8" t="e">
        <f ca="1">[1]!BexGetData("DP_1","00O2TNJGODT0G5Z4TTKYMMOLH","GSON1112060070")</f>
        <v>#NAME?</v>
      </c>
      <c r="U587" s="3" t="e">
        <f ca="1">[1]!BexGetData("DP_1","00O2TNJGODT0G5Z4TTKYMMUX1","GSON1112060070")</f>
        <v>#NAME?</v>
      </c>
      <c r="V587" s="8" t="e">
        <f ca="1">[1]!BexGetData("DP_1","00O2TNJGODT0G5Z4TTKYMN18L","GSON1112060070")</f>
        <v>#NAME?</v>
      </c>
      <c r="W587" s="3" t="e">
        <f ca="1">[1]!BexGetData("DP_1","00O2TNJGODT0G5Z4TTKYMN7K5","GSON1112060070")</f>
        <v>#NAME?</v>
      </c>
    </row>
    <row r="588" spans="1:23" x14ac:dyDescent="0.2">
      <c r="A588" s="16" t="s">
        <v>2545</v>
      </c>
      <c r="B588" s="7" t="s">
        <v>2546</v>
      </c>
      <c r="C588" s="3" t="e">
        <f ca="1">[1]!BexGetData("DP_1","003N8EMH8GTFRCSWKMPXRR8GU","GSON1112060071")</f>
        <v>#NAME?</v>
      </c>
      <c r="D588" s="3" t="e">
        <f ca="1">[1]!BexGetData("DP_1","003N8EMH8GTFRCSWKMPXRRESE","GSON1112060071")</f>
        <v>#NAME?</v>
      </c>
      <c r="E588" s="8" t="e">
        <f ca="1">[1]!BexGetData("DP_1","003N8EMH8GTFRCSWKMPXRRL3Y","GSON1112060071")</f>
        <v>#NAME?</v>
      </c>
      <c r="F588" s="4" t="e">
        <f ca="1">[1]!BexGetData("DP_1","003N8EMH8GTFRCSWKMPXRRRFI","GSON1112060071")</f>
        <v>#NAME?</v>
      </c>
      <c r="G588" s="4" t="e">
        <f ca="1">[1]!BexGetData("DP_1","003N8EMH8GTFRCSWKMPXRRXR2","GSON1112060071")</f>
        <v>#NAME?</v>
      </c>
      <c r="H588" s="4" t="e">
        <f ca="1">[1]!BexGetData("DP_1","003N8EMH8GTFRCSWKMPXRS42M","GSON1112060071")</f>
        <v>#NAME?</v>
      </c>
      <c r="I588" s="4" t="e">
        <f ca="1">[1]!BexGetData("DP_1","003N8EMH8GTFRCSWKMPXRSAE6","GSON1112060071")</f>
        <v>#NAME?</v>
      </c>
      <c r="J588" s="4" t="e">
        <f ca="1">[1]!BexGetData("DP_1","003N8EMH8GTFRCSWKMPXRSGPQ","GSON1112060071")</f>
        <v>#NAME?</v>
      </c>
      <c r="K588" s="8" t="e">
        <f ca="1">[1]!BexGetData("DP_1","003N8EMH8GTFRIVNUPY288VJH","GSON1112060071")</f>
        <v>#NAME?</v>
      </c>
      <c r="L588" s="8" t="e">
        <f ca="1">[1]!BexGetData("DP_1","003N8EMH8GTFRIVNUPY2891V1","GSON1112060071")</f>
        <v>#NAME?</v>
      </c>
      <c r="M588" s="8" t="e">
        <f ca="1">[1]!BexGetData("DP_1","003N8EMH8GTFRIVOG7KG9IQXA","GSON1112060071")</f>
        <v>#NAME?</v>
      </c>
      <c r="N588" s="8" t="e">
        <f ca="1">[1]!BexGetData("DP_1","003N8EMH8GTFRIVOG7KG9IX8U","GSON1112060071")</f>
        <v>#NAME?</v>
      </c>
      <c r="O588" s="8" t="e">
        <f ca="1">[1]!BexGetData("DP_1","003N8EMH8GTFRIVOG7KG9J3KE","GSON1112060071")</f>
        <v>#NAME?</v>
      </c>
      <c r="P588" s="8" t="e">
        <f ca="1">[1]!BexGetData("DP_1","003N8EMH8GTFRIVOG7KG9J9VY","GSON1112060071")</f>
        <v>#NAME?</v>
      </c>
      <c r="Q588" s="4" t="e">
        <f ca="1">[1]!BexGetData("DP_1","00O2TNJGODT0G5Z4TTKYMM5MT","GSON1112060071")</f>
        <v>#NAME?</v>
      </c>
      <c r="R588" s="4" t="e">
        <f ca="1">[1]!BexGetData("DP_1","00O2TNJGODT0G5Z4TTKYMMBYD","GSON1112060071")</f>
        <v>#NAME?</v>
      </c>
      <c r="S588" s="4" t="e">
        <f ca="1">[1]!BexGetData("DP_1","00O2TNJGODT0G5Z4TTKYMMI9X","GSON1112060071")</f>
        <v>#NAME?</v>
      </c>
      <c r="T588" s="4" t="e">
        <f ca="1">[1]!BexGetData("DP_1","00O2TNJGODT0G5Z4TTKYMMOLH","GSON1112060071")</f>
        <v>#NAME?</v>
      </c>
      <c r="U588" s="4" t="e">
        <f ca="1">[1]!BexGetData("DP_1","00O2TNJGODT0G5Z4TTKYMMUX1","GSON1112060071")</f>
        <v>#NAME?</v>
      </c>
      <c r="V588" s="4" t="e">
        <f ca="1">[1]!BexGetData("DP_1","00O2TNJGODT0G5Z4TTKYMN18L","GSON1112060071")</f>
        <v>#NAME?</v>
      </c>
      <c r="W588" s="4" t="e">
        <f ca="1">[1]!BexGetData("DP_1","00O2TNJGODT0G5Z4TTKYMN7K5","GSON1112060071")</f>
        <v>#NAME?</v>
      </c>
    </row>
    <row r="589" spans="1:23" x14ac:dyDescent="0.2">
      <c r="A589" s="16" t="s">
        <v>2547</v>
      </c>
      <c r="B589" s="7" t="s">
        <v>2548</v>
      </c>
      <c r="C589" s="3" t="e">
        <f ca="1">[1]!BexGetData("DP_1","003N8EMH8GTFRCSWKMPXRR8GU","GSON1112060074")</f>
        <v>#NAME?</v>
      </c>
      <c r="D589" s="3" t="e">
        <f ca="1">[1]!BexGetData("DP_1","003N8EMH8GTFRCSWKMPXRRESE","GSON1112060074")</f>
        <v>#NAME?</v>
      </c>
      <c r="E589" s="8" t="e">
        <f ca="1">[1]!BexGetData("DP_1","003N8EMH8GTFRCSWKMPXRRL3Y","GSON1112060074")</f>
        <v>#NAME?</v>
      </c>
      <c r="F589" s="4" t="e">
        <f ca="1">[1]!BexGetData("DP_1","003N8EMH8GTFRCSWKMPXRRRFI","GSON1112060074")</f>
        <v>#NAME?</v>
      </c>
      <c r="G589" s="4" t="e">
        <f ca="1">[1]!BexGetData("DP_1","003N8EMH8GTFRCSWKMPXRRXR2","GSON1112060074")</f>
        <v>#NAME?</v>
      </c>
      <c r="H589" s="4" t="e">
        <f ca="1">[1]!BexGetData("DP_1","003N8EMH8GTFRCSWKMPXRS42M","GSON1112060074")</f>
        <v>#NAME?</v>
      </c>
      <c r="I589" s="4" t="e">
        <f ca="1">[1]!BexGetData("DP_1","003N8EMH8GTFRCSWKMPXRSAE6","GSON1112060074")</f>
        <v>#NAME?</v>
      </c>
      <c r="J589" s="4" t="e">
        <f ca="1">[1]!BexGetData("DP_1","003N8EMH8GTFRCSWKMPXRSGPQ","GSON1112060074")</f>
        <v>#NAME?</v>
      </c>
      <c r="K589" s="8" t="e">
        <f ca="1">[1]!BexGetData("DP_1","003N8EMH8GTFRIVNUPY288VJH","GSON1112060074")</f>
        <v>#NAME?</v>
      </c>
      <c r="L589" s="8" t="e">
        <f ca="1">[1]!BexGetData("DP_1","003N8EMH8GTFRIVNUPY2891V1","GSON1112060074")</f>
        <v>#NAME?</v>
      </c>
      <c r="M589" s="8" t="e">
        <f ca="1">[1]!BexGetData("DP_1","003N8EMH8GTFRIVOG7KG9IQXA","GSON1112060074")</f>
        <v>#NAME?</v>
      </c>
      <c r="N589" s="8" t="e">
        <f ca="1">[1]!BexGetData("DP_1","003N8EMH8GTFRIVOG7KG9IX8U","GSON1112060074")</f>
        <v>#NAME?</v>
      </c>
      <c r="O589" s="8" t="e">
        <f ca="1">[1]!BexGetData("DP_1","003N8EMH8GTFRIVOG7KG9J3KE","GSON1112060074")</f>
        <v>#NAME?</v>
      </c>
      <c r="P589" s="8" t="e">
        <f ca="1">[1]!BexGetData("DP_1","003N8EMH8GTFRIVOG7KG9J9VY","GSON1112060074")</f>
        <v>#NAME?</v>
      </c>
      <c r="Q589" s="4" t="e">
        <f ca="1">[1]!BexGetData("DP_1","00O2TNJGODT0G5Z4TTKYMM5MT","GSON1112060074")</f>
        <v>#NAME?</v>
      </c>
      <c r="R589" s="4" t="e">
        <f ca="1">[1]!BexGetData("DP_1","00O2TNJGODT0G5Z4TTKYMMBYD","GSON1112060074")</f>
        <v>#NAME?</v>
      </c>
      <c r="S589" s="4" t="e">
        <f ca="1">[1]!BexGetData("DP_1","00O2TNJGODT0G5Z4TTKYMMI9X","GSON1112060074")</f>
        <v>#NAME?</v>
      </c>
      <c r="T589" s="4" t="e">
        <f ca="1">[1]!BexGetData("DP_1","00O2TNJGODT0G5Z4TTKYMMOLH","GSON1112060074")</f>
        <v>#NAME?</v>
      </c>
      <c r="U589" s="4" t="e">
        <f ca="1">[1]!BexGetData("DP_1","00O2TNJGODT0G5Z4TTKYMMUX1","GSON1112060074")</f>
        <v>#NAME?</v>
      </c>
      <c r="V589" s="4" t="e">
        <f ca="1">[1]!BexGetData("DP_1","00O2TNJGODT0G5Z4TTKYMN18L","GSON1112060074")</f>
        <v>#NAME?</v>
      </c>
      <c r="W589" s="4" t="e">
        <f ca="1">[1]!BexGetData("DP_1","00O2TNJGODT0G5Z4TTKYMN7K5","GSON1112060074")</f>
        <v>#NAME?</v>
      </c>
    </row>
    <row r="590" spans="1:23" x14ac:dyDescent="0.2">
      <c r="A590" s="16" t="s">
        <v>2549</v>
      </c>
      <c r="B590" s="7" t="s">
        <v>2550</v>
      </c>
      <c r="C590" s="3" t="e">
        <f ca="1">[1]!BexGetData("DP_1","003N8EMH8GTFRCSWKMPXRR8GU","GSON1112060075")</f>
        <v>#NAME?</v>
      </c>
      <c r="D590" s="3" t="e">
        <f ca="1">[1]!BexGetData("DP_1","003N8EMH8GTFRCSWKMPXRRESE","GSON1112060075")</f>
        <v>#NAME?</v>
      </c>
      <c r="E590" s="8" t="e">
        <f ca="1">[1]!BexGetData("DP_1","003N8EMH8GTFRCSWKMPXRRL3Y","GSON1112060075")</f>
        <v>#NAME?</v>
      </c>
      <c r="F590" s="4" t="e">
        <f ca="1">[1]!BexGetData("DP_1","003N8EMH8GTFRCSWKMPXRRRFI","GSON1112060075")</f>
        <v>#NAME?</v>
      </c>
      <c r="G590" s="4" t="e">
        <f ca="1">[1]!BexGetData("DP_1","003N8EMH8GTFRCSWKMPXRRXR2","GSON1112060075")</f>
        <v>#NAME?</v>
      </c>
      <c r="H590" s="4" t="e">
        <f ca="1">[1]!BexGetData("DP_1","003N8EMH8GTFRCSWKMPXRS42M","GSON1112060075")</f>
        <v>#NAME?</v>
      </c>
      <c r="I590" s="4" t="e">
        <f ca="1">[1]!BexGetData("DP_1","003N8EMH8GTFRCSWKMPXRSAE6","GSON1112060075")</f>
        <v>#NAME?</v>
      </c>
      <c r="J590" s="4" t="e">
        <f ca="1">[1]!BexGetData("DP_1","003N8EMH8GTFRCSWKMPXRSGPQ","GSON1112060075")</f>
        <v>#NAME?</v>
      </c>
      <c r="K590" s="8" t="e">
        <f ca="1">[1]!BexGetData("DP_1","003N8EMH8GTFRIVNUPY288VJH","GSON1112060075")</f>
        <v>#NAME?</v>
      </c>
      <c r="L590" s="8" t="e">
        <f ca="1">[1]!BexGetData("DP_1","003N8EMH8GTFRIVNUPY2891V1","GSON1112060075")</f>
        <v>#NAME?</v>
      </c>
      <c r="M590" s="8" t="e">
        <f ca="1">[1]!BexGetData("DP_1","003N8EMH8GTFRIVOG7KG9IQXA","GSON1112060075")</f>
        <v>#NAME?</v>
      </c>
      <c r="N590" s="8" t="e">
        <f ca="1">[1]!BexGetData("DP_1","003N8EMH8GTFRIVOG7KG9IX8U","GSON1112060075")</f>
        <v>#NAME?</v>
      </c>
      <c r="O590" s="8" t="e">
        <f ca="1">[1]!BexGetData("DP_1","003N8EMH8GTFRIVOG7KG9J3KE","GSON1112060075")</f>
        <v>#NAME?</v>
      </c>
      <c r="P590" s="8" t="e">
        <f ca="1">[1]!BexGetData("DP_1","003N8EMH8GTFRIVOG7KG9J9VY","GSON1112060075")</f>
        <v>#NAME?</v>
      </c>
      <c r="Q590" s="4" t="e">
        <f ca="1">[1]!BexGetData("DP_1","00O2TNJGODT0G5Z4TTKYMM5MT","GSON1112060075")</f>
        <v>#NAME?</v>
      </c>
      <c r="R590" s="4" t="e">
        <f ca="1">[1]!BexGetData("DP_1","00O2TNJGODT0G5Z4TTKYMMBYD","GSON1112060075")</f>
        <v>#NAME?</v>
      </c>
      <c r="S590" s="4" t="e">
        <f ca="1">[1]!BexGetData("DP_1","00O2TNJGODT0G5Z4TTKYMMI9X","GSON1112060075")</f>
        <v>#NAME?</v>
      </c>
      <c r="T590" s="4" t="e">
        <f ca="1">[1]!BexGetData("DP_1","00O2TNJGODT0G5Z4TTKYMMOLH","GSON1112060075")</f>
        <v>#NAME?</v>
      </c>
      <c r="U590" s="4" t="e">
        <f ca="1">[1]!BexGetData("DP_1","00O2TNJGODT0G5Z4TTKYMMUX1","GSON1112060075")</f>
        <v>#NAME?</v>
      </c>
      <c r="V590" s="4" t="e">
        <f ca="1">[1]!BexGetData("DP_1","00O2TNJGODT0G5Z4TTKYMN18L","GSON1112060075")</f>
        <v>#NAME?</v>
      </c>
      <c r="W590" s="4" t="e">
        <f ca="1">[1]!BexGetData("DP_1","00O2TNJGODT0G5Z4TTKYMN7K5","GSON1112060075")</f>
        <v>#NAME?</v>
      </c>
    </row>
    <row r="591" spans="1:23" x14ac:dyDescent="0.2">
      <c r="A591" s="16" t="s">
        <v>2551</v>
      </c>
      <c r="B591" s="7" t="s">
        <v>2552</v>
      </c>
      <c r="C591" s="3" t="e">
        <f ca="1">[1]!BexGetData("DP_1","003N8EMH8GTFRCSWKMPXRR8GU","GSON1112060080")</f>
        <v>#NAME?</v>
      </c>
      <c r="D591" s="3" t="e">
        <f ca="1">[1]!BexGetData("DP_1","003N8EMH8GTFRCSWKMPXRRESE","GSON1112060080")</f>
        <v>#NAME?</v>
      </c>
      <c r="E591" s="3" t="e">
        <f ca="1">[1]!BexGetData("DP_1","003N8EMH8GTFRCSWKMPXRRL3Y","GSON1112060080")</f>
        <v>#NAME?</v>
      </c>
      <c r="F591" s="3" t="e">
        <f ca="1">[1]!BexGetData("DP_1","003N8EMH8GTFRCSWKMPXRRRFI","GSON1112060080")</f>
        <v>#NAME?</v>
      </c>
      <c r="G591" s="3" t="e">
        <f ca="1">[1]!BexGetData("DP_1","003N8EMH8GTFRCSWKMPXRRXR2","GSON1112060080")</f>
        <v>#NAME?</v>
      </c>
      <c r="H591" s="8" t="e">
        <f ca="1">[1]!BexGetData("DP_1","003N8EMH8GTFRCSWKMPXRS42M","GSON1112060080")</f>
        <v>#NAME?</v>
      </c>
      <c r="I591" s="3" t="e">
        <f ca="1">[1]!BexGetData("DP_1","003N8EMH8GTFRCSWKMPXRSAE6","GSON1112060080")</f>
        <v>#NAME?</v>
      </c>
      <c r="J591" s="4" t="e">
        <f ca="1">[1]!BexGetData("DP_1","003N8EMH8GTFRCSWKMPXRSGPQ","GSON1112060080")</f>
        <v>#NAME?</v>
      </c>
      <c r="K591" s="3" t="e">
        <f ca="1">[1]!BexGetData("DP_1","003N8EMH8GTFRIVNUPY288VJH","GSON1112060080")</f>
        <v>#NAME?</v>
      </c>
      <c r="L591" s="3" t="e">
        <f ca="1">[1]!BexGetData("DP_1","003N8EMH8GTFRIVNUPY2891V1","GSON1112060080")</f>
        <v>#NAME?</v>
      </c>
      <c r="M591" s="3" t="e">
        <f ca="1">[1]!BexGetData("DP_1","003N8EMH8GTFRIVOG7KG9IQXA","GSON1112060080")</f>
        <v>#NAME?</v>
      </c>
      <c r="N591" s="8" t="e">
        <f ca="1">[1]!BexGetData("DP_1","003N8EMH8GTFRIVOG7KG9IX8U","GSON1112060080")</f>
        <v>#NAME?</v>
      </c>
      <c r="O591" s="3" t="e">
        <f ca="1">[1]!BexGetData("DP_1","003N8EMH8GTFRIVOG7KG9J3KE","GSON1112060080")</f>
        <v>#NAME?</v>
      </c>
      <c r="P591" s="8" t="e">
        <f ca="1">[1]!BexGetData("DP_1","003N8EMH8GTFRIVOG7KG9J9VY","GSON1112060080")</f>
        <v>#NAME?</v>
      </c>
      <c r="Q591" s="4" t="e">
        <f ca="1">[1]!BexGetData("DP_1","00O2TNJGODT0G5Z4TTKYMM5MT","GSON1112060080")</f>
        <v>#NAME?</v>
      </c>
      <c r="R591" s="3" t="e">
        <f ca="1">[1]!BexGetData("DP_1","00O2TNJGODT0G5Z4TTKYMMBYD","GSON1112060080")</f>
        <v>#NAME?</v>
      </c>
      <c r="S591" s="3" t="e">
        <f ca="1">[1]!BexGetData("DP_1","00O2TNJGODT0G5Z4TTKYMMI9X","GSON1112060080")</f>
        <v>#NAME?</v>
      </c>
      <c r="T591" s="8" t="e">
        <f ca="1">[1]!BexGetData("DP_1","00O2TNJGODT0G5Z4TTKYMMOLH","GSON1112060080")</f>
        <v>#NAME?</v>
      </c>
      <c r="U591" s="3" t="e">
        <f ca="1">[1]!BexGetData("DP_1","00O2TNJGODT0G5Z4TTKYMMUX1","GSON1112060080")</f>
        <v>#NAME?</v>
      </c>
      <c r="V591" s="8" t="e">
        <f ca="1">[1]!BexGetData("DP_1","00O2TNJGODT0G5Z4TTKYMN18L","GSON1112060080")</f>
        <v>#NAME?</v>
      </c>
      <c r="W591" s="3" t="e">
        <f ca="1">[1]!BexGetData("DP_1","00O2TNJGODT0G5Z4TTKYMN7K5","GSON1112060080")</f>
        <v>#NAME?</v>
      </c>
    </row>
    <row r="592" spans="1:23" x14ac:dyDescent="0.2">
      <c r="A592" s="16" t="s">
        <v>2553</v>
      </c>
      <c r="B592" s="7" t="s">
        <v>2554</v>
      </c>
      <c r="C592" s="3" t="e">
        <f ca="1">[1]!BexGetData("DP_1","003N8EMH8GTFRCSWKMPXRR8GU","GSON1112060081")</f>
        <v>#NAME?</v>
      </c>
      <c r="D592" s="3" t="e">
        <f ca="1">[1]!BexGetData("DP_1","003N8EMH8GTFRCSWKMPXRRESE","GSON1112060081")</f>
        <v>#NAME?</v>
      </c>
      <c r="E592" s="8" t="e">
        <f ca="1">[1]!BexGetData("DP_1","003N8EMH8GTFRCSWKMPXRRL3Y","GSON1112060081")</f>
        <v>#NAME?</v>
      </c>
      <c r="F592" s="4" t="e">
        <f ca="1">[1]!BexGetData("DP_1","003N8EMH8GTFRCSWKMPXRRRFI","GSON1112060081")</f>
        <v>#NAME?</v>
      </c>
      <c r="G592" s="4" t="e">
        <f ca="1">[1]!BexGetData("DP_1","003N8EMH8GTFRCSWKMPXRRXR2","GSON1112060081")</f>
        <v>#NAME?</v>
      </c>
      <c r="H592" s="4" t="e">
        <f ca="1">[1]!BexGetData("DP_1","003N8EMH8GTFRCSWKMPXRS42M","GSON1112060081")</f>
        <v>#NAME?</v>
      </c>
      <c r="I592" s="4" t="e">
        <f ca="1">[1]!BexGetData("DP_1","003N8EMH8GTFRCSWKMPXRSAE6","GSON1112060081")</f>
        <v>#NAME?</v>
      </c>
      <c r="J592" s="4" t="e">
        <f ca="1">[1]!BexGetData("DP_1","003N8EMH8GTFRCSWKMPXRSGPQ","GSON1112060081")</f>
        <v>#NAME?</v>
      </c>
      <c r="K592" s="8" t="e">
        <f ca="1">[1]!BexGetData("DP_1","003N8EMH8GTFRIVNUPY288VJH","GSON1112060081")</f>
        <v>#NAME?</v>
      </c>
      <c r="L592" s="8" t="e">
        <f ca="1">[1]!BexGetData("DP_1","003N8EMH8GTFRIVNUPY2891V1","GSON1112060081")</f>
        <v>#NAME?</v>
      </c>
      <c r="M592" s="8" t="e">
        <f ca="1">[1]!BexGetData("DP_1","003N8EMH8GTFRIVOG7KG9IQXA","GSON1112060081")</f>
        <v>#NAME?</v>
      </c>
      <c r="N592" s="8" t="e">
        <f ca="1">[1]!BexGetData("DP_1","003N8EMH8GTFRIVOG7KG9IX8U","GSON1112060081")</f>
        <v>#NAME?</v>
      </c>
      <c r="O592" s="8" t="e">
        <f ca="1">[1]!BexGetData("DP_1","003N8EMH8GTFRIVOG7KG9J3KE","GSON1112060081")</f>
        <v>#NAME?</v>
      </c>
      <c r="P592" s="8" t="e">
        <f ca="1">[1]!BexGetData("DP_1","003N8EMH8GTFRIVOG7KG9J9VY","GSON1112060081")</f>
        <v>#NAME?</v>
      </c>
      <c r="Q592" s="4" t="e">
        <f ca="1">[1]!BexGetData("DP_1","00O2TNJGODT0G5Z4TTKYMM5MT","GSON1112060081")</f>
        <v>#NAME?</v>
      </c>
      <c r="R592" s="4" t="e">
        <f ca="1">[1]!BexGetData("DP_1","00O2TNJGODT0G5Z4TTKYMMBYD","GSON1112060081")</f>
        <v>#NAME?</v>
      </c>
      <c r="S592" s="4" t="e">
        <f ca="1">[1]!BexGetData("DP_1","00O2TNJGODT0G5Z4TTKYMMI9X","GSON1112060081")</f>
        <v>#NAME?</v>
      </c>
      <c r="T592" s="4" t="e">
        <f ca="1">[1]!BexGetData("DP_1","00O2TNJGODT0G5Z4TTKYMMOLH","GSON1112060081")</f>
        <v>#NAME?</v>
      </c>
      <c r="U592" s="4" t="e">
        <f ca="1">[1]!BexGetData("DP_1","00O2TNJGODT0G5Z4TTKYMMUX1","GSON1112060081")</f>
        <v>#NAME?</v>
      </c>
      <c r="V592" s="4" t="e">
        <f ca="1">[1]!BexGetData("DP_1","00O2TNJGODT0G5Z4TTKYMN18L","GSON1112060081")</f>
        <v>#NAME?</v>
      </c>
      <c r="W592" s="4" t="e">
        <f ca="1">[1]!BexGetData("DP_1","00O2TNJGODT0G5Z4TTKYMN7K5","GSON1112060081")</f>
        <v>#NAME?</v>
      </c>
    </row>
    <row r="593" spans="1:23" x14ac:dyDescent="0.2">
      <c r="A593" s="16" t="s">
        <v>2555</v>
      </c>
      <c r="B593" s="7" t="s">
        <v>2556</v>
      </c>
      <c r="C593" s="3" t="e">
        <f ca="1">[1]!BexGetData("DP_1","003N8EMH8GTFRCSWKMPXRR8GU","GSON1112060083")</f>
        <v>#NAME?</v>
      </c>
      <c r="D593" s="3" t="e">
        <f ca="1">[1]!BexGetData("DP_1","003N8EMH8GTFRCSWKMPXRRESE","GSON1112060083")</f>
        <v>#NAME?</v>
      </c>
      <c r="E593" s="8" t="e">
        <f ca="1">[1]!BexGetData("DP_1","003N8EMH8GTFRCSWKMPXRRL3Y","GSON1112060083")</f>
        <v>#NAME?</v>
      </c>
      <c r="F593" s="4" t="e">
        <f ca="1">[1]!BexGetData("DP_1","003N8EMH8GTFRCSWKMPXRRRFI","GSON1112060083")</f>
        <v>#NAME?</v>
      </c>
      <c r="G593" s="4" t="e">
        <f ca="1">[1]!BexGetData("DP_1","003N8EMH8GTFRCSWKMPXRRXR2","GSON1112060083")</f>
        <v>#NAME?</v>
      </c>
      <c r="H593" s="4" t="e">
        <f ca="1">[1]!BexGetData("DP_1","003N8EMH8GTFRCSWKMPXRS42M","GSON1112060083")</f>
        <v>#NAME?</v>
      </c>
      <c r="I593" s="4" t="e">
        <f ca="1">[1]!BexGetData("DP_1","003N8EMH8GTFRCSWKMPXRSAE6","GSON1112060083")</f>
        <v>#NAME?</v>
      </c>
      <c r="J593" s="4" t="e">
        <f ca="1">[1]!BexGetData("DP_1","003N8EMH8GTFRCSWKMPXRSGPQ","GSON1112060083")</f>
        <v>#NAME?</v>
      </c>
      <c r="K593" s="8" t="e">
        <f ca="1">[1]!BexGetData("DP_1","003N8EMH8GTFRIVNUPY288VJH","GSON1112060083")</f>
        <v>#NAME?</v>
      </c>
      <c r="L593" s="8" t="e">
        <f ca="1">[1]!BexGetData("DP_1","003N8EMH8GTFRIVNUPY2891V1","GSON1112060083")</f>
        <v>#NAME?</v>
      </c>
      <c r="M593" s="8" t="e">
        <f ca="1">[1]!BexGetData("DP_1","003N8EMH8GTFRIVOG7KG9IQXA","GSON1112060083")</f>
        <v>#NAME?</v>
      </c>
      <c r="N593" s="8" t="e">
        <f ca="1">[1]!BexGetData("DP_1","003N8EMH8GTFRIVOG7KG9IX8U","GSON1112060083")</f>
        <v>#NAME?</v>
      </c>
      <c r="O593" s="8" t="e">
        <f ca="1">[1]!BexGetData("DP_1","003N8EMH8GTFRIVOG7KG9J3KE","GSON1112060083")</f>
        <v>#NAME?</v>
      </c>
      <c r="P593" s="8" t="e">
        <f ca="1">[1]!BexGetData("DP_1","003N8EMH8GTFRIVOG7KG9J9VY","GSON1112060083")</f>
        <v>#NAME?</v>
      </c>
      <c r="Q593" s="4" t="e">
        <f ca="1">[1]!BexGetData("DP_1","00O2TNJGODT0G5Z4TTKYMM5MT","GSON1112060083")</f>
        <v>#NAME?</v>
      </c>
      <c r="R593" s="4" t="e">
        <f ca="1">[1]!BexGetData("DP_1","00O2TNJGODT0G5Z4TTKYMMBYD","GSON1112060083")</f>
        <v>#NAME?</v>
      </c>
      <c r="S593" s="4" t="e">
        <f ca="1">[1]!BexGetData("DP_1","00O2TNJGODT0G5Z4TTKYMMI9X","GSON1112060083")</f>
        <v>#NAME?</v>
      </c>
      <c r="T593" s="4" t="e">
        <f ca="1">[1]!BexGetData("DP_1","00O2TNJGODT0G5Z4TTKYMMOLH","GSON1112060083")</f>
        <v>#NAME?</v>
      </c>
      <c r="U593" s="4" t="e">
        <f ca="1">[1]!BexGetData("DP_1","00O2TNJGODT0G5Z4TTKYMMUX1","GSON1112060083")</f>
        <v>#NAME?</v>
      </c>
      <c r="V593" s="4" t="e">
        <f ca="1">[1]!BexGetData("DP_1","00O2TNJGODT0G5Z4TTKYMN18L","GSON1112060083")</f>
        <v>#NAME?</v>
      </c>
      <c r="W593" s="4" t="e">
        <f ca="1">[1]!BexGetData("DP_1","00O2TNJGODT0G5Z4TTKYMN7K5","GSON1112060083")</f>
        <v>#NAME?</v>
      </c>
    </row>
    <row r="594" spans="1:23" x14ac:dyDescent="0.2">
      <c r="A594" s="16" t="s">
        <v>2557</v>
      </c>
      <c r="B594" s="7" t="s">
        <v>2558</v>
      </c>
      <c r="C594" s="3" t="e">
        <f ca="1">[1]!BexGetData("DP_1","003N8EMH8GTFRCSWKMPXRR8GU","GSON1112060084")</f>
        <v>#NAME?</v>
      </c>
      <c r="D594" s="3" t="e">
        <f ca="1">[1]!BexGetData("DP_1","003N8EMH8GTFRCSWKMPXRRESE","GSON1112060084")</f>
        <v>#NAME?</v>
      </c>
      <c r="E594" s="8" t="e">
        <f ca="1">[1]!BexGetData("DP_1","003N8EMH8GTFRCSWKMPXRRL3Y","GSON1112060084")</f>
        <v>#NAME?</v>
      </c>
      <c r="F594" s="4" t="e">
        <f ca="1">[1]!BexGetData("DP_1","003N8EMH8GTFRCSWKMPXRRRFI","GSON1112060084")</f>
        <v>#NAME?</v>
      </c>
      <c r="G594" s="4" t="e">
        <f ca="1">[1]!BexGetData("DP_1","003N8EMH8GTFRCSWKMPXRRXR2","GSON1112060084")</f>
        <v>#NAME?</v>
      </c>
      <c r="H594" s="4" t="e">
        <f ca="1">[1]!BexGetData("DP_1","003N8EMH8GTFRCSWKMPXRS42M","GSON1112060084")</f>
        <v>#NAME?</v>
      </c>
      <c r="I594" s="4" t="e">
        <f ca="1">[1]!BexGetData("DP_1","003N8EMH8GTFRCSWKMPXRSAE6","GSON1112060084")</f>
        <v>#NAME?</v>
      </c>
      <c r="J594" s="4" t="e">
        <f ca="1">[1]!BexGetData("DP_1","003N8EMH8GTFRCSWKMPXRSGPQ","GSON1112060084")</f>
        <v>#NAME?</v>
      </c>
      <c r="K594" s="8" t="e">
        <f ca="1">[1]!BexGetData("DP_1","003N8EMH8GTFRIVNUPY288VJH","GSON1112060084")</f>
        <v>#NAME?</v>
      </c>
      <c r="L594" s="8" t="e">
        <f ca="1">[1]!BexGetData("DP_1","003N8EMH8GTFRIVNUPY2891V1","GSON1112060084")</f>
        <v>#NAME?</v>
      </c>
      <c r="M594" s="8" t="e">
        <f ca="1">[1]!BexGetData("DP_1","003N8EMH8GTFRIVOG7KG9IQXA","GSON1112060084")</f>
        <v>#NAME?</v>
      </c>
      <c r="N594" s="8" t="e">
        <f ca="1">[1]!BexGetData("DP_1","003N8EMH8GTFRIVOG7KG9IX8U","GSON1112060084")</f>
        <v>#NAME?</v>
      </c>
      <c r="O594" s="8" t="e">
        <f ca="1">[1]!BexGetData("DP_1","003N8EMH8GTFRIVOG7KG9J3KE","GSON1112060084")</f>
        <v>#NAME?</v>
      </c>
      <c r="P594" s="8" t="e">
        <f ca="1">[1]!BexGetData("DP_1","003N8EMH8GTFRIVOG7KG9J9VY","GSON1112060084")</f>
        <v>#NAME?</v>
      </c>
      <c r="Q594" s="4" t="e">
        <f ca="1">[1]!BexGetData("DP_1","00O2TNJGODT0G5Z4TTKYMM5MT","GSON1112060084")</f>
        <v>#NAME?</v>
      </c>
      <c r="R594" s="4" t="e">
        <f ca="1">[1]!BexGetData("DP_1","00O2TNJGODT0G5Z4TTKYMMBYD","GSON1112060084")</f>
        <v>#NAME?</v>
      </c>
      <c r="S594" s="4" t="e">
        <f ca="1">[1]!BexGetData("DP_1","00O2TNJGODT0G5Z4TTKYMMI9X","GSON1112060084")</f>
        <v>#NAME?</v>
      </c>
      <c r="T594" s="4" t="e">
        <f ca="1">[1]!BexGetData("DP_1","00O2TNJGODT0G5Z4TTKYMMOLH","GSON1112060084")</f>
        <v>#NAME?</v>
      </c>
      <c r="U594" s="4" t="e">
        <f ca="1">[1]!BexGetData("DP_1","00O2TNJGODT0G5Z4TTKYMMUX1","GSON1112060084")</f>
        <v>#NAME?</v>
      </c>
      <c r="V594" s="4" t="e">
        <f ca="1">[1]!BexGetData("DP_1","00O2TNJGODT0G5Z4TTKYMN18L","GSON1112060084")</f>
        <v>#NAME?</v>
      </c>
      <c r="W594" s="4" t="e">
        <f ca="1">[1]!BexGetData("DP_1","00O2TNJGODT0G5Z4TTKYMN7K5","GSON1112060084")</f>
        <v>#NAME?</v>
      </c>
    </row>
    <row r="595" spans="1:23" x14ac:dyDescent="0.2">
      <c r="A595" s="16" t="s">
        <v>2559</v>
      </c>
      <c r="B595" s="7" t="s">
        <v>2560</v>
      </c>
      <c r="C595" s="3" t="e">
        <f ca="1">[1]!BexGetData("DP_1","003N8EMH8GTFRCSWKMPXRR8GU","GSON1112060085")</f>
        <v>#NAME?</v>
      </c>
      <c r="D595" s="3" t="e">
        <f ca="1">[1]!BexGetData("DP_1","003N8EMH8GTFRCSWKMPXRRESE","GSON1112060085")</f>
        <v>#NAME?</v>
      </c>
      <c r="E595" s="8" t="e">
        <f ca="1">[1]!BexGetData("DP_1","003N8EMH8GTFRCSWKMPXRRL3Y","GSON1112060085")</f>
        <v>#NAME?</v>
      </c>
      <c r="F595" s="4" t="e">
        <f ca="1">[1]!BexGetData("DP_1","003N8EMH8GTFRCSWKMPXRRRFI","GSON1112060085")</f>
        <v>#NAME?</v>
      </c>
      <c r="G595" s="4" t="e">
        <f ca="1">[1]!BexGetData("DP_1","003N8EMH8GTFRCSWKMPXRRXR2","GSON1112060085")</f>
        <v>#NAME?</v>
      </c>
      <c r="H595" s="4" t="e">
        <f ca="1">[1]!BexGetData("DP_1","003N8EMH8GTFRCSWKMPXRS42M","GSON1112060085")</f>
        <v>#NAME?</v>
      </c>
      <c r="I595" s="4" t="e">
        <f ca="1">[1]!BexGetData("DP_1","003N8EMH8GTFRCSWKMPXRSAE6","GSON1112060085")</f>
        <v>#NAME?</v>
      </c>
      <c r="J595" s="4" t="e">
        <f ca="1">[1]!BexGetData("DP_1","003N8EMH8GTFRCSWKMPXRSGPQ","GSON1112060085")</f>
        <v>#NAME?</v>
      </c>
      <c r="K595" s="8" t="e">
        <f ca="1">[1]!BexGetData("DP_1","003N8EMH8GTFRIVNUPY288VJH","GSON1112060085")</f>
        <v>#NAME?</v>
      </c>
      <c r="L595" s="8" t="e">
        <f ca="1">[1]!BexGetData("DP_1","003N8EMH8GTFRIVNUPY2891V1","GSON1112060085")</f>
        <v>#NAME?</v>
      </c>
      <c r="M595" s="8" t="e">
        <f ca="1">[1]!BexGetData("DP_1","003N8EMH8GTFRIVOG7KG9IQXA","GSON1112060085")</f>
        <v>#NAME?</v>
      </c>
      <c r="N595" s="8" t="e">
        <f ca="1">[1]!BexGetData("DP_1","003N8EMH8GTFRIVOG7KG9IX8U","GSON1112060085")</f>
        <v>#NAME?</v>
      </c>
      <c r="O595" s="8" t="e">
        <f ca="1">[1]!BexGetData("DP_1","003N8EMH8GTFRIVOG7KG9J3KE","GSON1112060085")</f>
        <v>#NAME?</v>
      </c>
      <c r="P595" s="8" t="e">
        <f ca="1">[1]!BexGetData("DP_1","003N8EMH8GTFRIVOG7KG9J9VY","GSON1112060085")</f>
        <v>#NAME?</v>
      </c>
      <c r="Q595" s="4" t="e">
        <f ca="1">[1]!BexGetData("DP_1","00O2TNJGODT0G5Z4TTKYMM5MT","GSON1112060085")</f>
        <v>#NAME?</v>
      </c>
      <c r="R595" s="4" t="e">
        <f ca="1">[1]!BexGetData("DP_1","00O2TNJGODT0G5Z4TTKYMMBYD","GSON1112060085")</f>
        <v>#NAME?</v>
      </c>
      <c r="S595" s="4" t="e">
        <f ca="1">[1]!BexGetData("DP_1","00O2TNJGODT0G5Z4TTKYMMI9X","GSON1112060085")</f>
        <v>#NAME?</v>
      </c>
      <c r="T595" s="4" t="e">
        <f ca="1">[1]!BexGetData("DP_1","00O2TNJGODT0G5Z4TTKYMMOLH","GSON1112060085")</f>
        <v>#NAME?</v>
      </c>
      <c r="U595" s="4" t="e">
        <f ca="1">[1]!BexGetData("DP_1","00O2TNJGODT0G5Z4TTKYMMUX1","GSON1112060085")</f>
        <v>#NAME?</v>
      </c>
      <c r="V595" s="4" t="e">
        <f ca="1">[1]!BexGetData("DP_1","00O2TNJGODT0G5Z4TTKYMN18L","GSON1112060085")</f>
        <v>#NAME?</v>
      </c>
      <c r="W595" s="4" t="e">
        <f ca="1">[1]!BexGetData("DP_1","00O2TNJGODT0G5Z4TTKYMN7K5","GSON1112060085")</f>
        <v>#NAME?</v>
      </c>
    </row>
    <row r="596" spans="1:23" x14ac:dyDescent="0.2">
      <c r="A596" s="16" t="s">
        <v>2561</v>
      </c>
      <c r="B596" s="7" t="s">
        <v>2562</v>
      </c>
      <c r="C596" s="3" t="e">
        <f ca="1">[1]!BexGetData("DP_1","003N8EMH8GTFRCSWKMPXRR8GU","GSON1112060090")</f>
        <v>#NAME?</v>
      </c>
      <c r="D596" s="3" t="e">
        <f ca="1">[1]!BexGetData("DP_1","003N8EMH8GTFRCSWKMPXRRESE","GSON1112060090")</f>
        <v>#NAME?</v>
      </c>
      <c r="E596" s="3" t="e">
        <f ca="1">[1]!BexGetData("DP_1","003N8EMH8GTFRCSWKMPXRRL3Y","GSON1112060090")</f>
        <v>#NAME?</v>
      </c>
      <c r="F596" s="3" t="e">
        <f ca="1">[1]!BexGetData("DP_1","003N8EMH8GTFRCSWKMPXRRRFI","GSON1112060090")</f>
        <v>#NAME?</v>
      </c>
      <c r="G596" s="3" t="e">
        <f ca="1">[1]!BexGetData("DP_1","003N8EMH8GTFRCSWKMPXRRXR2","GSON1112060090")</f>
        <v>#NAME?</v>
      </c>
      <c r="H596" s="8" t="e">
        <f ca="1">[1]!BexGetData("DP_1","003N8EMH8GTFRCSWKMPXRS42M","GSON1112060090")</f>
        <v>#NAME?</v>
      </c>
      <c r="I596" s="3" t="e">
        <f ca="1">[1]!BexGetData("DP_1","003N8EMH8GTFRCSWKMPXRSAE6","GSON1112060090")</f>
        <v>#NAME?</v>
      </c>
      <c r="J596" s="4" t="e">
        <f ca="1">[1]!BexGetData("DP_1","003N8EMH8GTFRCSWKMPXRSGPQ","GSON1112060090")</f>
        <v>#NAME?</v>
      </c>
      <c r="K596" s="3" t="e">
        <f ca="1">[1]!BexGetData("DP_1","003N8EMH8GTFRIVNUPY288VJH","GSON1112060090")</f>
        <v>#NAME?</v>
      </c>
      <c r="L596" s="3" t="e">
        <f ca="1">[1]!BexGetData("DP_1","003N8EMH8GTFRIVNUPY2891V1","GSON1112060090")</f>
        <v>#NAME?</v>
      </c>
      <c r="M596" s="8" t="e">
        <f ca="1">[1]!BexGetData("DP_1","003N8EMH8GTFRIVOG7KG9IQXA","GSON1112060090")</f>
        <v>#NAME?</v>
      </c>
      <c r="N596" s="3" t="e">
        <f ca="1">[1]!BexGetData("DP_1","003N8EMH8GTFRIVOG7KG9IX8U","GSON1112060090")</f>
        <v>#NAME?</v>
      </c>
      <c r="O596" s="8" t="e">
        <f ca="1">[1]!BexGetData("DP_1","003N8EMH8GTFRIVOG7KG9J3KE","GSON1112060090")</f>
        <v>#NAME?</v>
      </c>
      <c r="P596" s="3" t="e">
        <f ca="1">[1]!BexGetData("DP_1","003N8EMH8GTFRIVOG7KG9J9VY","GSON1112060090")</f>
        <v>#NAME?</v>
      </c>
      <c r="Q596" s="4" t="e">
        <f ca="1">[1]!BexGetData("DP_1","00O2TNJGODT0G5Z4TTKYMM5MT","GSON1112060090")</f>
        <v>#NAME?</v>
      </c>
      <c r="R596" s="3" t="e">
        <f ca="1">[1]!BexGetData("DP_1","00O2TNJGODT0G5Z4TTKYMMBYD","GSON1112060090")</f>
        <v>#NAME?</v>
      </c>
      <c r="S596" s="3" t="e">
        <f ca="1">[1]!BexGetData("DP_1","00O2TNJGODT0G5Z4TTKYMMI9X","GSON1112060090")</f>
        <v>#NAME?</v>
      </c>
      <c r="T596" s="8" t="e">
        <f ca="1">[1]!BexGetData("DP_1","00O2TNJGODT0G5Z4TTKYMMOLH","GSON1112060090")</f>
        <v>#NAME?</v>
      </c>
      <c r="U596" s="3" t="e">
        <f ca="1">[1]!BexGetData("DP_1","00O2TNJGODT0G5Z4TTKYMMUX1","GSON1112060090")</f>
        <v>#NAME?</v>
      </c>
      <c r="V596" s="8" t="e">
        <f ca="1">[1]!BexGetData("DP_1","00O2TNJGODT0G5Z4TTKYMN18L","GSON1112060090")</f>
        <v>#NAME?</v>
      </c>
      <c r="W596" s="3" t="e">
        <f ca="1">[1]!BexGetData("DP_1","00O2TNJGODT0G5Z4TTKYMN7K5","GSON1112060090")</f>
        <v>#NAME?</v>
      </c>
    </row>
    <row r="597" spans="1:23" x14ac:dyDescent="0.2">
      <c r="A597" s="16" t="s">
        <v>2563</v>
      </c>
      <c r="B597" s="7" t="s">
        <v>2564</v>
      </c>
      <c r="C597" s="3" t="e">
        <f ca="1">[1]!BexGetData("DP_1","003N8EMH8GTFRCSWKMPXRR8GU","GSON1112060091")</f>
        <v>#NAME?</v>
      </c>
      <c r="D597" s="3" t="e">
        <f ca="1">[1]!BexGetData("DP_1","003N8EMH8GTFRCSWKMPXRRESE","GSON1112060091")</f>
        <v>#NAME?</v>
      </c>
      <c r="E597" s="8" t="e">
        <f ca="1">[1]!BexGetData("DP_1","003N8EMH8GTFRCSWKMPXRRL3Y","GSON1112060091")</f>
        <v>#NAME?</v>
      </c>
      <c r="F597" s="4" t="e">
        <f ca="1">[1]!BexGetData("DP_1","003N8EMH8GTFRCSWKMPXRRRFI","GSON1112060091")</f>
        <v>#NAME?</v>
      </c>
      <c r="G597" s="4" t="e">
        <f ca="1">[1]!BexGetData("DP_1","003N8EMH8GTFRCSWKMPXRRXR2","GSON1112060091")</f>
        <v>#NAME?</v>
      </c>
      <c r="H597" s="4" t="e">
        <f ca="1">[1]!BexGetData("DP_1","003N8EMH8GTFRCSWKMPXRS42M","GSON1112060091")</f>
        <v>#NAME?</v>
      </c>
      <c r="I597" s="4" t="e">
        <f ca="1">[1]!BexGetData("DP_1","003N8EMH8GTFRCSWKMPXRSAE6","GSON1112060091")</f>
        <v>#NAME?</v>
      </c>
      <c r="J597" s="4" t="e">
        <f ca="1">[1]!BexGetData("DP_1","003N8EMH8GTFRCSWKMPXRSGPQ","GSON1112060091")</f>
        <v>#NAME?</v>
      </c>
      <c r="K597" s="8" t="e">
        <f ca="1">[1]!BexGetData("DP_1","003N8EMH8GTFRIVNUPY288VJH","GSON1112060091")</f>
        <v>#NAME?</v>
      </c>
      <c r="L597" s="8" t="e">
        <f ca="1">[1]!BexGetData("DP_1","003N8EMH8GTFRIVNUPY2891V1","GSON1112060091")</f>
        <v>#NAME?</v>
      </c>
      <c r="M597" s="8" t="e">
        <f ca="1">[1]!BexGetData("DP_1","003N8EMH8GTFRIVOG7KG9IQXA","GSON1112060091")</f>
        <v>#NAME?</v>
      </c>
      <c r="N597" s="8" t="e">
        <f ca="1">[1]!BexGetData("DP_1","003N8EMH8GTFRIVOG7KG9IX8U","GSON1112060091")</f>
        <v>#NAME?</v>
      </c>
      <c r="O597" s="8" t="e">
        <f ca="1">[1]!BexGetData("DP_1","003N8EMH8GTFRIVOG7KG9J3KE","GSON1112060091")</f>
        <v>#NAME?</v>
      </c>
      <c r="P597" s="8" t="e">
        <f ca="1">[1]!BexGetData("DP_1","003N8EMH8GTFRIVOG7KG9J9VY","GSON1112060091")</f>
        <v>#NAME?</v>
      </c>
      <c r="Q597" s="4" t="e">
        <f ca="1">[1]!BexGetData("DP_1","00O2TNJGODT0G5Z4TTKYMM5MT","GSON1112060091")</f>
        <v>#NAME?</v>
      </c>
      <c r="R597" s="4" t="e">
        <f ca="1">[1]!BexGetData("DP_1","00O2TNJGODT0G5Z4TTKYMMBYD","GSON1112060091")</f>
        <v>#NAME?</v>
      </c>
      <c r="S597" s="4" t="e">
        <f ca="1">[1]!BexGetData("DP_1","00O2TNJGODT0G5Z4TTKYMMI9X","GSON1112060091")</f>
        <v>#NAME?</v>
      </c>
      <c r="T597" s="4" t="e">
        <f ca="1">[1]!BexGetData("DP_1","00O2TNJGODT0G5Z4TTKYMMOLH","GSON1112060091")</f>
        <v>#NAME?</v>
      </c>
      <c r="U597" s="4" t="e">
        <f ca="1">[1]!BexGetData("DP_1","00O2TNJGODT0G5Z4TTKYMMUX1","GSON1112060091")</f>
        <v>#NAME?</v>
      </c>
      <c r="V597" s="4" t="e">
        <f ca="1">[1]!BexGetData("DP_1","00O2TNJGODT0G5Z4TTKYMN18L","GSON1112060091")</f>
        <v>#NAME?</v>
      </c>
      <c r="W597" s="4" t="e">
        <f ca="1">[1]!BexGetData("DP_1","00O2TNJGODT0G5Z4TTKYMN7K5","GSON1112060091")</f>
        <v>#NAME?</v>
      </c>
    </row>
    <row r="598" spans="1:23" x14ac:dyDescent="0.2">
      <c r="A598" s="16" t="s">
        <v>2565</v>
      </c>
      <c r="B598" s="7" t="s">
        <v>2566</v>
      </c>
      <c r="C598" s="3" t="e">
        <f ca="1">[1]!BexGetData("DP_1","003N8EMH8GTFRCSWKMPXRR8GU","GSON1112060094")</f>
        <v>#NAME?</v>
      </c>
      <c r="D598" s="3" t="e">
        <f ca="1">[1]!BexGetData("DP_1","003N8EMH8GTFRCSWKMPXRRESE","GSON1112060094")</f>
        <v>#NAME?</v>
      </c>
      <c r="E598" s="8" t="e">
        <f ca="1">[1]!BexGetData("DP_1","003N8EMH8GTFRCSWKMPXRRL3Y","GSON1112060094")</f>
        <v>#NAME?</v>
      </c>
      <c r="F598" s="4" t="e">
        <f ca="1">[1]!BexGetData("DP_1","003N8EMH8GTFRCSWKMPXRRRFI","GSON1112060094")</f>
        <v>#NAME?</v>
      </c>
      <c r="G598" s="4" t="e">
        <f ca="1">[1]!BexGetData("DP_1","003N8EMH8GTFRCSWKMPXRRXR2","GSON1112060094")</f>
        <v>#NAME?</v>
      </c>
      <c r="H598" s="4" t="e">
        <f ca="1">[1]!BexGetData("DP_1","003N8EMH8GTFRCSWKMPXRS42M","GSON1112060094")</f>
        <v>#NAME?</v>
      </c>
      <c r="I598" s="4" t="e">
        <f ca="1">[1]!BexGetData("DP_1","003N8EMH8GTFRCSWKMPXRSAE6","GSON1112060094")</f>
        <v>#NAME?</v>
      </c>
      <c r="J598" s="4" t="e">
        <f ca="1">[1]!BexGetData("DP_1","003N8EMH8GTFRCSWKMPXRSGPQ","GSON1112060094")</f>
        <v>#NAME?</v>
      </c>
      <c r="K598" s="8" t="e">
        <f ca="1">[1]!BexGetData("DP_1","003N8EMH8GTFRIVNUPY288VJH","GSON1112060094")</f>
        <v>#NAME?</v>
      </c>
      <c r="L598" s="8" t="e">
        <f ca="1">[1]!BexGetData("DP_1","003N8EMH8GTFRIVNUPY2891V1","GSON1112060094")</f>
        <v>#NAME?</v>
      </c>
      <c r="M598" s="8" t="e">
        <f ca="1">[1]!BexGetData("DP_1","003N8EMH8GTFRIVOG7KG9IQXA","GSON1112060094")</f>
        <v>#NAME?</v>
      </c>
      <c r="N598" s="8" t="e">
        <f ca="1">[1]!BexGetData("DP_1","003N8EMH8GTFRIVOG7KG9IX8U","GSON1112060094")</f>
        <v>#NAME?</v>
      </c>
      <c r="O598" s="8" t="e">
        <f ca="1">[1]!BexGetData("DP_1","003N8EMH8GTFRIVOG7KG9J3KE","GSON1112060094")</f>
        <v>#NAME?</v>
      </c>
      <c r="P598" s="8" t="e">
        <f ca="1">[1]!BexGetData("DP_1","003N8EMH8GTFRIVOG7KG9J9VY","GSON1112060094")</f>
        <v>#NAME?</v>
      </c>
      <c r="Q598" s="4" t="e">
        <f ca="1">[1]!BexGetData("DP_1","00O2TNJGODT0G5Z4TTKYMM5MT","GSON1112060094")</f>
        <v>#NAME?</v>
      </c>
      <c r="R598" s="4" t="e">
        <f ca="1">[1]!BexGetData("DP_1","00O2TNJGODT0G5Z4TTKYMMBYD","GSON1112060094")</f>
        <v>#NAME?</v>
      </c>
      <c r="S598" s="4" t="e">
        <f ca="1">[1]!BexGetData("DP_1","00O2TNJGODT0G5Z4TTKYMMI9X","GSON1112060094")</f>
        <v>#NAME?</v>
      </c>
      <c r="T598" s="4" t="e">
        <f ca="1">[1]!BexGetData("DP_1","00O2TNJGODT0G5Z4TTKYMMOLH","GSON1112060094")</f>
        <v>#NAME?</v>
      </c>
      <c r="U598" s="4" t="e">
        <f ca="1">[1]!BexGetData("DP_1","00O2TNJGODT0G5Z4TTKYMMUX1","GSON1112060094")</f>
        <v>#NAME?</v>
      </c>
      <c r="V598" s="4" t="e">
        <f ca="1">[1]!BexGetData("DP_1","00O2TNJGODT0G5Z4TTKYMN18L","GSON1112060094")</f>
        <v>#NAME?</v>
      </c>
      <c r="W598" s="4" t="e">
        <f ca="1">[1]!BexGetData("DP_1","00O2TNJGODT0G5Z4TTKYMN7K5","GSON1112060094")</f>
        <v>#NAME?</v>
      </c>
    </row>
    <row r="599" spans="1:23" x14ac:dyDescent="0.2">
      <c r="A599" s="16" t="s">
        <v>2567</v>
      </c>
      <c r="B599" s="7" t="s">
        <v>2568</v>
      </c>
      <c r="C599" s="3" t="e">
        <f ca="1">[1]!BexGetData("DP_1","003N8EMH8GTFRCSWKMPXRR8GU","GSON1112060095")</f>
        <v>#NAME?</v>
      </c>
      <c r="D599" s="3" t="e">
        <f ca="1">[1]!BexGetData("DP_1","003N8EMH8GTFRCSWKMPXRRESE","GSON1112060095")</f>
        <v>#NAME?</v>
      </c>
      <c r="E599" s="8" t="e">
        <f ca="1">[1]!BexGetData("DP_1","003N8EMH8GTFRCSWKMPXRRL3Y","GSON1112060095")</f>
        <v>#NAME?</v>
      </c>
      <c r="F599" s="4" t="e">
        <f ca="1">[1]!BexGetData("DP_1","003N8EMH8GTFRCSWKMPXRRRFI","GSON1112060095")</f>
        <v>#NAME?</v>
      </c>
      <c r="G599" s="4" t="e">
        <f ca="1">[1]!BexGetData("DP_1","003N8EMH8GTFRCSWKMPXRRXR2","GSON1112060095")</f>
        <v>#NAME?</v>
      </c>
      <c r="H599" s="4" t="e">
        <f ca="1">[1]!BexGetData("DP_1","003N8EMH8GTFRCSWKMPXRS42M","GSON1112060095")</f>
        <v>#NAME?</v>
      </c>
      <c r="I599" s="4" t="e">
        <f ca="1">[1]!BexGetData("DP_1","003N8EMH8GTFRCSWKMPXRSAE6","GSON1112060095")</f>
        <v>#NAME?</v>
      </c>
      <c r="J599" s="4" t="e">
        <f ca="1">[1]!BexGetData("DP_1","003N8EMH8GTFRCSWKMPXRSGPQ","GSON1112060095")</f>
        <v>#NAME?</v>
      </c>
      <c r="K599" s="8" t="e">
        <f ca="1">[1]!BexGetData("DP_1","003N8EMH8GTFRIVNUPY288VJH","GSON1112060095")</f>
        <v>#NAME?</v>
      </c>
      <c r="L599" s="8" t="e">
        <f ca="1">[1]!BexGetData("DP_1","003N8EMH8GTFRIVNUPY2891V1","GSON1112060095")</f>
        <v>#NAME?</v>
      </c>
      <c r="M599" s="8" t="e">
        <f ca="1">[1]!BexGetData("DP_1","003N8EMH8GTFRIVOG7KG9IQXA","GSON1112060095")</f>
        <v>#NAME?</v>
      </c>
      <c r="N599" s="8" t="e">
        <f ca="1">[1]!BexGetData("DP_1","003N8EMH8GTFRIVOG7KG9IX8U","GSON1112060095")</f>
        <v>#NAME?</v>
      </c>
      <c r="O599" s="8" t="e">
        <f ca="1">[1]!BexGetData("DP_1","003N8EMH8GTFRIVOG7KG9J3KE","GSON1112060095")</f>
        <v>#NAME?</v>
      </c>
      <c r="P599" s="8" t="e">
        <f ca="1">[1]!BexGetData("DP_1","003N8EMH8GTFRIVOG7KG9J9VY","GSON1112060095")</f>
        <v>#NAME?</v>
      </c>
      <c r="Q599" s="4" t="e">
        <f ca="1">[1]!BexGetData("DP_1","00O2TNJGODT0G5Z4TTKYMM5MT","GSON1112060095")</f>
        <v>#NAME?</v>
      </c>
      <c r="R599" s="4" t="e">
        <f ca="1">[1]!BexGetData("DP_1","00O2TNJGODT0G5Z4TTKYMMBYD","GSON1112060095")</f>
        <v>#NAME?</v>
      </c>
      <c r="S599" s="4" t="e">
        <f ca="1">[1]!BexGetData("DP_1","00O2TNJGODT0G5Z4TTKYMMI9X","GSON1112060095")</f>
        <v>#NAME?</v>
      </c>
      <c r="T599" s="4" t="e">
        <f ca="1">[1]!BexGetData("DP_1","00O2TNJGODT0G5Z4TTKYMMOLH","GSON1112060095")</f>
        <v>#NAME?</v>
      </c>
      <c r="U599" s="4" t="e">
        <f ca="1">[1]!BexGetData("DP_1","00O2TNJGODT0G5Z4TTKYMMUX1","GSON1112060095")</f>
        <v>#NAME?</v>
      </c>
      <c r="V599" s="4" t="e">
        <f ca="1">[1]!BexGetData("DP_1","00O2TNJGODT0G5Z4TTKYMN18L","GSON1112060095")</f>
        <v>#NAME?</v>
      </c>
      <c r="W599" s="4" t="e">
        <f ca="1">[1]!BexGetData("DP_1","00O2TNJGODT0G5Z4TTKYMN7K5","GSON1112060095")</f>
        <v>#NAME?</v>
      </c>
    </row>
    <row r="600" spans="1:23" x14ac:dyDescent="0.2">
      <c r="A600" s="16" t="s">
        <v>2569</v>
      </c>
      <c r="B600" s="7" t="s">
        <v>2570</v>
      </c>
      <c r="C600" s="3" t="e">
        <f ca="1">[1]!BexGetData("DP_1","003N8EMH8GTFRCSWKMPXRR8GU","GSON1112060100")</f>
        <v>#NAME?</v>
      </c>
      <c r="D600" s="3" t="e">
        <f ca="1">[1]!BexGetData("DP_1","003N8EMH8GTFRCSWKMPXRRESE","GSON1112060100")</f>
        <v>#NAME?</v>
      </c>
      <c r="E600" s="3" t="e">
        <f ca="1">[1]!BexGetData("DP_1","003N8EMH8GTFRCSWKMPXRRL3Y","GSON1112060100")</f>
        <v>#NAME?</v>
      </c>
      <c r="F600" s="3" t="e">
        <f ca="1">[1]!BexGetData("DP_1","003N8EMH8GTFRCSWKMPXRRRFI","GSON1112060100")</f>
        <v>#NAME?</v>
      </c>
      <c r="G600" s="3" t="e">
        <f ca="1">[1]!BexGetData("DP_1","003N8EMH8GTFRCSWKMPXRRXR2","GSON1112060100")</f>
        <v>#NAME?</v>
      </c>
      <c r="H600" s="8" t="e">
        <f ca="1">[1]!BexGetData("DP_1","003N8EMH8GTFRCSWKMPXRS42M","GSON1112060100")</f>
        <v>#NAME?</v>
      </c>
      <c r="I600" s="3" t="e">
        <f ca="1">[1]!BexGetData("DP_1","003N8EMH8GTFRCSWKMPXRSAE6","GSON1112060100")</f>
        <v>#NAME?</v>
      </c>
      <c r="J600" s="4" t="e">
        <f ca="1">[1]!BexGetData("DP_1","003N8EMH8GTFRCSWKMPXRSGPQ","GSON1112060100")</f>
        <v>#NAME?</v>
      </c>
      <c r="K600" s="3" t="e">
        <f ca="1">[1]!BexGetData("DP_1","003N8EMH8GTFRIVNUPY288VJH","GSON1112060100")</f>
        <v>#NAME?</v>
      </c>
      <c r="L600" s="3" t="e">
        <f ca="1">[1]!BexGetData("DP_1","003N8EMH8GTFRIVNUPY2891V1","GSON1112060100")</f>
        <v>#NAME?</v>
      </c>
      <c r="M600" s="3" t="e">
        <f ca="1">[1]!BexGetData("DP_1","003N8EMH8GTFRIVOG7KG9IQXA","GSON1112060100")</f>
        <v>#NAME?</v>
      </c>
      <c r="N600" s="8" t="e">
        <f ca="1">[1]!BexGetData("DP_1","003N8EMH8GTFRIVOG7KG9IX8U","GSON1112060100")</f>
        <v>#NAME?</v>
      </c>
      <c r="O600" s="3" t="e">
        <f ca="1">[1]!BexGetData("DP_1","003N8EMH8GTFRIVOG7KG9J3KE","GSON1112060100")</f>
        <v>#NAME?</v>
      </c>
      <c r="P600" s="8" t="e">
        <f ca="1">[1]!BexGetData("DP_1","003N8EMH8GTFRIVOG7KG9J9VY","GSON1112060100")</f>
        <v>#NAME?</v>
      </c>
      <c r="Q600" s="4" t="e">
        <f ca="1">[1]!BexGetData("DP_1","00O2TNJGODT0G5Z4TTKYMM5MT","GSON1112060100")</f>
        <v>#NAME?</v>
      </c>
      <c r="R600" s="3" t="e">
        <f ca="1">[1]!BexGetData("DP_1","00O2TNJGODT0G5Z4TTKYMMBYD","GSON1112060100")</f>
        <v>#NAME?</v>
      </c>
      <c r="S600" s="3" t="e">
        <f ca="1">[1]!BexGetData("DP_1","00O2TNJGODT0G5Z4TTKYMMI9X","GSON1112060100")</f>
        <v>#NAME?</v>
      </c>
      <c r="T600" s="8" t="e">
        <f ca="1">[1]!BexGetData("DP_1","00O2TNJGODT0G5Z4TTKYMMOLH","GSON1112060100")</f>
        <v>#NAME?</v>
      </c>
      <c r="U600" s="3" t="e">
        <f ca="1">[1]!BexGetData("DP_1","00O2TNJGODT0G5Z4TTKYMMUX1","GSON1112060100")</f>
        <v>#NAME?</v>
      </c>
      <c r="V600" s="8" t="e">
        <f ca="1">[1]!BexGetData("DP_1","00O2TNJGODT0G5Z4TTKYMN18L","GSON1112060100")</f>
        <v>#NAME?</v>
      </c>
      <c r="W600" s="3" t="e">
        <f ca="1">[1]!BexGetData("DP_1","00O2TNJGODT0G5Z4TTKYMN7K5","GSON1112060100")</f>
        <v>#NAME?</v>
      </c>
    </row>
    <row r="601" spans="1:23" x14ac:dyDescent="0.2">
      <c r="A601" s="16" t="s">
        <v>2571</v>
      </c>
      <c r="B601" s="7" t="s">
        <v>2572</v>
      </c>
      <c r="C601" s="3" t="e">
        <f ca="1">[1]!BexGetData("DP_1","003N8EMH8GTFRCSWKMPXRR8GU","GSON1112060101")</f>
        <v>#NAME?</v>
      </c>
      <c r="D601" s="3" t="e">
        <f ca="1">[1]!BexGetData("DP_1","003N8EMH8GTFRCSWKMPXRRESE","GSON1112060101")</f>
        <v>#NAME?</v>
      </c>
      <c r="E601" s="8" t="e">
        <f ca="1">[1]!BexGetData("DP_1","003N8EMH8GTFRCSWKMPXRRL3Y","GSON1112060101")</f>
        <v>#NAME?</v>
      </c>
      <c r="F601" s="4" t="e">
        <f ca="1">[1]!BexGetData("DP_1","003N8EMH8GTFRCSWKMPXRRRFI","GSON1112060101")</f>
        <v>#NAME?</v>
      </c>
      <c r="G601" s="4" t="e">
        <f ca="1">[1]!BexGetData("DP_1","003N8EMH8GTFRCSWKMPXRRXR2","GSON1112060101")</f>
        <v>#NAME?</v>
      </c>
      <c r="H601" s="4" t="e">
        <f ca="1">[1]!BexGetData("DP_1","003N8EMH8GTFRCSWKMPXRS42M","GSON1112060101")</f>
        <v>#NAME?</v>
      </c>
      <c r="I601" s="4" t="e">
        <f ca="1">[1]!BexGetData("DP_1","003N8EMH8GTFRCSWKMPXRSAE6","GSON1112060101")</f>
        <v>#NAME?</v>
      </c>
      <c r="J601" s="4" t="e">
        <f ca="1">[1]!BexGetData("DP_1","003N8EMH8GTFRCSWKMPXRSGPQ","GSON1112060101")</f>
        <v>#NAME?</v>
      </c>
      <c r="K601" s="8" t="e">
        <f ca="1">[1]!BexGetData("DP_1","003N8EMH8GTFRIVNUPY288VJH","GSON1112060101")</f>
        <v>#NAME?</v>
      </c>
      <c r="L601" s="8" t="e">
        <f ca="1">[1]!BexGetData("DP_1","003N8EMH8GTFRIVNUPY2891V1","GSON1112060101")</f>
        <v>#NAME?</v>
      </c>
      <c r="M601" s="8" t="e">
        <f ca="1">[1]!BexGetData("DP_1","003N8EMH8GTFRIVOG7KG9IQXA","GSON1112060101")</f>
        <v>#NAME?</v>
      </c>
      <c r="N601" s="8" t="e">
        <f ca="1">[1]!BexGetData("DP_1","003N8EMH8GTFRIVOG7KG9IX8U","GSON1112060101")</f>
        <v>#NAME?</v>
      </c>
      <c r="O601" s="8" t="e">
        <f ca="1">[1]!BexGetData("DP_1","003N8EMH8GTFRIVOG7KG9J3KE","GSON1112060101")</f>
        <v>#NAME?</v>
      </c>
      <c r="P601" s="8" t="e">
        <f ca="1">[1]!BexGetData("DP_1","003N8EMH8GTFRIVOG7KG9J9VY","GSON1112060101")</f>
        <v>#NAME?</v>
      </c>
      <c r="Q601" s="4" t="e">
        <f ca="1">[1]!BexGetData("DP_1","00O2TNJGODT0G5Z4TTKYMM5MT","GSON1112060101")</f>
        <v>#NAME?</v>
      </c>
      <c r="R601" s="4" t="e">
        <f ca="1">[1]!BexGetData("DP_1","00O2TNJGODT0G5Z4TTKYMMBYD","GSON1112060101")</f>
        <v>#NAME?</v>
      </c>
      <c r="S601" s="4" t="e">
        <f ca="1">[1]!BexGetData("DP_1","00O2TNJGODT0G5Z4TTKYMMI9X","GSON1112060101")</f>
        <v>#NAME?</v>
      </c>
      <c r="T601" s="4" t="e">
        <f ca="1">[1]!BexGetData("DP_1","00O2TNJGODT0G5Z4TTKYMMOLH","GSON1112060101")</f>
        <v>#NAME?</v>
      </c>
      <c r="U601" s="4" t="e">
        <f ca="1">[1]!BexGetData("DP_1","00O2TNJGODT0G5Z4TTKYMMUX1","GSON1112060101")</f>
        <v>#NAME?</v>
      </c>
      <c r="V601" s="4" t="e">
        <f ca="1">[1]!BexGetData("DP_1","00O2TNJGODT0G5Z4TTKYMN18L","GSON1112060101")</f>
        <v>#NAME?</v>
      </c>
      <c r="W601" s="4" t="e">
        <f ca="1">[1]!BexGetData("DP_1","00O2TNJGODT0G5Z4TTKYMN7K5","GSON1112060101")</f>
        <v>#NAME?</v>
      </c>
    </row>
    <row r="602" spans="1:23" x14ac:dyDescent="0.2">
      <c r="A602" s="16" t="s">
        <v>2573</v>
      </c>
      <c r="B602" s="7" t="s">
        <v>2574</v>
      </c>
      <c r="C602" s="3" t="e">
        <f ca="1">[1]!BexGetData("DP_1","003N8EMH8GTFRCSWKMPXRR8GU","GSON1112060102")</f>
        <v>#NAME?</v>
      </c>
      <c r="D602" s="3" t="e">
        <f ca="1">[1]!BexGetData("DP_1","003N8EMH8GTFRCSWKMPXRRESE","GSON1112060102")</f>
        <v>#NAME?</v>
      </c>
      <c r="E602" s="8" t="e">
        <f ca="1">[1]!BexGetData("DP_1","003N8EMH8GTFRCSWKMPXRRL3Y","GSON1112060102")</f>
        <v>#NAME?</v>
      </c>
      <c r="F602" s="4" t="e">
        <f ca="1">[1]!BexGetData("DP_1","003N8EMH8GTFRCSWKMPXRRRFI","GSON1112060102")</f>
        <v>#NAME?</v>
      </c>
      <c r="G602" s="4" t="e">
        <f ca="1">[1]!BexGetData("DP_1","003N8EMH8GTFRCSWKMPXRRXR2","GSON1112060102")</f>
        <v>#NAME?</v>
      </c>
      <c r="H602" s="4" t="e">
        <f ca="1">[1]!BexGetData("DP_1","003N8EMH8GTFRCSWKMPXRS42M","GSON1112060102")</f>
        <v>#NAME?</v>
      </c>
      <c r="I602" s="4" t="e">
        <f ca="1">[1]!BexGetData("DP_1","003N8EMH8GTFRCSWKMPXRSAE6","GSON1112060102")</f>
        <v>#NAME?</v>
      </c>
      <c r="J602" s="4" t="e">
        <f ca="1">[1]!BexGetData("DP_1","003N8EMH8GTFRCSWKMPXRSGPQ","GSON1112060102")</f>
        <v>#NAME?</v>
      </c>
      <c r="K602" s="8" t="e">
        <f ca="1">[1]!BexGetData("DP_1","003N8EMH8GTFRIVNUPY288VJH","GSON1112060102")</f>
        <v>#NAME?</v>
      </c>
      <c r="L602" s="8" t="e">
        <f ca="1">[1]!BexGetData("DP_1","003N8EMH8GTFRIVNUPY2891V1","GSON1112060102")</f>
        <v>#NAME?</v>
      </c>
      <c r="M602" s="8" t="e">
        <f ca="1">[1]!BexGetData("DP_1","003N8EMH8GTFRIVOG7KG9IQXA","GSON1112060102")</f>
        <v>#NAME?</v>
      </c>
      <c r="N602" s="8" t="e">
        <f ca="1">[1]!BexGetData("DP_1","003N8EMH8GTFRIVOG7KG9IX8U","GSON1112060102")</f>
        <v>#NAME?</v>
      </c>
      <c r="O602" s="8" t="e">
        <f ca="1">[1]!BexGetData("DP_1","003N8EMH8GTFRIVOG7KG9J3KE","GSON1112060102")</f>
        <v>#NAME?</v>
      </c>
      <c r="P602" s="8" t="e">
        <f ca="1">[1]!BexGetData("DP_1","003N8EMH8GTFRIVOG7KG9J9VY","GSON1112060102")</f>
        <v>#NAME?</v>
      </c>
      <c r="Q602" s="4" t="e">
        <f ca="1">[1]!BexGetData("DP_1","00O2TNJGODT0G5Z4TTKYMM5MT","GSON1112060102")</f>
        <v>#NAME?</v>
      </c>
      <c r="R602" s="4" t="e">
        <f ca="1">[1]!BexGetData("DP_1","00O2TNJGODT0G5Z4TTKYMMBYD","GSON1112060102")</f>
        <v>#NAME?</v>
      </c>
      <c r="S602" s="4" t="e">
        <f ca="1">[1]!BexGetData("DP_1","00O2TNJGODT0G5Z4TTKYMMI9X","GSON1112060102")</f>
        <v>#NAME?</v>
      </c>
      <c r="T602" s="4" t="e">
        <f ca="1">[1]!BexGetData("DP_1","00O2TNJGODT0G5Z4TTKYMMOLH","GSON1112060102")</f>
        <v>#NAME?</v>
      </c>
      <c r="U602" s="4" t="e">
        <f ca="1">[1]!BexGetData("DP_1","00O2TNJGODT0G5Z4TTKYMMUX1","GSON1112060102")</f>
        <v>#NAME?</v>
      </c>
      <c r="V602" s="4" t="e">
        <f ca="1">[1]!BexGetData("DP_1","00O2TNJGODT0G5Z4TTKYMN18L","GSON1112060102")</f>
        <v>#NAME?</v>
      </c>
      <c r="W602" s="4" t="e">
        <f ca="1">[1]!BexGetData("DP_1","00O2TNJGODT0G5Z4TTKYMN7K5","GSON1112060102")</f>
        <v>#NAME?</v>
      </c>
    </row>
    <row r="603" spans="1:23" x14ac:dyDescent="0.2">
      <c r="A603" s="16" t="s">
        <v>2575</v>
      </c>
      <c r="B603" s="7" t="s">
        <v>2576</v>
      </c>
      <c r="C603" s="3" t="e">
        <f ca="1">[1]!BexGetData("DP_1","003N8EMH8GTFRCSWKMPXRR8GU","GSON1112060103")</f>
        <v>#NAME?</v>
      </c>
      <c r="D603" s="3" t="e">
        <f ca="1">[1]!BexGetData("DP_1","003N8EMH8GTFRCSWKMPXRRESE","GSON1112060103")</f>
        <v>#NAME?</v>
      </c>
      <c r="E603" s="8" t="e">
        <f ca="1">[1]!BexGetData("DP_1","003N8EMH8GTFRCSWKMPXRRL3Y","GSON1112060103")</f>
        <v>#NAME?</v>
      </c>
      <c r="F603" s="4" t="e">
        <f ca="1">[1]!BexGetData("DP_1","003N8EMH8GTFRCSWKMPXRRRFI","GSON1112060103")</f>
        <v>#NAME?</v>
      </c>
      <c r="G603" s="4" t="e">
        <f ca="1">[1]!BexGetData("DP_1","003N8EMH8GTFRCSWKMPXRRXR2","GSON1112060103")</f>
        <v>#NAME?</v>
      </c>
      <c r="H603" s="4" t="e">
        <f ca="1">[1]!BexGetData("DP_1","003N8EMH8GTFRCSWKMPXRS42M","GSON1112060103")</f>
        <v>#NAME?</v>
      </c>
      <c r="I603" s="4" t="e">
        <f ca="1">[1]!BexGetData("DP_1","003N8EMH8GTFRCSWKMPXRSAE6","GSON1112060103")</f>
        <v>#NAME?</v>
      </c>
      <c r="J603" s="4" t="e">
        <f ca="1">[1]!BexGetData("DP_1","003N8EMH8GTFRCSWKMPXRSGPQ","GSON1112060103")</f>
        <v>#NAME?</v>
      </c>
      <c r="K603" s="8" t="e">
        <f ca="1">[1]!BexGetData("DP_1","003N8EMH8GTFRIVNUPY288VJH","GSON1112060103")</f>
        <v>#NAME?</v>
      </c>
      <c r="L603" s="8" t="e">
        <f ca="1">[1]!BexGetData("DP_1","003N8EMH8GTFRIVNUPY2891V1","GSON1112060103")</f>
        <v>#NAME?</v>
      </c>
      <c r="M603" s="8" t="e">
        <f ca="1">[1]!BexGetData("DP_1","003N8EMH8GTFRIVOG7KG9IQXA","GSON1112060103")</f>
        <v>#NAME?</v>
      </c>
      <c r="N603" s="8" t="e">
        <f ca="1">[1]!BexGetData("DP_1","003N8EMH8GTFRIVOG7KG9IX8U","GSON1112060103")</f>
        <v>#NAME?</v>
      </c>
      <c r="O603" s="8" t="e">
        <f ca="1">[1]!BexGetData("DP_1","003N8EMH8GTFRIVOG7KG9J3KE","GSON1112060103")</f>
        <v>#NAME?</v>
      </c>
      <c r="P603" s="8" t="e">
        <f ca="1">[1]!BexGetData("DP_1","003N8EMH8GTFRIVOG7KG9J9VY","GSON1112060103")</f>
        <v>#NAME?</v>
      </c>
      <c r="Q603" s="4" t="e">
        <f ca="1">[1]!BexGetData("DP_1","00O2TNJGODT0G5Z4TTKYMM5MT","GSON1112060103")</f>
        <v>#NAME?</v>
      </c>
      <c r="R603" s="4" t="e">
        <f ca="1">[1]!BexGetData("DP_1","00O2TNJGODT0G5Z4TTKYMMBYD","GSON1112060103")</f>
        <v>#NAME?</v>
      </c>
      <c r="S603" s="4" t="e">
        <f ca="1">[1]!BexGetData("DP_1","00O2TNJGODT0G5Z4TTKYMMI9X","GSON1112060103")</f>
        <v>#NAME?</v>
      </c>
      <c r="T603" s="4" t="e">
        <f ca="1">[1]!BexGetData("DP_1","00O2TNJGODT0G5Z4TTKYMMOLH","GSON1112060103")</f>
        <v>#NAME?</v>
      </c>
      <c r="U603" s="4" t="e">
        <f ca="1">[1]!BexGetData("DP_1","00O2TNJGODT0G5Z4TTKYMMUX1","GSON1112060103")</f>
        <v>#NAME?</v>
      </c>
      <c r="V603" s="4" t="e">
        <f ca="1">[1]!BexGetData("DP_1","00O2TNJGODT0G5Z4TTKYMN18L","GSON1112060103")</f>
        <v>#NAME?</v>
      </c>
      <c r="W603" s="4" t="e">
        <f ca="1">[1]!BexGetData("DP_1","00O2TNJGODT0G5Z4TTKYMN7K5","GSON1112060103")</f>
        <v>#NAME?</v>
      </c>
    </row>
    <row r="604" spans="1:23" x14ac:dyDescent="0.2">
      <c r="A604" s="16" t="s">
        <v>2577</v>
      </c>
      <c r="B604" s="7" t="s">
        <v>2578</v>
      </c>
      <c r="C604" s="3" t="e">
        <f ca="1">[1]!BexGetData("DP_1","003N8EMH8GTFRCSWKMPXRR8GU","GSON1112060104")</f>
        <v>#NAME?</v>
      </c>
      <c r="D604" s="3" t="e">
        <f ca="1">[1]!BexGetData("DP_1","003N8EMH8GTFRCSWKMPXRRESE","GSON1112060104")</f>
        <v>#NAME?</v>
      </c>
      <c r="E604" s="8" t="e">
        <f ca="1">[1]!BexGetData("DP_1","003N8EMH8GTFRCSWKMPXRRL3Y","GSON1112060104")</f>
        <v>#NAME?</v>
      </c>
      <c r="F604" s="4" t="e">
        <f ca="1">[1]!BexGetData("DP_1","003N8EMH8GTFRCSWKMPXRRRFI","GSON1112060104")</f>
        <v>#NAME?</v>
      </c>
      <c r="G604" s="4" t="e">
        <f ca="1">[1]!BexGetData("DP_1","003N8EMH8GTFRCSWKMPXRRXR2","GSON1112060104")</f>
        <v>#NAME?</v>
      </c>
      <c r="H604" s="4" t="e">
        <f ca="1">[1]!BexGetData("DP_1","003N8EMH8GTFRCSWKMPXRS42M","GSON1112060104")</f>
        <v>#NAME?</v>
      </c>
      <c r="I604" s="4" t="e">
        <f ca="1">[1]!BexGetData("DP_1","003N8EMH8GTFRCSWKMPXRSAE6","GSON1112060104")</f>
        <v>#NAME?</v>
      </c>
      <c r="J604" s="4" t="e">
        <f ca="1">[1]!BexGetData("DP_1","003N8EMH8GTFRCSWKMPXRSGPQ","GSON1112060104")</f>
        <v>#NAME?</v>
      </c>
      <c r="K604" s="8" t="e">
        <f ca="1">[1]!BexGetData("DP_1","003N8EMH8GTFRIVNUPY288VJH","GSON1112060104")</f>
        <v>#NAME?</v>
      </c>
      <c r="L604" s="8" t="e">
        <f ca="1">[1]!BexGetData("DP_1","003N8EMH8GTFRIVNUPY2891V1","GSON1112060104")</f>
        <v>#NAME?</v>
      </c>
      <c r="M604" s="8" t="e">
        <f ca="1">[1]!BexGetData("DP_1","003N8EMH8GTFRIVOG7KG9IQXA","GSON1112060104")</f>
        <v>#NAME?</v>
      </c>
      <c r="N604" s="8" t="e">
        <f ca="1">[1]!BexGetData("DP_1","003N8EMH8GTFRIVOG7KG9IX8U","GSON1112060104")</f>
        <v>#NAME?</v>
      </c>
      <c r="O604" s="8" t="e">
        <f ca="1">[1]!BexGetData("DP_1","003N8EMH8GTFRIVOG7KG9J3KE","GSON1112060104")</f>
        <v>#NAME?</v>
      </c>
      <c r="P604" s="8" t="e">
        <f ca="1">[1]!BexGetData("DP_1","003N8EMH8GTFRIVOG7KG9J9VY","GSON1112060104")</f>
        <v>#NAME?</v>
      </c>
      <c r="Q604" s="4" t="e">
        <f ca="1">[1]!BexGetData("DP_1","00O2TNJGODT0G5Z4TTKYMM5MT","GSON1112060104")</f>
        <v>#NAME?</v>
      </c>
      <c r="R604" s="4" t="e">
        <f ca="1">[1]!BexGetData("DP_1","00O2TNJGODT0G5Z4TTKYMMBYD","GSON1112060104")</f>
        <v>#NAME?</v>
      </c>
      <c r="S604" s="4" t="e">
        <f ca="1">[1]!BexGetData("DP_1","00O2TNJGODT0G5Z4TTKYMMI9X","GSON1112060104")</f>
        <v>#NAME?</v>
      </c>
      <c r="T604" s="4" t="e">
        <f ca="1">[1]!BexGetData("DP_1","00O2TNJGODT0G5Z4TTKYMMOLH","GSON1112060104")</f>
        <v>#NAME?</v>
      </c>
      <c r="U604" s="4" t="e">
        <f ca="1">[1]!BexGetData("DP_1","00O2TNJGODT0G5Z4TTKYMMUX1","GSON1112060104")</f>
        <v>#NAME?</v>
      </c>
      <c r="V604" s="4" t="e">
        <f ca="1">[1]!BexGetData("DP_1","00O2TNJGODT0G5Z4TTKYMN18L","GSON1112060104")</f>
        <v>#NAME?</v>
      </c>
      <c r="W604" s="4" t="e">
        <f ca="1">[1]!BexGetData("DP_1","00O2TNJGODT0G5Z4TTKYMN7K5","GSON1112060104")</f>
        <v>#NAME?</v>
      </c>
    </row>
    <row r="605" spans="1:23" x14ac:dyDescent="0.2">
      <c r="A605" s="16" t="s">
        <v>2579</v>
      </c>
      <c r="B605" s="7" t="s">
        <v>2580</v>
      </c>
      <c r="C605" s="3" t="e">
        <f ca="1">[1]!BexGetData("DP_1","003N8EMH8GTFRCSWKMPXRR8GU","GSON1112060105")</f>
        <v>#NAME?</v>
      </c>
      <c r="D605" s="3" t="e">
        <f ca="1">[1]!BexGetData("DP_1","003N8EMH8GTFRCSWKMPXRRESE","GSON1112060105")</f>
        <v>#NAME?</v>
      </c>
      <c r="E605" s="8" t="e">
        <f ca="1">[1]!BexGetData("DP_1","003N8EMH8GTFRCSWKMPXRRL3Y","GSON1112060105")</f>
        <v>#NAME?</v>
      </c>
      <c r="F605" s="4" t="e">
        <f ca="1">[1]!BexGetData("DP_1","003N8EMH8GTFRCSWKMPXRRRFI","GSON1112060105")</f>
        <v>#NAME?</v>
      </c>
      <c r="G605" s="4" t="e">
        <f ca="1">[1]!BexGetData("DP_1","003N8EMH8GTFRCSWKMPXRRXR2","GSON1112060105")</f>
        <v>#NAME?</v>
      </c>
      <c r="H605" s="4" t="e">
        <f ca="1">[1]!BexGetData("DP_1","003N8EMH8GTFRCSWKMPXRS42M","GSON1112060105")</f>
        <v>#NAME?</v>
      </c>
      <c r="I605" s="4" t="e">
        <f ca="1">[1]!BexGetData("DP_1","003N8EMH8GTFRCSWKMPXRSAE6","GSON1112060105")</f>
        <v>#NAME?</v>
      </c>
      <c r="J605" s="4" t="e">
        <f ca="1">[1]!BexGetData("DP_1","003N8EMH8GTFRCSWKMPXRSGPQ","GSON1112060105")</f>
        <v>#NAME?</v>
      </c>
      <c r="K605" s="8" t="e">
        <f ca="1">[1]!BexGetData("DP_1","003N8EMH8GTFRIVNUPY288VJH","GSON1112060105")</f>
        <v>#NAME?</v>
      </c>
      <c r="L605" s="8" t="e">
        <f ca="1">[1]!BexGetData("DP_1","003N8EMH8GTFRIVNUPY2891V1","GSON1112060105")</f>
        <v>#NAME?</v>
      </c>
      <c r="M605" s="8" t="e">
        <f ca="1">[1]!BexGetData("DP_1","003N8EMH8GTFRIVOG7KG9IQXA","GSON1112060105")</f>
        <v>#NAME?</v>
      </c>
      <c r="N605" s="8" t="e">
        <f ca="1">[1]!BexGetData("DP_1","003N8EMH8GTFRIVOG7KG9IX8U","GSON1112060105")</f>
        <v>#NAME?</v>
      </c>
      <c r="O605" s="8" t="e">
        <f ca="1">[1]!BexGetData("DP_1","003N8EMH8GTFRIVOG7KG9J3KE","GSON1112060105")</f>
        <v>#NAME?</v>
      </c>
      <c r="P605" s="8" t="e">
        <f ca="1">[1]!BexGetData("DP_1","003N8EMH8GTFRIVOG7KG9J9VY","GSON1112060105")</f>
        <v>#NAME?</v>
      </c>
      <c r="Q605" s="4" t="e">
        <f ca="1">[1]!BexGetData("DP_1","00O2TNJGODT0G5Z4TTKYMM5MT","GSON1112060105")</f>
        <v>#NAME?</v>
      </c>
      <c r="R605" s="4" t="e">
        <f ca="1">[1]!BexGetData("DP_1","00O2TNJGODT0G5Z4TTKYMMBYD","GSON1112060105")</f>
        <v>#NAME?</v>
      </c>
      <c r="S605" s="4" t="e">
        <f ca="1">[1]!BexGetData("DP_1","00O2TNJGODT0G5Z4TTKYMMI9X","GSON1112060105")</f>
        <v>#NAME?</v>
      </c>
      <c r="T605" s="4" t="e">
        <f ca="1">[1]!BexGetData("DP_1","00O2TNJGODT0G5Z4TTKYMMOLH","GSON1112060105")</f>
        <v>#NAME?</v>
      </c>
      <c r="U605" s="4" t="e">
        <f ca="1">[1]!BexGetData("DP_1","00O2TNJGODT0G5Z4TTKYMMUX1","GSON1112060105")</f>
        <v>#NAME?</v>
      </c>
      <c r="V605" s="4" t="e">
        <f ca="1">[1]!BexGetData("DP_1","00O2TNJGODT0G5Z4TTKYMN18L","GSON1112060105")</f>
        <v>#NAME?</v>
      </c>
      <c r="W605" s="4" t="e">
        <f ca="1">[1]!BexGetData("DP_1","00O2TNJGODT0G5Z4TTKYMN7K5","GSON1112060105")</f>
        <v>#NAME?</v>
      </c>
    </row>
    <row r="606" spans="1:23" x14ac:dyDescent="0.2">
      <c r="A606" s="16" t="s">
        <v>2581</v>
      </c>
      <c r="B606" s="7" t="s">
        <v>2582</v>
      </c>
      <c r="C606" s="3" t="e">
        <f ca="1">[1]!BexGetData("DP_1","003N8EMH8GTFRCSWKMPXRR8GU","GSON1112060120")</f>
        <v>#NAME?</v>
      </c>
      <c r="D606" s="3" t="e">
        <f ca="1">[1]!BexGetData("DP_1","003N8EMH8GTFRCSWKMPXRRESE","GSON1112060120")</f>
        <v>#NAME?</v>
      </c>
      <c r="E606" s="3" t="e">
        <f ca="1">[1]!BexGetData("DP_1","003N8EMH8GTFRCSWKMPXRRL3Y","GSON1112060120")</f>
        <v>#NAME?</v>
      </c>
      <c r="F606" s="3" t="e">
        <f ca="1">[1]!BexGetData("DP_1","003N8EMH8GTFRCSWKMPXRRRFI","GSON1112060120")</f>
        <v>#NAME?</v>
      </c>
      <c r="G606" s="3" t="e">
        <f ca="1">[1]!BexGetData("DP_1","003N8EMH8GTFRCSWKMPXRRXR2","GSON1112060120")</f>
        <v>#NAME?</v>
      </c>
      <c r="H606" s="8" t="e">
        <f ca="1">[1]!BexGetData("DP_1","003N8EMH8GTFRCSWKMPXRS42M","GSON1112060120")</f>
        <v>#NAME?</v>
      </c>
      <c r="I606" s="3" t="e">
        <f ca="1">[1]!BexGetData("DP_1","003N8EMH8GTFRCSWKMPXRSAE6","GSON1112060120")</f>
        <v>#NAME?</v>
      </c>
      <c r="J606" s="4" t="e">
        <f ca="1">[1]!BexGetData("DP_1","003N8EMH8GTFRCSWKMPXRSGPQ","GSON1112060120")</f>
        <v>#NAME?</v>
      </c>
      <c r="K606" s="3" t="e">
        <f ca="1">[1]!BexGetData("DP_1","003N8EMH8GTFRIVNUPY288VJH","GSON1112060120")</f>
        <v>#NAME?</v>
      </c>
      <c r="L606" s="3" t="e">
        <f ca="1">[1]!BexGetData("DP_1","003N8EMH8GTFRIVNUPY2891V1","GSON1112060120")</f>
        <v>#NAME?</v>
      </c>
      <c r="M606" s="3" t="e">
        <f ca="1">[1]!BexGetData("DP_1","003N8EMH8GTFRIVOG7KG9IQXA","GSON1112060120")</f>
        <v>#NAME?</v>
      </c>
      <c r="N606" s="8" t="e">
        <f ca="1">[1]!BexGetData("DP_1","003N8EMH8GTFRIVOG7KG9IX8U","GSON1112060120")</f>
        <v>#NAME?</v>
      </c>
      <c r="O606" s="3" t="e">
        <f ca="1">[1]!BexGetData("DP_1","003N8EMH8GTFRIVOG7KG9J3KE","GSON1112060120")</f>
        <v>#NAME?</v>
      </c>
      <c r="P606" s="8" t="e">
        <f ca="1">[1]!BexGetData("DP_1","003N8EMH8GTFRIVOG7KG9J9VY","GSON1112060120")</f>
        <v>#NAME?</v>
      </c>
      <c r="Q606" s="4" t="e">
        <f ca="1">[1]!BexGetData("DP_1","00O2TNJGODT0G5Z4TTKYMM5MT","GSON1112060120")</f>
        <v>#NAME?</v>
      </c>
      <c r="R606" s="3" t="e">
        <f ca="1">[1]!BexGetData("DP_1","00O2TNJGODT0G5Z4TTKYMMBYD","GSON1112060120")</f>
        <v>#NAME?</v>
      </c>
      <c r="S606" s="3" t="e">
        <f ca="1">[1]!BexGetData("DP_1","00O2TNJGODT0G5Z4TTKYMMI9X","GSON1112060120")</f>
        <v>#NAME?</v>
      </c>
      <c r="T606" s="8" t="e">
        <f ca="1">[1]!BexGetData("DP_1","00O2TNJGODT0G5Z4TTKYMMOLH","GSON1112060120")</f>
        <v>#NAME?</v>
      </c>
      <c r="U606" s="3" t="e">
        <f ca="1">[1]!BexGetData("DP_1","00O2TNJGODT0G5Z4TTKYMMUX1","GSON1112060120")</f>
        <v>#NAME?</v>
      </c>
      <c r="V606" s="8" t="e">
        <f ca="1">[1]!BexGetData("DP_1","00O2TNJGODT0G5Z4TTKYMN18L","GSON1112060120")</f>
        <v>#NAME?</v>
      </c>
      <c r="W606" s="3" t="e">
        <f ca="1">[1]!BexGetData("DP_1","00O2TNJGODT0G5Z4TTKYMN7K5","GSON1112060120")</f>
        <v>#NAME?</v>
      </c>
    </row>
    <row r="607" spans="1:23" x14ac:dyDescent="0.2">
      <c r="A607" s="16" t="s">
        <v>2583</v>
      </c>
      <c r="B607" s="7" t="s">
        <v>2584</v>
      </c>
      <c r="C607" s="3" t="e">
        <f ca="1">[1]!BexGetData("DP_1","003N8EMH8GTFRCSWKMPXRR8GU","GSON1112060121")</f>
        <v>#NAME?</v>
      </c>
      <c r="D607" s="3" t="e">
        <f ca="1">[1]!BexGetData("DP_1","003N8EMH8GTFRCSWKMPXRRESE","GSON1112060121")</f>
        <v>#NAME?</v>
      </c>
      <c r="E607" s="8" t="e">
        <f ca="1">[1]!BexGetData("DP_1","003N8EMH8GTFRCSWKMPXRRL3Y","GSON1112060121")</f>
        <v>#NAME?</v>
      </c>
      <c r="F607" s="4" t="e">
        <f ca="1">[1]!BexGetData("DP_1","003N8EMH8GTFRCSWKMPXRRRFI","GSON1112060121")</f>
        <v>#NAME?</v>
      </c>
      <c r="G607" s="4" t="e">
        <f ca="1">[1]!BexGetData("DP_1","003N8EMH8GTFRCSWKMPXRRXR2","GSON1112060121")</f>
        <v>#NAME?</v>
      </c>
      <c r="H607" s="4" t="e">
        <f ca="1">[1]!BexGetData("DP_1","003N8EMH8GTFRCSWKMPXRS42M","GSON1112060121")</f>
        <v>#NAME?</v>
      </c>
      <c r="I607" s="4" t="e">
        <f ca="1">[1]!BexGetData("DP_1","003N8EMH8GTFRCSWKMPXRSAE6","GSON1112060121")</f>
        <v>#NAME?</v>
      </c>
      <c r="J607" s="4" t="e">
        <f ca="1">[1]!BexGetData("DP_1","003N8EMH8GTFRCSWKMPXRSGPQ","GSON1112060121")</f>
        <v>#NAME?</v>
      </c>
      <c r="K607" s="8" t="e">
        <f ca="1">[1]!BexGetData("DP_1","003N8EMH8GTFRIVNUPY288VJH","GSON1112060121")</f>
        <v>#NAME?</v>
      </c>
      <c r="L607" s="8" t="e">
        <f ca="1">[1]!BexGetData("DP_1","003N8EMH8GTFRIVNUPY2891V1","GSON1112060121")</f>
        <v>#NAME?</v>
      </c>
      <c r="M607" s="8" t="e">
        <f ca="1">[1]!BexGetData("DP_1","003N8EMH8GTFRIVOG7KG9IQXA","GSON1112060121")</f>
        <v>#NAME?</v>
      </c>
      <c r="N607" s="8" t="e">
        <f ca="1">[1]!BexGetData("DP_1","003N8EMH8GTFRIVOG7KG9IX8U","GSON1112060121")</f>
        <v>#NAME?</v>
      </c>
      <c r="O607" s="8" t="e">
        <f ca="1">[1]!BexGetData("DP_1","003N8EMH8GTFRIVOG7KG9J3KE","GSON1112060121")</f>
        <v>#NAME?</v>
      </c>
      <c r="P607" s="8" t="e">
        <f ca="1">[1]!BexGetData("DP_1","003N8EMH8GTFRIVOG7KG9J9VY","GSON1112060121")</f>
        <v>#NAME?</v>
      </c>
      <c r="Q607" s="4" t="e">
        <f ca="1">[1]!BexGetData("DP_1","00O2TNJGODT0G5Z4TTKYMM5MT","GSON1112060121")</f>
        <v>#NAME?</v>
      </c>
      <c r="R607" s="4" t="e">
        <f ca="1">[1]!BexGetData("DP_1","00O2TNJGODT0G5Z4TTKYMMBYD","GSON1112060121")</f>
        <v>#NAME?</v>
      </c>
      <c r="S607" s="4" t="e">
        <f ca="1">[1]!BexGetData("DP_1","00O2TNJGODT0G5Z4TTKYMMI9X","GSON1112060121")</f>
        <v>#NAME?</v>
      </c>
      <c r="T607" s="4" t="e">
        <f ca="1">[1]!BexGetData("DP_1","00O2TNJGODT0G5Z4TTKYMMOLH","GSON1112060121")</f>
        <v>#NAME?</v>
      </c>
      <c r="U607" s="4" t="e">
        <f ca="1">[1]!BexGetData("DP_1","00O2TNJGODT0G5Z4TTKYMMUX1","GSON1112060121")</f>
        <v>#NAME?</v>
      </c>
      <c r="V607" s="4" t="e">
        <f ca="1">[1]!BexGetData("DP_1","00O2TNJGODT0G5Z4TTKYMN18L","GSON1112060121")</f>
        <v>#NAME?</v>
      </c>
      <c r="W607" s="4" t="e">
        <f ca="1">[1]!BexGetData("DP_1","00O2TNJGODT0G5Z4TTKYMN7K5","GSON1112060121")</f>
        <v>#NAME?</v>
      </c>
    </row>
    <row r="608" spans="1:23" x14ac:dyDescent="0.2">
      <c r="A608" s="16" t="s">
        <v>2585</v>
      </c>
      <c r="B608" s="7" t="s">
        <v>2586</v>
      </c>
      <c r="C608" s="3" t="e">
        <f ca="1">[1]!BexGetData("DP_1","003N8EMH8GTFRCSWKMPXRR8GU","GSON1112060124")</f>
        <v>#NAME?</v>
      </c>
      <c r="D608" s="3" t="e">
        <f ca="1">[1]!BexGetData("DP_1","003N8EMH8GTFRCSWKMPXRRESE","GSON1112060124")</f>
        <v>#NAME?</v>
      </c>
      <c r="E608" s="8" t="e">
        <f ca="1">[1]!BexGetData("DP_1","003N8EMH8GTFRCSWKMPXRRL3Y","GSON1112060124")</f>
        <v>#NAME?</v>
      </c>
      <c r="F608" s="4" t="e">
        <f ca="1">[1]!BexGetData("DP_1","003N8EMH8GTFRCSWKMPXRRRFI","GSON1112060124")</f>
        <v>#NAME?</v>
      </c>
      <c r="G608" s="4" t="e">
        <f ca="1">[1]!BexGetData("DP_1","003N8EMH8GTFRCSWKMPXRRXR2","GSON1112060124")</f>
        <v>#NAME?</v>
      </c>
      <c r="H608" s="4" t="e">
        <f ca="1">[1]!BexGetData("DP_1","003N8EMH8GTFRCSWKMPXRS42M","GSON1112060124")</f>
        <v>#NAME?</v>
      </c>
      <c r="I608" s="4" t="e">
        <f ca="1">[1]!BexGetData("DP_1","003N8EMH8GTFRCSWKMPXRSAE6","GSON1112060124")</f>
        <v>#NAME?</v>
      </c>
      <c r="J608" s="4" t="e">
        <f ca="1">[1]!BexGetData("DP_1","003N8EMH8GTFRCSWKMPXRSGPQ","GSON1112060124")</f>
        <v>#NAME?</v>
      </c>
      <c r="K608" s="8" t="e">
        <f ca="1">[1]!BexGetData("DP_1","003N8EMH8GTFRIVNUPY288VJH","GSON1112060124")</f>
        <v>#NAME?</v>
      </c>
      <c r="L608" s="8" t="e">
        <f ca="1">[1]!BexGetData("DP_1","003N8EMH8GTFRIVNUPY2891V1","GSON1112060124")</f>
        <v>#NAME?</v>
      </c>
      <c r="M608" s="8" t="e">
        <f ca="1">[1]!BexGetData("DP_1","003N8EMH8GTFRIVOG7KG9IQXA","GSON1112060124")</f>
        <v>#NAME?</v>
      </c>
      <c r="N608" s="8" t="e">
        <f ca="1">[1]!BexGetData("DP_1","003N8EMH8GTFRIVOG7KG9IX8U","GSON1112060124")</f>
        <v>#NAME?</v>
      </c>
      <c r="O608" s="8" t="e">
        <f ca="1">[1]!BexGetData("DP_1","003N8EMH8GTFRIVOG7KG9J3KE","GSON1112060124")</f>
        <v>#NAME?</v>
      </c>
      <c r="P608" s="8" t="e">
        <f ca="1">[1]!BexGetData("DP_1","003N8EMH8GTFRIVOG7KG9J9VY","GSON1112060124")</f>
        <v>#NAME?</v>
      </c>
      <c r="Q608" s="4" t="e">
        <f ca="1">[1]!BexGetData("DP_1","00O2TNJGODT0G5Z4TTKYMM5MT","GSON1112060124")</f>
        <v>#NAME?</v>
      </c>
      <c r="R608" s="4" t="e">
        <f ca="1">[1]!BexGetData("DP_1","00O2TNJGODT0G5Z4TTKYMMBYD","GSON1112060124")</f>
        <v>#NAME?</v>
      </c>
      <c r="S608" s="4" t="e">
        <f ca="1">[1]!BexGetData("DP_1","00O2TNJGODT0G5Z4TTKYMMI9X","GSON1112060124")</f>
        <v>#NAME?</v>
      </c>
      <c r="T608" s="4" t="e">
        <f ca="1">[1]!BexGetData("DP_1","00O2TNJGODT0G5Z4TTKYMMOLH","GSON1112060124")</f>
        <v>#NAME?</v>
      </c>
      <c r="U608" s="4" t="e">
        <f ca="1">[1]!BexGetData("DP_1","00O2TNJGODT0G5Z4TTKYMMUX1","GSON1112060124")</f>
        <v>#NAME?</v>
      </c>
      <c r="V608" s="4" t="e">
        <f ca="1">[1]!BexGetData("DP_1","00O2TNJGODT0G5Z4TTKYMN18L","GSON1112060124")</f>
        <v>#NAME?</v>
      </c>
      <c r="W608" s="4" t="e">
        <f ca="1">[1]!BexGetData("DP_1","00O2TNJGODT0G5Z4TTKYMN7K5","GSON1112060124")</f>
        <v>#NAME?</v>
      </c>
    </row>
    <row r="609" spans="1:23" x14ac:dyDescent="0.2">
      <c r="A609" s="16" t="s">
        <v>2587</v>
      </c>
      <c r="B609" s="7" t="s">
        <v>2588</v>
      </c>
      <c r="C609" s="3" t="e">
        <f ca="1">[1]!BexGetData("DP_1","003N8EMH8GTFRCSWKMPXRR8GU","GSON1112060125")</f>
        <v>#NAME?</v>
      </c>
      <c r="D609" s="3" t="e">
        <f ca="1">[1]!BexGetData("DP_1","003N8EMH8GTFRCSWKMPXRRESE","GSON1112060125")</f>
        <v>#NAME?</v>
      </c>
      <c r="E609" s="8" t="e">
        <f ca="1">[1]!BexGetData("DP_1","003N8EMH8GTFRCSWKMPXRRL3Y","GSON1112060125")</f>
        <v>#NAME?</v>
      </c>
      <c r="F609" s="4" t="e">
        <f ca="1">[1]!BexGetData("DP_1","003N8EMH8GTFRCSWKMPXRRRFI","GSON1112060125")</f>
        <v>#NAME?</v>
      </c>
      <c r="G609" s="4" t="e">
        <f ca="1">[1]!BexGetData("DP_1","003N8EMH8GTFRCSWKMPXRRXR2","GSON1112060125")</f>
        <v>#NAME?</v>
      </c>
      <c r="H609" s="4" t="e">
        <f ca="1">[1]!BexGetData("DP_1","003N8EMH8GTFRCSWKMPXRS42M","GSON1112060125")</f>
        <v>#NAME?</v>
      </c>
      <c r="I609" s="4" t="e">
        <f ca="1">[1]!BexGetData("DP_1","003N8EMH8GTFRCSWKMPXRSAE6","GSON1112060125")</f>
        <v>#NAME?</v>
      </c>
      <c r="J609" s="4" t="e">
        <f ca="1">[1]!BexGetData("DP_1","003N8EMH8GTFRCSWKMPXRSGPQ","GSON1112060125")</f>
        <v>#NAME?</v>
      </c>
      <c r="K609" s="8" t="e">
        <f ca="1">[1]!BexGetData("DP_1","003N8EMH8GTFRIVNUPY288VJH","GSON1112060125")</f>
        <v>#NAME?</v>
      </c>
      <c r="L609" s="8" t="e">
        <f ca="1">[1]!BexGetData("DP_1","003N8EMH8GTFRIVNUPY2891V1","GSON1112060125")</f>
        <v>#NAME?</v>
      </c>
      <c r="M609" s="8" t="e">
        <f ca="1">[1]!BexGetData("DP_1","003N8EMH8GTFRIVOG7KG9IQXA","GSON1112060125")</f>
        <v>#NAME?</v>
      </c>
      <c r="N609" s="8" t="e">
        <f ca="1">[1]!BexGetData("DP_1","003N8EMH8GTFRIVOG7KG9IX8U","GSON1112060125")</f>
        <v>#NAME?</v>
      </c>
      <c r="O609" s="8" t="e">
        <f ca="1">[1]!BexGetData("DP_1","003N8EMH8GTFRIVOG7KG9J3KE","GSON1112060125")</f>
        <v>#NAME?</v>
      </c>
      <c r="P609" s="8" t="e">
        <f ca="1">[1]!BexGetData("DP_1","003N8EMH8GTFRIVOG7KG9J9VY","GSON1112060125")</f>
        <v>#NAME?</v>
      </c>
      <c r="Q609" s="4" t="e">
        <f ca="1">[1]!BexGetData("DP_1","00O2TNJGODT0G5Z4TTKYMM5MT","GSON1112060125")</f>
        <v>#NAME?</v>
      </c>
      <c r="R609" s="4" t="e">
        <f ca="1">[1]!BexGetData("DP_1","00O2TNJGODT0G5Z4TTKYMMBYD","GSON1112060125")</f>
        <v>#NAME?</v>
      </c>
      <c r="S609" s="4" t="e">
        <f ca="1">[1]!BexGetData("DP_1","00O2TNJGODT0G5Z4TTKYMMI9X","GSON1112060125")</f>
        <v>#NAME?</v>
      </c>
      <c r="T609" s="4" t="e">
        <f ca="1">[1]!BexGetData("DP_1","00O2TNJGODT0G5Z4TTKYMMOLH","GSON1112060125")</f>
        <v>#NAME?</v>
      </c>
      <c r="U609" s="4" t="e">
        <f ca="1">[1]!BexGetData("DP_1","00O2TNJGODT0G5Z4TTKYMMUX1","GSON1112060125")</f>
        <v>#NAME?</v>
      </c>
      <c r="V609" s="4" t="e">
        <f ca="1">[1]!BexGetData("DP_1","00O2TNJGODT0G5Z4TTKYMN18L","GSON1112060125")</f>
        <v>#NAME?</v>
      </c>
      <c r="W609" s="4" t="e">
        <f ca="1">[1]!BexGetData("DP_1","00O2TNJGODT0G5Z4TTKYMN7K5","GSON1112060125")</f>
        <v>#NAME?</v>
      </c>
    </row>
    <row r="610" spans="1:23" x14ac:dyDescent="0.2">
      <c r="A610" s="16" t="s">
        <v>2589</v>
      </c>
      <c r="B610" s="7" t="s">
        <v>2590</v>
      </c>
      <c r="C610" s="3" t="e">
        <f ca="1">[1]!BexGetData("DP_1","003N8EMH8GTFRCSWKMPXRR8GU","GSON1112060130")</f>
        <v>#NAME?</v>
      </c>
      <c r="D610" s="3" t="e">
        <f ca="1">[1]!BexGetData("DP_1","003N8EMH8GTFRCSWKMPXRRESE","GSON1112060130")</f>
        <v>#NAME?</v>
      </c>
      <c r="E610" s="3" t="e">
        <f ca="1">[1]!BexGetData("DP_1","003N8EMH8GTFRCSWKMPXRRL3Y","GSON1112060130")</f>
        <v>#NAME?</v>
      </c>
      <c r="F610" s="3" t="e">
        <f ca="1">[1]!BexGetData("DP_1","003N8EMH8GTFRCSWKMPXRRRFI","GSON1112060130")</f>
        <v>#NAME?</v>
      </c>
      <c r="G610" s="3" t="e">
        <f ca="1">[1]!BexGetData("DP_1","003N8EMH8GTFRCSWKMPXRRXR2","GSON1112060130")</f>
        <v>#NAME?</v>
      </c>
      <c r="H610" s="8" t="e">
        <f ca="1">[1]!BexGetData("DP_1","003N8EMH8GTFRCSWKMPXRS42M","GSON1112060130")</f>
        <v>#NAME?</v>
      </c>
      <c r="I610" s="3" t="e">
        <f ca="1">[1]!BexGetData("DP_1","003N8EMH8GTFRCSWKMPXRSAE6","GSON1112060130")</f>
        <v>#NAME?</v>
      </c>
      <c r="J610" s="4" t="e">
        <f ca="1">[1]!BexGetData("DP_1","003N8EMH8GTFRCSWKMPXRSGPQ","GSON1112060130")</f>
        <v>#NAME?</v>
      </c>
      <c r="K610" s="3" t="e">
        <f ca="1">[1]!BexGetData("DP_1","003N8EMH8GTFRIVNUPY288VJH","GSON1112060130")</f>
        <v>#NAME?</v>
      </c>
      <c r="L610" s="3" t="e">
        <f ca="1">[1]!BexGetData("DP_1","003N8EMH8GTFRIVNUPY2891V1","GSON1112060130")</f>
        <v>#NAME?</v>
      </c>
      <c r="M610" s="3" t="e">
        <f ca="1">[1]!BexGetData("DP_1","003N8EMH8GTFRIVOG7KG9IQXA","GSON1112060130")</f>
        <v>#NAME?</v>
      </c>
      <c r="N610" s="8" t="e">
        <f ca="1">[1]!BexGetData("DP_1","003N8EMH8GTFRIVOG7KG9IX8U","GSON1112060130")</f>
        <v>#NAME?</v>
      </c>
      <c r="O610" s="3" t="e">
        <f ca="1">[1]!BexGetData("DP_1","003N8EMH8GTFRIVOG7KG9J3KE","GSON1112060130")</f>
        <v>#NAME?</v>
      </c>
      <c r="P610" s="8" t="e">
        <f ca="1">[1]!BexGetData("DP_1","003N8EMH8GTFRIVOG7KG9J9VY","GSON1112060130")</f>
        <v>#NAME?</v>
      </c>
      <c r="Q610" s="4" t="e">
        <f ca="1">[1]!BexGetData("DP_1","00O2TNJGODT0G5Z4TTKYMM5MT","GSON1112060130")</f>
        <v>#NAME?</v>
      </c>
      <c r="R610" s="3" t="e">
        <f ca="1">[1]!BexGetData("DP_1","00O2TNJGODT0G5Z4TTKYMMBYD","GSON1112060130")</f>
        <v>#NAME?</v>
      </c>
      <c r="S610" s="3" t="e">
        <f ca="1">[1]!BexGetData("DP_1","00O2TNJGODT0G5Z4TTKYMMI9X","GSON1112060130")</f>
        <v>#NAME?</v>
      </c>
      <c r="T610" s="8" t="e">
        <f ca="1">[1]!BexGetData("DP_1","00O2TNJGODT0G5Z4TTKYMMOLH","GSON1112060130")</f>
        <v>#NAME?</v>
      </c>
      <c r="U610" s="3" t="e">
        <f ca="1">[1]!BexGetData("DP_1","00O2TNJGODT0G5Z4TTKYMMUX1","GSON1112060130")</f>
        <v>#NAME?</v>
      </c>
      <c r="V610" s="8" t="e">
        <f ca="1">[1]!BexGetData("DP_1","00O2TNJGODT0G5Z4TTKYMN18L","GSON1112060130")</f>
        <v>#NAME?</v>
      </c>
      <c r="W610" s="3" t="e">
        <f ca="1">[1]!BexGetData("DP_1","00O2TNJGODT0G5Z4TTKYMN7K5","GSON1112060130")</f>
        <v>#NAME?</v>
      </c>
    </row>
    <row r="611" spans="1:23" x14ac:dyDescent="0.2">
      <c r="A611" s="16" t="s">
        <v>2591</v>
      </c>
      <c r="B611" s="7" t="s">
        <v>2592</v>
      </c>
      <c r="C611" s="3" t="e">
        <f ca="1">[1]!BexGetData("DP_1","003N8EMH8GTFRCSWKMPXRR8GU","GSON1112060131")</f>
        <v>#NAME?</v>
      </c>
      <c r="D611" s="3" t="e">
        <f ca="1">[1]!BexGetData("DP_1","003N8EMH8GTFRCSWKMPXRRESE","GSON1112060131")</f>
        <v>#NAME?</v>
      </c>
      <c r="E611" s="8" t="e">
        <f ca="1">[1]!BexGetData("DP_1","003N8EMH8GTFRCSWKMPXRRL3Y","GSON1112060131")</f>
        <v>#NAME?</v>
      </c>
      <c r="F611" s="4" t="e">
        <f ca="1">[1]!BexGetData("DP_1","003N8EMH8GTFRCSWKMPXRRRFI","GSON1112060131")</f>
        <v>#NAME?</v>
      </c>
      <c r="G611" s="4" t="e">
        <f ca="1">[1]!BexGetData("DP_1","003N8EMH8GTFRCSWKMPXRRXR2","GSON1112060131")</f>
        <v>#NAME?</v>
      </c>
      <c r="H611" s="4" t="e">
        <f ca="1">[1]!BexGetData("DP_1","003N8EMH8GTFRCSWKMPXRS42M","GSON1112060131")</f>
        <v>#NAME?</v>
      </c>
      <c r="I611" s="4" t="e">
        <f ca="1">[1]!BexGetData("DP_1","003N8EMH8GTFRCSWKMPXRSAE6","GSON1112060131")</f>
        <v>#NAME?</v>
      </c>
      <c r="J611" s="4" t="e">
        <f ca="1">[1]!BexGetData("DP_1","003N8EMH8GTFRCSWKMPXRSGPQ","GSON1112060131")</f>
        <v>#NAME?</v>
      </c>
      <c r="K611" s="8" t="e">
        <f ca="1">[1]!BexGetData("DP_1","003N8EMH8GTFRIVNUPY288VJH","GSON1112060131")</f>
        <v>#NAME?</v>
      </c>
      <c r="L611" s="8" t="e">
        <f ca="1">[1]!BexGetData("DP_1","003N8EMH8GTFRIVNUPY2891V1","GSON1112060131")</f>
        <v>#NAME?</v>
      </c>
      <c r="M611" s="8" t="e">
        <f ca="1">[1]!BexGetData("DP_1","003N8EMH8GTFRIVOG7KG9IQXA","GSON1112060131")</f>
        <v>#NAME?</v>
      </c>
      <c r="N611" s="8" t="e">
        <f ca="1">[1]!BexGetData("DP_1","003N8EMH8GTFRIVOG7KG9IX8U","GSON1112060131")</f>
        <v>#NAME?</v>
      </c>
      <c r="O611" s="8" t="e">
        <f ca="1">[1]!BexGetData("DP_1","003N8EMH8GTFRIVOG7KG9J3KE","GSON1112060131")</f>
        <v>#NAME?</v>
      </c>
      <c r="P611" s="8" t="e">
        <f ca="1">[1]!BexGetData("DP_1","003N8EMH8GTFRIVOG7KG9J9VY","GSON1112060131")</f>
        <v>#NAME?</v>
      </c>
      <c r="Q611" s="4" t="e">
        <f ca="1">[1]!BexGetData("DP_1","00O2TNJGODT0G5Z4TTKYMM5MT","GSON1112060131")</f>
        <v>#NAME?</v>
      </c>
      <c r="R611" s="4" t="e">
        <f ca="1">[1]!BexGetData("DP_1","00O2TNJGODT0G5Z4TTKYMMBYD","GSON1112060131")</f>
        <v>#NAME?</v>
      </c>
      <c r="S611" s="4" t="e">
        <f ca="1">[1]!BexGetData("DP_1","00O2TNJGODT0G5Z4TTKYMMI9X","GSON1112060131")</f>
        <v>#NAME?</v>
      </c>
      <c r="T611" s="4" t="e">
        <f ca="1">[1]!BexGetData("DP_1","00O2TNJGODT0G5Z4TTKYMMOLH","GSON1112060131")</f>
        <v>#NAME?</v>
      </c>
      <c r="U611" s="4" t="e">
        <f ca="1">[1]!BexGetData("DP_1","00O2TNJGODT0G5Z4TTKYMMUX1","GSON1112060131")</f>
        <v>#NAME?</v>
      </c>
      <c r="V611" s="4" t="e">
        <f ca="1">[1]!BexGetData("DP_1","00O2TNJGODT0G5Z4TTKYMN18L","GSON1112060131")</f>
        <v>#NAME?</v>
      </c>
      <c r="W611" s="4" t="e">
        <f ca="1">[1]!BexGetData("DP_1","00O2TNJGODT0G5Z4TTKYMN7K5","GSON1112060131")</f>
        <v>#NAME?</v>
      </c>
    </row>
    <row r="612" spans="1:23" x14ac:dyDescent="0.2">
      <c r="A612" s="16" t="s">
        <v>2593</v>
      </c>
      <c r="B612" s="7" t="s">
        <v>2594</v>
      </c>
      <c r="C612" s="3" t="e">
        <f ca="1">[1]!BexGetData("DP_1","003N8EMH8GTFRCSWKMPXRR8GU","GSON1112060134")</f>
        <v>#NAME?</v>
      </c>
      <c r="D612" s="3" t="e">
        <f ca="1">[1]!BexGetData("DP_1","003N8EMH8GTFRCSWKMPXRRESE","GSON1112060134")</f>
        <v>#NAME?</v>
      </c>
      <c r="E612" s="8" t="e">
        <f ca="1">[1]!BexGetData("DP_1","003N8EMH8GTFRCSWKMPXRRL3Y","GSON1112060134")</f>
        <v>#NAME?</v>
      </c>
      <c r="F612" s="4" t="e">
        <f ca="1">[1]!BexGetData("DP_1","003N8EMH8GTFRCSWKMPXRRRFI","GSON1112060134")</f>
        <v>#NAME?</v>
      </c>
      <c r="G612" s="4" t="e">
        <f ca="1">[1]!BexGetData("DP_1","003N8EMH8GTFRCSWKMPXRRXR2","GSON1112060134")</f>
        <v>#NAME?</v>
      </c>
      <c r="H612" s="4" t="e">
        <f ca="1">[1]!BexGetData("DP_1","003N8EMH8GTFRCSWKMPXRS42M","GSON1112060134")</f>
        <v>#NAME?</v>
      </c>
      <c r="I612" s="4" t="e">
        <f ca="1">[1]!BexGetData("DP_1","003N8EMH8GTFRCSWKMPXRSAE6","GSON1112060134")</f>
        <v>#NAME?</v>
      </c>
      <c r="J612" s="4" t="e">
        <f ca="1">[1]!BexGetData("DP_1","003N8EMH8GTFRCSWKMPXRSGPQ","GSON1112060134")</f>
        <v>#NAME?</v>
      </c>
      <c r="K612" s="8" t="e">
        <f ca="1">[1]!BexGetData("DP_1","003N8EMH8GTFRIVNUPY288VJH","GSON1112060134")</f>
        <v>#NAME?</v>
      </c>
      <c r="L612" s="8" t="e">
        <f ca="1">[1]!BexGetData("DP_1","003N8EMH8GTFRIVNUPY2891V1","GSON1112060134")</f>
        <v>#NAME?</v>
      </c>
      <c r="M612" s="8" t="e">
        <f ca="1">[1]!BexGetData("DP_1","003N8EMH8GTFRIVOG7KG9IQXA","GSON1112060134")</f>
        <v>#NAME?</v>
      </c>
      <c r="N612" s="8" t="e">
        <f ca="1">[1]!BexGetData("DP_1","003N8EMH8GTFRIVOG7KG9IX8U","GSON1112060134")</f>
        <v>#NAME?</v>
      </c>
      <c r="O612" s="8" t="e">
        <f ca="1">[1]!BexGetData("DP_1","003N8EMH8GTFRIVOG7KG9J3KE","GSON1112060134")</f>
        <v>#NAME?</v>
      </c>
      <c r="P612" s="8" t="e">
        <f ca="1">[1]!BexGetData("DP_1","003N8EMH8GTFRIVOG7KG9J9VY","GSON1112060134")</f>
        <v>#NAME?</v>
      </c>
      <c r="Q612" s="4" t="e">
        <f ca="1">[1]!BexGetData("DP_1","00O2TNJGODT0G5Z4TTKYMM5MT","GSON1112060134")</f>
        <v>#NAME?</v>
      </c>
      <c r="R612" s="4" t="e">
        <f ca="1">[1]!BexGetData("DP_1","00O2TNJGODT0G5Z4TTKYMMBYD","GSON1112060134")</f>
        <v>#NAME?</v>
      </c>
      <c r="S612" s="4" t="e">
        <f ca="1">[1]!BexGetData("DP_1","00O2TNJGODT0G5Z4TTKYMMI9X","GSON1112060134")</f>
        <v>#NAME?</v>
      </c>
      <c r="T612" s="4" t="e">
        <f ca="1">[1]!BexGetData("DP_1","00O2TNJGODT0G5Z4TTKYMMOLH","GSON1112060134")</f>
        <v>#NAME?</v>
      </c>
      <c r="U612" s="4" t="e">
        <f ca="1">[1]!BexGetData("DP_1","00O2TNJGODT0G5Z4TTKYMMUX1","GSON1112060134")</f>
        <v>#NAME?</v>
      </c>
      <c r="V612" s="4" t="e">
        <f ca="1">[1]!BexGetData("DP_1","00O2TNJGODT0G5Z4TTKYMN18L","GSON1112060134")</f>
        <v>#NAME?</v>
      </c>
      <c r="W612" s="4" t="e">
        <f ca="1">[1]!BexGetData("DP_1","00O2TNJGODT0G5Z4TTKYMN7K5","GSON1112060134")</f>
        <v>#NAME?</v>
      </c>
    </row>
    <row r="613" spans="1:23" x14ac:dyDescent="0.2">
      <c r="A613" s="16" t="s">
        <v>2595</v>
      </c>
      <c r="B613" s="7" t="s">
        <v>2596</v>
      </c>
      <c r="C613" s="3" t="e">
        <f ca="1">[1]!BexGetData("DP_1","003N8EMH8GTFRCSWKMPXRR8GU","GSON1112060135")</f>
        <v>#NAME?</v>
      </c>
      <c r="D613" s="3" t="e">
        <f ca="1">[1]!BexGetData("DP_1","003N8EMH8GTFRCSWKMPXRRESE","GSON1112060135")</f>
        <v>#NAME?</v>
      </c>
      <c r="E613" s="8" t="e">
        <f ca="1">[1]!BexGetData("DP_1","003N8EMH8GTFRCSWKMPXRRL3Y","GSON1112060135")</f>
        <v>#NAME?</v>
      </c>
      <c r="F613" s="4" t="e">
        <f ca="1">[1]!BexGetData("DP_1","003N8EMH8GTFRCSWKMPXRRRFI","GSON1112060135")</f>
        <v>#NAME?</v>
      </c>
      <c r="G613" s="4" t="e">
        <f ca="1">[1]!BexGetData("DP_1","003N8EMH8GTFRCSWKMPXRRXR2","GSON1112060135")</f>
        <v>#NAME?</v>
      </c>
      <c r="H613" s="4" t="e">
        <f ca="1">[1]!BexGetData("DP_1","003N8EMH8GTFRCSWKMPXRS42M","GSON1112060135")</f>
        <v>#NAME?</v>
      </c>
      <c r="I613" s="4" t="e">
        <f ca="1">[1]!BexGetData("DP_1","003N8EMH8GTFRCSWKMPXRSAE6","GSON1112060135")</f>
        <v>#NAME?</v>
      </c>
      <c r="J613" s="4" t="e">
        <f ca="1">[1]!BexGetData("DP_1","003N8EMH8GTFRCSWKMPXRSGPQ","GSON1112060135")</f>
        <v>#NAME?</v>
      </c>
      <c r="K613" s="8" t="e">
        <f ca="1">[1]!BexGetData("DP_1","003N8EMH8GTFRIVNUPY288VJH","GSON1112060135")</f>
        <v>#NAME?</v>
      </c>
      <c r="L613" s="8" t="e">
        <f ca="1">[1]!BexGetData("DP_1","003N8EMH8GTFRIVNUPY2891V1","GSON1112060135")</f>
        <v>#NAME?</v>
      </c>
      <c r="M613" s="8" t="e">
        <f ca="1">[1]!BexGetData("DP_1","003N8EMH8GTFRIVOG7KG9IQXA","GSON1112060135")</f>
        <v>#NAME?</v>
      </c>
      <c r="N613" s="8" t="e">
        <f ca="1">[1]!BexGetData("DP_1","003N8EMH8GTFRIVOG7KG9IX8U","GSON1112060135")</f>
        <v>#NAME?</v>
      </c>
      <c r="O613" s="8" t="e">
        <f ca="1">[1]!BexGetData("DP_1","003N8EMH8GTFRIVOG7KG9J3KE","GSON1112060135")</f>
        <v>#NAME?</v>
      </c>
      <c r="P613" s="8" t="e">
        <f ca="1">[1]!BexGetData("DP_1","003N8EMH8GTFRIVOG7KG9J9VY","GSON1112060135")</f>
        <v>#NAME?</v>
      </c>
      <c r="Q613" s="4" t="e">
        <f ca="1">[1]!BexGetData("DP_1","00O2TNJGODT0G5Z4TTKYMM5MT","GSON1112060135")</f>
        <v>#NAME?</v>
      </c>
      <c r="R613" s="4" t="e">
        <f ca="1">[1]!BexGetData("DP_1","00O2TNJGODT0G5Z4TTKYMMBYD","GSON1112060135")</f>
        <v>#NAME?</v>
      </c>
      <c r="S613" s="4" t="e">
        <f ca="1">[1]!BexGetData("DP_1","00O2TNJGODT0G5Z4TTKYMMI9X","GSON1112060135")</f>
        <v>#NAME?</v>
      </c>
      <c r="T613" s="4" t="e">
        <f ca="1">[1]!BexGetData("DP_1","00O2TNJGODT0G5Z4TTKYMMOLH","GSON1112060135")</f>
        <v>#NAME?</v>
      </c>
      <c r="U613" s="4" t="e">
        <f ca="1">[1]!BexGetData("DP_1","00O2TNJGODT0G5Z4TTKYMMUX1","GSON1112060135")</f>
        <v>#NAME?</v>
      </c>
      <c r="V613" s="4" t="e">
        <f ca="1">[1]!BexGetData("DP_1","00O2TNJGODT0G5Z4TTKYMN18L","GSON1112060135")</f>
        <v>#NAME?</v>
      </c>
      <c r="W613" s="4" t="e">
        <f ca="1">[1]!BexGetData("DP_1","00O2TNJGODT0G5Z4TTKYMN7K5","GSON1112060135")</f>
        <v>#NAME?</v>
      </c>
    </row>
    <row r="614" spans="1:23" x14ac:dyDescent="0.2">
      <c r="A614" s="16" t="s">
        <v>2597</v>
      </c>
      <c r="B614" s="7" t="s">
        <v>2598</v>
      </c>
      <c r="C614" s="3" t="e">
        <f ca="1">[1]!BexGetData("DP_1","003N8EMH8GTFRCSWKMPXRR8GU","GSON1112060140")</f>
        <v>#NAME?</v>
      </c>
      <c r="D614" s="3" t="e">
        <f ca="1">[1]!BexGetData("DP_1","003N8EMH8GTFRCSWKMPXRRESE","GSON1112060140")</f>
        <v>#NAME?</v>
      </c>
      <c r="E614" s="3" t="e">
        <f ca="1">[1]!BexGetData("DP_1","003N8EMH8GTFRCSWKMPXRRL3Y","GSON1112060140")</f>
        <v>#NAME?</v>
      </c>
      <c r="F614" s="3" t="e">
        <f ca="1">[1]!BexGetData("DP_1","003N8EMH8GTFRCSWKMPXRRRFI","GSON1112060140")</f>
        <v>#NAME?</v>
      </c>
      <c r="G614" s="3" t="e">
        <f ca="1">[1]!BexGetData("DP_1","003N8EMH8GTFRCSWKMPXRRXR2","GSON1112060140")</f>
        <v>#NAME?</v>
      </c>
      <c r="H614" s="8" t="e">
        <f ca="1">[1]!BexGetData("DP_1","003N8EMH8GTFRCSWKMPXRS42M","GSON1112060140")</f>
        <v>#NAME?</v>
      </c>
      <c r="I614" s="3" t="e">
        <f ca="1">[1]!BexGetData("DP_1","003N8EMH8GTFRCSWKMPXRSAE6","GSON1112060140")</f>
        <v>#NAME?</v>
      </c>
      <c r="J614" s="4" t="e">
        <f ca="1">[1]!BexGetData("DP_1","003N8EMH8GTFRCSWKMPXRSGPQ","GSON1112060140")</f>
        <v>#NAME?</v>
      </c>
      <c r="K614" s="3" t="e">
        <f ca="1">[1]!BexGetData("DP_1","003N8EMH8GTFRIVNUPY288VJH","GSON1112060140")</f>
        <v>#NAME?</v>
      </c>
      <c r="L614" s="3" t="e">
        <f ca="1">[1]!BexGetData("DP_1","003N8EMH8GTFRIVNUPY2891V1","GSON1112060140")</f>
        <v>#NAME?</v>
      </c>
      <c r="M614" s="3" t="e">
        <f ca="1">[1]!BexGetData("DP_1","003N8EMH8GTFRIVOG7KG9IQXA","GSON1112060140")</f>
        <v>#NAME?</v>
      </c>
      <c r="N614" s="8" t="e">
        <f ca="1">[1]!BexGetData("DP_1","003N8EMH8GTFRIVOG7KG9IX8U","GSON1112060140")</f>
        <v>#NAME?</v>
      </c>
      <c r="O614" s="3" t="e">
        <f ca="1">[1]!BexGetData("DP_1","003N8EMH8GTFRIVOG7KG9J3KE","GSON1112060140")</f>
        <v>#NAME?</v>
      </c>
      <c r="P614" s="8" t="e">
        <f ca="1">[1]!BexGetData("DP_1","003N8EMH8GTFRIVOG7KG9J9VY","GSON1112060140")</f>
        <v>#NAME?</v>
      </c>
      <c r="Q614" s="4" t="e">
        <f ca="1">[1]!BexGetData("DP_1","00O2TNJGODT0G5Z4TTKYMM5MT","GSON1112060140")</f>
        <v>#NAME?</v>
      </c>
      <c r="R614" s="3" t="e">
        <f ca="1">[1]!BexGetData("DP_1","00O2TNJGODT0G5Z4TTKYMMBYD","GSON1112060140")</f>
        <v>#NAME?</v>
      </c>
      <c r="S614" s="3" t="e">
        <f ca="1">[1]!BexGetData("DP_1","00O2TNJGODT0G5Z4TTKYMMI9X","GSON1112060140")</f>
        <v>#NAME?</v>
      </c>
      <c r="T614" s="8" t="e">
        <f ca="1">[1]!BexGetData("DP_1","00O2TNJGODT0G5Z4TTKYMMOLH","GSON1112060140")</f>
        <v>#NAME?</v>
      </c>
      <c r="U614" s="3" t="e">
        <f ca="1">[1]!BexGetData("DP_1","00O2TNJGODT0G5Z4TTKYMMUX1","GSON1112060140")</f>
        <v>#NAME?</v>
      </c>
      <c r="V614" s="8" t="e">
        <f ca="1">[1]!BexGetData("DP_1","00O2TNJGODT0G5Z4TTKYMN18L","GSON1112060140")</f>
        <v>#NAME?</v>
      </c>
      <c r="W614" s="3" t="e">
        <f ca="1">[1]!BexGetData("DP_1","00O2TNJGODT0G5Z4TTKYMN7K5","GSON1112060140")</f>
        <v>#NAME?</v>
      </c>
    </row>
    <row r="615" spans="1:23" x14ac:dyDescent="0.2">
      <c r="A615" s="16" t="s">
        <v>2599</v>
      </c>
      <c r="B615" s="7" t="s">
        <v>2600</v>
      </c>
      <c r="C615" s="3" t="e">
        <f ca="1">[1]!BexGetData("DP_1","003N8EMH8GTFRCSWKMPXRR8GU","GSON1112060141")</f>
        <v>#NAME?</v>
      </c>
      <c r="D615" s="3" t="e">
        <f ca="1">[1]!BexGetData("DP_1","003N8EMH8GTFRCSWKMPXRRESE","GSON1112060141")</f>
        <v>#NAME?</v>
      </c>
      <c r="E615" s="8" t="e">
        <f ca="1">[1]!BexGetData("DP_1","003N8EMH8GTFRCSWKMPXRRL3Y","GSON1112060141")</f>
        <v>#NAME?</v>
      </c>
      <c r="F615" s="4" t="e">
        <f ca="1">[1]!BexGetData("DP_1","003N8EMH8GTFRCSWKMPXRRRFI","GSON1112060141")</f>
        <v>#NAME?</v>
      </c>
      <c r="G615" s="4" t="e">
        <f ca="1">[1]!BexGetData("DP_1","003N8EMH8GTFRCSWKMPXRRXR2","GSON1112060141")</f>
        <v>#NAME?</v>
      </c>
      <c r="H615" s="4" t="e">
        <f ca="1">[1]!BexGetData("DP_1","003N8EMH8GTFRCSWKMPXRS42M","GSON1112060141")</f>
        <v>#NAME?</v>
      </c>
      <c r="I615" s="4" t="e">
        <f ca="1">[1]!BexGetData("DP_1","003N8EMH8GTFRCSWKMPXRSAE6","GSON1112060141")</f>
        <v>#NAME?</v>
      </c>
      <c r="J615" s="4" t="e">
        <f ca="1">[1]!BexGetData("DP_1","003N8EMH8GTFRCSWKMPXRSGPQ","GSON1112060141")</f>
        <v>#NAME?</v>
      </c>
      <c r="K615" s="8" t="e">
        <f ca="1">[1]!BexGetData("DP_1","003N8EMH8GTFRIVNUPY288VJH","GSON1112060141")</f>
        <v>#NAME?</v>
      </c>
      <c r="L615" s="8" t="e">
        <f ca="1">[1]!BexGetData("DP_1","003N8EMH8GTFRIVNUPY2891V1","GSON1112060141")</f>
        <v>#NAME?</v>
      </c>
      <c r="M615" s="8" t="e">
        <f ca="1">[1]!BexGetData("DP_1","003N8EMH8GTFRIVOG7KG9IQXA","GSON1112060141")</f>
        <v>#NAME?</v>
      </c>
      <c r="N615" s="8" t="e">
        <f ca="1">[1]!BexGetData("DP_1","003N8EMH8GTFRIVOG7KG9IX8U","GSON1112060141")</f>
        <v>#NAME?</v>
      </c>
      <c r="O615" s="8" t="e">
        <f ca="1">[1]!BexGetData("DP_1","003N8EMH8GTFRIVOG7KG9J3KE","GSON1112060141")</f>
        <v>#NAME?</v>
      </c>
      <c r="P615" s="8" t="e">
        <f ca="1">[1]!BexGetData("DP_1","003N8EMH8GTFRIVOG7KG9J9VY","GSON1112060141")</f>
        <v>#NAME?</v>
      </c>
      <c r="Q615" s="4" t="e">
        <f ca="1">[1]!BexGetData("DP_1","00O2TNJGODT0G5Z4TTKYMM5MT","GSON1112060141")</f>
        <v>#NAME?</v>
      </c>
      <c r="R615" s="4" t="e">
        <f ca="1">[1]!BexGetData("DP_1","00O2TNJGODT0G5Z4TTKYMMBYD","GSON1112060141")</f>
        <v>#NAME?</v>
      </c>
      <c r="S615" s="4" t="e">
        <f ca="1">[1]!BexGetData("DP_1","00O2TNJGODT0G5Z4TTKYMMI9X","GSON1112060141")</f>
        <v>#NAME?</v>
      </c>
      <c r="T615" s="4" t="e">
        <f ca="1">[1]!BexGetData("DP_1","00O2TNJGODT0G5Z4TTKYMMOLH","GSON1112060141")</f>
        <v>#NAME?</v>
      </c>
      <c r="U615" s="4" t="e">
        <f ca="1">[1]!BexGetData("DP_1","00O2TNJGODT0G5Z4TTKYMMUX1","GSON1112060141")</f>
        <v>#NAME?</v>
      </c>
      <c r="V615" s="4" t="e">
        <f ca="1">[1]!BexGetData("DP_1","00O2TNJGODT0G5Z4TTKYMN18L","GSON1112060141")</f>
        <v>#NAME?</v>
      </c>
      <c r="W615" s="4" t="e">
        <f ca="1">[1]!BexGetData("DP_1","00O2TNJGODT0G5Z4TTKYMN7K5","GSON1112060141")</f>
        <v>#NAME?</v>
      </c>
    </row>
    <row r="616" spans="1:23" x14ac:dyDescent="0.2">
      <c r="A616" s="16" t="s">
        <v>2601</v>
      </c>
      <c r="B616" s="7" t="s">
        <v>2602</v>
      </c>
      <c r="C616" s="3" t="e">
        <f ca="1">[1]!BexGetData("DP_1","003N8EMH8GTFRCSWKMPXRR8GU","GSON1112060143")</f>
        <v>#NAME?</v>
      </c>
      <c r="D616" s="3" t="e">
        <f ca="1">[1]!BexGetData("DP_1","003N8EMH8GTFRCSWKMPXRRESE","GSON1112060143")</f>
        <v>#NAME?</v>
      </c>
      <c r="E616" s="8" t="e">
        <f ca="1">[1]!BexGetData("DP_1","003N8EMH8GTFRCSWKMPXRRL3Y","GSON1112060143")</f>
        <v>#NAME?</v>
      </c>
      <c r="F616" s="4" t="e">
        <f ca="1">[1]!BexGetData("DP_1","003N8EMH8GTFRCSWKMPXRRRFI","GSON1112060143")</f>
        <v>#NAME?</v>
      </c>
      <c r="G616" s="4" t="e">
        <f ca="1">[1]!BexGetData("DP_1","003N8EMH8GTFRCSWKMPXRRXR2","GSON1112060143")</f>
        <v>#NAME?</v>
      </c>
      <c r="H616" s="4" t="e">
        <f ca="1">[1]!BexGetData("DP_1","003N8EMH8GTFRCSWKMPXRS42M","GSON1112060143")</f>
        <v>#NAME?</v>
      </c>
      <c r="I616" s="4" t="e">
        <f ca="1">[1]!BexGetData("DP_1","003N8EMH8GTFRCSWKMPXRSAE6","GSON1112060143")</f>
        <v>#NAME?</v>
      </c>
      <c r="J616" s="4" t="e">
        <f ca="1">[1]!BexGetData("DP_1","003N8EMH8GTFRCSWKMPXRSGPQ","GSON1112060143")</f>
        <v>#NAME?</v>
      </c>
      <c r="K616" s="8" t="e">
        <f ca="1">[1]!BexGetData("DP_1","003N8EMH8GTFRIVNUPY288VJH","GSON1112060143")</f>
        <v>#NAME?</v>
      </c>
      <c r="L616" s="8" t="e">
        <f ca="1">[1]!BexGetData("DP_1","003N8EMH8GTFRIVNUPY2891V1","GSON1112060143")</f>
        <v>#NAME?</v>
      </c>
      <c r="M616" s="8" t="e">
        <f ca="1">[1]!BexGetData("DP_1","003N8EMH8GTFRIVOG7KG9IQXA","GSON1112060143")</f>
        <v>#NAME?</v>
      </c>
      <c r="N616" s="8" t="e">
        <f ca="1">[1]!BexGetData("DP_1","003N8EMH8GTFRIVOG7KG9IX8U","GSON1112060143")</f>
        <v>#NAME?</v>
      </c>
      <c r="O616" s="8" t="e">
        <f ca="1">[1]!BexGetData("DP_1","003N8EMH8GTFRIVOG7KG9J3KE","GSON1112060143")</f>
        <v>#NAME?</v>
      </c>
      <c r="P616" s="8" t="e">
        <f ca="1">[1]!BexGetData("DP_1","003N8EMH8GTFRIVOG7KG9J9VY","GSON1112060143")</f>
        <v>#NAME?</v>
      </c>
      <c r="Q616" s="4" t="e">
        <f ca="1">[1]!BexGetData("DP_1","00O2TNJGODT0G5Z4TTKYMM5MT","GSON1112060143")</f>
        <v>#NAME?</v>
      </c>
      <c r="R616" s="4" t="e">
        <f ca="1">[1]!BexGetData("DP_1","00O2TNJGODT0G5Z4TTKYMMBYD","GSON1112060143")</f>
        <v>#NAME?</v>
      </c>
      <c r="S616" s="4" t="e">
        <f ca="1">[1]!BexGetData("DP_1","00O2TNJGODT0G5Z4TTKYMMI9X","GSON1112060143")</f>
        <v>#NAME?</v>
      </c>
      <c r="T616" s="4" t="e">
        <f ca="1">[1]!BexGetData("DP_1","00O2TNJGODT0G5Z4TTKYMMOLH","GSON1112060143")</f>
        <v>#NAME?</v>
      </c>
      <c r="U616" s="4" t="e">
        <f ca="1">[1]!BexGetData("DP_1","00O2TNJGODT0G5Z4TTKYMMUX1","GSON1112060143")</f>
        <v>#NAME?</v>
      </c>
      <c r="V616" s="4" t="e">
        <f ca="1">[1]!BexGetData("DP_1","00O2TNJGODT0G5Z4TTKYMN18L","GSON1112060143")</f>
        <v>#NAME?</v>
      </c>
      <c r="W616" s="4" t="e">
        <f ca="1">[1]!BexGetData("DP_1","00O2TNJGODT0G5Z4TTKYMN7K5","GSON1112060143")</f>
        <v>#NAME?</v>
      </c>
    </row>
    <row r="617" spans="1:23" x14ac:dyDescent="0.2">
      <c r="A617" s="16" t="s">
        <v>2603</v>
      </c>
      <c r="B617" s="7" t="s">
        <v>2604</v>
      </c>
      <c r="C617" s="3" t="e">
        <f ca="1">[1]!BexGetData("DP_1","003N8EMH8GTFRCSWKMPXRR8GU","GSON1112060144")</f>
        <v>#NAME?</v>
      </c>
      <c r="D617" s="3" t="e">
        <f ca="1">[1]!BexGetData("DP_1","003N8EMH8GTFRCSWKMPXRRESE","GSON1112060144")</f>
        <v>#NAME?</v>
      </c>
      <c r="E617" s="8" t="e">
        <f ca="1">[1]!BexGetData("DP_1","003N8EMH8GTFRCSWKMPXRRL3Y","GSON1112060144")</f>
        <v>#NAME?</v>
      </c>
      <c r="F617" s="4" t="e">
        <f ca="1">[1]!BexGetData("DP_1","003N8EMH8GTFRCSWKMPXRRRFI","GSON1112060144")</f>
        <v>#NAME?</v>
      </c>
      <c r="G617" s="4" t="e">
        <f ca="1">[1]!BexGetData("DP_1","003N8EMH8GTFRCSWKMPXRRXR2","GSON1112060144")</f>
        <v>#NAME?</v>
      </c>
      <c r="H617" s="4" t="e">
        <f ca="1">[1]!BexGetData("DP_1","003N8EMH8GTFRCSWKMPXRS42M","GSON1112060144")</f>
        <v>#NAME?</v>
      </c>
      <c r="I617" s="4" t="e">
        <f ca="1">[1]!BexGetData("DP_1","003N8EMH8GTFRCSWKMPXRSAE6","GSON1112060144")</f>
        <v>#NAME?</v>
      </c>
      <c r="J617" s="4" t="e">
        <f ca="1">[1]!BexGetData("DP_1","003N8EMH8GTFRCSWKMPXRSGPQ","GSON1112060144")</f>
        <v>#NAME?</v>
      </c>
      <c r="K617" s="8" t="e">
        <f ca="1">[1]!BexGetData("DP_1","003N8EMH8GTFRIVNUPY288VJH","GSON1112060144")</f>
        <v>#NAME?</v>
      </c>
      <c r="L617" s="8" t="e">
        <f ca="1">[1]!BexGetData("DP_1","003N8EMH8GTFRIVNUPY2891V1","GSON1112060144")</f>
        <v>#NAME?</v>
      </c>
      <c r="M617" s="8" t="e">
        <f ca="1">[1]!BexGetData("DP_1","003N8EMH8GTFRIVOG7KG9IQXA","GSON1112060144")</f>
        <v>#NAME?</v>
      </c>
      <c r="N617" s="8" t="e">
        <f ca="1">[1]!BexGetData("DP_1","003N8EMH8GTFRIVOG7KG9IX8U","GSON1112060144")</f>
        <v>#NAME?</v>
      </c>
      <c r="O617" s="8" t="e">
        <f ca="1">[1]!BexGetData("DP_1","003N8EMH8GTFRIVOG7KG9J3KE","GSON1112060144")</f>
        <v>#NAME?</v>
      </c>
      <c r="P617" s="8" t="e">
        <f ca="1">[1]!BexGetData("DP_1","003N8EMH8GTFRIVOG7KG9J9VY","GSON1112060144")</f>
        <v>#NAME?</v>
      </c>
      <c r="Q617" s="4" t="e">
        <f ca="1">[1]!BexGetData("DP_1","00O2TNJGODT0G5Z4TTKYMM5MT","GSON1112060144")</f>
        <v>#NAME?</v>
      </c>
      <c r="R617" s="4" t="e">
        <f ca="1">[1]!BexGetData("DP_1","00O2TNJGODT0G5Z4TTKYMMBYD","GSON1112060144")</f>
        <v>#NAME?</v>
      </c>
      <c r="S617" s="4" t="e">
        <f ca="1">[1]!BexGetData("DP_1","00O2TNJGODT0G5Z4TTKYMMI9X","GSON1112060144")</f>
        <v>#NAME?</v>
      </c>
      <c r="T617" s="4" t="e">
        <f ca="1">[1]!BexGetData("DP_1","00O2TNJGODT0G5Z4TTKYMMOLH","GSON1112060144")</f>
        <v>#NAME?</v>
      </c>
      <c r="U617" s="4" t="e">
        <f ca="1">[1]!BexGetData("DP_1","00O2TNJGODT0G5Z4TTKYMMUX1","GSON1112060144")</f>
        <v>#NAME?</v>
      </c>
      <c r="V617" s="4" t="e">
        <f ca="1">[1]!BexGetData("DP_1","00O2TNJGODT0G5Z4TTKYMN18L","GSON1112060144")</f>
        <v>#NAME?</v>
      </c>
      <c r="W617" s="4" t="e">
        <f ca="1">[1]!BexGetData("DP_1","00O2TNJGODT0G5Z4TTKYMN7K5","GSON1112060144")</f>
        <v>#NAME?</v>
      </c>
    </row>
    <row r="618" spans="1:23" x14ac:dyDescent="0.2">
      <c r="A618" s="16" t="s">
        <v>2605</v>
      </c>
      <c r="B618" s="7" t="s">
        <v>2606</v>
      </c>
      <c r="C618" s="3" t="e">
        <f ca="1">[1]!BexGetData("DP_1","003N8EMH8GTFRCSWKMPXRR8GU","GSON1112060145")</f>
        <v>#NAME?</v>
      </c>
      <c r="D618" s="3" t="e">
        <f ca="1">[1]!BexGetData("DP_1","003N8EMH8GTFRCSWKMPXRRESE","GSON1112060145")</f>
        <v>#NAME?</v>
      </c>
      <c r="E618" s="8" t="e">
        <f ca="1">[1]!BexGetData("DP_1","003N8EMH8GTFRCSWKMPXRRL3Y","GSON1112060145")</f>
        <v>#NAME?</v>
      </c>
      <c r="F618" s="4" t="e">
        <f ca="1">[1]!BexGetData("DP_1","003N8EMH8GTFRCSWKMPXRRRFI","GSON1112060145")</f>
        <v>#NAME?</v>
      </c>
      <c r="G618" s="4" t="e">
        <f ca="1">[1]!BexGetData("DP_1","003N8EMH8GTFRCSWKMPXRRXR2","GSON1112060145")</f>
        <v>#NAME?</v>
      </c>
      <c r="H618" s="4" t="e">
        <f ca="1">[1]!BexGetData("DP_1","003N8EMH8GTFRCSWKMPXRS42M","GSON1112060145")</f>
        <v>#NAME?</v>
      </c>
      <c r="I618" s="4" t="e">
        <f ca="1">[1]!BexGetData("DP_1","003N8EMH8GTFRCSWKMPXRSAE6","GSON1112060145")</f>
        <v>#NAME?</v>
      </c>
      <c r="J618" s="4" t="e">
        <f ca="1">[1]!BexGetData("DP_1","003N8EMH8GTFRCSWKMPXRSGPQ","GSON1112060145")</f>
        <v>#NAME?</v>
      </c>
      <c r="K618" s="8" t="e">
        <f ca="1">[1]!BexGetData("DP_1","003N8EMH8GTFRIVNUPY288VJH","GSON1112060145")</f>
        <v>#NAME?</v>
      </c>
      <c r="L618" s="8" t="e">
        <f ca="1">[1]!BexGetData("DP_1","003N8EMH8GTFRIVNUPY2891V1","GSON1112060145")</f>
        <v>#NAME?</v>
      </c>
      <c r="M618" s="8" t="e">
        <f ca="1">[1]!BexGetData("DP_1","003N8EMH8GTFRIVOG7KG9IQXA","GSON1112060145")</f>
        <v>#NAME?</v>
      </c>
      <c r="N618" s="8" t="e">
        <f ca="1">[1]!BexGetData("DP_1","003N8EMH8GTFRIVOG7KG9IX8U","GSON1112060145")</f>
        <v>#NAME?</v>
      </c>
      <c r="O618" s="8" t="e">
        <f ca="1">[1]!BexGetData("DP_1","003N8EMH8GTFRIVOG7KG9J3KE","GSON1112060145")</f>
        <v>#NAME?</v>
      </c>
      <c r="P618" s="8" t="e">
        <f ca="1">[1]!BexGetData("DP_1","003N8EMH8GTFRIVOG7KG9J9VY","GSON1112060145")</f>
        <v>#NAME?</v>
      </c>
      <c r="Q618" s="4" t="e">
        <f ca="1">[1]!BexGetData("DP_1","00O2TNJGODT0G5Z4TTKYMM5MT","GSON1112060145")</f>
        <v>#NAME?</v>
      </c>
      <c r="R618" s="4" t="e">
        <f ca="1">[1]!BexGetData("DP_1","00O2TNJGODT0G5Z4TTKYMMBYD","GSON1112060145")</f>
        <v>#NAME?</v>
      </c>
      <c r="S618" s="4" t="e">
        <f ca="1">[1]!BexGetData("DP_1","00O2TNJGODT0G5Z4TTKYMMI9X","GSON1112060145")</f>
        <v>#NAME?</v>
      </c>
      <c r="T618" s="4" t="e">
        <f ca="1">[1]!BexGetData("DP_1","00O2TNJGODT0G5Z4TTKYMMOLH","GSON1112060145")</f>
        <v>#NAME?</v>
      </c>
      <c r="U618" s="4" t="e">
        <f ca="1">[1]!BexGetData("DP_1","00O2TNJGODT0G5Z4TTKYMMUX1","GSON1112060145")</f>
        <v>#NAME?</v>
      </c>
      <c r="V618" s="4" t="e">
        <f ca="1">[1]!BexGetData("DP_1","00O2TNJGODT0G5Z4TTKYMN18L","GSON1112060145")</f>
        <v>#NAME?</v>
      </c>
      <c r="W618" s="4" t="e">
        <f ca="1">[1]!BexGetData("DP_1","00O2TNJGODT0G5Z4TTKYMN7K5","GSON1112060145")</f>
        <v>#NAME?</v>
      </c>
    </row>
    <row r="619" spans="1:23" x14ac:dyDescent="0.2">
      <c r="A619" s="16" t="s">
        <v>2607</v>
      </c>
      <c r="B619" s="7" t="s">
        <v>2608</v>
      </c>
      <c r="C619" s="3" t="e">
        <f ca="1">[1]!BexGetData("DP_1","003N8EMH8GTFRCSWKMPXRR8GU","GSON1112060150")</f>
        <v>#NAME?</v>
      </c>
      <c r="D619" s="3" t="e">
        <f ca="1">[1]!BexGetData("DP_1","003N8EMH8GTFRCSWKMPXRRESE","GSON1112060150")</f>
        <v>#NAME?</v>
      </c>
      <c r="E619" s="3" t="e">
        <f ca="1">[1]!BexGetData("DP_1","003N8EMH8GTFRCSWKMPXRRL3Y","GSON1112060150")</f>
        <v>#NAME?</v>
      </c>
      <c r="F619" s="3" t="e">
        <f ca="1">[1]!BexGetData("DP_1","003N8EMH8GTFRCSWKMPXRRRFI","GSON1112060150")</f>
        <v>#NAME?</v>
      </c>
      <c r="G619" s="3" t="e">
        <f ca="1">[1]!BexGetData("DP_1","003N8EMH8GTFRCSWKMPXRRXR2","GSON1112060150")</f>
        <v>#NAME?</v>
      </c>
      <c r="H619" s="8" t="e">
        <f ca="1">[1]!BexGetData("DP_1","003N8EMH8GTFRCSWKMPXRS42M","GSON1112060150")</f>
        <v>#NAME?</v>
      </c>
      <c r="I619" s="3" t="e">
        <f ca="1">[1]!BexGetData("DP_1","003N8EMH8GTFRCSWKMPXRSAE6","GSON1112060150")</f>
        <v>#NAME?</v>
      </c>
      <c r="J619" s="4" t="e">
        <f ca="1">[1]!BexGetData("DP_1","003N8EMH8GTFRCSWKMPXRSGPQ","GSON1112060150")</f>
        <v>#NAME?</v>
      </c>
      <c r="K619" s="3" t="e">
        <f ca="1">[1]!BexGetData("DP_1","003N8EMH8GTFRIVNUPY288VJH","GSON1112060150")</f>
        <v>#NAME?</v>
      </c>
      <c r="L619" s="3" t="e">
        <f ca="1">[1]!BexGetData("DP_1","003N8EMH8GTFRIVNUPY2891V1","GSON1112060150")</f>
        <v>#NAME?</v>
      </c>
      <c r="M619" s="8" t="e">
        <f ca="1">[1]!BexGetData("DP_1","003N8EMH8GTFRIVOG7KG9IQXA","GSON1112060150")</f>
        <v>#NAME?</v>
      </c>
      <c r="N619" s="3" t="e">
        <f ca="1">[1]!BexGetData("DP_1","003N8EMH8GTFRIVOG7KG9IX8U","GSON1112060150")</f>
        <v>#NAME?</v>
      </c>
      <c r="O619" s="8" t="e">
        <f ca="1">[1]!BexGetData("DP_1","003N8EMH8GTFRIVOG7KG9J3KE","GSON1112060150")</f>
        <v>#NAME?</v>
      </c>
      <c r="P619" s="3" t="e">
        <f ca="1">[1]!BexGetData("DP_1","003N8EMH8GTFRIVOG7KG9J9VY","GSON1112060150")</f>
        <v>#NAME?</v>
      </c>
      <c r="Q619" s="4" t="e">
        <f ca="1">[1]!BexGetData("DP_1","00O2TNJGODT0G5Z4TTKYMM5MT","GSON1112060150")</f>
        <v>#NAME?</v>
      </c>
      <c r="R619" s="3" t="e">
        <f ca="1">[1]!BexGetData("DP_1","00O2TNJGODT0G5Z4TTKYMMBYD","GSON1112060150")</f>
        <v>#NAME?</v>
      </c>
      <c r="S619" s="3" t="e">
        <f ca="1">[1]!BexGetData("DP_1","00O2TNJGODT0G5Z4TTKYMMI9X","GSON1112060150")</f>
        <v>#NAME?</v>
      </c>
      <c r="T619" s="8" t="e">
        <f ca="1">[1]!BexGetData("DP_1","00O2TNJGODT0G5Z4TTKYMMOLH","GSON1112060150")</f>
        <v>#NAME?</v>
      </c>
      <c r="U619" s="3" t="e">
        <f ca="1">[1]!BexGetData("DP_1","00O2TNJGODT0G5Z4TTKYMMUX1","GSON1112060150")</f>
        <v>#NAME?</v>
      </c>
      <c r="V619" s="8" t="e">
        <f ca="1">[1]!BexGetData("DP_1","00O2TNJGODT0G5Z4TTKYMN18L","GSON1112060150")</f>
        <v>#NAME?</v>
      </c>
      <c r="W619" s="3" t="e">
        <f ca="1">[1]!BexGetData("DP_1","00O2TNJGODT0G5Z4TTKYMN7K5","GSON1112060150")</f>
        <v>#NAME?</v>
      </c>
    </row>
    <row r="620" spans="1:23" x14ac:dyDescent="0.2">
      <c r="A620" s="16" t="s">
        <v>2609</v>
      </c>
      <c r="B620" s="7" t="s">
        <v>2610</v>
      </c>
      <c r="C620" s="3" t="e">
        <f ca="1">[1]!BexGetData("DP_1","003N8EMH8GTFRCSWKMPXRR8GU","GSON1112060151")</f>
        <v>#NAME?</v>
      </c>
      <c r="D620" s="3" t="e">
        <f ca="1">[1]!BexGetData("DP_1","003N8EMH8GTFRCSWKMPXRRESE","GSON1112060151")</f>
        <v>#NAME?</v>
      </c>
      <c r="E620" s="8" t="e">
        <f ca="1">[1]!BexGetData("DP_1","003N8EMH8GTFRCSWKMPXRRL3Y","GSON1112060151")</f>
        <v>#NAME?</v>
      </c>
      <c r="F620" s="4" t="e">
        <f ca="1">[1]!BexGetData("DP_1","003N8EMH8GTFRCSWKMPXRRRFI","GSON1112060151")</f>
        <v>#NAME?</v>
      </c>
      <c r="G620" s="4" t="e">
        <f ca="1">[1]!BexGetData("DP_1","003N8EMH8GTFRCSWKMPXRRXR2","GSON1112060151")</f>
        <v>#NAME?</v>
      </c>
      <c r="H620" s="4" t="e">
        <f ca="1">[1]!BexGetData("DP_1","003N8EMH8GTFRCSWKMPXRS42M","GSON1112060151")</f>
        <v>#NAME?</v>
      </c>
      <c r="I620" s="4" t="e">
        <f ca="1">[1]!BexGetData("DP_1","003N8EMH8GTFRCSWKMPXRSAE6","GSON1112060151")</f>
        <v>#NAME?</v>
      </c>
      <c r="J620" s="4" t="e">
        <f ca="1">[1]!BexGetData("DP_1","003N8EMH8GTFRCSWKMPXRSGPQ","GSON1112060151")</f>
        <v>#NAME?</v>
      </c>
      <c r="K620" s="8" t="e">
        <f ca="1">[1]!BexGetData("DP_1","003N8EMH8GTFRIVNUPY288VJH","GSON1112060151")</f>
        <v>#NAME?</v>
      </c>
      <c r="L620" s="8" t="e">
        <f ca="1">[1]!BexGetData("DP_1","003N8EMH8GTFRIVNUPY2891V1","GSON1112060151")</f>
        <v>#NAME?</v>
      </c>
      <c r="M620" s="8" t="e">
        <f ca="1">[1]!BexGetData("DP_1","003N8EMH8GTFRIVOG7KG9IQXA","GSON1112060151")</f>
        <v>#NAME?</v>
      </c>
      <c r="N620" s="8" t="e">
        <f ca="1">[1]!BexGetData("DP_1","003N8EMH8GTFRIVOG7KG9IX8U","GSON1112060151")</f>
        <v>#NAME?</v>
      </c>
      <c r="O620" s="8" t="e">
        <f ca="1">[1]!BexGetData("DP_1","003N8EMH8GTFRIVOG7KG9J3KE","GSON1112060151")</f>
        <v>#NAME?</v>
      </c>
      <c r="P620" s="8" t="e">
        <f ca="1">[1]!BexGetData("DP_1","003N8EMH8GTFRIVOG7KG9J9VY","GSON1112060151")</f>
        <v>#NAME?</v>
      </c>
      <c r="Q620" s="4" t="e">
        <f ca="1">[1]!BexGetData("DP_1","00O2TNJGODT0G5Z4TTKYMM5MT","GSON1112060151")</f>
        <v>#NAME?</v>
      </c>
      <c r="R620" s="4" t="e">
        <f ca="1">[1]!BexGetData("DP_1","00O2TNJGODT0G5Z4TTKYMMBYD","GSON1112060151")</f>
        <v>#NAME?</v>
      </c>
      <c r="S620" s="4" t="e">
        <f ca="1">[1]!BexGetData("DP_1","00O2TNJGODT0G5Z4TTKYMMI9X","GSON1112060151")</f>
        <v>#NAME?</v>
      </c>
      <c r="T620" s="4" t="e">
        <f ca="1">[1]!BexGetData("DP_1","00O2TNJGODT0G5Z4TTKYMMOLH","GSON1112060151")</f>
        <v>#NAME?</v>
      </c>
      <c r="U620" s="4" t="e">
        <f ca="1">[1]!BexGetData("DP_1","00O2TNJGODT0G5Z4TTKYMMUX1","GSON1112060151")</f>
        <v>#NAME?</v>
      </c>
      <c r="V620" s="4" t="e">
        <f ca="1">[1]!BexGetData("DP_1","00O2TNJGODT0G5Z4TTKYMN18L","GSON1112060151")</f>
        <v>#NAME?</v>
      </c>
      <c r="W620" s="4" t="e">
        <f ca="1">[1]!BexGetData("DP_1","00O2TNJGODT0G5Z4TTKYMN7K5","GSON1112060151")</f>
        <v>#NAME?</v>
      </c>
    </row>
    <row r="621" spans="1:23" x14ac:dyDescent="0.2">
      <c r="A621" s="16" t="s">
        <v>2611</v>
      </c>
      <c r="B621" s="7" t="s">
        <v>2612</v>
      </c>
      <c r="C621" s="3" t="e">
        <f ca="1">[1]!BexGetData("DP_1","003N8EMH8GTFRCSWKMPXRR8GU","GSON1112060152")</f>
        <v>#NAME?</v>
      </c>
      <c r="D621" s="3" t="e">
        <f ca="1">[1]!BexGetData("DP_1","003N8EMH8GTFRCSWKMPXRRESE","GSON1112060152")</f>
        <v>#NAME?</v>
      </c>
      <c r="E621" s="8" t="e">
        <f ca="1">[1]!BexGetData("DP_1","003N8EMH8GTFRCSWKMPXRRL3Y","GSON1112060152")</f>
        <v>#NAME?</v>
      </c>
      <c r="F621" s="4" t="e">
        <f ca="1">[1]!BexGetData("DP_1","003N8EMH8GTFRCSWKMPXRRRFI","GSON1112060152")</f>
        <v>#NAME?</v>
      </c>
      <c r="G621" s="4" t="e">
        <f ca="1">[1]!BexGetData("DP_1","003N8EMH8GTFRCSWKMPXRRXR2","GSON1112060152")</f>
        <v>#NAME?</v>
      </c>
      <c r="H621" s="4" t="e">
        <f ca="1">[1]!BexGetData("DP_1","003N8EMH8GTFRCSWKMPXRS42M","GSON1112060152")</f>
        <v>#NAME?</v>
      </c>
      <c r="I621" s="4" t="e">
        <f ca="1">[1]!BexGetData("DP_1","003N8EMH8GTFRCSWKMPXRSAE6","GSON1112060152")</f>
        <v>#NAME?</v>
      </c>
      <c r="J621" s="4" t="e">
        <f ca="1">[1]!BexGetData("DP_1","003N8EMH8GTFRCSWKMPXRSGPQ","GSON1112060152")</f>
        <v>#NAME?</v>
      </c>
      <c r="K621" s="8" t="e">
        <f ca="1">[1]!BexGetData("DP_1","003N8EMH8GTFRIVNUPY288VJH","GSON1112060152")</f>
        <v>#NAME?</v>
      </c>
      <c r="L621" s="8" t="e">
        <f ca="1">[1]!BexGetData("DP_1","003N8EMH8GTFRIVNUPY2891V1","GSON1112060152")</f>
        <v>#NAME?</v>
      </c>
      <c r="M621" s="8" t="e">
        <f ca="1">[1]!BexGetData("DP_1","003N8EMH8GTFRIVOG7KG9IQXA","GSON1112060152")</f>
        <v>#NAME?</v>
      </c>
      <c r="N621" s="8" t="e">
        <f ca="1">[1]!BexGetData("DP_1","003N8EMH8GTFRIVOG7KG9IX8U","GSON1112060152")</f>
        <v>#NAME?</v>
      </c>
      <c r="O621" s="8" t="e">
        <f ca="1">[1]!BexGetData("DP_1","003N8EMH8GTFRIVOG7KG9J3KE","GSON1112060152")</f>
        <v>#NAME?</v>
      </c>
      <c r="P621" s="8" t="e">
        <f ca="1">[1]!BexGetData("DP_1","003N8EMH8GTFRIVOG7KG9J9VY","GSON1112060152")</f>
        <v>#NAME?</v>
      </c>
      <c r="Q621" s="4" t="e">
        <f ca="1">[1]!BexGetData("DP_1","00O2TNJGODT0G5Z4TTKYMM5MT","GSON1112060152")</f>
        <v>#NAME?</v>
      </c>
      <c r="R621" s="4" t="e">
        <f ca="1">[1]!BexGetData("DP_1","00O2TNJGODT0G5Z4TTKYMMBYD","GSON1112060152")</f>
        <v>#NAME?</v>
      </c>
      <c r="S621" s="4" t="e">
        <f ca="1">[1]!BexGetData("DP_1","00O2TNJGODT0G5Z4TTKYMMI9X","GSON1112060152")</f>
        <v>#NAME?</v>
      </c>
      <c r="T621" s="4" t="e">
        <f ca="1">[1]!BexGetData("DP_1","00O2TNJGODT0G5Z4TTKYMMOLH","GSON1112060152")</f>
        <v>#NAME?</v>
      </c>
      <c r="U621" s="4" t="e">
        <f ca="1">[1]!BexGetData("DP_1","00O2TNJGODT0G5Z4TTKYMMUX1","GSON1112060152")</f>
        <v>#NAME?</v>
      </c>
      <c r="V621" s="4" t="e">
        <f ca="1">[1]!BexGetData("DP_1","00O2TNJGODT0G5Z4TTKYMN18L","GSON1112060152")</f>
        <v>#NAME?</v>
      </c>
      <c r="W621" s="4" t="e">
        <f ca="1">[1]!BexGetData("DP_1","00O2TNJGODT0G5Z4TTKYMN7K5","GSON1112060152")</f>
        <v>#NAME?</v>
      </c>
    </row>
    <row r="622" spans="1:23" x14ac:dyDescent="0.2">
      <c r="A622" s="16" t="s">
        <v>2613</v>
      </c>
      <c r="B622" s="7" t="s">
        <v>2614</v>
      </c>
      <c r="C622" s="3" t="e">
        <f ca="1">[1]!BexGetData("DP_1","003N8EMH8GTFRCSWKMPXRR8GU","GSON1112060153")</f>
        <v>#NAME?</v>
      </c>
      <c r="D622" s="3" t="e">
        <f ca="1">[1]!BexGetData("DP_1","003N8EMH8GTFRCSWKMPXRRESE","GSON1112060153")</f>
        <v>#NAME?</v>
      </c>
      <c r="E622" s="8" t="e">
        <f ca="1">[1]!BexGetData("DP_1","003N8EMH8GTFRCSWKMPXRRL3Y","GSON1112060153")</f>
        <v>#NAME?</v>
      </c>
      <c r="F622" s="4" t="e">
        <f ca="1">[1]!BexGetData("DP_1","003N8EMH8GTFRCSWKMPXRRRFI","GSON1112060153")</f>
        <v>#NAME?</v>
      </c>
      <c r="G622" s="4" t="e">
        <f ca="1">[1]!BexGetData("DP_1","003N8EMH8GTFRCSWKMPXRRXR2","GSON1112060153")</f>
        <v>#NAME?</v>
      </c>
      <c r="H622" s="4" t="e">
        <f ca="1">[1]!BexGetData("DP_1","003N8EMH8GTFRCSWKMPXRS42M","GSON1112060153")</f>
        <v>#NAME?</v>
      </c>
      <c r="I622" s="4" t="e">
        <f ca="1">[1]!BexGetData("DP_1","003N8EMH8GTFRCSWKMPXRSAE6","GSON1112060153")</f>
        <v>#NAME?</v>
      </c>
      <c r="J622" s="4" t="e">
        <f ca="1">[1]!BexGetData("DP_1","003N8EMH8GTFRCSWKMPXRSGPQ","GSON1112060153")</f>
        <v>#NAME?</v>
      </c>
      <c r="K622" s="8" t="e">
        <f ca="1">[1]!BexGetData("DP_1","003N8EMH8GTFRIVNUPY288VJH","GSON1112060153")</f>
        <v>#NAME?</v>
      </c>
      <c r="L622" s="8" t="e">
        <f ca="1">[1]!BexGetData("DP_1","003N8EMH8GTFRIVNUPY2891V1","GSON1112060153")</f>
        <v>#NAME?</v>
      </c>
      <c r="M622" s="8" t="e">
        <f ca="1">[1]!BexGetData("DP_1","003N8EMH8GTFRIVOG7KG9IQXA","GSON1112060153")</f>
        <v>#NAME?</v>
      </c>
      <c r="N622" s="8" t="e">
        <f ca="1">[1]!BexGetData("DP_1","003N8EMH8GTFRIVOG7KG9IX8U","GSON1112060153")</f>
        <v>#NAME?</v>
      </c>
      <c r="O622" s="8" t="e">
        <f ca="1">[1]!BexGetData("DP_1","003N8EMH8GTFRIVOG7KG9J3KE","GSON1112060153")</f>
        <v>#NAME?</v>
      </c>
      <c r="P622" s="8" t="e">
        <f ca="1">[1]!BexGetData("DP_1","003N8EMH8GTFRIVOG7KG9J9VY","GSON1112060153")</f>
        <v>#NAME?</v>
      </c>
      <c r="Q622" s="4" t="e">
        <f ca="1">[1]!BexGetData("DP_1","00O2TNJGODT0G5Z4TTKYMM5MT","GSON1112060153")</f>
        <v>#NAME?</v>
      </c>
      <c r="R622" s="4" t="e">
        <f ca="1">[1]!BexGetData("DP_1","00O2TNJGODT0G5Z4TTKYMMBYD","GSON1112060153")</f>
        <v>#NAME?</v>
      </c>
      <c r="S622" s="4" t="e">
        <f ca="1">[1]!BexGetData("DP_1","00O2TNJGODT0G5Z4TTKYMMI9X","GSON1112060153")</f>
        <v>#NAME?</v>
      </c>
      <c r="T622" s="4" t="e">
        <f ca="1">[1]!BexGetData("DP_1","00O2TNJGODT0G5Z4TTKYMMOLH","GSON1112060153")</f>
        <v>#NAME?</v>
      </c>
      <c r="U622" s="4" t="e">
        <f ca="1">[1]!BexGetData("DP_1","00O2TNJGODT0G5Z4TTKYMMUX1","GSON1112060153")</f>
        <v>#NAME?</v>
      </c>
      <c r="V622" s="4" t="e">
        <f ca="1">[1]!BexGetData("DP_1","00O2TNJGODT0G5Z4TTKYMN18L","GSON1112060153")</f>
        <v>#NAME?</v>
      </c>
      <c r="W622" s="4" t="e">
        <f ca="1">[1]!BexGetData("DP_1","00O2TNJGODT0G5Z4TTKYMN7K5","GSON1112060153")</f>
        <v>#NAME?</v>
      </c>
    </row>
    <row r="623" spans="1:23" x14ac:dyDescent="0.2">
      <c r="A623" s="16" t="s">
        <v>2615</v>
      </c>
      <c r="B623" s="7" t="s">
        <v>2616</v>
      </c>
      <c r="C623" s="3" t="e">
        <f ca="1">[1]!BexGetData("DP_1","003N8EMH8GTFRCSWKMPXRR8GU","GSON1112060154")</f>
        <v>#NAME?</v>
      </c>
      <c r="D623" s="3" t="e">
        <f ca="1">[1]!BexGetData("DP_1","003N8EMH8GTFRCSWKMPXRRESE","GSON1112060154")</f>
        <v>#NAME?</v>
      </c>
      <c r="E623" s="8" t="e">
        <f ca="1">[1]!BexGetData("DP_1","003N8EMH8GTFRCSWKMPXRRL3Y","GSON1112060154")</f>
        <v>#NAME?</v>
      </c>
      <c r="F623" s="4" t="e">
        <f ca="1">[1]!BexGetData("DP_1","003N8EMH8GTFRCSWKMPXRRRFI","GSON1112060154")</f>
        <v>#NAME?</v>
      </c>
      <c r="G623" s="4" t="e">
        <f ca="1">[1]!BexGetData("DP_1","003N8EMH8GTFRCSWKMPXRRXR2","GSON1112060154")</f>
        <v>#NAME?</v>
      </c>
      <c r="H623" s="4" t="e">
        <f ca="1">[1]!BexGetData("DP_1","003N8EMH8GTFRCSWKMPXRS42M","GSON1112060154")</f>
        <v>#NAME?</v>
      </c>
      <c r="I623" s="4" t="e">
        <f ca="1">[1]!BexGetData("DP_1","003N8EMH8GTFRCSWKMPXRSAE6","GSON1112060154")</f>
        <v>#NAME?</v>
      </c>
      <c r="J623" s="4" t="e">
        <f ca="1">[1]!BexGetData("DP_1","003N8EMH8GTFRCSWKMPXRSGPQ","GSON1112060154")</f>
        <v>#NAME?</v>
      </c>
      <c r="K623" s="8" t="e">
        <f ca="1">[1]!BexGetData("DP_1","003N8EMH8GTFRIVNUPY288VJH","GSON1112060154")</f>
        <v>#NAME?</v>
      </c>
      <c r="L623" s="8" t="e">
        <f ca="1">[1]!BexGetData("DP_1","003N8EMH8GTFRIVNUPY2891V1","GSON1112060154")</f>
        <v>#NAME?</v>
      </c>
      <c r="M623" s="8" t="e">
        <f ca="1">[1]!BexGetData("DP_1","003N8EMH8GTFRIVOG7KG9IQXA","GSON1112060154")</f>
        <v>#NAME?</v>
      </c>
      <c r="N623" s="8" t="e">
        <f ca="1">[1]!BexGetData("DP_1","003N8EMH8GTFRIVOG7KG9IX8U","GSON1112060154")</f>
        <v>#NAME?</v>
      </c>
      <c r="O623" s="8" t="e">
        <f ca="1">[1]!BexGetData("DP_1","003N8EMH8GTFRIVOG7KG9J3KE","GSON1112060154")</f>
        <v>#NAME?</v>
      </c>
      <c r="P623" s="8" t="e">
        <f ca="1">[1]!BexGetData("DP_1","003N8EMH8GTFRIVOG7KG9J9VY","GSON1112060154")</f>
        <v>#NAME?</v>
      </c>
      <c r="Q623" s="4" t="e">
        <f ca="1">[1]!BexGetData("DP_1","00O2TNJGODT0G5Z4TTKYMM5MT","GSON1112060154")</f>
        <v>#NAME?</v>
      </c>
      <c r="R623" s="4" t="e">
        <f ca="1">[1]!BexGetData("DP_1","00O2TNJGODT0G5Z4TTKYMMBYD","GSON1112060154")</f>
        <v>#NAME?</v>
      </c>
      <c r="S623" s="4" t="e">
        <f ca="1">[1]!BexGetData("DP_1","00O2TNJGODT0G5Z4TTKYMMI9X","GSON1112060154")</f>
        <v>#NAME?</v>
      </c>
      <c r="T623" s="4" t="e">
        <f ca="1">[1]!BexGetData("DP_1","00O2TNJGODT0G5Z4TTKYMMOLH","GSON1112060154")</f>
        <v>#NAME?</v>
      </c>
      <c r="U623" s="4" t="e">
        <f ca="1">[1]!BexGetData("DP_1","00O2TNJGODT0G5Z4TTKYMMUX1","GSON1112060154")</f>
        <v>#NAME?</v>
      </c>
      <c r="V623" s="4" t="e">
        <f ca="1">[1]!BexGetData("DP_1","00O2TNJGODT0G5Z4TTKYMN18L","GSON1112060154")</f>
        <v>#NAME?</v>
      </c>
      <c r="W623" s="4" t="e">
        <f ca="1">[1]!BexGetData("DP_1","00O2TNJGODT0G5Z4TTKYMN7K5","GSON1112060154")</f>
        <v>#NAME?</v>
      </c>
    </row>
    <row r="624" spans="1:23" x14ac:dyDescent="0.2">
      <c r="A624" s="16" t="s">
        <v>2617</v>
      </c>
      <c r="B624" s="7" t="s">
        <v>2618</v>
      </c>
      <c r="C624" s="3" t="e">
        <f ca="1">[1]!BexGetData("DP_1","003N8EMH8GTFRCSWKMPXRR8GU","GSON1112060155")</f>
        <v>#NAME?</v>
      </c>
      <c r="D624" s="3" t="e">
        <f ca="1">[1]!BexGetData("DP_1","003N8EMH8GTFRCSWKMPXRRESE","GSON1112060155")</f>
        <v>#NAME?</v>
      </c>
      <c r="E624" s="8" t="e">
        <f ca="1">[1]!BexGetData("DP_1","003N8EMH8GTFRCSWKMPXRRL3Y","GSON1112060155")</f>
        <v>#NAME?</v>
      </c>
      <c r="F624" s="4" t="e">
        <f ca="1">[1]!BexGetData("DP_1","003N8EMH8GTFRCSWKMPXRRRFI","GSON1112060155")</f>
        <v>#NAME?</v>
      </c>
      <c r="G624" s="4" t="e">
        <f ca="1">[1]!BexGetData("DP_1","003N8EMH8GTFRCSWKMPXRRXR2","GSON1112060155")</f>
        <v>#NAME?</v>
      </c>
      <c r="H624" s="4" t="e">
        <f ca="1">[1]!BexGetData("DP_1","003N8EMH8GTFRCSWKMPXRS42M","GSON1112060155")</f>
        <v>#NAME?</v>
      </c>
      <c r="I624" s="4" t="e">
        <f ca="1">[1]!BexGetData("DP_1","003N8EMH8GTFRCSWKMPXRSAE6","GSON1112060155")</f>
        <v>#NAME?</v>
      </c>
      <c r="J624" s="4" t="e">
        <f ca="1">[1]!BexGetData("DP_1","003N8EMH8GTFRCSWKMPXRSGPQ","GSON1112060155")</f>
        <v>#NAME?</v>
      </c>
      <c r="K624" s="8" t="e">
        <f ca="1">[1]!BexGetData("DP_1","003N8EMH8GTFRIVNUPY288VJH","GSON1112060155")</f>
        <v>#NAME?</v>
      </c>
      <c r="L624" s="8" t="e">
        <f ca="1">[1]!BexGetData("DP_1","003N8EMH8GTFRIVNUPY2891V1","GSON1112060155")</f>
        <v>#NAME?</v>
      </c>
      <c r="M624" s="8" t="e">
        <f ca="1">[1]!BexGetData("DP_1","003N8EMH8GTFRIVOG7KG9IQXA","GSON1112060155")</f>
        <v>#NAME?</v>
      </c>
      <c r="N624" s="8" t="e">
        <f ca="1">[1]!BexGetData("DP_1","003N8EMH8GTFRIVOG7KG9IX8U","GSON1112060155")</f>
        <v>#NAME?</v>
      </c>
      <c r="O624" s="8" t="e">
        <f ca="1">[1]!BexGetData("DP_1","003N8EMH8GTFRIVOG7KG9J3KE","GSON1112060155")</f>
        <v>#NAME?</v>
      </c>
      <c r="P624" s="8" t="e">
        <f ca="1">[1]!BexGetData("DP_1","003N8EMH8GTFRIVOG7KG9J9VY","GSON1112060155")</f>
        <v>#NAME?</v>
      </c>
      <c r="Q624" s="4" t="e">
        <f ca="1">[1]!BexGetData("DP_1","00O2TNJGODT0G5Z4TTKYMM5MT","GSON1112060155")</f>
        <v>#NAME?</v>
      </c>
      <c r="R624" s="4" t="e">
        <f ca="1">[1]!BexGetData("DP_1","00O2TNJGODT0G5Z4TTKYMMBYD","GSON1112060155")</f>
        <v>#NAME?</v>
      </c>
      <c r="S624" s="4" t="e">
        <f ca="1">[1]!BexGetData("DP_1","00O2TNJGODT0G5Z4TTKYMMI9X","GSON1112060155")</f>
        <v>#NAME?</v>
      </c>
      <c r="T624" s="4" t="e">
        <f ca="1">[1]!BexGetData("DP_1","00O2TNJGODT0G5Z4TTKYMMOLH","GSON1112060155")</f>
        <v>#NAME?</v>
      </c>
      <c r="U624" s="4" t="e">
        <f ca="1">[1]!BexGetData("DP_1","00O2TNJGODT0G5Z4TTKYMMUX1","GSON1112060155")</f>
        <v>#NAME?</v>
      </c>
      <c r="V624" s="4" t="e">
        <f ca="1">[1]!BexGetData("DP_1","00O2TNJGODT0G5Z4TTKYMN18L","GSON1112060155")</f>
        <v>#NAME?</v>
      </c>
      <c r="W624" s="4" t="e">
        <f ca="1">[1]!BexGetData("DP_1","00O2TNJGODT0G5Z4TTKYMN7K5","GSON1112060155")</f>
        <v>#NAME?</v>
      </c>
    </row>
    <row r="625" spans="1:23" x14ac:dyDescent="0.2">
      <c r="A625" s="16" t="s">
        <v>2619</v>
      </c>
      <c r="B625" s="7" t="s">
        <v>2620</v>
      </c>
      <c r="C625" s="3" t="e">
        <f ca="1">[1]!BexGetData("DP_1","003N8EMH8GTFRCSWKMPXRR8GU","GSON1112060160")</f>
        <v>#NAME?</v>
      </c>
      <c r="D625" s="3" t="e">
        <f ca="1">[1]!BexGetData("DP_1","003N8EMH8GTFRCSWKMPXRRESE","GSON1112060160")</f>
        <v>#NAME?</v>
      </c>
      <c r="E625" s="3" t="e">
        <f ca="1">[1]!BexGetData("DP_1","003N8EMH8GTFRCSWKMPXRRL3Y","GSON1112060160")</f>
        <v>#NAME?</v>
      </c>
      <c r="F625" s="3" t="e">
        <f ca="1">[1]!BexGetData("DP_1","003N8EMH8GTFRCSWKMPXRRRFI","GSON1112060160")</f>
        <v>#NAME?</v>
      </c>
      <c r="G625" s="3" t="e">
        <f ca="1">[1]!BexGetData("DP_1","003N8EMH8GTFRCSWKMPXRRXR2","GSON1112060160")</f>
        <v>#NAME?</v>
      </c>
      <c r="H625" s="8" t="e">
        <f ca="1">[1]!BexGetData("DP_1","003N8EMH8GTFRCSWKMPXRS42M","GSON1112060160")</f>
        <v>#NAME?</v>
      </c>
      <c r="I625" s="3" t="e">
        <f ca="1">[1]!BexGetData("DP_1","003N8EMH8GTFRCSWKMPXRSAE6","GSON1112060160")</f>
        <v>#NAME?</v>
      </c>
      <c r="J625" s="4" t="e">
        <f ca="1">[1]!BexGetData("DP_1","003N8EMH8GTFRCSWKMPXRSGPQ","GSON1112060160")</f>
        <v>#NAME?</v>
      </c>
      <c r="K625" s="3" t="e">
        <f ca="1">[1]!BexGetData("DP_1","003N8EMH8GTFRIVNUPY288VJH","GSON1112060160")</f>
        <v>#NAME?</v>
      </c>
      <c r="L625" s="3" t="e">
        <f ca="1">[1]!BexGetData("DP_1","003N8EMH8GTFRIVNUPY2891V1","GSON1112060160")</f>
        <v>#NAME?</v>
      </c>
      <c r="M625" s="8" t="e">
        <f ca="1">[1]!BexGetData("DP_1","003N8EMH8GTFRIVOG7KG9IQXA","GSON1112060160")</f>
        <v>#NAME?</v>
      </c>
      <c r="N625" s="3" t="e">
        <f ca="1">[1]!BexGetData("DP_1","003N8EMH8GTFRIVOG7KG9IX8U","GSON1112060160")</f>
        <v>#NAME?</v>
      </c>
      <c r="O625" s="8" t="e">
        <f ca="1">[1]!BexGetData("DP_1","003N8EMH8GTFRIVOG7KG9J3KE","GSON1112060160")</f>
        <v>#NAME?</v>
      </c>
      <c r="P625" s="3" t="e">
        <f ca="1">[1]!BexGetData("DP_1","003N8EMH8GTFRIVOG7KG9J9VY","GSON1112060160")</f>
        <v>#NAME?</v>
      </c>
      <c r="Q625" s="4" t="e">
        <f ca="1">[1]!BexGetData("DP_1","00O2TNJGODT0G5Z4TTKYMM5MT","GSON1112060160")</f>
        <v>#NAME?</v>
      </c>
      <c r="R625" s="3" t="e">
        <f ca="1">[1]!BexGetData("DP_1","00O2TNJGODT0G5Z4TTKYMMBYD","GSON1112060160")</f>
        <v>#NAME?</v>
      </c>
      <c r="S625" s="3" t="e">
        <f ca="1">[1]!BexGetData("DP_1","00O2TNJGODT0G5Z4TTKYMMI9X","GSON1112060160")</f>
        <v>#NAME?</v>
      </c>
      <c r="T625" s="8" t="e">
        <f ca="1">[1]!BexGetData("DP_1","00O2TNJGODT0G5Z4TTKYMMOLH","GSON1112060160")</f>
        <v>#NAME?</v>
      </c>
      <c r="U625" s="3" t="e">
        <f ca="1">[1]!BexGetData("DP_1","00O2TNJGODT0G5Z4TTKYMMUX1","GSON1112060160")</f>
        <v>#NAME?</v>
      </c>
      <c r="V625" s="8" t="e">
        <f ca="1">[1]!BexGetData("DP_1","00O2TNJGODT0G5Z4TTKYMN18L","GSON1112060160")</f>
        <v>#NAME?</v>
      </c>
      <c r="W625" s="3" t="e">
        <f ca="1">[1]!BexGetData("DP_1","00O2TNJGODT0G5Z4TTKYMN7K5","GSON1112060160")</f>
        <v>#NAME?</v>
      </c>
    </row>
    <row r="626" spans="1:23" x14ac:dyDescent="0.2">
      <c r="A626" s="16" t="s">
        <v>2621</v>
      </c>
      <c r="B626" s="7" t="s">
        <v>2622</v>
      </c>
      <c r="C626" s="3" t="e">
        <f ca="1">[1]!BexGetData("DP_1","003N8EMH8GTFRCSWKMPXRR8GU","GSON1112060161")</f>
        <v>#NAME?</v>
      </c>
      <c r="D626" s="3" t="e">
        <f ca="1">[1]!BexGetData("DP_1","003N8EMH8GTFRCSWKMPXRRESE","GSON1112060161")</f>
        <v>#NAME?</v>
      </c>
      <c r="E626" s="8" t="e">
        <f ca="1">[1]!BexGetData("DP_1","003N8EMH8GTFRCSWKMPXRRL3Y","GSON1112060161")</f>
        <v>#NAME?</v>
      </c>
      <c r="F626" s="4" t="e">
        <f ca="1">[1]!BexGetData("DP_1","003N8EMH8GTFRCSWKMPXRRRFI","GSON1112060161")</f>
        <v>#NAME?</v>
      </c>
      <c r="G626" s="4" t="e">
        <f ca="1">[1]!BexGetData("DP_1","003N8EMH8GTFRCSWKMPXRRXR2","GSON1112060161")</f>
        <v>#NAME?</v>
      </c>
      <c r="H626" s="4" t="e">
        <f ca="1">[1]!BexGetData("DP_1","003N8EMH8GTFRCSWKMPXRS42M","GSON1112060161")</f>
        <v>#NAME?</v>
      </c>
      <c r="I626" s="4" t="e">
        <f ca="1">[1]!BexGetData("DP_1","003N8EMH8GTFRCSWKMPXRSAE6","GSON1112060161")</f>
        <v>#NAME?</v>
      </c>
      <c r="J626" s="4" t="e">
        <f ca="1">[1]!BexGetData("DP_1","003N8EMH8GTFRCSWKMPXRSGPQ","GSON1112060161")</f>
        <v>#NAME?</v>
      </c>
      <c r="K626" s="8" t="e">
        <f ca="1">[1]!BexGetData("DP_1","003N8EMH8GTFRIVNUPY288VJH","GSON1112060161")</f>
        <v>#NAME?</v>
      </c>
      <c r="L626" s="8" t="e">
        <f ca="1">[1]!BexGetData("DP_1","003N8EMH8GTFRIVNUPY2891V1","GSON1112060161")</f>
        <v>#NAME?</v>
      </c>
      <c r="M626" s="8" t="e">
        <f ca="1">[1]!BexGetData("DP_1","003N8EMH8GTFRIVOG7KG9IQXA","GSON1112060161")</f>
        <v>#NAME?</v>
      </c>
      <c r="N626" s="8" t="e">
        <f ca="1">[1]!BexGetData("DP_1","003N8EMH8GTFRIVOG7KG9IX8U","GSON1112060161")</f>
        <v>#NAME?</v>
      </c>
      <c r="O626" s="8" t="e">
        <f ca="1">[1]!BexGetData("DP_1","003N8EMH8GTFRIVOG7KG9J3KE","GSON1112060161")</f>
        <v>#NAME?</v>
      </c>
      <c r="P626" s="8" t="e">
        <f ca="1">[1]!BexGetData("DP_1","003N8EMH8GTFRIVOG7KG9J9VY","GSON1112060161")</f>
        <v>#NAME?</v>
      </c>
      <c r="Q626" s="4" t="e">
        <f ca="1">[1]!BexGetData("DP_1","00O2TNJGODT0G5Z4TTKYMM5MT","GSON1112060161")</f>
        <v>#NAME?</v>
      </c>
      <c r="R626" s="4" t="e">
        <f ca="1">[1]!BexGetData("DP_1","00O2TNJGODT0G5Z4TTKYMMBYD","GSON1112060161")</f>
        <v>#NAME?</v>
      </c>
      <c r="S626" s="4" t="e">
        <f ca="1">[1]!BexGetData("DP_1","00O2TNJGODT0G5Z4TTKYMMI9X","GSON1112060161")</f>
        <v>#NAME?</v>
      </c>
      <c r="T626" s="4" t="e">
        <f ca="1">[1]!BexGetData("DP_1","00O2TNJGODT0G5Z4TTKYMMOLH","GSON1112060161")</f>
        <v>#NAME?</v>
      </c>
      <c r="U626" s="4" t="e">
        <f ca="1">[1]!BexGetData("DP_1","00O2TNJGODT0G5Z4TTKYMMUX1","GSON1112060161")</f>
        <v>#NAME?</v>
      </c>
      <c r="V626" s="4" t="e">
        <f ca="1">[1]!BexGetData("DP_1","00O2TNJGODT0G5Z4TTKYMN18L","GSON1112060161")</f>
        <v>#NAME?</v>
      </c>
      <c r="W626" s="4" t="e">
        <f ca="1">[1]!BexGetData("DP_1","00O2TNJGODT0G5Z4TTKYMN7K5","GSON1112060161")</f>
        <v>#NAME?</v>
      </c>
    </row>
    <row r="627" spans="1:23" x14ac:dyDescent="0.2">
      <c r="A627" s="16" t="s">
        <v>2623</v>
      </c>
      <c r="B627" s="7" t="s">
        <v>2624</v>
      </c>
      <c r="C627" s="3" t="e">
        <f ca="1">[1]!BexGetData("DP_1","003N8EMH8GTFRCSWKMPXRR8GU","GSON1112060164")</f>
        <v>#NAME?</v>
      </c>
      <c r="D627" s="3" t="e">
        <f ca="1">[1]!BexGetData("DP_1","003N8EMH8GTFRCSWKMPXRRESE","GSON1112060164")</f>
        <v>#NAME?</v>
      </c>
      <c r="E627" s="8" t="e">
        <f ca="1">[1]!BexGetData("DP_1","003N8EMH8GTFRCSWKMPXRRL3Y","GSON1112060164")</f>
        <v>#NAME?</v>
      </c>
      <c r="F627" s="4" t="e">
        <f ca="1">[1]!BexGetData("DP_1","003N8EMH8GTFRCSWKMPXRRRFI","GSON1112060164")</f>
        <v>#NAME?</v>
      </c>
      <c r="G627" s="4" t="e">
        <f ca="1">[1]!BexGetData("DP_1","003N8EMH8GTFRCSWKMPXRRXR2","GSON1112060164")</f>
        <v>#NAME?</v>
      </c>
      <c r="H627" s="4" t="e">
        <f ca="1">[1]!BexGetData("DP_1","003N8EMH8GTFRCSWKMPXRS42M","GSON1112060164")</f>
        <v>#NAME?</v>
      </c>
      <c r="I627" s="4" t="e">
        <f ca="1">[1]!BexGetData("DP_1","003N8EMH8GTFRCSWKMPXRSAE6","GSON1112060164")</f>
        <v>#NAME?</v>
      </c>
      <c r="J627" s="4" t="e">
        <f ca="1">[1]!BexGetData("DP_1","003N8EMH8GTFRCSWKMPXRSGPQ","GSON1112060164")</f>
        <v>#NAME?</v>
      </c>
      <c r="K627" s="8" t="e">
        <f ca="1">[1]!BexGetData("DP_1","003N8EMH8GTFRIVNUPY288VJH","GSON1112060164")</f>
        <v>#NAME?</v>
      </c>
      <c r="L627" s="8" t="e">
        <f ca="1">[1]!BexGetData("DP_1","003N8EMH8GTFRIVNUPY2891V1","GSON1112060164")</f>
        <v>#NAME?</v>
      </c>
      <c r="M627" s="8" t="e">
        <f ca="1">[1]!BexGetData("DP_1","003N8EMH8GTFRIVOG7KG9IQXA","GSON1112060164")</f>
        <v>#NAME?</v>
      </c>
      <c r="N627" s="8" t="e">
        <f ca="1">[1]!BexGetData("DP_1","003N8EMH8GTFRIVOG7KG9IX8U","GSON1112060164")</f>
        <v>#NAME?</v>
      </c>
      <c r="O627" s="8" t="e">
        <f ca="1">[1]!BexGetData("DP_1","003N8EMH8GTFRIVOG7KG9J3KE","GSON1112060164")</f>
        <v>#NAME?</v>
      </c>
      <c r="P627" s="8" t="e">
        <f ca="1">[1]!BexGetData("DP_1","003N8EMH8GTFRIVOG7KG9J9VY","GSON1112060164")</f>
        <v>#NAME?</v>
      </c>
      <c r="Q627" s="4" t="e">
        <f ca="1">[1]!BexGetData("DP_1","00O2TNJGODT0G5Z4TTKYMM5MT","GSON1112060164")</f>
        <v>#NAME?</v>
      </c>
      <c r="R627" s="4" t="e">
        <f ca="1">[1]!BexGetData("DP_1","00O2TNJGODT0G5Z4TTKYMMBYD","GSON1112060164")</f>
        <v>#NAME?</v>
      </c>
      <c r="S627" s="4" t="e">
        <f ca="1">[1]!BexGetData("DP_1","00O2TNJGODT0G5Z4TTKYMMI9X","GSON1112060164")</f>
        <v>#NAME?</v>
      </c>
      <c r="T627" s="4" t="e">
        <f ca="1">[1]!BexGetData("DP_1","00O2TNJGODT0G5Z4TTKYMMOLH","GSON1112060164")</f>
        <v>#NAME?</v>
      </c>
      <c r="U627" s="4" t="e">
        <f ca="1">[1]!BexGetData("DP_1","00O2TNJGODT0G5Z4TTKYMMUX1","GSON1112060164")</f>
        <v>#NAME?</v>
      </c>
      <c r="V627" s="4" t="e">
        <f ca="1">[1]!BexGetData("DP_1","00O2TNJGODT0G5Z4TTKYMN18L","GSON1112060164")</f>
        <v>#NAME?</v>
      </c>
      <c r="W627" s="4" t="e">
        <f ca="1">[1]!BexGetData("DP_1","00O2TNJGODT0G5Z4TTKYMN7K5","GSON1112060164")</f>
        <v>#NAME?</v>
      </c>
    </row>
    <row r="628" spans="1:23" x14ac:dyDescent="0.2">
      <c r="A628" s="16" t="s">
        <v>2625</v>
      </c>
      <c r="B628" s="7" t="s">
        <v>2626</v>
      </c>
      <c r="C628" s="3" t="e">
        <f ca="1">[1]!BexGetData("DP_1","003N8EMH8GTFRCSWKMPXRR8GU","GSON1112060165")</f>
        <v>#NAME?</v>
      </c>
      <c r="D628" s="3" t="e">
        <f ca="1">[1]!BexGetData("DP_1","003N8EMH8GTFRCSWKMPXRRESE","GSON1112060165")</f>
        <v>#NAME?</v>
      </c>
      <c r="E628" s="8" t="e">
        <f ca="1">[1]!BexGetData("DP_1","003N8EMH8GTFRCSWKMPXRRL3Y","GSON1112060165")</f>
        <v>#NAME?</v>
      </c>
      <c r="F628" s="4" t="e">
        <f ca="1">[1]!BexGetData("DP_1","003N8EMH8GTFRCSWKMPXRRRFI","GSON1112060165")</f>
        <v>#NAME?</v>
      </c>
      <c r="G628" s="4" t="e">
        <f ca="1">[1]!BexGetData("DP_1","003N8EMH8GTFRCSWKMPXRRXR2","GSON1112060165")</f>
        <v>#NAME?</v>
      </c>
      <c r="H628" s="4" t="e">
        <f ca="1">[1]!BexGetData("DP_1","003N8EMH8GTFRCSWKMPXRS42M","GSON1112060165")</f>
        <v>#NAME?</v>
      </c>
      <c r="I628" s="4" t="e">
        <f ca="1">[1]!BexGetData("DP_1","003N8EMH8GTFRCSWKMPXRSAE6","GSON1112060165")</f>
        <v>#NAME?</v>
      </c>
      <c r="J628" s="4" t="e">
        <f ca="1">[1]!BexGetData("DP_1","003N8EMH8GTFRCSWKMPXRSGPQ","GSON1112060165")</f>
        <v>#NAME?</v>
      </c>
      <c r="K628" s="8" t="e">
        <f ca="1">[1]!BexGetData("DP_1","003N8EMH8GTFRIVNUPY288VJH","GSON1112060165")</f>
        <v>#NAME?</v>
      </c>
      <c r="L628" s="8" t="e">
        <f ca="1">[1]!BexGetData("DP_1","003N8EMH8GTFRIVNUPY2891V1","GSON1112060165")</f>
        <v>#NAME?</v>
      </c>
      <c r="M628" s="8" t="e">
        <f ca="1">[1]!BexGetData("DP_1","003N8EMH8GTFRIVOG7KG9IQXA","GSON1112060165")</f>
        <v>#NAME?</v>
      </c>
      <c r="N628" s="8" t="e">
        <f ca="1">[1]!BexGetData("DP_1","003N8EMH8GTFRIVOG7KG9IX8U","GSON1112060165")</f>
        <v>#NAME?</v>
      </c>
      <c r="O628" s="8" t="e">
        <f ca="1">[1]!BexGetData("DP_1","003N8EMH8GTFRIVOG7KG9J3KE","GSON1112060165")</f>
        <v>#NAME?</v>
      </c>
      <c r="P628" s="8" t="e">
        <f ca="1">[1]!BexGetData("DP_1","003N8EMH8GTFRIVOG7KG9J9VY","GSON1112060165")</f>
        <v>#NAME?</v>
      </c>
      <c r="Q628" s="4" t="e">
        <f ca="1">[1]!BexGetData("DP_1","00O2TNJGODT0G5Z4TTKYMM5MT","GSON1112060165")</f>
        <v>#NAME?</v>
      </c>
      <c r="R628" s="4" t="e">
        <f ca="1">[1]!BexGetData("DP_1","00O2TNJGODT0G5Z4TTKYMMBYD","GSON1112060165")</f>
        <v>#NAME?</v>
      </c>
      <c r="S628" s="4" t="e">
        <f ca="1">[1]!BexGetData("DP_1","00O2TNJGODT0G5Z4TTKYMMI9X","GSON1112060165")</f>
        <v>#NAME?</v>
      </c>
      <c r="T628" s="4" t="e">
        <f ca="1">[1]!BexGetData("DP_1","00O2TNJGODT0G5Z4TTKYMMOLH","GSON1112060165")</f>
        <v>#NAME?</v>
      </c>
      <c r="U628" s="4" t="e">
        <f ca="1">[1]!BexGetData("DP_1","00O2TNJGODT0G5Z4TTKYMMUX1","GSON1112060165")</f>
        <v>#NAME?</v>
      </c>
      <c r="V628" s="4" t="e">
        <f ca="1">[1]!BexGetData("DP_1","00O2TNJGODT0G5Z4TTKYMN18L","GSON1112060165")</f>
        <v>#NAME?</v>
      </c>
      <c r="W628" s="4" t="e">
        <f ca="1">[1]!BexGetData("DP_1","00O2TNJGODT0G5Z4TTKYMN7K5","GSON1112060165")</f>
        <v>#NAME?</v>
      </c>
    </row>
    <row r="629" spans="1:23" x14ac:dyDescent="0.2">
      <c r="A629" s="16" t="s">
        <v>952</v>
      </c>
      <c r="B629" s="7" t="s">
        <v>953</v>
      </c>
      <c r="C629" s="3" t="e">
        <f ca="1">[1]!BexGetData("DP_1","003N8EMH8GTFRCSWKMPXRR8GU","GSON1112060170")</f>
        <v>#NAME?</v>
      </c>
      <c r="D629" s="3" t="e">
        <f ca="1">[1]!BexGetData("DP_1","003N8EMH8GTFRCSWKMPXRRESE","GSON1112060170")</f>
        <v>#NAME?</v>
      </c>
      <c r="E629" s="3" t="e">
        <f ca="1">[1]!BexGetData("DP_1","003N8EMH8GTFRCSWKMPXRRL3Y","GSON1112060170")</f>
        <v>#NAME?</v>
      </c>
      <c r="F629" s="3" t="e">
        <f ca="1">[1]!BexGetData("DP_1","003N8EMH8GTFRCSWKMPXRRRFI","GSON1112060170")</f>
        <v>#NAME?</v>
      </c>
      <c r="G629" s="3" t="e">
        <f ca="1">[1]!BexGetData("DP_1","003N8EMH8GTFRCSWKMPXRRXR2","GSON1112060170")</f>
        <v>#NAME?</v>
      </c>
      <c r="H629" s="8" t="e">
        <f ca="1">[1]!BexGetData("DP_1","003N8EMH8GTFRCSWKMPXRS42M","GSON1112060170")</f>
        <v>#NAME?</v>
      </c>
      <c r="I629" s="3" t="e">
        <f ca="1">[1]!BexGetData("DP_1","003N8EMH8GTFRCSWKMPXRSAE6","GSON1112060170")</f>
        <v>#NAME?</v>
      </c>
      <c r="J629" s="4" t="e">
        <f ca="1">[1]!BexGetData("DP_1","003N8EMH8GTFRCSWKMPXRSGPQ","GSON1112060170")</f>
        <v>#NAME?</v>
      </c>
      <c r="K629" s="3" t="e">
        <f ca="1">[1]!BexGetData("DP_1","003N8EMH8GTFRIVNUPY288VJH","GSON1112060170")</f>
        <v>#NAME?</v>
      </c>
      <c r="L629" s="3" t="e">
        <f ca="1">[1]!BexGetData("DP_1","003N8EMH8GTFRIVNUPY2891V1","GSON1112060170")</f>
        <v>#NAME?</v>
      </c>
      <c r="M629" s="8" t="e">
        <f ca="1">[1]!BexGetData("DP_1","003N8EMH8GTFRIVOG7KG9IQXA","GSON1112060170")</f>
        <v>#NAME?</v>
      </c>
      <c r="N629" s="3" t="e">
        <f ca="1">[1]!BexGetData("DP_1","003N8EMH8GTFRIVOG7KG9IX8U","GSON1112060170")</f>
        <v>#NAME?</v>
      </c>
      <c r="O629" s="8" t="e">
        <f ca="1">[1]!BexGetData("DP_1","003N8EMH8GTFRIVOG7KG9J3KE","GSON1112060170")</f>
        <v>#NAME?</v>
      </c>
      <c r="P629" s="3" t="e">
        <f ca="1">[1]!BexGetData("DP_1","003N8EMH8GTFRIVOG7KG9J9VY","GSON1112060170")</f>
        <v>#NAME?</v>
      </c>
      <c r="Q629" s="4" t="e">
        <f ca="1">[1]!BexGetData("DP_1","00O2TNJGODT0G5Z4TTKYMM5MT","GSON1112060170")</f>
        <v>#NAME?</v>
      </c>
      <c r="R629" s="3" t="e">
        <f ca="1">[1]!BexGetData("DP_1","00O2TNJGODT0G5Z4TTKYMMBYD","GSON1112060170")</f>
        <v>#NAME?</v>
      </c>
      <c r="S629" s="3" t="e">
        <f ca="1">[1]!BexGetData("DP_1","00O2TNJGODT0G5Z4TTKYMMI9X","GSON1112060170")</f>
        <v>#NAME?</v>
      </c>
      <c r="T629" s="8" t="e">
        <f ca="1">[1]!BexGetData("DP_1","00O2TNJGODT0G5Z4TTKYMMOLH","GSON1112060170")</f>
        <v>#NAME?</v>
      </c>
      <c r="U629" s="3" t="e">
        <f ca="1">[1]!BexGetData("DP_1","00O2TNJGODT0G5Z4TTKYMMUX1","GSON1112060170")</f>
        <v>#NAME?</v>
      </c>
      <c r="V629" s="8" t="e">
        <f ca="1">[1]!BexGetData("DP_1","00O2TNJGODT0G5Z4TTKYMN18L","GSON1112060170")</f>
        <v>#NAME?</v>
      </c>
      <c r="W629" s="3" t="e">
        <f ca="1">[1]!BexGetData("DP_1","00O2TNJGODT0G5Z4TTKYMN7K5","GSON1112060170")</f>
        <v>#NAME?</v>
      </c>
    </row>
    <row r="630" spans="1:23" x14ac:dyDescent="0.2">
      <c r="A630" s="16" t="s">
        <v>954</v>
      </c>
      <c r="B630" s="7" t="s">
        <v>955</v>
      </c>
      <c r="C630" s="3" t="e">
        <f ca="1">[1]!BexGetData("DP_1","003N8EMH8GTFRCSWKMPXRR8GU","GSON1112060171")</f>
        <v>#NAME?</v>
      </c>
      <c r="D630" s="3" t="e">
        <f ca="1">[1]!BexGetData("DP_1","003N8EMH8GTFRCSWKMPXRRESE","GSON1112060171")</f>
        <v>#NAME?</v>
      </c>
      <c r="E630" s="8" t="e">
        <f ca="1">[1]!BexGetData("DP_1","003N8EMH8GTFRCSWKMPXRRL3Y","GSON1112060171")</f>
        <v>#NAME?</v>
      </c>
      <c r="F630" s="4" t="e">
        <f ca="1">[1]!BexGetData("DP_1","003N8EMH8GTFRCSWKMPXRRRFI","GSON1112060171")</f>
        <v>#NAME?</v>
      </c>
      <c r="G630" s="4" t="e">
        <f ca="1">[1]!BexGetData("DP_1","003N8EMH8GTFRCSWKMPXRRXR2","GSON1112060171")</f>
        <v>#NAME?</v>
      </c>
      <c r="H630" s="4" t="e">
        <f ca="1">[1]!BexGetData("DP_1","003N8EMH8GTFRCSWKMPXRS42M","GSON1112060171")</f>
        <v>#NAME?</v>
      </c>
      <c r="I630" s="4" t="e">
        <f ca="1">[1]!BexGetData("DP_1","003N8EMH8GTFRCSWKMPXRSAE6","GSON1112060171")</f>
        <v>#NAME?</v>
      </c>
      <c r="J630" s="4" t="e">
        <f ca="1">[1]!BexGetData("DP_1","003N8EMH8GTFRCSWKMPXRSGPQ","GSON1112060171")</f>
        <v>#NAME?</v>
      </c>
      <c r="K630" s="8" t="e">
        <f ca="1">[1]!BexGetData("DP_1","003N8EMH8GTFRIVNUPY288VJH","GSON1112060171")</f>
        <v>#NAME?</v>
      </c>
      <c r="L630" s="8" t="e">
        <f ca="1">[1]!BexGetData("DP_1","003N8EMH8GTFRIVNUPY2891V1","GSON1112060171")</f>
        <v>#NAME?</v>
      </c>
      <c r="M630" s="8" t="e">
        <f ca="1">[1]!BexGetData("DP_1","003N8EMH8GTFRIVOG7KG9IQXA","GSON1112060171")</f>
        <v>#NAME?</v>
      </c>
      <c r="N630" s="8" t="e">
        <f ca="1">[1]!BexGetData("DP_1","003N8EMH8GTFRIVOG7KG9IX8U","GSON1112060171")</f>
        <v>#NAME?</v>
      </c>
      <c r="O630" s="8" t="e">
        <f ca="1">[1]!BexGetData("DP_1","003N8EMH8GTFRIVOG7KG9J3KE","GSON1112060171")</f>
        <v>#NAME?</v>
      </c>
      <c r="P630" s="8" t="e">
        <f ca="1">[1]!BexGetData("DP_1","003N8EMH8GTFRIVOG7KG9J9VY","GSON1112060171")</f>
        <v>#NAME?</v>
      </c>
      <c r="Q630" s="4" t="e">
        <f ca="1">[1]!BexGetData("DP_1","00O2TNJGODT0G5Z4TTKYMM5MT","GSON1112060171")</f>
        <v>#NAME?</v>
      </c>
      <c r="R630" s="4" t="e">
        <f ca="1">[1]!BexGetData("DP_1","00O2TNJGODT0G5Z4TTKYMMBYD","GSON1112060171")</f>
        <v>#NAME?</v>
      </c>
      <c r="S630" s="4" t="e">
        <f ca="1">[1]!BexGetData("DP_1","00O2TNJGODT0G5Z4TTKYMMI9X","GSON1112060171")</f>
        <v>#NAME?</v>
      </c>
      <c r="T630" s="4" t="e">
        <f ca="1">[1]!BexGetData("DP_1","00O2TNJGODT0G5Z4TTKYMMOLH","GSON1112060171")</f>
        <v>#NAME?</v>
      </c>
      <c r="U630" s="4" t="e">
        <f ca="1">[1]!BexGetData("DP_1","00O2TNJGODT0G5Z4TTKYMMUX1","GSON1112060171")</f>
        <v>#NAME?</v>
      </c>
      <c r="V630" s="4" t="e">
        <f ca="1">[1]!BexGetData("DP_1","00O2TNJGODT0G5Z4TTKYMN18L","GSON1112060171")</f>
        <v>#NAME?</v>
      </c>
      <c r="W630" s="4" t="e">
        <f ca="1">[1]!BexGetData("DP_1","00O2TNJGODT0G5Z4TTKYMN7K5","GSON1112060171")</f>
        <v>#NAME?</v>
      </c>
    </row>
    <row r="631" spans="1:23" x14ac:dyDescent="0.2">
      <c r="A631" s="16" t="s">
        <v>956</v>
      </c>
      <c r="B631" s="7" t="s">
        <v>957</v>
      </c>
      <c r="C631" s="3" t="e">
        <f ca="1">[1]!BexGetData("DP_1","003N8EMH8GTFRCSWKMPXRR8GU","GSON1112060173")</f>
        <v>#NAME?</v>
      </c>
      <c r="D631" s="3" t="e">
        <f ca="1">[1]!BexGetData("DP_1","003N8EMH8GTFRCSWKMPXRRESE","GSON1112060173")</f>
        <v>#NAME?</v>
      </c>
      <c r="E631" s="8" t="e">
        <f ca="1">[1]!BexGetData("DP_1","003N8EMH8GTFRCSWKMPXRRL3Y","GSON1112060173")</f>
        <v>#NAME?</v>
      </c>
      <c r="F631" s="4" t="e">
        <f ca="1">[1]!BexGetData("DP_1","003N8EMH8GTFRCSWKMPXRRRFI","GSON1112060173")</f>
        <v>#NAME?</v>
      </c>
      <c r="G631" s="4" t="e">
        <f ca="1">[1]!BexGetData("DP_1","003N8EMH8GTFRCSWKMPXRRXR2","GSON1112060173")</f>
        <v>#NAME?</v>
      </c>
      <c r="H631" s="4" t="e">
        <f ca="1">[1]!BexGetData("DP_1","003N8EMH8GTFRCSWKMPXRS42M","GSON1112060173")</f>
        <v>#NAME?</v>
      </c>
      <c r="I631" s="4" t="e">
        <f ca="1">[1]!BexGetData("DP_1","003N8EMH8GTFRCSWKMPXRSAE6","GSON1112060173")</f>
        <v>#NAME?</v>
      </c>
      <c r="J631" s="4" t="e">
        <f ca="1">[1]!BexGetData("DP_1","003N8EMH8GTFRCSWKMPXRSGPQ","GSON1112060173")</f>
        <v>#NAME?</v>
      </c>
      <c r="K631" s="8" t="e">
        <f ca="1">[1]!BexGetData("DP_1","003N8EMH8GTFRIVNUPY288VJH","GSON1112060173")</f>
        <v>#NAME?</v>
      </c>
      <c r="L631" s="8" t="e">
        <f ca="1">[1]!BexGetData("DP_1","003N8EMH8GTFRIVNUPY2891V1","GSON1112060173")</f>
        <v>#NAME?</v>
      </c>
      <c r="M631" s="8" t="e">
        <f ca="1">[1]!BexGetData("DP_1","003N8EMH8GTFRIVOG7KG9IQXA","GSON1112060173")</f>
        <v>#NAME?</v>
      </c>
      <c r="N631" s="8" t="e">
        <f ca="1">[1]!BexGetData("DP_1","003N8EMH8GTFRIVOG7KG9IX8U","GSON1112060173")</f>
        <v>#NAME?</v>
      </c>
      <c r="O631" s="8" t="e">
        <f ca="1">[1]!BexGetData("DP_1","003N8EMH8GTFRIVOG7KG9J3KE","GSON1112060173")</f>
        <v>#NAME?</v>
      </c>
      <c r="P631" s="8" t="e">
        <f ca="1">[1]!BexGetData("DP_1","003N8EMH8GTFRIVOG7KG9J9VY","GSON1112060173")</f>
        <v>#NAME?</v>
      </c>
      <c r="Q631" s="4" t="e">
        <f ca="1">[1]!BexGetData("DP_1","00O2TNJGODT0G5Z4TTKYMM5MT","GSON1112060173")</f>
        <v>#NAME?</v>
      </c>
      <c r="R631" s="4" t="e">
        <f ca="1">[1]!BexGetData("DP_1","00O2TNJGODT0G5Z4TTKYMMBYD","GSON1112060173")</f>
        <v>#NAME?</v>
      </c>
      <c r="S631" s="4" t="e">
        <f ca="1">[1]!BexGetData("DP_1","00O2TNJGODT0G5Z4TTKYMMI9X","GSON1112060173")</f>
        <v>#NAME?</v>
      </c>
      <c r="T631" s="4" t="e">
        <f ca="1">[1]!BexGetData("DP_1","00O2TNJGODT0G5Z4TTKYMMOLH","GSON1112060173")</f>
        <v>#NAME?</v>
      </c>
      <c r="U631" s="4" t="e">
        <f ca="1">[1]!BexGetData("DP_1","00O2TNJGODT0G5Z4TTKYMMUX1","GSON1112060173")</f>
        <v>#NAME?</v>
      </c>
      <c r="V631" s="4" t="e">
        <f ca="1">[1]!BexGetData("DP_1","00O2TNJGODT0G5Z4TTKYMN18L","GSON1112060173")</f>
        <v>#NAME?</v>
      </c>
      <c r="W631" s="4" t="e">
        <f ca="1">[1]!BexGetData("DP_1","00O2TNJGODT0G5Z4TTKYMN7K5","GSON1112060173")</f>
        <v>#NAME?</v>
      </c>
    </row>
    <row r="632" spans="1:23" x14ac:dyDescent="0.2">
      <c r="A632" s="16" t="s">
        <v>2627</v>
      </c>
      <c r="B632" s="7" t="s">
        <v>958</v>
      </c>
      <c r="C632" s="3" t="e">
        <f ca="1">[1]!BexGetData("DP_1","003N8EMH8GTFRCSWKMPXRR8GU","GSON1112060174")</f>
        <v>#NAME?</v>
      </c>
      <c r="D632" s="3" t="e">
        <f ca="1">[1]!BexGetData("DP_1","003N8EMH8GTFRCSWKMPXRRESE","GSON1112060174")</f>
        <v>#NAME?</v>
      </c>
      <c r="E632" s="8" t="e">
        <f ca="1">[1]!BexGetData("DP_1","003N8EMH8GTFRCSWKMPXRRL3Y","GSON1112060174")</f>
        <v>#NAME?</v>
      </c>
      <c r="F632" s="4" t="e">
        <f ca="1">[1]!BexGetData("DP_1","003N8EMH8GTFRCSWKMPXRRRFI","GSON1112060174")</f>
        <v>#NAME?</v>
      </c>
      <c r="G632" s="4" t="e">
        <f ca="1">[1]!BexGetData("DP_1","003N8EMH8GTFRCSWKMPXRRXR2","GSON1112060174")</f>
        <v>#NAME?</v>
      </c>
      <c r="H632" s="4" t="e">
        <f ca="1">[1]!BexGetData("DP_1","003N8EMH8GTFRCSWKMPXRS42M","GSON1112060174")</f>
        <v>#NAME?</v>
      </c>
      <c r="I632" s="4" t="e">
        <f ca="1">[1]!BexGetData("DP_1","003N8EMH8GTFRCSWKMPXRSAE6","GSON1112060174")</f>
        <v>#NAME?</v>
      </c>
      <c r="J632" s="4" t="e">
        <f ca="1">[1]!BexGetData("DP_1","003N8EMH8GTFRCSWKMPXRSGPQ","GSON1112060174")</f>
        <v>#NAME?</v>
      </c>
      <c r="K632" s="8" t="e">
        <f ca="1">[1]!BexGetData("DP_1","003N8EMH8GTFRIVNUPY288VJH","GSON1112060174")</f>
        <v>#NAME?</v>
      </c>
      <c r="L632" s="8" t="e">
        <f ca="1">[1]!BexGetData("DP_1","003N8EMH8GTFRIVNUPY2891V1","GSON1112060174")</f>
        <v>#NAME?</v>
      </c>
      <c r="M632" s="8" t="e">
        <f ca="1">[1]!BexGetData("DP_1","003N8EMH8GTFRIVOG7KG9IQXA","GSON1112060174")</f>
        <v>#NAME?</v>
      </c>
      <c r="N632" s="8" t="e">
        <f ca="1">[1]!BexGetData("DP_1","003N8EMH8GTFRIVOG7KG9IX8U","GSON1112060174")</f>
        <v>#NAME?</v>
      </c>
      <c r="O632" s="8" t="e">
        <f ca="1">[1]!BexGetData("DP_1","003N8EMH8GTFRIVOG7KG9J3KE","GSON1112060174")</f>
        <v>#NAME?</v>
      </c>
      <c r="P632" s="8" t="e">
        <f ca="1">[1]!BexGetData("DP_1","003N8EMH8GTFRIVOG7KG9J9VY","GSON1112060174")</f>
        <v>#NAME?</v>
      </c>
      <c r="Q632" s="4" t="e">
        <f ca="1">[1]!BexGetData("DP_1","00O2TNJGODT0G5Z4TTKYMM5MT","GSON1112060174")</f>
        <v>#NAME?</v>
      </c>
      <c r="R632" s="4" t="e">
        <f ca="1">[1]!BexGetData("DP_1","00O2TNJGODT0G5Z4TTKYMMBYD","GSON1112060174")</f>
        <v>#NAME?</v>
      </c>
      <c r="S632" s="4" t="e">
        <f ca="1">[1]!BexGetData("DP_1","00O2TNJGODT0G5Z4TTKYMMI9X","GSON1112060174")</f>
        <v>#NAME?</v>
      </c>
      <c r="T632" s="4" t="e">
        <f ca="1">[1]!BexGetData("DP_1","00O2TNJGODT0G5Z4TTKYMMOLH","GSON1112060174")</f>
        <v>#NAME?</v>
      </c>
      <c r="U632" s="4" t="e">
        <f ca="1">[1]!BexGetData("DP_1","00O2TNJGODT0G5Z4TTKYMMUX1","GSON1112060174")</f>
        <v>#NAME?</v>
      </c>
      <c r="V632" s="4" t="e">
        <f ca="1">[1]!BexGetData("DP_1","00O2TNJGODT0G5Z4TTKYMN18L","GSON1112060174")</f>
        <v>#NAME?</v>
      </c>
      <c r="W632" s="4" t="e">
        <f ca="1">[1]!BexGetData("DP_1","00O2TNJGODT0G5Z4TTKYMN7K5","GSON1112060174")</f>
        <v>#NAME?</v>
      </c>
    </row>
    <row r="633" spans="1:23" x14ac:dyDescent="0.2">
      <c r="A633" s="16" t="s">
        <v>959</v>
      </c>
      <c r="B633" s="7" t="s">
        <v>960</v>
      </c>
      <c r="C633" s="3" t="e">
        <f ca="1">[1]!BexGetData("DP_1","003N8EMH8GTFRCSWKMPXRR8GU","GSON1112060175")</f>
        <v>#NAME?</v>
      </c>
      <c r="D633" s="3" t="e">
        <f ca="1">[1]!BexGetData("DP_1","003N8EMH8GTFRCSWKMPXRRESE","GSON1112060175")</f>
        <v>#NAME?</v>
      </c>
      <c r="E633" s="8" t="e">
        <f ca="1">[1]!BexGetData("DP_1","003N8EMH8GTFRCSWKMPXRRL3Y","GSON1112060175")</f>
        <v>#NAME?</v>
      </c>
      <c r="F633" s="4" t="e">
        <f ca="1">[1]!BexGetData("DP_1","003N8EMH8GTFRCSWKMPXRRRFI","GSON1112060175")</f>
        <v>#NAME?</v>
      </c>
      <c r="G633" s="4" t="e">
        <f ca="1">[1]!BexGetData("DP_1","003N8EMH8GTFRCSWKMPXRRXR2","GSON1112060175")</f>
        <v>#NAME?</v>
      </c>
      <c r="H633" s="4" t="e">
        <f ca="1">[1]!BexGetData("DP_1","003N8EMH8GTFRCSWKMPXRS42M","GSON1112060175")</f>
        <v>#NAME?</v>
      </c>
      <c r="I633" s="4" t="e">
        <f ca="1">[1]!BexGetData("DP_1","003N8EMH8GTFRCSWKMPXRSAE6","GSON1112060175")</f>
        <v>#NAME?</v>
      </c>
      <c r="J633" s="4" t="e">
        <f ca="1">[1]!BexGetData("DP_1","003N8EMH8GTFRCSWKMPXRSGPQ","GSON1112060175")</f>
        <v>#NAME?</v>
      </c>
      <c r="K633" s="8" t="e">
        <f ca="1">[1]!BexGetData("DP_1","003N8EMH8GTFRIVNUPY288VJH","GSON1112060175")</f>
        <v>#NAME?</v>
      </c>
      <c r="L633" s="8" t="e">
        <f ca="1">[1]!BexGetData("DP_1","003N8EMH8GTFRIVNUPY2891V1","GSON1112060175")</f>
        <v>#NAME?</v>
      </c>
      <c r="M633" s="8" t="e">
        <f ca="1">[1]!BexGetData("DP_1","003N8EMH8GTFRIVOG7KG9IQXA","GSON1112060175")</f>
        <v>#NAME?</v>
      </c>
      <c r="N633" s="8" t="e">
        <f ca="1">[1]!BexGetData("DP_1","003N8EMH8GTFRIVOG7KG9IX8U","GSON1112060175")</f>
        <v>#NAME?</v>
      </c>
      <c r="O633" s="8" t="e">
        <f ca="1">[1]!BexGetData("DP_1","003N8EMH8GTFRIVOG7KG9J3KE","GSON1112060175")</f>
        <v>#NAME?</v>
      </c>
      <c r="P633" s="8" t="e">
        <f ca="1">[1]!BexGetData("DP_1","003N8EMH8GTFRIVOG7KG9J9VY","GSON1112060175")</f>
        <v>#NAME?</v>
      </c>
      <c r="Q633" s="4" t="e">
        <f ca="1">[1]!BexGetData("DP_1","00O2TNJGODT0G5Z4TTKYMM5MT","GSON1112060175")</f>
        <v>#NAME?</v>
      </c>
      <c r="R633" s="4" t="e">
        <f ca="1">[1]!BexGetData("DP_1","00O2TNJGODT0G5Z4TTKYMMBYD","GSON1112060175")</f>
        <v>#NAME?</v>
      </c>
      <c r="S633" s="4" t="e">
        <f ca="1">[1]!BexGetData("DP_1","00O2TNJGODT0G5Z4TTKYMMI9X","GSON1112060175")</f>
        <v>#NAME?</v>
      </c>
      <c r="T633" s="4" t="e">
        <f ca="1">[1]!BexGetData("DP_1","00O2TNJGODT0G5Z4TTKYMMOLH","GSON1112060175")</f>
        <v>#NAME?</v>
      </c>
      <c r="U633" s="4" t="e">
        <f ca="1">[1]!BexGetData("DP_1","00O2TNJGODT0G5Z4TTKYMMUX1","GSON1112060175")</f>
        <v>#NAME?</v>
      </c>
      <c r="V633" s="4" t="e">
        <f ca="1">[1]!BexGetData("DP_1","00O2TNJGODT0G5Z4TTKYMN18L","GSON1112060175")</f>
        <v>#NAME?</v>
      </c>
      <c r="W633" s="4" t="e">
        <f ca="1">[1]!BexGetData("DP_1","00O2TNJGODT0G5Z4TTKYMN7K5","GSON1112060175")</f>
        <v>#NAME?</v>
      </c>
    </row>
    <row r="634" spans="1:23" x14ac:dyDescent="0.2">
      <c r="A634" s="16" t="s">
        <v>2628</v>
      </c>
      <c r="B634" s="7" t="s">
        <v>2629</v>
      </c>
      <c r="C634" s="3" t="e">
        <f ca="1">[1]!BexGetData("DP_1","003N8EMH8GTFRCSWKMPXRR8GU","GSON1112060180")</f>
        <v>#NAME?</v>
      </c>
      <c r="D634" s="3" t="e">
        <f ca="1">[1]!BexGetData("DP_1","003N8EMH8GTFRCSWKMPXRRESE","GSON1112060180")</f>
        <v>#NAME?</v>
      </c>
      <c r="E634" s="3" t="e">
        <f ca="1">[1]!BexGetData("DP_1","003N8EMH8GTFRCSWKMPXRRL3Y","GSON1112060180")</f>
        <v>#NAME?</v>
      </c>
      <c r="F634" s="3" t="e">
        <f ca="1">[1]!BexGetData("DP_1","003N8EMH8GTFRCSWKMPXRRRFI","GSON1112060180")</f>
        <v>#NAME?</v>
      </c>
      <c r="G634" s="3" t="e">
        <f ca="1">[1]!BexGetData("DP_1","003N8EMH8GTFRCSWKMPXRRXR2","GSON1112060180")</f>
        <v>#NAME?</v>
      </c>
      <c r="H634" s="8" t="e">
        <f ca="1">[1]!BexGetData("DP_1","003N8EMH8GTFRCSWKMPXRS42M","GSON1112060180")</f>
        <v>#NAME?</v>
      </c>
      <c r="I634" s="3" t="e">
        <f ca="1">[1]!BexGetData("DP_1","003N8EMH8GTFRCSWKMPXRSAE6","GSON1112060180")</f>
        <v>#NAME?</v>
      </c>
      <c r="J634" s="4" t="e">
        <f ca="1">[1]!BexGetData("DP_1","003N8EMH8GTFRCSWKMPXRSGPQ","GSON1112060180")</f>
        <v>#NAME?</v>
      </c>
      <c r="K634" s="3" t="e">
        <f ca="1">[1]!BexGetData("DP_1","003N8EMH8GTFRIVNUPY288VJH","GSON1112060180")</f>
        <v>#NAME?</v>
      </c>
      <c r="L634" s="3" t="e">
        <f ca="1">[1]!BexGetData("DP_1","003N8EMH8GTFRIVNUPY2891V1","GSON1112060180")</f>
        <v>#NAME?</v>
      </c>
      <c r="M634" s="8" t="e">
        <f ca="1">[1]!BexGetData("DP_1","003N8EMH8GTFRIVOG7KG9IQXA","GSON1112060180")</f>
        <v>#NAME?</v>
      </c>
      <c r="N634" s="3" t="e">
        <f ca="1">[1]!BexGetData("DP_1","003N8EMH8GTFRIVOG7KG9IX8U","GSON1112060180")</f>
        <v>#NAME?</v>
      </c>
      <c r="O634" s="8" t="e">
        <f ca="1">[1]!BexGetData("DP_1","003N8EMH8GTFRIVOG7KG9J3KE","GSON1112060180")</f>
        <v>#NAME?</v>
      </c>
      <c r="P634" s="3" t="e">
        <f ca="1">[1]!BexGetData("DP_1","003N8EMH8GTFRIVOG7KG9J9VY","GSON1112060180")</f>
        <v>#NAME?</v>
      </c>
      <c r="Q634" s="4" t="e">
        <f ca="1">[1]!BexGetData("DP_1","00O2TNJGODT0G5Z4TTKYMM5MT","GSON1112060180")</f>
        <v>#NAME?</v>
      </c>
      <c r="R634" s="3" t="e">
        <f ca="1">[1]!BexGetData("DP_1","00O2TNJGODT0G5Z4TTKYMMBYD","GSON1112060180")</f>
        <v>#NAME?</v>
      </c>
      <c r="S634" s="3" t="e">
        <f ca="1">[1]!BexGetData("DP_1","00O2TNJGODT0G5Z4TTKYMMI9X","GSON1112060180")</f>
        <v>#NAME?</v>
      </c>
      <c r="T634" s="8" t="e">
        <f ca="1">[1]!BexGetData("DP_1","00O2TNJGODT0G5Z4TTKYMMOLH","GSON1112060180")</f>
        <v>#NAME?</v>
      </c>
      <c r="U634" s="3" t="e">
        <f ca="1">[1]!BexGetData("DP_1","00O2TNJGODT0G5Z4TTKYMMUX1","GSON1112060180")</f>
        <v>#NAME?</v>
      </c>
      <c r="V634" s="8" t="e">
        <f ca="1">[1]!BexGetData("DP_1","00O2TNJGODT0G5Z4TTKYMN18L","GSON1112060180")</f>
        <v>#NAME?</v>
      </c>
      <c r="W634" s="3" t="e">
        <f ca="1">[1]!BexGetData("DP_1","00O2TNJGODT0G5Z4TTKYMN7K5","GSON1112060180")</f>
        <v>#NAME?</v>
      </c>
    </row>
    <row r="635" spans="1:23" x14ac:dyDescent="0.2">
      <c r="A635" s="16" t="s">
        <v>2630</v>
      </c>
      <c r="B635" s="7" t="s">
        <v>2631</v>
      </c>
      <c r="C635" s="3" t="e">
        <f ca="1">[1]!BexGetData("DP_1","003N8EMH8GTFRCSWKMPXRR8GU","GSON1112060181")</f>
        <v>#NAME?</v>
      </c>
      <c r="D635" s="3" t="e">
        <f ca="1">[1]!BexGetData("DP_1","003N8EMH8GTFRCSWKMPXRRESE","GSON1112060181")</f>
        <v>#NAME?</v>
      </c>
      <c r="E635" s="8" t="e">
        <f ca="1">[1]!BexGetData("DP_1","003N8EMH8GTFRCSWKMPXRRL3Y","GSON1112060181")</f>
        <v>#NAME?</v>
      </c>
      <c r="F635" s="4" t="e">
        <f ca="1">[1]!BexGetData("DP_1","003N8EMH8GTFRCSWKMPXRRRFI","GSON1112060181")</f>
        <v>#NAME?</v>
      </c>
      <c r="G635" s="4" t="e">
        <f ca="1">[1]!BexGetData("DP_1","003N8EMH8GTFRCSWKMPXRRXR2","GSON1112060181")</f>
        <v>#NAME?</v>
      </c>
      <c r="H635" s="4" t="e">
        <f ca="1">[1]!BexGetData("DP_1","003N8EMH8GTFRCSWKMPXRS42M","GSON1112060181")</f>
        <v>#NAME?</v>
      </c>
      <c r="I635" s="4" t="e">
        <f ca="1">[1]!BexGetData("DP_1","003N8EMH8GTFRCSWKMPXRSAE6","GSON1112060181")</f>
        <v>#NAME?</v>
      </c>
      <c r="J635" s="4" t="e">
        <f ca="1">[1]!BexGetData("DP_1","003N8EMH8GTFRCSWKMPXRSGPQ","GSON1112060181")</f>
        <v>#NAME?</v>
      </c>
      <c r="K635" s="8" t="e">
        <f ca="1">[1]!BexGetData("DP_1","003N8EMH8GTFRIVNUPY288VJH","GSON1112060181")</f>
        <v>#NAME?</v>
      </c>
      <c r="L635" s="8" t="e">
        <f ca="1">[1]!BexGetData("DP_1","003N8EMH8GTFRIVNUPY2891V1","GSON1112060181")</f>
        <v>#NAME?</v>
      </c>
      <c r="M635" s="8" t="e">
        <f ca="1">[1]!BexGetData("DP_1","003N8EMH8GTFRIVOG7KG9IQXA","GSON1112060181")</f>
        <v>#NAME?</v>
      </c>
      <c r="N635" s="8" t="e">
        <f ca="1">[1]!BexGetData("DP_1","003N8EMH8GTFRIVOG7KG9IX8U","GSON1112060181")</f>
        <v>#NAME?</v>
      </c>
      <c r="O635" s="8" t="e">
        <f ca="1">[1]!BexGetData("DP_1","003N8EMH8GTFRIVOG7KG9J3KE","GSON1112060181")</f>
        <v>#NAME?</v>
      </c>
      <c r="P635" s="8" t="e">
        <f ca="1">[1]!BexGetData("DP_1","003N8EMH8GTFRIVOG7KG9J9VY","GSON1112060181")</f>
        <v>#NAME?</v>
      </c>
      <c r="Q635" s="4" t="e">
        <f ca="1">[1]!BexGetData("DP_1","00O2TNJGODT0G5Z4TTKYMM5MT","GSON1112060181")</f>
        <v>#NAME?</v>
      </c>
      <c r="R635" s="4" t="e">
        <f ca="1">[1]!BexGetData("DP_1","00O2TNJGODT0G5Z4TTKYMMBYD","GSON1112060181")</f>
        <v>#NAME?</v>
      </c>
      <c r="S635" s="4" t="e">
        <f ca="1">[1]!BexGetData("DP_1","00O2TNJGODT0G5Z4TTKYMMI9X","GSON1112060181")</f>
        <v>#NAME?</v>
      </c>
      <c r="T635" s="4" t="e">
        <f ca="1">[1]!BexGetData("DP_1","00O2TNJGODT0G5Z4TTKYMMOLH","GSON1112060181")</f>
        <v>#NAME?</v>
      </c>
      <c r="U635" s="4" t="e">
        <f ca="1">[1]!BexGetData("DP_1","00O2TNJGODT0G5Z4TTKYMMUX1","GSON1112060181")</f>
        <v>#NAME?</v>
      </c>
      <c r="V635" s="4" t="e">
        <f ca="1">[1]!BexGetData("DP_1","00O2TNJGODT0G5Z4TTKYMN18L","GSON1112060181")</f>
        <v>#NAME?</v>
      </c>
      <c r="W635" s="4" t="e">
        <f ca="1">[1]!BexGetData("DP_1","00O2TNJGODT0G5Z4TTKYMN7K5","GSON1112060181")</f>
        <v>#NAME?</v>
      </c>
    </row>
    <row r="636" spans="1:23" x14ac:dyDescent="0.2">
      <c r="A636" s="16" t="s">
        <v>2632</v>
      </c>
      <c r="B636" s="7" t="s">
        <v>2633</v>
      </c>
      <c r="C636" s="3" t="e">
        <f ca="1">[1]!BexGetData("DP_1","003N8EMH8GTFRCSWKMPXRR8GU","GSON1112060184")</f>
        <v>#NAME?</v>
      </c>
      <c r="D636" s="3" t="e">
        <f ca="1">[1]!BexGetData("DP_1","003N8EMH8GTFRCSWKMPXRRESE","GSON1112060184")</f>
        <v>#NAME?</v>
      </c>
      <c r="E636" s="8" t="e">
        <f ca="1">[1]!BexGetData("DP_1","003N8EMH8GTFRCSWKMPXRRL3Y","GSON1112060184")</f>
        <v>#NAME?</v>
      </c>
      <c r="F636" s="4" t="e">
        <f ca="1">[1]!BexGetData("DP_1","003N8EMH8GTFRCSWKMPXRRRFI","GSON1112060184")</f>
        <v>#NAME?</v>
      </c>
      <c r="G636" s="4" t="e">
        <f ca="1">[1]!BexGetData("DP_1","003N8EMH8GTFRCSWKMPXRRXR2","GSON1112060184")</f>
        <v>#NAME?</v>
      </c>
      <c r="H636" s="4" t="e">
        <f ca="1">[1]!BexGetData("DP_1","003N8EMH8GTFRCSWKMPXRS42M","GSON1112060184")</f>
        <v>#NAME?</v>
      </c>
      <c r="I636" s="4" t="e">
        <f ca="1">[1]!BexGetData("DP_1","003N8EMH8GTFRCSWKMPXRSAE6","GSON1112060184")</f>
        <v>#NAME?</v>
      </c>
      <c r="J636" s="4" t="e">
        <f ca="1">[1]!BexGetData("DP_1","003N8EMH8GTFRCSWKMPXRSGPQ","GSON1112060184")</f>
        <v>#NAME?</v>
      </c>
      <c r="K636" s="8" t="e">
        <f ca="1">[1]!BexGetData("DP_1","003N8EMH8GTFRIVNUPY288VJH","GSON1112060184")</f>
        <v>#NAME?</v>
      </c>
      <c r="L636" s="8" t="e">
        <f ca="1">[1]!BexGetData("DP_1","003N8EMH8GTFRIVNUPY2891V1","GSON1112060184")</f>
        <v>#NAME?</v>
      </c>
      <c r="M636" s="8" t="e">
        <f ca="1">[1]!BexGetData("DP_1","003N8EMH8GTFRIVOG7KG9IQXA","GSON1112060184")</f>
        <v>#NAME?</v>
      </c>
      <c r="N636" s="8" t="e">
        <f ca="1">[1]!BexGetData("DP_1","003N8EMH8GTFRIVOG7KG9IX8U","GSON1112060184")</f>
        <v>#NAME?</v>
      </c>
      <c r="O636" s="8" t="e">
        <f ca="1">[1]!BexGetData("DP_1","003N8EMH8GTFRIVOG7KG9J3KE","GSON1112060184")</f>
        <v>#NAME?</v>
      </c>
      <c r="P636" s="8" t="e">
        <f ca="1">[1]!BexGetData("DP_1","003N8EMH8GTFRIVOG7KG9J9VY","GSON1112060184")</f>
        <v>#NAME?</v>
      </c>
      <c r="Q636" s="4" t="e">
        <f ca="1">[1]!BexGetData("DP_1","00O2TNJGODT0G5Z4TTKYMM5MT","GSON1112060184")</f>
        <v>#NAME?</v>
      </c>
      <c r="R636" s="4" t="e">
        <f ca="1">[1]!BexGetData("DP_1","00O2TNJGODT0G5Z4TTKYMMBYD","GSON1112060184")</f>
        <v>#NAME?</v>
      </c>
      <c r="S636" s="4" t="e">
        <f ca="1">[1]!BexGetData("DP_1","00O2TNJGODT0G5Z4TTKYMMI9X","GSON1112060184")</f>
        <v>#NAME?</v>
      </c>
      <c r="T636" s="4" t="e">
        <f ca="1">[1]!BexGetData("DP_1","00O2TNJGODT0G5Z4TTKYMMOLH","GSON1112060184")</f>
        <v>#NAME?</v>
      </c>
      <c r="U636" s="4" t="e">
        <f ca="1">[1]!BexGetData("DP_1","00O2TNJGODT0G5Z4TTKYMMUX1","GSON1112060184")</f>
        <v>#NAME?</v>
      </c>
      <c r="V636" s="4" t="e">
        <f ca="1">[1]!BexGetData("DP_1","00O2TNJGODT0G5Z4TTKYMN18L","GSON1112060184")</f>
        <v>#NAME?</v>
      </c>
      <c r="W636" s="4" t="e">
        <f ca="1">[1]!BexGetData("DP_1","00O2TNJGODT0G5Z4TTKYMN7K5","GSON1112060184")</f>
        <v>#NAME?</v>
      </c>
    </row>
    <row r="637" spans="1:23" x14ac:dyDescent="0.2">
      <c r="A637" s="16" t="s">
        <v>2634</v>
      </c>
      <c r="B637" s="7" t="s">
        <v>2635</v>
      </c>
      <c r="C637" s="3" t="e">
        <f ca="1">[1]!BexGetData("DP_1","003N8EMH8GTFRCSWKMPXRR8GU","GSON1112060185")</f>
        <v>#NAME?</v>
      </c>
      <c r="D637" s="3" t="e">
        <f ca="1">[1]!BexGetData("DP_1","003N8EMH8GTFRCSWKMPXRRESE","GSON1112060185")</f>
        <v>#NAME?</v>
      </c>
      <c r="E637" s="8" t="e">
        <f ca="1">[1]!BexGetData("DP_1","003N8EMH8GTFRCSWKMPXRRL3Y","GSON1112060185")</f>
        <v>#NAME?</v>
      </c>
      <c r="F637" s="4" t="e">
        <f ca="1">[1]!BexGetData("DP_1","003N8EMH8GTFRCSWKMPXRRRFI","GSON1112060185")</f>
        <v>#NAME?</v>
      </c>
      <c r="G637" s="4" t="e">
        <f ca="1">[1]!BexGetData("DP_1","003N8EMH8GTFRCSWKMPXRRXR2","GSON1112060185")</f>
        <v>#NAME?</v>
      </c>
      <c r="H637" s="4" t="e">
        <f ca="1">[1]!BexGetData("DP_1","003N8EMH8GTFRCSWKMPXRS42M","GSON1112060185")</f>
        <v>#NAME?</v>
      </c>
      <c r="I637" s="4" t="e">
        <f ca="1">[1]!BexGetData("DP_1","003N8EMH8GTFRCSWKMPXRSAE6","GSON1112060185")</f>
        <v>#NAME?</v>
      </c>
      <c r="J637" s="4" t="e">
        <f ca="1">[1]!BexGetData("DP_1","003N8EMH8GTFRCSWKMPXRSGPQ","GSON1112060185")</f>
        <v>#NAME?</v>
      </c>
      <c r="K637" s="8" t="e">
        <f ca="1">[1]!BexGetData("DP_1","003N8EMH8GTFRIVNUPY288VJH","GSON1112060185")</f>
        <v>#NAME?</v>
      </c>
      <c r="L637" s="8" t="e">
        <f ca="1">[1]!BexGetData("DP_1","003N8EMH8GTFRIVNUPY2891V1","GSON1112060185")</f>
        <v>#NAME?</v>
      </c>
      <c r="M637" s="8" t="e">
        <f ca="1">[1]!BexGetData("DP_1","003N8EMH8GTFRIVOG7KG9IQXA","GSON1112060185")</f>
        <v>#NAME?</v>
      </c>
      <c r="N637" s="8" t="e">
        <f ca="1">[1]!BexGetData("DP_1","003N8EMH8GTFRIVOG7KG9IX8U","GSON1112060185")</f>
        <v>#NAME?</v>
      </c>
      <c r="O637" s="8" t="e">
        <f ca="1">[1]!BexGetData("DP_1","003N8EMH8GTFRIVOG7KG9J3KE","GSON1112060185")</f>
        <v>#NAME?</v>
      </c>
      <c r="P637" s="8" t="e">
        <f ca="1">[1]!BexGetData("DP_1","003N8EMH8GTFRIVOG7KG9J9VY","GSON1112060185")</f>
        <v>#NAME?</v>
      </c>
      <c r="Q637" s="4" t="e">
        <f ca="1">[1]!BexGetData("DP_1","00O2TNJGODT0G5Z4TTKYMM5MT","GSON1112060185")</f>
        <v>#NAME?</v>
      </c>
      <c r="R637" s="4" t="e">
        <f ca="1">[1]!BexGetData("DP_1","00O2TNJGODT0G5Z4TTKYMMBYD","GSON1112060185")</f>
        <v>#NAME?</v>
      </c>
      <c r="S637" s="4" t="e">
        <f ca="1">[1]!BexGetData("DP_1","00O2TNJGODT0G5Z4TTKYMMI9X","GSON1112060185")</f>
        <v>#NAME?</v>
      </c>
      <c r="T637" s="4" t="e">
        <f ca="1">[1]!BexGetData("DP_1","00O2TNJGODT0G5Z4TTKYMMOLH","GSON1112060185")</f>
        <v>#NAME?</v>
      </c>
      <c r="U637" s="4" t="e">
        <f ca="1">[1]!BexGetData("DP_1","00O2TNJGODT0G5Z4TTKYMMUX1","GSON1112060185")</f>
        <v>#NAME?</v>
      </c>
      <c r="V637" s="4" t="e">
        <f ca="1">[1]!BexGetData("DP_1","00O2TNJGODT0G5Z4TTKYMN18L","GSON1112060185")</f>
        <v>#NAME?</v>
      </c>
      <c r="W637" s="4" t="e">
        <f ca="1">[1]!BexGetData("DP_1","00O2TNJGODT0G5Z4TTKYMN7K5","GSON1112060185")</f>
        <v>#NAME?</v>
      </c>
    </row>
    <row r="638" spans="1:23" x14ac:dyDescent="0.2">
      <c r="A638" s="16" t="s">
        <v>2636</v>
      </c>
      <c r="B638" s="7" t="s">
        <v>2637</v>
      </c>
      <c r="C638" s="3" t="e">
        <f ca="1">[1]!BexGetData("DP_1","003N8EMH8GTFRCSWKMPXRR8GU","GSON1112060190")</f>
        <v>#NAME?</v>
      </c>
      <c r="D638" s="3" t="e">
        <f ca="1">[1]!BexGetData("DP_1","003N8EMH8GTFRCSWKMPXRRESE","GSON1112060190")</f>
        <v>#NAME?</v>
      </c>
      <c r="E638" s="3" t="e">
        <f ca="1">[1]!BexGetData("DP_1","003N8EMH8GTFRCSWKMPXRRL3Y","GSON1112060190")</f>
        <v>#NAME?</v>
      </c>
      <c r="F638" s="3" t="e">
        <f ca="1">[1]!BexGetData("DP_1","003N8EMH8GTFRCSWKMPXRRRFI","GSON1112060190")</f>
        <v>#NAME?</v>
      </c>
      <c r="G638" s="3" t="e">
        <f ca="1">[1]!BexGetData("DP_1","003N8EMH8GTFRCSWKMPXRRXR2","GSON1112060190")</f>
        <v>#NAME?</v>
      </c>
      <c r="H638" s="8" t="e">
        <f ca="1">[1]!BexGetData("DP_1","003N8EMH8GTFRCSWKMPXRS42M","GSON1112060190")</f>
        <v>#NAME?</v>
      </c>
      <c r="I638" s="3" t="e">
        <f ca="1">[1]!BexGetData("DP_1","003N8EMH8GTFRCSWKMPXRSAE6","GSON1112060190")</f>
        <v>#NAME?</v>
      </c>
      <c r="J638" s="4" t="e">
        <f ca="1">[1]!BexGetData("DP_1","003N8EMH8GTFRCSWKMPXRSGPQ","GSON1112060190")</f>
        <v>#NAME?</v>
      </c>
      <c r="K638" s="3" t="e">
        <f ca="1">[1]!BexGetData("DP_1","003N8EMH8GTFRIVNUPY288VJH","GSON1112060190")</f>
        <v>#NAME?</v>
      </c>
      <c r="L638" s="3" t="e">
        <f ca="1">[1]!BexGetData("DP_1","003N8EMH8GTFRIVNUPY2891V1","GSON1112060190")</f>
        <v>#NAME?</v>
      </c>
      <c r="M638" s="8" t="e">
        <f ca="1">[1]!BexGetData("DP_1","003N8EMH8GTFRIVOG7KG9IQXA","GSON1112060190")</f>
        <v>#NAME?</v>
      </c>
      <c r="N638" s="3" t="e">
        <f ca="1">[1]!BexGetData("DP_1","003N8EMH8GTFRIVOG7KG9IX8U","GSON1112060190")</f>
        <v>#NAME?</v>
      </c>
      <c r="O638" s="8" t="e">
        <f ca="1">[1]!BexGetData("DP_1","003N8EMH8GTFRIVOG7KG9J3KE","GSON1112060190")</f>
        <v>#NAME?</v>
      </c>
      <c r="P638" s="3" t="e">
        <f ca="1">[1]!BexGetData("DP_1","003N8EMH8GTFRIVOG7KG9J9VY","GSON1112060190")</f>
        <v>#NAME?</v>
      </c>
      <c r="Q638" s="4" t="e">
        <f ca="1">[1]!BexGetData("DP_1","00O2TNJGODT0G5Z4TTKYMM5MT","GSON1112060190")</f>
        <v>#NAME?</v>
      </c>
      <c r="R638" s="3" t="e">
        <f ca="1">[1]!BexGetData("DP_1","00O2TNJGODT0G5Z4TTKYMMBYD","GSON1112060190")</f>
        <v>#NAME?</v>
      </c>
      <c r="S638" s="3" t="e">
        <f ca="1">[1]!BexGetData("DP_1","00O2TNJGODT0G5Z4TTKYMMI9X","GSON1112060190")</f>
        <v>#NAME?</v>
      </c>
      <c r="T638" s="8" t="e">
        <f ca="1">[1]!BexGetData("DP_1","00O2TNJGODT0G5Z4TTKYMMOLH","GSON1112060190")</f>
        <v>#NAME?</v>
      </c>
      <c r="U638" s="3" t="e">
        <f ca="1">[1]!BexGetData("DP_1","00O2TNJGODT0G5Z4TTKYMMUX1","GSON1112060190")</f>
        <v>#NAME?</v>
      </c>
      <c r="V638" s="8" t="e">
        <f ca="1">[1]!BexGetData("DP_1","00O2TNJGODT0G5Z4TTKYMN18L","GSON1112060190")</f>
        <v>#NAME?</v>
      </c>
      <c r="W638" s="3" t="e">
        <f ca="1">[1]!BexGetData("DP_1","00O2TNJGODT0G5Z4TTKYMN7K5","GSON1112060190")</f>
        <v>#NAME?</v>
      </c>
    </row>
    <row r="639" spans="1:23" x14ac:dyDescent="0.2">
      <c r="A639" s="16" t="s">
        <v>2638</v>
      </c>
      <c r="B639" s="7" t="s">
        <v>2639</v>
      </c>
      <c r="C639" s="3" t="e">
        <f ca="1">[1]!BexGetData("DP_1","003N8EMH8GTFRCSWKMPXRR8GU","GSON1112060191")</f>
        <v>#NAME?</v>
      </c>
      <c r="D639" s="3" t="e">
        <f ca="1">[1]!BexGetData("DP_1","003N8EMH8GTFRCSWKMPXRRESE","GSON1112060191")</f>
        <v>#NAME?</v>
      </c>
      <c r="E639" s="8" t="e">
        <f ca="1">[1]!BexGetData("DP_1","003N8EMH8GTFRCSWKMPXRRL3Y","GSON1112060191")</f>
        <v>#NAME?</v>
      </c>
      <c r="F639" s="4" t="e">
        <f ca="1">[1]!BexGetData("DP_1","003N8EMH8GTFRCSWKMPXRRRFI","GSON1112060191")</f>
        <v>#NAME?</v>
      </c>
      <c r="G639" s="4" t="e">
        <f ca="1">[1]!BexGetData("DP_1","003N8EMH8GTFRCSWKMPXRRXR2","GSON1112060191")</f>
        <v>#NAME?</v>
      </c>
      <c r="H639" s="4" t="e">
        <f ca="1">[1]!BexGetData("DP_1","003N8EMH8GTFRCSWKMPXRS42M","GSON1112060191")</f>
        <v>#NAME?</v>
      </c>
      <c r="I639" s="4" t="e">
        <f ca="1">[1]!BexGetData("DP_1","003N8EMH8GTFRCSWKMPXRSAE6","GSON1112060191")</f>
        <v>#NAME?</v>
      </c>
      <c r="J639" s="4" t="e">
        <f ca="1">[1]!BexGetData("DP_1","003N8EMH8GTFRCSWKMPXRSGPQ","GSON1112060191")</f>
        <v>#NAME?</v>
      </c>
      <c r="K639" s="8" t="e">
        <f ca="1">[1]!BexGetData("DP_1","003N8EMH8GTFRIVNUPY288VJH","GSON1112060191")</f>
        <v>#NAME?</v>
      </c>
      <c r="L639" s="8" t="e">
        <f ca="1">[1]!BexGetData("DP_1","003N8EMH8GTFRIVNUPY2891V1","GSON1112060191")</f>
        <v>#NAME?</v>
      </c>
      <c r="M639" s="8" t="e">
        <f ca="1">[1]!BexGetData("DP_1","003N8EMH8GTFRIVOG7KG9IQXA","GSON1112060191")</f>
        <v>#NAME?</v>
      </c>
      <c r="N639" s="8" t="e">
        <f ca="1">[1]!BexGetData("DP_1","003N8EMH8GTFRIVOG7KG9IX8U","GSON1112060191")</f>
        <v>#NAME?</v>
      </c>
      <c r="O639" s="8" t="e">
        <f ca="1">[1]!BexGetData("DP_1","003N8EMH8GTFRIVOG7KG9J3KE","GSON1112060191")</f>
        <v>#NAME?</v>
      </c>
      <c r="P639" s="8" t="e">
        <f ca="1">[1]!BexGetData("DP_1","003N8EMH8GTFRIVOG7KG9J9VY","GSON1112060191")</f>
        <v>#NAME?</v>
      </c>
      <c r="Q639" s="4" t="e">
        <f ca="1">[1]!BexGetData("DP_1","00O2TNJGODT0G5Z4TTKYMM5MT","GSON1112060191")</f>
        <v>#NAME?</v>
      </c>
      <c r="R639" s="4" t="e">
        <f ca="1">[1]!BexGetData("DP_1","00O2TNJGODT0G5Z4TTKYMMBYD","GSON1112060191")</f>
        <v>#NAME?</v>
      </c>
      <c r="S639" s="4" t="e">
        <f ca="1">[1]!BexGetData("DP_1","00O2TNJGODT0G5Z4TTKYMMI9X","GSON1112060191")</f>
        <v>#NAME?</v>
      </c>
      <c r="T639" s="4" t="e">
        <f ca="1">[1]!BexGetData("DP_1","00O2TNJGODT0G5Z4TTKYMMOLH","GSON1112060191")</f>
        <v>#NAME?</v>
      </c>
      <c r="U639" s="4" t="e">
        <f ca="1">[1]!BexGetData("DP_1","00O2TNJGODT0G5Z4TTKYMMUX1","GSON1112060191")</f>
        <v>#NAME?</v>
      </c>
      <c r="V639" s="4" t="e">
        <f ca="1">[1]!BexGetData("DP_1","00O2TNJGODT0G5Z4TTKYMN18L","GSON1112060191")</f>
        <v>#NAME?</v>
      </c>
      <c r="W639" s="4" t="e">
        <f ca="1">[1]!BexGetData("DP_1","00O2TNJGODT0G5Z4TTKYMN7K5","GSON1112060191")</f>
        <v>#NAME?</v>
      </c>
    </row>
    <row r="640" spans="1:23" x14ac:dyDescent="0.2">
      <c r="A640" s="16" t="s">
        <v>2640</v>
      </c>
      <c r="B640" s="7" t="s">
        <v>2641</v>
      </c>
      <c r="C640" s="3" t="e">
        <f ca="1">[1]!BexGetData("DP_1","003N8EMH8GTFRCSWKMPXRR8GU","GSON1112060193")</f>
        <v>#NAME?</v>
      </c>
      <c r="D640" s="3" t="e">
        <f ca="1">[1]!BexGetData("DP_1","003N8EMH8GTFRCSWKMPXRRESE","GSON1112060193")</f>
        <v>#NAME?</v>
      </c>
      <c r="E640" s="8" t="e">
        <f ca="1">[1]!BexGetData("DP_1","003N8EMH8GTFRCSWKMPXRRL3Y","GSON1112060193")</f>
        <v>#NAME?</v>
      </c>
      <c r="F640" s="4" t="e">
        <f ca="1">[1]!BexGetData("DP_1","003N8EMH8GTFRCSWKMPXRRRFI","GSON1112060193")</f>
        <v>#NAME?</v>
      </c>
      <c r="G640" s="4" t="e">
        <f ca="1">[1]!BexGetData("DP_1","003N8EMH8GTFRCSWKMPXRRXR2","GSON1112060193")</f>
        <v>#NAME?</v>
      </c>
      <c r="H640" s="4" t="e">
        <f ca="1">[1]!BexGetData("DP_1","003N8EMH8GTFRCSWKMPXRS42M","GSON1112060193")</f>
        <v>#NAME?</v>
      </c>
      <c r="I640" s="4" t="e">
        <f ca="1">[1]!BexGetData("DP_1","003N8EMH8GTFRCSWKMPXRSAE6","GSON1112060193")</f>
        <v>#NAME?</v>
      </c>
      <c r="J640" s="4" t="e">
        <f ca="1">[1]!BexGetData("DP_1","003N8EMH8GTFRCSWKMPXRSGPQ","GSON1112060193")</f>
        <v>#NAME?</v>
      </c>
      <c r="K640" s="8" t="e">
        <f ca="1">[1]!BexGetData("DP_1","003N8EMH8GTFRIVNUPY288VJH","GSON1112060193")</f>
        <v>#NAME?</v>
      </c>
      <c r="L640" s="8" t="e">
        <f ca="1">[1]!BexGetData("DP_1","003N8EMH8GTFRIVNUPY2891V1","GSON1112060193")</f>
        <v>#NAME?</v>
      </c>
      <c r="M640" s="8" t="e">
        <f ca="1">[1]!BexGetData("DP_1","003N8EMH8GTFRIVOG7KG9IQXA","GSON1112060193")</f>
        <v>#NAME?</v>
      </c>
      <c r="N640" s="8" t="e">
        <f ca="1">[1]!BexGetData("DP_1","003N8EMH8GTFRIVOG7KG9IX8U","GSON1112060193")</f>
        <v>#NAME?</v>
      </c>
      <c r="O640" s="8" t="e">
        <f ca="1">[1]!BexGetData("DP_1","003N8EMH8GTFRIVOG7KG9J3KE","GSON1112060193")</f>
        <v>#NAME?</v>
      </c>
      <c r="P640" s="8" t="e">
        <f ca="1">[1]!BexGetData("DP_1","003N8EMH8GTFRIVOG7KG9J9VY","GSON1112060193")</f>
        <v>#NAME?</v>
      </c>
      <c r="Q640" s="4" t="e">
        <f ca="1">[1]!BexGetData("DP_1","00O2TNJGODT0G5Z4TTKYMM5MT","GSON1112060193")</f>
        <v>#NAME?</v>
      </c>
      <c r="R640" s="4" t="e">
        <f ca="1">[1]!BexGetData("DP_1","00O2TNJGODT0G5Z4TTKYMMBYD","GSON1112060193")</f>
        <v>#NAME?</v>
      </c>
      <c r="S640" s="4" t="e">
        <f ca="1">[1]!BexGetData("DP_1","00O2TNJGODT0G5Z4TTKYMMI9X","GSON1112060193")</f>
        <v>#NAME?</v>
      </c>
      <c r="T640" s="4" t="e">
        <f ca="1">[1]!BexGetData("DP_1","00O2TNJGODT0G5Z4TTKYMMOLH","GSON1112060193")</f>
        <v>#NAME?</v>
      </c>
      <c r="U640" s="4" t="e">
        <f ca="1">[1]!BexGetData("DP_1","00O2TNJGODT0G5Z4TTKYMMUX1","GSON1112060193")</f>
        <v>#NAME?</v>
      </c>
      <c r="V640" s="4" t="e">
        <f ca="1">[1]!BexGetData("DP_1","00O2TNJGODT0G5Z4TTKYMN18L","GSON1112060193")</f>
        <v>#NAME?</v>
      </c>
      <c r="W640" s="4" t="e">
        <f ca="1">[1]!BexGetData("DP_1","00O2TNJGODT0G5Z4TTKYMN7K5","GSON1112060193")</f>
        <v>#NAME?</v>
      </c>
    </row>
    <row r="641" spans="1:23" x14ac:dyDescent="0.2">
      <c r="A641" s="16" t="s">
        <v>2642</v>
      </c>
      <c r="B641" s="7" t="s">
        <v>2643</v>
      </c>
      <c r="C641" s="3" t="e">
        <f ca="1">[1]!BexGetData("DP_1","003N8EMH8GTFRCSWKMPXRR8GU","GSON1112060194")</f>
        <v>#NAME?</v>
      </c>
      <c r="D641" s="3" t="e">
        <f ca="1">[1]!BexGetData("DP_1","003N8EMH8GTFRCSWKMPXRRESE","GSON1112060194")</f>
        <v>#NAME?</v>
      </c>
      <c r="E641" s="8" t="e">
        <f ca="1">[1]!BexGetData("DP_1","003N8EMH8GTFRCSWKMPXRRL3Y","GSON1112060194")</f>
        <v>#NAME?</v>
      </c>
      <c r="F641" s="4" t="e">
        <f ca="1">[1]!BexGetData("DP_1","003N8EMH8GTFRCSWKMPXRRRFI","GSON1112060194")</f>
        <v>#NAME?</v>
      </c>
      <c r="G641" s="4" t="e">
        <f ca="1">[1]!BexGetData("DP_1","003N8EMH8GTFRCSWKMPXRRXR2","GSON1112060194")</f>
        <v>#NAME?</v>
      </c>
      <c r="H641" s="4" t="e">
        <f ca="1">[1]!BexGetData("DP_1","003N8EMH8GTFRCSWKMPXRS42M","GSON1112060194")</f>
        <v>#NAME?</v>
      </c>
      <c r="I641" s="4" t="e">
        <f ca="1">[1]!BexGetData("DP_1","003N8EMH8GTFRCSWKMPXRSAE6","GSON1112060194")</f>
        <v>#NAME?</v>
      </c>
      <c r="J641" s="4" t="e">
        <f ca="1">[1]!BexGetData("DP_1","003N8EMH8GTFRCSWKMPXRSGPQ","GSON1112060194")</f>
        <v>#NAME?</v>
      </c>
      <c r="K641" s="8" t="e">
        <f ca="1">[1]!BexGetData("DP_1","003N8EMH8GTFRIVNUPY288VJH","GSON1112060194")</f>
        <v>#NAME?</v>
      </c>
      <c r="L641" s="8" t="e">
        <f ca="1">[1]!BexGetData("DP_1","003N8EMH8GTFRIVNUPY2891V1","GSON1112060194")</f>
        <v>#NAME?</v>
      </c>
      <c r="M641" s="8" t="e">
        <f ca="1">[1]!BexGetData("DP_1","003N8EMH8GTFRIVOG7KG9IQXA","GSON1112060194")</f>
        <v>#NAME?</v>
      </c>
      <c r="N641" s="8" t="e">
        <f ca="1">[1]!BexGetData("DP_1","003N8EMH8GTFRIVOG7KG9IX8U","GSON1112060194")</f>
        <v>#NAME?</v>
      </c>
      <c r="O641" s="8" t="e">
        <f ca="1">[1]!BexGetData("DP_1","003N8EMH8GTFRIVOG7KG9J3KE","GSON1112060194")</f>
        <v>#NAME?</v>
      </c>
      <c r="P641" s="8" t="e">
        <f ca="1">[1]!BexGetData("DP_1","003N8EMH8GTFRIVOG7KG9J9VY","GSON1112060194")</f>
        <v>#NAME?</v>
      </c>
      <c r="Q641" s="4" t="e">
        <f ca="1">[1]!BexGetData("DP_1","00O2TNJGODT0G5Z4TTKYMM5MT","GSON1112060194")</f>
        <v>#NAME?</v>
      </c>
      <c r="R641" s="4" t="e">
        <f ca="1">[1]!BexGetData("DP_1","00O2TNJGODT0G5Z4TTKYMMBYD","GSON1112060194")</f>
        <v>#NAME?</v>
      </c>
      <c r="S641" s="4" t="e">
        <f ca="1">[1]!BexGetData("DP_1","00O2TNJGODT0G5Z4TTKYMMI9X","GSON1112060194")</f>
        <v>#NAME?</v>
      </c>
      <c r="T641" s="4" t="e">
        <f ca="1">[1]!BexGetData("DP_1","00O2TNJGODT0G5Z4TTKYMMOLH","GSON1112060194")</f>
        <v>#NAME?</v>
      </c>
      <c r="U641" s="4" t="e">
        <f ca="1">[1]!BexGetData("DP_1","00O2TNJGODT0G5Z4TTKYMMUX1","GSON1112060194")</f>
        <v>#NAME?</v>
      </c>
      <c r="V641" s="4" t="e">
        <f ca="1">[1]!BexGetData("DP_1","00O2TNJGODT0G5Z4TTKYMN18L","GSON1112060194")</f>
        <v>#NAME?</v>
      </c>
      <c r="W641" s="4" t="e">
        <f ca="1">[1]!BexGetData("DP_1","00O2TNJGODT0G5Z4TTKYMN7K5","GSON1112060194")</f>
        <v>#NAME?</v>
      </c>
    </row>
    <row r="642" spans="1:23" x14ac:dyDescent="0.2">
      <c r="A642" s="16" t="s">
        <v>2644</v>
      </c>
      <c r="B642" s="7" t="s">
        <v>2645</v>
      </c>
      <c r="C642" s="3" t="e">
        <f ca="1">[1]!BexGetData("DP_1","003N8EMH8GTFRCSWKMPXRR8GU","GSON1112060195")</f>
        <v>#NAME?</v>
      </c>
      <c r="D642" s="3" t="e">
        <f ca="1">[1]!BexGetData("DP_1","003N8EMH8GTFRCSWKMPXRRESE","GSON1112060195")</f>
        <v>#NAME?</v>
      </c>
      <c r="E642" s="8" t="e">
        <f ca="1">[1]!BexGetData("DP_1","003N8EMH8GTFRCSWKMPXRRL3Y","GSON1112060195")</f>
        <v>#NAME?</v>
      </c>
      <c r="F642" s="4" t="e">
        <f ca="1">[1]!BexGetData("DP_1","003N8EMH8GTFRCSWKMPXRRRFI","GSON1112060195")</f>
        <v>#NAME?</v>
      </c>
      <c r="G642" s="4" t="e">
        <f ca="1">[1]!BexGetData("DP_1","003N8EMH8GTFRCSWKMPXRRXR2","GSON1112060195")</f>
        <v>#NAME?</v>
      </c>
      <c r="H642" s="4" t="e">
        <f ca="1">[1]!BexGetData("DP_1","003N8EMH8GTFRCSWKMPXRS42M","GSON1112060195")</f>
        <v>#NAME?</v>
      </c>
      <c r="I642" s="4" t="e">
        <f ca="1">[1]!BexGetData("DP_1","003N8EMH8GTFRCSWKMPXRSAE6","GSON1112060195")</f>
        <v>#NAME?</v>
      </c>
      <c r="J642" s="4" t="e">
        <f ca="1">[1]!BexGetData("DP_1","003N8EMH8GTFRCSWKMPXRSGPQ","GSON1112060195")</f>
        <v>#NAME?</v>
      </c>
      <c r="K642" s="8" t="e">
        <f ca="1">[1]!BexGetData("DP_1","003N8EMH8GTFRIVNUPY288VJH","GSON1112060195")</f>
        <v>#NAME?</v>
      </c>
      <c r="L642" s="8" t="e">
        <f ca="1">[1]!BexGetData("DP_1","003N8EMH8GTFRIVNUPY2891V1","GSON1112060195")</f>
        <v>#NAME?</v>
      </c>
      <c r="M642" s="8" t="e">
        <f ca="1">[1]!BexGetData("DP_1","003N8EMH8GTFRIVOG7KG9IQXA","GSON1112060195")</f>
        <v>#NAME?</v>
      </c>
      <c r="N642" s="8" t="e">
        <f ca="1">[1]!BexGetData("DP_1","003N8EMH8GTFRIVOG7KG9IX8U","GSON1112060195")</f>
        <v>#NAME?</v>
      </c>
      <c r="O642" s="8" t="e">
        <f ca="1">[1]!BexGetData("DP_1","003N8EMH8GTFRIVOG7KG9J3KE","GSON1112060195")</f>
        <v>#NAME?</v>
      </c>
      <c r="P642" s="8" t="e">
        <f ca="1">[1]!BexGetData("DP_1","003N8EMH8GTFRIVOG7KG9J9VY","GSON1112060195")</f>
        <v>#NAME?</v>
      </c>
      <c r="Q642" s="4" t="e">
        <f ca="1">[1]!BexGetData("DP_1","00O2TNJGODT0G5Z4TTKYMM5MT","GSON1112060195")</f>
        <v>#NAME?</v>
      </c>
      <c r="R642" s="4" t="e">
        <f ca="1">[1]!BexGetData("DP_1","00O2TNJGODT0G5Z4TTKYMMBYD","GSON1112060195")</f>
        <v>#NAME?</v>
      </c>
      <c r="S642" s="4" t="e">
        <f ca="1">[1]!BexGetData("DP_1","00O2TNJGODT0G5Z4TTKYMMI9X","GSON1112060195")</f>
        <v>#NAME?</v>
      </c>
      <c r="T642" s="4" t="e">
        <f ca="1">[1]!BexGetData("DP_1","00O2TNJGODT0G5Z4TTKYMMOLH","GSON1112060195")</f>
        <v>#NAME?</v>
      </c>
      <c r="U642" s="4" t="e">
        <f ca="1">[1]!BexGetData("DP_1","00O2TNJGODT0G5Z4TTKYMMUX1","GSON1112060195")</f>
        <v>#NAME?</v>
      </c>
      <c r="V642" s="4" t="e">
        <f ca="1">[1]!BexGetData("DP_1","00O2TNJGODT0G5Z4TTKYMN18L","GSON1112060195")</f>
        <v>#NAME?</v>
      </c>
      <c r="W642" s="4" t="e">
        <f ca="1">[1]!BexGetData("DP_1","00O2TNJGODT0G5Z4TTKYMN7K5","GSON1112060195")</f>
        <v>#NAME?</v>
      </c>
    </row>
    <row r="643" spans="1:23" x14ac:dyDescent="0.2">
      <c r="A643" s="16" t="s">
        <v>2646</v>
      </c>
      <c r="B643" s="7" t="s">
        <v>2647</v>
      </c>
      <c r="C643" s="3" t="e">
        <f ca="1">[1]!BexGetData("DP_1","003N8EMH8GTFRCSWKMPXRR8GU","GSON1112060200")</f>
        <v>#NAME?</v>
      </c>
      <c r="D643" s="3" t="e">
        <f ca="1">[1]!BexGetData("DP_1","003N8EMH8GTFRCSWKMPXRRESE","GSON1112060200")</f>
        <v>#NAME?</v>
      </c>
      <c r="E643" s="3" t="e">
        <f ca="1">[1]!BexGetData("DP_1","003N8EMH8GTFRCSWKMPXRRL3Y","GSON1112060200")</f>
        <v>#NAME?</v>
      </c>
      <c r="F643" s="3" t="e">
        <f ca="1">[1]!BexGetData("DP_1","003N8EMH8GTFRCSWKMPXRRRFI","GSON1112060200")</f>
        <v>#NAME?</v>
      </c>
      <c r="G643" s="3" t="e">
        <f ca="1">[1]!BexGetData("DP_1","003N8EMH8GTFRCSWKMPXRRXR2","GSON1112060200")</f>
        <v>#NAME?</v>
      </c>
      <c r="H643" s="8" t="e">
        <f ca="1">[1]!BexGetData("DP_1","003N8EMH8GTFRCSWKMPXRS42M","GSON1112060200")</f>
        <v>#NAME?</v>
      </c>
      <c r="I643" s="3" t="e">
        <f ca="1">[1]!BexGetData("DP_1","003N8EMH8GTFRCSWKMPXRSAE6","GSON1112060200")</f>
        <v>#NAME?</v>
      </c>
      <c r="J643" s="4" t="e">
        <f ca="1">[1]!BexGetData("DP_1","003N8EMH8GTFRCSWKMPXRSGPQ","GSON1112060200")</f>
        <v>#NAME?</v>
      </c>
      <c r="K643" s="3" t="e">
        <f ca="1">[1]!BexGetData("DP_1","003N8EMH8GTFRIVNUPY288VJH","GSON1112060200")</f>
        <v>#NAME?</v>
      </c>
      <c r="L643" s="3" t="e">
        <f ca="1">[1]!BexGetData("DP_1","003N8EMH8GTFRIVNUPY2891V1","GSON1112060200")</f>
        <v>#NAME?</v>
      </c>
      <c r="M643" s="8" t="e">
        <f ca="1">[1]!BexGetData("DP_1","003N8EMH8GTFRIVOG7KG9IQXA","GSON1112060200")</f>
        <v>#NAME?</v>
      </c>
      <c r="N643" s="3" t="e">
        <f ca="1">[1]!BexGetData("DP_1","003N8EMH8GTFRIVOG7KG9IX8U","GSON1112060200")</f>
        <v>#NAME?</v>
      </c>
      <c r="O643" s="8" t="e">
        <f ca="1">[1]!BexGetData("DP_1","003N8EMH8GTFRIVOG7KG9J3KE","GSON1112060200")</f>
        <v>#NAME?</v>
      </c>
      <c r="P643" s="3" t="e">
        <f ca="1">[1]!BexGetData("DP_1","003N8EMH8GTFRIVOG7KG9J9VY","GSON1112060200")</f>
        <v>#NAME?</v>
      </c>
      <c r="Q643" s="4" t="e">
        <f ca="1">[1]!BexGetData("DP_1","00O2TNJGODT0G5Z4TTKYMM5MT","GSON1112060200")</f>
        <v>#NAME?</v>
      </c>
      <c r="R643" s="3" t="e">
        <f ca="1">[1]!BexGetData("DP_1","00O2TNJGODT0G5Z4TTKYMMBYD","GSON1112060200")</f>
        <v>#NAME?</v>
      </c>
      <c r="S643" s="3" t="e">
        <f ca="1">[1]!BexGetData("DP_1","00O2TNJGODT0G5Z4TTKYMMI9X","GSON1112060200")</f>
        <v>#NAME?</v>
      </c>
      <c r="T643" s="8" t="e">
        <f ca="1">[1]!BexGetData("DP_1","00O2TNJGODT0G5Z4TTKYMMOLH","GSON1112060200")</f>
        <v>#NAME?</v>
      </c>
      <c r="U643" s="3" t="e">
        <f ca="1">[1]!BexGetData("DP_1","00O2TNJGODT0G5Z4TTKYMMUX1","GSON1112060200")</f>
        <v>#NAME?</v>
      </c>
      <c r="V643" s="8" t="e">
        <f ca="1">[1]!BexGetData("DP_1","00O2TNJGODT0G5Z4TTKYMN18L","GSON1112060200")</f>
        <v>#NAME?</v>
      </c>
      <c r="W643" s="3" t="e">
        <f ca="1">[1]!BexGetData("DP_1","00O2TNJGODT0G5Z4TTKYMN7K5","GSON1112060200")</f>
        <v>#NAME?</v>
      </c>
    </row>
    <row r="644" spans="1:23" x14ac:dyDescent="0.2">
      <c r="A644" s="16" t="s">
        <v>2648</v>
      </c>
      <c r="B644" s="7" t="s">
        <v>2649</v>
      </c>
      <c r="C644" s="3" t="e">
        <f ca="1">[1]!BexGetData("DP_1","003N8EMH8GTFRCSWKMPXRR8GU","GSON1112060201")</f>
        <v>#NAME?</v>
      </c>
      <c r="D644" s="3" t="e">
        <f ca="1">[1]!BexGetData("DP_1","003N8EMH8GTFRCSWKMPXRRESE","GSON1112060201")</f>
        <v>#NAME?</v>
      </c>
      <c r="E644" s="8" t="e">
        <f ca="1">[1]!BexGetData("DP_1","003N8EMH8GTFRCSWKMPXRRL3Y","GSON1112060201")</f>
        <v>#NAME?</v>
      </c>
      <c r="F644" s="4" t="e">
        <f ca="1">[1]!BexGetData("DP_1","003N8EMH8GTFRCSWKMPXRRRFI","GSON1112060201")</f>
        <v>#NAME?</v>
      </c>
      <c r="G644" s="4" t="e">
        <f ca="1">[1]!BexGetData("DP_1","003N8EMH8GTFRCSWKMPXRRXR2","GSON1112060201")</f>
        <v>#NAME?</v>
      </c>
      <c r="H644" s="4" t="e">
        <f ca="1">[1]!BexGetData("DP_1","003N8EMH8GTFRCSWKMPXRS42M","GSON1112060201")</f>
        <v>#NAME?</v>
      </c>
      <c r="I644" s="4" t="e">
        <f ca="1">[1]!BexGetData("DP_1","003N8EMH8GTFRCSWKMPXRSAE6","GSON1112060201")</f>
        <v>#NAME?</v>
      </c>
      <c r="J644" s="4" t="e">
        <f ca="1">[1]!BexGetData("DP_1","003N8EMH8GTFRCSWKMPXRSGPQ","GSON1112060201")</f>
        <v>#NAME?</v>
      </c>
      <c r="K644" s="8" t="e">
        <f ca="1">[1]!BexGetData("DP_1","003N8EMH8GTFRIVNUPY288VJH","GSON1112060201")</f>
        <v>#NAME?</v>
      </c>
      <c r="L644" s="8" t="e">
        <f ca="1">[1]!BexGetData("DP_1","003N8EMH8GTFRIVNUPY2891V1","GSON1112060201")</f>
        <v>#NAME?</v>
      </c>
      <c r="M644" s="8" t="e">
        <f ca="1">[1]!BexGetData("DP_1","003N8EMH8GTFRIVOG7KG9IQXA","GSON1112060201")</f>
        <v>#NAME?</v>
      </c>
      <c r="N644" s="8" t="e">
        <f ca="1">[1]!BexGetData("DP_1","003N8EMH8GTFRIVOG7KG9IX8U","GSON1112060201")</f>
        <v>#NAME?</v>
      </c>
      <c r="O644" s="8" t="e">
        <f ca="1">[1]!BexGetData("DP_1","003N8EMH8GTFRIVOG7KG9J3KE","GSON1112060201")</f>
        <v>#NAME?</v>
      </c>
      <c r="P644" s="8" t="e">
        <f ca="1">[1]!BexGetData("DP_1","003N8EMH8GTFRIVOG7KG9J9VY","GSON1112060201")</f>
        <v>#NAME?</v>
      </c>
      <c r="Q644" s="4" t="e">
        <f ca="1">[1]!BexGetData("DP_1","00O2TNJGODT0G5Z4TTKYMM5MT","GSON1112060201")</f>
        <v>#NAME?</v>
      </c>
      <c r="R644" s="4" t="e">
        <f ca="1">[1]!BexGetData("DP_1","00O2TNJGODT0G5Z4TTKYMMBYD","GSON1112060201")</f>
        <v>#NAME?</v>
      </c>
      <c r="S644" s="4" t="e">
        <f ca="1">[1]!BexGetData("DP_1","00O2TNJGODT0G5Z4TTKYMMI9X","GSON1112060201")</f>
        <v>#NAME?</v>
      </c>
      <c r="T644" s="4" t="e">
        <f ca="1">[1]!BexGetData("DP_1","00O2TNJGODT0G5Z4TTKYMMOLH","GSON1112060201")</f>
        <v>#NAME?</v>
      </c>
      <c r="U644" s="4" t="e">
        <f ca="1">[1]!BexGetData("DP_1","00O2TNJGODT0G5Z4TTKYMMUX1","GSON1112060201")</f>
        <v>#NAME?</v>
      </c>
      <c r="V644" s="4" t="e">
        <f ca="1">[1]!BexGetData("DP_1","00O2TNJGODT0G5Z4TTKYMN18L","GSON1112060201")</f>
        <v>#NAME?</v>
      </c>
      <c r="W644" s="4" t="e">
        <f ca="1">[1]!BexGetData("DP_1","00O2TNJGODT0G5Z4TTKYMN7K5","GSON1112060201")</f>
        <v>#NAME?</v>
      </c>
    </row>
    <row r="645" spans="1:23" x14ac:dyDescent="0.2">
      <c r="A645" s="16" t="s">
        <v>961</v>
      </c>
      <c r="B645" s="7" t="s">
        <v>962</v>
      </c>
      <c r="C645" s="3" t="e">
        <f ca="1">[1]!BexGetData("DP_1","003N8EMH8GTFRCSWKMPXRR8GU","GSON1112060203")</f>
        <v>#NAME?</v>
      </c>
      <c r="D645" s="3" t="e">
        <f ca="1">[1]!BexGetData("DP_1","003N8EMH8GTFRCSWKMPXRRESE","GSON1112060203")</f>
        <v>#NAME?</v>
      </c>
      <c r="E645" s="8" t="e">
        <f ca="1">[1]!BexGetData("DP_1","003N8EMH8GTFRCSWKMPXRRL3Y","GSON1112060203")</f>
        <v>#NAME?</v>
      </c>
      <c r="F645" s="4" t="e">
        <f ca="1">[1]!BexGetData("DP_1","003N8EMH8GTFRCSWKMPXRRRFI","GSON1112060203")</f>
        <v>#NAME?</v>
      </c>
      <c r="G645" s="4" t="e">
        <f ca="1">[1]!BexGetData("DP_1","003N8EMH8GTFRCSWKMPXRRXR2","GSON1112060203")</f>
        <v>#NAME?</v>
      </c>
      <c r="H645" s="4" t="e">
        <f ca="1">[1]!BexGetData("DP_1","003N8EMH8GTFRCSWKMPXRS42M","GSON1112060203")</f>
        <v>#NAME?</v>
      </c>
      <c r="I645" s="4" t="e">
        <f ca="1">[1]!BexGetData("DP_1","003N8EMH8GTFRCSWKMPXRSAE6","GSON1112060203")</f>
        <v>#NAME?</v>
      </c>
      <c r="J645" s="4" t="e">
        <f ca="1">[1]!BexGetData("DP_1","003N8EMH8GTFRCSWKMPXRSGPQ","GSON1112060203")</f>
        <v>#NAME?</v>
      </c>
      <c r="K645" s="8" t="e">
        <f ca="1">[1]!BexGetData("DP_1","003N8EMH8GTFRIVNUPY288VJH","GSON1112060203")</f>
        <v>#NAME?</v>
      </c>
      <c r="L645" s="8" t="e">
        <f ca="1">[1]!BexGetData("DP_1","003N8EMH8GTFRIVNUPY2891V1","GSON1112060203")</f>
        <v>#NAME?</v>
      </c>
      <c r="M645" s="8" t="e">
        <f ca="1">[1]!BexGetData("DP_1","003N8EMH8GTFRIVOG7KG9IQXA","GSON1112060203")</f>
        <v>#NAME?</v>
      </c>
      <c r="N645" s="8" t="e">
        <f ca="1">[1]!BexGetData("DP_1","003N8EMH8GTFRIVOG7KG9IX8U","GSON1112060203")</f>
        <v>#NAME?</v>
      </c>
      <c r="O645" s="8" t="e">
        <f ca="1">[1]!BexGetData("DP_1","003N8EMH8GTFRIVOG7KG9J3KE","GSON1112060203")</f>
        <v>#NAME?</v>
      </c>
      <c r="P645" s="8" t="e">
        <f ca="1">[1]!BexGetData("DP_1","003N8EMH8GTFRIVOG7KG9J9VY","GSON1112060203")</f>
        <v>#NAME?</v>
      </c>
      <c r="Q645" s="4" t="e">
        <f ca="1">[1]!BexGetData("DP_1","00O2TNJGODT0G5Z4TTKYMM5MT","GSON1112060203")</f>
        <v>#NAME?</v>
      </c>
      <c r="R645" s="4" t="e">
        <f ca="1">[1]!BexGetData("DP_1","00O2TNJGODT0G5Z4TTKYMMBYD","GSON1112060203")</f>
        <v>#NAME?</v>
      </c>
      <c r="S645" s="4" t="e">
        <f ca="1">[1]!BexGetData("DP_1","00O2TNJGODT0G5Z4TTKYMMI9X","GSON1112060203")</f>
        <v>#NAME?</v>
      </c>
      <c r="T645" s="4" t="e">
        <f ca="1">[1]!BexGetData("DP_1","00O2TNJGODT0G5Z4TTKYMMOLH","GSON1112060203")</f>
        <v>#NAME?</v>
      </c>
      <c r="U645" s="4" t="e">
        <f ca="1">[1]!BexGetData("DP_1","00O2TNJGODT0G5Z4TTKYMMUX1","GSON1112060203")</f>
        <v>#NAME?</v>
      </c>
      <c r="V645" s="4" t="e">
        <f ca="1">[1]!BexGetData("DP_1","00O2TNJGODT0G5Z4TTKYMN18L","GSON1112060203")</f>
        <v>#NAME?</v>
      </c>
      <c r="W645" s="4" t="e">
        <f ca="1">[1]!BexGetData("DP_1","00O2TNJGODT0G5Z4TTKYMN7K5","GSON1112060203")</f>
        <v>#NAME?</v>
      </c>
    </row>
    <row r="646" spans="1:23" x14ac:dyDescent="0.2">
      <c r="A646" s="16" t="s">
        <v>2650</v>
      </c>
      <c r="B646" s="7" t="s">
        <v>2651</v>
      </c>
      <c r="C646" s="3" t="e">
        <f ca="1">[1]!BexGetData("DP_1","003N8EMH8GTFRCSWKMPXRR8GU","GSON1112060204")</f>
        <v>#NAME?</v>
      </c>
      <c r="D646" s="3" t="e">
        <f ca="1">[1]!BexGetData("DP_1","003N8EMH8GTFRCSWKMPXRRESE","GSON1112060204")</f>
        <v>#NAME?</v>
      </c>
      <c r="E646" s="8" t="e">
        <f ca="1">[1]!BexGetData("DP_1","003N8EMH8GTFRCSWKMPXRRL3Y","GSON1112060204")</f>
        <v>#NAME?</v>
      </c>
      <c r="F646" s="4" t="e">
        <f ca="1">[1]!BexGetData("DP_1","003N8EMH8GTFRCSWKMPXRRRFI","GSON1112060204")</f>
        <v>#NAME?</v>
      </c>
      <c r="G646" s="4" t="e">
        <f ca="1">[1]!BexGetData("DP_1","003N8EMH8GTFRCSWKMPXRRXR2","GSON1112060204")</f>
        <v>#NAME?</v>
      </c>
      <c r="H646" s="4" t="e">
        <f ca="1">[1]!BexGetData("DP_1","003N8EMH8GTFRCSWKMPXRS42M","GSON1112060204")</f>
        <v>#NAME?</v>
      </c>
      <c r="I646" s="4" t="e">
        <f ca="1">[1]!BexGetData("DP_1","003N8EMH8GTFRCSWKMPXRSAE6","GSON1112060204")</f>
        <v>#NAME?</v>
      </c>
      <c r="J646" s="4" t="e">
        <f ca="1">[1]!BexGetData("DP_1","003N8EMH8GTFRCSWKMPXRSGPQ","GSON1112060204")</f>
        <v>#NAME?</v>
      </c>
      <c r="K646" s="8" t="e">
        <f ca="1">[1]!BexGetData("DP_1","003N8EMH8GTFRIVNUPY288VJH","GSON1112060204")</f>
        <v>#NAME?</v>
      </c>
      <c r="L646" s="8" t="e">
        <f ca="1">[1]!BexGetData("DP_1","003N8EMH8GTFRIVNUPY2891V1","GSON1112060204")</f>
        <v>#NAME?</v>
      </c>
      <c r="M646" s="8" t="e">
        <f ca="1">[1]!BexGetData("DP_1","003N8EMH8GTFRIVOG7KG9IQXA","GSON1112060204")</f>
        <v>#NAME?</v>
      </c>
      <c r="N646" s="8" t="e">
        <f ca="1">[1]!BexGetData("DP_1","003N8EMH8GTFRIVOG7KG9IX8U","GSON1112060204")</f>
        <v>#NAME?</v>
      </c>
      <c r="O646" s="8" t="e">
        <f ca="1">[1]!BexGetData("DP_1","003N8EMH8GTFRIVOG7KG9J3KE","GSON1112060204")</f>
        <v>#NAME?</v>
      </c>
      <c r="P646" s="8" t="e">
        <f ca="1">[1]!BexGetData("DP_1","003N8EMH8GTFRIVOG7KG9J9VY","GSON1112060204")</f>
        <v>#NAME?</v>
      </c>
      <c r="Q646" s="4" t="e">
        <f ca="1">[1]!BexGetData("DP_1","00O2TNJGODT0G5Z4TTKYMM5MT","GSON1112060204")</f>
        <v>#NAME?</v>
      </c>
      <c r="R646" s="4" t="e">
        <f ca="1">[1]!BexGetData("DP_1","00O2TNJGODT0G5Z4TTKYMMBYD","GSON1112060204")</f>
        <v>#NAME?</v>
      </c>
      <c r="S646" s="4" t="e">
        <f ca="1">[1]!BexGetData("DP_1","00O2TNJGODT0G5Z4TTKYMMI9X","GSON1112060204")</f>
        <v>#NAME?</v>
      </c>
      <c r="T646" s="4" t="e">
        <f ca="1">[1]!BexGetData("DP_1","00O2TNJGODT0G5Z4TTKYMMOLH","GSON1112060204")</f>
        <v>#NAME?</v>
      </c>
      <c r="U646" s="4" t="e">
        <f ca="1">[1]!BexGetData("DP_1","00O2TNJGODT0G5Z4TTKYMMUX1","GSON1112060204")</f>
        <v>#NAME?</v>
      </c>
      <c r="V646" s="4" t="e">
        <f ca="1">[1]!BexGetData("DP_1","00O2TNJGODT0G5Z4TTKYMN18L","GSON1112060204")</f>
        <v>#NAME?</v>
      </c>
      <c r="W646" s="4" t="e">
        <f ca="1">[1]!BexGetData("DP_1","00O2TNJGODT0G5Z4TTKYMN7K5","GSON1112060204")</f>
        <v>#NAME?</v>
      </c>
    </row>
    <row r="647" spans="1:23" x14ac:dyDescent="0.2">
      <c r="A647" s="16" t="s">
        <v>2652</v>
      </c>
      <c r="B647" s="7" t="s">
        <v>2653</v>
      </c>
      <c r="C647" s="3" t="e">
        <f ca="1">[1]!BexGetData("DP_1","003N8EMH8GTFRCSWKMPXRR8GU","GSON1112060205")</f>
        <v>#NAME?</v>
      </c>
      <c r="D647" s="3" t="e">
        <f ca="1">[1]!BexGetData("DP_1","003N8EMH8GTFRCSWKMPXRRESE","GSON1112060205")</f>
        <v>#NAME?</v>
      </c>
      <c r="E647" s="8" t="e">
        <f ca="1">[1]!BexGetData("DP_1","003N8EMH8GTFRCSWKMPXRRL3Y","GSON1112060205")</f>
        <v>#NAME?</v>
      </c>
      <c r="F647" s="4" t="e">
        <f ca="1">[1]!BexGetData("DP_1","003N8EMH8GTFRCSWKMPXRRRFI","GSON1112060205")</f>
        <v>#NAME?</v>
      </c>
      <c r="G647" s="4" t="e">
        <f ca="1">[1]!BexGetData("DP_1","003N8EMH8GTFRCSWKMPXRRXR2","GSON1112060205")</f>
        <v>#NAME?</v>
      </c>
      <c r="H647" s="4" t="e">
        <f ca="1">[1]!BexGetData("DP_1","003N8EMH8GTFRCSWKMPXRS42M","GSON1112060205")</f>
        <v>#NAME?</v>
      </c>
      <c r="I647" s="4" t="e">
        <f ca="1">[1]!BexGetData("DP_1","003N8EMH8GTFRCSWKMPXRSAE6","GSON1112060205")</f>
        <v>#NAME?</v>
      </c>
      <c r="J647" s="4" t="e">
        <f ca="1">[1]!BexGetData("DP_1","003N8EMH8GTFRCSWKMPXRSGPQ","GSON1112060205")</f>
        <v>#NAME?</v>
      </c>
      <c r="K647" s="8" t="e">
        <f ca="1">[1]!BexGetData("DP_1","003N8EMH8GTFRIVNUPY288VJH","GSON1112060205")</f>
        <v>#NAME?</v>
      </c>
      <c r="L647" s="8" t="e">
        <f ca="1">[1]!BexGetData("DP_1","003N8EMH8GTFRIVNUPY2891V1","GSON1112060205")</f>
        <v>#NAME?</v>
      </c>
      <c r="M647" s="8" t="e">
        <f ca="1">[1]!BexGetData("DP_1","003N8EMH8GTFRIVOG7KG9IQXA","GSON1112060205")</f>
        <v>#NAME?</v>
      </c>
      <c r="N647" s="8" t="e">
        <f ca="1">[1]!BexGetData("DP_1","003N8EMH8GTFRIVOG7KG9IX8U","GSON1112060205")</f>
        <v>#NAME?</v>
      </c>
      <c r="O647" s="8" t="e">
        <f ca="1">[1]!BexGetData("DP_1","003N8EMH8GTFRIVOG7KG9J3KE","GSON1112060205")</f>
        <v>#NAME?</v>
      </c>
      <c r="P647" s="8" t="e">
        <f ca="1">[1]!BexGetData("DP_1","003N8EMH8GTFRIVOG7KG9J9VY","GSON1112060205")</f>
        <v>#NAME?</v>
      </c>
      <c r="Q647" s="4" t="e">
        <f ca="1">[1]!BexGetData("DP_1","00O2TNJGODT0G5Z4TTKYMM5MT","GSON1112060205")</f>
        <v>#NAME?</v>
      </c>
      <c r="R647" s="4" t="e">
        <f ca="1">[1]!BexGetData("DP_1","00O2TNJGODT0G5Z4TTKYMMBYD","GSON1112060205")</f>
        <v>#NAME?</v>
      </c>
      <c r="S647" s="4" t="e">
        <f ca="1">[1]!BexGetData("DP_1","00O2TNJGODT0G5Z4TTKYMMI9X","GSON1112060205")</f>
        <v>#NAME?</v>
      </c>
      <c r="T647" s="4" t="e">
        <f ca="1">[1]!BexGetData("DP_1","00O2TNJGODT0G5Z4TTKYMMOLH","GSON1112060205")</f>
        <v>#NAME?</v>
      </c>
      <c r="U647" s="4" t="e">
        <f ca="1">[1]!BexGetData("DP_1","00O2TNJGODT0G5Z4TTKYMMUX1","GSON1112060205")</f>
        <v>#NAME?</v>
      </c>
      <c r="V647" s="4" t="e">
        <f ca="1">[1]!BexGetData("DP_1","00O2TNJGODT0G5Z4TTKYMN18L","GSON1112060205")</f>
        <v>#NAME?</v>
      </c>
      <c r="W647" s="4" t="e">
        <f ca="1">[1]!BexGetData("DP_1","00O2TNJGODT0G5Z4TTKYMN7K5","GSON1112060205")</f>
        <v>#NAME?</v>
      </c>
    </row>
    <row r="648" spans="1:23" x14ac:dyDescent="0.2">
      <c r="A648" s="16" t="s">
        <v>2654</v>
      </c>
      <c r="B648" s="7" t="s">
        <v>2655</v>
      </c>
      <c r="C648" s="3" t="e">
        <f ca="1">[1]!BexGetData("DP_1","003N8EMH8GTFRCSWKMPXRR8GU","GSON1112060210")</f>
        <v>#NAME?</v>
      </c>
      <c r="D648" s="3" t="e">
        <f ca="1">[1]!BexGetData("DP_1","003N8EMH8GTFRCSWKMPXRRESE","GSON1112060210")</f>
        <v>#NAME?</v>
      </c>
      <c r="E648" s="3" t="e">
        <f ca="1">[1]!BexGetData("DP_1","003N8EMH8GTFRCSWKMPXRRL3Y","GSON1112060210")</f>
        <v>#NAME?</v>
      </c>
      <c r="F648" s="3" t="e">
        <f ca="1">[1]!BexGetData("DP_1","003N8EMH8GTFRCSWKMPXRRRFI","GSON1112060210")</f>
        <v>#NAME?</v>
      </c>
      <c r="G648" s="3" t="e">
        <f ca="1">[1]!BexGetData("DP_1","003N8EMH8GTFRCSWKMPXRRXR2","GSON1112060210")</f>
        <v>#NAME?</v>
      </c>
      <c r="H648" s="8" t="e">
        <f ca="1">[1]!BexGetData("DP_1","003N8EMH8GTFRCSWKMPXRS42M","GSON1112060210")</f>
        <v>#NAME?</v>
      </c>
      <c r="I648" s="3" t="e">
        <f ca="1">[1]!BexGetData("DP_1","003N8EMH8GTFRCSWKMPXRSAE6","GSON1112060210")</f>
        <v>#NAME?</v>
      </c>
      <c r="J648" s="4" t="e">
        <f ca="1">[1]!BexGetData("DP_1","003N8EMH8GTFRCSWKMPXRSGPQ","GSON1112060210")</f>
        <v>#NAME?</v>
      </c>
      <c r="K648" s="3" t="e">
        <f ca="1">[1]!BexGetData("DP_1","003N8EMH8GTFRIVNUPY288VJH","GSON1112060210")</f>
        <v>#NAME?</v>
      </c>
      <c r="L648" s="3" t="e">
        <f ca="1">[1]!BexGetData("DP_1","003N8EMH8GTFRIVNUPY2891V1","GSON1112060210")</f>
        <v>#NAME?</v>
      </c>
      <c r="M648" s="8" t="e">
        <f ca="1">[1]!BexGetData("DP_1","003N8EMH8GTFRIVOG7KG9IQXA","GSON1112060210")</f>
        <v>#NAME?</v>
      </c>
      <c r="N648" s="3" t="e">
        <f ca="1">[1]!BexGetData("DP_1","003N8EMH8GTFRIVOG7KG9IX8U","GSON1112060210")</f>
        <v>#NAME?</v>
      </c>
      <c r="O648" s="8" t="e">
        <f ca="1">[1]!BexGetData("DP_1","003N8EMH8GTFRIVOG7KG9J3KE","GSON1112060210")</f>
        <v>#NAME?</v>
      </c>
      <c r="P648" s="3" t="e">
        <f ca="1">[1]!BexGetData("DP_1","003N8EMH8GTFRIVOG7KG9J9VY","GSON1112060210")</f>
        <v>#NAME?</v>
      </c>
      <c r="Q648" s="4" t="e">
        <f ca="1">[1]!BexGetData("DP_1","00O2TNJGODT0G5Z4TTKYMM5MT","GSON1112060210")</f>
        <v>#NAME?</v>
      </c>
      <c r="R648" s="3" t="e">
        <f ca="1">[1]!BexGetData("DP_1","00O2TNJGODT0G5Z4TTKYMMBYD","GSON1112060210")</f>
        <v>#NAME?</v>
      </c>
      <c r="S648" s="3" t="e">
        <f ca="1">[1]!BexGetData("DP_1","00O2TNJGODT0G5Z4TTKYMMI9X","GSON1112060210")</f>
        <v>#NAME?</v>
      </c>
      <c r="T648" s="8" t="e">
        <f ca="1">[1]!BexGetData("DP_1","00O2TNJGODT0G5Z4TTKYMMOLH","GSON1112060210")</f>
        <v>#NAME?</v>
      </c>
      <c r="U648" s="3" t="e">
        <f ca="1">[1]!BexGetData("DP_1","00O2TNJGODT0G5Z4TTKYMMUX1","GSON1112060210")</f>
        <v>#NAME?</v>
      </c>
      <c r="V648" s="8" t="e">
        <f ca="1">[1]!BexGetData("DP_1","00O2TNJGODT0G5Z4TTKYMN18L","GSON1112060210")</f>
        <v>#NAME?</v>
      </c>
      <c r="W648" s="3" t="e">
        <f ca="1">[1]!BexGetData("DP_1","00O2TNJGODT0G5Z4TTKYMN7K5","GSON1112060210")</f>
        <v>#NAME?</v>
      </c>
    </row>
    <row r="649" spans="1:23" x14ac:dyDescent="0.2">
      <c r="A649" s="16" t="s">
        <v>2656</v>
      </c>
      <c r="B649" s="7" t="s">
        <v>2657</v>
      </c>
      <c r="C649" s="3" t="e">
        <f ca="1">[1]!BexGetData("DP_1","003N8EMH8GTFRCSWKMPXRR8GU","GSON1112060211")</f>
        <v>#NAME?</v>
      </c>
      <c r="D649" s="3" t="e">
        <f ca="1">[1]!BexGetData("DP_1","003N8EMH8GTFRCSWKMPXRRESE","GSON1112060211")</f>
        <v>#NAME?</v>
      </c>
      <c r="E649" s="8" t="e">
        <f ca="1">[1]!BexGetData("DP_1","003N8EMH8GTFRCSWKMPXRRL3Y","GSON1112060211")</f>
        <v>#NAME?</v>
      </c>
      <c r="F649" s="4" t="e">
        <f ca="1">[1]!BexGetData("DP_1","003N8EMH8GTFRCSWKMPXRRRFI","GSON1112060211")</f>
        <v>#NAME?</v>
      </c>
      <c r="G649" s="4" t="e">
        <f ca="1">[1]!BexGetData("DP_1","003N8EMH8GTFRCSWKMPXRRXR2","GSON1112060211")</f>
        <v>#NAME?</v>
      </c>
      <c r="H649" s="4" t="e">
        <f ca="1">[1]!BexGetData("DP_1","003N8EMH8GTFRCSWKMPXRS42M","GSON1112060211")</f>
        <v>#NAME?</v>
      </c>
      <c r="I649" s="4" t="e">
        <f ca="1">[1]!BexGetData("DP_1","003N8EMH8GTFRCSWKMPXRSAE6","GSON1112060211")</f>
        <v>#NAME?</v>
      </c>
      <c r="J649" s="4" t="e">
        <f ca="1">[1]!BexGetData("DP_1","003N8EMH8GTFRCSWKMPXRSGPQ","GSON1112060211")</f>
        <v>#NAME?</v>
      </c>
      <c r="K649" s="8" t="e">
        <f ca="1">[1]!BexGetData("DP_1","003N8EMH8GTFRIVNUPY288VJH","GSON1112060211")</f>
        <v>#NAME?</v>
      </c>
      <c r="L649" s="8" t="e">
        <f ca="1">[1]!BexGetData("DP_1","003N8EMH8GTFRIVNUPY2891V1","GSON1112060211")</f>
        <v>#NAME?</v>
      </c>
      <c r="M649" s="8" t="e">
        <f ca="1">[1]!BexGetData("DP_1","003N8EMH8GTFRIVOG7KG9IQXA","GSON1112060211")</f>
        <v>#NAME?</v>
      </c>
      <c r="N649" s="8" t="e">
        <f ca="1">[1]!BexGetData("DP_1","003N8EMH8GTFRIVOG7KG9IX8U","GSON1112060211")</f>
        <v>#NAME?</v>
      </c>
      <c r="O649" s="8" t="e">
        <f ca="1">[1]!BexGetData("DP_1","003N8EMH8GTFRIVOG7KG9J3KE","GSON1112060211")</f>
        <v>#NAME?</v>
      </c>
      <c r="P649" s="8" t="e">
        <f ca="1">[1]!BexGetData("DP_1","003N8EMH8GTFRIVOG7KG9J9VY","GSON1112060211")</f>
        <v>#NAME?</v>
      </c>
      <c r="Q649" s="4" t="e">
        <f ca="1">[1]!BexGetData("DP_1","00O2TNJGODT0G5Z4TTKYMM5MT","GSON1112060211")</f>
        <v>#NAME?</v>
      </c>
      <c r="R649" s="4" t="e">
        <f ca="1">[1]!BexGetData("DP_1","00O2TNJGODT0G5Z4TTKYMMBYD","GSON1112060211")</f>
        <v>#NAME?</v>
      </c>
      <c r="S649" s="4" t="e">
        <f ca="1">[1]!BexGetData("DP_1","00O2TNJGODT0G5Z4TTKYMMI9X","GSON1112060211")</f>
        <v>#NAME?</v>
      </c>
      <c r="T649" s="4" t="e">
        <f ca="1">[1]!BexGetData("DP_1","00O2TNJGODT0G5Z4TTKYMMOLH","GSON1112060211")</f>
        <v>#NAME?</v>
      </c>
      <c r="U649" s="4" t="e">
        <f ca="1">[1]!BexGetData("DP_1","00O2TNJGODT0G5Z4TTKYMMUX1","GSON1112060211")</f>
        <v>#NAME?</v>
      </c>
      <c r="V649" s="4" t="e">
        <f ca="1">[1]!BexGetData("DP_1","00O2TNJGODT0G5Z4TTKYMN18L","GSON1112060211")</f>
        <v>#NAME?</v>
      </c>
      <c r="W649" s="4" t="e">
        <f ca="1">[1]!BexGetData("DP_1","00O2TNJGODT0G5Z4TTKYMN7K5","GSON1112060211")</f>
        <v>#NAME?</v>
      </c>
    </row>
    <row r="650" spans="1:23" x14ac:dyDescent="0.2">
      <c r="A650" s="16" t="s">
        <v>2658</v>
      </c>
      <c r="B650" s="7" t="s">
        <v>2659</v>
      </c>
      <c r="C650" s="3" t="e">
        <f ca="1">[1]!BexGetData("DP_1","003N8EMH8GTFRCSWKMPXRR8GU","GSON1112060214")</f>
        <v>#NAME?</v>
      </c>
      <c r="D650" s="3" t="e">
        <f ca="1">[1]!BexGetData("DP_1","003N8EMH8GTFRCSWKMPXRRESE","GSON1112060214")</f>
        <v>#NAME?</v>
      </c>
      <c r="E650" s="8" t="e">
        <f ca="1">[1]!BexGetData("DP_1","003N8EMH8GTFRCSWKMPXRRL3Y","GSON1112060214")</f>
        <v>#NAME?</v>
      </c>
      <c r="F650" s="4" t="e">
        <f ca="1">[1]!BexGetData("DP_1","003N8EMH8GTFRCSWKMPXRRRFI","GSON1112060214")</f>
        <v>#NAME?</v>
      </c>
      <c r="G650" s="4" t="e">
        <f ca="1">[1]!BexGetData("DP_1","003N8EMH8GTFRCSWKMPXRRXR2","GSON1112060214")</f>
        <v>#NAME?</v>
      </c>
      <c r="H650" s="4" t="e">
        <f ca="1">[1]!BexGetData("DP_1","003N8EMH8GTFRCSWKMPXRS42M","GSON1112060214")</f>
        <v>#NAME?</v>
      </c>
      <c r="I650" s="4" t="e">
        <f ca="1">[1]!BexGetData("DP_1","003N8EMH8GTFRCSWKMPXRSAE6","GSON1112060214")</f>
        <v>#NAME?</v>
      </c>
      <c r="J650" s="4" t="e">
        <f ca="1">[1]!BexGetData("DP_1","003N8EMH8GTFRCSWKMPXRSGPQ","GSON1112060214")</f>
        <v>#NAME?</v>
      </c>
      <c r="K650" s="8" t="e">
        <f ca="1">[1]!BexGetData("DP_1","003N8EMH8GTFRIVNUPY288VJH","GSON1112060214")</f>
        <v>#NAME?</v>
      </c>
      <c r="L650" s="8" t="e">
        <f ca="1">[1]!BexGetData("DP_1","003N8EMH8GTFRIVNUPY2891V1","GSON1112060214")</f>
        <v>#NAME?</v>
      </c>
      <c r="M650" s="8" t="e">
        <f ca="1">[1]!BexGetData("DP_1","003N8EMH8GTFRIVOG7KG9IQXA","GSON1112060214")</f>
        <v>#NAME?</v>
      </c>
      <c r="N650" s="8" t="e">
        <f ca="1">[1]!BexGetData("DP_1","003N8EMH8GTFRIVOG7KG9IX8U","GSON1112060214")</f>
        <v>#NAME?</v>
      </c>
      <c r="O650" s="8" t="e">
        <f ca="1">[1]!BexGetData("DP_1","003N8EMH8GTFRIVOG7KG9J3KE","GSON1112060214")</f>
        <v>#NAME?</v>
      </c>
      <c r="P650" s="8" t="e">
        <f ca="1">[1]!BexGetData("DP_1","003N8EMH8GTFRIVOG7KG9J9VY","GSON1112060214")</f>
        <v>#NAME?</v>
      </c>
      <c r="Q650" s="4" t="e">
        <f ca="1">[1]!BexGetData("DP_1","00O2TNJGODT0G5Z4TTKYMM5MT","GSON1112060214")</f>
        <v>#NAME?</v>
      </c>
      <c r="R650" s="4" t="e">
        <f ca="1">[1]!BexGetData("DP_1","00O2TNJGODT0G5Z4TTKYMMBYD","GSON1112060214")</f>
        <v>#NAME?</v>
      </c>
      <c r="S650" s="4" t="e">
        <f ca="1">[1]!BexGetData("DP_1","00O2TNJGODT0G5Z4TTKYMMI9X","GSON1112060214")</f>
        <v>#NAME?</v>
      </c>
      <c r="T650" s="4" t="e">
        <f ca="1">[1]!BexGetData("DP_1","00O2TNJGODT0G5Z4TTKYMMOLH","GSON1112060214")</f>
        <v>#NAME?</v>
      </c>
      <c r="U650" s="4" t="e">
        <f ca="1">[1]!BexGetData("DP_1","00O2TNJGODT0G5Z4TTKYMMUX1","GSON1112060214")</f>
        <v>#NAME?</v>
      </c>
      <c r="V650" s="4" t="e">
        <f ca="1">[1]!BexGetData("DP_1","00O2TNJGODT0G5Z4TTKYMN18L","GSON1112060214")</f>
        <v>#NAME?</v>
      </c>
      <c r="W650" s="4" t="e">
        <f ca="1">[1]!BexGetData("DP_1","00O2TNJGODT0G5Z4TTKYMN7K5","GSON1112060214")</f>
        <v>#NAME?</v>
      </c>
    </row>
    <row r="651" spans="1:23" x14ac:dyDescent="0.2">
      <c r="A651" s="16" t="s">
        <v>2660</v>
      </c>
      <c r="B651" s="7" t="s">
        <v>2661</v>
      </c>
      <c r="C651" s="3" t="e">
        <f ca="1">[1]!BexGetData("DP_1","003N8EMH8GTFRCSWKMPXRR8GU","GSON1112060215")</f>
        <v>#NAME?</v>
      </c>
      <c r="D651" s="3" t="e">
        <f ca="1">[1]!BexGetData("DP_1","003N8EMH8GTFRCSWKMPXRRESE","GSON1112060215")</f>
        <v>#NAME?</v>
      </c>
      <c r="E651" s="8" t="e">
        <f ca="1">[1]!BexGetData("DP_1","003N8EMH8GTFRCSWKMPXRRL3Y","GSON1112060215")</f>
        <v>#NAME?</v>
      </c>
      <c r="F651" s="4" t="e">
        <f ca="1">[1]!BexGetData("DP_1","003N8EMH8GTFRCSWKMPXRRRFI","GSON1112060215")</f>
        <v>#NAME?</v>
      </c>
      <c r="G651" s="4" t="e">
        <f ca="1">[1]!BexGetData("DP_1","003N8EMH8GTFRCSWKMPXRRXR2","GSON1112060215")</f>
        <v>#NAME?</v>
      </c>
      <c r="H651" s="4" t="e">
        <f ca="1">[1]!BexGetData("DP_1","003N8EMH8GTFRCSWKMPXRS42M","GSON1112060215")</f>
        <v>#NAME?</v>
      </c>
      <c r="I651" s="4" t="e">
        <f ca="1">[1]!BexGetData("DP_1","003N8EMH8GTFRCSWKMPXRSAE6","GSON1112060215")</f>
        <v>#NAME?</v>
      </c>
      <c r="J651" s="4" t="e">
        <f ca="1">[1]!BexGetData("DP_1","003N8EMH8GTFRCSWKMPXRSGPQ","GSON1112060215")</f>
        <v>#NAME?</v>
      </c>
      <c r="K651" s="8" t="e">
        <f ca="1">[1]!BexGetData("DP_1","003N8EMH8GTFRIVNUPY288VJH","GSON1112060215")</f>
        <v>#NAME?</v>
      </c>
      <c r="L651" s="8" t="e">
        <f ca="1">[1]!BexGetData("DP_1","003N8EMH8GTFRIVNUPY2891V1","GSON1112060215")</f>
        <v>#NAME?</v>
      </c>
      <c r="M651" s="8" t="e">
        <f ca="1">[1]!BexGetData("DP_1","003N8EMH8GTFRIVOG7KG9IQXA","GSON1112060215")</f>
        <v>#NAME?</v>
      </c>
      <c r="N651" s="8" t="e">
        <f ca="1">[1]!BexGetData("DP_1","003N8EMH8GTFRIVOG7KG9IX8U","GSON1112060215")</f>
        <v>#NAME?</v>
      </c>
      <c r="O651" s="8" t="e">
        <f ca="1">[1]!BexGetData("DP_1","003N8EMH8GTFRIVOG7KG9J3KE","GSON1112060215")</f>
        <v>#NAME?</v>
      </c>
      <c r="P651" s="8" t="e">
        <f ca="1">[1]!BexGetData("DP_1","003N8EMH8GTFRIVOG7KG9J9VY","GSON1112060215")</f>
        <v>#NAME?</v>
      </c>
      <c r="Q651" s="4" t="e">
        <f ca="1">[1]!BexGetData("DP_1","00O2TNJGODT0G5Z4TTKYMM5MT","GSON1112060215")</f>
        <v>#NAME?</v>
      </c>
      <c r="R651" s="4" t="e">
        <f ca="1">[1]!BexGetData("DP_1","00O2TNJGODT0G5Z4TTKYMMBYD","GSON1112060215")</f>
        <v>#NAME?</v>
      </c>
      <c r="S651" s="4" t="e">
        <f ca="1">[1]!BexGetData("DP_1","00O2TNJGODT0G5Z4TTKYMMI9X","GSON1112060215")</f>
        <v>#NAME?</v>
      </c>
      <c r="T651" s="4" t="e">
        <f ca="1">[1]!BexGetData("DP_1","00O2TNJGODT0G5Z4TTKYMMOLH","GSON1112060215")</f>
        <v>#NAME?</v>
      </c>
      <c r="U651" s="4" t="e">
        <f ca="1">[1]!BexGetData("DP_1","00O2TNJGODT0G5Z4TTKYMMUX1","GSON1112060215")</f>
        <v>#NAME?</v>
      </c>
      <c r="V651" s="4" t="e">
        <f ca="1">[1]!BexGetData("DP_1","00O2TNJGODT0G5Z4TTKYMN18L","GSON1112060215")</f>
        <v>#NAME?</v>
      </c>
      <c r="W651" s="4" t="e">
        <f ca="1">[1]!BexGetData("DP_1","00O2TNJGODT0G5Z4TTKYMN7K5","GSON1112060215")</f>
        <v>#NAME?</v>
      </c>
    </row>
    <row r="652" spans="1:23" x14ac:dyDescent="0.2">
      <c r="A652" s="16" t="s">
        <v>2662</v>
      </c>
      <c r="B652" s="7" t="s">
        <v>2663</v>
      </c>
      <c r="C652" s="3" t="e">
        <f ca="1">[1]!BexGetData("DP_1","003N8EMH8GTFRCSWKMPXRR8GU","GSON1112060220")</f>
        <v>#NAME?</v>
      </c>
      <c r="D652" s="3" t="e">
        <f ca="1">[1]!BexGetData("DP_1","003N8EMH8GTFRCSWKMPXRRESE","GSON1112060220")</f>
        <v>#NAME?</v>
      </c>
      <c r="E652" s="3" t="e">
        <f ca="1">[1]!BexGetData("DP_1","003N8EMH8GTFRCSWKMPXRRL3Y","GSON1112060220")</f>
        <v>#NAME?</v>
      </c>
      <c r="F652" s="3" t="e">
        <f ca="1">[1]!BexGetData("DP_1","003N8EMH8GTFRCSWKMPXRRRFI","GSON1112060220")</f>
        <v>#NAME?</v>
      </c>
      <c r="G652" s="3" t="e">
        <f ca="1">[1]!BexGetData("DP_1","003N8EMH8GTFRCSWKMPXRRXR2","GSON1112060220")</f>
        <v>#NAME?</v>
      </c>
      <c r="H652" s="8" t="e">
        <f ca="1">[1]!BexGetData("DP_1","003N8EMH8GTFRCSWKMPXRS42M","GSON1112060220")</f>
        <v>#NAME?</v>
      </c>
      <c r="I652" s="3" t="e">
        <f ca="1">[1]!BexGetData("DP_1","003N8EMH8GTFRCSWKMPXRSAE6","GSON1112060220")</f>
        <v>#NAME?</v>
      </c>
      <c r="J652" s="4" t="e">
        <f ca="1">[1]!BexGetData("DP_1","003N8EMH8GTFRCSWKMPXRSGPQ","GSON1112060220")</f>
        <v>#NAME?</v>
      </c>
      <c r="K652" s="3" t="e">
        <f ca="1">[1]!BexGetData("DP_1","003N8EMH8GTFRIVNUPY288VJH","GSON1112060220")</f>
        <v>#NAME?</v>
      </c>
      <c r="L652" s="3" t="e">
        <f ca="1">[1]!BexGetData("DP_1","003N8EMH8GTFRIVNUPY2891V1","GSON1112060220")</f>
        <v>#NAME?</v>
      </c>
      <c r="M652" s="8" t="e">
        <f ca="1">[1]!BexGetData("DP_1","003N8EMH8GTFRIVOG7KG9IQXA","GSON1112060220")</f>
        <v>#NAME?</v>
      </c>
      <c r="N652" s="3" t="e">
        <f ca="1">[1]!BexGetData("DP_1","003N8EMH8GTFRIVOG7KG9IX8U","GSON1112060220")</f>
        <v>#NAME?</v>
      </c>
      <c r="O652" s="8" t="e">
        <f ca="1">[1]!BexGetData("DP_1","003N8EMH8GTFRIVOG7KG9J3KE","GSON1112060220")</f>
        <v>#NAME?</v>
      </c>
      <c r="P652" s="3" t="e">
        <f ca="1">[1]!BexGetData("DP_1","003N8EMH8GTFRIVOG7KG9J9VY","GSON1112060220")</f>
        <v>#NAME?</v>
      </c>
      <c r="Q652" s="4" t="e">
        <f ca="1">[1]!BexGetData("DP_1","00O2TNJGODT0G5Z4TTKYMM5MT","GSON1112060220")</f>
        <v>#NAME?</v>
      </c>
      <c r="R652" s="3" t="e">
        <f ca="1">[1]!BexGetData("DP_1","00O2TNJGODT0G5Z4TTKYMMBYD","GSON1112060220")</f>
        <v>#NAME?</v>
      </c>
      <c r="S652" s="3" t="e">
        <f ca="1">[1]!BexGetData("DP_1","00O2TNJGODT0G5Z4TTKYMMI9X","GSON1112060220")</f>
        <v>#NAME?</v>
      </c>
      <c r="T652" s="8" t="e">
        <f ca="1">[1]!BexGetData("DP_1","00O2TNJGODT0G5Z4TTKYMMOLH","GSON1112060220")</f>
        <v>#NAME?</v>
      </c>
      <c r="U652" s="3" t="e">
        <f ca="1">[1]!BexGetData("DP_1","00O2TNJGODT0G5Z4TTKYMMUX1","GSON1112060220")</f>
        <v>#NAME?</v>
      </c>
      <c r="V652" s="8" t="e">
        <f ca="1">[1]!BexGetData("DP_1","00O2TNJGODT0G5Z4TTKYMN18L","GSON1112060220")</f>
        <v>#NAME?</v>
      </c>
      <c r="W652" s="3" t="e">
        <f ca="1">[1]!BexGetData("DP_1","00O2TNJGODT0G5Z4TTKYMN7K5","GSON1112060220")</f>
        <v>#NAME?</v>
      </c>
    </row>
    <row r="653" spans="1:23" x14ac:dyDescent="0.2">
      <c r="A653" s="16" t="s">
        <v>2664</v>
      </c>
      <c r="B653" s="7" t="s">
        <v>2665</v>
      </c>
      <c r="C653" s="3" t="e">
        <f ca="1">[1]!BexGetData("DP_1","003N8EMH8GTFRCSWKMPXRR8GU","GSON1112060221")</f>
        <v>#NAME?</v>
      </c>
      <c r="D653" s="3" t="e">
        <f ca="1">[1]!BexGetData("DP_1","003N8EMH8GTFRCSWKMPXRRESE","GSON1112060221")</f>
        <v>#NAME?</v>
      </c>
      <c r="E653" s="8" t="e">
        <f ca="1">[1]!BexGetData("DP_1","003N8EMH8GTFRCSWKMPXRRL3Y","GSON1112060221")</f>
        <v>#NAME?</v>
      </c>
      <c r="F653" s="4" t="e">
        <f ca="1">[1]!BexGetData("DP_1","003N8EMH8GTFRCSWKMPXRRRFI","GSON1112060221")</f>
        <v>#NAME?</v>
      </c>
      <c r="G653" s="4" t="e">
        <f ca="1">[1]!BexGetData("DP_1","003N8EMH8GTFRCSWKMPXRRXR2","GSON1112060221")</f>
        <v>#NAME?</v>
      </c>
      <c r="H653" s="4" t="e">
        <f ca="1">[1]!BexGetData("DP_1","003N8EMH8GTFRCSWKMPXRS42M","GSON1112060221")</f>
        <v>#NAME?</v>
      </c>
      <c r="I653" s="4" t="e">
        <f ca="1">[1]!BexGetData("DP_1","003N8EMH8GTFRCSWKMPXRSAE6","GSON1112060221")</f>
        <v>#NAME?</v>
      </c>
      <c r="J653" s="4" t="e">
        <f ca="1">[1]!BexGetData("DP_1","003N8EMH8GTFRCSWKMPXRSGPQ","GSON1112060221")</f>
        <v>#NAME?</v>
      </c>
      <c r="K653" s="8" t="e">
        <f ca="1">[1]!BexGetData("DP_1","003N8EMH8GTFRIVNUPY288VJH","GSON1112060221")</f>
        <v>#NAME?</v>
      </c>
      <c r="L653" s="8" t="e">
        <f ca="1">[1]!BexGetData("DP_1","003N8EMH8GTFRIVNUPY2891V1","GSON1112060221")</f>
        <v>#NAME?</v>
      </c>
      <c r="M653" s="8" t="e">
        <f ca="1">[1]!BexGetData("DP_1","003N8EMH8GTFRIVOG7KG9IQXA","GSON1112060221")</f>
        <v>#NAME?</v>
      </c>
      <c r="N653" s="8" t="e">
        <f ca="1">[1]!BexGetData("DP_1","003N8EMH8GTFRIVOG7KG9IX8U","GSON1112060221")</f>
        <v>#NAME?</v>
      </c>
      <c r="O653" s="8" t="e">
        <f ca="1">[1]!BexGetData("DP_1","003N8EMH8GTFRIVOG7KG9J3KE","GSON1112060221")</f>
        <v>#NAME?</v>
      </c>
      <c r="P653" s="8" t="e">
        <f ca="1">[1]!BexGetData("DP_1","003N8EMH8GTFRIVOG7KG9J9VY","GSON1112060221")</f>
        <v>#NAME?</v>
      </c>
      <c r="Q653" s="4" t="e">
        <f ca="1">[1]!BexGetData("DP_1","00O2TNJGODT0G5Z4TTKYMM5MT","GSON1112060221")</f>
        <v>#NAME?</v>
      </c>
      <c r="R653" s="4" t="e">
        <f ca="1">[1]!BexGetData("DP_1","00O2TNJGODT0G5Z4TTKYMMBYD","GSON1112060221")</f>
        <v>#NAME?</v>
      </c>
      <c r="S653" s="4" t="e">
        <f ca="1">[1]!BexGetData("DP_1","00O2TNJGODT0G5Z4TTKYMMI9X","GSON1112060221")</f>
        <v>#NAME?</v>
      </c>
      <c r="T653" s="4" t="e">
        <f ca="1">[1]!BexGetData("DP_1","00O2TNJGODT0G5Z4TTKYMMOLH","GSON1112060221")</f>
        <v>#NAME?</v>
      </c>
      <c r="U653" s="4" t="e">
        <f ca="1">[1]!BexGetData("DP_1","00O2TNJGODT0G5Z4TTKYMMUX1","GSON1112060221")</f>
        <v>#NAME?</v>
      </c>
      <c r="V653" s="4" t="e">
        <f ca="1">[1]!BexGetData("DP_1","00O2TNJGODT0G5Z4TTKYMN18L","GSON1112060221")</f>
        <v>#NAME?</v>
      </c>
      <c r="W653" s="4" t="e">
        <f ca="1">[1]!BexGetData("DP_1","00O2TNJGODT0G5Z4TTKYMN7K5","GSON1112060221")</f>
        <v>#NAME?</v>
      </c>
    </row>
    <row r="654" spans="1:23" x14ac:dyDescent="0.2">
      <c r="A654" s="16" t="s">
        <v>2666</v>
      </c>
      <c r="B654" s="7" t="s">
        <v>2667</v>
      </c>
      <c r="C654" s="3" t="e">
        <f ca="1">[1]!BexGetData("DP_1","003N8EMH8GTFRCSWKMPXRR8GU","GSON1112060224")</f>
        <v>#NAME?</v>
      </c>
      <c r="D654" s="3" t="e">
        <f ca="1">[1]!BexGetData("DP_1","003N8EMH8GTFRCSWKMPXRRESE","GSON1112060224")</f>
        <v>#NAME?</v>
      </c>
      <c r="E654" s="8" t="e">
        <f ca="1">[1]!BexGetData("DP_1","003N8EMH8GTFRCSWKMPXRRL3Y","GSON1112060224")</f>
        <v>#NAME?</v>
      </c>
      <c r="F654" s="4" t="e">
        <f ca="1">[1]!BexGetData("DP_1","003N8EMH8GTFRCSWKMPXRRRFI","GSON1112060224")</f>
        <v>#NAME?</v>
      </c>
      <c r="G654" s="4" t="e">
        <f ca="1">[1]!BexGetData("DP_1","003N8EMH8GTFRCSWKMPXRRXR2","GSON1112060224")</f>
        <v>#NAME?</v>
      </c>
      <c r="H654" s="4" t="e">
        <f ca="1">[1]!BexGetData("DP_1","003N8EMH8GTFRCSWKMPXRS42M","GSON1112060224")</f>
        <v>#NAME?</v>
      </c>
      <c r="I654" s="4" t="e">
        <f ca="1">[1]!BexGetData("DP_1","003N8EMH8GTFRCSWKMPXRSAE6","GSON1112060224")</f>
        <v>#NAME?</v>
      </c>
      <c r="J654" s="4" t="e">
        <f ca="1">[1]!BexGetData("DP_1","003N8EMH8GTFRCSWKMPXRSGPQ","GSON1112060224")</f>
        <v>#NAME?</v>
      </c>
      <c r="K654" s="8" t="e">
        <f ca="1">[1]!BexGetData("DP_1","003N8EMH8GTFRIVNUPY288VJH","GSON1112060224")</f>
        <v>#NAME?</v>
      </c>
      <c r="L654" s="8" t="e">
        <f ca="1">[1]!BexGetData("DP_1","003N8EMH8GTFRIVNUPY2891V1","GSON1112060224")</f>
        <v>#NAME?</v>
      </c>
      <c r="M654" s="8" t="e">
        <f ca="1">[1]!BexGetData("DP_1","003N8EMH8GTFRIVOG7KG9IQXA","GSON1112060224")</f>
        <v>#NAME?</v>
      </c>
      <c r="N654" s="8" t="e">
        <f ca="1">[1]!BexGetData("DP_1","003N8EMH8GTFRIVOG7KG9IX8U","GSON1112060224")</f>
        <v>#NAME?</v>
      </c>
      <c r="O654" s="8" t="e">
        <f ca="1">[1]!BexGetData("DP_1","003N8EMH8GTFRIVOG7KG9J3KE","GSON1112060224")</f>
        <v>#NAME?</v>
      </c>
      <c r="P654" s="8" t="e">
        <f ca="1">[1]!BexGetData("DP_1","003N8EMH8GTFRIVOG7KG9J9VY","GSON1112060224")</f>
        <v>#NAME?</v>
      </c>
      <c r="Q654" s="4" t="e">
        <f ca="1">[1]!BexGetData("DP_1","00O2TNJGODT0G5Z4TTKYMM5MT","GSON1112060224")</f>
        <v>#NAME?</v>
      </c>
      <c r="R654" s="4" t="e">
        <f ca="1">[1]!BexGetData("DP_1","00O2TNJGODT0G5Z4TTKYMMBYD","GSON1112060224")</f>
        <v>#NAME?</v>
      </c>
      <c r="S654" s="4" t="e">
        <f ca="1">[1]!BexGetData("DP_1","00O2TNJGODT0G5Z4TTKYMMI9X","GSON1112060224")</f>
        <v>#NAME?</v>
      </c>
      <c r="T654" s="4" t="e">
        <f ca="1">[1]!BexGetData("DP_1","00O2TNJGODT0G5Z4TTKYMMOLH","GSON1112060224")</f>
        <v>#NAME?</v>
      </c>
      <c r="U654" s="4" t="e">
        <f ca="1">[1]!BexGetData("DP_1","00O2TNJGODT0G5Z4TTKYMMUX1","GSON1112060224")</f>
        <v>#NAME?</v>
      </c>
      <c r="V654" s="4" t="e">
        <f ca="1">[1]!BexGetData("DP_1","00O2TNJGODT0G5Z4TTKYMN18L","GSON1112060224")</f>
        <v>#NAME?</v>
      </c>
      <c r="W654" s="4" t="e">
        <f ca="1">[1]!BexGetData("DP_1","00O2TNJGODT0G5Z4TTKYMN7K5","GSON1112060224")</f>
        <v>#NAME?</v>
      </c>
    </row>
    <row r="655" spans="1:23" x14ac:dyDescent="0.2">
      <c r="A655" s="16" t="s">
        <v>2668</v>
      </c>
      <c r="B655" s="7" t="s">
        <v>2669</v>
      </c>
      <c r="C655" s="3" t="e">
        <f ca="1">[1]!BexGetData("DP_1","003N8EMH8GTFRCSWKMPXRR8GU","GSON1112060225")</f>
        <v>#NAME?</v>
      </c>
      <c r="D655" s="3" t="e">
        <f ca="1">[1]!BexGetData("DP_1","003N8EMH8GTFRCSWKMPXRRESE","GSON1112060225")</f>
        <v>#NAME?</v>
      </c>
      <c r="E655" s="8" t="e">
        <f ca="1">[1]!BexGetData("DP_1","003N8EMH8GTFRCSWKMPXRRL3Y","GSON1112060225")</f>
        <v>#NAME?</v>
      </c>
      <c r="F655" s="4" t="e">
        <f ca="1">[1]!BexGetData("DP_1","003N8EMH8GTFRCSWKMPXRRRFI","GSON1112060225")</f>
        <v>#NAME?</v>
      </c>
      <c r="G655" s="4" t="e">
        <f ca="1">[1]!BexGetData("DP_1","003N8EMH8GTFRCSWKMPXRRXR2","GSON1112060225")</f>
        <v>#NAME?</v>
      </c>
      <c r="H655" s="4" t="e">
        <f ca="1">[1]!BexGetData("DP_1","003N8EMH8GTFRCSWKMPXRS42M","GSON1112060225")</f>
        <v>#NAME?</v>
      </c>
      <c r="I655" s="4" t="e">
        <f ca="1">[1]!BexGetData("DP_1","003N8EMH8GTFRCSWKMPXRSAE6","GSON1112060225")</f>
        <v>#NAME?</v>
      </c>
      <c r="J655" s="4" t="e">
        <f ca="1">[1]!BexGetData("DP_1","003N8EMH8GTFRCSWKMPXRSGPQ","GSON1112060225")</f>
        <v>#NAME?</v>
      </c>
      <c r="K655" s="8" t="e">
        <f ca="1">[1]!BexGetData("DP_1","003N8EMH8GTFRIVNUPY288VJH","GSON1112060225")</f>
        <v>#NAME?</v>
      </c>
      <c r="L655" s="8" t="e">
        <f ca="1">[1]!BexGetData("DP_1","003N8EMH8GTFRIVNUPY2891V1","GSON1112060225")</f>
        <v>#NAME?</v>
      </c>
      <c r="M655" s="8" t="e">
        <f ca="1">[1]!BexGetData("DP_1","003N8EMH8GTFRIVOG7KG9IQXA","GSON1112060225")</f>
        <v>#NAME?</v>
      </c>
      <c r="N655" s="8" t="e">
        <f ca="1">[1]!BexGetData("DP_1","003N8EMH8GTFRIVOG7KG9IX8U","GSON1112060225")</f>
        <v>#NAME?</v>
      </c>
      <c r="O655" s="8" t="e">
        <f ca="1">[1]!BexGetData("DP_1","003N8EMH8GTFRIVOG7KG9J3KE","GSON1112060225")</f>
        <v>#NAME?</v>
      </c>
      <c r="P655" s="8" t="e">
        <f ca="1">[1]!BexGetData("DP_1","003N8EMH8GTFRIVOG7KG9J9VY","GSON1112060225")</f>
        <v>#NAME?</v>
      </c>
      <c r="Q655" s="4" t="e">
        <f ca="1">[1]!BexGetData("DP_1","00O2TNJGODT0G5Z4TTKYMM5MT","GSON1112060225")</f>
        <v>#NAME?</v>
      </c>
      <c r="R655" s="4" t="e">
        <f ca="1">[1]!BexGetData("DP_1","00O2TNJGODT0G5Z4TTKYMMBYD","GSON1112060225")</f>
        <v>#NAME?</v>
      </c>
      <c r="S655" s="4" t="e">
        <f ca="1">[1]!BexGetData("DP_1","00O2TNJGODT0G5Z4TTKYMMI9X","GSON1112060225")</f>
        <v>#NAME?</v>
      </c>
      <c r="T655" s="4" t="e">
        <f ca="1">[1]!BexGetData("DP_1","00O2TNJGODT0G5Z4TTKYMMOLH","GSON1112060225")</f>
        <v>#NAME?</v>
      </c>
      <c r="U655" s="4" t="e">
        <f ca="1">[1]!BexGetData("DP_1","00O2TNJGODT0G5Z4TTKYMMUX1","GSON1112060225")</f>
        <v>#NAME?</v>
      </c>
      <c r="V655" s="4" t="e">
        <f ca="1">[1]!BexGetData("DP_1","00O2TNJGODT0G5Z4TTKYMN18L","GSON1112060225")</f>
        <v>#NAME?</v>
      </c>
      <c r="W655" s="4" t="e">
        <f ca="1">[1]!BexGetData("DP_1","00O2TNJGODT0G5Z4TTKYMN7K5","GSON1112060225")</f>
        <v>#NAME?</v>
      </c>
    </row>
    <row r="656" spans="1:23" x14ac:dyDescent="0.2">
      <c r="A656" s="16" t="s">
        <v>2670</v>
      </c>
      <c r="B656" s="7" t="s">
        <v>2671</v>
      </c>
      <c r="C656" s="3" t="e">
        <f ca="1">[1]!BexGetData("DP_1","003N8EMH8GTFRCSWKMPXRR8GU","GSON1112060230")</f>
        <v>#NAME?</v>
      </c>
      <c r="D656" s="3" t="e">
        <f ca="1">[1]!BexGetData("DP_1","003N8EMH8GTFRCSWKMPXRRESE","GSON1112060230")</f>
        <v>#NAME?</v>
      </c>
      <c r="E656" s="3" t="e">
        <f ca="1">[1]!BexGetData("DP_1","003N8EMH8GTFRCSWKMPXRRL3Y","GSON1112060230")</f>
        <v>#NAME?</v>
      </c>
      <c r="F656" s="3" t="e">
        <f ca="1">[1]!BexGetData("DP_1","003N8EMH8GTFRCSWKMPXRRRFI","GSON1112060230")</f>
        <v>#NAME?</v>
      </c>
      <c r="G656" s="3" t="e">
        <f ca="1">[1]!BexGetData("DP_1","003N8EMH8GTFRCSWKMPXRRXR2","GSON1112060230")</f>
        <v>#NAME?</v>
      </c>
      <c r="H656" s="8" t="e">
        <f ca="1">[1]!BexGetData("DP_1","003N8EMH8GTFRCSWKMPXRS42M","GSON1112060230")</f>
        <v>#NAME?</v>
      </c>
      <c r="I656" s="3" t="e">
        <f ca="1">[1]!BexGetData("DP_1","003N8EMH8GTFRCSWKMPXRSAE6","GSON1112060230")</f>
        <v>#NAME?</v>
      </c>
      <c r="J656" s="4" t="e">
        <f ca="1">[1]!BexGetData("DP_1","003N8EMH8GTFRCSWKMPXRSGPQ","GSON1112060230")</f>
        <v>#NAME?</v>
      </c>
      <c r="K656" s="3" t="e">
        <f ca="1">[1]!BexGetData("DP_1","003N8EMH8GTFRIVNUPY288VJH","GSON1112060230")</f>
        <v>#NAME?</v>
      </c>
      <c r="L656" s="3" t="e">
        <f ca="1">[1]!BexGetData("DP_1","003N8EMH8GTFRIVNUPY2891V1","GSON1112060230")</f>
        <v>#NAME?</v>
      </c>
      <c r="M656" s="8" t="e">
        <f ca="1">[1]!BexGetData("DP_1","003N8EMH8GTFRIVOG7KG9IQXA","GSON1112060230")</f>
        <v>#NAME?</v>
      </c>
      <c r="N656" s="3" t="e">
        <f ca="1">[1]!BexGetData("DP_1","003N8EMH8GTFRIVOG7KG9IX8U","GSON1112060230")</f>
        <v>#NAME?</v>
      </c>
      <c r="O656" s="8" t="e">
        <f ca="1">[1]!BexGetData("DP_1","003N8EMH8GTFRIVOG7KG9J3KE","GSON1112060230")</f>
        <v>#NAME?</v>
      </c>
      <c r="P656" s="3" t="e">
        <f ca="1">[1]!BexGetData("DP_1","003N8EMH8GTFRIVOG7KG9J9VY","GSON1112060230")</f>
        <v>#NAME?</v>
      </c>
      <c r="Q656" s="4" t="e">
        <f ca="1">[1]!BexGetData("DP_1","00O2TNJGODT0G5Z4TTKYMM5MT","GSON1112060230")</f>
        <v>#NAME?</v>
      </c>
      <c r="R656" s="3" t="e">
        <f ca="1">[1]!BexGetData("DP_1","00O2TNJGODT0G5Z4TTKYMMBYD","GSON1112060230")</f>
        <v>#NAME?</v>
      </c>
      <c r="S656" s="3" t="e">
        <f ca="1">[1]!BexGetData("DP_1","00O2TNJGODT0G5Z4TTKYMMI9X","GSON1112060230")</f>
        <v>#NAME?</v>
      </c>
      <c r="T656" s="8" t="e">
        <f ca="1">[1]!BexGetData("DP_1","00O2TNJGODT0G5Z4TTKYMMOLH","GSON1112060230")</f>
        <v>#NAME?</v>
      </c>
      <c r="U656" s="3" t="e">
        <f ca="1">[1]!BexGetData("DP_1","00O2TNJGODT0G5Z4TTKYMMUX1","GSON1112060230")</f>
        <v>#NAME?</v>
      </c>
      <c r="V656" s="8" t="e">
        <f ca="1">[1]!BexGetData("DP_1","00O2TNJGODT0G5Z4TTKYMN18L","GSON1112060230")</f>
        <v>#NAME?</v>
      </c>
      <c r="W656" s="3" t="e">
        <f ca="1">[1]!BexGetData("DP_1","00O2TNJGODT0G5Z4TTKYMN7K5","GSON1112060230")</f>
        <v>#NAME?</v>
      </c>
    </row>
    <row r="657" spans="1:23" x14ac:dyDescent="0.2">
      <c r="A657" s="16" t="s">
        <v>2672</v>
      </c>
      <c r="B657" s="7" t="s">
        <v>2673</v>
      </c>
      <c r="C657" s="3" t="e">
        <f ca="1">[1]!BexGetData("DP_1","003N8EMH8GTFRCSWKMPXRR8GU","GSON1112060231")</f>
        <v>#NAME?</v>
      </c>
      <c r="D657" s="3" t="e">
        <f ca="1">[1]!BexGetData("DP_1","003N8EMH8GTFRCSWKMPXRRESE","GSON1112060231")</f>
        <v>#NAME?</v>
      </c>
      <c r="E657" s="8" t="e">
        <f ca="1">[1]!BexGetData("DP_1","003N8EMH8GTFRCSWKMPXRRL3Y","GSON1112060231")</f>
        <v>#NAME?</v>
      </c>
      <c r="F657" s="4" t="e">
        <f ca="1">[1]!BexGetData("DP_1","003N8EMH8GTFRCSWKMPXRRRFI","GSON1112060231")</f>
        <v>#NAME?</v>
      </c>
      <c r="G657" s="4" t="e">
        <f ca="1">[1]!BexGetData("DP_1","003N8EMH8GTFRCSWKMPXRRXR2","GSON1112060231")</f>
        <v>#NAME?</v>
      </c>
      <c r="H657" s="4" t="e">
        <f ca="1">[1]!BexGetData("DP_1","003N8EMH8GTFRCSWKMPXRS42M","GSON1112060231")</f>
        <v>#NAME?</v>
      </c>
      <c r="I657" s="4" t="e">
        <f ca="1">[1]!BexGetData("DP_1","003N8EMH8GTFRCSWKMPXRSAE6","GSON1112060231")</f>
        <v>#NAME?</v>
      </c>
      <c r="J657" s="4" t="e">
        <f ca="1">[1]!BexGetData("DP_1","003N8EMH8GTFRCSWKMPXRSGPQ","GSON1112060231")</f>
        <v>#NAME?</v>
      </c>
      <c r="K657" s="8" t="e">
        <f ca="1">[1]!BexGetData("DP_1","003N8EMH8GTFRIVNUPY288VJH","GSON1112060231")</f>
        <v>#NAME?</v>
      </c>
      <c r="L657" s="8" t="e">
        <f ca="1">[1]!BexGetData("DP_1","003N8EMH8GTFRIVNUPY2891V1","GSON1112060231")</f>
        <v>#NAME?</v>
      </c>
      <c r="M657" s="8" t="e">
        <f ca="1">[1]!BexGetData("DP_1","003N8EMH8GTFRIVOG7KG9IQXA","GSON1112060231")</f>
        <v>#NAME?</v>
      </c>
      <c r="N657" s="8" t="e">
        <f ca="1">[1]!BexGetData("DP_1","003N8EMH8GTFRIVOG7KG9IX8U","GSON1112060231")</f>
        <v>#NAME?</v>
      </c>
      <c r="O657" s="8" t="e">
        <f ca="1">[1]!BexGetData("DP_1","003N8EMH8GTFRIVOG7KG9J3KE","GSON1112060231")</f>
        <v>#NAME?</v>
      </c>
      <c r="P657" s="8" t="e">
        <f ca="1">[1]!BexGetData("DP_1","003N8EMH8GTFRIVOG7KG9J9VY","GSON1112060231")</f>
        <v>#NAME?</v>
      </c>
      <c r="Q657" s="4" t="e">
        <f ca="1">[1]!BexGetData("DP_1","00O2TNJGODT0G5Z4TTKYMM5MT","GSON1112060231")</f>
        <v>#NAME?</v>
      </c>
      <c r="R657" s="4" t="e">
        <f ca="1">[1]!BexGetData("DP_1","00O2TNJGODT0G5Z4TTKYMMBYD","GSON1112060231")</f>
        <v>#NAME?</v>
      </c>
      <c r="S657" s="4" t="e">
        <f ca="1">[1]!BexGetData("DP_1","00O2TNJGODT0G5Z4TTKYMMI9X","GSON1112060231")</f>
        <v>#NAME?</v>
      </c>
      <c r="T657" s="4" t="e">
        <f ca="1">[1]!BexGetData("DP_1","00O2TNJGODT0G5Z4TTKYMMOLH","GSON1112060231")</f>
        <v>#NAME?</v>
      </c>
      <c r="U657" s="4" t="e">
        <f ca="1">[1]!BexGetData("DP_1","00O2TNJGODT0G5Z4TTKYMMUX1","GSON1112060231")</f>
        <v>#NAME?</v>
      </c>
      <c r="V657" s="4" t="e">
        <f ca="1">[1]!BexGetData("DP_1","00O2TNJGODT0G5Z4TTKYMN18L","GSON1112060231")</f>
        <v>#NAME?</v>
      </c>
      <c r="W657" s="4" t="e">
        <f ca="1">[1]!BexGetData("DP_1","00O2TNJGODT0G5Z4TTKYMN7K5","GSON1112060231")</f>
        <v>#NAME?</v>
      </c>
    </row>
    <row r="658" spans="1:23" x14ac:dyDescent="0.2">
      <c r="A658" s="16" t="s">
        <v>2674</v>
      </c>
      <c r="B658" s="7" t="s">
        <v>2675</v>
      </c>
      <c r="C658" s="3" t="e">
        <f ca="1">[1]!BexGetData("DP_1","003N8EMH8GTFRCSWKMPXRR8GU","GSON1112060233")</f>
        <v>#NAME?</v>
      </c>
      <c r="D658" s="3" t="e">
        <f ca="1">[1]!BexGetData("DP_1","003N8EMH8GTFRCSWKMPXRRESE","GSON1112060233")</f>
        <v>#NAME?</v>
      </c>
      <c r="E658" s="8" t="e">
        <f ca="1">[1]!BexGetData("DP_1","003N8EMH8GTFRCSWKMPXRRL3Y","GSON1112060233")</f>
        <v>#NAME?</v>
      </c>
      <c r="F658" s="4" t="e">
        <f ca="1">[1]!BexGetData("DP_1","003N8EMH8GTFRCSWKMPXRRRFI","GSON1112060233")</f>
        <v>#NAME?</v>
      </c>
      <c r="G658" s="4" t="e">
        <f ca="1">[1]!BexGetData("DP_1","003N8EMH8GTFRCSWKMPXRRXR2","GSON1112060233")</f>
        <v>#NAME?</v>
      </c>
      <c r="H658" s="4" t="e">
        <f ca="1">[1]!BexGetData("DP_1","003N8EMH8GTFRCSWKMPXRS42M","GSON1112060233")</f>
        <v>#NAME?</v>
      </c>
      <c r="I658" s="4" t="e">
        <f ca="1">[1]!BexGetData("DP_1","003N8EMH8GTFRCSWKMPXRSAE6","GSON1112060233")</f>
        <v>#NAME?</v>
      </c>
      <c r="J658" s="4" t="e">
        <f ca="1">[1]!BexGetData("DP_1","003N8EMH8GTFRCSWKMPXRSGPQ","GSON1112060233")</f>
        <v>#NAME?</v>
      </c>
      <c r="K658" s="8" t="e">
        <f ca="1">[1]!BexGetData("DP_1","003N8EMH8GTFRIVNUPY288VJH","GSON1112060233")</f>
        <v>#NAME?</v>
      </c>
      <c r="L658" s="8" t="e">
        <f ca="1">[1]!BexGetData("DP_1","003N8EMH8GTFRIVNUPY2891V1","GSON1112060233")</f>
        <v>#NAME?</v>
      </c>
      <c r="M658" s="8" t="e">
        <f ca="1">[1]!BexGetData("DP_1","003N8EMH8GTFRIVOG7KG9IQXA","GSON1112060233")</f>
        <v>#NAME?</v>
      </c>
      <c r="N658" s="8" t="e">
        <f ca="1">[1]!BexGetData("DP_1","003N8EMH8GTFRIVOG7KG9IX8U","GSON1112060233")</f>
        <v>#NAME?</v>
      </c>
      <c r="O658" s="8" t="e">
        <f ca="1">[1]!BexGetData("DP_1","003N8EMH8GTFRIVOG7KG9J3KE","GSON1112060233")</f>
        <v>#NAME?</v>
      </c>
      <c r="P658" s="8" t="e">
        <f ca="1">[1]!BexGetData("DP_1","003N8EMH8GTFRIVOG7KG9J9VY","GSON1112060233")</f>
        <v>#NAME?</v>
      </c>
      <c r="Q658" s="4" t="e">
        <f ca="1">[1]!BexGetData("DP_1","00O2TNJGODT0G5Z4TTKYMM5MT","GSON1112060233")</f>
        <v>#NAME?</v>
      </c>
      <c r="R658" s="4" t="e">
        <f ca="1">[1]!BexGetData("DP_1","00O2TNJGODT0G5Z4TTKYMMBYD","GSON1112060233")</f>
        <v>#NAME?</v>
      </c>
      <c r="S658" s="4" t="e">
        <f ca="1">[1]!BexGetData("DP_1","00O2TNJGODT0G5Z4TTKYMMI9X","GSON1112060233")</f>
        <v>#NAME?</v>
      </c>
      <c r="T658" s="4" t="e">
        <f ca="1">[1]!BexGetData("DP_1","00O2TNJGODT0G5Z4TTKYMMOLH","GSON1112060233")</f>
        <v>#NAME?</v>
      </c>
      <c r="U658" s="4" t="e">
        <f ca="1">[1]!BexGetData("DP_1","00O2TNJGODT0G5Z4TTKYMMUX1","GSON1112060233")</f>
        <v>#NAME?</v>
      </c>
      <c r="V658" s="4" t="e">
        <f ca="1">[1]!BexGetData("DP_1","00O2TNJGODT0G5Z4TTKYMN18L","GSON1112060233")</f>
        <v>#NAME?</v>
      </c>
      <c r="W658" s="4" t="e">
        <f ca="1">[1]!BexGetData("DP_1","00O2TNJGODT0G5Z4TTKYMN7K5","GSON1112060233")</f>
        <v>#NAME?</v>
      </c>
    </row>
    <row r="659" spans="1:23" x14ac:dyDescent="0.2">
      <c r="A659" s="16" t="s">
        <v>2676</v>
      </c>
      <c r="B659" s="7" t="s">
        <v>2677</v>
      </c>
      <c r="C659" s="3" t="e">
        <f ca="1">[1]!BexGetData("DP_1","003N8EMH8GTFRCSWKMPXRR8GU","GSON1112060234")</f>
        <v>#NAME?</v>
      </c>
      <c r="D659" s="3" t="e">
        <f ca="1">[1]!BexGetData("DP_1","003N8EMH8GTFRCSWKMPXRRESE","GSON1112060234")</f>
        <v>#NAME?</v>
      </c>
      <c r="E659" s="8" t="e">
        <f ca="1">[1]!BexGetData("DP_1","003N8EMH8GTFRCSWKMPXRRL3Y","GSON1112060234")</f>
        <v>#NAME?</v>
      </c>
      <c r="F659" s="4" t="e">
        <f ca="1">[1]!BexGetData("DP_1","003N8EMH8GTFRCSWKMPXRRRFI","GSON1112060234")</f>
        <v>#NAME?</v>
      </c>
      <c r="G659" s="4" t="e">
        <f ca="1">[1]!BexGetData("DP_1","003N8EMH8GTFRCSWKMPXRRXR2","GSON1112060234")</f>
        <v>#NAME?</v>
      </c>
      <c r="H659" s="4" t="e">
        <f ca="1">[1]!BexGetData("DP_1","003N8EMH8GTFRCSWKMPXRS42M","GSON1112060234")</f>
        <v>#NAME?</v>
      </c>
      <c r="I659" s="4" t="e">
        <f ca="1">[1]!BexGetData("DP_1","003N8EMH8GTFRCSWKMPXRSAE6","GSON1112060234")</f>
        <v>#NAME?</v>
      </c>
      <c r="J659" s="4" t="e">
        <f ca="1">[1]!BexGetData("DP_1","003N8EMH8GTFRCSWKMPXRSGPQ","GSON1112060234")</f>
        <v>#NAME?</v>
      </c>
      <c r="K659" s="8" t="e">
        <f ca="1">[1]!BexGetData("DP_1","003N8EMH8GTFRIVNUPY288VJH","GSON1112060234")</f>
        <v>#NAME?</v>
      </c>
      <c r="L659" s="8" t="e">
        <f ca="1">[1]!BexGetData("DP_1","003N8EMH8GTFRIVNUPY2891V1","GSON1112060234")</f>
        <v>#NAME?</v>
      </c>
      <c r="M659" s="8" t="e">
        <f ca="1">[1]!BexGetData("DP_1","003N8EMH8GTFRIVOG7KG9IQXA","GSON1112060234")</f>
        <v>#NAME?</v>
      </c>
      <c r="N659" s="8" t="e">
        <f ca="1">[1]!BexGetData("DP_1","003N8EMH8GTFRIVOG7KG9IX8U","GSON1112060234")</f>
        <v>#NAME?</v>
      </c>
      <c r="O659" s="8" t="e">
        <f ca="1">[1]!BexGetData("DP_1","003N8EMH8GTFRIVOG7KG9J3KE","GSON1112060234")</f>
        <v>#NAME?</v>
      </c>
      <c r="P659" s="8" t="e">
        <f ca="1">[1]!BexGetData("DP_1","003N8EMH8GTFRIVOG7KG9J9VY","GSON1112060234")</f>
        <v>#NAME?</v>
      </c>
      <c r="Q659" s="4" t="e">
        <f ca="1">[1]!BexGetData("DP_1","00O2TNJGODT0G5Z4TTKYMM5MT","GSON1112060234")</f>
        <v>#NAME?</v>
      </c>
      <c r="R659" s="4" t="e">
        <f ca="1">[1]!BexGetData("DP_1","00O2TNJGODT0G5Z4TTKYMMBYD","GSON1112060234")</f>
        <v>#NAME?</v>
      </c>
      <c r="S659" s="4" t="e">
        <f ca="1">[1]!BexGetData("DP_1","00O2TNJGODT0G5Z4TTKYMMI9X","GSON1112060234")</f>
        <v>#NAME?</v>
      </c>
      <c r="T659" s="4" t="e">
        <f ca="1">[1]!BexGetData("DP_1","00O2TNJGODT0G5Z4TTKYMMOLH","GSON1112060234")</f>
        <v>#NAME?</v>
      </c>
      <c r="U659" s="4" t="e">
        <f ca="1">[1]!BexGetData("DP_1","00O2TNJGODT0G5Z4TTKYMMUX1","GSON1112060234")</f>
        <v>#NAME?</v>
      </c>
      <c r="V659" s="4" t="e">
        <f ca="1">[1]!BexGetData("DP_1","00O2TNJGODT0G5Z4TTKYMN18L","GSON1112060234")</f>
        <v>#NAME?</v>
      </c>
      <c r="W659" s="4" t="e">
        <f ca="1">[1]!BexGetData("DP_1","00O2TNJGODT0G5Z4TTKYMN7K5","GSON1112060234")</f>
        <v>#NAME?</v>
      </c>
    </row>
    <row r="660" spans="1:23" x14ac:dyDescent="0.2">
      <c r="A660" s="16" t="s">
        <v>2678</v>
      </c>
      <c r="B660" s="7" t="s">
        <v>2679</v>
      </c>
      <c r="C660" s="3" t="e">
        <f ca="1">[1]!BexGetData("DP_1","003N8EMH8GTFRCSWKMPXRR8GU","GSON1112060235")</f>
        <v>#NAME?</v>
      </c>
      <c r="D660" s="3" t="e">
        <f ca="1">[1]!BexGetData("DP_1","003N8EMH8GTFRCSWKMPXRRESE","GSON1112060235")</f>
        <v>#NAME?</v>
      </c>
      <c r="E660" s="8" t="e">
        <f ca="1">[1]!BexGetData("DP_1","003N8EMH8GTFRCSWKMPXRRL3Y","GSON1112060235")</f>
        <v>#NAME?</v>
      </c>
      <c r="F660" s="4" t="e">
        <f ca="1">[1]!BexGetData("DP_1","003N8EMH8GTFRCSWKMPXRRRFI","GSON1112060235")</f>
        <v>#NAME?</v>
      </c>
      <c r="G660" s="4" t="e">
        <f ca="1">[1]!BexGetData("DP_1","003N8EMH8GTFRCSWKMPXRRXR2","GSON1112060235")</f>
        <v>#NAME?</v>
      </c>
      <c r="H660" s="4" t="e">
        <f ca="1">[1]!BexGetData("DP_1","003N8EMH8GTFRCSWKMPXRS42M","GSON1112060235")</f>
        <v>#NAME?</v>
      </c>
      <c r="I660" s="4" t="e">
        <f ca="1">[1]!BexGetData("DP_1","003N8EMH8GTFRCSWKMPXRSAE6","GSON1112060235")</f>
        <v>#NAME?</v>
      </c>
      <c r="J660" s="4" t="e">
        <f ca="1">[1]!BexGetData("DP_1","003N8EMH8GTFRCSWKMPXRSGPQ","GSON1112060235")</f>
        <v>#NAME?</v>
      </c>
      <c r="K660" s="8" t="e">
        <f ca="1">[1]!BexGetData("DP_1","003N8EMH8GTFRIVNUPY288VJH","GSON1112060235")</f>
        <v>#NAME?</v>
      </c>
      <c r="L660" s="8" t="e">
        <f ca="1">[1]!BexGetData("DP_1","003N8EMH8GTFRIVNUPY2891V1","GSON1112060235")</f>
        <v>#NAME?</v>
      </c>
      <c r="M660" s="8" t="e">
        <f ca="1">[1]!BexGetData("DP_1","003N8EMH8GTFRIVOG7KG9IQXA","GSON1112060235")</f>
        <v>#NAME?</v>
      </c>
      <c r="N660" s="8" t="e">
        <f ca="1">[1]!BexGetData("DP_1","003N8EMH8GTFRIVOG7KG9IX8U","GSON1112060235")</f>
        <v>#NAME?</v>
      </c>
      <c r="O660" s="8" t="e">
        <f ca="1">[1]!BexGetData("DP_1","003N8EMH8GTFRIVOG7KG9J3KE","GSON1112060235")</f>
        <v>#NAME?</v>
      </c>
      <c r="P660" s="8" t="e">
        <f ca="1">[1]!BexGetData("DP_1","003N8EMH8GTFRIVOG7KG9J9VY","GSON1112060235")</f>
        <v>#NAME?</v>
      </c>
      <c r="Q660" s="4" t="e">
        <f ca="1">[1]!BexGetData("DP_1","00O2TNJGODT0G5Z4TTKYMM5MT","GSON1112060235")</f>
        <v>#NAME?</v>
      </c>
      <c r="R660" s="4" t="e">
        <f ca="1">[1]!BexGetData("DP_1","00O2TNJGODT0G5Z4TTKYMMBYD","GSON1112060235")</f>
        <v>#NAME?</v>
      </c>
      <c r="S660" s="4" t="e">
        <f ca="1">[1]!BexGetData("DP_1","00O2TNJGODT0G5Z4TTKYMMI9X","GSON1112060235")</f>
        <v>#NAME?</v>
      </c>
      <c r="T660" s="4" t="e">
        <f ca="1">[1]!BexGetData("DP_1","00O2TNJGODT0G5Z4TTKYMMOLH","GSON1112060235")</f>
        <v>#NAME?</v>
      </c>
      <c r="U660" s="4" t="e">
        <f ca="1">[1]!BexGetData("DP_1","00O2TNJGODT0G5Z4TTKYMMUX1","GSON1112060235")</f>
        <v>#NAME?</v>
      </c>
      <c r="V660" s="4" t="e">
        <f ca="1">[1]!BexGetData("DP_1","00O2TNJGODT0G5Z4TTKYMN18L","GSON1112060235")</f>
        <v>#NAME?</v>
      </c>
      <c r="W660" s="4" t="e">
        <f ca="1">[1]!BexGetData("DP_1","00O2TNJGODT0G5Z4TTKYMN7K5","GSON1112060235")</f>
        <v>#NAME?</v>
      </c>
    </row>
    <row r="661" spans="1:23" x14ac:dyDescent="0.2">
      <c r="A661" s="16" t="s">
        <v>2680</v>
      </c>
      <c r="B661" s="7" t="s">
        <v>2681</v>
      </c>
      <c r="C661" s="3" t="e">
        <f ca="1">[1]!BexGetData("DP_1","003N8EMH8GTFRCSWKMPXRR8GU","GSON1112060240")</f>
        <v>#NAME?</v>
      </c>
      <c r="D661" s="3" t="e">
        <f ca="1">[1]!BexGetData("DP_1","003N8EMH8GTFRCSWKMPXRRESE","GSON1112060240")</f>
        <v>#NAME?</v>
      </c>
      <c r="E661" s="3" t="e">
        <f ca="1">[1]!BexGetData("DP_1","003N8EMH8GTFRCSWKMPXRRL3Y","GSON1112060240")</f>
        <v>#NAME?</v>
      </c>
      <c r="F661" s="3" t="e">
        <f ca="1">[1]!BexGetData("DP_1","003N8EMH8GTFRCSWKMPXRRRFI","GSON1112060240")</f>
        <v>#NAME?</v>
      </c>
      <c r="G661" s="3" t="e">
        <f ca="1">[1]!BexGetData("DP_1","003N8EMH8GTFRCSWKMPXRRXR2","GSON1112060240")</f>
        <v>#NAME?</v>
      </c>
      <c r="H661" s="8" t="e">
        <f ca="1">[1]!BexGetData("DP_1","003N8EMH8GTFRCSWKMPXRS42M","GSON1112060240")</f>
        <v>#NAME?</v>
      </c>
      <c r="I661" s="3" t="e">
        <f ca="1">[1]!BexGetData("DP_1","003N8EMH8GTFRCSWKMPXRSAE6","GSON1112060240")</f>
        <v>#NAME?</v>
      </c>
      <c r="J661" s="4" t="e">
        <f ca="1">[1]!BexGetData("DP_1","003N8EMH8GTFRCSWKMPXRSGPQ","GSON1112060240")</f>
        <v>#NAME?</v>
      </c>
      <c r="K661" s="3" t="e">
        <f ca="1">[1]!BexGetData("DP_1","003N8EMH8GTFRIVNUPY288VJH","GSON1112060240")</f>
        <v>#NAME?</v>
      </c>
      <c r="L661" s="3" t="e">
        <f ca="1">[1]!BexGetData("DP_1","003N8EMH8GTFRIVNUPY2891V1","GSON1112060240")</f>
        <v>#NAME?</v>
      </c>
      <c r="M661" s="3" t="e">
        <f ca="1">[1]!BexGetData("DP_1","003N8EMH8GTFRIVOG7KG9IQXA","GSON1112060240")</f>
        <v>#NAME?</v>
      </c>
      <c r="N661" s="8" t="e">
        <f ca="1">[1]!BexGetData("DP_1","003N8EMH8GTFRIVOG7KG9IX8U","GSON1112060240")</f>
        <v>#NAME?</v>
      </c>
      <c r="O661" s="3" t="e">
        <f ca="1">[1]!BexGetData("DP_1","003N8EMH8GTFRIVOG7KG9J3KE","GSON1112060240")</f>
        <v>#NAME?</v>
      </c>
      <c r="P661" s="8" t="e">
        <f ca="1">[1]!BexGetData("DP_1","003N8EMH8GTFRIVOG7KG9J9VY","GSON1112060240")</f>
        <v>#NAME?</v>
      </c>
      <c r="Q661" s="4" t="e">
        <f ca="1">[1]!BexGetData("DP_1","00O2TNJGODT0G5Z4TTKYMM5MT","GSON1112060240")</f>
        <v>#NAME?</v>
      </c>
      <c r="R661" s="3" t="e">
        <f ca="1">[1]!BexGetData("DP_1","00O2TNJGODT0G5Z4TTKYMMBYD","GSON1112060240")</f>
        <v>#NAME?</v>
      </c>
      <c r="S661" s="3" t="e">
        <f ca="1">[1]!BexGetData("DP_1","00O2TNJGODT0G5Z4TTKYMMI9X","GSON1112060240")</f>
        <v>#NAME?</v>
      </c>
      <c r="T661" s="8" t="e">
        <f ca="1">[1]!BexGetData("DP_1","00O2TNJGODT0G5Z4TTKYMMOLH","GSON1112060240")</f>
        <v>#NAME?</v>
      </c>
      <c r="U661" s="3" t="e">
        <f ca="1">[1]!BexGetData("DP_1","00O2TNJGODT0G5Z4TTKYMMUX1","GSON1112060240")</f>
        <v>#NAME?</v>
      </c>
      <c r="V661" s="8" t="e">
        <f ca="1">[1]!BexGetData("DP_1","00O2TNJGODT0G5Z4TTKYMN18L","GSON1112060240")</f>
        <v>#NAME?</v>
      </c>
      <c r="W661" s="3" t="e">
        <f ca="1">[1]!BexGetData("DP_1","00O2TNJGODT0G5Z4TTKYMN7K5","GSON1112060240")</f>
        <v>#NAME?</v>
      </c>
    </row>
    <row r="662" spans="1:23" x14ac:dyDescent="0.2">
      <c r="A662" s="16" t="s">
        <v>2682</v>
      </c>
      <c r="B662" s="7" t="s">
        <v>2683</v>
      </c>
      <c r="C662" s="3" t="e">
        <f ca="1">[1]!BexGetData("DP_1","003N8EMH8GTFRCSWKMPXRR8GU","GSON1112060241")</f>
        <v>#NAME?</v>
      </c>
      <c r="D662" s="3" t="e">
        <f ca="1">[1]!BexGetData("DP_1","003N8EMH8GTFRCSWKMPXRRESE","GSON1112060241")</f>
        <v>#NAME?</v>
      </c>
      <c r="E662" s="8" t="e">
        <f ca="1">[1]!BexGetData("DP_1","003N8EMH8GTFRCSWKMPXRRL3Y","GSON1112060241")</f>
        <v>#NAME?</v>
      </c>
      <c r="F662" s="4" t="e">
        <f ca="1">[1]!BexGetData("DP_1","003N8EMH8GTFRCSWKMPXRRRFI","GSON1112060241")</f>
        <v>#NAME?</v>
      </c>
      <c r="G662" s="4" t="e">
        <f ca="1">[1]!BexGetData("DP_1","003N8EMH8GTFRCSWKMPXRRXR2","GSON1112060241")</f>
        <v>#NAME?</v>
      </c>
      <c r="H662" s="4" t="e">
        <f ca="1">[1]!BexGetData("DP_1","003N8EMH8GTFRCSWKMPXRS42M","GSON1112060241")</f>
        <v>#NAME?</v>
      </c>
      <c r="I662" s="4" t="e">
        <f ca="1">[1]!BexGetData("DP_1","003N8EMH8GTFRCSWKMPXRSAE6","GSON1112060241")</f>
        <v>#NAME?</v>
      </c>
      <c r="J662" s="4" t="e">
        <f ca="1">[1]!BexGetData("DP_1","003N8EMH8GTFRCSWKMPXRSGPQ","GSON1112060241")</f>
        <v>#NAME?</v>
      </c>
      <c r="K662" s="8" t="e">
        <f ca="1">[1]!BexGetData("DP_1","003N8EMH8GTFRIVNUPY288VJH","GSON1112060241")</f>
        <v>#NAME?</v>
      </c>
      <c r="L662" s="8" t="e">
        <f ca="1">[1]!BexGetData("DP_1","003N8EMH8GTFRIVNUPY2891V1","GSON1112060241")</f>
        <v>#NAME?</v>
      </c>
      <c r="M662" s="8" t="e">
        <f ca="1">[1]!BexGetData("DP_1","003N8EMH8GTFRIVOG7KG9IQXA","GSON1112060241")</f>
        <v>#NAME?</v>
      </c>
      <c r="N662" s="8" t="e">
        <f ca="1">[1]!BexGetData("DP_1","003N8EMH8GTFRIVOG7KG9IX8U","GSON1112060241")</f>
        <v>#NAME?</v>
      </c>
      <c r="O662" s="8" t="e">
        <f ca="1">[1]!BexGetData("DP_1","003N8EMH8GTFRIVOG7KG9J3KE","GSON1112060241")</f>
        <v>#NAME?</v>
      </c>
      <c r="P662" s="8" t="e">
        <f ca="1">[1]!BexGetData("DP_1","003N8EMH8GTFRIVOG7KG9J9VY","GSON1112060241")</f>
        <v>#NAME?</v>
      </c>
      <c r="Q662" s="4" t="e">
        <f ca="1">[1]!BexGetData("DP_1","00O2TNJGODT0G5Z4TTKYMM5MT","GSON1112060241")</f>
        <v>#NAME?</v>
      </c>
      <c r="R662" s="4" t="e">
        <f ca="1">[1]!BexGetData("DP_1","00O2TNJGODT0G5Z4TTKYMMBYD","GSON1112060241")</f>
        <v>#NAME?</v>
      </c>
      <c r="S662" s="4" t="e">
        <f ca="1">[1]!BexGetData("DP_1","00O2TNJGODT0G5Z4TTKYMMI9X","GSON1112060241")</f>
        <v>#NAME?</v>
      </c>
      <c r="T662" s="4" t="e">
        <f ca="1">[1]!BexGetData("DP_1","00O2TNJGODT0G5Z4TTKYMMOLH","GSON1112060241")</f>
        <v>#NAME?</v>
      </c>
      <c r="U662" s="4" t="e">
        <f ca="1">[1]!BexGetData("DP_1","00O2TNJGODT0G5Z4TTKYMMUX1","GSON1112060241")</f>
        <v>#NAME?</v>
      </c>
      <c r="V662" s="4" t="e">
        <f ca="1">[1]!BexGetData("DP_1","00O2TNJGODT0G5Z4TTKYMN18L","GSON1112060241")</f>
        <v>#NAME?</v>
      </c>
      <c r="W662" s="4" t="e">
        <f ca="1">[1]!BexGetData("DP_1","00O2TNJGODT0G5Z4TTKYMN7K5","GSON1112060241")</f>
        <v>#NAME?</v>
      </c>
    </row>
    <row r="663" spans="1:23" x14ac:dyDescent="0.2">
      <c r="A663" s="16" t="s">
        <v>2684</v>
      </c>
      <c r="B663" s="7" t="s">
        <v>2685</v>
      </c>
      <c r="C663" s="3" t="e">
        <f ca="1">[1]!BexGetData("DP_1","003N8EMH8GTFRCSWKMPXRR8GU","GSON1112060243")</f>
        <v>#NAME?</v>
      </c>
      <c r="D663" s="3" t="e">
        <f ca="1">[1]!BexGetData("DP_1","003N8EMH8GTFRCSWKMPXRRESE","GSON1112060243")</f>
        <v>#NAME?</v>
      </c>
      <c r="E663" s="8" t="e">
        <f ca="1">[1]!BexGetData("DP_1","003N8EMH8GTFRCSWKMPXRRL3Y","GSON1112060243")</f>
        <v>#NAME?</v>
      </c>
      <c r="F663" s="4" t="e">
        <f ca="1">[1]!BexGetData("DP_1","003N8EMH8GTFRCSWKMPXRRRFI","GSON1112060243")</f>
        <v>#NAME?</v>
      </c>
      <c r="G663" s="4" t="e">
        <f ca="1">[1]!BexGetData("DP_1","003N8EMH8GTFRCSWKMPXRRXR2","GSON1112060243")</f>
        <v>#NAME?</v>
      </c>
      <c r="H663" s="4" t="e">
        <f ca="1">[1]!BexGetData("DP_1","003N8EMH8GTFRCSWKMPXRS42M","GSON1112060243")</f>
        <v>#NAME?</v>
      </c>
      <c r="I663" s="4" t="e">
        <f ca="1">[1]!BexGetData("DP_1","003N8EMH8GTFRCSWKMPXRSAE6","GSON1112060243")</f>
        <v>#NAME?</v>
      </c>
      <c r="J663" s="4" t="e">
        <f ca="1">[1]!BexGetData("DP_1","003N8EMH8GTFRCSWKMPXRSGPQ","GSON1112060243")</f>
        <v>#NAME?</v>
      </c>
      <c r="K663" s="8" t="e">
        <f ca="1">[1]!BexGetData("DP_1","003N8EMH8GTFRIVNUPY288VJH","GSON1112060243")</f>
        <v>#NAME?</v>
      </c>
      <c r="L663" s="8" t="e">
        <f ca="1">[1]!BexGetData("DP_1","003N8EMH8GTFRIVNUPY2891V1","GSON1112060243")</f>
        <v>#NAME?</v>
      </c>
      <c r="M663" s="8" t="e">
        <f ca="1">[1]!BexGetData("DP_1","003N8EMH8GTFRIVOG7KG9IQXA","GSON1112060243")</f>
        <v>#NAME?</v>
      </c>
      <c r="N663" s="8" t="e">
        <f ca="1">[1]!BexGetData("DP_1","003N8EMH8GTFRIVOG7KG9IX8U","GSON1112060243")</f>
        <v>#NAME?</v>
      </c>
      <c r="O663" s="8" t="e">
        <f ca="1">[1]!BexGetData("DP_1","003N8EMH8GTFRIVOG7KG9J3KE","GSON1112060243")</f>
        <v>#NAME?</v>
      </c>
      <c r="P663" s="8" t="e">
        <f ca="1">[1]!BexGetData("DP_1","003N8EMH8GTFRIVOG7KG9J9VY","GSON1112060243")</f>
        <v>#NAME?</v>
      </c>
      <c r="Q663" s="4" t="e">
        <f ca="1">[1]!BexGetData("DP_1","00O2TNJGODT0G5Z4TTKYMM5MT","GSON1112060243")</f>
        <v>#NAME?</v>
      </c>
      <c r="R663" s="4" t="e">
        <f ca="1">[1]!BexGetData("DP_1","00O2TNJGODT0G5Z4TTKYMMBYD","GSON1112060243")</f>
        <v>#NAME?</v>
      </c>
      <c r="S663" s="4" t="e">
        <f ca="1">[1]!BexGetData("DP_1","00O2TNJGODT0G5Z4TTKYMMI9X","GSON1112060243")</f>
        <v>#NAME?</v>
      </c>
      <c r="T663" s="4" t="e">
        <f ca="1">[1]!BexGetData("DP_1","00O2TNJGODT0G5Z4TTKYMMOLH","GSON1112060243")</f>
        <v>#NAME?</v>
      </c>
      <c r="U663" s="4" t="e">
        <f ca="1">[1]!BexGetData("DP_1","00O2TNJGODT0G5Z4TTKYMMUX1","GSON1112060243")</f>
        <v>#NAME?</v>
      </c>
      <c r="V663" s="4" t="e">
        <f ca="1">[1]!BexGetData("DP_1","00O2TNJGODT0G5Z4TTKYMN18L","GSON1112060243")</f>
        <v>#NAME?</v>
      </c>
      <c r="W663" s="4" t="e">
        <f ca="1">[1]!BexGetData("DP_1","00O2TNJGODT0G5Z4TTKYMN7K5","GSON1112060243")</f>
        <v>#NAME?</v>
      </c>
    </row>
    <row r="664" spans="1:23" x14ac:dyDescent="0.2">
      <c r="A664" s="16" t="s">
        <v>2686</v>
      </c>
      <c r="B664" s="7" t="s">
        <v>2687</v>
      </c>
      <c r="C664" s="3" t="e">
        <f ca="1">[1]!BexGetData("DP_1","003N8EMH8GTFRCSWKMPXRR8GU","GSON1112060245")</f>
        <v>#NAME?</v>
      </c>
      <c r="D664" s="3" t="e">
        <f ca="1">[1]!BexGetData("DP_1","003N8EMH8GTFRCSWKMPXRRESE","GSON1112060245")</f>
        <v>#NAME?</v>
      </c>
      <c r="E664" s="8" t="e">
        <f ca="1">[1]!BexGetData("DP_1","003N8EMH8GTFRCSWKMPXRRL3Y","GSON1112060245")</f>
        <v>#NAME?</v>
      </c>
      <c r="F664" s="4" t="e">
        <f ca="1">[1]!BexGetData("DP_1","003N8EMH8GTFRCSWKMPXRRRFI","GSON1112060245")</f>
        <v>#NAME?</v>
      </c>
      <c r="G664" s="4" t="e">
        <f ca="1">[1]!BexGetData("DP_1","003N8EMH8GTFRCSWKMPXRRXR2","GSON1112060245")</f>
        <v>#NAME?</v>
      </c>
      <c r="H664" s="4" t="e">
        <f ca="1">[1]!BexGetData("DP_1","003N8EMH8GTFRCSWKMPXRS42M","GSON1112060245")</f>
        <v>#NAME?</v>
      </c>
      <c r="I664" s="4" t="e">
        <f ca="1">[1]!BexGetData("DP_1","003N8EMH8GTFRCSWKMPXRSAE6","GSON1112060245")</f>
        <v>#NAME?</v>
      </c>
      <c r="J664" s="4" t="e">
        <f ca="1">[1]!BexGetData("DP_1","003N8EMH8GTFRCSWKMPXRSGPQ","GSON1112060245")</f>
        <v>#NAME?</v>
      </c>
      <c r="K664" s="8" t="e">
        <f ca="1">[1]!BexGetData("DP_1","003N8EMH8GTFRIVNUPY288VJH","GSON1112060245")</f>
        <v>#NAME?</v>
      </c>
      <c r="L664" s="8" t="e">
        <f ca="1">[1]!BexGetData("DP_1","003N8EMH8GTFRIVNUPY2891V1","GSON1112060245")</f>
        <v>#NAME?</v>
      </c>
      <c r="M664" s="8" t="e">
        <f ca="1">[1]!BexGetData("DP_1","003N8EMH8GTFRIVOG7KG9IQXA","GSON1112060245")</f>
        <v>#NAME?</v>
      </c>
      <c r="N664" s="8" t="e">
        <f ca="1">[1]!BexGetData("DP_1","003N8EMH8GTFRIVOG7KG9IX8U","GSON1112060245")</f>
        <v>#NAME?</v>
      </c>
      <c r="O664" s="8" t="e">
        <f ca="1">[1]!BexGetData("DP_1","003N8EMH8GTFRIVOG7KG9J3KE","GSON1112060245")</f>
        <v>#NAME?</v>
      </c>
      <c r="P664" s="8" t="e">
        <f ca="1">[1]!BexGetData("DP_1","003N8EMH8GTFRIVOG7KG9J9VY","GSON1112060245")</f>
        <v>#NAME?</v>
      </c>
      <c r="Q664" s="4" t="e">
        <f ca="1">[1]!BexGetData("DP_1","00O2TNJGODT0G5Z4TTKYMM5MT","GSON1112060245")</f>
        <v>#NAME?</v>
      </c>
      <c r="R664" s="4" t="e">
        <f ca="1">[1]!BexGetData("DP_1","00O2TNJGODT0G5Z4TTKYMMBYD","GSON1112060245")</f>
        <v>#NAME?</v>
      </c>
      <c r="S664" s="4" t="e">
        <f ca="1">[1]!BexGetData("DP_1","00O2TNJGODT0G5Z4TTKYMMI9X","GSON1112060245")</f>
        <v>#NAME?</v>
      </c>
      <c r="T664" s="4" t="e">
        <f ca="1">[1]!BexGetData("DP_1","00O2TNJGODT0G5Z4TTKYMMOLH","GSON1112060245")</f>
        <v>#NAME?</v>
      </c>
      <c r="U664" s="4" t="e">
        <f ca="1">[1]!BexGetData("DP_1","00O2TNJGODT0G5Z4TTKYMMUX1","GSON1112060245")</f>
        <v>#NAME?</v>
      </c>
      <c r="V664" s="4" t="e">
        <f ca="1">[1]!BexGetData("DP_1","00O2TNJGODT0G5Z4TTKYMN18L","GSON1112060245")</f>
        <v>#NAME?</v>
      </c>
      <c r="W664" s="4" t="e">
        <f ca="1">[1]!BexGetData("DP_1","00O2TNJGODT0G5Z4TTKYMN7K5","GSON1112060245")</f>
        <v>#NAME?</v>
      </c>
    </row>
    <row r="665" spans="1:23" x14ac:dyDescent="0.2">
      <c r="A665" s="16" t="s">
        <v>2688</v>
      </c>
      <c r="B665" s="7" t="s">
        <v>2689</v>
      </c>
      <c r="C665" s="3" t="e">
        <f ca="1">[1]!BexGetData("DP_1","003N8EMH8GTFRCSWKMPXRR8GU","GSON1112060260")</f>
        <v>#NAME?</v>
      </c>
      <c r="D665" s="3" t="e">
        <f ca="1">[1]!BexGetData("DP_1","003N8EMH8GTFRCSWKMPXRRESE","GSON1112060260")</f>
        <v>#NAME?</v>
      </c>
      <c r="E665" s="3" t="e">
        <f ca="1">[1]!BexGetData("DP_1","003N8EMH8GTFRCSWKMPXRRL3Y","GSON1112060260")</f>
        <v>#NAME?</v>
      </c>
      <c r="F665" s="3" t="e">
        <f ca="1">[1]!BexGetData("DP_1","003N8EMH8GTFRCSWKMPXRRRFI","GSON1112060260")</f>
        <v>#NAME?</v>
      </c>
      <c r="G665" s="3" t="e">
        <f ca="1">[1]!BexGetData("DP_1","003N8EMH8GTFRCSWKMPXRRXR2","GSON1112060260")</f>
        <v>#NAME?</v>
      </c>
      <c r="H665" s="8" t="e">
        <f ca="1">[1]!BexGetData("DP_1","003N8EMH8GTFRCSWKMPXRS42M","GSON1112060260")</f>
        <v>#NAME?</v>
      </c>
      <c r="I665" s="3" t="e">
        <f ca="1">[1]!BexGetData("DP_1","003N8EMH8GTFRCSWKMPXRSAE6","GSON1112060260")</f>
        <v>#NAME?</v>
      </c>
      <c r="J665" s="4" t="e">
        <f ca="1">[1]!BexGetData("DP_1","003N8EMH8GTFRCSWKMPXRSGPQ","GSON1112060260")</f>
        <v>#NAME?</v>
      </c>
      <c r="K665" s="3" t="e">
        <f ca="1">[1]!BexGetData("DP_1","003N8EMH8GTFRIVNUPY288VJH","GSON1112060260")</f>
        <v>#NAME?</v>
      </c>
      <c r="L665" s="3" t="e">
        <f ca="1">[1]!BexGetData("DP_1","003N8EMH8GTFRIVNUPY2891V1","GSON1112060260")</f>
        <v>#NAME?</v>
      </c>
      <c r="M665" s="8" t="e">
        <f ca="1">[1]!BexGetData("DP_1","003N8EMH8GTFRIVOG7KG9IQXA","GSON1112060260")</f>
        <v>#NAME?</v>
      </c>
      <c r="N665" s="3" t="e">
        <f ca="1">[1]!BexGetData("DP_1","003N8EMH8GTFRIVOG7KG9IX8U","GSON1112060260")</f>
        <v>#NAME?</v>
      </c>
      <c r="O665" s="8" t="e">
        <f ca="1">[1]!BexGetData("DP_1","003N8EMH8GTFRIVOG7KG9J3KE","GSON1112060260")</f>
        <v>#NAME?</v>
      </c>
      <c r="P665" s="3" t="e">
        <f ca="1">[1]!BexGetData("DP_1","003N8EMH8GTFRIVOG7KG9J9VY","GSON1112060260")</f>
        <v>#NAME?</v>
      </c>
      <c r="Q665" s="4" t="e">
        <f ca="1">[1]!BexGetData("DP_1","00O2TNJGODT0G5Z4TTKYMM5MT","GSON1112060260")</f>
        <v>#NAME?</v>
      </c>
      <c r="R665" s="3" t="e">
        <f ca="1">[1]!BexGetData("DP_1","00O2TNJGODT0G5Z4TTKYMMBYD","GSON1112060260")</f>
        <v>#NAME?</v>
      </c>
      <c r="S665" s="3" t="e">
        <f ca="1">[1]!BexGetData("DP_1","00O2TNJGODT0G5Z4TTKYMMI9X","GSON1112060260")</f>
        <v>#NAME?</v>
      </c>
      <c r="T665" s="8" t="e">
        <f ca="1">[1]!BexGetData("DP_1","00O2TNJGODT0G5Z4TTKYMMOLH","GSON1112060260")</f>
        <v>#NAME?</v>
      </c>
      <c r="U665" s="3" t="e">
        <f ca="1">[1]!BexGetData("DP_1","00O2TNJGODT0G5Z4TTKYMMUX1","GSON1112060260")</f>
        <v>#NAME?</v>
      </c>
      <c r="V665" s="8" t="e">
        <f ca="1">[1]!BexGetData("DP_1","00O2TNJGODT0G5Z4TTKYMN18L","GSON1112060260")</f>
        <v>#NAME?</v>
      </c>
      <c r="W665" s="3" t="e">
        <f ca="1">[1]!BexGetData("DP_1","00O2TNJGODT0G5Z4TTKYMN7K5","GSON1112060260")</f>
        <v>#NAME?</v>
      </c>
    </row>
    <row r="666" spans="1:23" x14ac:dyDescent="0.2">
      <c r="A666" s="16" t="s">
        <v>2690</v>
      </c>
      <c r="B666" s="7" t="s">
        <v>2691</v>
      </c>
      <c r="C666" s="3" t="e">
        <f ca="1">[1]!BexGetData("DP_1","003N8EMH8GTFRCSWKMPXRR8GU","GSON1112060261")</f>
        <v>#NAME?</v>
      </c>
      <c r="D666" s="3" t="e">
        <f ca="1">[1]!BexGetData("DP_1","003N8EMH8GTFRCSWKMPXRRESE","GSON1112060261")</f>
        <v>#NAME?</v>
      </c>
      <c r="E666" s="8" t="e">
        <f ca="1">[1]!BexGetData("DP_1","003N8EMH8GTFRCSWKMPXRRL3Y","GSON1112060261")</f>
        <v>#NAME?</v>
      </c>
      <c r="F666" s="4" t="e">
        <f ca="1">[1]!BexGetData("DP_1","003N8EMH8GTFRCSWKMPXRRRFI","GSON1112060261")</f>
        <v>#NAME?</v>
      </c>
      <c r="G666" s="4" t="e">
        <f ca="1">[1]!BexGetData("DP_1","003N8EMH8GTFRCSWKMPXRRXR2","GSON1112060261")</f>
        <v>#NAME?</v>
      </c>
      <c r="H666" s="4" t="e">
        <f ca="1">[1]!BexGetData("DP_1","003N8EMH8GTFRCSWKMPXRS42M","GSON1112060261")</f>
        <v>#NAME?</v>
      </c>
      <c r="I666" s="4" t="e">
        <f ca="1">[1]!BexGetData("DP_1","003N8EMH8GTFRCSWKMPXRSAE6","GSON1112060261")</f>
        <v>#NAME?</v>
      </c>
      <c r="J666" s="4" t="e">
        <f ca="1">[1]!BexGetData("DP_1","003N8EMH8GTFRCSWKMPXRSGPQ","GSON1112060261")</f>
        <v>#NAME?</v>
      </c>
      <c r="K666" s="8" t="e">
        <f ca="1">[1]!BexGetData("DP_1","003N8EMH8GTFRIVNUPY288VJH","GSON1112060261")</f>
        <v>#NAME?</v>
      </c>
      <c r="L666" s="8" t="e">
        <f ca="1">[1]!BexGetData("DP_1","003N8EMH8GTFRIVNUPY2891V1","GSON1112060261")</f>
        <v>#NAME?</v>
      </c>
      <c r="M666" s="8" t="e">
        <f ca="1">[1]!BexGetData("DP_1","003N8EMH8GTFRIVOG7KG9IQXA","GSON1112060261")</f>
        <v>#NAME?</v>
      </c>
      <c r="N666" s="8" t="e">
        <f ca="1">[1]!BexGetData("DP_1","003N8EMH8GTFRIVOG7KG9IX8U","GSON1112060261")</f>
        <v>#NAME?</v>
      </c>
      <c r="O666" s="8" t="e">
        <f ca="1">[1]!BexGetData("DP_1","003N8EMH8GTFRIVOG7KG9J3KE","GSON1112060261")</f>
        <v>#NAME?</v>
      </c>
      <c r="P666" s="8" t="e">
        <f ca="1">[1]!BexGetData("DP_1","003N8EMH8GTFRIVOG7KG9J9VY","GSON1112060261")</f>
        <v>#NAME?</v>
      </c>
      <c r="Q666" s="4" t="e">
        <f ca="1">[1]!BexGetData("DP_1","00O2TNJGODT0G5Z4TTKYMM5MT","GSON1112060261")</f>
        <v>#NAME?</v>
      </c>
      <c r="R666" s="4" t="e">
        <f ca="1">[1]!BexGetData("DP_1","00O2TNJGODT0G5Z4TTKYMMBYD","GSON1112060261")</f>
        <v>#NAME?</v>
      </c>
      <c r="S666" s="4" t="e">
        <f ca="1">[1]!BexGetData("DP_1","00O2TNJGODT0G5Z4TTKYMMI9X","GSON1112060261")</f>
        <v>#NAME?</v>
      </c>
      <c r="T666" s="4" t="e">
        <f ca="1">[1]!BexGetData("DP_1","00O2TNJGODT0G5Z4TTKYMMOLH","GSON1112060261")</f>
        <v>#NAME?</v>
      </c>
      <c r="U666" s="4" t="e">
        <f ca="1">[1]!BexGetData("DP_1","00O2TNJGODT0G5Z4TTKYMMUX1","GSON1112060261")</f>
        <v>#NAME?</v>
      </c>
      <c r="V666" s="4" t="e">
        <f ca="1">[1]!BexGetData("DP_1","00O2TNJGODT0G5Z4TTKYMN18L","GSON1112060261")</f>
        <v>#NAME?</v>
      </c>
      <c r="W666" s="4" t="e">
        <f ca="1">[1]!BexGetData("DP_1","00O2TNJGODT0G5Z4TTKYMN7K5","GSON1112060261")</f>
        <v>#NAME?</v>
      </c>
    </row>
    <row r="667" spans="1:23" x14ac:dyDescent="0.2">
      <c r="A667" s="16" t="s">
        <v>2692</v>
      </c>
      <c r="B667" s="7" t="s">
        <v>2693</v>
      </c>
      <c r="C667" s="3" t="e">
        <f ca="1">[1]!BexGetData("DP_1","003N8EMH8GTFRCSWKMPXRR8GU","GSON1112060263")</f>
        <v>#NAME?</v>
      </c>
      <c r="D667" s="3" t="e">
        <f ca="1">[1]!BexGetData("DP_1","003N8EMH8GTFRCSWKMPXRRESE","GSON1112060263")</f>
        <v>#NAME?</v>
      </c>
      <c r="E667" s="8" t="e">
        <f ca="1">[1]!BexGetData("DP_1","003N8EMH8GTFRCSWKMPXRRL3Y","GSON1112060263")</f>
        <v>#NAME?</v>
      </c>
      <c r="F667" s="4" t="e">
        <f ca="1">[1]!BexGetData("DP_1","003N8EMH8GTFRCSWKMPXRRRFI","GSON1112060263")</f>
        <v>#NAME?</v>
      </c>
      <c r="G667" s="4" t="e">
        <f ca="1">[1]!BexGetData("DP_1","003N8EMH8GTFRCSWKMPXRRXR2","GSON1112060263")</f>
        <v>#NAME?</v>
      </c>
      <c r="H667" s="4" t="e">
        <f ca="1">[1]!BexGetData("DP_1","003N8EMH8GTFRCSWKMPXRS42M","GSON1112060263")</f>
        <v>#NAME?</v>
      </c>
      <c r="I667" s="4" t="e">
        <f ca="1">[1]!BexGetData("DP_1","003N8EMH8GTFRCSWKMPXRSAE6","GSON1112060263")</f>
        <v>#NAME?</v>
      </c>
      <c r="J667" s="4" t="e">
        <f ca="1">[1]!BexGetData("DP_1","003N8EMH8GTFRCSWKMPXRSGPQ","GSON1112060263")</f>
        <v>#NAME?</v>
      </c>
      <c r="K667" s="8" t="e">
        <f ca="1">[1]!BexGetData("DP_1","003N8EMH8GTFRIVNUPY288VJH","GSON1112060263")</f>
        <v>#NAME?</v>
      </c>
      <c r="L667" s="8" t="e">
        <f ca="1">[1]!BexGetData("DP_1","003N8EMH8GTFRIVNUPY2891V1","GSON1112060263")</f>
        <v>#NAME?</v>
      </c>
      <c r="M667" s="8" t="e">
        <f ca="1">[1]!BexGetData("DP_1","003N8EMH8GTFRIVOG7KG9IQXA","GSON1112060263")</f>
        <v>#NAME?</v>
      </c>
      <c r="N667" s="8" t="e">
        <f ca="1">[1]!BexGetData("DP_1","003N8EMH8GTFRIVOG7KG9IX8U","GSON1112060263")</f>
        <v>#NAME?</v>
      </c>
      <c r="O667" s="8" t="e">
        <f ca="1">[1]!BexGetData("DP_1","003N8EMH8GTFRIVOG7KG9J3KE","GSON1112060263")</f>
        <v>#NAME?</v>
      </c>
      <c r="P667" s="8" t="e">
        <f ca="1">[1]!BexGetData("DP_1","003N8EMH8GTFRIVOG7KG9J9VY","GSON1112060263")</f>
        <v>#NAME?</v>
      </c>
      <c r="Q667" s="4" t="e">
        <f ca="1">[1]!BexGetData("DP_1","00O2TNJGODT0G5Z4TTKYMM5MT","GSON1112060263")</f>
        <v>#NAME?</v>
      </c>
      <c r="R667" s="4" t="e">
        <f ca="1">[1]!BexGetData("DP_1","00O2TNJGODT0G5Z4TTKYMMBYD","GSON1112060263")</f>
        <v>#NAME?</v>
      </c>
      <c r="S667" s="4" t="e">
        <f ca="1">[1]!BexGetData("DP_1","00O2TNJGODT0G5Z4TTKYMMI9X","GSON1112060263")</f>
        <v>#NAME?</v>
      </c>
      <c r="T667" s="4" t="e">
        <f ca="1">[1]!BexGetData("DP_1","00O2TNJGODT0G5Z4TTKYMMOLH","GSON1112060263")</f>
        <v>#NAME?</v>
      </c>
      <c r="U667" s="4" t="e">
        <f ca="1">[1]!BexGetData("DP_1","00O2TNJGODT0G5Z4TTKYMMUX1","GSON1112060263")</f>
        <v>#NAME?</v>
      </c>
      <c r="V667" s="4" t="e">
        <f ca="1">[1]!BexGetData("DP_1","00O2TNJGODT0G5Z4TTKYMN18L","GSON1112060263")</f>
        <v>#NAME?</v>
      </c>
      <c r="W667" s="4" t="e">
        <f ca="1">[1]!BexGetData("DP_1","00O2TNJGODT0G5Z4TTKYMN7K5","GSON1112060263")</f>
        <v>#NAME?</v>
      </c>
    </row>
    <row r="668" spans="1:23" x14ac:dyDescent="0.2">
      <c r="A668" s="16" t="s">
        <v>2694</v>
      </c>
      <c r="B668" s="7" t="s">
        <v>2695</v>
      </c>
      <c r="C668" s="3" t="e">
        <f ca="1">[1]!BexGetData("DP_1","003N8EMH8GTFRCSWKMPXRR8GU","GSON1112060270")</f>
        <v>#NAME?</v>
      </c>
      <c r="D668" s="3" t="e">
        <f ca="1">[1]!BexGetData("DP_1","003N8EMH8GTFRCSWKMPXRRESE","GSON1112060270")</f>
        <v>#NAME?</v>
      </c>
      <c r="E668" s="3" t="e">
        <f ca="1">[1]!BexGetData("DP_1","003N8EMH8GTFRCSWKMPXRRL3Y","GSON1112060270")</f>
        <v>#NAME?</v>
      </c>
      <c r="F668" s="3" t="e">
        <f ca="1">[1]!BexGetData("DP_1","003N8EMH8GTFRCSWKMPXRRRFI","GSON1112060270")</f>
        <v>#NAME?</v>
      </c>
      <c r="G668" s="3" t="e">
        <f ca="1">[1]!BexGetData("DP_1","003N8EMH8GTFRCSWKMPXRRXR2","GSON1112060270")</f>
        <v>#NAME?</v>
      </c>
      <c r="H668" s="8" t="e">
        <f ca="1">[1]!BexGetData("DP_1","003N8EMH8GTFRCSWKMPXRS42M","GSON1112060270")</f>
        <v>#NAME?</v>
      </c>
      <c r="I668" s="3" t="e">
        <f ca="1">[1]!BexGetData("DP_1","003N8EMH8GTFRCSWKMPXRSAE6","GSON1112060270")</f>
        <v>#NAME?</v>
      </c>
      <c r="J668" s="4" t="e">
        <f ca="1">[1]!BexGetData("DP_1","003N8EMH8GTFRCSWKMPXRSGPQ","GSON1112060270")</f>
        <v>#NAME?</v>
      </c>
      <c r="K668" s="3" t="e">
        <f ca="1">[1]!BexGetData("DP_1","003N8EMH8GTFRIVNUPY288VJH","GSON1112060270")</f>
        <v>#NAME?</v>
      </c>
      <c r="L668" s="3" t="e">
        <f ca="1">[1]!BexGetData("DP_1","003N8EMH8GTFRIVNUPY2891V1","GSON1112060270")</f>
        <v>#NAME?</v>
      </c>
      <c r="M668" s="8" t="e">
        <f ca="1">[1]!BexGetData("DP_1","003N8EMH8GTFRIVOG7KG9IQXA","GSON1112060270")</f>
        <v>#NAME?</v>
      </c>
      <c r="N668" s="3" t="e">
        <f ca="1">[1]!BexGetData("DP_1","003N8EMH8GTFRIVOG7KG9IX8U","GSON1112060270")</f>
        <v>#NAME?</v>
      </c>
      <c r="O668" s="8" t="e">
        <f ca="1">[1]!BexGetData("DP_1","003N8EMH8GTFRIVOG7KG9J3KE","GSON1112060270")</f>
        <v>#NAME?</v>
      </c>
      <c r="P668" s="3" t="e">
        <f ca="1">[1]!BexGetData("DP_1","003N8EMH8GTFRIVOG7KG9J9VY","GSON1112060270")</f>
        <v>#NAME?</v>
      </c>
      <c r="Q668" s="4" t="e">
        <f ca="1">[1]!BexGetData("DP_1","00O2TNJGODT0G5Z4TTKYMM5MT","GSON1112060270")</f>
        <v>#NAME?</v>
      </c>
      <c r="R668" s="3" t="e">
        <f ca="1">[1]!BexGetData("DP_1","00O2TNJGODT0G5Z4TTKYMMBYD","GSON1112060270")</f>
        <v>#NAME?</v>
      </c>
      <c r="S668" s="3" t="e">
        <f ca="1">[1]!BexGetData("DP_1","00O2TNJGODT0G5Z4TTKYMMI9X","GSON1112060270")</f>
        <v>#NAME?</v>
      </c>
      <c r="T668" s="8" t="e">
        <f ca="1">[1]!BexGetData("DP_1","00O2TNJGODT0G5Z4TTKYMMOLH","GSON1112060270")</f>
        <v>#NAME?</v>
      </c>
      <c r="U668" s="3" t="e">
        <f ca="1">[1]!BexGetData("DP_1","00O2TNJGODT0G5Z4TTKYMMUX1","GSON1112060270")</f>
        <v>#NAME?</v>
      </c>
      <c r="V668" s="8" t="e">
        <f ca="1">[1]!BexGetData("DP_1","00O2TNJGODT0G5Z4TTKYMN18L","GSON1112060270")</f>
        <v>#NAME?</v>
      </c>
      <c r="W668" s="3" t="e">
        <f ca="1">[1]!BexGetData("DP_1","00O2TNJGODT0G5Z4TTKYMN7K5","GSON1112060270")</f>
        <v>#NAME?</v>
      </c>
    </row>
    <row r="669" spans="1:23" x14ac:dyDescent="0.2">
      <c r="A669" s="16" t="s">
        <v>2696</v>
      </c>
      <c r="B669" s="7" t="s">
        <v>2697</v>
      </c>
      <c r="C669" s="3" t="e">
        <f ca="1">[1]!BexGetData("DP_1","003N8EMH8GTFRCSWKMPXRR8GU","GSON1112060271")</f>
        <v>#NAME?</v>
      </c>
      <c r="D669" s="3" t="e">
        <f ca="1">[1]!BexGetData("DP_1","003N8EMH8GTFRCSWKMPXRRESE","GSON1112060271")</f>
        <v>#NAME?</v>
      </c>
      <c r="E669" s="8" t="e">
        <f ca="1">[1]!BexGetData("DP_1","003N8EMH8GTFRCSWKMPXRRL3Y","GSON1112060271")</f>
        <v>#NAME?</v>
      </c>
      <c r="F669" s="4" t="e">
        <f ca="1">[1]!BexGetData("DP_1","003N8EMH8GTFRCSWKMPXRRRFI","GSON1112060271")</f>
        <v>#NAME?</v>
      </c>
      <c r="G669" s="4" t="e">
        <f ca="1">[1]!BexGetData("DP_1","003N8EMH8GTFRCSWKMPXRRXR2","GSON1112060271")</f>
        <v>#NAME?</v>
      </c>
      <c r="H669" s="4" t="e">
        <f ca="1">[1]!BexGetData("DP_1","003N8EMH8GTFRCSWKMPXRS42M","GSON1112060271")</f>
        <v>#NAME?</v>
      </c>
      <c r="I669" s="4" t="e">
        <f ca="1">[1]!BexGetData("DP_1","003N8EMH8GTFRCSWKMPXRSAE6","GSON1112060271")</f>
        <v>#NAME?</v>
      </c>
      <c r="J669" s="4" t="e">
        <f ca="1">[1]!BexGetData("DP_1","003N8EMH8GTFRCSWKMPXRSGPQ","GSON1112060271")</f>
        <v>#NAME?</v>
      </c>
      <c r="K669" s="8" t="e">
        <f ca="1">[1]!BexGetData("DP_1","003N8EMH8GTFRIVNUPY288VJH","GSON1112060271")</f>
        <v>#NAME?</v>
      </c>
      <c r="L669" s="8" t="e">
        <f ca="1">[1]!BexGetData("DP_1","003N8EMH8GTFRIVNUPY2891V1","GSON1112060271")</f>
        <v>#NAME?</v>
      </c>
      <c r="M669" s="8" t="e">
        <f ca="1">[1]!BexGetData("DP_1","003N8EMH8GTFRIVOG7KG9IQXA","GSON1112060271")</f>
        <v>#NAME?</v>
      </c>
      <c r="N669" s="8" t="e">
        <f ca="1">[1]!BexGetData("DP_1","003N8EMH8GTFRIVOG7KG9IX8U","GSON1112060271")</f>
        <v>#NAME?</v>
      </c>
      <c r="O669" s="8" t="e">
        <f ca="1">[1]!BexGetData("DP_1","003N8EMH8GTFRIVOG7KG9J3KE","GSON1112060271")</f>
        <v>#NAME?</v>
      </c>
      <c r="P669" s="8" t="e">
        <f ca="1">[1]!BexGetData("DP_1","003N8EMH8GTFRIVOG7KG9J9VY","GSON1112060271")</f>
        <v>#NAME?</v>
      </c>
      <c r="Q669" s="4" t="e">
        <f ca="1">[1]!BexGetData("DP_1","00O2TNJGODT0G5Z4TTKYMM5MT","GSON1112060271")</f>
        <v>#NAME?</v>
      </c>
      <c r="R669" s="4" t="e">
        <f ca="1">[1]!BexGetData("DP_1","00O2TNJGODT0G5Z4TTKYMMBYD","GSON1112060271")</f>
        <v>#NAME?</v>
      </c>
      <c r="S669" s="4" t="e">
        <f ca="1">[1]!BexGetData("DP_1","00O2TNJGODT0G5Z4TTKYMMI9X","GSON1112060271")</f>
        <v>#NAME?</v>
      </c>
      <c r="T669" s="4" t="e">
        <f ca="1">[1]!BexGetData("DP_1","00O2TNJGODT0G5Z4TTKYMMOLH","GSON1112060271")</f>
        <v>#NAME?</v>
      </c>
      <c r="U669" s="4" t="e">
        <f ca="1">[1]!BexGetData("DP_1","00O2TNJGODT0G5Z4TTKYMMUX1","GSON1112060271")</f>
        <v>#NAME?</v>
      </c>
      <c r="V669" s="4" t="e">
        <f ca="1">[1]!BexGetData("DP_1","00O2TNJGODT0G5Z4TTKYMN18L","GSON1112060271")</f>
        <v>#NAME?</v>
      </c>
      <c r="W669" s="4" t="e">
        <f ca="1">[1]!BexGetData("DP_1","00O2TNJGODT0G5Z4TTKYMN7K5","GSON1112060271")</f>
        <v>#NAME?</v>
      </c>
    </row>
    <row r="670" spans="1:23" x14ac:dyDescent="0.2">
      <c r="A670" s="16" t="s">
        <v>2698</v>
      </c>
      <c r="B670" s="7" t="s">
        <v>2699</v>
      </c>
      <c r="C670" s="3" t="e">
        <f ca="1">[1]!BexGetData("DP_1","003N8EMH8GTFRCSWKMPXRR8GU","GSON1112060273")</f>
        <v>#NAME?</v>
      </c>
      <c r="D670" s="3" t="e">
        <f ca="1">[1]!BexGetData("DP_1","003N8EMH8GTFRCSWKMPXRRESE","GSON1112060273")</f>
        <v>#NAME?</v>
      </c>
      <c r="E670" s="8" t="e">
        <f ca="1">[1]!BexGetData("DP_1","003N8EMH8GTFRCSWKMPXRRL3Y","GSON1112060273")</f>
        <v>#NAME?</v>
      </c>
      <c r="F670" s="4" t="e">
        <f ca="1">[1]!BexGetData("DP_1","003N8EMH8GTFRCSWKMPXRRRFI","GSON1112060273")</f>
        <v>#NAME?</v>
      </c>
      <c r="G670" s="4" t="e">
        <f ca="1">[1]!BexGetData("DP_1","003N8EMH8GTFRCSWKMPXRRXR2","GSON1112060273")</f>
        <v>#NAME?</v>
      </c>
      <c r="H670" s="4" t="e">
        <f ca="1">[1]!BexGetData("DP_1","003N8EMH8GTFRCSWKMPXRS42M","GSON1112060273")</f>
        <v>#NAME?</v>
      </c>
      <c r="I670" s="4" t="e">
        <f ca="1">[1]!BexGetData("DP_1","003N8EMH8GTFRCSWKMPXRSAE6","GSON1112060273")</f>
        <v>#NAME?</v>
      </c>
      <c r="J670" s="4" t="e">
        <f ca="1">[1]!BexGetData("DP_1","003N8EMH8GTFRCSWKMPXRSGPQ","GSON1112060273")</f>
        <v>#NAME?</v>
      </c>
      <c r="K670" s="8" t="e">
        <f ca="1">[1]!BexGetData("DP_1","003N8EMH8GTFRIVNUPY288VJH","GSON1112060273")</f>
        <v>#NAME?</v>
      </c>
      <c r="L670" s="8" t="e">
        <f ca="1">[1]!BexGetData("DP_1","003N8EMH8GTFRIVNUPY2891V1","GSON1112060273")</f>
        <v>#NAME?</v>
      </c>
      <c r="M670" s="8" t="e">
        <f ca="1">[1]!BexGetData("DP_1","003N8EMH8GTFRIVOG7KG9IQXA","GSON1112060273")</f>
        <v>#NAME?</v>
      </c>
      <c r="N670" s="8" t="e">
        <f ca="1">[1]!BexGetData("DP_1","003N8EMH8GTFRIVOG7KG9IX8U","GSON1112060273")</f>
        <v>#NAME?</v>
      </c>
      <c r="O670" s="8" t="e">
        <f ca="1">[1]!BexGetData("DP_1","003N8EMH8GTFRIVOG7KG9J3KE","GSON1112060273")</f>
        <v>#NAME?</v>
      </c>
      <c r="P670" s="8" t="e">
        <f ca="1">[1]!BexGetData("DP_1","003N8EMH8GTFRIVOG7KG9J9VY","GSON1112060273")</f>
        <v>#NAME?</v>
      </c>
      <c r="Q670" s="4" t="e">
        <f ca="1">[1]!BexGetData("DP_1","00O2TNJGODT0G5Z4TTKYMM5MT","GSON1112060273")</f>
        <v>#NAME?</v>
      </c>
      <c r="R670" s="4" t="e">
        <f ca="1">[1]!BexGetData("DP_1","00O2TNJGODT0G5Z4TTKYMMBYD","GSON1112060273")</f>
        <v>#NAME?</v>
      </c>
      <c r="S670" s="4" t="e">
        <f ca="1">[1]!BexGetData("DP_1","00O2TNJGODT0G5Z4TTKYMMI9X","GSON1112060273")</f>
        <v>#NAME?</v>
      </c>
      <c r="T670" s="4" t="e">
        <f ca="1">[1]!BexGetData("DP_1","00O2TNJGODT0G5Z4TTKYMMOLH","GSON1112060273")</f>
        <v>#NAME?</v>
      </c>
      <c r="U670" s="4" t="e">
        <f ca="1">[1]!BexGetData("DP_1","00O2TNJGODT0G5Z4TTKYMMUX1","GSON1112060273")</f>
        <v>#NAME?</v>
      </c>
      <c r="V670" s="4" t="e">
        <f ca="1">[1]!BexGetData("DP_1","00O2TNJGODT0G5Z4TTKYMN18L","GSON1112060273")</f>
        <v>#NAME?</v>
      </c>
      <c r="W670" s="4" t="e">
        <f ca="1">[1]!BexGetData("DP_1","00O2TNJGODT0G5Z4TTKYMN7K5","GSON1112060273")</f>
        <v>#NAME?</v>
      </c>
    </row>
    <row r="671" spans="1:23" x14ac:dyDescent="0.2">
      <c r="A671" s="16" t="s">
        <v>2700</v>
      </c>
      <c r="B671" s="7" t="s">
        <v>2701</v>
      </c>
      <c r="C671" s="3" t="e">
        <f ca="1">[1]!BexGetData("DP_1","003N8EMH8GTFRCSWKMPXRR8GU","GSON1112060274")</f>
        <v>#NAME?</v>
      </c>
      <c r="D671" s="3" t="e">
        <f ca="1">[1]!BexGetData("DP_1","003N8EMH8GTFRCSWKMPXRRESE","GSON1112060274")</f>
        <v>#NAME?</v>
      </c>
      <c r="E671" s="8" t="e">
        <f ca="1">[1]!BexGetData("DP_1","003N8EMH8GTFRCSWKMPXRRL3Y","GSON1112060274")</f>
        <v>#NAME?</v>
      </c>
      <c r="F671" s="4" t="e">
        <f ca="1">[1]!BexGetData("DP_1","003N8EMH8GTFRCSWKMPXRRRFI","GSON1112060274")</f>
        <v>#NAME?</v>
      </c>
      <c r="G671" s="4" t="e">
        <f ca="1">[1]!BexGetData("DP_1","003N8EMH8GTFRCSWKMPXRRXR2","GSON1112060274")</f>
        <v>#NAME?</v>
      </c>
      <c r="H671" s="4" t="e">
        <f ca="1">[1]!BexGetData("DP_1","003N8EMH8GTFRCSWKMPXRS42M","GSON1112060274")</f>
        <v>#NAME?</v>
      </c>
      <c r="I671" s="4" t="e">
        <f ca="1">[1]!BexGetData("DP_1","003N8EMH8GTFRCSWKMPXRSAE6","GSON1112060274")</f>
        <v>#NAME?</v>
      </c>
      <c r="J671" s="4" t="e">
        <f ca="1">[1]!BexGetData("DP_1","003N8EMH8GTFRCSWKMPXRSGPQ","GSON1112060274")</f>
        <v>#NAME?</v>
      </c>
      <c r="K671" s="8" t="e">
        <f ca="1">[1]!BexGetData("DP_1","003N8EMH8GTFRIVNUPY288VJH","GSON1112060274")</f>
        <v>#NAME?</v>
      </c>
      <c r="L671" s="8" t="e">
        <f ca="1">[1]!BexGetData("DP_1","003N8EMH8GTFRIVNUPY2891V1","GSON1112060274")</f>
        <v>#NAME?</v>
      </c>
      <c r="M671" s="8" t="e">
        <f ca="1">[1]!BexGetData("DP_1","003N8EMH8GTFRIVOG7KG9IQXA","GSON1112060274")</f>
        <v>#NAME?</v>
      </c>
      <c r="N671" s="8" t="e">
        <f ca="1">[1]!BexGetData("DP_1","003N8EMH8GTFRIVOG7KG9IX8U","GSON1112060274")</f>
        <v>#NAME?</v>
      </c>
      <c r="O671" s="8" t="e">
        <f ca="1">[1]!BexGetData("DP_1","003N8EMH8GTFRIVOG7KG9J3KE","GSON1112060274")</f>
        <v>#NAME?</v>
      </c>
      <c r="P671" s="8" t="e">
        <f ca="1">[1]!BexGetData("DP_1","003N8EMH8GTFRIVOG7KG9J9VY","GSON1112060274")</f>
        <v>#NAME?</v>
      </c>
      <c r="Q671" s="4" t="e">
        <f ca="1">[1]!BexGetData("DP_1","00O2TNJGODT0G5Z4TTKYMM5MT","GSON1112060274")</f>
        <v>#NAME?</v>
      </c>
      <c r="R671" s="4" t="e">
        <f ca="1">[1]!BexGetData("DP_1","00O2TNJGODT0G5Z4TTKYMMBYD","GSON1112060274")</f>
        <v>#NAME?</v>
      </c>
      <c r="S671" s="4" t="e">
        <f ca="1">[1]!BexGetData("DP_1","00O2TNJGODT0G5Z4TTKYMMI9X","GSON1112060274")</f>
        <v>#NAME?</v>
      </c>
      <c r="T671" s="4" t="e">
        <f ca="1">[1]!BexGetData("DP_1","00O2TNJGODT0G5Z4TTKYMMOLH","GSON1112060274")</f>
        <v>#NAME?</v>
      </c>
      <c r="U671" s="4" t="e">
        <f ca="1">[1]!BexGetData("DP_1","00O2TNJGODT0G5Z4TTKYMMUX1","GSON1112060274")</f>
        <v>#NAME?</v>
      </c>
      <c r="V671" s="4" t="e">
        <f ca="1">[1]!BexGetData("DP_1","00O2TNJGODT0G5Z4TTKYMN18L","GSON1112060274")</f>
        <v>#NAME?</v>
      </c>
      <c r="W671" s="4" t="e">
        <f ca="1">[1]!BexGetData("DP_1","00O2TNJGODT0G5Z4TTKYMN7K5","GSON1112060274")</f>
        <v>#NAME?</v>
      </c>
    </row>
    <row r="672" spans="1:23" x14ac:dyDescent="0.2">
      <c r="A672" s="16" t="s">
        <v>2702</v>
      </c>
      <c r="B672" s="7" t="s">
        <v>2703</v>
      </c>
      <c r="C672" s="3" t="e">
        <f ca="1">[1]!BexGetData("DP_1","003N8EMH8GTFRCSWKMPXRR8GU","GSON1112060275")</f>
        <v>#NAME?</v>
      </c>
      <c r="D672" s="3" t="e">
        <f ca="1">[1]!BexGetData("DP_1","003N8EMH8GTFRCSWKMPXRRESE","GSON1112060275")</f>
        <v>#NAME?</v>
      </c>
      <c r="E672" s="8" t="e">
        <f ca="1">[1]!BexGetData("DP_1","003N8EMH8GTFRCSWKMPXRRL3Y","GSON1112060275")</f>
        <v>#NAME?</v>
      </c>
      <c r="F672" s="4" t="e">
        <f ca="1">[1]!BexGetData("DP_1","003N8EMH8GTFRCSWKMPXRRRFI","GSON1112060275")</f>
        <v>#NAME?</v>
      </c>
      <c r="G672" s="4" t="e">
        <f ca="1">[1]!BexGetData("DP_1","003N8EMH8GTFRCSWKMPXRRXR2","GSON1112060275")</f>
        <v>#NAME?</v>
      </c>
      <c r="H672" s="4" t="e">
        <f ca="1">[1]!BexGetData("DP_1","003N8EMH8GTFRCSWKMPXRS42M","GSON1112060275")</f>
        <v>#NAME?</v>
      </c>
      <c r="I672" s="4" t="e">
        <f ca="1">[1]!BexGetData("DP_1","003N8EMH8GTFRCSWKMPXRSAE6","GSON1112060275")</f>
        <v>#NAME?</v>
      </c>
      <c r="J672" s="4" t="e">
        <f ca="1">[1]!BexGetData("DP_1","003N8EMH8GTFRCSWKMPXRSGPQ","GSON1112060275")</f>
        <v>#NAME?</v>
      </c>
      <c r="K672" s="8" t="e">
        <f ca="1">[1]!BexGetData("DP_1","003N8EMH8GTFRIVNUPY288VJH","GSON1112060275")</f>
        <v>#NAME?</v>
      </c>
      <c r="L672" s="8" t="e">
        <f ca="1">[1]!BexGetData("DP_1","003N8EMH8GTFRIVNUPY2891V1","GSON1112060275")</f>
        <v>#NAME?</v>
      </c>
      <c r="M672" s="8" t="e">
        <f ca="1">[1]!BexGetData("DP_1","003N8EMH8GTFRIVOG7KG9IQXA","GSON1112060275")</f>
        <v>#NAME?</v>
      </c>
      <c r="N672" s="8" t="e">
        <f ca="1">[1]!BexGetData("DP_1","003N8EMH8GTFRIVOG7KG9IX8U","GSON1112060275")</f>
        <v>#NAME?</v>
      </c>
      <c r="O672" s="8" t="e">
        <f ca="1">[1]!BexGetData("DP_1","003N8EMH8GTFRIVOG7KG9J3KE","GSON1112060275")</f>
        <v>#NAME?</v>
      </c>
      <c r="P672" s="8" t="e">
        <f ca="1">[1]!BexGetData("DP_1","003N8EMH8GTFRIVOG7KG9J9VY","GSON1112060275")</f>
        <v>#NAME?</v>
      </c>
      <c r="Q672" s="4" t="e">
        <f ca="1">[1]!BexGetData("DP_1","00O2TNJGODT0G5Z4TTKYMM5MT","GSON1112060275")</f>
        <v>#NAME?</v>
      </c>
      <c r="R672" s="4" t="e">
        <f ca="1">[1]!BexGetData("DP_1","00O2TNJGODT0G5Z4TTKYMMBYD","GSON1112060275")</f>
        <v>#NAME?</v>
      </c>
      <c r="S672" s="4" t="e">
        <f ca="1">[1]!BexGetData("DP_1","00O2TNJGODT0G5Z4TTKYMMI9X","GSON1112060275")</f>
        <v>#NAME?</v>
      </c>
      <c r="T672" s="4" t="e">
        <f ca="1">[1]!BexGetData("DP_1","00O2TNJGODT0G5Z4TTKYMMOLH","GSON1112060275")</f>
        <v>#NAME?</v>
      </c>
      <c r="U672" s="4" t="e">
        <f ca="1">[1]!BexGetData("DP_1","00O2TNJGODT0G5Z4TTKYMMUX1","GSON1112060275")</f>
        <v>#NAME?</v>
      </c>
      <c r="V672" s="4" t="e">
        <f ca="1">[1]!BexGetData("DP_1","00O2TNJGODT0G5Z4TTKYMN18L","GSON1112060275")</f>
        <v>#NAME?</v>
      </c>
      <c r="W672" s="4" t="e">
        <f ca="1">[1]!BexGetData("DP_1","00O2TNJGODT0G5Z4TTKYMN7K5","GSON1112060275")</f>
        <v>#NAME?</v>
      </c>
    </row>
    <row r="673" spans="1:23" x14ac:dyDescent="0.2">
      <c r="A673" s="16" t="s">
        <v>2646</v>
      </c>
      <c r="B673" s="7" t="s">
        <v>2704</v>
      </c>
      <c r="C673" s="3" t="e">
        <f ca="1">[1]!BexGetData("DP_1","003N8EMH8GTFRCSWKMPXRR8GU","GSON1112060280")</f>
        <v>#NAME?</v>
      </c>
      <c r="D673" s="3" t="e">
        <f ca="1">[1]!BexGetData("DP_1","003N8EMH8GTFRCSWKMPXRRESE","GSON1112060280")</f>
        <v>#NAME?</v>
      </c>
      <c r="E673" s="3" t="e">
        <f ca="1">[1]!BexGetData("DP_1","003N8EMH8GTFRCSWKMPXRRL3Y","GSON1112060280")</f>
        <v>#NAME?</v>
      </c>
      <c r="F673" s="3" t="e">
        <f ca="1">[1]!BexGetData("DP_1","003N8EMH8GTFRCSWKMPXRRRFI","GSON1112060280")</f>
        <v>#NAME?</v>
      </c>
      <c r="G673" s="3" t="e">
        <f ca="1">[1]!BexGetData("DP_1","003N8EMH8GTFRCSWKMPXRRXR2","GSON1112060280")</f>
        <v>#NAME?</v>
      </c>
      <c r="H673" s="8" t="e">
        <f ca="1">[1]!BexGetData("DP_1","003N8EMH8GTFRCSWKMPXRS42M","GSON1112060280")</f>
        <v>#NAME?</v>
      </c>
      <c r="I673" s="3" t="e">
        <f ca="1">[1]!BexGetData("DP_1","003N8EMH8GTFRCSWKMPXRSAE6","GSON1112060280")</f>
        <v>#NAME?</v>
      </c>
      <c r="J673" s="4" t="e">
        <f ca="1">[1]!BexGetData("DP_1","003N8EMH8GTFRCSWKMPXRSGPQ","GSON1112060280")</f>
        <v>#NAME?</v>
      </c>
      <c r="K673" s="3" t="e">
        <f ca="1">[1]!BexGetData("DP_1","003N8EMH8GTFRIVNUPY288VJH","GSON1112060280")</f>
        <v>#NAME?</v>
      </c>
      <c r="L673" s="3" t="e">
        <f ca="1">[1]!BexGetData("DP_1","003N8EMH8GTFRIVNUPY2891V1","GSON1112060280")</f>
        <v>#NAME?</v>
      </c>
      <c r="M673" s="8" t="e">
        <f ca="1">[1]!BexGetData("DP_1","003N8EMH8GTFRIVOG7KG9IQXA","GSON1112060280")</f>
        <v>#NAME?</v>
      </c>
      <c r="N673" s="3" t="e">
        <f ca="1">[1]!BexGetData("DP_1","003N8EMH8GTFRIVOG7KG9IX8U","GSON1112060280")</f>
        <v>#NAME?</v>
      </c>
      <c r="O673" s="8" t="e">
        <f ca="1">[1]!BexGetData("DP_1","003N8EMH8GTFRIVOG7KG9J3KE","GSON1112060280")</f>
        <v>#NAME?</v>
      </c>
      <c r="P673" s="3" t="e">
        <f ca="1">[1]!BexGetData("DP_1","003N8EMH8GTFRIVOG7KG9J9VY","GSON1112060280")</f>
        <v>#NAME?</v>
      </c>
      <c r="Q673" s="4" t="e">
        <f ca="1">[1]!BexGetData("DP_1","00O2TNJGODT0G5Z4TTKYMM5MT","GSON1112060280")</f>
        <v>#NAME?</v>
      </c>
      <c r="R673" s="3" t="e">
        <f ca="1">[1]!BexGetData("DP_1","00O2TNJGODT0G5Z4TTKYMMBYD","GSON1112060280")</f>
        <v>#NAME?</v>
      </c>
      <c r="S673" s="3" t="e">
        <f ca="1">[1]!BexGetData("DP_1","00O2TNJGODT0G5Z4TTKYMMI9X","GSON1112060280")</f>
        <v>#NAME?</v>
      </c>
      <c r="T673" s="8" t="e">
        <f ca="1">[1]!BexGetData("DP_1","00O2TNJGODT0G5Z4TTKYMMOLH","GSON1112060280")</f>
        <v>#NAME?</v>
      </c>
      <c r="U673" s="3" t="e">
        <f ca="1">[1]!BexGetData("DP_1","00O2TNJGODT0G5Z4TTKYMMUX1","GSON1112060280")</f>
        <v>#NAME?</v>
      </c>
      <c r="V673" s="8" t="e">
        <f ca="1">[1]!BexGetData("DP_1","00O2TNJGODT0G5Z4TTKYMN18L","GSON1112060280")</f>
        <v>#NAME?</v>
      </c>
      <c r="W673" s="3" t="e">
        <f ca="1">[1]!BexGetData("DP_1","00O2TNJGODT0G5Z4TTKYMN7K5","GSON1112060280")</f>
        <v>#NAME?</v>
      </c>
    </row>
    <row r="674" spans="1:23" x14ac:dyDescent="0.2">
      <c r="A674" s="16" t="s">
        <v>2705</v>
      </c>
      <c r="B674" s="7" t="s">
        <v>2706</v>
      </c>
      <c r="C674" s="3" t="e">
        <f ca="1">[1]!BexGetData("DP_1","003N8EMH8GTFRCSWKMPXRR8GU","GSON1112060281")</f>
        <v>#NAME?</v>
      </c>
      <c r="D674" s="3" t="e">
        <f ca="1">[1]!BexGetData("DP_1","003N8EMH8GTFRCSWKMPXRRESE","GSON1112060281")</f>
        <v>#NAME?</v>
      </c>
      <c r="E674" s="8" t="e">
        <f ca="1">[1]!BexGetData("DP_1","003N8EMH8GTFRCSWKMPXRRL3Y","GSON1112060281")</f>
        <v>#NAME?</v>
      </c>
      <c r="F674" s="4" t="e">
        <f ca="1">[1]!BexGetData("DP_1","003N8EMH8GTFRCSWKMPXRRRFI","GSON1112060281")</f>
        <v>#NAME?</v>
      </c>
      <c r="G674" s="4" t="e">
        <f ca="1">[1]!BexGetData("DP_1","003N8EMH8GTFRCSWKMPXRRXR2","GSON1112060281")</f>
        <v>#NAME?</v>
      </c>
      <c r="H674" s="4" t="e">
        <f ca="1">[1]!BexGetData("DP_1","003N8EMH8GTFRCSWKMPXRS42M","GSON1112060281")</f>
        <v>#NAME?</v>
      </c>
      <c r="I674" s="4" t="e">
        <f ca="1">[1]!BexGetData("DP_1","003N8EMH8GTFRCSWKMPXRSAE6","GSON1112060281")</f>
        <v>#NAME?</v>
      </c>
      <c r="J674" s="4" t="e">
        <f ca="1">[1]!BexGetData("DP_1","003N8EMH8GTFRCSWKMPXRSGPQ","GSON1112060281")</f>
        <v>#NAME?</v>
      </c>
      <c r="K674" s="8" t="e">
        <f ca="1">[1]!BexGetData("DP_1","003N8EMH8GTFRIVNUPY288VJH","GSON1112060281")</f>
        <v>#NAME?</v>
      </c>
      <c r="L674" s="8" t="e">
        <f ca="1">[1]!BexGetData("DP_1","003N8EMH8GTFRIVNUPY2891V1","GSON1112060281")</f>
        <v>#NAME?</v>
      </c>
      <c r="M674" s="8" t="e">
        <f ca="1">[1]!BexGetData("DP_1","003N8EMH8GTFRIVOG7KG9IQXA","GSON1112060281")</f>
        <v>#NAME?</v>
      </c>
      <c r="N674" s="8" t="e">
        <f ca="1">[1]!BexGetData("DP_1","003N8EMH8GTFRIVOG7KG9IX8U","GSON1112060281")</f>
        <v>#NAME?</v>
      </c>
      <c r="O674" s="8" t="e">
        <f ca="1">[1]!BexGetData("DP_1","003N8EMH8GTFRIVOG7KG9J3KE","GSON1112060281")</f>
        <v>#NAME?</v>
      </c>
      <c r="P674" s="8" t="e">
        <f ca="1">[1]!BexGetData("DP_1","003N8EMH8GTFRIVOG7KG9J9VY","GSON1112060281")</f>
        <v>#NAME?</v>
      </c>
      <c r="Q674" s="4" t="e">
        <f ca="1">[1]!BexGetData("DP_1","00O2TNJGODT0G5Z4TTKYMM5MT","GSON1112060281")</f>
        <v>#NAME?</v>
      </c>
      <c r="R674" s="4" t="e">
        <f ca="1">[1]!BexGetData("DP_1","00O2TNJGODT0G5Z4TTKYMMBYD","GSON1112060281")</f>
        <v>#NAME?</v>
      </c>
      <c r="S674" s="4" t="e">
        <f ca="1">[1]!BexGetData("DP_1","00O2TNJGODT0G5Z4TTKYMMI9X","GSON1112060281")</f>
        <v>#NAME?</v>
      </c>
      <c r="T674" s="4" t="e">
        <f ca="1">[1]!BexGetData("DP_1","00O2TNJGODT0G5Z4TTKYMMOLH","GSON1112060281")</f>
        <v>#NAME?</v>
      </c>
      <c r="U674" s="4" t="e">
        <f ca="1">[1]!BexGetData("DP_1","00O2TNJGODT0G5Z4TTKYMMUX1","GSON1112060281")</f>
        <v>#NAME?</v>
      </c>
      <c r="V674" s="4" t="e">
        <f ca="1">[1]!BexGetData("DP_1","00O2TNJGODT0G5Z4TTKYMN18L","GSON1112060281")</f>
        <v>#NAME?</v>
      </c>
      <c r="W674" s="4" t="e">
        <f ca="1">[1]!BexGetData("DP_1","00O2TNJGODT0G5Z4TTKYMN7K5","GSON1112060281")</f>
        <v>#NAME?</v>
      </c>
    </row>
    <row r="675" spans="1:23" x14ac:dyDescent="0.2">
      <c r="A675" s="16" t="s">
        <v>2707</v>
      </c>
      <c r="B675" s="7" t="s">
        <v>2708</v>
      </c>
      <c r="C675" s="3" t="e">
        <f ca="1">[1]!BexGetData("DP_1","003N8EMH8GTFRCSWKMPXRR8GU","GSON1112060283")</f>
        <v>#NAME?</v>
      </c>
      <c r="D675" s="3" t="e">
        <f ca="1">[1]!BexGetData("DP_1","003N8EMH8GTFRCSWKMPXRRESE","GSON1112060283")</f>
        <v>#NAME?</v>
      </c>
      <c r="E675" s="8" t="e">
        <f ca="1">[1]!BexGetData("DP_1","003N8EMH8GTFRCSWKMPXRRL3Y","GSON1112060283")</f>
        <v>#NAME?</v>
      </c>
      <c r="F675" s="4" t="e">
        <f ca="1">[1]!BexGetData("DP_1","003N8EMH8GTFRCSWKMPXRRRFI","GSON1112060283")</f>
        <v>#NAME?</v>
      </c>
      <c r="G675" s="4" t="e">
        <f ca="1">[1]!BexGetData("DP_1","003N8EMH8GTFRCSWKMPXRRXR2","GSON1112060283")</f>
        <v>#NAME?</v>
      </c>
      <c r="H675" s="4" t="e">
        <f ca="1">[1]!BexGetData("DP_1","003N8EMH8GTFRCSWKMPXRS42M","GSON1112060283")</f>
        <v>#NAME?</v>
      </c>
      <c r="I675" s="4" t="e">
        <f ca="1">[1]!BexGetData("DP_1","003N8EMH8GTFRCSWKMPXRSAE6","GSON1112060283")</f>
        <v>#NAME?</v>
      </c>
      <c r="J675" s="4" t="e">
        <f ca="1">[1]!BexGetData("DP_1","003N8EMH8GTFRCSWKMPXRSGPQ","GSON1112060283")</f>
        <v>#NAME?</v>
      </c>
      <c r="K675" s="8" t="e">
        <f ca="1">[1]!BexGetData("DP_1","003N8EMH8GTFRIVNUPY288VJH","GSON1112060283")</f>
        <v>#NAME?</v>
      </c>
      <c r="L675" s="8" t="e">
        <f ca="1">[1]!BexGetData("DP_1","003N8EMH8GTFRIVNUPY2891V1","GSON1112060283")</f>
        <v>#NAME?</v>
      </c>
      <c r="M675" s="8" t="e">
        <f ca="1">[1]!BexGetData("DP_1","003N8EMH8GTFRIVOG7KG9IQXA","GSON1112060283")</f>
        <v>#NAME?</v>
      </c>
      <c r="N675" s="8" t="e">
        <f ca="1">[1]!BexGetData("DP_1","003N8EMH8GTFRIVOG7KG9IX8U","GSON1112060283")</f>
        <v>#NAME?</v>
      </c>
      <c r="O675" s="8" t="e">
        <f ca="1">[1]!BexGetData("DP_1","003N8EMH8GTFRIVOG7KG9J3KE","GSON1112060283")</f>
        <v>#NAME?</v>
      </c>
      <c r="P675" s="8" t="e">
        <f ca="1">[1]!BexGetData("DP_1","003N8EMH8GTFRIVOG7KG9J9VY","GSON1112060283")</f>
        <v>#NAME?</v>
      </c>
      <c r="Q675" s="4" t="e">
        <f ca="1">[1]!BexGetData("DP_1","00O2TNJGODT0G5Z4TTKYMM5MT","GSON1112060283")</f>
        <v>#NAME?</v>
      </c>
      <c r="R675" s="4" t="e">
        <f ca="1">[1]!BexGetData("DP_1","00O2TNJGODT0G5Z4TTKYMMBYD","GSON1112060283")</f>
        <v>#NAME?</v>
      </c>
      <c r="S675" s="4" t="e">
        <f ca="1">[1]!BexGetData("DP_1","00O2TNJGODT0G5Z4TTKYMMI9X","GSON1112060283")</f>
        <v>#NAME?</v>
      </c>
      <c r="T675" s="4" t="e">
        <f ca="1">[1]!BexGetData("DP_1","00O2TNJGODT0G5Z4TTKYMMOLH","GSON1112060283")</f>
        <v>#NAME?</v>
      </c>
      <c r="U675" s="4" t="e">
        <f ca="1">[1]!BexGetData("DP_1","00O2TNJGODT0G5Z4TTKYMMUX1","GSON1112060283")</f>
        <v>#NAME?</v>
      </c>
      <c r="V675" s="4" t="e">
        <f ca="1">[1]!BexGetData("DP_1","00O2TNJGODT0G5Z4TTKYMN18L","GSON1112060283")</f>
        <v>#NAME?</v>
      </c>
      <c r="W675" s="4" t="e">
        <f ca="1">[1]!BexGetData("DP_1","00O2TNJGODT0G5Z4TTKYMN7K5","GSON1112060283")</f>
        <v>#NAME?</v>
      </c>
    </row>
    <row r="676" spans="1:23" x14ac:dyDescent="0.2">
      <c r="A676" s="16" t="s">
        <v>2709</v>
      </c>
      <c r="B676" s="7" t="s">
        <v>2710</v>
      </c>
      <c r="C676" s="3" t="e">
        <f ca="1">[1]!BexGetData("DP_1","003N8EMH8GTFRCSWKMPXRR8GU","GSON1112060284")</f>
        <v>#NAME?</v>
      </c>
      <c r="D676" s="3" t="e">
        <f ca="1">[1]!BexGetData("DP_1","003N8EMH8GTFRCSWKMPXRRESE","GSON1112060284")</f>
        <v>#NAME?</v>
      </c>
      <c r="E676" s="8" t="e">
        <f ca="1">[1]!BexGetData("DP_1","003N8EMH8GTFRCSWKMPXRRL3Y","GSON1112060284")</f>
        <v>#NAME?</v>
      </c>
      <c r="F676" s="4" t="e">
        <f ca="1">[1]!BexGetData("DP_1","003N8EMH8GTFRCSWKMPXRRRFI","GSON1112060284")</f>
        <v>#NAME?</v>
      </c>
      <c r="G676" s="4" t="e">
        <f ca="1">[1]!BexGetData("DP_1","003N8EMH8GTFRCSWKMPXRRXR2","GSON1112060284")</f>
        <v>#NAME?</v>
      </c>
      <c r="H676" s="4" t="e">
        <f ca="1">[1]!BexGetData("DP_1","003N8EMH8GTFRCSWKMPXRS42M","GSON1112060284")</f>
        <v>#NAME?</v>
      </c>
      <c r="I676" s="4" t="e">
        <f ca="1">[1]!BexGetData("DP_1","003N8EMH8GTFRCSWKMPXRSAE6","GSON1112060284")</f>
        <v>#NAME?</v>
      </c>
      <c r="J676" s="4" t="e">
        <f ca="1">[1]!BexGetData("DP_1","003N8EMH8GTFRCSWKMPXRSGPQ","GSON1112060284")</f>
        <v>#NAME?</v>
      </c>
      <c r="K676" s="8" t="e">
        <f ca="1">[1]!BexGetData("DP_1","003N8EMH8GTFRIVNUPY288VJH","GSON1112060284")</f>
        <v>#NAME?</v>
      </c>
      <c r="L676" s="8" t="e">
        <f ca="1">[1]!BexGetData("DP_1","003N8EMH8GTFRIVNUPY2891V1","GSON1112060284")</f>
        <v>#NAME?</v>
      </c>
      <c r="M676" s="8" t="e">
        <f ca="1">[1]!BexGetData("DP_1","003N8EMH8GTFRIVOG7KG9IQXA","GSON1112060284")</f>
        <v>#NAME?</v>
      </c>
      <c r="N676" s="8" t="e">
        <f ca="1">[1]!BexGetData("DP_1","003N8EMH8GTFRIVOG7KG9IX8U","GSON1112060284")</f>
        <v>#NAME?</v>
      </c>
      <c r="O676" s="8" t="e">
        <f ca="1">[1]!BexGetData("DP_1","003N8EMH8GTFRIVOG7KG9J3KE","GSON1112060284")</f>
        <v>#NAME?</v>
      </c>
      <c r="P676" s="8" t="e">
        <f ca="1">[1]!BexGetData("DP_1","003N8EMH8GTFRIVOG7KG9J9VY","GSON1112060284")</f>
        <v>#NAME?</v>
      </c>
      <c r="Q676" s="4" t="e">
        <f ca="1">[1]!BexGetData("DP_1","00O2TNJGODT0G5Z4TTKYMM5MT","GSON1112060284")</f>
        <v>#NAME?</v>
      </c>
      <c r="R676" s="4" t="e">
        <f ca="1">[1]!BexGetData("DP_1","00O2TNJGODT0G5Z4TTKYMMBYD","GSON1112060284")</f>
        <v>#NAME?</v>
      </c>
      <c r="S676" s="4" t="e">
        <f ca="1">[1]!BexGetData("DP_1","00O2TNJGODT0G5Z4TTKYMMI9X","GSON1112060284")</f>
        <v>#NAME?</v>
      </c>
      <c r="T676" s="4" t="e">
        <f ca="1">[1]!BexGetData("DP_1","00O2TNJGODT0G5Z4TTKYMMOLH","GSON1112060284")</f>
        <v>#NAME?</v>
      </c>
      <c r="U676" s="4" t="e">
        <f ca="1">[1]!BexGetData("DP_1","00O2TNJGODT0G5Z4TTKYMMUX1","GSON1112060284")</f>
        <v>#NAME?</v>
      </c>
      <c r="V676" s="4" t="e">
        <f ca="1">[1]!BexGetData("DP_1","00O2TNJGODT0G5Z4TTKYMN18L","GSON1112060284")</f>
        <v>#NAME?</v>
      </c>
      <c r="W676" s="4" t="e">
        <f ca="1">[1]!BexGetData("DP_1","00O2TNJGODT0G5Z4TTKYMN7K5","GSON1112060284")</f>
        <v>#NAME?</v>
      </c>
    </row>
    <row r="677" spans="1:23" x14ac:dyDescent="0.2">
      <c r="A677" s="16" t="s">
        <v>2711</v>
      </c>
      <c r="B677" s="7" t="s">
        <v>2712</v>
      </c>
      <c r="C677" s="3" t="e">
        <f ca="1">[1]!BexGetData("DP_1","003N8EMH8GTFRCSWKMPXRR8GU","GSON1112060285")</f>
        <v>#NAME?</v>
      </c>
      <c r="D677" s="3" t="e">
        <f ca="1">[1]!BexGetData("DP_1","003N8EMH8GTFRCSWKMPXRRESE","GSON1112060285")</f>
        <v>#NAME?</v>
      </c>
      <c r="E677" s="8" t="e">
        <f ca="1">[1]!BexGetData("DP_1","003N8EMH8GTFRCSWKMPXRRL3Y","GSON1112060285")</f>
        <v>#NAME?</v>
      </c>
      <c r="F677" s="4" t="e">
        <f ca="1">[1]!BexGetData("DP_1","003N8EMH8GTFRCSWKMPXRRRFI","GSON1112060285")</f>
        <v>#NAME?</v>
      </c>
      <c r="G677" s="4" t="e">
        <f ca="1">[1]!BexGetData("DP_1","003N8EMH8GTFRCSWKMPXRRXR2","GSON1112060285")</f>
        <v>#NAME?</v>
      </c>
      <c r="H677" s="4" t="e">
        <f ca="1">[1]!BexGetData("DP_1","003N8EMH8GTFRCSWKMPXRS42M","GSON1112060285")</f>
        <v>#NAME?</v>
      </c>
      <c r="I677" s="4" t="e">
        <f ca="1">[1]!BexGetData("DP_1","003N8EMH8GTFRCSWKMPXRSAE6","GSON1112060285")</f>
        <v>#NAME?</v>
      </c>
      <c r="J677" s="4" t="e">
        <f ca="1">[1]!BexGetData("DP_1","003N8EMH8GTFRCSWKMPXRSGPQ","GSON1112060285")</f>
        <v>#NAME?</v>
      </c>
      <c r="K677" s="8" t="e">
        <f ca="1">[1]!BexGetData("DP_1","003N8EMH8GTFRIVNUPY288VJH","GSON1112060285")</f>
        <v>#NAME?</v>
      </c>
      <c r="L677" s="8" t="e">
        <f ca="1">[1]!BexGetData("DP_1","003N8EMH8GTFRIVNUPY2891V1","GSON1112060285")</f>
        <v>#NAME?</v>
      </c>
      <c r="M677" s="8" t="e">
        <f ca="1">[1]!BexGetData("DP_1","003N8EMH8GTFRIVOG7KG9IQXA","GSON1112060285")</f>
        <v>#NAME?</v>
      </c>
      <c r="N677" s="8" t="e">
        <f ca="1">[1]!BexGetData("DP_1","003N8EMH8GTFRIVOG7KG9IX8U","GSON1112060285")</f>
        <v>#NAME?</v>
      </c>
      <c r="O677" s="8" t="e">
        <f ca="1">[1]!BexGetData("DP_1","003N8EMH8GTFRIVOG7KG9J3KE","GSON1112060285")</f>
        <v>#NAME?</v>
      </c>
      <c r="P677" s="8" t="e">
        <f ca="1">[1]!BexGetData("DP_1","003N8EMH8GTFRIVOG7KG9J9VY","GSON1112060285")</f>
        <v>#NAME?</v>
      </c>
      <c r="Q677" s="4" t="e">
        <f ca="1">[1]!BexGetData("DP_1","00O2TNJGODT0G5Z4TTKYMM5MT","GSON1112060285")</f>
        <v>#NAME?</v>
      </c>
      <c r="R677" s="4" t="e">
        <f ca="1">[1]!BexGetData("DP_1","00O2TNJGODT0G5Z4TTKYMMBYD","GSON1112060285")</f>
        <v>#NAME?</v>
      </c>
      <c r="S677" s="4" t="e">
        <f ca="1">[1]!BexGetData("DP_1","00O2TNJGODT0G5Z4TTKYMMI9X","GSON1112060285")</f>
        <v>#NAME?</v>
      </c>
      <c r="T677" s="4" t="e">
        <f ca="1">[1]!BexGetData("DP_1","00O2TNJGODT0G5Z4TTKYMMOLH","GSON1112060285")</f>
        <v>#NAME?</v>
      </c>
      <c r="U677" s="4" t="e">
        <f ca="1">[1]!BexGetData("DP_1","00O2TNJGODT0G5Z4TTKYMMUX1","GSON1112060285")</f>
        <v>#NAME?</v>
      </c>
      <c r="V677" s="4" t="e">
        <f ca="1">[1]!BexGetData("DP_1","00O2TNJGODT0G5Z4TTKYMN18L","GSON1112060285")</f>
        <v>#NAME?</v>
      </c>
      <c r="W677" s="4" t="e">
        <f ca="1">[1]!BexGetData("DP_1","00O2TNJGODT0G5Z4TTKYMN7K5","GSON1112060285")</f>
        <v>#NAME?</v>
      </c>
    </row>
    <row r="678" spans="1:23" x14ac:dyDescent="0.2">
      <c r="A678" s="16" t="s">
        <v>2713</v>
      </c>
      <c r="B678" s="7" t="s">
        <v>2714</v>
      </c>
      <c r="C678" s="3" t="e">
        <f ca="1">[1]!BexGetData("DP_1","003N8EMH8GTFRCSWKMPXRR8GU","GSON1112060290")</f>
        <v>#NAME?</v>
      </c>
      <c r="D678" s="3" t="e">
        <f ca="1">[1]!BexGetData("DP_1","003N8EMH8GTFRCSWKMPXRRESE","GSON1112060290")</f>
        <v>#NAME?</v>
      </c>
      <c r="E678" s="3" t="e">
        <f ca="1">[1]!BexGetData("DP_1","003N8EMH8GTFRCSWKMPXRRL3Y","GSON1112060290")</f>
        <v>#NAME?</v>
      </c>
      <c r="F678" s="3" t="e">
        <f ca="1">[1]!BexGetData("DP_1","003N8EMH8GTFRCSWKMPXRRRFI","GSON1112060290")</f>
        <v>#NAME?</v>
      </c>
      <c r="G678" s="3" t="e">
        <f ca="1">[1]!BexGetData("DP_1","003N8EMH8GTFRCSWKMPXRRXR2","GSON1112060290")</f>
        <v>#NAME?</v>
      </c>
      <c r="H678" s="8" t="e">
        <f ca="1">[1]!BexGetData("DP_1","003N8EMH8GTFRCSWKMPXRS42M","GSON1112060290")</f>
        <v>#NAME?</v>
      </c>
      <c r="I678" s="3" t="e">
        <f ca="1">[1]!BexGetData("DP_1","003N8EMH8GTFRCSWKMPXRSAE6","GSON1112060290")</f>
        <v>#NAME?</v>
      </c>
      <c r="J678" s="4" t="e">
        <f ca="1">[1]!BexGetData("DP_1","003N8EMH8GTFRCSWKMPXRSGPQ","GSON1112060290")</f>
        <v>#NAME?</v>
      </c>
      <c r="K678" s="3" t="e">
        <f ca="1">[1]!BexGetData("DP_1","003N8EMH8GTFRIVNUPY288VJH","GSON1112060290")</f>
        <v>#NAME?</v>
      </c>
      <c r="L678" s="3" t="e">
        <f ca="1">[1]!BexGetData("DP_1","003N8EMH8GTFRIVNUPY2891V1","GSON1112060290")</f>
        <v>#NAME?</v>
      </c>
      <c r="M678" s="8" t="e">
        <f ca="1">[1]!BexGetData("DP_1","003N8EMH8GTFRIVOG7KG9IQXA","GSON1112060290")</f>
        <v>#NAME?</v>
      </c>
      <c r="N678" s="3" t="e">
        <f ca="1">[1]!BexGetData("DP_1","003N8EMH8GTFRIVOG7KG9IX8U","GSON1112060290")</f>
        <v>#NAME?</v>
      </c>
      <c r="O678" s="8" t="e">
        <f ca="1">[1]!BexGetData("DP_1","003N8EMH8GTFRIVOG7KG9J3KE","GSON1112060290")</f>
        <v>#NAME?</v>
      </c>
      <c r="P678" s="3" t="e">
        <f ca="1">[1]!BexGetData("DP_1","003N8EMH8GTFRIVOG7KG9J9VY","GSON1112060290")</f>
        <v>#NAME?</v>
      </c>
      <c r="Q678" s="4" t="e">
        <f ca="1">[1]!BexGetData("DP_1","00O2TNJGODT0G5Z4TTKYMM5MT","GSON1112060290")</f>
        <v>#NAME?</v>
      </c>
      <c r="R678" s="3" t="e">
        <f ca="1">[1]!BexGetData("DP_1","00O2TNJGODT0G5Z4TTKYMMBYD","GSON1112060290")</f>
        <v>#NAME?</v>
      </c>
      <c r="S678" s="3" t="e">
        <f ca="1">[1]!BexGetData("DP_1","00O2TNJGODT0G5Z4TTKYMMI9X","GSON1112060290")</f>
        <v>#NAME?</v>
      </c>
      <c r="T678" s="8" t="e">
        <f ca="1">[1]!BexGetData("DP_1","00O2TNJGODT0G5Z4TTKYMMOLH","GSON1112060290")</f>
        <v>#NAME?</v>
      </c>
      <c r="U678" s="3" t="e">
        <f ca="1">[1]!BexGetData("DP_1","00O2TNJGODT0G5Z4TTKYMMUX1","GSON1112060290")</f>
        <v>#NAME?</v>
      </c>
      <c r="V678" s="8" t="e">
        <f ca="1">[1]!BexGetData("DP_1","00O2TNJGODT0G5Z4TTKYMN18L","GSON1112060290")</f>
        <v>#NAME?</v>
      </c>
      <c r="W678" s="3" t="e">
        <f ca="1">[1]!BexGetData("DP_1","00O2TNJGODT0G5Z4TTKYMN7K5","GSON1112060290")</f>
        <v>#NAME?</v>
      </c>
    </row>
    <row r="679" spans="1:23" x14ac:dyDescent="0.2">
      <c r="A679" s="16" t="s">
        <v>2715</v>
      </c>
      <c r="B679" s="7" t="s">
        <v>2716</v>
      </c>
      <c r="C679" s="3" t="e">
        <f ca="1">[1]!BexGetData("DP_1","003N8EMH8GTFRCSWKMPXRR8GU","GSON1112060291")</f>
        <v>#NAME?</v>
      </c>
      <c r="D679" s="3" t="e">
        <f ca="1">[1]!BexGetData("DP_1","003N8EMH8GTFRCSWKMPXRRESE","GSON1112060291")</f>
        <v>#NAME?</v>
      </c>
      <c r="E679" s="8" t="e">
        <f ca="1">[1]!BexGetData("DP_1","003N8EMH8GTFRCSWKMPXRRL3Y","GSON1112060291")</f>
        <v>#NAME?</v>
      </c>
      <c r="F679" s="4" t="e">
        <f ca="1">[1]!BexGetData("DP_1","003N8EMH8GTFRCSWKMPXRRRFI","GSON1112060291")</f>
        <v>#NAME?</v>
      </c>
      <c r="G679" s="4" t="e">
        <f ca="1">[1]!BexGetData("DP_1","003N8EMH8GTFRCSWKMPXRRXR2","GSON1112060291")</f>
        <v>#NAME?</v>
      </c>
      <c r="H679" s="4" t="e">
        <f ca="1">[1]!BexGetData("DP_1","003N8EMH8GTFRCSWKMPXRS42M","GSON1112060291")</f>
        <v>#NAME?</v>
      </c>
      <c r="I679" s="4" t="e">
        <f ca="1">[1]!BexGetData("DP_1","003N8EMH8GTFRCSWKMPXRSAE6","GSON1112060291")</f>
        <v>#NAME?</v>
      </c>
      <c r="J679" s="4" t="e">
        <f ca="1">[1]!BexGetData("DP_1","003N8EMH8GTFRCSWKMPXRSGPQ","GSON1112060291")</f>
        <v>#NAME?</v>
      </c>
      <c r="K679" s="8" t="e">
        <f ca="1">[1]!BexGetData("DP_1","003N8EMH8GTFRIVNUPY288VJH","GSON1112060291")</f>
        <v>#NAME?</v>
      </c>
      <c r="L679" s="8" t="e">
        <f ca="1">[1]!BexGetData("DP_1","003N8EMH8GTFRIVNUPY2891V1","GSON1112060291")</f>
        <v>#NAME?</v>
      </c>
      <c r="M679" s="8" t="e">
        <f ca="1">[1]!BexGetData("DP_1","003N8EMH8GTFRIVOG7KG9IQXA","GSON1112060291")</f>
        <v>#NAME?</v>
      </c>
      <c r="N679" s="8" t="e">
        <f ca="1">[1]!BexGetData("DP_1","003N8EMH8GTFRIVOG7KG9IX8U","GSON1112060291")</f>
        <v>#NAME?</v>
      </c>
      <c r="O679" s="8" t="e">
        <f ca="1">[1]!BexGetData("DP_1","003N8EMH8GTFRIVOG7KG9J3KE","GSON1112060291")</f>
        <v>#NAME?</v>
      </c>
      <c r="P679" s="8" t="e">
        <f ca="1">[1]!BexGetData("DP_1","003N8EMH8GTFRIVOG7KG9J9VY","GSON1112060291")</f>
        <v>#NAME?</v>
      </c>
      <c r="Q679" s="4" t="e">
        <f ca="1">[1]!BexGetData("DP_1","00O2TNJGODT0G5Z4TTKYMM5MT","GSON1112060291")</f>
        <v>#NAME?</v>
      </c>
      <c r="R679" s="4" t="e">
        <f ca="1">[1]!BexGetData("DP_1","00O2TNJGODT0G5Z4TTKYMMBYD","GSON1112060291")</f>
        <v>#NAME?</v>
      </c>
      <c r="S679" s="4" t="e">
        <f ca="1">[1]!BexGetData("DP_1","00O2TNJGODT0G5Z4TTKYMMI9X","GSON1112060291")</f>
        <v>#NAME?</v>
      </c>
      <c r="T679" s="4" t="e">
        <f ca="1">[1]!BexGetData("DP_1","00O2TNJGODT0G5Z4TTKYMMOLH","GSON1112060291")</f>
        <v>#NAME?</v>
      </c>
      <c r="U679" s="4" t="e">
        <f ca="1">[1]!BexGetData("DP_1","00O2TNJGODT0G5Z4TTKYMMUX1","GSON1112060291")</f>
        <v>#NAME?</v>
      </c>
      <c r="V679" s="4" t="e">
        <f ca="1">[1]!BexGetData("DP_1","00O2TNJGODT0G5Z4TTKYMN18L","GSON1112060291")</f>
        <v>#NAME?</v>
      </c>
      <c r="W679" s="4" t="e">
        <f ca="1">[1]!BexGetData("DP_1","00O2TNJGODT0G5Z4TTKYMN7K5","GSON1112060291")</f>
        <v>#NAME?</v>
      </c>
    </row>
    <row r="680" spans="1:23" x14ac:dyDescent="0.2">
      <c r="A680" s="16" t="s">
        <v>2717</v>
      </c>
      <c r="B680" s="7" t="s">
        <v>2718</v>
      </c>
      <c r="C680" s="3" t="e">
        <f ca="1">[1]!BexGetData("DP_1","003N8EMH8GTFRCSWKMPXRR8GU","GSON1112060294")</f>
        <v>#NAME?</v>
      </c>
      <c r="D680" s="3" t="e">
        <f ca="1">[1]!BexGetData("DP_1","003N8EMH8GTFRCSWKMPXRRESE","GSON1112060294")</f>
        <v>#NAME?</v>
      </c>
      <c r="E680" s="8" t="e">
        <f ca="1">[1]!BexGetData("DP_1","003N8EMH8GTFRCSWKMPXRRL3Y","GSON1112060294")</f>
        <v>#NAME?</v>
      </c>
      <c r="F680" s="4" t="e">
        <f ca="1">[1]!BexGetData("DP_1","003N8EMH8GTFRCSWKMPXRRRFI","GSON1112060294")</f>
        <v>#NAME?</v>
      </c>
      <c r="G680" s="4" t="e">
        <f ca="1">[1]!BexGetData("DP_1","003N8EMH8GTFRCSWKMPXRRXR2","GSON1112060294")</f>
        <v>#NAME?</v>
      </c>
      <c r="H680" s="4" t="e">
        <f ca="1">[1]!BexGetData("DP_1","003N8EMH8GTFRCSWKMPXRS42M","GSON1112060294")</f>
        <v>#NAME?</v>
      </c>
      <c r="I680" s="4" t="e">
        <f ca="1">[1]!BexGetData("DP_1","003N8EMH8GTFRCSWKMPXRSAE6","GSON1112060294")</f>
        <v>#NAME?</v>
      </c>
      <c r="J680" s="4" t="e">
        <f ca="1">[1]!BexGetData("DP_1","003N8EMH8GTFRCSWKMPXRSGPQ","GSON1112060294")</f>
        <v>#NAME?</v>
      </c>
      <c r="K680" s="8" t="e">
        <f ca="1">[1]!BexGetData("DP_1","003N8EMH8GTFRIVNUPY288VJH","GSON1112060294")</f>
        <v>#NAME?</v>
      </c>
      <c r="L680" s="8" t="e">
        <f ca="1">[1]!BexGetData("DP_1","003N8EMH8GTFRIVNUPY2891V1","GSON1112060294")</f>
        <v>#NAME?</v>
      </c>
      <c r="M680" s="8" t="e">
        <f ca="1">[1]!BexGetData("DP_1","003N8EMH8GTFRIVOG7KG9IQXA","GSON1112060294")</f>
        <v>#NAME?</v>
      </c>
      <c r="N680" s="8" t="e">
        <f ca="1">[1]!BexGetData("DP_1","003N8EMH8GTFRIVOG7KG9IX8U","GSON1112060294")</f>
        <v>#NAME?</v>
      </c>
      <c r="O680" s="8" t="e">
        <f ca="1">[1]!BexGetData("DP_1","003N8EMH8GTFRIVOG7KG9J3KE","GSON1112060294")</f>
        <v>#NAME?</v>
      </c>
      <c r="P680" s="8" t="e">
        <f ca="1">[1]!BexGetData("DP_1","003N8EMH8GTFRIVOG7KG9J9VY","GSON1112060294")</f>
        <v>#NAME?</v>
      </c>
      <c r="Q680" s="4" t="e">
        <f ca="1">[1]!BexGetData("DP_1","00O2TNJGODT0G5Z4TTKYMM5MT","GSON1112060294")</f>
        <v>#NAME?</v>
      </c>
      <c r="R680" s="4" t="e">
        <f ca="1">[1]!BexGetData("DP_1","00O2TNJGODT0G5Z4TTKYMMBYD","GSON1112060294")</f>
        <v>#NAME?</v>
      </c>
      <c r="S680" s="4" t="e">
        <f ca="1">[1]!BexGetData("DP_1","00O2TNJGODT0G5Z4TTKYMMI9X","GSON1112060294")</f>
        <v>#NAME?</v>
      </c>
      <c r="T680" s="4" t="e">
        <f ca="1">[1]!BexGetData("DP_1","00O2TNJGODT0G5Z4TTKYMMOLH","GSON1112060294")</f>
        <v>#NAME?</v>
      </c>
      <c r="U680" s="4" t="e">
        <f ca="1">[1]!BexGetData("DP_1","00O2TNJGODT0G5Z4TTKYMMUX1","GSON1112060294")</f>
        <v>#NAME?</v>
      </c>
      <c r="V680" s="4" t="e">
        <f ca="1">[1]!BexGetData("DP_1","00O2TNJGODT0G5Z4TTKYMN18L","GSON1112060294")</f>
        <v>#NAME?</v>
      </c>
      <c r="W680" s="4" t="e">
        <f ca="1">[1]!BexGetData("DP_1","00O2TNJGODT0G5Z4TTKYMN7K5","GSON1112060294")</f>
        <v>#NAME?</v>
      </c>
    </row>
    <row r="681" spans="1:23" x14ac:dyDescent="0.2">
      <c r="A681" s="16" t="s">
        <v>2719</v>
      </c>
      <c r="B681" s="7" t="s">
        <v>2720</v>
      </c>
      <c r="C681" s="3" t="e">
        <f ca="1">[1]!BexGetData("DP_1","003N8EMH8GTFRCSWKMPXRR8GU","GSON1112060295")</f>
        <v>#NAME?</v>
      </c>
      <c r="D681" s="3" t="e">
        <f ca="1">[1]!BexGetData("DP_1","003N8EMH8GTFRCSWKMPXRRESE","GSON1112060295")</f>
        <v>#NAME?</v>
      </c>
      <c r="E681" s="8" t="e">
        <f ca="1">[1]!BexGetData("DP_1","003N8EMH8GTFRCSWKMPXRRL3Y","GSON1112060295")</f>
        <v>#NAME?</v>
      </c>
      <c r="F681" s="4" t="e">
        <f ca="1">[1]!BexGetData("DP_1","003N8EMH8GTFRCSWKMPXRRRFI","GSON1112060295")</f>
        <v>#NAME?</v>
      </c>
      <c r="G681" s="4" t="e">
        <f ca="1">[1]!BexGetData("DP_1","003N8EMH8GTFRCSWKMPXRRXR2","GSON1112060295")</f>
        <v>#NAME?</v>
      </c>
      <c r="H681" s="4" t="e">
        <f ca="1">[1]!BexGetData("DP_1","003N8EMH8GTFRCSWKMPXRS42M","GSON1112060295")</f>
        <v>#NAME?</v>
      </c>
      <c r="I681" s="4" t="e">
        <f ca="1">[1]!BexGetData("DP_1","003N8EMH8GTFRCSWKMPXRSAE6","GSON1112060295")</f>
        <v>#NAME?</v>
      </c>
      <c r="J681" s="4" t="e">
        <f ca="1">[1]!BexGetData("DP_1","003N8EMH8GTFRCSWKMPXRSGPQ","GSON1112060295")</f>
        <v>#NAME?</v>
      </c>
      <c r="K681" s="8" t="e">
        <f ca="1">[1]!BexGetData("DP_1","003N8EMH8GTFRIVNUPY288VJH","GSON1112060295")</f>
        <v>#NAME?</v>
      </c>
      <c r="L681" s="8" t="e">
        <f ca="1">[1]!BexGetData("DP_1","003N8EMH8GTFRIVNUPY2891V1","GSON1112060295")</f>
        <v>#NAME?</v>
      </c>
      <c r="M681" s="8" t="e">
        <f ca="1">[1]!BexGetData("DP_1","003N8EMH8GTFRIVOG7KG9IQXA","GSON1112060295")</f>
        <v>#NAME?</v>
      </c>
      <c r="N681" s="8" t="e">
        <f ca="1">[1]!BexGetData("DP_1","003N8EMH8GTFRIVOG7KG9IX8U","GSON1112060295")</f>
        <v>#NAME?</v>
      </c>
      <c r="O681" s="8" t="e">
        <f ca="1">[1]!BexGetData("DP_1","003N8EMH8GTFRIVOG7KG9J3KE","GSON1112060295")</f>
        <v>#NAME?</v>
      </c>
      <c r="P681" s="8" t="e">
        <f ca="1">[1]!BexGetData("DP_1","003N8EMH8GTFRIVOG7KG9J9VY","GSON1112060295")</f>
        <v>#NAME?</v>
      </c>
      <c r="Q681" s="4" t="e">
        <f ca="1">[1]!BexGetData("DP_1","00O2TNJGODT0G5Z4TTKYMM5MT","GSON1112060295")</f>
        <v>#NAME?</v>
      </c>
      <c r="R681" s="4" t="e">
        <f ca="1">[1]!BexGetData("DP_1","00O2TNJGODT0G5Z4TTKYMMBYD","GSON1112060295")</f>
        <v>#NAME?</v>
      </c>
      <c r="S681" s="4" t="e">
        <f ca="1">[1]!BexGetData("DP_1","00O2TNJGODT0G5Z4TTKYMMI9X","GSON1112060295")</f>
        <v>#NAME?</v>
      </c>
      <c r="T681" s="4" t="e">
        <f ca="1">[1]!BexGetData("DP_1","00O2TNJGODT0G5Z4TTKYMMOLH","GSON1112060295")</f>
        <v>#NAME?</v>
      </c>
      <c r="U681" s="4" t="e">
        <f ca="1">[1]!BexGetData("DP_1","00O2TNJGODT0G5Z4TTKYMMUX1","GSON1112060295")</f>
        <v>#NAME?</v>
      </c>
      <c r="V681" s="4" t="e">
        <f ca="1">[1]!BexGetData("DP_1","00O2TNJGODT0G5Z4TTKYMN18L","GSON1112060295")</f>
        <v>#NAME?</v>
      </c>
      <c r="W681" s="4" t="e">
        <f ca="1">[1]!BexGetData("DP_1","00O2TNJGODT0G5Z4TTKYMN7K5","GSON1112060295")</f>
        <v>#NAME?</v>
      </c>
    </row>
    <row r="682" spans="1:23" x14ac:dyDescent="0.2">
      <c r="A682" s="16" t="s">
        <v>2721</v>
      </c>
      <c r="B682" s="7" t="s">
        <v>2722</v>
      </c>
      <c r="C682" s="3" t="e">
        <f ca="1">[1]!BexGetData("DP_1","003N8EMH8GTFRCSWKMPXRR8GU","GSON1112060300")</f>
        <v>#NAME?</v>
      </c>
      <c r="D682" s="3" t="e">
        <f ca="1">[1]!BexGetData("DP_1","003N8EMH8GTFRCSWKMPXRRESE","GSON1112060300")</f>
        <v>#NAME?</v>
      </c>
      <c r="E682" s="3" t="e">
        <f ca="1">[1]!BexGetData("DP_1","003N8EMH8GTFRCSWKMPXRRL3Y","GSON1112060300")</f>
        <v>#NAME?</v>
      </c>
      <c r="F682" s="3" t="e">
        <f ca="1">[1]!BexGetData("DP_1","003N8EMH8GTFRCSWKMPXRRRFI","GSON1112060300")</f>
        <v>#NAME?</v>
      </c>
      <c r="G682" s="3" t="e">
        <f ca="1">[1]!BexGetData("DP_1","003N8EMH8GTFRCSWKMPXRRXR2","GSON1112060300")</f>
        <v>#NAME?</v>
      </c>
      <c r="H682" s="8" t="e">
        <f ca="1">[1]!BexGetData("DP_1","003N8EMH8GTFRCSWKMPXRS42M","GSON1112060300")</f>
        <v>#NAME?</v>
      </c>
      <c r="I682" s="3" t="e">
        <f ca="1">[1]!BexGetData("DP_1","003N8EMH8GTFRCSWKMPXRSAE6","GSON1112060300")</f>
        <v>#NAME?</v>
      </c>
      <c r="J682" s="4" t="e">
        <f ca="1">[1]!BexGetData("DP_1","003N8EMH8GTFRCSWKMPXRSGPQ","GSON1112060300")</f>
        <v>#NAME?</v>
      </c>
      <c r="K682" s="3" t="e">
        <f ca="1">[1]!BexGetData("DP_1","003N8EMH8GTFRIVNUPY288VJH","GSON1112060300")</f>
        <v>#NAME?</v>
      </c>
      <c r="L682" s="3" t="e">
        <f ca="1">[1]!BexGetData("DP_1","003N8EMH8GTFRIVNUPY2891V1","GSON1112060300")</f>
        <v>#NAME?</v>
      </c>
      <c r="M682" s="3" t="e">
        <f ca="1">[1]!BexGetData("DP_1","003N8EMH8GTFRIVOG7KG9IQXA","GSON1112060300")</f>
        <v>#NAME?</v>
      </c>
      <c r="N682" s="8" t="e">
        <f ca="1">[1]!BexGetData("DP_1","003N8EMH8GTFRIVOG7KG9IX8U","GSON1112060300")</f>
        <v>#NAME?</v>
      </c>
      <c r="O682" s="3" t="e">
        <f ca="1">[1]!BexGetData("DP_1","003N8EMH8GTFRIVOG7KG9J3KE","GSON1112060300")</f>
        <v>#NAME?</v>
      </c>
      <c r="P682" s="8" t="e">
        <f ca="1">[1]!BexGetData("DP_1","003N8EMH8GTFRIVOG7KG9J9VY","GSON1112060300")</f>
        <v>#NAME?</v>
      </c>
      <c r="Q682" s="4" t="e">
        <f ca="1">[1]!BexGetData("DP_1","00O2TNJGODT0G5Z4TTKYMM5MT","GSON1112060300")</f>
        <v>#NAME?</v>
      </c>
      <c r="R682" s="3" t="e">
        <f ca="1">[1]!BexGetData("DP_1","00O2TNJGODT0G5Z4TTKYMMBYD","GSON1112060300")</f>
        <v>#NAME?</v>
      </c>
      <c r="S682" s="3" t="e">
        <f ca="1">[1]!BexGetData("DP_1","00O2TNJGODT0G5Z4TTKYMMI9X","GSON1112060300")</f>
        <v>#NAME?</v>
      </c>
      <c r="T682" s="8" t="e">
        <f ca="1">[1]!BexGetData("DP_1","00O2TNJGODT0G5Z4TTKYMMOLH","GSON1112060300")</f>
        <v>#NAME?</v>
      </c>
      <c r="U682" s="3" t="e">
        <f ca="1">[1]!BexGetData("DP_1","00O2TNJGODT0G5Z4TTKYMMUX1","GSON1112060300")</f>
        <v>#NAME?</v>
      </c>
      <c r="V682" s="8" t="e">
        <f ca="1">[1]!BexGetData("DP_1","00O2TNJGODT0G5Z4TTKYMN18L","GSON1112060300")</f>
        <v>#NAME?</v>
      </c>
      <c r="W682" s="3" t="e">
        <f ca="1">[1]!BexGetData("DP_1","00O2TNJGODT0G5Z4TTKYMN7K5","GSON1112060300")</f>
        <v>#NAME?</v>
      </c>
    </row>
    <row r="683" spans="1:23" x14ac:dyDescent="0.2">
      <c r="A683" s="16" t="s">
        <v>2723</v>
      </c>
      <c r="B683" s="7" t="s">
        <v>2724</v>
      </c>
      <c r="C683" s="3" t="e">
        <f ca="1">[1]!BexGetData("DP_1","003N8EMH8GTFRCSWKMPXRR8GU","GSON1112060301")</f>
        <v>#NAME?</v>
      </c>
      <c r="D683" s="3" t="e">
        <f ca="1">[1]!BexGetData("DP_1","003N8EMH8GTFRCSWKMPXRRESE","GSON1112060301")</f>
        <v>#NAME?</v>
      </c>
      <c r="E683" s="8" t="e">
        <f ca="1">[1]!BexGetData("DP_1","003N8EMH8GTFRCSWKMPXRRL3Y","GSON1112060301")</f>
        <v>#NAME?</v>
      </c>
      <c r="F683" s="4" t="e">
        <f ca="1">[1]!BexGetData("DP_1","003N8EMH8GTFRCSWKMPXRRRFI","GSON1112060301")</f>
        <v>#NAME?</v>
      </c>
      <c r="G683" s="4" t="e">
        <f ca="1">[1]!BexGetData("DP_1","003N8EMH8GTFRCSWKMPXRRXR2","GSON1112060301")</f>
        <v>#NAME?</v>
      </c>
      <c r="H683" s="4" t="e">
        <f ca="1">[1]!BexGetData("DP_1","003N8EMH8GTFRCSWKMPXRS42M","GSON1112060301")</f>
        <v>#NAME?</v>
      </c>
      <c r="I683" s="4" t="e">
        <f ca="1">[1]!BexGetData("DP_1","003N8EMH8GTFRCSWKMPXRSAE6","GSON1112060301")</f>
        <v>#NAME?</v>
      </c>
      <c r="J683" s="4" t="e">
        <f ca="1">[1]!BexGetData("DP_1","003N8EMH8GTFRCSWKMPXRSGPQ","GSON1112060301")</f>
        <v>#NAME?</v>
      </c>
      <c r="K683" s="8" t="e">
        <f ca="1">[1]!BexGetData("DP_1","003N8EMH8GTFRIVNUPY288VJH","GSON1112060301")</f>
        <v>#NAME?</v>
      </c>
      <c r="L683" s="8" t="e">
        <f ca="1">[1]!BexGetData("DP_1","003N8EMH8GTFRIVNUPY2891V1","GSON1112060301")</f>
        <v>#NAME?</v>
      </c>
      <c r="M683" s="8" t="e">
        <f ca="1">[1]!BexGetData("DP_1","003N8EMH8GTFRIVOG7KG9IQXA","GSON1112060301")</f>
        <v>#NAME?</v>
      </c>
      <c r="N683" s="8" t="e">
        <f ca="1">[1]!BexGetData("DP_1","003N8EMH8GTFRIVOG7KG9IX8U","GSON1112060301")</f>
        <v>#NAME?</v>
      </c>
      <c r="O683" s="8" t="e">
        <f ca="1">[1]!BexGetData("DP_1","003N8EMH8GTFRIVOG7KG9J3KE","GSON1112060301")</f>
        <v>#NAME?</v>
      </c>
      <c r="P683" s="8" t="e">
        <f ca="1">[1]!BexGetData("DP_1","003N8EMH8GTFRIVOG7KG9J9VY","GSON1112060301")</f>
        <v>#NAME?</v>
      </c>
      <c r="Q683" s="4" t="e">
        <f ca="1">[1]!BexGetData("DP_1","00O2TNJGODT0G5Z4TTKYMM5MT","GSON1112060301")</f>
        <v>#NAME?</v>
      </c>
      <c r="R683" s="4" t="e">
        <f ca="1">[1]!BexGetData("DP_1","00O2TNJGODT0G5Z4TTKYMMBYD","GSON1112060301")</f>
        <v>#NAME?</v>
      </c>
      <c r="S683" s="4" t="e">
        <f ca="1">[1]!BexGetData("DP_1","00O2TNJGODT0G5Z4TTKYMMI9X","GSON1112060301")</f>
        <v>#NAME?</v>
      </c>
      <c r="T683" s="4" t="e">
        <f ca="1">[1]!BexGetData("DP_1","00O2TNJGODT0G5Z4TTKYMMOLH","GSON1112060301")</f>
        <v>#NAME?</v>
      </c>
      <c r="U683" s="4" t="e">
        <f ca="1">[1]!BexGetData("DP_1","00O2TNJGODT0G5Z4TTKYMMUX1","GSON1112060301")</f>
        <v>#NAME?</v>
      </c>
      <c r="V683" s="4" t="e">
        <f ca="1">[1]!BexGetData("DP_1","00O2TNJGODT0G5Z4TTKYMN18L","GSON1112060301")</f>
        <v>#NAME?</v>
      </c>
      <c r="W683" s="4" t="e">
        <f ca="1">[1]!BexGetData("DP_1","00O2TNJGODT0G5Z4TTKYMN7K5","GSON1112060301")</f>
        <v>#NAME?</v>
      </c>
    </row>
    <row r="684" spans="1:23" x14ac:dyDescent="0.2">
      <c r="A684" s="16" t="s">
        <v>2725</v>
      </c>
      <c r="B684" s="7" t="s">
        <v>2726</v>
      </c>
      <c r="C684" s="3" t="e">
        <f ca="1">[1]!BexGetData("DP_1","003N8EMH8GTFRCSWKMPXRR8GU","GSON1112060303")</f>
        <v>#NAME?</v>
      </c>
      <c r="D684" s="3" t="e">
        <f ca="1">[1]!BexGetData("DP_1","003N8EMH8GTFRCSWKMPXRRESE","GSON1112060303")</f>
        <v>#NAME?</v>
      </c>
      <c r="E684" s="8" t="e">
        <f ca="1">[1]!BexGetData("DP_1","003N8EMH8GTFRCSWKMPXRRL3Y","GSON1112060303")</f>
        <v>#NAME?</v>
      </c>
      <c r="F684" s="4" t="e">
        <f ca="1">[1]!BexGetData("DP_1","003N8EMH8GTFRCSWKMPXRRRFI","GSON1112060303")</f>
        <v>#NAME?</v>
      </c>
      <c r="G684" s="4" t="e">
        <f ca="1">[1]!BexGetData("DP_1","003N8EMH8GTFRCSWKMPXRRXR2","GSON1112060303")</f>
        <v>#NAME?</v>
      </c>
      <c r="H684" s="4" t="e">
        <f ca="1">[1]!BexGetData("DP_1","003N8EMH8GTFRCSWKMPXRS42M","GSON1112060303")</f>
        <v>#NAME?</v>
      </c>
      <c r="I684" s="4" t="e">
        <f ca="1">[1]!BexGetData("DP_1","003N8EMH8GTFRCSWKMPXRSAE6","GSON1112060303")</f>
        <v>#NAME?</v>
      </c>
      <c r="J684" s="4" t="e">
        <f ca="1">[1]!BexGetData("DP_1","003N8EMH8GTFRCSWKMPXRSGPQ","GSON1112060303")</f>
        <v>#NAME?</v>
      </c>
      <c r="K684" s="8" t="e">
        <f ca="1">[1]!BexGetData("DP_1","003N8EMH8GTFRIVNUPY288VJH","GSON1112060303")</f>
        <v>#NAME?</v>
      </c>
      <c r="L684" s="8" t="e">
        <f ca="1">[1]!BexGetData("DP_1","003N8EMH8GTFRIVNUPY2891V1","GSON1112060303")</f>
        <v>#NAME?</v>
      </c>
      <c r="M684" s="8" t="e">
        <f ca="1">[1]!BexGetData("DP_1","003N8EMH8GTFRIVOG7KG9IQXA","GSON1112060303")</f>
        <v>#NAME?</v>
      </c>
      <c r="N684" s="8" t="e">
        <f ca="1">[1]!BexGetData("DP_1","003N8EMH8GTFRIVOG7KG9IX8U","GSON1112060303")</f>
        <v>#NAME?</v>
      </c>
      <c r="O684" s="8" t="e">
        <f ca="1">[1]!BexGetData("DP_1","003N8EMH8GTFRIVOG7KG9J3KE","GSON1112060303")</f>
        <v>#NAME?</v>
      </c>
      <c r="P684" s="8" t="e">
        <f ca="1">[1]!BexGetData("DP_1","003N8EMH8GTFRIVOG7KG9J9VY","GSON1112060303")</f>
        <v>#NAME?</v>
      </c>
      <c r="Q684" s="4" t="e">
        <f ca="1">[1]!BexGetData("DP_1","00O2TNJGODT0G5Z4TTKYMM5MT","GSON1112060303")</f>
        <v>#NAME?</v>
      </c>
      <c r="R684" s="4" t="e">
        <f ca="1">[1]!BexGetData("DP_1","00O2TNJGODT0G5Z4TTKYMMBYD","GSON1112060303")</f>
        <v>#NAME?</v>
      </c>
      <c r="S684" s="4" t="e">
        <f ca="1">[1]!BexGetData("DP_1","00O2TNJGODT0G5Z4TTKYMMI9X","GSON1112060303")</f>
        <v>#NAME?</v>
      </c>
      <c r="T684" s="4" t="e">
        <f ca="1">[1]!BexGetData("DP_1","00O2TNJGODT0G5Z4TTKYMMOLH","GSON1112060303")</f>
        <v>#NAME?</v>
      </c>
      <c r="U684" s="4" t="e">
        <f ca="1">[1]!BexGetData("DP_1","00O2TNJGODT0G5Z4TTKYMMUX1","GSON1112060303")</f>
        <v>#NAME?</v>
      </c>
      <c r="V684" s="4" t="e">
        <f ca="1">[1]!BexGetData("DP_1","00O2TNJGODT0G5Z4TTKYMN18L","GSON1112060303")</f>
        <v>#NAME?</v>
      </c>
      <c r="W684" s="4" t="e">
        <f ca="1">[1]!BexGetData("DP_1","00O2TNJGODT0G5Z4TTKYMN7K5","GSON1112060303")</f>
        <v>#NAME?</v>
      </c>
    </row>
    <row r="685" spans="1:23" x14ac:dyDescent="0.2">
      <c r="A685" s="16" t="s">
        <v>2727</v>
      </c>
      <c r="B685" s="7" t="s">
        <v>2728</v>
      </c>
      <c r="C685" s="3" t="e">
        <f ca="1">[1]!BexGetData("DP_1","003N8EMH8GTFRCSWKMPXRR8GU","GSON1112060304")</f>
        <v>#NAME?</v>
      </c>
      <c r="D685" s="3" t="e">
        <f ca="1">[1]!BexGetData("DP_1","003N8EMH8GTFRCSWKMPXRRESE","GSON1112060304")</f>
        <v>#NAME?</v>
      </c>
      <c r="E685" s="8" t="e">
        <f ca="1">[1]!BexGetData("DP_1","003N8EMH8GTFRCSWKMPXRRL3Y","GSON1112060304")</f>
        <v>#NAME?</v>
      </c>
      <c r="F685" s="4" t="e">
        <f ca="1">[1]!BexGetData("DP_1","003N8EMH8GTFRCSWKMPXRRRFI","GSON1112060304")</f>
        <v>#NAME?</v>
      </c>
      <c r="G685" s="4" t="e">
        <f ca="1">[1]!BexGetData("DP_1","003N8EMH8GTFRCSWKMPXRRXR2","GSON1112060304")</f>
        <v>#NAME?</v>
      </c>
      <c r="H685" s="4" t="e">
        <f ca="1">[1]!BexGetData("DP_1","003N8EMH8GTFRCSWKMPXRS42M","GSON1112060304")</f>
        <v>#NAME?</v>
      </c>
      <c r="I685" s="4" t="e">
        <f ca="1">[1]!BexGetData("DP_1","003N8EMH8GTFRCSWKMPXRSAE6","GSON1112060304")</f>
        <v>#NAME?</v>
      </c>
      <c r="J685" s="4" t="e">
        <f ca="1">[1]!BexGetData("DP_1","003N8EMH8GTFRCSWKMPXRSGPQ","GSON1112060304")</f>
        <v>#NAME?</v>
      </c>
      <c r="K685" s="8" t="e">
        <f ca="1">[1]!BexGetData("DP_1","003N8EMH8GTFRIVNUPY288VJH","GSON1112060304")</f>
        <v>#NAME?</v>
      </c>
      <c r="L685" s="8" t="e">
        <f ca="1">[1]!BexGetData("DP_1","003N8EMH8GTFRIVNUPY2891V1","GSON1112060304")</f>
        <v>#NAME?</v>
      </c>
      <c r="M685" s="8" t="e">
        <f ca="1">[1]!BexGetData("DP_1","003N8EMH8GTFRIVOG7KG9IQXA","GSON1112060304")</f>
        <v>#NAME?</v>
      </c>
      <c r="N685" s="8" t="e">
        <f ca="1">[1]!BexGetData("DP_1","003N8EMH8GTFRIVOG7KG9IX8U","GSON1112060304")</f>
        <v>#NAME?</v>
      </c>
      <c r="O685" s="8" t="e">
        <f ca="1">[1]!BexGetData("DP_1","003N8EMH8GTFRIVOG7KG9J3KE","GSON1112060304")</f>
        <v>#NAME?</v>
      </c>
      <c r="P685" s="8" t="e">
        <f ca="1">[1]!BexGetData("DP_1","003N8EMH8GTFRIVOG7KG9J9VY","GSON1112060304")</f>
        <v>#NAME?</v>
      </c>
      <c r="Q685" s="4" t="e">
        <f ca="1">[1]!BexGetData("DP_1","00O2TNJGODT0G5Z4TTKYMM5MT","GSON1112060304")</f>
        <v>#NAME?</v>
      </c>
      <c r="R685" s="4" t="e">
        <f ca="1">[1]!BexGetData("DP_1","00O2TNJGODT0G5Z4TTKYMMBYD","GSON1112060304")</f>
        <v>#NAME?</v>
      </c>
      <c r="S685" s="4" t="e">
        <f ca="1">[1]!BexGetData("DP_1","00O2TNJGODT0G5Z4TTKYMMI9X","GSON1112060304")</f>
        <v>#NAME?</v>
      </c>
      <c r="T685" s="4" t="e">
        <f ca="1">[1]!BexGetData("DP_1","00O2TNJGODT0G5Z4TTKYMMOLH","GSON1112060304")</f>
        <v>#NAME?</v>
      </c>
      <c r="U685" s="4" t="e">
        <f ca="1">[1]!BexGetData("DP_1","00O2TNJGODT0G5Z4TTKYMMUX1","GSON1112060304")</f>
        <v>#NAME?</v>
      </c>
      <c r="V685" s="4" t="e">
        <f ca="1">[1]!BexGetData("DP_1","00O2TNJGODT0G5Z4TTKYMN18L","GSON1112060304")</f>
        <v>#NAME?</v>
      </c>
      <c r="W685" s="4" t="e">
        <f ca="1">[1]!BexGetData("DP_1","00O2TNJGODT0G5Z4TTKYMN7K5","GSON1112060304")</f>
        <v>#NAME?</v>
      </c>
    </row>
    <row r="686" spans="1:23" x14ac:dyDescent="0.2">
      <c r="A686" s="16" t="s">
        <v>2729</v>
      </c>
      <c r="B686" s="7" t="s">
        <v>2730</v>
      </c>
      <c r="C686" s="3" t="e">
        <f ca="1">[1]!BexGetData("DP_1","003N8EMH8GTFRCSWKMPXRR8GU","GSON1112060305")</f>
        <v>#NAME?</v>
      </c>
      <c r="D686" s="3" t="e">
        <f ca="1">[1]!BexGetData("DP_1","003N8EMH8GTFRCSWKMPXRRESE","GSON1112060305")</f>
        <v>#NAME?</v>
      </c>
      <c r="E686" s="8" t="e">
        <f ca="1">[1]!BexGetData("DP_1","003N8EMH8GTFRCSWKMPXRRL3Y","GSON1112060305")</f>
        <v>#NAME?</v>
      </c>
      <c r="F686" s="4" t="e">
        <f ca="1">[1]!BexGetData("DP_1","003N8EMH8GTFRCSWKMPXRRRFI","GSON1112060305")</f>
        <v>#NAME?</v>
      </c>
      <c r="G686" s="4" t="e">
        <f ca="1">[1]!BexGetData("DP_1","003N8EMH8GTFRCSWKMPXRRXR2","GSON1112060305")</f>
        <v>#NAME?</v>
      </c>
      <c r="H686" s="4" t="e">
        <f ca="1">[1]!BexGetData("DP_1","003N8EMH8GTFRCSWKMPXRS42M","GSON1112060305")</f>
        <v>#NAME?</v>
      </c>
      <c r="I686" s="4" t="e">
        <f ca="1">[1]!BexGetData("DP_1","003N8EMH8GTFRCSWKMPXRSAE6","GSON1112060305")</f>
        <v>#NAME?</v>
      </c>
      <c r="J686" s="4" t="e">
        <f ca="1">[1]!BexGetData("DP_1","003N8EMH8GTFRCSWKMPXRSGPQ","GSON1112060305")</f>
        <v>#NAME?</v>
      </c>
      <c r="K686" s="8" t="e">
        <f ca="1">[1]!BexGetData("DP_1","003N8EMH8GTFRIVNUPY288VJH","GSON1112060305")</f>
        <v>#NAME?</v>
      </c>
      <c r="L686" s="8" t="e">
        <f ca="1">[1]!BexGetData("DP_1","003N8EMH8GTFRIVNUPY2891V1","GSON1112060305")</f>
        <v>#NAME?</v>
      </c>
      <c r="M686" s="8" t="e">
        <f ca="1">[1]!BexGetData("DP_1","003N8EMH8GTFRIVOG7KG9IQXA","GSON1112060305")</f>
        <v>#NAME?</v>
      </c>
      <c r="N686" s="8" t="e">
        <f ca="1">[1]!BexGetData("DP_1","003N8EMH8GTFRIVOG7KG9IX8U","GSON1112060305")</f>
        <v>#NAME?</v>
      </c>
      <c r="O686" s="8" t="e">
        <f ca="1">[1]!BexGetData("DP_1","003N8EMH8GTFRIVOG7KG9J3KE","GSON1112060305")</f>
        <v>#NAME?</v>
      </c>
      <c r="P686" s="8" t="e">
        <f ca="1">[1]!BexGetData("DP_1","003N8EMH8GTFRIVOG7KG9J9VY","GSON1112060305")</f>
        <v>#NAME?</v>
      </c>
      <c r="Q686" s="4" t="e">
        <f ca="1">[1]!BexGetData("DP_1","00O2TNJGODT0G5Z4TTKYMM5MT","GSON1112060305")</f>
        <v>#NAME?</v>
      </c>
      <c r="R686" s="4" t="e">
        <f ca="1">[1]!BexGetData("DP_1","00O2TNJGODT0G5Z4TTKYMMBYD","GSON1112060305")</f>
        <v>#NAME?</v>
      </c>
      <c r="S686" s="4" t="e">
        <f ca="1">[1]!BexGetData("DP_1","00O2TNJGODT0G5Z4TTKYMMI9X","GSON1112060305")</f>
        <v>#NAME?</v>
      </c>
      <c r="T686" s="4" t="e">
        <f ca="1">[1]!BexGetData("DP_1","00O2TNJGODT0G5Z4TTKYMMOLH","GSON1112060305")</f>
        <v>#NAME?</v>
      </c>
      <c r="U686" s="4" t="e">
        <f ca="1">[1]!BexGetData("DP_1","00O2TNJGODT0G5Z4TTKYMMUX1","GSON1112060305")</f>
        <v>#NAME?</v>
      </c>
      <c r="V686" s="4" t="e">
        <f ca="1">[1]!BexGetData("DP_1","00O2TNJGODT0G5Z4TTKYMN18L","GSON1112060305")</f>
        <v>#NAME?</v>
      </c>
      <c r="W686" s="4" t="e">
        <f ca="1">[1]!BexGetData("DP_1","00O2TNJGODT0G5Z4TTKYMN7K5","GSON1112060305")</f>
        <v>#NAME?</v>
      </c>
    </row>
    <row r="687" spans="1:23" x14ac:dyDescent="0.2">
      <c r="A687" s="16" t="s">
        <v>2731</v>
      </c>
      <c r="B687" s="7" t="s">
        <v>2732</v>
      </c>
      <c r="C687" s="3" t="e">
        <f ca="1">[1]!BexGetData("DP_1","003N8EMH8GTFRCSWKMPXRR8GU","GSON1112060310")</f>
        <v>#NAME?</v>
      </c>
      <c r="D687" s="3" t="e">
        <f ca="1">[1]!BexGetData("DP_1","003N8EMH8GTFRCSWKMPXRRESE","GSON1112060310")</f>
        <v>#NAME?</v>
      </c>
      <c r="E687" s="8" t="e">
        <f ca="1">[1]!BexGetData("DP_1","003N8EMH8GTFRCSWKMPXRRL3Y","GSON1112060310")</f>
        <v>#NAME?</v>
      </c>
      <c r="F687" s="3" t="e">
        <f ca="1">[1]!BexGetData("DP_1","003N8EMH8GTFRCSWKMPXRRRFI","GSON1112060310")</f>
        <v>#NAME?</v>
      </c>
      <c r="G687" s="3" t="e">
        <f ca="1">[1]!BexGetData("DP_1","003N8EMH8GTFRCSWKMPXRRXR2","GSON1112060310")</f>
        <v>#NAME?</v>
      </c>
      <c r="H687" s="8" t="e">
        <f ca="1">[1]!BexGetData("DP_1","003N8EMH8GTFRCSWKMPXRS42M","GSON1112060310")</f>
        <v>#NAME?</v>
      </c>
      <c r="I687" s="3" t="e">
        <f ca="1">[1]!BexGetData("DP_1","003N8EMH8GTFRCSWKMPXRSAE6","GSON1112060310")</f>
        <v>#NAME?</v>
      </c>
      <c r="J687" s="4" t="e">
        <f ca="1">[1]!BexGetData("DP_1","003N8EMH8GTFRCSWKMPXRSGPQ","GSON1112060310")</f>
        <v>#NAME?</v>
      </c>
      <c r="K687" s="3" t="e">
        <f ca="1">[1]!BexGetData("DP_1","003N8EMH8GTFRIVNUPY288VJH","GSON1112060310")</f>
        <v>#NAME?</v>
      </c>
      <c r="L687" s="3" t="e">
        <f ca="1">[1]!BexGetData("DP_1","003N8EMH8GTFRIVNUPY2891V1","GSON1112060310")</f>
        <v>#NAME?</v>
      </c>
      <c r="M687" s="3" t="e">
        <f ca="1">[1]!BexGetData("DP_1","003N8EMH8GTFRIVOG7KG9IQXA","GSON1112060310")</f>
        <v>#NAME?</v>
      </c>
      <c r="N687" s="8" t="e">
        <f ca="1">[1]!BexGetData("DP_1","003N8EMH8GTFRIVOG7KG9IX8U","GSON1112060310")</f>
        <v>#NAME?</v>
      </c>
      <c r="O687" s="3" t="e">
        <f ca="1">[1]!BexGetData("DP_1","003N8EMH8GTFRIVOG7KG9J3KE","GSON1112060310")</f>
        <v>#NAME?</v>
      </c>
      <c r="P687" s="8" t="e">
        <f ca="1">[1]!BexGetData("DP_1","003N8EMH8GTFRIVOG7KG9J9VY","GSON1112060310")</f>
        <v>#NAME?</v>
      </c>
      <c r="Q687" s="4" t="e">
        <f ca="1">[1]!BexGetData("DP_1","00O2TNJGODT0G5Z4TTKYMM5MT","GSON1112060310")</f>
        <v>#NAME?</v>
      </c>
      <c r="R687" s="3" t="e">
        <f ca="1">[1]!BexGetData("DP_1","00O2TNJGODT0G5Z4TTKYMMBYD","GSON1112060310")</f>
        <v>#NAME?</v>
      </c>
      <c r="S687" s="3" t="e">
        <f ca="1">[1]!BexGetData("DP_1","00O2TNJGODT0G5Z4TTKYMMI9X","GSON1112060310")</f>
        <v>#NAME?</v>
      </c>
      <c r="T687" s="8" t="e">
        <f ca="1">[1]!BexGetData("DP_1","00O2TNJGODT0G5Z4TTKYMMOLH","GSON1112060310")</f>
        <v>#NAME?</v>
      </c>
      <c r="U687" s="3" t="e">
        <f ca="1">[1]!BexGetData("DP_1","00O2TNJGODT0G5Z4TTKYMMUX1","GSON1112060310")</f>
        <v>#NAME?</v>
      </c>
      <c r="V687" s="8" t="e">
        <f ca="1">[1]!BexGetData("DP_1","00O2TNJGODT0G5Z4TTKYMN18L","GSON1112060310")</f>
        <v>#NAME?</v>
      </c>
      <c r="W687" s="3" t="e">
        <f ca="1">[1]!BexGetData("DP_1","00O2TNJGODT0G5Z4TTKYMN7K5","GSON1112060310")</f>
        <v>#NAME?</v>
      </c>
    </row>
    <row r="688" spans="1:23" x14ac:dyDescent="0.2">
      <c r="A688" s="16" t="s">
        <v>2733</v>
      </c>
      <c r="B688" s="7" t="s">
        <v>2734</v>
      </c>
      <c r="C688" s="3" t="e">
        <f ca="1">[1]!BexGetData("DP_1","003N8EMH8GTFRCSWKMPXRR8GU","GSON1112060311")</f>
        <v>#NAME?</v>
      </c>
      <c r="D688" s="3" t="e">
        <f ca="1">[1]!BexGetData("DP_1","003N8EMH8GTFRCSWKMPXRRESE","GSON1112060311")</f>
        <v>#NAME?</v>
      </c>
      <c r="E688" s="8" t="e">
        <f ca="1">[1]!BexGetData("DP_1","003N8EMH8GTFRCSWKMPXRRL3Y","GSON1112060311")</f>
        <v>#NAME?</v>
      </c>
      <c r="F688" s="4" t="e">
        <f ca="1">[1]!BexGetData("DP_1","003N8EMH8GTFRCSWKMPXRRRFI","GSON1112060311")</f>
        <v>#NAME?</v>
      </c>
      <c r="G688" s="4" t="e">
        <f ca="1">[1]!BexGetData("DP_1","003N8EMH8GTFRCSWKMPXRRXR2","GSON1112060311")</f>
        <v>#NAME?</v>
      </c>
      <c r="H688" s="4" t="e">
        <f ca="1">[1]!BexGetData("DP_1","003N8EMH8GTFRCSWKMPXRS42M","GSON1112060311")</f>
        <v>#NAME?</v>
      </c>
      <c r="I688" s="4" t="e">
        <f ca="1">[1]!BexGetData("DP_1","003N8EMH8GTFRCSWKMPXRSAE6","GSON1112060311")</f>
        <v>#NAME?</v>
      </c>
      <c r="J688" s="4" t="e">
        <f ca="1">[1]!BexGetData("DP_1","003N8EMH8GTFRCSWKMPXRSGPQ","GSON1112060311")</f>
        <v>#NAME?</v>
      </c>
      <c r="K688" s="8" t="e">
        <f ca="1">[1]!BexGetData("DP_1","003N8EMH8GTFRIVNUPY288VJH","GSON1112060311")</f>
        <v>#NAME?</v>
      </c>
      <c r="L688" s="8" t="e">
        <f ca="1">[1]!BexGetData("DP_1","003N8EMH8GTFRIVNUPY2891V1","GSON1112060311")</f>
        <v>#NAME?</v>
      </c>
      <c r="M688" s="8" t="e">
        <f ca="1">[1]!BexGetData("DP_1","003N8EMH8GTFRIVOG7KG9IQXA","GSON1112060311")</f>
        <v>#NAME?</v>
      </c>
      <c r="N688" s="8" t="e">
        <f ca="1">[1]!BexGetData("DP_1","003N8EMH8GTFRIVOG7KG9IX8U","GSON1112060311")</f>
        <v>#NAME?</v>
      </c>
      <c r="O688" s="8" t="e">
        <f ca="1">[1]!BexGetData("DP_1","003N8EMH8GTFRIVOG7KG9J3KE","GSON1112060311")</f>
        <v>#NAME?</v>
      </c>
      <c r="P688" s="8" t="e">
        <f ca="1">[1]!BexGetData("DP_1","003N8EMH8GTFRIVOG7KG9J9VY","GSON1112060311")</f>
        <v>#NAME?</v>
      </c>
      <c r="Q688" s="4" t="e">
        <f ca="1">[1]!BexGetData("DP_1","00O2TNJGODT0G5Z4TTKYMM5MT","GSON1112060311")</f>
        <v>#NAME?</v>
      </c>
      <c r="R688" s="4" t="e">
        <f ca="1">[1]!BexGetData("DP_1","00O2TNJGODT0G5Z4TTKYMMBYD","GSON1112060311")</f>
        <v>#NAME?</v>
      </c>
      <c r="S688" s="4" t="e">
        <f ca="1">[1]!BexGetData("DP_1","00O2TNJGODT0G5Z4TTKYMMI9X","GSON1112060311")</f>
        <v>#NAME?</v>
      </c>
      <c r="T688" s="4" t="e">
        <f ca="1">[1]!BexGetData("DP_1","00O2TNJGODT0G5Z4TTKYMMOLH","GSON1112060311")</f>
        <v>#NAME?</v>
      </c>
      <c r="U688" s="4" t="e">
        <f ca="1">[1]!BexGetData("DP_1","00O2TNJGODT0G5Z4TTKYMMUX1","GSON1112060311")</f>
        <v>#NAME?</v>
      </c>
      <c r="V688" s="4" t="e">
        <f ca="1">[1]!BexGetData("DP_1","00O2TNJGODT0G5Z4TTKYMN18L","GSON1112060311")</f>
        <v>#NAME?</v>
      </c>
      <c r="W688" s="4" t="e">
        <f ca="1">[1]!BexGetData("DP_1","00O2TNJGODT0G5Z4TTKYMN7K5","GSON1112060311")</f>
        <v>#NAME?</v>
      </c>
    </row>
    <row r="689" spans="1:23" x14ac:dyDescent="0.2">
      <c r="A689" s="16" t="s">
        <v>2735</v>
      </c>
      <c r="B689" s="7" t="s">
        <v>2736</v>
      </c>
      <c r="C689" s="3" t="e">
        <f ca="1">[1]!BexGetData("DP_1","003N8EMH8GTFRCSWKMPXRR8GU","GSON1112060313")</f>
        <v>#NAME?</v>
      </c>
      <c r="D689" s="3" t="e">
        <f ca="1">[1]!BexGetData("DP_1","003N8EMH8GTFRCSWKMPXRRESE","GSON1112060313")</f>
        <v>#NAME?</v>
      </c>
      <c r="E689" s="8" t="e">
        <f ca="1">[1]!BexGetData("DP_1","003N8EMH8GTFRCSWKMPXRRL3Y","GSON1112060313")</f>
        <v>#NAME?</v>
      </c>
      <c r="F689" s="4" t="e">
        <f ca="1">[1]!BexGetData("DP_1","003N8EMH8GTFRCSWKMPXRRRFI","GSON1112060313")</f>
        <v>#NAME?</v>
      </c>
      <c r="G689" s="4" t="e">
        <f ca="1">[1]!BexGetData("DP_1","003N8EMH8GTFRCSWKMPXRRXR2","GSON1112060313")</f>
        <v>#NAME?</v>
      </c>
      <c r="H689" s="4" t="e">
        <f ca="1">[1]!BexGetData("DP_1","003N8EMH8GTFRCSWKMPXRS42M","GSON1112060313")</f>
        <v>#NAME?</v>
      </c>
      <c r="I689" s="4" t="e">
        <f ca="1">[1]!BexGetData("DP_1","003N8EMH8GTFRCSWKMPXRSAE6","GSON1112060313")</f>
        <v>#NAME?</v>
      </c>
      <c r="J689" s="4" t="e">
        <f ca="1">[1]!BexGetData("DP_1","003N8EMH8GTFRCSWKMPXRSGPQ","GSON1112060313")</f>
        <v>#NAME?</v>
      </c>
      <c r="K689" s="8" t="e">
        <f ca="1">[1]!BexGetData("DP_1","003N8EMH8GTFRIVNUPY288VJH","GSON1112060313")</f>
        <v>#NAME?</v>
      </c>
      <c r="L689" s="8" t="e">
        <f ca="1">[1]!BexGetData("DP_1","003N8EMH8GTFRIVNUPY2891V1","GSON1112060313")</f>
        <v>#NAME?</v>
      </c>
      <c r="M689" s="8" t="e">
        <f ca="1">[1]!BexGetData("DP_1","003N8EMH8GTFRIVOG7KG9IQXA","GSON1112060313")</f>
        <v>#NAME?</v>
      </c>
      <c r="N689" s="8" t="e">
        <f ca="1">[1]!BexGetData("DP_1","003N8EMH8GTFRIVOG7KG9IX8U","GSON1112060313")</f>
        <v>#NAME?</v>
      </c>
      <c r="O689" s="8" t="e">
        <f ca="1">[1]!BexGetData("DP_1","003N8EMH8GTFRIVOG7KG9J3KE","GSON1112060313")</f>
        <v>#NAME?</v>
      </c>
      <c r="P689" s="8" t="e">
        <f ca="1">[1]!BexGetData("DP_1","003N8EMH8GTFRIVOG7KG9J9VY","GSON1112060313")</f>
        <v>#NAME?</v>
      </c>
      <c r="Q689" s="4" t="e">
        <f ca="1">[1]!BexGetData("DP_1","00O2TNJGODT0G5Z4TTKYMM5MT","GSON1112060313")</f>
        <v>#NAME?</v>
      </c>
      <c r="R689" s="4" t="e">
        <f ca="1">[1]!BexGetData("DP_1","00O2TNJGODT0G5Z4TTKYMMBYD","GSON1112060313")</f>
        <v>#NAME?</v>
      </c>
      <c r="S689" s="4" t="e">
        <f ca="1">[1]!BexGetData("DP_1","00O2TNJGODT0G5Z4TTKYMMI9X","GSON1112060313")</f>
        <v>#NAME?</v>
      </c>
      <c r="T689" s="4" t="e">
        <f ca="1">[1]!BexGetData("DP_1","00O2TNJGODT0G5Z4TTKYMMOLH","GSON1112060313")</f>
        <v>#NAME?</v>
      </c>
      <c r="U689" s="4" t="e">
        <f ca="1">[1]!BexGetData("DP_1","00O2TNJGODT0G5Z4TTKYMMUX1","GSON1112060313")</f>
        <v>#NAME?</v>
      </c>
      <c r="V689" s="4" t="e">
        <f ca="1">[1]!BexGetData("DP_1","00O2TNJGODT0G5Z4TTKYMN18L","GSON1112060313")</f>
        <v>#NAME?</v>
      </c>
      <c r="W689" s="4" t="e">
        <f ca="1">[1]!BexGetData("DP_1","00O2TNJGODT0G5Z4TTKYMN7K5","GSON1112060313")</f>
        <v>#NAME?</v>
      </c>
    </row>
    <row r="690" spans="1:23" x14ac:dyDescent="0.2">
      <c r="A690" s="16" t="s">
        <v>2737</v>
      </c>
      <c r="B690" s="7" t="s">
        <v>2738</v>
      </c>
      <c r="C690" s="3" t="e">
        <f ca="1">[1]!BexGetData("DP_1","003N8EMH8GTFRCSWKMPXRR8GU","GSON1112060314")</f>
        <v>#NAME?</v>
      </c>
      <c r="D690" s="3" t="e">
        <f ca="1">[1]!BexGetData("DP_1","003N8EMH8GTFRCSWKMPXRRESE","GSON1112060314")</f>
        <v>#NAME?</v>
      </c>
      <c r="E690" s="8" t="e">
        <f ca="1">[1]!BexGetData("DP_1","003N8EMH8GTFRCSWKMPXRRL3Y","GSON1112060314")</f>
        <v>#NAME?</v>
      </c>
      <c r="F690" s="4" t="e">
        <f ca="1">[1]!BexGetData("DP_1","003N8EMH8GTFRCSWKMPXRRRFI","GSON1112060314")</f>
        <v>#NAME?</v>
      </c>
      <c r="G690" s="4" t="e">
        <f ca="1">[1]!BexGetData("DP_1","003N8EMH8GTFRCSWKMPXRRXR2","GSON1112060314")</f>
        <v>#NAME?</v>
      </c>
      <c r="H690" s="4" t="e">
        <f ca="1">[1]!BexGetData("DP_1","003N8EMH8GTFRCSWKMPXRS42M","GSON1112060314")</f>
        <v>#NAME?</v>
      </c>
      <c r="I690" s="4" t="e">
        <f ca="1">[1]!BexGetData("DP_1","003N8EMH8GTFRCSWKMPXRSAE6","GSON1112060314")</f>
        <v>#NAME?</v>
      </c>
      <c r="J690" s="4" t="e">
        <f ca="1">[1]!BexGetData("DP_1","003N8EMH8GTFRCSWKMPXRSGPQ","GSON1112060314")</f>
        <v>#NAME?</v>
      </c>
      <c r="K690" s="8" t="e">
        <f ca="1">[1]!BexGetData("DP_1","003N8EMH8GTFRIVNUPY288VJH","GSON1112060314")</f>
        <v>#NAME?</v>
      </c>
      <c r="L690" s="8" t="e">
        <f ca="1">[1]!BexGetData("DP_1","003N8EMH8GTFRIVNUPY2891V1","GSON1112060314")</f>
        <v>#NAME?</v>
      </c>
      <c r="M690" s="8" t="e">
        <f ca="1">[1]!BexGetData("DP_1","003N8EMH8GTFRIVOG7KG9IQXA","GSON1112060314")</f>
        <v>#NAME?</v>
      </c>
      <c r="N690" s="8" t="e">
        <f ca="1">[1]!BexGetData("DP_1","003N8EMH8GTFRIVOG7KG9IX8U","GSON1112060314")</f>
        <v>#NAME?</v>
      </c>
      <c r="O690" s="8" t="e">
        <f ca="1">[1]!BexGetData("DP_1","003N8EMH8GTFRIVOG7KG9J3KE","GSON1112060314")</f>
        <v>#NAME?</v>
      </c>
      <c r="P690" s="8" t="e">
        <f ca="1">[1]!BexGetData("DP_1","003N8EMH8GTFRIVOG7KG9J9VY","GSON1112060314")</f>
        <v>#NAME?</v>
      </c>
      <c r="Q690" s="4" t="e">
        <f ca="1">[1]!BexGetData("DP_1","00O2TNJGODT0G5Z4TTKYMM5MT","GSON1112060314")</f>
        <v>#NAME?</v>
      </c>
      <c r="R690" s="4" t="e">
        <f ca="1">[1]!BexGetData("DP_1","00O2TNJGODT0G5Z4TTKYMMBYD","GSON1112060314")</f>
        <v>#NAME?</v>
      </c>
      <c r="S690" s="4" t="e">
        <f ca="1">[1]!BexGetData("DP_1","00O2TNJGODT0G5Z4TTKYMMI9X","GSON1112060314")</f>
        <v>#NAME?</v>
      </c>
      <c r="T690" s="4" t="e">
        <f ca="1">[1]!BexGetData("DP_1","00O2TNJGODT0G5Z4TTKYMMOLH","GSON1112060314")</f>
        <v>#NAME?</v>
      </c>
      <c r="U690" s="4" t="e">
        <f ca="1">[1]!BexGetData("DP_1","00O2TNJGODT0G5Z4TTKYMMUX1","GSON1112060314")</f>
        <v>#NAME?</v>
      </c>
      <c r="V690" s="4" t="e">
        <f ca="1">[1]!BexGetData("DP_1","00O2TNJGODT0G5Z4TTKYMN18L","GSON1112060314")</f>
        <v>#NAME?</v>
      </c>
      <c r="W690" s="4" t="e">
        <f ca="1">[1]!BexGetData("DP_1","00O2TNJGODT0G5Z4TTKYMN7K5","GSON1112060314")</f>
        <v>#NAME?</v>
      </c>
    </row>
    <row r="691" spans="1:23" x14ac:dyDescent="0.2">
      <c r="A691" s="16" t="s">
        <v>2739</v>
      </c>
      <c r="B691" s="7" t="s">
        <v>2740</v>
      </c>
      <c r="C691" s="3" t="e">
        <f ca="1">[1]!BexGetData("DP_1","003N8EMH8GTFRCSWKMPXRR8GU","GSON1112060315")</f>
        <v>#NAME?</v>
      </c>
      <c r="D691" s="3" t="e">
        <f ca="1">[1]!BexGetData("DP_1","003N8EMH8GTFRCSWKMPXRRESE","GSON1112060315")</f>
        <v>#NAME?</v>
      </c>
      <c r="E691" s="8" t="e">
        <f ca="1">[1]!BexGetData("DP_1","003N8EMH8GTFRCSWKMPXRRL3Y","GSON1112060315")</f>
        <v>#NAME?</v>
      </c>
      <c r="F691" s="4" t="e">
        <f ca="1">[1]!BexGetData("DP_1","003N8EMH8GTFRCSWKMPXRRRFI","GSON1112060315")</f>
        <v>#NAME?</v>
      </c>
      <c r="G691" s="4" t="e">
        <f ca="1">[1]!BexGetData("DP_1","003N8EMH8GTFRCSWKMPXRRXR2","GSON1112060315")</f>
        <v>#NAME?</v>
      </c>
      <c r="H691" s="4" t="e">
        <f ca="1">[1]!BexGetData("DP_1","003N8EMH8GTFRCSWKMPXRS42M","GSON1112060315")</f>
        <v>#NAME?</v>
      </c>
      <c r="I691" s="4" t="e">
        <f ca="1">[1]!BexGetData("DP_1","003N8EMH8GTFRCSWKMPXRSAE6","GSON1112060315")</f>
        <v>#NAME?</v>
      </c>
      <c r="J691" s="4" t="e">
        <f ca="1">[1]!BexGetData("DP_1","003N8EMH8GTFRCSWKMPXRSGPQ","GSON1112060315")</f>
        <v>#NAME?</v>
      </c>
      <c r="K691" s="8" t="e">
        <f ca="1">[1]!BexGetData("DP_1","003N8EMH8GTFRIVNUPY288VJH","GSON1112060315")</f>
        <v>#NAME?</v>
      </c>
      <c r="L691" s="8" t="e">
        <f ca="1">[1]!BexGetData("DP_1","003N8EMH8GTFRIVNUPY2891V1","GSON1112060315")</f>
        <v>#NAME?</v>
      </c>
      <c r="M691" s="8" t="e">
        <f ca="1">[1]!BexGetData("DP_1","003N8EMH8GTFRIVOG7KG9IQXA","GSON1112060315")</f>
        <v>#NAME?</v>
      </c>
      <c r="N691" s="8" t="e">
        <f ca="1">[1]!BexGetData("DP_1","003N8EMH8GTFRIVOG7KG9IX8U","GSON1112060315")</f>
        <v>#NAME?</v>
      </c>
      <c r="O691" s="8" t="e">
        <f ca="1">[1]!BexGetData("DP_1","003N8EMH8GTFRIVOG7KG9J3KE","GSON1112060315")</f>
        <v>#NAME?</v>
      </c>
      <c r="P691" s="8" t="e">
        <f ca="1">[1]!BexGetData("DP_1","003N8EMH8GTFRIVOG7KG9J9VY","GSON1112060315")</f>
        <v>#NAME?</v>
      </c>
      <c r="Q691" s="4" t="e">
        <f ca="1">[1]!BexGetData("DP_1","00O2TNJGODT0G5Z4TTKYMM5MT","GSON1112060315")</f>
        <v>#NAME?</v>
      </c>
      <c r="R691" s="4" t="e">
        <f ca="1">[1]!BexGetData("DP_1","00O2TNJGODT0G5Z4TTKYMMBYD","GSON1112060315")</f>
        <v>#NAME?</v>
      </c>
      <c r="S691" s="4" t="e">
        <f ca="1">[1]!BexGetData("DP_1","00O2TNJGODT0G5Z4TTKYMMI9X","GSON1112060315")</f>
        <v>#NAME?</v>
      </c>
      <c r="T691" s="4" t="e">
        <f ca="1">[1]!BexGetData("DP_1","00O2TNJGODT0G5Z4TTKYMMOLH","GSON1112060315")</f>
        <v>#NAME?</v>
      </c>
      <c r="U691" s="4" t="e">
        <f ca="1">[1]!BexGetData("DP_1","00O2TNJGODT0G5Z4TTKYMMUX1","GSON1112060315")</f>
        <v>#NAME?</v>
      </c>
      <c r="V691" s="4" t="e">
        <f ca="1">[1]!BexGetData("DP_1","00O2TNJGODT0G5Z4TTKYMN18L","GSON1112060315")</f>
        <v>#NAME?</v>
      </c>
      <c r="W691" s="4" t="e">
        <f ca="1">[1]!BexGetData("DP_1","00O2TNJGODT0G5Z4TTKYMN7K5","GSON1112060315")</f>
        <v>#NAME?</v>
      </c>
    </row>
    <row r="692" spans="1:23" x14ac:dyDescent="0.2">
      <c r="A692" s="16" t="s">
        <v>2741</v>
      </c>
      <c r="B692" s="7" t="s">
        <v>2742</v>
      </c>
      <c r="C692" s="3" t="e">
        <f ca="1">[1]!BexGetData("DP_1","003N8EMH8GTFRCSWKMPXRR8GU","GSON1112060320")</f>
        <v>#NAME?</v>
      </c>
      <c r="D692" s="3" t="e">
        <f ca="1">[1]!BexGetData("DP_1","003N8EMH8GTFRCSWKMPXRRESE","GSON1112060320")</f>
        <v>#NAME?</v>
      </c>
      <c r="E692" s="8" t="e">
        <f ca="1">[1]!BexGetData("DP_1","003N8EMH8GTFRCSWKMPXRRL3Y","GSON1112060320")</f>
        <v>#NAME?</v>
      </c>
      <c r="F692" s="3" t="e">
        <f ca="1">[1]!BexGetData("DP_1","003N8EMH8GTFRCSWKMPXRRRFI","GSON1112060320")</f>
        <v>#NAME?</v>
      </c>
      <c r="G692" s="3" t="e">
        <f ca="1">[1]!BexGetData("DP_1","003N8EMH8GTFRCSWKMPXRRXR2","GSON1112060320")</f>
        <v>#NAME?</v>
      </c>
      <c r="H692" s="8" t="e">
        <f ca="1">[1]!BexGetData("DP_1","003N8EMH8GTFRCSWKMPXRS42M","GSON1112060320")</f>
        <v>#NAME?</v>
      </c>
      <c r="I692" s="3" t="e">
        <f ca="1">[1]!BexGetData("DP_1","003N8EMH8GTFRCSWKMPXRSAE6","GSON1112060320")</f>
        <v>#NAME?</v>
      </c>
      <c r="J692" s="4" t="e">
        <f ca="1">[1]!BexGetData("DP_1","003N8EMH8GTFRCSWKMPXRSGPQ","GSON1112060320")</f>
        <v>#NAME?</v>
      </c>
      <c r="K692" s="3" t="e">
        <f ca="1">[1]!BexGetData("DP_1","003N8EMH8GTFRIVNUPY288VJH","GSON1112060320")</f>
        <v>#NAME?</v>
      </c>
      <c r="L692" s="3" t="e">
        <f ca="1">[1]!BexGetData("DP_1","003N8EMH8GTFRIVNUPY2891V1","GSON1112060320")</f>
        <v>#NAME?</v>
      </c>
      <c r="M692" s="3" t="e">
        <f ca="1">[1]!BexGetData("DP_1","003N8EMH8GTFRIVOG7KG9IQXA","GSON1112060320")</f>
        <v>#NAME?</v>
      </c>
      <c r="N692" s="8" t="e">
        <f ca="1">[1]!BexGetData("DP_1","003N8EMH8GTFRIVOG7KG9IX8U","GSON1112060320")</f>
        <v>#NAME?</v>
      </c>
      <c r="O692" s="3" t="e">
        <f ca="1">[1]!BexGetData("DP_1","003N8EMH8GTFRIVOG7KG9J3KE","GSON1112060320")</f>
        <v>#NAME?</v>
      </c>
      <c r="P692" s="8" t="e">
        <f ca="1">[1]!BexGetData("DP_1","003N8EMH8GTFRIVOG7KG9J9VY","GSON1112060320")</f>
        <v>#NAME?</v>
      </c>
      <c r="Q692" s="4" t="e">
        <f ca="1">[1]!BexGetData("DP_1","00O2TNJGODT0G5Z4TTKYMM5MT","GSON1112060320")</f>
        <v>#NAME?</v>
      </c>
      <c r="R692" s="3" t="e">
        <f ca="1">[1]!BexGetData("DP_1","00O2TNJGODT0G5Z4TTKYMMBYD","GSON1112060320")</f>
        <v>#NAME?</v>
      </c>
      <c r="S692" s="3" t="e">
        <f ca="1">[1]!BexGetData("DP_1","00O2TNJGODT0G5Z4TTKYMMI9X","GSON1112060320")</f>
        <v>#NAME?</v>
      </c>
      <c r="T692" s="8" t="e">
        <f ca="1">[1]!BexGetData("DP_1","00O2TNJGODT0G5Z4TTKYMMOLH","GSON1112060320")</f>
        <v>#NAME?</v>
      </c>
      <c r="U692" s="3" t="e">
        <f ca="1">[1]!BexGetData("DP_1","00O2TNJGODT0G5Z4TTKYMMUX1","GSON1112060320")</f>
        <v>#NAME?</v>
      </c>
      <c r="V692" s="8" t="e">
        <f ca="1">[1]!BexGetData("DP_1","00O2TNJGODT0G5Z4TTKYMN18L","GSON1112060320")</f>
        <v>#NAME?</v>
      </c>
      <c r="W692" s="3" t="e">
        <f ca="1">[1]!BexGetData("DP_1","00O2TNJGODT0G5Z4TTKYMN7K5","GSON1112060320")</f>
        <v>#NAME?</v>
      </c>
    </row>
    <row r="693" spans="1:23" x14ac:dyDescent="0.2">
      <c r="A693" s="16" t="s">
        <v>2743</v>
      </c>
      <c r="B693" s="7" t="s">
        <v>2744</v>
      </c>
      <c r="C693" s="3" t="e">
        <f ca="1">[1]!BexGetData("DP_1","003N8EMH8GTFRCSWKMPXRR8GU","GSON1112060321")</f>
        <v>#NAME?</v>
      </c>
      <c r="D693" s="3" t="e">
        <f ca="1">[1]!BexGetData("DP_1","003N8EMH8GTFRCSWKMPXRRESE","GSON1112060321")</f>
        <v>#NAME?</v>
      </c>
      <c r="E693" s="8" t="e">
        <f ca="1">[1]!BexGetData("DP_1","003N8EMH8GTFRCSWKMPXRRL3Y","GSON1112060321")</f>
        <v>#NAME?</v>
      </c>
      <c r="F693" s="4" t="e">
        <f ca="1">[1]!BexGetData("DP_1","003N8EMH8GTFRCSWKMPXRRRFI","GSON1112060321")</f>
        <v>#NAME?</v>
      </c>
      <c r="G693" s="4" t="e">
        <f ca="1">[1]!BexGetData("DP_1","003N8EMH8GTFRCSWKMPXRRXR2","GSON1112060321")</f>
        <v>#NAME?</v>
      </c>
      <c r="H693" s="4" t="e">
        <f ca="1">[1]!BexGetData("DP_1","003N8EMH8GTFRCSWKMPXRS42M","GSON1112060321")</f>
        <v>#NAME?</v>
      </c>
      <c r="I693" s="4" t="e">
        <f ca="1">[1]!BexGetData("DP_1","003N8EMH8GTFRCSWKMPXRSAE6","GSON1112060321")</f>
        <v>#NAME?</v>
      </c>
      <c r="J693" s="4" t="e">
        <f ca="1">[1]!BexGetData("DP_1","003N8EMH8GTFRCSWKMPXRSGPQ","GSON1112060321")</f>
        <v>#NAME?</v>
      </c>
      <c r="K693" s="8" t="e">
        <f ca="1">[1]!BexGetData("DP_1","003N8EMH8GTFRIVNUPY288VJH","GSON1112060321")</f>
        <v>#NAME?</v>
      </c>
      <c r="L693" s="8" t="e">
        <f ca="1">[1]!BexGetData("DP_1","003N8EMH8GTFRIVNUPY2891V1","GSON1112060321")</f>
        <v>#NAME?</v>
      </c>
      <c r="M693" s="8" t="e">
        <f ca="1">[1]!BexGetData("DP_1","003N8EMH8GTFRIVOG7KG9IQXA","GSON1112060321")</f>
        <v>#NAME?</v>
      </c>
      <c r="N693" s="8" t="e">
        <f ca="1">[1]!BexGetData("DP_1","003N8EMH8GTFRIVOG7KG9IX8U","GSON1112060321")</f>
        <v>#NAME?</v>
      </c>
      <c r="O693" s="8" t="e">
        <f ca="1">[1]!BexGetData("DP_1","003N8EMH8GTFRIVOG7KG9J3KE","GSON1112060321")</f>
        <v>#NAME?</v>
      </c>
      <c r="P693" s="8" t="e">
        <f ca="1">[1]!BexGetData("DP_1","003N8EMH8GTFRIVOG7KG9J9VY","GSON1112060321")</f>
        <v>#NAME?</v>
      </c>
      <c r="Q693" s="4" t="e">
        <f ca="1">[1]!BexGetData("DP_1","00O2TNJGODT0G5Z4TTKYMM5MT","GSON1112060321")</f>
        <v>#NAME?</v>
      </c>
      <c r="R693" s="4" t="e">
        <f ca="1">[1]!BexGetData("DP_1","00O2TNJGODT0G5Z4TTKYMMBYD","GSON1112060321")</f>
        <v>#NAME?</v>
      </c>
      <c r="S693" s="4" t="e">
        <f ca="1">[1]!BexGetData("DP_1","00O2TNJGODT0G5Z4TTKYMMI9X","GSON1112060321")</f>
        <v>#NAME?</v>
      </c>
      <c r="T693" s="4" t="e">
        <f ca="1">[1]!BexGetData("DP_1","00O2TNJGODT0G5Z4TTKYMMOLH","GSON1112060321")</f>
        <v>#NAME?</v>
      </c>
      <c r="U693" s="4" t="e">
        <f ca="1">[1]!BexGetData("DP_1","00O2TNJGODT0G5Z4TTKYMMUX1","GSON1112060321")</f>
        <v>#NAME?</v>
      </c>
      <c r="V693" s="4" t="e">
        <f ca="1">[1]!BexGetData("DP_1","00O2TNJGODT0G5Z4TTKYMN18L","GSON1112060321")</f>
        <v>#NAME?</v>
      </c>
      <c r="W693" s="4" t="e">
        <f ca="1">[1]!BexGetData("DP_1","00O2TNJGODT0G5Z4TTKYMN7K5","GSON1112060321")</f>
        <v>#NAME?</v>
      </c>
    </row>
    <row r="694" spans="1:23" x14ac:dyDescent="0.2">
      <c r="A694" s="16" t="s">
        <v>2745</v>
      </c>
      <c r="B694" s="7" t="s">
        <v>2746</v>
      </c>
      <c r="C694" s="3" t="e">
        <f ca="1">[1]!BexGetData("DP_1","003N8EMH8GTFRCSWKMPXRR8GU","GSON1112060323")</f>
        <v>#NAME?</v>
      </c>
      <c r="D694" s="3" t="e">
        <f ca="1">[1]!BexGetData("DP_1","003N8EMH8GTFRCSWKMPXRRESE","GSON1112060323")</f>
        <v>#NAME?</v>
      </c>
      <c r="E694" s="8" t="e">
        <f ca="1">[1]!BexGetData("DP_1","003N8EMH8GTFRCSWKMPXRRL3Y","GSON1112060323")</f>
        <v>#NAME?</v>
      </c>
      <c r="F694" s="4" t="e">
        <f ca="1">[1]!BexGetData("DP_1","003N8EMH8GTFRCSWKMPXRRRFI","GSON1112060323")</f>
        <v>#NAME?</v>
      </c>
      <c r="G694" s="4" t="e">
        <f ca="1">[1]!BexGetData("DP_1","003N8EMH8GTFRCSWKMPXRRXR2","GSON1112060323")</f>
        <v>#NAME?</v>
      </c>
      <c r="H694" s="4" t="e">
        <f ca="1">[1]!BexGetData("DP_1","003N8EMH8GTFRCSWKMPXRS42M","GSON1112060323")</f>
        <v>#NAME?</v>
      </c>
      <c r="I694" s="4" t="e">
        <f ca="1">[1]!BexGetData("DP_1","003N8EMH8GTFRCSWKMPXRSAE6","GSON1112060323")</f>
        <v>#NAME?</v>
      </c>
      <c r="J694" s="4" t="e">
        <f ca="1">[1]!BexGetData("DP_1","003N8EMH8GTFRCSWKMPXRSGPQ","GSON1112060323")</f>
        <v>#NAME?</v>
      </c>
      <c r="K694" s="8" t="e">
        <f ca="1">[1]!BexGetData("DP_1","003N8EMH8GTFRIVNUPY288VJH","GSON1112060323")</f>
        <v>#NAME?</v>
      </c>
      <c r="L694" s="8" t="e">
        <f ca="1">[1]!BexGetData("DP_1","003N8EMH8GTFRIVNUPY2891V1","GSON1112060323")</f>
        <v>#NAME?</v>
      </c>
      <c r="M694" s="8" t="e">
        <f ca="1">[1]!BexGetData("DP_1","003N8EMH8GTFRIVOG7KG9IQXA","GSON1112060323")</f>
        <v>#NAME?</v>
      </c>
      <c r="N694" s="8" t="e">
        <f ca="1">[1]!BexGetData("DP_1","003N8EMH8GTFRIVOG7KG9IX8U","GSON1112060323")</f>
        <v>#NAME?</v>
      </c>
      <c r="O694" s="8" t="e">
        <f ca="1">[1]!BexGetData("DP_1","003N8EMH8GTFRIVOG7KG9J3KE","GSON1112060323")</f>
        <v>#NAME?</v>
      </c>
      <c r="P694" s="8" t="e">
        <f ca="1">[1]!BexGetData("DP_1","003N8EMH8GTFRIVOG7KG9J9VY","GSON1112060323")</f>
        <v>#NAME?</v>
      </c>
      <c r="Q694" s="4" t="e">
        <f ca="1">[1]!BexGetData("DP_1","00O2TNJGODT0G5Z4TTKYMM5MT","GSON1112060323")</f>
        <v>#NAME?</v>
      </c>
      <c r="R694" s="4" t="e">
        <f ca="1">[1]!BexGetData("DP_1","00O2TNJGODT0G5Z4TTKYMMBYD","GSON1112060323")</f>
        <v>#NAME?</v>
      </c>
      <c r="S694" s="4" t="e">
        <f ca="1">[1]!BexGetData("DP_1","00O2TNJGODT0G5Z4TTKYMMI9X","GSON1112060323")</f>
        <v>#NAME?</v>
      </c>
      <c r="T694" s="4" t="e">
        <f ca="1">[1]!BexGetData("DP_1","00O2TNJGODT0G5Z4TTKYMMOLH","GSON1112060323")</f>
        <v>#NAME?</v>
      </c>
      <c r="U694" s="4" t="e">
        <f ca="1">[1]!BexGetData("DP_1","00O2TNJGODT0G5Z4TTKYMMUX1","GSON1112060323")</f>
        <v>#NAME?</v>
      </c>
      <c r="V694" s="4" t="e">
        <f ca="1">[1]!BexGetData("DP_1","00O2TNJGODT0G5Z4TTKYMN18L","GSON1112060323")</f>
        <v>#NAME?</v>
      </c>
      <c r="W694" s="4" t="e">
        <f ca="1">[1]!BexGetData("DP_1","00O2TNJGODT0G5Z4TTKYMN7K5","GSON1112060323")</f>
        <v>#NAME?</v>
      </c>
    </row>
    <row r="695" spans="1:23" x14ac:dyDescent="0.2">
      <c r="A695" s="16" t="s">
        <v>2747</v>
      </c>
      <c r="B695" s="7" t="s">
        <v>2748</v>
      </c>
      <c r="C695" s="3" t="e">
        <f ca="1">[1]!BexGetData("DP_1","003N8EMH8GTFRCSWKMPXRR8GU","GSON1112060324")</f>
        <v>#NAME?</v>
      </c>
      <c r="D695" s="3" t="e">
        <f ca="1">[1]!BexGetData("DP_1","003N8EMH8GTFRCSWKMPXRRESE","GSON1112060324")</f>
        <v>#NAME?</v>
      </c>
      <c r="E695" s="8" t="e">
        <f ca="1">[1]!BexGetData("DP_1","003N8EMH8GTFRCSWKMPXRRL3Y","GSON1112060324")</f>
        <v>#NAME?</v>
      </c>
      <c r="F695" s="4" t="e">
        <f ca="1">[1]!BexGetData("DP_1","003N8EMH8GTFRCSWKMPXRRRFI","GSON1112060324")</f>
        <v>#NAME?</v>
      </c>
      <c r="G695" s="4" t="e">
        <f ca="1">[1]!BexGetData("DP_1","003N8EMH8GTFRCSWKMPXRRXR2","GSON1112060324")</f>
        <v>#NAME?</v>
      </c>
      <c r="H695" s="4" t="e">
        <f ca="1">[1]!BexGetData("DP_1","003N8EMH8GTFRCSWKMPXRS42M","GSON1112060324")</f>
        <v>#NAME?</v>
      </c>
      <c r="I695" s="4" t="e">
        <f ca="1">[1]!BexGetData("DP_1","003N8EMH8GTFRCSWKMPXRSAE6","GSON1112060324")</f>
        <v>#NAME?</v>
      </c>
      <c r="J695" s="4" t="e">
        <f ca="1">[1]!BexGetData("DP_1","003N8EMH8GTFRCSWKMPXRSGPQ","GSON1112060324")</f>
        <v>#NAME?</v>
      </c>
      <c r="K695" s="8" t="e">
        <f ca="1">[1]!BexGetData("DP_1","003N8EMH8GTFRIVNUPY288VJH","GSON1112060324")</f>
        <v>#NAME?</v>
      </c>
      <c r="L695" s="8" t="e">
        <f ca="1">[1]!BexGetData("DP_1","003N8EMH8GTFRIVNUPY2891V1","GSON1112060324")</f>
        <v>#NAME?</v>
      </c>
      <c r="M695" s="8" t="e">
        <f ca="1">[1]!BexGetData("DP_1","003N8EMH8GTFRIVOG7KG9IQXA","GSON1112060324")</f>
        <v>#NAME?</v>
      </c>
      <c r="N695" s="8" t="e">
        <f ca="1">[1]!BexGetData("DP_1","003N8EMH8GTFRIVOG7KG9IX8U","GSON1112060324")</f>
        <v>#NAME?</v>
      </c>
      <c r="O695" s="8" t="e">
        <f ca="1">[1]!BexGetData("DP_1","003N8EMH8GTFRIVOG7KG9J3KE","GSON1112060324")</f>
        <v>#NAME?</v>
      </c>
      <c r="P695" s="8" t="e">
        <f ca="1">[1]!BexGetData("DP_1","003N8EMH8GTFRIVOG7KG9J9VY","GSON1112060324")</f>
        <v>#NAME?</v>
      </c>
      <c r="Q695" s="4" t="e">
        <f ca="1">[1]!BexGetData("DP_1","00O2TNJGODT0G5Z4TTKYMM5MT","GSON1112060324")</f>
        <v>#NAME?</v>
      </c>
      <c r="R695" s="4" t="e">
        <f ca="1">[1]!BexGetData("DP_1","00O2TNJGODT0G5Z4TTKYMMBYD","GSON1112060324")</f>
        <v>#NAME?</v>
      </c>
      <c r="S695" s="4" t="e">
        <f ca="1">[1]!BexGetData("DP_1","00O2TNJGODT0G5Z4TTKYMMI9X","GSON1112060324")</f>
        <v>#NAME?</v>
      </c>
      <c r="T695" s="4" t="e">
        <f ca="1">[1]!BexGetData("DP_1","00O2TNJGODT0G5Z4TTKYMMOLH","GSON1112060324")</f>
        <v>#NAME?</v>
      </c>
      <c r="U695" s="4" t="e">
        <f ca="1">[1]!BexGetData("DP_1","00O2TNJGODT0G5Z4TTKYMMUX1","GSON1112060324")</f>
        <v>#NAME?</v>
      </c>
      <c r="V695" s="4" t="e">
        <f ca="1">[1]!BexGetData("DP_1","00O2TNJGODT0G5Z4TTKYMN18L","GSON1112060324")</f>
        <v>#NAME?</v>
      </c>
      <c r="W695" s="4" t="e">
        <f ca="1">[1]!BexGetData("DP_1","00O2TNJGODT0G5Z4TTKYMN7K5","GSON1112060324")</f>
        <v>#NAME?</v>
      </c>
    </row>
    <row r="696" spans="1:23" x14ac:dyDescent="0.2">
      <c r="A696" s="16" t="s">
        <v>2749</v>
      </c>
      <c r="B696" s="7" t="s">
        <v>2750</v>
      </c>
      <c r="C696" s="3" t="e">
        <f ca="1">[1]!BexGetData("DP_1","003N8EMH8GTFRCSWKMPXRR8GU","GSON1112060325")</f>
        <v>#NAME?</v>
      </c>
      <c r="D696" s="3" t="e">
        <f ca="1">[1]!BexGetData("DP_1","003N8EMH8GTFRCSWKMPXRRESE","GSON1112060325")</f>
        <v>#NAME?</v>
      </c>
      <c r="E696" s="8" t="e">
        <f ca="1">[1]!BexGetData("DP_1","003N8EMH8GTFRCSWKMPXRRL3Y","GSON1112060325")</f>
        <v>#NAME?</v>
      </c>
      <c r="F696" s="4" t="e">
        <f ca="1">[1]!BexGetData("DP_1","003N8EMH8GTFRCSWKMPXRRRFI","GSON1112060325")</f>
        <v>#NAME?</v>
      </c>
      <c r="G696" s="4" t="e">
        <f ca="1">[1]!BexGetData("DP_1","003N8EMH8GTFRCSWKMPXRRXR2","GSON1112060325")</f>
        <v>#NAME?</v>
      </c>
      <c r="H696" s="4" t="e">
        <f ca="1">[1]!BexGetData("DP_1","003N8EMH8GTFRCSWKMPXRS42M","GSON1112060325")</f>
        <v>#NAME?</v>
      </c>
      <c r="I696" s="4" t="e">
        <f ca="1">[1]!BexGetData("DP_1","003N8EMH8GTFRCSWKMPXRSAE6","GSON1112060325")</f>
        <v>#NAME?</v>
      </c>
      <c r="J696" s="4" t="e">
        <f ca="1">[1]!BexGetData("DP_1","003N8EMH8GTFRCSWKMPXRSGPQ","GSON1112060325")</f>
        <v>#NAME?</v>
      </c>
      <c r="K696" s="8" t="e">
        <f ca="1">[1]!BexGetData("DP_1","003N8EMH8GTFRIVNUPY288VJH","GSON1112060325")</f>
        <v>#NAME?</v>
      </c>
      <c r="L696" s="8" t="e">
        <f ca="1">[1]!BexGetData("DP_1","003N8EMH8GTFRIVNUPY2891V1","GSON1112060325")</f>
        <v>#NAME?</v>
      </c>
      <c r="M696" s="8" t="e">
        <f ca="1">[1]!BexGetData("DP_1","003N8EMH8GTFRIVOG7KG9IQXA","GSON1112060325")</f>
        <v>#NAME?</v>
      </c>
      <c r="N696" s="8" t="e">
        <f ca="1">[1]!BexGetData("DP_1","003N8EMH8GTFRIVOG7KG9IX8U","GSON1112060325")</f>
        <v>#NAME?</v>
      </c>
      <c r="O696" s="8" t="e">
        <f ca="1">[1]!BexGetData("DP_1","003N8EMH8GTFRIVOG7KG9J3KE","GSON1112060325")</f>
        <v>#NAME?</v>
      </c>
      <c r="P696" s="8" t="e">
        <f ca="1">[1]!BexGetData("DP_1","003N8EMH8GTFRIVOG7KG9J9VY","GSON1112060325")</f>
        <v>#NAME?</v>
      </c>
      <c r="Q696" s="4" t="e">
        <f ca="1">[1]!BexGetData("DP_1","00O2TNJGODT0G5Z4TTKYMM5MT","GSON1112060325")</f>
        <v>#NAME?</v>
      </c>
      <c r="R696" s="4" t="e">
        <f ca="1">[1]!BexGetData("DP_1","00O2TNJGODT0G5Z4TTKYMMBYD","GSON1112060325")</f>
        <v>#NAME?</v>
      </c>
      <c r="S696" s="4" t="e">
        <f ca="1">[1]!BexGetData("DP_1","00O2TNJGODT0G5Z4TTKYMMI9X","GSON1112060325")</f>
        <v>#NAME?</v>
      </c>
      <c r="T696" s="4" t="e">
        <f ca="1">[1]!BexGetData("DP_1","00O2TNJGODT0G5Z4TTKYMMOLH","GSON1112060325")</f>
        <v>#NAME?</v>
      </c>
      <c r="U696" s="4" t="e">
        <f ca="1">[1]!BexGetData("DP_1","00O2TNJGODT0G5Z4TTKYMMUX1","GSON1112060325")</f>
        <v>#NAME?</v>
      </c>
      <c r="V696" s="4" t="e">
        <f ca="1">[1]!BexGetData("DP_1","00O2TNJGODT0G5Z4TTKYMN18L","GSON1112060325")</f>
        <v>#NAME?</v>
      </c>
      <c r="W696" s="4" t="e">
        <f ca="1">[1]!BexGetData("DP_1","00O2TNJGODT0G5Z4TTKYMN7K5","GSON1112060325")</f>
        <v>#NAME?</v>
      </c>
    </row>
    <row r="697" spans="1:23" x14ac:dyDescent="0.2">
      <c r="A697" s="16" t="s">
        <v>2751</v>
      </c>
      <c r="B697" s="7" t="s">
        <v>2752</v>
      </c>
      <c r="C697" s="3" t="e">
        <f ca="1">[1]!BexGetData("DP_1","003N8EMH8GTFRCSWKMPXRR8GU","GSON1112060330")</f>
        <v>#NAME?</v>
      </c>
      <c r="D697" s="3" t="e">
        <f ca="1">[1]!BexGetData("DP_1","003N8EMH8GTFRCSWKMPXRRESE","GSON1112060330")</f>
        <v>#NAME?</v>
      </c>
      <c r="E697" s="3" t="e">
        <f ca="1">[1]!BexGetData("DP_1","003N8EMH8GTFRCSWKMPXRRL3Y","GSON1112060330")</f>
        <v>#NAME?</v>
      </c>
      <c r="F697" s="3" t="e">
        <f ca="1">[1]!BexGetData("DP_1","003N8EMH8GTFRCSWKMPXRRRFI","GSON1112060330")</f>
        <v>#NAME?</v>
      </c>
      <c r="G697" s="3" t="e">
        <f ca="1">[1]!BexGetData("DP_1","003N8EMH8GTFRCSWKMPXRRXR2","GSON1112060330")</f>
        <v>#NAME?</v>
      </c>
      <c r="H697" s="8" t="e">
        <f ca="1">[1]!BexGetData("DP_1","003N8EMH8GTFRCSWKMPXRS42M","GSON1112060330")</f>
        <v>#NAME?</v>
      </c>
      <c r="I697" s="3" t="e">
        <f ca="1">[1]!BexGetData("DP_1","003N8EMH8GTFRCSWKMPXRSAE6","GSON1112060330")</f>
        <v>#NAME?</v>
      </c>
      <c r="J697" s="4" t="e">
        <f ca="1">[1]!BexGetData("DP_1","003N8EMH8GTFRCSWKMPXRSGPQ","GSON1112060330")</f>
        <v>#NAME?</v>
      </c>
      <c r="K697" s="3" t="e">
        <f ca="1">[1]!BexGetData("DP_1","003N8EMH8GTFRIVNUPY288VJH","GSON1112060330")</f>
        <v>#NAME?</v>
      </c>
      <c r="L697" s="3" t="e">
        <f ca="1">[1]!BexGetData("DP_1","003N8EMH8GTFRIVNUPY2891V1","GSON1112060330")</f>
        <v>#NAME?</v>
      </c>
      <c r="M697" s="3" t="e">
        <f ca="1">[1]!BexGetData("DP_1","003N8EMH8GTFRIVOG7KG9IQXA","GSON1112060330")</f>
        <v>#NAME?</v>
      </c>
      <c r="N697" s="8" t="e">
        <f ca="1">[1]!BexGetData("DP_1","003N8EMH8GTFRIVOG7KG9IX8U","GSON1112060330")</f>
        <v>#NAME?</v>
      </c>
      <c r="O697" s="3" t="e">
        <f ca="1">[1]!BexGetData("DP_1","003N8EMH8GTFRIVOG7KG9J3KE","GSON1112060330")</f>
        <v>#NAME?</v>
      </c>
      <c r="P697" s="8" t="e">
        <f ca="1">[1]!BexGetData("DP_1","003N8EMH8GTFRIVOG7KG9J9VY","GSON1112060330")</f>
        <v>#NAME?</v>
      </c>
      <c r="Q697" s="4" t="e">
        <f ca="1">[1]!BexGetData("DP_1","00O2TNJGODT0G5Z4TTKYMM5MT","GSON1112060330")</f>
        <v>#NAME?</v>
      </c>
      <c r="R697" s="3" t="e">
        <f ca="1">[1]!BexGetData("DP_1","00O2TNJGODT0G5Z4TTKYMMBYD","GSON1112060330")</f>
        <v>#NAME?</v>
      </c>
      <c r="S697" s="3" t="e">
        <f ca="1">[1]!BexGetData("DP_1","00O2TNJGODT0G5Z4TTKYMMI9X","GSON1112060330")</f>
        <v>#NAME?</v>
      </c>
      <c r="T697" s="8" t="e">
        <f ca="1">[1]!BexGetData("DP_1","00O2TNJGODT0G5Z4TTKYMMOLH","GSON1112060330")</f>
        <v>#NAME?</v>
      </c>
      <c r="U697" s="3" t="e">
        <f ca="1">[1]!BexGetData("DP_1","00O2TNJGODT0G5Z4TTKYMMUX1","GSON1112060330")</f>
        <v>#NAME?</v>
      </c>
      <c r="V697" s="8" t="e">
        <f ca="1">[1]!BexGetData("DP_1","00O2TNJGODT0G5Z4TTKYMN18L","GSON1112060330")</f>
        <v>#NAME?</v>
      </c>
      <c r="W697" s="3" t="e">
        <f ca="1">[1]!BexGetData("DP_1","00O2TNJGODT0G5Z4TTKYMN7K5","GSON1112060330")</f>
        <v>#NAME?</v>
      </c>
    </row>
    <row r="698" spans="1:23" x14ac:dyDescent="0.2">
      <c r="A698" s="16" t="s">
        <v>659</v>
      </c>
      <c r="B698" s="7" t="s">
        <v>660</v>
      </c>
      <c r="C698" s="3" t="e">
        <f ca="1">[1]!BexGetData("DP_1","003N8EMH8GTFRCSWKMPXRR8GU","GSON1112060331")</f>
        <v>#NAME?</v>
      </c>
      <c r="D698" s="3" t="e">
        <f ca="1">[1]!BexGetData("DP_1","003N8EMH8GTFRCSWKMPXRRESE","GSON1112060331")</f>
        <v>#NAME?</v>
      </c>
      <c r="E698" s="8" t="e">
        <f ca="1">[1]!BexGetData("DP_1","003N8EMH8GTFRCSWKMPXRRL3Y","GSON1112060331")</f>
        <v>#NAME?</v>
      </c>
      <c r="F698" s="4" t="e">
        <f ca="1">[1]!BexGetData("DP_1","003N8EMH8GTFRCSWKMPXRRRFI","GSON1112060331")</f>
        <v>#NAME?</v>
      </c>
      <c r="G698" s="4" t="e">
        <f ca="1">[1]!BexGetData("DP_1","003N8EMH8GTFRCSWKMPXRRXR2","GSON1112060331")</f>
        <v>#NAME?</v>
      </c>
      <c r="H698" s="4" t="e">
        <f ca="1">[1]!BexGetData("DP_1","003N8EMH8GTFRCSWKMPXRS42M","GSON1112060331")</f>
        <v>#NAME?</v>
      </c>
      <c r="I698" s="4" t="e">
        <f ca="1">[1]!BexGetData("DP_1","003N8EMH8GTFRCSWKMPXRSAE6","GSON1112060331")</f>
        <v>#NAME?</v>
      </c>
      <c r="J698" s="4" t="e">
        <f ca="1">[1]!BexGetData("DP_1","003N8EMH8GTFRCSWKMPXRSGPQ","GSON1112060331")</f>
        <v>#NAME?</v>
      </c>
      <c r="K698" s="8" t="e">
        <f ca="1">[1]!BexGetData("DP_1","003N8EMH8GTFRIVNUPY288VJH","GSON1112060331")</f>
        <v>#NAME?</v>
      </c>
      <c r="L698" s="8" t="e">
        <f ca="1">[1]!BexGetData("DP_1","003N8EMH8GTFRIVNUPY2891V1","GSON1112060331")</f>
        <v>#NAME?</v>
      </c>
      <c r="M698" s="8" t="e">
        <f ca="1">[1]!BexGetData("DP_1","003N8EMH8GTFRIVOG7KG9IQXA","GSON1112060331")</f>
        <v>#NAME?</v>
      </c>
      <c r="N698" s="8" t="e">
        <f ca="1">[1]!BexGetData("DP_1","003N8EMH8GTFRIVOG7KG9IX8U","GSON1112060331")</f>
        <v>#NAME?</v>
      </c>
      <c r="O698" s="8" t="e">
        <f ca="1">[1]!BexGetData("DP_1","003N8EMH8GTFRIVOG7KG9J3KE","GSON1112060331")</f>
        <v>#NAME?</v>
      </c>
      <c r="P698" s="8" t="e">
        <f ca="1">[1]!BexGetData("DP_1","003N8EMH8GTFRIVOG7KG9J9VY","GSON1112060331")</f>
        <v>#NAME?</v>
      </c>
      <c r="Q698" s="4" t="e">
        <f ca="1">[1]!BexGetData("DP_1","00O2TNJGODT0G5Z4TTKYMM5MT","GSON1112060331")</f>
        <v>#NAME?</v>
      </c>
      <c r="R698" s="4" t="e">
        <f ca="1">[1]!BexGetData("DP_1","00O2TNJGODT0G5Z4TTKYMMBYD","GSON1112060331")</f>
        <v>#NAME?</v>
      </c>
      <c r="S698" s="4" t="e">
        <f ca="1">[1]!BexGetData("DP_1","00O2TNJGODT0G5Z4TTKYMMI9X","GSON1112060331")</f>
        <v>#NAME?</v>
      </c>
      <c r="T698" s="4" t="e">
        <f ca="1">[1]!BexGetData("DP_1","00O2TNJGODT0G5Z4TTKYMMOLH","GSON1112060331")</f>
        <v>#NAME?</v>
      </c>
      <c r="U698" s="4" t="e">
        <f ca="1">[1]!BexGetData("DP_1","00O2TNJGODT0G5Z4TTKYMMUX1","GSON1112060331")</f>
        <v>#NAME?</v>
      </c>
      <c r="V698" s="4" t="e">
        <f ca="1">[1]!BexGetData("DP_1","00O2TNJGODT0G5Z4TTKYMN18L","GSON1112060331")</f>
        <v>#NAME?</v>
      </c>
      <c r="W698" s="4" t="e">
        <f ca="1">[1]!BexGetData("DP_1","00O2TNJGODT0G5Z4TTKYMN7K5","GSON1112060331")</f>
        <v>#NAME?</v>
      </c>
    </row>
    <row r="699" spans="1:23" x14ac:dyDescent="0.2">
      <c r="A699" s="16" t="s">
        <v>2753</v>
      </c>
      <c r="B699" s="7" t="s">
        <v>2754</v>
      </c>
      <c r="C699" s="3" t="e">
        <f ca="1">[1]!BexGetData("DP_1","003N8EMH8GTFRCSWKMPXRR8GU","GSON1112060333")</f>
        <v>#NAME?</v>
      </c>
      <c r="D699" s="3" t="e">
        <f ca="1">[1]!BexGetData("DP_1","003N8EMH8GTFRCSWKMPXRRESE","GSON1112060333")</f>
        <v>#NAME?</v>
      </c>
      <c r="E699" s="8" t="e">
        <f ca="1">[1]!BexGetData("DP_1","003N8EMH8GTFRCSWKMPXRRL3Y","GSON1112060333")</f>
        <v>#NAME?</v>
      </c>
      <c r="F699" s="4" t="e">
        <f ca="1">[1]!BexGetData("DP_1","003N8EMH8GTFRCSWKMPXRRRFI","GSON1112060333")</f>
        <v>#NAME?</v>
      </c>
      <c r="G699" s="4" t="e">
        <f ca="1">[1]!BexGetData("DP_1","003N8EMH8GTFRCSWKMPXRRXR2","GSON1112060333")</f>
        <v>#NAME?</v>
      </c>
      <c r="H699" s="4" t="e">
        <f ca="1">[1]!BexGetData("DP_1","003N8EMH8GTFRCSWKMPXRS42M","GSON1112060333")</f>
        <v>#NAME?</v>
      </c>
      <c r="I699" s="4" t="e">
        <f ca="1">[1]!BexGetData("DP_1","003N8EMH8GTFRCSWKMPXRSAE6","GSON1112060333")</f>
        <v>#NAME?</v>
      </c>
      <c r="J699" s="4" t="e">
        <f ca="1">[1]!BexGetData("DP_1","003N8EMH8GTFRCSWKMPXRSGPQ","GSON1112060333")</f>
        <v>#NAME?</v>
      </c>
      <c r="K699" s="8" t="e">
        <f ca="1">[1]!BexGetData("DP_1","003N8EMH8GTFRIVNUPY288VJH","GSON1112060333")</f>
        <v>#NAME?</v>
      </c>
      <c r="L699" s="8" t="e">
        <f ca="1">[1]!BexGetData("DP_1","003N8EMH8GTFRIVNUPY2891V1","GSON1112060333")</f>
        <v>#NAME?</v>
      </c>
      <c r="M699" s="8" t="e">
        <f ca="1">[1]!BexGetData("DP_1","003N8EMH8GTFRIVOG7KG9IQXA","GSON1112060333")</f>
        <v>#NAME?</v>
      </c>
      <c r="N699" s="8" t="e">
        <f ca="1">[1]!BexGetData("DP_1","003N8EMH8GTFRIVOG7KG9IX8U","GSON1112060333")</f>
        <v>#NAME?</v>
      </c>
      <c r="O699" s="8" t="e">
        <f ca="1">[1]!BexGetData("DP_1","003N8EMH8GTFRIVOG7KG9J3KE","GSON1112060333")</f>
        <v>#NAME?</v>
      </c>
      <c r="P699" s="8" t="e">
        <f ca="1">[1]!BexGetData("DP_1","003N8EMH8GTFRIVOG7KG9J9VY","GSON1112060333")</f>
        <v>#NAME?</v>
      </c>
      <c r="Q699" s="4" t="e">
        <f ca="1">[1]!BexGetData("DP_1","00O2TNJGODT0G5Z4TTKYMM5MT","GSON1112060333")</f>
        <v>#NAME?</v>
      </c>
      <c r="R699" s="4" t="e">
        <f ca="1">[1]!BexGetData("DP_1","00O2TNJGODT0G5Z4TTKYMMBYD","GSON1112060333")</f>
        <v>#NAME?</v>
      </c>
      <c r="S699" s="4" t="e">
        <f ca="1">[1]!BexGetData("DP_1","00O2TNJGODT0G5Z4TTKYMMI9X","GSON1112060333")</f>
        <v>#NAME?</v>
      </c>
      <c r="T699" s="4" t="e">
        <f ca="1">[1]!BexGetData("DP_1","00O2TNJGODT0G5Z4TTKYMMOLH","GSON1112060333")</f>
        <v>#NAME?</v>
      </c>
      <c r="U699" s="4" t="e">
        <f ca="1">[1]!BexGetData("DP_1","00O2TNJGODT0G5Z4TTKYMMUX1","GSON1112060333")</f>
        <v>#NAME?</v>
      </c>
      <c r="V699" s="4" t="e">
        <f ca="1">[1]!BexGetData("DP_1","00O2TNJGODT0G5Z4TTKYMN18L","GSON1112060333")</f>
        <v>#NAME?</v>
      </c>
      <c r="W699" s="4" t="e">
        <f ca="1">[1]!BexGetData("DP_1","00O2TNJGODT0G5Z4TTKYMN7K5","GSON1112060333")</f>
        <v>#NAME?</v>
      </c>
    </row>
    <row r="700" spans="1:23" x14ac:dyDescent="0.2">
      <c r="A700" s="16" t="s">
        <v>2755</v>
      </c>
      <c r="B700" s="7" t="s">
        <v>2756</v>
      </c>
      <c r="C700" s="3" t="e">
        <f ca="1">[1]!BexGetData("DP_1","003N8EMH8GTFRCSWKMPXRR8GU","GSON1112060334")</f>
        <v>#NAME?</v>
      </c>
      <c r="D700" s="3" t="e">
        <f ca="1">[1]!BexGetData("DP_1","003N8EMH8GTFRCSWKMPXRRESE","GSON1112060334")</f>
        <v>#NAME?</v>
      </c>
      <c r="E700" s="8" t="e">
        <f ca="1">[1]!BexGetData("DP_1","003N8EMH8GTFRCSWKMPXRRL3Y","GSON1112060334")</f>
        <v>#NAME?</v>
      </c>
      <c r="F700" s="4" t="e">
        <f ca="1">[1]!BexGetData("DP_1","003N8EMH8GTFRCSWKMPXRRRFI","GSON1112060334")</f>
        <v>#NAME?</v>
      </c>
      <c r="G700" s="4" t="e">
        <f ca="1">[1]!BexGetData("DP_1","003N8EMH8GTFRCSWKMPXRRXR2","GSON1112060334")</f>
        <v>#NAME?</v>
      </c>
      <c r="H700" s="4" t="e">
        <f ca="1">[1]!BexGetData("DP_1","003N8EMH8GTFRCSWKMPXRS42M","GSON1112060334")</f>
        <v>#NAME?</v>
      </c>
      <c r="I700" s="4" t="e">
        <f ca="1">[1]!BexGetData("DP_1","003N8EMH8GTFRCSWKMPXRSAE6","GSON1112060334")</f>
        <v>#NAME?</v>
      </c>
      <c r="J700" s="4" t="e">
        <f ca="1">[1]!BexGetData("DP_1","003N8EMH8GTFRCSWKMPXRSGPQ","GSON1112060334")</f>
        <v>#NAME?</v>
      </c>
      <c r="K700" s="8" t="e">
        <f ca="1">[1]!BexGetData("DP_1","003N8EMH8GTFRIVNUPY288VJH","GSON1112060334")</f>
        <v>#NAME?</v>
      </c>
      <c r="L700" s="8" t="e">
        <f ca="1">[1]!BexGetData("DP_1","003N8EMH8GTFRIVNUPY2891V1","GSON1112060334")</f>
        <v>#NAME?</v>
      </c>
      <c r="M700" s="8" t="e">
        <f ca="1">[1]!BexGetData("DP_1","003N8EMH8GTFRIVOG7KG9IQXA","GSON1112060334")</f>
        <v>#NAME?</v>
      </c>
      <c r="N700" s="8" t="e">
        <f ca="1">[1]!BexGetData("DP_1","003N8EMH8GTFRIVOG7KG9IX8U","GSON1112060334")</f>
        <v>#NAME?</v>
      </c>
      <c r="O700" s="8" t="e">
        <f ca="1">[1]!BexGetData("DP_1","003N8EMH8GTFRIVOG7KG9J3KE","GSON1112060334")</f>
        <v>#NAME?</v>
      </c>
      <c r="P700" s="8" t="e">
        <f ca="1">[1]!BexGetData("DP_1","003N8EMH8GTFRIVOG7KG9J9VY","GSON1112060334")</f>
        <v>#NAME?</v>
      </c>
      <c r="Q700" s="4" t="e">
        <f ca="1">[1]!BexGetData("DP_1","00O2TNJGODT0G5Z4TTKYMM5MT","GSON1112060334")</f>
        <v>#NAME?</v>
      </c>
      <c r="R700" s="4" t="e">
        <f ca="1">[1]!BexGetData("DP_1","00O2TNJGODT0G5Z4TTKYMMBYD","GSON1112060334")</f>
        <v>#NAME?</v>
      </c>
      <c r="S700" s="4" t="e">
        <f ca="1">[1]!BexGetData("DP_1","00O2TNJGODT0G5Z4TTKYMMI9X","GSON1112060334")</f>
        <v>#NAME?</v>
      </c>
      <c r="T700" s="4" t="e">
        <f ca="1">[1]!BexGetData("DP_1","00O2TNJGODT0G5Z4TTKYMMOLH","GSON1112060334")</f>
        <v>#NAME?</v>
      </c>
      <c r="U700" s="4" t="e">
        <f ca="1">[1]!BexGetData("DP_1","00O2TNJGODT0G5Z4TTKYMMUX1","GSON1112060334")</f>
        <v>#NAME?</v>
      </c>
      <c r="V700" s="4" t="e">
        <f ca="1">[1]!BexGetData("DP_1","00O2TNJGODT0G5Z4TTKYMN18L","GSON1112060334")</f>
        <v>#NAME?</v>
      </c>
      <c r="W700" s="4" t="e">
        <f ca="1">[1]!BexGetData("DP_1","00O2TNJGODT0G5Z4TTKYMN7K5","GSON1112060334")</f>
        <v>#NAME?</v>
      </c>
    </row>
    <row r="701" spans="1:23" x14ac:dyDescent="0.2">
      <c r="A701" s="16" t="s">
        <v>2757</v>
      </c>
      <c r="B701" s="7" t="s">
        <v>2758</v>
      </c>
      <c r="C701" s="3" t="e">
        <f ca="1">[1]!BexGetData("DP_1","003N8EMH8GTFRCSWKMPXRR8GU","GSON1112060335")</f>
        <v>#NAME?</v>
      </c>
      <c r="D701" s="3" t="e">
        <f ca="1">[1]!BexGetData("DP_1","003N8EMH8GTFRCSWKMPXRRESE","GSON1112060335")</f>
        <v>#NAME?</v>
      </c>
      <c r="E701" s="8" t="e">
        <f ca="1">[1]!BexGetData("DP_1","003N8EMH8GTFRCSWKMPXRRL3Y","GSON1112060335")</f>
        <v>#NAME?</v>
      </c>
      <c r="F701" s="4" t="e">
        <f ca="1">[1]!BexGetData("DP_1","003N8EMH8GTFRCSWKMPXRRRFI","GSON1112060335")</f>
        <v>#NAME?</v>
      </c>
      <c r="G701" s="4" t="e">
        <f ca="1">[1]!BexGetData("DP_1","003N8EMH8GTFRCSWKMPXRRXR2","GSON1112060335")</f>
        <v>#NAME?</v>
      </c>
      <c r="H701" s="4" t="e">
        <f ca="1">[1]!BexGetData("DP_1","003N8EMH8GTFRCSWKMPXRS42M","GSON1112060335")</f>
        <v>#NAME?</v>
      </c>
      <c r="I701" s="4" t="e">
        <f ca="1">[1]!BexGetData("DP_1","003N8EMH8GTFRCSWKMPXRSAE6","GSON1112060335")</f>
        <v>#NAME?</v>
      </c>
      <c r="J701" s="4" t="e">
        <f ca="1">[1]!BexGetData("DP_1","003N8EMH8GTFRCSWKMPXRSGPQ","GSON1112060335")</f>
        <v>#NAME?</v>
      </c>
      <c r="K701" s="8" t="e">
        <f ca="1">[1]!BexGetData("DP_1","003N8EMH8GTFRIVNUPY288VJH","GSON1112060335")</f>
        <v>#NAME?</v>
      </c>
      <c r="L701" s="8" t="e">
        <f ca="1">[1]!BexGetData("DP_1","003N8EMH8GTFRIVNUPY2891V1","GSON1112060335")</f>
        <v>#NAME?</v>
      </c>
      <c r="M701" s="8" t="e">
        <f ca="1">[1]!BexGetData("DP_1","003N8EMH8GTFRIVOG7KG9IQXA","GSON1112060335")</f>
        <v>#NAME?</v>
      </c>
      <c r="N701" s="8" t="e">
        <f ca="1">[1]!BexGetData("DP_1","003N8EMH8GTFRIVOG7KG9IX8U","GSON1112060335")</f>
        <v>#NAME?</v>
      </c>
      <c r="O701" s="8" t="e">
        <f ca="1">[1]!BexGetData("DP_1","003N8EMH8GTFRIVOG7KG9J3KE","GSON1112060335")</f>
        <v>#NAME?</v>
      </c>
      <c r="P701" s="8" t="e">
        <f ca="1">[1]!BexGetData("DP_1","003N8EMH8GTFRIVOG7KG9J9VY","GSON1112060335")</f>
        <v>#NAME?</v>
      </c>
      <c r="Q701" s="4" t="e">
        <f ca="1">[1]!BexGetData("DP_1","00O2TNJGODT0G5Z4TTKYMM5MT","GSON1112060335")</f>
        <v>#NAME?</v>
      </c>
      <c r="R701" s="4" t="e">
        <f ca="1">[1]!BexGetData("DP_1","00O2TNJGODT0G5Z4TTKYMMBYD","GSON1112060335")</f>
        <v>#NAME?</v>
      </c>
      <c r="S701" s="4" t="e">
        <f ca="1">[1]!BexGetData("DP_1","00O2TNJGODT0G5Z4TTKYMMI9X","GSON1112060335")</f>
        <v>#NAME?</v>
      </c>
      <c r="T701" s="4" t="e">
        <f ca="1">[1]!BexGetData("DP_1","00O2TNJGODT0G5Z4TTKYMMOLH","GSON1112060335")</f>
        <v>#NAME?</v>
      </c>
      <c r="U701" s="4" t="e">
        <f ca="1">[1]!BexGetData("DP_1","00O2TNJGODT0G5Z4TTKYMMUX1","GSON1112060335")</f>
        <v>#NAME?</v>
      </c>
      <c r="V701" s="4" t="e">
        <f ca="1">[1]!BexGetData("DP_1","00O2TNJGODT0G5Z4TTKYMN18L","GSON1112060335")</f>
        <v>#NAME?</v>
      </c>
      <c r="W701" s="4" t="e">
        <f ca="1">[1]!BexGetData("DP_1","00O2TNJGODT0G5Z4TTKYMN7K5","GSON1112060335")</f>
        <v>#NAME?</v>
      </c>
    </row>
    <row r="702" spans="1:23" x14ac:dyDescent="0.2">
      <c r="A702" s="16" t="s">
        <v>2759</v>
      </c>
      <c r="B702" s="7" t="s">
        <v>2760</v>
      </c>
      <c r="C702" s="3" t="e">
        <f ca="1">[1]!BexGetData("DP_1","003N8EMH8GTFRCSWKMPXRR8GU","GSON1112060340")</f>
        <v>#NAME?</v>
      </c>
      <c r="D702" s="3" t="e">
        <f ca="1">[1]!BexGetData("DP_1","003N8EMH8GTFRCSWKMPXRRESE","GSON1112060340")</f>
        <v>#NAME?</v>
      </c>
      <c r="E702" s="3" t="e">
        <f ca="1">[1]!BexGetData("DP_1","003N8EMH8GTFRCSWKMPXRRL3Y","GSON1112060340")</f>
        <v>#NAME?</v>
      </c>
      <c r="F702" s="3" t="e">
        <f ca="1">[1]!BexGetData("DP_1","003N8EMH8GTFRCSWKMPXRRRFI","GSON1112060340")</f>
        <v>#NAME?</v>
      </c>
      <c r="G702" s="3" t="e">
        <f ca="1">[1]!BexGetData("DP_1","003N8EMH8GTFRCSWKMPXRRXR2","GSON1112060340")</f>
        <v>#NAME?</v>
      </c>
      <c r="H702" s="8" t="e">
        <f ca="1">[1]!BexGetData("DP_1","003N8EMH8GTFRCSWKMPXRS42M","GSON1112060340")</f>
        <v>#NAME?</v>
      </c>
      <c r="I702" s="3" t="e">
        <f ca="1">[1]!BexGetData("DP_1","003N8EMH8GTFRCSWKMPXRSAE6","GSON1112060340")</f>
        <v>#NAME?</v>
      </c>
      <c r="J702" s="4" t="e">
        <f ca="1">[1]!BexGetData("DP_1","003N8EMH8GTFRCSWKMPXRSGPQ","GSON1112060340")</f>
        <v>#NAME?</v>
      </c>
      <c r="K702" s="3" t="e">
        <f ca="1">[1]!BexGetData("DP_1","003N8EMH8GTFRIVNUPY288VJH","GSON1112060340")</f>
        <v>#NAME?</v>
      </c>
      <c r="L702" s="3" t="e">
        <f ca="1">[1]!BexGetData("DP_1","003N8EMH8GTFRIVNUPY2891V1","GSON1112060340")</f>
        <v>#NAME?</v>
      </c>
      <c r="M702" s="8" t="e">
        <f ca="1">[1]!BexGetData("DP_1","003N8EMH8GTFRIVOG7KG9IQXA","GSON1112060340")</f>
        <v>#NAME?</v>
      </c>
      <c r="N702" s="3" t="e">
        <f ca="1">[1]!BexGetData("DP_1","003N8EMH8GTFRIVOG7KG9IX8U","GSON1112060340")</f>
        <v>#NAME?</v>
      </c>
      <c r="O702" s="8" t="e">
        <f ca="1">[1]!BexGetData("DP_1","003N8EMH8GTFRIVOG7KG9J3KE","GSON1112060340")</f>
        <v>#NAME?</v>
      </c>
      <c r="P702" s="3" t="e">
        <f ca="1">[1]!BexGetData("DP_1","003N8EMH8GTFRIVOG7KG9J9VY","GSON1112060340")</f>
        <v>#NAME?</v>
      </c>
      <c r="Q702" s="4" t="e">
        <f ca="1">[1]!BexGetData("DP_1","00O2TNJGODT0G5Z4TTKYMM5MT","GSON1112060340")</f>
        <v>#NAME?</v>
      </c>
      <c r="R702" s="3" t="e">
        <f ca="1">[1]!BexGetData("DP_1","00O2TNJGODT0G5Z4TTKYMMBYD","GSON1112060340")</f>
        <v>#NAME?</v>
      </c>
      <c r="S702" s="3" t="e">
        <f ca="1">[1]!BexGetData("DP_1","00O2TNJGODT0G5Z4TTKYMMI9X","GSON1112060340")</f>
        <v>#NAME?</v>
      </c>
      <c r="T702" s="8" t="e">
        <f ca="1">[1]!BexGetData("DP_1","00O2TNJGODT0G5Z4TTKYMMOLH","GSON1112060340")</f>
        <v>#NAME?</v>
      </c>
      <c r="U702" s="3" t="e">
        <f ca="1">[1]!BexGetData("DP_1","00O2TNJGODT0G5Z4TTKYMMUX1","GSON1112060340")</f>
        <v>#NAME?</v>
      </c>
      <c r="V702" s="8" t="e">
        <f ca="1">[1]!BexGetData("DP_1","00O2TNJGODT0G5Z4TTKYMN18L","GSON1112060340")</f>
        <v>#NAME?</v>
      </c>
      <c r="W702" s="3" t="e">
        <f ca="1">[1]!BexGetData("DP_1","00O2TNJGODT0G5Z4TTKYMN7K5","GSON1112060340")</f>
        <v>#NAME?</v>
      </c>
    </row>
    <row r="703" spans="1:23" x14ac:dyDescent="0.2">
      <c r="A703" s="16" t="s">
        <v>2761</v>
      </c>
      <c r="B703" s="7" t="s">
        <v>2762</v>
      </c>
      <c r="C703" s="3" t="e">
        <f ca="1">[1]!BexGetData("DP_1","003N8EMH8GTFRCSWKMPXRR8GU","GSON1112060341")</f>
        <v>#NAME?</v>
      </c>
      <c r="D703" s="3" t="e">
        <f ca="1">[1]!BexGetData("DP_1","003N8EMH8GTFRCSWKMPXRRESE","GSON1112060341")</f>
        <v>#NAME?</v>
      </c>
      <c r="E703" s="8" t="e">
        <f ca="1">[1]!BexGetData("DP_1","003N8EMH8GTFRCSWKMPXRRL3Y","GSON1112060341")</f>
        <v>#NAME?</v>
      </c>
      <c r="F703" s="4" t="e">
        <f ca="1">[1]!BexGetData("DP_1","003N8EMH8GTFRCSWKMPXRRRFI","GSON1112060341")</f>
        <v>#NAME?</v>
      </c>
      <c r="G703" s="4" t="e">
        <f ca="1">[1]!BexGetData("DP_1","003N8EMH8GTFRCSWKMPXRRXR2","GSON1112060341")</f>
        <v>#NAME?</v>
      </c>
      <c r="H703" s="4" t="e">
        <f ca="1">[1]!BexGetData("DP_1","003N8EMH8GTFRCSWKMPXRS42M","GSON1112060341")</f>
        <v>#NAME?</v>
      </c>
      <c r="I703" s="4" t="e">
        <f ca="1">[1]!BexGetData("DP_1","003N8EMH8GTFRCSWKMPXRSAE6","GSON1112060341")</f>
        <v>#NAME?</v>
      </c>
      <c r="J703" s="4" t="e">
        <f ca="1">[1]!BexGetData("DP_1","003N8EMH8GTFRCSWKMPXRSGPQ","GSON1112060341")</f>
        <v>#NAME?</v>
      </c>
      <c r="K703" s="8" t="e">
        <f ca="1">[1]!BexGetData("DP_1","003N8EMH8GTFRIVNUPY288VJH","GSON1112060341")</f>
        <v>#NAME?</v>
      </c>
      <c r="L703" s="8" t="e">
        <f ca="1">[1]!BexGetData("DP_1","003N8EMH8GTFRIVNUPY2891V1","GSON1112060341")</f>
        <v>#NAME?</v>
      </c>
      <c r="M703" s="8" t="e">
        <f ca="1">[1]!BexGetData("DP_1","003N8EMH8GTFRIVOG7KG9IQXA","GSON1112060341")</f>
        <v>#NAME?</v>
      </c>
      <c r="N703" s="8" t="e">
        <f ca="1">[1]!BexGetData("DP_1","003N8EMH8GTFRIVOG7KG9IX8U","GSON1112060341")</f>
        <v>#NAME?</v>
      </c>
      <c r="O703" s="8" t="e">
        <f ca="1">[1]!BexGetData("DP_1","003N8EMH8GTFRIVOG7KG9J3KE","GSON1112060341")</f>
        <v>#NAME?</v>
      </c>
      <c r="P703" s="8" t="e">
        <f ca="1">[1]!BexGetData("DP_1","003N8EMH8GTFRIVOG7KG9J9VY","GSON1112060341")</f>
        <v>#NAME?</v>
      </c>
      <c r="Q703" s="4" t="e">
        <f ca="1">[1]!BexGetData("DP_1","00O2TNJGODT0G5Z4TTKYMM5MT","GSON1112060341")</f>
        <v>#NAME?</v>
      </c>
      <c r="R703" s="4" t="e">
        <f ca="1">[1]!BexGetData("DP_1","00O2TNJGODT0G5Z4TTKYMMBYD","GSON1112060341")</f>
        <v>#NAME?</v>
      </c>
      <c r="S703" s="4" t="e">
        <f ca="1">[1]!BexGetData("DP_1","00O2TNJGODT0G5Z4TTKYMMI9X","GSON1112060341")</f>
        <v>#NAME?</v>
      </c>
      <c r="T703" s="4" t="e">
        <f ca="1">[1]!BexGetData("DP_1","00O2TNJGODT0G5Z4TTKYMMOLH","GSON1112060341")</f>
        <v>#NAME?</v>
      </c>
      <c r="U703" s="4" t="e">
        <f ca="1">[1]!BexGetData("DP_1","00O2TNJGODT0G5Z4TTKYMMUX1","GSON1112060341")</f>
        <v>#NAME?</v>
      </c>
      <c r="V703" s="4" t="e">
        <f ca="1">[1]!BexGetData("DP_1","00O2TNJGODT0G5Z4TTKYMN18L","GSON1112060341")</f>
        <v>#NAME?</v>
      </c>
      <c r="W703" s="4" t="e">
        <f ca="1">[1]!BexGetData("DP_1","00O2TNJGODT0G5Z4TTKYMN7K5","GSON1112060341")</f>
        <v>#NAME?</v>
      </c>
    </row>
    <row r="704" spans="1:23" x14ac:dyDescent="0.2">
      <c r="A704" s="16" t="s">
        <v>2763</v>
      </c>
      <c r="B704" s="7" t="s">
        <v>2764</v>
      </c>
      <c r="C704" s="3" t="e">
        <f ca="1">[1]!BexGetData("DP_1","003N8EMH8GTFRCSWKMPXRR8GU","GSON1112060343")</f>
        <v>#NAME?</v>
      </c>
      <c r="D704" s="3" t="e">
        <f ca="1">[1]!BexGetData("DP_1","003N8EMH8GTFRCSWKMPXRRESE","GSON1112060343")</f>
        <v>#NAME?</v>
      </c>
      <c r="E704" s="8" t="e">
        <f ca="1">[1]!BexGetData("DP_1","003N8EMH8GTFRCSWKMPXRRL3Y","GSON1112060343")</f>
        <v>#NAME?</v>
      </c>
      <c r="F704" s="4" t="e">
        <f ca="1">[1]!BexGetData("DP_1","003N8EMH8GTFRCSWKMPXRRRFI","GSON1112060343")</f>
        <v>#NAME?</v>
      </c>
      <c r="G704" s="4" t="e">
        <f ca="1">[1]!BexGetData("DP_1","003N8EMH8GTFRCSWKMPXRRXR2","GSON1112060343")</f>
        <v>#NAME?</v>
      </c>
      <c r="H704" s="4" t="e">
        <f ca="1">[1]!BexGetData("DP_1","003N8EMH8GTFRCSWKMPXRS42M","GSON1112060343")</f>
        <v>#NAME?</v>
      </c>
      <c r="I704" s="4" t="e">
        <f ca="1">[1]!BexGetData("DP_1","003N8EMH8GTFRCSWKMPXRSAE6","GSON1112060343")</f>
        <v>#NAME?</v>
      </c>
      <c r="J704" s="4" t="e">
        <f ca="1">[1]!BexGetData("DP_1","003N8EMH8GTFRCSWKMPXRSGPQ","GSON1112060343")</f>
        <v>#NAME?</v>
      </c>
      <c r="K704" s="8" t="e">
        <f ca="1">[1]!BexGetData("DP_1","003N8EMH8GTFRIVNUPY288VJH","GSON1112060343")</f>
        <v>#NAME?</v>
      </c>
      <c r="L704" s="8" t="e">
        <f ca="1">[1]!BexGetData("DP_1","003N8EMH8GTFRIVNUPY2891V1","GSON1112060343")</f>
        <v>#NAME?</v>
      </c>
      <c r="M704" s="8" t="e">
        <f ca="1">[1]!BexGetData("DP_1","003N8EMH8GTFRIVOG7KG9IQXA","GSON1112060343")</f>
        <v>#NAME?</v>
      </c>
      <c r="N704" s="8" t="e">
        <f ca="1">[1]!BexGetData("DP_1","003N8EMH8GTFRIVOG7KG9IX8U","GSON1112060343")</f>
        <v>#NAME?</v>
      </c>
      <c r="O704" s="8" t="e">
        <f ca="1">[1]!BexGetData("DP_1","003N8EMH8GTFRIVOG7KG9J3KE","GSON1112060343")</f>
        <v>#NAME?</v>
      </c>
      <c r="P704" s="8" t="e">
        <f ca="1">[1]!BexGetData("DP_1","003N8EMH8GTFRIVOG7KG9J9VY","GSON1112060343")</f>
        <v>#NAME?</v>
      </c>
      <c r="Q704" s="4" t="e">
        <f ca="1">[1]!BexGetData("DP_1","00O2TNJGODT0G5Z4TTKYMM5MT","GSON1112060343")</f>
        <v>#NAME?</v>
      </c>
      <c r="R704" s="4" t="e">
        <f ca="1">[1]!BexGetData("DP_1","00O2TNJGODT0G5Z4TTKYMMBYD","GSON1112060343")</f>
        <v>#NAME?</v>
      </c>
      <c r="S704" s="4" t="e">
        <f ca="1">[1]!BexGetData("DP_1","00O2TNJGODT0G5Z4TTKYMMI9X","GSON1112060343")</f>
        <v>#NAME?</v>
      </c>
      <c r="T704" s="4" t="e">
        <f ca="1">[1]!BexGetData("DP_1","00O2TNJGODT0G5Z4TTKYMMOLH","GSON1112060343")</f>
        <v>#NAME?</v>
      </c>
      <c r="U704" s="4" t="e">
        <f ca="1">[1]!BexGetData("DP_1","00O2TNJGODT0G5Z4TTKYMMUX1","GSON1112060343")</f>
        <v>#NAME?</v>
      </c>
      <c r="V704" s="4" t="e">
        <f ca="1">[1]!BexGetData("DP_1","00O2TNJGODT0G5Z4TTKYMN18L","GSON1112060343")</f>
        <v>#NAME?</v>
      </c>
      <c r="W704" s="4" t="e">
        <f ca="1">[1]!BexGetData("DP_1","00O2TNJGODT0G5Z4TTKYMN7K5","GSON1112060343")</f>
        <v>#NAME?</v>
      </c>
    </row>
    <row r="705" spans="1:23" x14ac:dyDescent="0.2">
      <c r="A705" s="16" t="s">
        <v>2765</v>
      </c>
      <c r="B705" s="7" t="s">
        <v>2766</v>
      </c>
      <c r="C705" s="3" t="e">
        <f ca="1">[1]!BexGetData("DP_1","003N8EMH8GTFRCSWKMPXRR8GU","GSON1112060344")</f>
        <v>#NAME?</v>
      </c>
      <c r="D705" s="3" t="e">
        <f ca="1">[1]!BexGetData("DP_1","003N8EMH8GTFRCSWKMPXRRESE","GSON1112060344")</f>
        <v>#NAME?</v>
      </c>
      <c r="E705" s="8" t="e">
        <f ca="1">[1]!BexGetData("DP_1","003N8EMH8GTFRCSWKMPXRRL3Y","GSON1112060344")</f>
        <v>#NAME?</v>
      </c>
      <c r="F705" s="4" t="e">
        <f ca="1">[1]!BexGetData("DP_1","003N8EMH8GTFRCSWKMPXRRRFI","GSON1112060344")</f>
        <v>#NAME?</v>
      </c>
      <c r="G705" s="4" t="e">
        <f ca="1">[1]!BexGetData("DP_1","003N8EMH8GTFRCSWKMPXRRXR2","GSON1112060344")</f>
        <v>#NAME?</v>
      </c>
      <c r="H705" s="4" t="e">
        <f ca="1">[1]!BexGetData("DP_1","003N8EMH8GTFRCSWKMPXRS42M","GSON1112060344")</f>
        <v>#NAME?</v>
      </c>
      <c r="I705" s="4" t="e">
        <f ca="1">[1]!BexGetData("DP_1","003N8EMH8GTFRCSWKMPXRSAE6","GSON1112060344")</f>
        <v>#NAME?</v>
      </c>
      <c r="J705" s="4" t="e">
        <f ca="1">[1]!BexGetData("DP_1","003N8EMH8GTFRCSWKMPXRSGPQ","GSON1112060344")</f>
        <v>#NAME?</v>
      </c>
      <c r="K705" s="8" t="e">
        <f ca="1">[1]!BexGetData("DP_1","003N8EMH8GTFRIVNUPY288VJH","GSON1112060344")</f>
        <v>#NAME?</v>
      </c>
      <c r="L705" s="8" t="e">
        <f ca="1">[1]!BexGetData("DP_1","003N8EMH8GTFRIVNUPY2891V1","GSON1112060344")</f>
        <v>#NAME?</v>
      </c>
      <c r="M705" s="8" t="e">
        <f ca="1">[1]!BexGetData("DP_1","003N8EMH8GTFRIVOG7KG9IQXA","GSON1112060344")</f>
        <v>#NAME?</v>
      </c>
      <c r="N705" s="8" t="e">
        <f ca="1">[1]!BexGetData("DP_1","003N8EMH8GTFRIVOG7KG9IX8U","GSON1112060344")</f>
        <v>#NAME?</v>
      </c>
      <c r="O705" s="8" t="e">
        <f ca="1">[1]!BexGetData("DP_1","003N8EMH8GTFRIVOG7KG9J3KE","GSON1112060344")</f>
        <v>#NAME?</v>
      </c>
      <c r="P705" s="8" t="e">
        <f ca="1">[1]!BexGetData("DP_1","003N8EMH8GTFRIVOG7KG9J9VY","GSON1112060344")</f>
        <v>#NAME?</v>
      </c>
      <c r="Q705" s="4" t="e">
        <f ca="1">[1]!BexGetData("DP_1","00O2TNJGODT0G5Z4TTKYMM5MT","GSON1112060344")</f>
        <v>#NAME?</v>
      </c>
      <c r="R705" s="4" t="e">
        <f ca="1">[1]!BexGetData("DP_1","00O2TNJGODT0G5Z4TTKYMMBYD","GSON1112060344")</f>
        <v>#NAME?</v>
      </c>
      <c r="S705" s="4" t="e">
        <f ca="1">[1]!BexGetData("DP_1","00O2TNJGODT0G5Z4TTKYMMI9X","GSON1112060344")</f>
        <v>#NAME?</v>
      </c>
      <c r="T705" s="4" t="e">
        <f ca="1">[1]!BexGetData("DP_1","00O2TNJGODT0G5Z4TTKYMMOLH","GSON1112060344")</f>
        <v>#NAME?</v>
      </c>
      <c r="U705" s="4" t="e">
        <f ca="1">[1]!BexGetData("DP_1","00O2TNJGODT0G5Z4TTKYMMUX1","GSON1112060344")</f>
        <v>#NAME?</v>
      </c>
      <c r="V705" s="4" t="e">
        <f ca="1">[1]!BexGetData("DP_1","00O2TNJGODT0G5Z4TTKYMN18L","GSON1112060344")</f>
        <v>#NAME?</v>
      </c>
      <c r="W705" s="4" t="e">
        <f ca="1">[1]!BexGetData("DP_1","00O2TNJGODT0G5Z4TTKYMN7K5","GSON1112060344")</f>
        <v>#NAME?</v>
      </c>
    </row>
    <row r="706" spans="1:23" x14ac:dyDescent="0.2">
      <c r="A706" s="16" t="s">
        <v>2767</v>
      </c>
      <c r="B706" s="7" t="s">
        <v>2768</v>
      </c>
      <c r="C706" s="3" t="e">
        <f ca="1">[1]!BexGetData("DP_1","003N8EMH8GTFRCSWKMPXRR8GU","GSON1112060345")</f>
        <v>#NAME?</v>
      </c>
      <c r="D706" s="3" t="e">
        <f ca="1">[1]!BexGetData("DP_1","003N8EMH8GTFRCSWKMPXRRESE","GSON1112060345")</f>
        <v>#NAME?</v>
      </c>
      <c r="E706" s="8" t="e">
        <f ca="1">[1]!BexGetData("DP_1","003N8EMH8GTFRCSWKMPXRRL3Y","GSON1112060345")</f>
        <v>#NAME?</v>
      </c>
      <c r="F706" s="4" t="e">
        <f ca="1">[1]!BexGetData("DP_1","003N8EMH8GTFRCSWKMPXRRRFI","GSON1112060345")</f>
        <v>#NAME?</v>
      </c>
      <c r="G706" s="4" t="e">
        <f ca="1">[1]!BexGetData("DP_1","003N8EMH8GTFRCSWKMPXRRXR2","GSON1112060345")</f>
        <v>#NAME?</v>
      </c>
      <c r="H706" s="4" t="e">
        <f ca="1">[1]!BexGetData("DP_1","003N8EMH8GTFRCSWKMPXRS42M","GSON1112060345")</f>
        <v>#NAME?</v>
      </c>
      <c r="I706" s="4" t="e">
        <f ca="1">[1]!BexGetData("DP_1","003N8EMH8GTFRCSWKMPXRSAE6","GSON1112060345")</f>
        <v>#NAME?</v>
      </c>
      <c r="J706" s="4" t="e">
        <f ca="1">[1]!BexGetData("DP_1","003N8EMH8GTFRCSWKMPXRSGPQ","GSON1112060345")</f>
        <v>#NAME?</v>
      </c>
      <c r="K706" s="8" t="e">
        <f ca="1">[1]!BexGetData("DP_1","003N8EMH8GTFRIVNUPY288VJH","GSON1112060345")</f>
        <v>#NAME?</v>
      </c>
      <c r="L706" s="8" t="e">
        <f ca="1">[1]!BexGetData("DP_1","003N8EMH8GTFRIVNUPY2891V1","GSON1112060345")</f>
        <v>#NAME?</v>
      </c>
      <c r="M706" s="8" t="e">
        <f ca="1">[1]!BexGetData("DP_1","003N8EMH8GTFRIVOG7KG9IQXA","GSON1112060345")</f>
        <v>#NAME?</v>
      </c>
      <c r="N706" s="8" t="e">
        <f ca="1">[1]!BexGetData("DP_1","003N8EMH8GTFRIVOG7KG9IX8U","GSON1112060345")</f>
        <v>#NAME?</v>
      </c>
      <c r="O706" s="8" t="e">
        <f ca="1">[1]!BexGetData("DP_1","003N8EMH8GTFRIVOG7KG9J3KE","GSON1112060345")</f>
        <v>#NAME?</v>
      </c>
      <c r="P706" s="8" t="e">
        <f ca="1">[1]!BexGetData("DP_1","003N8EMH8GTFRIVOG7KG9J9VY","GSON1112060345")</f>
        <v>#NAME?</v>
      </c>
      <c r="Q706" s="4" t="e">
        <f ca="1">[1]!BexGetData("DP_1","00O2TNJGODT0G5Z4TTKYMM5MT","GSON1112060345")</f>
        <v>#NAME?</v>
      </c>
      <c r="R706" s="4" t="e">
        <f ca="1">[1]!BexGetData("DP_1","00O2TNJGODT0G5Z4TTKYMMBYD","GSON1112060345")</f>
        <v>#NAME?</v>
      </c>
      <c r="S706" s="4" t="e">
        <f ca="1">[1]!BexGetData("DP_1","00O2TNJGODT0G5Z4TTKYMMI9X","GSON1112060345")</f>
        <v>#NAME?</v>
      </c>
      <c r="T706" s="4" t="e">
        <f ca="1">[1]!BexGetData("DP_1","00O2TNJGODT0G5Z4TTKYMMOLH","GSON1112060345")</f>
        <v>#NAME?</v>
      </c>
      <c r="U706" s="4" t="e">
        <f ca="1">[1]!BexGetData("DP_1","00O2TNJGODT0G5Z4TTKYMMUX1","GSON1112060345")</f>
        <v>#NAME?</v>
      </c>
      <c r="V706" s="4" t="e">
        <f ca="1">[1]!BexGetData("DP_1","00O2TNJGODT0G5Z4TTKYMN18L","GSON1112060345")</f>
        <v>#NAME?</v>
      </c>
      <c r="W706" s="4" t="e">
        <f ca="1">[1]!BexGetData("DP_1","00O2TNJGODT0G5Z4TTKYMN7K5","GSON1112060345")</f>
        <v>#NAME?</v>
      </c>
    </row>
    <row r="707" spans="1:23" x14ac:dyDescent="0.2">
      <c r="A707" s="16" t="s">
        <v>1638</v>
      </c>
      <c r="B707" s="7" t="s">
        <v>1639</v>
      </c>
      <c r="C707" s="3" t="e">
        <f ca="1">[1]!BexGetData("DP_1","003N8EMH8GTFRCSWKMPXRR8GU","GSON1112060350")</f>
        <v>#NAME?</v>
      </c>
      <c r="D707" s="3" t="e">
        <f ca="1">[1]!BexGetData("DP_1","003N8EMH8GTFRCSWKMPXRRESE","GSON1112060350")</f>
        <v>#NAME?</v>
      </c>
      <c r="E707" s="3" t="e">
        <f ca="1">[1]!BexGetData("DP_1","003N8EMH8GTFRCSWKMPXRRL3Y","GSON1112060350")</f>
        <v>#NAME?</v>
      </c>
      <c r="F707" s="3" t="e">
        <f ca="1">[1]!BexGetData("DP_1","003N8EMH8GTFRCSWKMPXRRRFI","GSON1112060350")</f>
        <v>#NAME?</v>
      </c>
      <c r="G707" s="3" t="e">
        <f ca="1">[1]!BexGetData("DP_1","003N8EMH8GTFRCSWKMPXRRXR2","GSON1112060350")</f>
        <v>#NAME?</v>
      </c>
      <c r="H707" s="8" t="e">
        <f ca="1">[1]!BexGetData("DP_1","003N8EMH8GTFRCSWKMPXRS42M","GSON1112060350")</f>
        <v>#NAME?</v>
      </c>
      <c r="I707" s="3" t="e">
        <f ca="1">[1]!BexGetData("DP_1","003N8EMH8GTFRCSWKMPXRSAE6","GSON1112060350")</f>
        <v>#NAME?</v>
      </c>
      <c r="J707" s="4" t="e">
        <f ca="1">[1]!BexGetData("DP_1","003N8EMH8GTFRCSWKMPXRSGPQ","GSON1112060350")</f>
        <v>#NAME?</v>
      </c>
      <c r="K707" s="3" t="e">
        <f ca="1">[1]!BexGetData("DP_1","003N8EMH8GTFRIVNUPY288VJH","GSON1112060350")</f>
        <v>#NAME?</v>
      </c>
      <c r="L707" s="3" t="e">
        <f ca="1">[1]!BexGetData("DP_1","003N8EMH8GTFRIVNUPY2891V1","GSON1112060350")</f>
        <v>#NAME?</v>
      </c>
      <c r="M707" s="3" t="e">
        <f ca="1">[1]!BexGetData("DP_1","003N8EMH8GTFRIVOG7KG9IQXA","GSON1112060350")</f>
        <v>#NAME?</v>
      </c>
      <c r="N707" s="8" t="e">
        <f ca="1">[1]!BexGetData("DP_1","003N8EMH8GTFRIVOG7KG9IX8U","GSON1112060350")</f>
        <v>#NAME?</v>
      </c>
      <c r="O707" s="3" t="e">
        <f ca="1">[1]!BexGetData("DP_1","003N8EMH8GTFRIVOG7KG9J3KE","GSON1112060350")</f>
        <v>#NAME?</v>
      </c>
      <c r="P707" s="8" t="e">
        <f ca="1">[1]!BexGetData("DP_1","003N8EMH8GTFRIVOG7KG9J9VY","GSON1112060350")</f>
        <v>#NAME?</v>
      </c>
      <c r="Q707" s="4" t="e">
        <f ca="1">[1]!BexGetData("DP_1","00O2TNJGODT0G5Z4TTKYMM5MT","GSON1112060350")</f>
        <v>#NAME?</v>
      </c>
      <c r="R707" s="3" t="e">
        <f ca="1">[1]!BexGetData("DP_1","00O2TNJGODT0G5Z4TTKYMMBYD","GSON1112060350")</f>
        <v>#NAME?</v>
      </c>
      <c r="S707" s="3" t="e">
        <f ca="1">[1]!BexGetData("DP_1","00O2TNJGODT0G5Z4TTKYMMI9X","GSON1112060350")</f>
        <v>#NAME?</v>
      </c>
      <c r="T707" s="8" t="e">
        <f ca="1">[1]!BexGetData("DP_1","00O2TNJGODT0G5Z4TTKYMMOLH","GSON1112060350")</f>
        <v>#NAME?</v>
      </c>
      <c r="U707" s="3" t="e">
        <f ca="1">[1]!BexGetData("DP_1","00O2TNJGODT0G5Z4TTKYMMUX1","GSON1112060350")</f>
        <v>#NAME?</v>
      </c>
      <c r="V707" s="8" t="e">
        <f ca="1">[1]!BexGetData("DP_1","00O2TNJGODT0G5Z4TTKYMN18L","GSON1112060350")</f>
        <v>#NAME?</v>
      </c>
      <c r="W707" s="3" t="e">
        <f ca="1">[1]!BexGetData("DP_1","00O2TNJGODT0G5Z4TTKYMN7K5","GSON1112060350")</f>
        <v>#NAME?</v>
      </c>
    </row>
    <row r="708" spans="1:23" x14ac:dyDescent="0.2">
      <c r="A708" s="16" t="s">
        <v>1640</v>
      </c>
      <c r="B708" s="7" t="s">
        <v>1641</v>
      </c>
      <c r="C708" s="3" t="e">
        <f ca="1">[1]!BexGetData("DP_1","003N8EMH8GTFRCSWKMPXRR8GU","GSON1112060351")</f>
        <v>#NAME?</v>
      </c>
      <c r="D708" s="3" t="e">
        <f ca="1">[1]!BexGetData("DP_1","003N8EMH8GTFRCSWKMPXRRESE","GSON1112060351")</f>
        <v>#NAME?</v>
      </c>
      <c r="E708" s="8" t="e">
        <f ca="1">[1]!BexGetData("DP_1","003N8EMH8GTFRCSWKMPXRRL3Y","GSON1112060351")</f>
        <v>#NAME?</v>
      </c>
      <c r="F708" s="4" t="e">
        <f ca="1">[1]!BexGetData("DP_1","003N8EMH8GTFRCSWKMPXRRRFI","GSON1112060351")</f>
        <v>#NAME?</v>
      </c>
      <c r="G708" s="4" t="e">
        <f ca="1">[1]!BexGetData("DP_1","003N8EMH8GTFRCSWKMPXRRXR2","GSON1112060351")</f>
        <v>#NAME?</v>
      </c>
      <c r="H708" s="4" t="e">
        <f ca="1">[1]!BexGetData("DP_1","003N8EMH8GTFRCSWKMPXRS42M","GSON1112060351")</f>
        <v>#NAME?</v>
      </c>
      <c r="I708" s="4" t="e">
        <f ca="1">[1]!BexGetData("DP_1","003N8EMH8GTFRCSWKMPXRSAE6","GSON1112060351")</f>
        <v>#NAME?</v>
      </c>
      <c r="J708" s="4" t="e">
        <f ca="1">[1]!BexGetData("DP_1","003N8EMH8GTFRCSWKMPXRSGPQ","GSON1112060351")</f>
        <v>#NAME?</v>
      </c>
      <c r="K708" s="8" t="e">
        <f ca="1">[1]!BexGetData("DP_1","003N8EMH8GTFRIVNUPY288VJH","GSON1112060351")</f>
        <v>#NAME?</v>
      </c>
      <c r="L708" s="8" t="e">
        <f ca="1">[1]!BexGetData("DP_1","003N8EMH8GTFRIVNUPY2891V1","GSON1112060351")</f>
        <v>#NAME?</v>
      </c>
      <c r="M708" s="8" t="e">
        <f ca="1">[1]!BexGetData("DP_1","003N8EMH8GTFRIVOG7KG9IQXA","GSON1112060351")</f>
        <v>#NAME?</v>
      </c>
      <c r="N708" s="8" t="e">
        <f ca="1">[1]!BexGetData("DP_1","003N8EMH8GTFRIVOG7KG9IX8U","GSON1112060351")</f>
        <v>#NAME?</v>
      </c>
      <c r="O708" s="8" t="e">
        <f ca="1">[1]!BexGetData("DP_1","003N8EMH8GTFRIVOG7KG9J3KE","GSON1112060351")</f>
        <v>#NAME?</v>
      </c>
      <c r="P708" s="8" t="e">
        <f ca="1">[1]!BexGetData("DP_1","003N8EMH8GTFRIVOG7KG9J9VY","GSON1112060351")</f>
        <v>#NAME?</v>
      </c>
      <c r="Q708" s="4" t="e">
        <f ca="1">[1]!BexGetData("DP_1","00O2TNJGODT0G5Z4TTKYMM5MT","GSON1112060351")</f>
        <v>#NAME?</v>
      </c>
      <c r="R708" s="4" t="e">
        <f ca="1">[1]!BexGetData("DP_1","00O2TNJGODT0G5Z4TTKYMMBYD","GSON1112060351")</f>
        <v>#NAME?</v>
      </c>
      <c r="S708" s="4" t="e">
        <f ca="1">[1]!BexGetData("DP_1","00O2TNJGODT0G5Z4TTKYMMI9X","GSON1112060351")</f>
        <v>#NAME?</v>
      </c>
      <c r="T708" s="4" t="e">
        <f ca="1">[1]!BexGetData("DP_1","00O2TNJGODT0G5Z4TTKYMMOLH","GSON1112060351")</f>
        <v>#NAME?</v>
      </c>
      <c r="U708" s="4" t="e">
        <f ca="1">[1]!BexGetData("DP_1","00O2TNJGODT0G5Z4TTKYMMUX1","GSON1112060351")</f>
        <v>#NAME?</v>
      </c>
      <c r="V708" s="4" t="e">
        <f ca="1">[1]!BexGetData("DP_1","00O2TNJGODT0G5Z4TTKYMN18L","GSON1112060351")</f>
        <v>#NAME?</v>
      </c>
      <c r="W708" s="4" t="e">
        <f ca="1">[1]!BexGetData("DP_1","00O2TNJGODT0G5Z4TTKYMN7K5","GSON1112060351")</f>
        <v>#NAME?</v>
      </c>
    </row>
    <row r="709" spans="1:23" x14ac:dyDescent="0.2">
      <c r="A709" s="16" t="s">
        <v>2769</v>
      </c>
      <c r="B709" s="7" t="s">
        <v>2770</v>
      </c>
      <c r="C709" s="3" t="e">
        <f ca="1">[1]!BexGetData("DP_1","003N8EMH8GTFRCSWKMPXRR8GU","GSON1112060352")</f>
        <v>#NAME?</v>
      </c>
      <c r="D709" s="3" t="e">
        <f ca="1">[1]!BexGetData("DP_1","003N8EMH8GTFRCSWKMPXRRESE","GSON1112060352")</f>
        <v>#NAME?</v>
      </c>
      <c r="E709" s="8" t="e">
        <f ca="1">[1]!BexGetData("DP_1","003N8EMH8GTFRCSWKMPXRRL3Y","GSON1112060352")</f>
        <v>#NAME?</v>
      </c>
      <c r="F709" s="3" t="e">
        <f ca="1">[1]!BexGetData("DP_1","003N8EMH8GTFRCSWKMPXRRRFI","GSON1112060352")</f>
        <v>#NAME?</v>
      </c>
      <c r="G709" s="8" t="e">
        <f ca="1">[1]!BexGetData("DP_1","003N8EMH8GTFRCSWKMPXRRXR2","GSON1112060352")</f>
        <v>#NAME?</v>
      </c>
      <c r="H709" s="3" t="e">
        <f ca="1">[1]!BexGetData("DP_1","003N8EMH8GTFRCSWKMPXRS42M","GSON1112060352")</f>
        <v>#NAME?</v>
      </c>
      <c r="I709" s="3" t="e">
        <f ca="1">[1]!BexGetData("DP_1","003N8EMH8GTFRCSWKMPXRSAE6","GSON1112060352")</f>
        <v>#NAME?</v>
      </c>
      <c r="J709" s="4" t="e">
        <f ca="1">[1]!BexGetData("DP_1","003N8EMH8GTFRCSWKMPXRSGPQ","GSON1112060352")</f>
        <v>#NAME?</v>
      </c>
      <c r="K709" s="3" t="e">
        <f ca="1">[1]!BexGetData("DP_1","003N8EMH8GTFRIVNUPY288VJH","GSON1112060352")</f>
        <v>#NAME?</v>
      </c>
      <c r="L709" s="3" t="e">
        <f ca="1">[1]!BexGetData("DP_1","003N8EMH8GTFRIVNUPY2891V1","GSON1112060352")</f>
        <v>#NAME?</v>
      </c>
      <c r="M709" s="8" t="e">
        <f ca="1">[1]!BexGetData("DP_1","003N8EMH8GTFRIVOG7KG9IQXA","GSON1112060352")</f>
        <v>#NAME?</v>
      </c>
      <c r="N709" s="3" t="e">
        <f ca="1">[1]!BexGetData("DP_1","003N8EMH8GTFRIVOG7KG9IX8U","GSON1112060352")</f>
        <v>#NAME?</v>
      </c>
      <c r="O709" s="8" t="e">
        <f ca="1">[1]!BexGetData("DP_1","003N8EMH8GTFRIVOG7KG9J3KE","GSON1112060352")</f>
        <v>#NAME?</v>
      </c>
      <c r="P709" s="3" t="e">
        <f ca="1">[1]!BexGetData("DP_1","003N8EMH8GTFRIVOG7KG9J9VY","GSON1112060352")</f>
        <v>#NAME?</v>
      </c>
      <c r="Q709" s="4" t="e">
        <f ca="1">[1]!BexGetData("DP_1","00O2TNJGODT0G5Z4TTKYMM5MT","GSON1112060352")</f>
        <v>#NAME?</v>
      </c>
      <c r="R709" s="3" t="e">
        <f ca="1">[1]!BexGetData("DP_1","00O2TNJGODT0G5Z4TTKYMMBYD","GSON1112060352")</f>
        <v>#NAME?</v>
      </c>
      <c r="S709" s="3" t="e">
        <f ca="1">[1]!BexGetData("DP_1","00O2TNJGODT0G5Z4TTKYMMI9X","GSON1112060352")</f>
        <v>#NAME?</v>
      </c>
      <c r="T709" s="3" t="e">
        <f ca="1">[1]!BexGetData("DP_1","00O2TNJGODT0G5Z4TTKYMMOLH","GSON1112060352")</f>
        <v>#NAME?</v>
      </c>
      <c r="U709" s="8" t="e">
        <f ca="1">[1]!BexGetData("DP_1","00O2TNJGODT0G5Z4TTKYMMUX1","GSON1112060352")</f>
        <v>#NAME?</v>
      </c>
      <c r="V709" s="3" t="e">
        <f ca="1">[1]!BexGetData("DP_1","00O2TNJGODT0G5Z4TTKYMN18L","GSON1112060352")</f>
        <v>#NAME?</v>
      </c>
      <c r="W709" s="8" t="e">
        <f ca="1">[1]!BexGetData("DP_1","00O2TNJGODT0G5Z4TTKYMN7K5","GSON1112060352")</f>
        <v>#NAME?</v>
      </c>
    </row>
    <row r="710" spans="1:23" x14ac:dyDescent="0.2">
      <c r="A710" s="16" t="s">
        <v>1642</v>
      </c>
      <c r="B710" s="7" t="s">
        <v>1643</v>
      </c>
      <c r="C710" s="3" t="e">
        <f ca="1">[1]!BexGetData("DP_1","003N8EMH8GTFRCSWKMPXRR8GU","GSON1112060353")</f>
        <v>#NAME?</v>
      </c>
      <c r="D710" s="3" t="e">
        <f ca="1">[1]!BexGetData("DP_1","003N8EMH8GTFRCSWKMPXRRESE","GSON1112060353")</f>
        <v>#NAME?</v>
      </c>
      <c r="E710" s="8" t="e">
        <f ca="1">[1]!BexGetData("DP_1","003N8EMH8GTFRCSWKMPXRRL3Y","GSON1112060353")</f>
        <v>#NAME?</v>
      </c>
      <c r="F710" s="4" t="e">
        <f ca="1">[1]!BexGetData("DP_1","003N8EMH8GTFRCSWKMPXRRRFI","GSON1112060353")</f>
        <v>#NAME?</v>
      </c>
      <c r="G710" s="4" t="e">
        <f ca="1">[1]!BexGetData("DP_1","003N8EMH8GTFRCSWKMPXRRXR2","GSON1112060353")</f>
        <v>#NAME?</v>
      </c>
      <c r="H710" s="4" t="e">
        <f ca="1">[1]!BexGetData("DP_1","003N8EMH8GTFRCSWKMPXRS42M","GSON1112060353")</f>
        <v>#NAME?</v>
      </c>
      <c r="I710" s="4" t="e">
        <f ca="1">[1]!BexGetData("DP_1","003N8EMH8GTFRCSWKMPXRSAE6","GSON1112060353")</f>
        <v>#NAME?</v>
      </c>
      <c r="J710" s="4" t="e">
        <f ca="1">[1]!BexGetData("DP_1","003N8EMH8GTFRCSWKMPXRSGPQ","GSON1112060353")</f>
        <v>#NAME?</v>
      </c>
      <c r="K710" s="8" t="e">
        <f ca="1">[1]!BexGetData("DP_1","003N8EMH8GTFRIVNUPY288VJH","GSON1112060353")</f>
        <v>#NAME?</v>
      </c>
      <c r="L710" s="8" t="e">
        <f ca="1">[1]!BexGetData("DP_1","003N8EMH8GTFRIVNUPY2891V1","GSON1112060353")</f>
        <v>#NAME?</v>
      </c>
      <c r="M710" s="8" t="e">
        <f ca="1">[1]!BexGetData("DP_1","003N8EMH8GTFRIVOG7KG9IQXA","GSON1112060353")</f>
        <v>#NAME?</v>
      </c>
      <c r="N710" s="8" t="e">
        <f ca="1">[1]!BexGetData("DP_1","003N8EMH8GTFRIVOG7KG9IX8U","GSON1112060353")</f>
        <v>#NAME?</v>
      </c>
      <c r="O710" s="8" t="e">
        <f ca="1">[1]!BexGetData("DP_1","003N8EMH8GTFRIVOG7KG9J3KE","GSON1112060353")</f>
        <v>#NAME?</v>
      </c>
      <c r="P710" s="8" t="e">
        <f ca="1">[1]!BexGetData("DP_1","003N8EMH8GTFRIVOG7KG9J9VY","GSON1112060353")</f>
        <v>#NAME?</v>
      </c>
      <c r="Q710" s="4" t="e">
        <f ca="1">[1]!BexGetData("DP_1","00O2TNJGODT0G5Z4TTKYMM5MT","GSON1112060353")</f>
        <v>#NAME?</v>
      </c>
      <c r="R710" s="4" t="e">
        <f ca="1">[1]!BexGetData("DP_1","00O2TNJGODT0G5Z4TTKYMMBYD","GSON1112060353")</f>
        <v>#NAME?</v>
      </c>
      <c r="S710" s="4" t="e">
        <f ca="1">[1]!BexGetData("DP_1","00O2TNJGODT0G5Z4TTKYMMI9X","GSON1112060353")</f>
        <v>#NAME?</v>
      </c>
      <c r="T710" s="4" t="e">
        <f ca="1">[1]!BexGetData("DP_1","00O2TNJGODT0G5Z4TTKYMMOLH","GSON1112060353")</f>
        <v>#NAME?</v>
      </c>
      <c r="U710" s="4" t="e">
        <f ca="1">[1]!BexGetData("DP_1","00O2TNJGODT0G5Z4TTKYMMUX1","GSON1112060353")</f>
        <v>#NAME?</v>
      </c>
      <c r="V710" s="4" t="e">
        <f ca="1">[1]!BexGetData("DP_1","00O2TNJGODT0G5Z4TTKYMN18L","GSON1112060353")</f>
        <v>#NAME?</v>
      </c>
      <c r="W710" s="4" t="e">
        <f ca="1">[1]!BexGetData("DP_1","00O2TNJGODT0G5Z4TTKYMN7K5","GSON1112060353")</f>
        <v>#NAME?</v>
      </c>
    </row>
    <row r="711" spans="1:23" x14ac:dyDescent="0.2">
      <c r="A711" s="16" t="s">
        <v>2771</v>
      </c>
      <c r="B711" s="7" t="s">
        <v>2772</v>
      </c>
      <c r="C711" s="3" t="e">
        <f ca="1">[1]!BexGetData("DP_1","003N8EMH8GTFRCSWKMPXRR8GU","GSON1112060354")</f>
        <v>#NAME?</v>
      </c>
      <c r="D711" s="3" t="e">
        <f ca="1">[1]!BexGetData("DP_1","003N8EMH8GTFRCSWKMPXRRESE","GSON1112060354")</f>
        <v>#NAME?</v>
      </c>
      <c r="E711" s="8" t="e">
        <f ca="1">[1]!BexGetData("DP_1","003N8EMH8GTFRCSWKMPXRRL3Y","GSON1112060354")</f>
        <v>#NAME?</v>
      </c>
      <c r="F711" s="4" t="e">
        <f ca="1">[1]!BexGetData("DP_1","003N8EMH8GTFRCSWKMPXRRRFI","GSON1112060354")</f>
        <v>#NAME?</v>
      </c>
      <c r="G711" s="4" t="e">
        <f ca="1">[1]!BexGetData("DP_1","003N8EMH8GTFRCSWKMPXRRXR2","GSON1112060354")</f>
        <v>#NAME?</v>
      </c>
      <c r="H711" s="4" t="e">
        <f ca="1">[1]!BexGetData("DP_1","003N8EMH8GTFRCSWKMPXRS42M","GSON1112060354")</f>
        <v>#NAME?</v>
      </c>
      <c r="I711" s="4" t="e">
        <f ca="1">[1]!BexGetData("DP_1","003N8EMH8GTFRCSWKMPXRSAE6","GSON1112060354")</f>
        <v>#NAME?</v>
      </c>
      <c r="J711" s="4" t="e">
        <f ca="1">[1]!BexGetData("DP_1","003N8EMH8GTFRCSWKMPXRSGPQ","GSON1112060354")</f>
        <v>#NAME?</v>
      </c>
      <c r="K711" s="8" t="e">
        <f ca="1">[1]!BexGetData("DP_1","003N8EMH8GTFRIVNUPY288VJH","GSON1112060354")</f>
        <v>#NAME?</v>
      </c>
      <c r="L711" s="8" t="e">
        <f ca="1">[1]!BexGetData("DP_1","003N8EMH8GTFRIVNUPY2891V1","GSON1112060354")</f>
        <v>#NAME?</v>
      </c>
      <c r="M711" s="8" t="e">
        <f ca="1">[1]!BexGetData("DP_1","003N8EMH8GTFRIVOG7KG9IQXA","GSON1112060354")</f>
        <v>#NAME?</v>
      </c>
      <c r="N711" s="8" t="e">
        <f ca="1">[1]!BexGetData("DP_1","003N8EMH8GTFRIVOG7KG9IX8U","GSON1112060354")</f>
        <v>#NAME?</v>
      </c>
      <c r="O711" s="8" t="e">
        <f ca="1">[1]!BexGetData("DP_1","003N8EMH8GTFRIVOG7KG9J3KE","GSON1112060354")</f>
        <v>#NAME?</v>
      </c>
      <c r="P711" s="8" t="e">
        <f ca="1">[1]!BexGetData("DP_1","003N8EMH8GTFRIVOG7KG9J9VY","GSON1112060354")</f>
        <v>#NAME?</v>
      </c>
      <c r="Q711" s="4" t="e">
        <f ca="1">[1]!BexGetData("DP_1","00O2TNJGODT0G5Z4TTKYMM5MT","GSON1112060354")</f>
        <v>#NAME?</v>
      </c>
      <c r="R711" s="4" t="e">
        <f ca="1">[1]!BexGetData("DP_1","00O2TNJGODT0G5Z4TTKYMMBYD","GSON1112060354")</f>
        <v>#NAME?</v>
      </c>
      <c r="S711" s="4" t="e">
        <f ca="1">[1]!BexGetData("DP_1","00O2TNJGODT0G5Z4TTKYMMI9X","GSON1112060354")</f>
        <v>#NAME?</v>
      </c>
      <c r="T711" s="4" t="e">
        <f ca="1">[1]!BexGetData("DP_1","00O2TNJGODT0G5Z4TTKYMMOLH","GSON1112060354")</f>
        <v>#NAME?</v>
      </c>
      <c r="U711" s="4" t="e">
        <f ca="1">[1]!BexGetData("DP_1","00O2TNJGODT0G5Z4TTKYMMUX1","GSON1112060354")</f>
        <v>#NAME?</v>
      </c>
      <c r="V711" s="4" t="e">
        <f ca="1">[1]!BexGetData("DP_1","00O2TNJGODT0G5Z4TTKYMN18L","GSON1112060354")</f>
        <v>#NAME?</v>
      </c>
      <c r="W711" s="4" t="e">
        <f ca="1">[1]!BexGetData("DP_1","00O2TNJGODT0G5Z4TTKYMN7K5","GSON1112060354")</f>
        <v>#NAME?</v>
      </c>
    </row>
    <row r="712" spans="1:23" x14ac:dyDescent="0.2">
      <c r="A712" s="16" t="s">
        <v>2773</v>
      </c>
      <c r="B712" s="7" t="s">
        <v>2774</v>
      </c>
      <c r="C712" s="3" t="e">
        <f ca="1">[1]!BexGetData("DP_1","003N8EMH8GTFRCSWKMPXRR8GU","GSON1112060355")</f>
        <v>#NAME?</v>
      </c>
      <c r="D712" s="3" t="e">
        <f ca="1">[1]!BexGetData("DP_1","003N8EMH8GTFRCSWKMPXRRESE","GSON1112060355")</f>
        <v>#NAME?</v>
      </c>
      <c r="E712" s="8" t="e">
        <f ca="1">[1]!BexGetData("DP_1","003N8EMH8GTFRCSWKMPXRRL3Y","GSON1112060355")</f>
        <v>#NAME?</v>
      </c>
      <c r="F712" s="4" t="e">
        <f ca="1">[1]!BexGetData("DP_1","003N8EMH8GTFRCSWKMPXRRRFI","GSON1112060355")</f>
        <v>#NAME?</v>
      </c>
      <c r="G712" s="4" t="e">
        <f ca="1">[1]!BexGetData("DP_1","003N8EMH8GTFRCSWKMPXRRXR2","GSON1112060355")</f>
        <v>#NAME?</v>
      </c>
      <c r="H712" s="4" t="e">
        <f ca="1">[1]!BexGetData("DP_1","003N8EMH8GTFRCSWKMPXRS42M","GSON1112060355")</f>
        <v>#NAME?</v>
      </c>
      <c r="I712" s="4" t="e">
        <f ca="1">[1]!BexGetData("DP_1","003N8EMH8GTFRCSWKMPXRSAE6","GSON1112060355")</f>
        <v>#NAME?</v>
      </c>
      <c r="J712" s="4" t="e">
        <f ca="1">[1]!BexGetData("DP_1","003N8EMH8GTFRCSWKMPXRSGPQ","GSON1112060355")</f>
        <v>#NAME?</v>
      </c>
      <c r="K712" s="8" t="e">
        <f ca="1">[1]!BexGetData("DP_1","003N8EMH8GTFRIVNUPY288VJH","GSON1112060355")</f>
        <v>#NAME?</v>
      </c>
      <c r="L712" s="8" t="e">
        <f ca="1">[1]!BexGetData("DP_1","003N8EMH8GTFRIVNUPY2891V1","GSON1112060355")</f>
        <v>#NAME?</v>
      </c>
      <c r="M712" s="8" t="e">
        <f ca="1">[1]!BexGetData("DP_1","003N8EMH8GTFRIVOG7KG9IQXA","GSON1112060355")</f>
        <v>#NAME?</v>
      </c>
      <c r="N712" s="8" t="e">
        <f ca="1">[1]!BexGetData("DP_1","003N8EMH8GTFRIVOG7KG9IX8U","GSON1112060355")</f>
        <v>#NAME?</v>
      </c>
      <c r="O712" s="8" t="e">
        <f ca="1">[1]!BexGetData("DP_1","003N8EMH8GTFRIVOG7KG9J3KE","GSON1112060355")</f>
        <v>#NAME?</v>
      </c>
      <c r="P712" s="8" t="e">
        <f ca="1">[1]!BexGetData("DP_1","003N8EMH8GTFRIVOG7KG9J9VY","GSON1112060355")</f>
        <v>#NAME?</v>
      </c>
      <c r="Q712" s="4" t="e">
        <f ca="1">[1]!BexGetData("DP_1","00O2TNJGODT0G5Z4TTKYMM5MT","GSON1112060355")</f>
        <v>#NAME?</v>
      </c>
      <c r="R712" s="4" t="e">
        <f ca="1">[1]!BexGetData("DP_1","00O2TNJGODT0G5Z4TTKYMMBYD","GSON1112060355")</f>
        <v>#NAME?</v>
      </c>
      <c r="S712" s="4" t="e">
        <f ca="1">[1]!BexGetData("DP_1","00O2TNJGODT0G5Z4TTKYMMI9X","GSON1112060355")</f>
        <v>#NAME?</v>
      </c>
      <c r="T712" s="4" t="e">
        <f ca="1">[1]!BexGetData("DP_1","00O2TNJGODT0G5Z4TTKYMMOLH","GSON1112060355")</f>
        <v>#NAME?</v>
      </c>
      <c r="U712" s="4" t="e">
        <f ca="1">[1]!BexGetData("DP_1","00O2TNJGODT0G5Z4TTKYMMUX1","GSON1112060355")</f>
        <v>#NAME?</v>
      </c>
      <c r="V712" s="4" t="e">
        <f ca="1">[1]!BexGetData("DP_1","00O2TNJGODT0G5Z4TTKYMN18L","GSON1112060355")</f>
        <v>#NAME?</v>
      </c>
      <c r="W712" s="4" t="e">
        <f ca="1">[1]!BexGetData("DP_1","00O2TNJGODT0G5Z4TTKYMN7K5","GSON1112060355")</f>
        <v>#NAME?</v>
      </c>
    </row>
    <row r="713" spans="1:23" x14ac:dyDescent="0.2">
      <c r="A713" s="16" t="s">
        <v>2775</v>
      </c>
      <c r="B713" s="7" t="s">
        <v>2776</v>
      </c>
      <c r="C713" s="3" t="e">
        <f ca="1">[1]!BexGetData("DP_1","003N8EMH8GTFRCSWKMPXRR8GU","GSON1112060360")</f>
        <v>#NAME?</v>
      </c>
      <c r="D713" s="3" t="e">
        <f ca="1">[1]!BexGetData("DP_1","003N8EMH8GTFRCSWKMPXRRESE","GSON1112060360")</f>
        <v>#NAME?</v>
      </c>
      <c r="E713" s="3" t="e">
        <f ca="1">[1]!BexGetData("DP_1","003N8EMH8GTFRCSWKMPXRRL3Y","GSON1112060360")</f>
        <v>#NAME?</v>
      </c>
      <c r="F713" s="3" t="e">
        <f ca="1">[1]!BexGetData("DP_1","003N8EMH8GTFRCSWKMPXRRRFI","GSON1112060360")</f>
        <v>#NAME?</v>
      </c>
      <c r="G713" s="3" t="e">
        <f ca="1">[1]!BexGetData("DP_1","003N8EMH8GTFRCSWKMPXRRXR2","GSON1112060360")</f>
        <v>#NAME?</v>
      </c>
      <c r="H713" s="8" t="e">
        <f ca="1">[1]!BexGetData("DP_1","003N8EMH8GTFRCSWKMPXRS42M","GSON1112060360")</f>
        <v>#NAME?</v>
      </c>
      <c r="I713" s="3" t="e">
        <f ca="1">[1]!BexGetData("DP_1","003N8EMH8GTFRCSWKMPXRSAE6","GSON1112060360")</f>
        <v>#NAME?</v>
      </c>
      <c r="J713" s="4" t="e">
        <f ca="1">[1]!BexGetData("DP_1","003N8EMH8GTFRCSWKMPXRSGPQ","GSON1112060360")</f>
        <v>#NAME?</v>
      </c>
      <c r="K713" s="3" t="e">
        <f ca="1">[1]!BexGetData("DP_1","003N8EMH8GTFRIVNUPY288VJH","GSON1112060360")</f>
        <v>#NAME?</v>
      </c>
      <c r="L713" s="3" t="e">
        <f ca="1">[1]!BexGetData("DP_1","003N8EMH8GTFRIVNUPY2891V1","GSON1112060360")</f>
        <v>#NAME?</v>
      </c>
      <c r="M713" s="8" t="e">
        <f ca="1">[1]!BexGetData("DP_1","003N8EMH8GTFRIVOG7KG9IQXA","GSON1112060360")</f>
        <v>#NAME?</v>
      </c>
      <c r="N713" s="3" t="e">
        <f ca="1">[1]!BexGetData("DP_1","003N8EMH8GTFRIVOG7KG9IX8U","GSON1112060360")</f>
        <v>#NAME?</v>
      </c>
      <c r="O713" s="8" t="e">
        <f ca="1">[1]!BexGetData("DP_1","003N8EMH8GTFRIVOG7KG9J3KE","GSON1112060360")</f>
        <v>#NAME?</v>
      </c>
      <c r="P713" s="3" t="e">
        <f ca="1">[1]!BexGetData("DP_1","003N8EMH8GTFRIVOG7KG9J9VY","GSON1112060360")</f>
        <v>#NAME?</v>
      </c>
      <c r="Q713" s="4" t="e">
        <f ca="1">[1]!BexGetData("DP_1","00O2TNJGODT0G5Z4TTKYMM5MT","GSON1112060360")</f>
        <v>#NAME?</v>
      </c>
      <c r="R713" s="3" t="e">
        <f ca="1">[1]!BexGetData("DP_1","00O2TNJGODT0G5Z4TTKYMMBYD","GSON1112060360")</f>
        <v>#NAME?</v>
      </c>
      <c r="S713" s="3" t="e">
        <f ca="1">[1]!BexGetData("DP_1","00O2TNJGODT0G5Z4TTKYMMI9X","GSON1112060360")</f>
        <v>#NAME?</v>
      </c>
      <c r="T713" s="8" t="e">
        <f ca="1">[1]!BexGetData("DP_1","00O2TNJGODT0G5Z4TTKYMMOLH","GSON1112060360")</f>
        <v>#NAME?</v>
      </c>
      <c r="U713" s="3" t="e">
        <f ca="1">[1]!BexGetData("DP_1","00O2TNJGODT0G5Z4TTKYMMUX1","GSON1112060360")</f>
        <v>#NAME?</v>
      </c>
      <c r="V713" s="8" t="e">
        <f ca="1">[1]!BexGetData("DP_1","00O2TNJGODT0G5Z4TTKYMN18L","GSON1112060360")</f>
        <v>#NAME?</v>
      </c>
      <c r="W713" s="3" t="e">
        <f ca="1">[1]!BexGetData("DP_1","00O2TNJGODT0G5Z4TTKYMN7K5","GSON1112060360")</f>
        <v>#NAME?</v>
      </c>
    </row>
    <row r="714" spans="1:23" x14ac:dyDescent="0.2">
      <c r="A714" s="16" t="s">
        <v>2777</v>
      </c>
      <c r="B714" s="7" t="s">
        <v>2778</v>
      </c>
      <c r="C714" s="3" t="e">
        <f ca="1">[1]!BexGetData("DP_1","003N8EMH8GTFRCSWKMPXRR8GU","GSON1112060361")</f>
        <v>#NAME?</v>
      </c>
      <c r="D714" s="3" t="e">
        <f ca="1">[1]!BexGetData("DP_1","003N8EMH8GTFRCSWKMPXRRESE","GSON1112060361")</f>
        <v>#NAME?</v>
      </c>
      <c r="E714" s="8" t="e">
        <f ca="1">[1]!BexGetData("DP_1","003N8EMH8GTFRCSWKMPXRRL3Y","GSON1112060361")</f>
        <v>#NAME?</v>
      </c>
      <c r="F714" s="4" t="e">
        <f ca="1">[1]!BexGetData("DP_1","003N8EMH8GTFRCSWKMPXRRRFI","GSON1112060361")</f>
        <v>#NAME?</v>
      </c>
      <c r="G714" s="4" t="e">
        <f ca="1">[1]!BexGetData("DP_1","003N8EMH8GTFRCSWKMPXRRXR2","GSON1112060361")</f>
        <v>#NAME?</v>
      </c>
      <c r="H714" s="4" t="e">
        <f ca="1">[1]!BexGetData("DP_1","003N8EMH8GTFRCSWKMPXRS42M","GSON1112060361")</f>
        <v>#NAME?</v>
      </c>
      <c r="I714" s="4" t="e">
        <f ca="1">[1]!BexGetData("DP_1","003N8EMH8GTFRCSWKMPXRSAE6","GSON1112060361")</f>
        <v>#NAME?</v>
      </c>
      <c r="J714" s="4" t="e">
        <f ca="1">[1]!BexGetData("DP_1","003N8EMH8GTFRCSWKMPXRSGPQ","GSON1112060361")</f>
        <v>#NAME?</v>
      </c>
      <c r="K714" s="8" t="e">
        <f ca="1">[1]!BexGetData("DP_1","003N8EMH8GTFRIVNUPY288VJH","GSON1112060361")</f>
        <v>#NAME?</v>
      </c>
      <c r="L714" s="8" t="e">
        <f ca="1">[1]!BexGetData("DP_1","003N8EMH8GTFRIVNUPY2891V1","GSON1112060361")</f>
        <v>#NAME?</v>
      </c>
      <c r="M714" s="8" t="e">
        <f ca="1">[1]!BexGetData("DP_1","003N8EMH8GTFRIVOG7KG9IQXA","GSON1112060361")</f>
        <v>#NAME?</v>
      </c>
      <c r="N714" s="8" t="e">
        <f ca="1">[1]!BexGetData("DP_1","003N8EMH8GTFRIVOG7KG9IX8U","GSON1112060361")</f>
        <v>#NAME?</v>
      </c>
      <c r="O714" s="8" t="e">
        <f ca="1">[1]!BexGetData("DP_1","003N8EMH8GTFRIVOG7KG9J3KE","GSON1112060361")</f>
        <v>#NAME?</v>
      </c>
      <c r="P714" s="8" t="e">
        <f ca="1">[1]!BexGetData("DP_1","003N8EMH8GTFRIVOG7KG9J9VY","GSON1112060361")</f>
        <v>#NAME?</v>
      </c>
      <c r="Q714" s="4" t="e">
        <f ca="1">[1]!BexGetData("DP_1","00O2TNJGODT0G5Z4TTKYMM5MT","GSON1112060361")</f>
        <v>#NAME?</v>
      </c>
      <c r="R714" s="4" t="e">
        <f ca="1">[1]!BexGetData("DP_1","00O2TNJGODT0G5Z4TTKYMMBYD","GSON1112060361")</f>
        <v>#NAME?</v>
      </c>
      <c r="S714" s="4" t="e">
        <f ca="1">[1]!BexGetData("DP_1","00O2TNJGODT0G5Z4TTKYMMI9X","GSON1112060361")</f>
        <v>#NAME?</v>
      </c>
      <c r="T714" s="4" t="e">
        <f ca="1">[1]!BexGetData("DP_1","00O2TNJGODT0G5Z4TTKYMMOLH","GSON1112060361")</f>
        <v>#NAME?</v>
      </c>
      <c r="U714" s="4" t="e">
        <f ca="1">[1]!BexGetData("DP_1","00O2TNJGODT0G5Z4TTKYMMUX1","GSON1112060361")</f>
        <v>#NAME?</v>
      </c>
      <c r="V714" s="4" t="e">
        <f ca="1">[1]!BexGetData("DP_1","00O2TNJGODT0G5Z4TTKYMN18L","GSON1112060361")</f>
        <v>#NAME?</v>
      </c>
      <c r="W714" s="4" t="e">
        <f ca="1">[1]!BexGetData("DP_1","00O2TNJGODT0G5Z4TTKYMN7K5","GSON1112060361")</f>
        <v>#NAME?</v>
      </c>
    </row>
    <row r="715" spans="1:23" x14ac:dyDescent="0.2">
      <c r="A715" s="16" t="s">
        <v>2779</v>
      </c>
      <c r="B715" s="7" t="s">
        <v>2780</v>
      </c>
      <c r="C715" s="3" t="e">
        <f ca="1">[1]!BexGetData("DP_1","003N8EMH8GTFRCSWKMPXRR8GU","GSON1112060363")</f>
        <v>#NAME?</v>
      </c>
      <c r="D715" s="3" t="e">
        <f ca="1">[1]!BexGetData("DP_1","003N8EMH8GTFRCSWKMPXRRESE","GSON1112060363")</f>
        <v>#NAME?</v>
      </c>
      <c r="E715" s="8" t="e">
        <f ca="1">[1]!BexGetData("DP_1","003N8EMH8GTFRCSWKMPXRRL3Y","GSON1112060363")</f>
        <v>#NAME?</v>
      </c>
      <c r="F715" s="4" t="e">
        <f ca="1">[1]!BexGetData("DP_1","003N8EMH8GTFRCSWKMPXRRRFI","GSON1112060363")</f>
        <v>#NAME?</v>
      </c>
      <c r="G715" s="4" t="e">
        <f ca="1">[1]!BexGetData("DP_1","003N8EMH8GTFRCSWKMPXRRXR2","GSON1112060363")</f>
        <v>#NAME?</v>
      </c>
      <c r="H715" s="4" t="e">
        <f ca="1">[1]!BexGetData("DP_1","003N8EMH8GTFRCSWKMPXRS42M","GSON1112060363")</f>
        <v>#NAME?</v>
      </c>
      <c r="I715" s="4" t="e">
        <f ca="1">[1]!BexGetData("DP_1","003N8EMH8GTFRCSWKMPXRSAE6","GSON1112060363")</f>
        <v>#NAME?</v>
      </c>
      <c r="J715" s="4" t="e">
        <f ca="1">[1]!BexGetData("DP_1","003N8EMH8GTFRCSWKMPXRSGPQ","GSON1112060363")</f>
        <v>#NAME?</v>
      </c>
      <c r="K715" s="8" t="e">
        <f ca="1">[1]!BexGetData("DP_1","003N8EMH8GTFRIVNUPY288VJH","GSON1112060363")</f>
        <v>#NAME?</v>
      </c>
      <c r="L715" s="8" t="e">
        <f ca="1">[1]!BexGetData("DP_1","003N8EMH8GTFRIVNUPY2891V1","GSON1112060363")</f>
        <v>#NAME?</v>
      </c>
      <c r="M715" s="8" t="e">
        <f ca="1">[1]!BexGetData("DP_1","003N8EMH8GTFRIVOG7KG9IQXA","GSON1112060363")</f>
        <v>#NAME?</v>
      </c>
      <c r="N715" s="8" t="e">
        <f ca="1">[1]!BexGetData("DP_1","003N8EMH8GTFRIVOG7KG9IX8U","GSON1112060363")</f>
        <v>#NAME?</v>
      </c>
      <c r="O715" s="8" t="e">
        <f ca="1">[1]!BexGetData("DP_1","003N8EMH8GTFRIVOG7KG9J3KE","GSON1112060363")</f>
        <v>#NAME?</v>
      </c>
      <c r="P715" s="8" t="e">
        <f ca="1">[1]!BexGetData("DP_1","003N8EMH8GTFRIVOG7KG9J9VY","GSON1112060363")</f>
        <v>#NAME?</v>
      </c>
      <c r="Q715" s="4" t="e">
        <f ca="1">[1]!BexGetData("DP_1","00O2TNJGODT0G5Z4TTKYMM5MT","GSON1112060363")</f>
        <v>#NAME?</v>
      </c>
      <c r="R715" s="4" t="e">
        <f ca="1">[1]!BexGetData("DP_1","00O2TNJGODT0G5Z4TTKYMMBYD","GSON1112060363")</f>
        <v>#NAME?</v>
      </c>
      <c r="S715" s="4" t="e">
        <f ca="1">[1]!BexGetData("DP_1","00O2TNJGODT0G5Z4TTKYMMI9X","GSON1112060363")</f>
        <v>#NAME?</v>
      </c>
      <c r="T715" s="4" t="e">
        <f ca="1">[1]!BexGetData("DP_1","00O2TNJGODT0G5Z4TTKYMMOLH","GSON1112060363")</f>
        <v>#NAME?</v>
      </c>
      <c r="U715" s="4" t="e">
        <f ca="1">[1]!BexGetData("DP_1","00O2TNJGODT0G5Z4TTKYMMUX1","GSON1112060363")</f>
        <v>#NAME?</v>
      </c>
      <c r="V715" s="4" t="e">
        <f ca="1">[1]!BexGetData("DP_1","00O2TNJGODT0G5Z4TTKYMN18L","GSON1112060363")</f>
        <v>#NAME?</v>
      </c>
      <c r="W715" s="4" t="e">
        <f ca="1">[1]!BexGetData("DP_1","00O2TNJGODT0G5Z4TTKYMN7K5","GSON1112060363")</f>
        <v>#NAME?</v>
      </c>
    </row>
    <row r="716" spans="1:23" x14ac:dyDescent="0.2">
      <c r="A716" s="16" t="s">
        <v>2781</v>
      </c>
      <c r="B716" s="7" t="s">
        <v>2782</v>
      </c>
      <c r="C716" s="3" t="e">
        <f ca="1">[1]!BexGetData("DP_1","003N8EMH8GTFRCSWKMPXRR8GU","GSON1112060364")</f>
        <v>#NAME?</v>
      </c>
      <c r="D716" s="3" t="e">
        <f ca="1">[1]!BexGetData("DP_1","003N8EMH8GTFRCSWKMPXRRESE","GSON1112060364")</f>
        <v>#NAME?</v>
      </c>
      <c r="E716" s="8" t="e">
        <f ca="1">[1]!BexGetData("DP_1","003N8EMH8GTFRCSWKMPXRRL3Y","GSON1112060364")</f>
        <v>#NAME?</v>
      </c>
      <c r="F716" s="4" t="e">
        <f ca="1">[1]!BexGetData("DP_1","003N8EMH8GTFRCSWKMPXRRRFI","GSON1112060364")</f>
        <v>#NAME?</v>
      </c>
      <c r="G716" s="4" t="e">
        <f ca="1">[1]!BexGetData("DP_1","003N8EMH8GTFRCSWKMPXRRXR2","GSON1112060364")</f>
        <v>#NAME?</v>
      </c>
      <c r="H716" s="4" t="e">
        <f ca="1">[1]!BexGetData("DP_1","003N8EMH8GTFRCSWKMPXRS42M","GSON1112060364")</f>
        <v>#NAME?</v>
      </c>
      <c r="I716" s="4" t="e">
        <f ca="1">[1]!BexGetData("DP_1","003N8EMH8GTFRCSWKMPXRSAE6","GSON1112060364")</f>
        <v>#NAME?</v>
      </c>
      <c r="J716" s="4" t="e">
        <f ca="1">[1]!BexGetData("DP_1","003N8EMH8GTFRCSWKMPXRSGPQ","GSON1112060364")</f>
        <v>#NAME?</v>
      </c>
      <c r="K716" s="8" t="e">
        <f ca="1">[1]!BexGetData("DP_1","003N8EMH8GTFRIVNUPY288VJH","GSON1112060364")</f>
        <v>#NAME?</v>
      </c>
      <c r="L716" s="8" t="e">
        <f ca="1">[1]!BexGetData("DP_1","003N8EMH8GTFRIVNUPY2891V1","GSON1112060364")</f>
        <v>#NAME?</v>
      </c>
      <c r="M716" s="8" t="e">
        <f ca="1">[1]!BexGetData("DP_1","003N8EMH8GTFRIVOG7KG9IQXA","GSON1112060364")</f>
        <v>#NAME?</v>
      </c>
      <c r="N716" s="8" t="e">
        <f ca="1">[1]!BexGetData("DP_1","003N8EMH8GTFRIVOG7KG9IX8U","GSON1112060364")</f>
        <v>#NAME?</v>
      </c>
      <c r="O716" s="8" t="e">
        <f ca="1">[1]!BexGetData("DP_1","003N8EMH8GTFRIVOG7KG9J3KE","GSON1112060364")</f>
        <v>#NAME?</v>
      </c>
      <c r="P716" s="8" t="e">
        <f ca="1">[1]!BexGetData("DP_1","003N8EMH8GTFRIVOG7KG9J9VY","GSON1112060364")</f>
        <v>#NAME?</v>
      </c>
      <c r="Q716" s="4" t="e">
        <f ca="1">[1]!BexGetData("DP_1","00O2TNJGODT0G5Z4TTKYMM5MT","GSON1112060364")</f>
        <v>#NAME?</v>
      </c>
      <c r="R716" s="4" t="e">
        <f ca="1">[1]!BexGetData("DP_1","00O2TNJGODT0G5Z4TTKYMMBYD","GSON1112060364")</f>
        <v>#NAME?</v>
      </c>
      <c r="S716" s="4" t="e">
        <f ca="1">[1]!BexGetData("DP_1","00O2TNJGODT0G5Z4TTKYMMI9X","GSON1112060364")</f>
        <v>#NAME?</v>
      </c>
      <c r="T716" s="4" t="e">
        <f ca="1">[1]!BexGetData("DP_1","00O2TNJGODT0G5Z4TTKYMMOLH","GSON1112060364")</f>
        <v>#NAME?</v>
      </c>
      <c r="U716" s="4" t="e">
        <f ca="1">[1]!BexGetData("DP_1","00O2TNJGODT0G5Z4TTKYMMUX1","GSON1112060364")</f>
        <v>#NAME?</v>
      </c>
      <c r="V716" s="4" t="e">
        <f ca="1">[1]!BexGetData("DP_1","00O2TNJGODT0G5Z4TTKYMN18L","GSON1112060364")</f>
        <v>#NAME?</v>
      </c>
      <c r="W716" s="4" t="e">
        <f ca="1">[1]!BexGetData("DP_1","00O2TNJGODT0G5Z4TTKYMN7K5","GSON1112060364")</f>
        <v>#NAME?</v>
      </c>
    </row>
    <row r="717" spans="1:23" x14ac:dyDescent="0.2">
      <c r="A717" s="16" t="s">
        <v>2783</v>
      </c>
      <c r="B717" s="7" t="s">
        <v>2784</v>
      </c>
      <c r="C717" s="3" t="e">
        <f ca="1">[1]!BexGetData("DP_1","003N8EMH8GTFRCSWKMPXRR8GU","GSON1112060365")</f>
        <v>#NAME?</v>
      </c>
      <c r="D717" s="3" t="e">
        <f ca="1">[1]!BexGetData("DP_1","003N8EMH8GTFRCSWKMPXRRESE","GSON1112060365")</f>
        <v>#NAME?</v>
      </c>
      <c r="E717" s="8" t="e">
        <f ca="1">[1]!BexGetData("DP_1","003N8EMH8GTFRCSWKMPXRRL3Y","GSON1112060365")</f>
        <v>#NAME?</v>
      </c>
      <c r="F717" s="4" t="e">
        <f ca="1">[1]!BexGetData("DP_1","003N8EMH8GTFRCSWKMPXRRRFI","GSON1112060365")</f>
        <v>#NAME?</v>
      </c>
      <c r="G717" s="4" t="e">
        <f ca="1">[1]!BexGetData("DP_1","003N8EMH8GTFRCSWKMPXRRXR2","GSON1112060365")</f>
        <v>#NAME?</v>
      </c>
      <c r="H717" s="4" t="e">
        <f ca="1">[1]!BexGetData("DP_1","003N8EMH8GTFRCSWKMPXRS42M","GSON1112060365")</f>
        <v>#NAME?</v>
      </c>
      <c r="I717" s="4" t="e">
        <f ca="1">[1]!BexGetData("DP_1","003N8EMH8GTFRCSWKMPXRSAE6","GSON1112060365")</f>
        <v>#NAME?</v>
      </c>
      <c r="J717" s="4" t="e">
        <f ca="1">[1]!BexGetData("DP_1","003N8EMH8GTFRCSWKMPXRSGPQ","GSON1112060365")</f>
        <v>#NAME?</v>
      </c>
      <c r="K717" s="8" t="e">
        <f ca="1">[1]!BexGetData("DP_1","003N8EMH8GTFRIVNUPY288VJH","GSON1112060365")</f>
        <v>#NAME?</v>
      </c>
      <c r="L717" s="8" t="e">
        <f ca="1">[1]!BexGetData("DP_1","003N8EMH8GTFRIVNUPY2891V1","GSON1112060365")</f>
        <v>#NAME?</v>
      </c>
      <c r="M717" s="8" t="e">
        <f ca="1">[1]!BexGetData("DP_1","003N8EMH8GTFRIVOG7KG9IQXA","GSON1112060365")</f>
        <v>#NAME?</v>
      </c>
      <c r="N717" s="8" t="e">
        <f ca="1">[1]!BexGetData("DP_1","003N8EMH8GTFRIVOG7KG9IX8U","GSON1112060365")</f>
        <v>#NAME?</v>
      </c>
      <c r="O717" s="8" t="e">
        <f ca="1">[1]!BexGetData("DP_1","003N8EMH8GTFRIVOG7KG9J3KE","GSON1112060365")</f>
        <v>#NAME?</v>
      </c>
      <c r="P717" s="8" t="e">
        <f ca="1">[1]!BexGetData("DP_1","003N8EMH8GTFRIVOG7KG9J9VY","GSON1112060365")</f>
        <v>#NAME?</v>
      </c>
      <c r="Q717" s="4" t="e">
        <f ca="1">[1]!BexGetData("DP_1","00O2TNJGODT0G5Z4TTKYMM5MT","GSON1112060365")</f>
        <v>#NAME?</v>
      </c>
      <c r="R717" s="4" t="e">
        <f ca="1">[1]!BexGetData("DP_1","00O2TNJGODT0G5Z4TTKYMMBYD","GSON1112060365")</f>
        <v>#NAME?</v>
      </c>
      <c r="S717" s="4" t="e">
        <f ca="1">[1]!BexGetData("DP_1","00O2TNJGODT0G5Z4TTKYMMI9X","GSON1112060365")</f>
        <v>#NAME?</v>
      </c>
      <c r="T717" s="4" t="e">
        <f ca="1">[1]!BexGetData("DP_1","00O2TNJGODT0G5Z4TTKYMMOLH","GSON1112060365")</f>
        <v>#NAME?</v>
      </c>
      <c r="U717" s="4" t="e">
        <f ca="1">[1]!BexGetData("DP_1","00O2TNJGODT0G5Z4TTKYMMUX1","GSON1112060365")</f>
        <v>#NAME?</v>
      </c>
      <c r="V717" s="4" t="e">
        <f ca="1">[1]!BexGetData("DP_1","00O2TNJGODT0G5Z4TTKYMN18L","GSON1112060365")</f>
        <v>#NAME?</v>
      </c>
      <c r="W717" s="4" t="e">
        <f ca="1">[1]!BexGetData("DP_1","00O2TNJGODT0G5Z4TTKYMN7K5","GSON1112060365")</f>
        <v>#NAME?</v>
      </c>
    </row>
    <row r="718" spans="1:23" x14ac:dyDescent="0.2">
      <c r="A718" s="16" t="s">
        <v>2785</v>
      </c>
      <c r="B718" s="7" t="s">
        <v>2786</v>
      </c>
      <c r="C718" s="3" t="e">
        <f ca="1">[1]!BexGetData("DP_1","003N8EMH8GTFRCSWKMPXRR8GU","GSON1112060370")</f>
        <v>#NAME?</v>
      </c>
      <c r="D718" s="3" t="e">
        <f ca="1">[1]!BexGetData("DP_1","003N8EMH8GTFRCSWKMPXRRESE","GSON1112060370")</f>
        <v>#NAME?</v>
      </c>
      <c r="E718" s="3" t="e">
        <f ca="1">[1]!BexGetData("DP_1","003N8EMH8GTFRCSWKMPXRRL3Y","GSON1112060370")</f>
        <v>#NAME?</v>
      </c>
      <c r="F718" s="3" t="e">
        <f ca="1">[1]!BexGetData("DP_1","003N8EMH8GTFRCSWKMPXRRRFI","GSON1112060370")</f>
        <v>#NAME?</v>
      </c>
      <c r="G718" s="3" t="e">
        <f ca="1">[1]!BexGetData("DP_1","003N8EMH8GTFRCSWKMPXRRXR2","GSON1112060370")</f>
        <v>#NAME?</v>
      </c>
      <c r="H718" s="8" t="e">
        <f ca="1">[1]!BexGetData("DP_1","003N8EMH8GTFRCSWKMPXRS42M","GSON1112060370")</f>
        <v>#NAME?</v>
      </c>
      <c r="I718" s="3" t="e">
        <f ca="1">[1]!BexGetData("DP_1","003N8EMH8GTFRCSWKMPXRSAE6","GSON1112060370")</f>
        <v>#NAME?</v>
      </c>
      <c r="J718" s="4" t="e">
        <f ca="1">[1]!BexGetData("DP_1","003N8EMH8GTFRCSWKMPXRSGPQ","GSON1112060370")</f>
        <v>#NAME?</v>
      </c>
      <c r="K718" s="3" t="e">
        <f ca="1">[1]!BexGetData("DP_1","003N8EMH8GTFRIVNUPY288VJH","GSON1112060370")</f>
        <v>#NAME?</v>
      </c>
      <c r="L718" s="3" t="e">
        <f ca="1">[1]!BexGetData("DP_1","003N8EMH8GTFRIVNUPY2891V1","GSON1112060370")</f>
        <v>#NAME?</v>
      </c>
      <c r="M718" s="8" t="e">
        <f ca="1">[1]!BexGetData("DP_1","003N8EMH8GTFRIVOG7KG9IQXA","GSON1112060370")</f>
        <v>#NAME?</v>
      </c>
      <c r="N718" s="3" t="e">
        <f ca="1">[1]!BexGetData("DP_1","003N8EMH8GTFRIVOG7KG9IX8U","GSON1112060370")</f>
        <v>#NAME?</v>
      </c>
      <c r="O718" s="8" t="e">
        <f ca="1">[1]!BexGetData("DP_1","003N8EMH8GTFRIVOG7KG9J3KE","GSON1112060370")</f>
        <v>#NAME?</v>
      </c>
      <c r="P718" s="3" t="e">
        <f ca="1">[1]!BexGetData("DP_1","003N8EMH8GTFRIVOG7KG9J9VY","GSON1112060370")</f>
        <v>#NAME?</v>
      </c>
      <c r="Q718" s="4" t="e">
        <f ca="1">[1]!BexGetData("DP_1","00O2TNJGODT0G5Z4TTKYMM5MT","GSON1112060370")</f>
        <v>#NAME?</v>
      </c>
      <c r="R718" s="3" t="e">
        <f ca="1">[1]!BexGetData("DP_1","00O2TNJGODT0G5Z4TTKYMMBYD","GSON1112060370")</f>
        <v>#NAME?</v>
      </c>
      <c r="S718" s="3" t="e">
        <f ca="1">[1]!BexGetData("DP_1","00O2TNJGODT0G5Z4TTKYMMI9X","GSON1112060370")</f>
        <v>#NAME?</v>
      </c>
      <c r="T718" s="8" t="e">
        <f ca="1">[1]!BexGetData("DP_1","00O2TNJGODT0G5Z4TTKYMMOLH","GSON1112060370")</f>
        <v>#NAME?</v>
      </c>
      <c r="U718" s="3" t="e">
        <f ca="1">[1]!BexGetData("DP_1","00O2TNJGODT0G5Z4TTKYMMUX1","GSON1112060370")</f>
        <v>#NAME?</v>
      </c>
      <c r="V718" s="8" t="e">
        <f ca="1">[1]!BexGetData("DP_1","00O2TNJGODT0G5Z4TTKYMN18L","GSON1112060370")</f>
        <v>#NAME?</v>
      </c>
      <c r="W718" s="3" t="e">
        <f ca="1">[1]!BexGetData("DP_1","00O2TNJGODT0G5Z4TTKYMN7K5","GSON1112060370")</f>
        <v>#NAME?</v>
      </c>
    </row>
    <row r="719" spans="1:23" x14ac:dyDescent="0.2">
      <c r="A719" s="16" t="s">
        <v>2787</v>
      </c>
      <c r="B719" s="7" t="s">
        <v>2788</v>
      </c>
      <c r="C719" s="3" t="e">
        <f ca="1">[1]!BexGetData("DP_1","003N8EMH8GTFRCSWKMPXRR8GU","GSON1112060371")</f>
        <v>#NAME?</v>
      </c>
      <c r="D719" s="3" t="e">
        <f ca="1">[1]!BexGetData("DP_1","003N8EMH8GTFRCSWKMPXRRESE","GSON1112060371")</f>
        <v>#NAME?</v>
      </c>
      <c r="E719" s="8" t="e">
        <f ca="1">[1]!BexGetData("DP_1","003N8EMH8GTFRCSWKMPXRRL3Y","GSON1112060371")</f>
        <v>#NAME?</v>
      </c>
      <c r="F719" s="4" t="e">
        <f ca="1">[1]!BexGetData("DP_1","003N8EMH8GTFRCSWKMPXRRRFI","GSON1112060371")</f>
        <v>#NAME?</v>
      </c>
      <c r="G719" s="4" t="e">
        <f ca="1">[1]!BexGetData("DP_1","003N8EMH8GTFRCSWKMPXRRXR2","GSON1112060371")</f>
        <v>#NAME?</v>
      </c>
      <c r="H719" s="4" t="e">
        <f ca="1">[1]!BexGetData("DP_1","003N8EMH8GTFRCSWKMPXRS42M","GSON1112060371")</f>
        <v>#NAME?</v>
      </c>
      <c r="I719" s="4" t="e">
        <f ca="1">[1]!BexGetData("DP_1","003N8EMH8GTFRCSWKMPXRSAE6","GSON1112060371")</f>
        <v>#NAME?</v>
      </c>
      <c r="J719" s="4" t="e">
        <f ca="1">[1]!BexGetData("DP_1","003N8EMH8GTFRCSWKMPXRSGPQ","GSON1112060371")</f>
        <v>#NAME?</v>
      </c>
      <c r="K719" s="8" t="e">
        <f ca="1">[1]!BexGetData("DP_1","003N8EMH8GTFRIVNUPY288VJH","GSON1112060371")</f>
        <v>#NAME?</v>
      </c>
      <c r="L719" s="8" t="e">
        <f ca="1">[1]!BexGetData("DP_1","003N8EMH8GTFRIVNUPY2891V1","GSON1112060371")</f>
        <v>#NAME?</v>
      </c>
      <c r="M719" s="8" t="e">
        <f ca="1">[1]!BexGetData("DP_1","003N8EMH8GTFRIVOG7KG9IQXA","GSON1112060371")</f>
        <v>#NAME?</v>
      </c>
      <c r="N719" s="8" t="e">
        <f ca="1">[1]!BexGetData("DP_1","003N8EMH8GTFRIVOG7KG9IX8U","GSON1112060371")</f>
        <v>#NAME?</v>
      </c>
      <c r="O719" s="8" t="e">
        <f ca="1">[1]!BexGetData("DP_1","003N8EMH8GTFRIVOG7KG9J3KE","GSON1112060371")</f>
        <v>#NAME?</v>
      </c>
      <c r="P719" s="8" t="e">
        <f ca="1">[1]!BexGetData("DP_1","003N8EMH8GTFRIVOG7KG9J9VY","GSON1112060371")</f>
        <v>#NAME?</v>
      </c>
      <c r="Q719" s="4" t="e">
        <f ca="1">[1]!BexGetData("DP_1","00O2TNJGODT0G5Z4TTKYMM5MT","GSON1112060371")</f>
        <v>#NAME?</v>
      </c>
      <c r="R719" s="4" t="e">
        <f ca="1">[1]!BexGetData("DP_1","00O2TNJGODT0G5Z4TTKYMMBYD","GSON1112060371")</f>
        <v>#NAME?</v>
      </c>
      <c r="S719" s="4" t="e">
        <f ca="1">[1]!BexGetData("DP_1","00O2TNJGODT0G5Z4TTKYMMI9X","GSON1112060371")</f>
        <v>#NAME?</v>
      </c>
      <c r="T719" s="4" t="e">
        <f ca="1">[1]!BexGetData("DP_1","00O2TNJGODT0G5Z4TTKYMMOLH","GSON1112060371")</f>
        <v>#NAME?</v>
      </c>
      <c r="U719" s="4" t="e">
        <f ca="1">[1]!BexGetData("DP_1","00O2TNJGODT0G5Z4TTKYMMUX1","GSON1112060371")</f>
        <v>#NAME?</v>
      </c>
      <c r="V719" s="4" t="e">
        <f ca="1">[1]!BexGetData("DP_1","00O2TNJGODT0G5Z4TTKYMN18L","GSON1112060371")</f>
        <v>#NAME?</v>
      </c>
      <c r="W719" s="4" t="e">
        <f ca="1">[1]!BexGetData("DP_1","00O2TNJGODT0G5Z4TTKYMN7K5","GSON1112060371")</f>
        <v>#NAME?</v>
      </c>
    </row>
    <row r="720" spans="1:23" x14ac:dyDescent="0.2">
      <c r="A720" s="16" t="s">
        <v>2789</v>
      </c>
      <c r="B720" s="7" t="s">
        <v>2790</v>
      </c>
      <c r="C720" s="3" t="e">
        <f ca="1">[1]!BexGetData("DP_1","003N8EMH8GTFRCSWKMPXRR8GU","GSON1112060372")</f>
        <v>#NAME?</v>
      </c>
      <c r="D720" s="3" t="e">
        <f ca="1">[1]!BexGetData("DP_1","003N8EMH8GTFRCSWKMPXRRESE","GSON1112060372")</f>
        <v>#NAME?</v>
      </c>
      <c r="E720" s="8" t="e">
        <f ca="1">[1]!BexGetData("DP_1","003N8EMH8GTFRCSWKMPXRRL3Y","GSON1112060372")</f>
        <v>#NAME?</v>
      </c>
      <c r="F720" s="3" t="e">
        <f ca="1">[1]!BexGetData("DP_1","003N8EMH8GTFRCSWKMPXRRRFI","GSON1112060372")</f>
        <v>#NAME?</v>
      </c>
      <c r="G720" s="8" t="e">
        <f ca="1">[1]!BexGetData("DP_1","003N8EMH8GTFRCSWKMPXRRXR2","GSON1112060372")</f>
        <v>#NAME?</v>
      </c>
      <c r="H720" s="3" t="e">
        <f ca="1">[1]!BexGetData("DP_1","003N8EMH8GTFRCSWKMPXRS42M","GSON1112060372")</f>
        <v>#NAME?</v>
      </c>
      <c r="I720" s="3" t="e">
        <f ca="1">[1]!BexGetData("DP_1","003N8EMH8GTFRCSWKMPXRSAE6","GSON1112060372")</f>
        <v>#NAME?</v>
      </c>
      <c r="J720" s="4" t="e">
        <f ca="1">[1]!BexGetData("DP_1","003N8EMH8GTFRCSWKMPXRSGPQ","GSON1112060372")</f>
        <v>#NAME?</v>
      </c>
      <c r="K720" s="3" t="e">
        <f ca="1">[1]!BexGetData("DP_1","003N8EMH8GTFRIVNUPY288VJH","GSON1112060372")</f>
        <v>#NAME?</v>
      </c>
      <c r="L720" s="3" t="e">
        <f ca="1">[1]!BexGetData("DP_1","003N8EMH8GTFRIVNUPY2891V1","GSON1112060372")</f>
        <v>#NAME?</v>
      </c>
      <c r="M720" s="8" t="e">
        <f ca="1">[1]!BexGetData("DP_1","003N8EMH8GTFRIVOG7KG9IQXA","GSON1112060372")</f>
        <v>#NAME?</v>
      </c>
      <c r="N720" s="3" t="e">
        <f ca="1">[1]!BexGetData("DP_1","003N8EMH8GTFRIVOG7KG9IX8U","GSON1112060372")</f>
        <v>#NAME?</v>
      </c>
      <c r="O720" s="8" t="e">
        <f ca="1">[1]!BexGetData("DP_1","003N8EMH8GTFRIVOG7KG9J3KE","GSON1112060372")</f>
        <v>#NAME?</v>
      </c>
      <c r="P720" s="3" t="e">
        <f ca="1">[1]!BexGetData("DP_1","003N8EMH8GTFRIVOG7KG9J9VY","GSON1112060372")</f>
        <v>#NAME?</v>
      </c>
      <c r="Q720" s="4" t="e">
        <f ca="1">[1]!BexGetData("DP_1","00O2TNJGODT0G5Z4TTKYMM5MT","GSON1112060372")</f>
        <v>#NAME?</v>
      </c>
      <c r="R720" s="3" t="e">
        <f ca="1">[1]!BexGetData("DP_1","00O2TNJGODT0G5Z4TTKYMMBYD","GSON1112060372")</f>
        <v>#NAME?</v>
      </c>
      <c r="S720" s="3" t="e">
        <f ca="1">[1]!BexGetData("DP_1","00O2TNJGODT0G5Z4TTKYMMI9X","GSON1112060372")</f>
        <v>#NAME?</v>
      </c>
      <c r="T720" s="3" t="e">
        <f ca="1">[1]!BexGetData("DP_1","00O2TNJGODT0G5Z4TTKYMMOLH","GSON1112060372")</f>
        <v>#NAME?</v>
      </c>
      <c r="U720" s="8" t="e">
        <f ca="1">[1]!BexGetData("DP_1","00O2TNJGODT0G5Z4TTKYMMUX1","GSON1112060372")</f>
        <v>#NAME?</v>
      </c>
      <c r="V720" s="3" t="e">
        <f ca="1">[1]!BexGetData("DP_1","00O2TNJGODT0G5Z4TTKYMN18L","GSON1112060372")</f>
        <v>#NAME?</v>
      </c>
      <c r="W720" s="8" t="e">
        <f ca="1">[1]!BexGetData("DP_1","00O2TNJGODT0G5Z4TTKYMN7K5","GSON1112060372")</f>
        <v>#NAME?</v>
      </c>
    </row>
    <row r="721" spans="1:23" x14ac:dyDescent="0.2">
      <c r="A721" s="16" t="s">
        <v>2791</v>
      </c>
      <c r="B721" s="7" t="s">
        <v>2792</v>
      </c>
      <c r="C721" s="3" t="e">
        <f ca="1">[1]!BexGetData("DP_1","003N8EMH8GTFRCSWKMPXRR8GU","GSON1112060373")</f>
        <v>#NAME?</v>
      </c>
      <c r="D721" s="3" t="e">
        <f ca="1">[1]!BexGetData("DP_1","003N8EMH8GTFRCSWKMPXRRESE","GSON1112060373")</f>
        <v>#NAME?</v>
      </c>
      <c r="E721" s="8" t="e">
        <f ca="1">[1]!BexGetData("DP_1","003N8EMH8GTFRCSWKMPXRRL3Y","GSON1112060373")</f>
        <v>#NAME?</v>
      </c>
      <c r="F721" s="4" t="e">
        <f ca="1">[1]!BexGetData("DP_1","003N8EMH8GTFRCSWKMPXRRRFI","GSON1112060373")</f>
        <v>#NAME?</v>
      </c>
      <c r="G721" s="4" t="e">
        <f ca="1">[1]!BexGetData("DP_1","003N8EMH8GTFRCSWKMPXRRXR2","GSON1112060373")</f>
        <v>#NAME?</v>
      </c>
      <c r="H721" s="4" t="e">
        <f ca="1">[1]!BexGetData("DP_1","003N8EMH8GTFRCSWKMPXRS42M","GSON1112060373")</f>
        <v>#NAME?</v>
      </c>
      <c r="I721" s="4" t="e">
        <f ca="1">[1]!BexGetData("DP_1","003N8EMH8GTFRCSWKMPXRSAE6","GSON1112060373")</f>
        <v>#NAME?</v>
      </c>
      <c r="J721" s="4" t="e">
        <f ca="1">[1]!BexGetData("DP_1","003N8EMH8GTFRCSWKMPXRSGPQ","GSON1112060373")</f>
        <v>#NAME?</v>
      </c>
      <c r="K721" s="8" t="e">
        <f ca="1">[1]!BexGetData("DP_1","003N8EMH8GTFRIVNUPY288VJH","GSON1112060373")</f>
        <v>#NAME?</v>
      </c>
      <c r="L721" s="8" t="e">
        <f ca="1">[1]!BexGetData("DP_1","003N8EMH8GTFRIVNUPY2891V1","GSON1112060373")</f>
        <v>#NAME?</v>
      </c>
      <c r="M721" s="8" t="e">
        <f ca="1">[1]!BexGetData("DP_1","003N8EMH8GTFRIVOG7KG9IQXA","GSON1112060373")</f>
        <v>#NAME?</v>
      </c>
      <c r="N721" s="8" t="e">
        <f ca="1">[1]!BexGetData("DP_1","003N8EMH8GTFRIVOG7KG9IX8U","GSON1112060373")</f>
        <v>#NAME?</v>
      </c>
      <c r="O721" s="8" t="e">
        <f ca="1">[1]!BexGetData("DP_1","003N8EMH8GTFRIVOG7KG9J3KE","GSON1112060373")</f>
        <v>#NAME?</v>
      </c>
      <c r="P721" s="8" t="e">
        <f ca="1">[1]!BexGetData("DP_1","003N8EMH8GTFRIVOG7KG9J9VY","GSON1112060373")</f>
        <v>#NAME?</v>
      </c>
      <c r="Q721" s="4" t="e">
        <f ca="1">[1]!BexGetData("DP_1","00O2TNJGODT0G5Z4TTKYMM5MT","GSON1112060373")</f>
        <v>#NAME?</v>
      </c>
      <c r="R721" s="4" t="e">
        <f ca="1">[1]!BexGetData("DP_1","00O2TNJGODT0G5Z4TTKYMMBYD","GSON1112060373")</f>
        <v>#NAME?</v>
      </c>
      <c r="S721" s="4" t="e">
        <f ca="1">[1]!BexGetData("DP_1","00O2TNJGODT0G5Z4TTKYMMI9X","GSON1112060373")</f>
        <v>#NAME?</v>
      </c>
      <c r="T721" s="4" t="e">
        <f ca="1">[1]!BexGetData("DP_1","00O2TNJGODT0G5Z4TTKYMMOLH","GSON1112060373")</f>
        <v>#NAME?</v>
      </c>
      <c r="U721" s="4" t="e">
        <f ca="1">[1]!BexGetData("DP_1","00O2TNJGODT0G5Z4TTKYMMUX1","GSON1112060373")</f>
        <v>#NAME?</v>
      </c>
      <c r="V721" s="4" t="e">
        <f ca="1">[1]!BexGetData("DP_1","00O2TNJGODT0G5Z4TTKYMN18L","GSON1112060373")</f>
        <v>#NAME?</v>
      </c>
      <c r="W721" s="4" t="e">
        <f ca="1">[1]!BexGetData("DP_1","00O2TNJGODT0G5Z4TTKYMN7K5","GSON1112060373")</f>
        <v>#NAME?</v>
      </c>
    </row>
    <row r="722" spans="1:23" x14ac:dyDescent="0.2">
      <c r="A722" s="16" t="s">
        <v>2793</v>
      </c>
      <c r="B722" s="7" t="s">
        <v>2794</v>
      </c>
      <c r="C722" s="3" t="e">
        <f ca="1">[1]!BexGetData("DP_1","003N8EMH8GTFRCSWKMPXRR8GU","GSON1112060374")</f>
        <v>#NAME?</v>
      </c>
      <c r="D722" s="3" t="e">
        <f ca="1">[1]!BexGetData("DP_1","003N8EMH8GTFRCSWKMPXRRESE","GSON1112060374")</f>
        <v>#NAME?</v>
      </c>
      <c r="E722" s="8" t="e">
        <f ca="1">[1]!BexGetData("DP_1","003N8EMH8GTFRCSWKMPXRRL3Y","GSON1112060374")</f>
        <v>#NAME?</v>
      </c>
      <c r="F722" s="4" t="e">
        <f ca="1">[1]!BexGetData("DP_1","003N8EMH8GTFRCSWKMPXRRRFI","GSON1112060374")</f>
        <v>#NAME?</v>
      </c>
      <c r="G722" s="4" t="e">
        <f ca="1">[1]!BexGetData("DP_1","003N8EMH8GTFRCSWKMPXRRXR2","GSON1112060374")</f>
        <v>#NAME?</v>
      </c>
      <c r="H722" s="4" t="e">
        <f ca="1">[1]!BexGetData("DP_1","003N8EMH8GTFRCSWKMPXRS42M","GSON1112060374")</f>
        <v>#NAME?</v>
      </c>
      <c r="I722" s="4" t="e">
        <f ca="1">[1]!BexGetData("DP_1","003N8EMH8GTFRCSWKMPXRSAE6","GSON1112060374")</f>
        <v>#NAME?</v>
      </c>
      <c r="J722" s="4" t="e">
        <f ca="1">[1]!BexGetData("DP_1","003N8EMH8GTFRCSWKMPXRSGPQ","GSON1112060374")</f>
        <v>#NAME?</v>
      </c>
      <c r="K722" s="8" t="e">
        <f ca="1">[1]!BexGetData("DP_1","003N8EMH8GTFRIVNUPY288VJH","GSON1112060374")</f>
        <v>#NAME?</v>
      </c>
      <c r="L722" s="8" t="e">
        <f ca="1">[1]!BexGetData("DP_1","003N8EMH8GTFRIVNUPY2891V1","GSON1112060374")</f>
        <v>#NAME?</v>
      </c>
      <c r="M722" s="8" t="e">
        <f ca="1">[1]!BexGetData("DP_1","003N8EMH8GTFRIVOG7KG9IQXA","GSON1112060374")</f>
        <v>#NAME?</v>
      </c>
      <c r="N722" s="8" t="e">
        <f ca="1">[1]!BexGetData("DP_1","003N8EMH8GTFRIVOG7KG9IX8U","GSON1112060374")</f>
        <v>#NAME?</v>
      </c>
      <c r="O722" s="8" t="e">
        <f ca="1">[1]!BexGetData("DP_1","003N8EMH8GTFRIVOG7KG9J3KE","GSON1112060374")</f>
        <v>#NAME?</v>
      </c>
      <c r="P722" s="8" t="e">
        <f ca="1">[1]!BexGetData("DP_1","003N8EMH8GTFRIVOG7KG9J9VY","GSON1112060374")</f>
        <v>#NAME?</v>
      </c>
      <c r="Q722" s="4" t="e">
        <f ca="1">[1]!BexGetData("DP_1","00O2TNJGODT0G5Z4TTKYMM5MT","GSON1112060374")</f>
        <v>#NAME?</v>
      </c>
      <c r="R722" s="4" t="e">
        <f ca="1">[1]!BexGetData("DP_1","00O2TNJGODT0G5Z4TTKYMMBYD","GSON1112060374")</f>
        <v>#NAME?</v>
      </c>
      <c r="S722" s="4" t="e">
        <f ca="1">[1]!BexGetData("DP_1","00O2TNJGODT0G5Z4TTKYMMI9X","GSON1112060374")</f>
        <v>#NAME?</v>
      </c>
      <c r="T722" s="4" t="e">
        <f ca="1">[1]!BexGetData("DP_1","00O2TNJGODT0G5Z4TTKYMMOLH","GSON1112060374")</f>
        <v>#NAME?</v>
      </c>
      <c r="U722" s="4" t="e">
        <f ca="1">[1]!BexGetData("DP_1","00O2TNJGODT0G5Z4TTKYMMUX1","GSON1112060374")</f>
        <v>#NAME?</v>
      </c>
      <c r="V722" s="4" t="e">
        <f ca="1">[1]!BexGetData("DP_1","00O2TNJGODT0G5Z4TTKYMN18L","GSON1112060374")</f>
        <v>#NAME?</v>
      </c>
      <c r="W722" s="4" t="e">
        <f ca="1">[1]!BexGetData("DP_1","00O2TNJGODT0G5Z4TTKYMN7K5","GSON1112060374")</f>
        <v>#NAME?</v>
      </c>
    </row>
    <row r="723" spans="1:23" x14ac:dyDescent="0.2">
      <c r="A723" s="16" t="s">
        <v>2795</v>
      </c>
      <c r="B723" s="7" t="s">
        <v>2796</v>
      </c>
      <c r="C723" s="3" t="e">
        <f ca="1">[1]!BexGetData("DP_1","003N8EMH8GTFRCSWKMPXRR8GU","GSON1112060375")</f>
        <v>#NAME?</v>
      </c>
      <c r="D723" s="3" t="e">
        <f ca="1">[1]!BexGetData("DP_1","003N8EMH8GTFRCSWKMPXRRESE","GSON1112060375")</f>
        <v>#NAME?</v>
      </c>
      <c r="E723" s="8" t="e">
        <f ca="1">[1]!BexGetData("DP_1","003N8EMH8GTFRCSWKMPXRRL3Y","GSON1112060375")</f>
        <v>#NAME?</v>
      </c>
      <c r="F723" s="4" t="e">
        <f ca="1">[1]!BexGetData("DP_1","003N8EMH8GTFRCSWKMPXRRRFI","GSON1112060375")</f>
        <v>#NAME?</v>
      </c>
      <c r="G723" s="4" t="e">
        <f ca="1">[1]!BexGetData("DP_1","003N8EMH8GTFRCSWKMPXRRXR2","GSON1112060375")</f>
        <v>#NAME?</v>
      </c>
      <c r="H723" s="4" t="e">
        <f ca="1">[1]!BexGetData("DP_1","003N8EMH8GTFRCSWKMPXRS42M","GSON1112060375")</f>
        <v>#NAME?</v>
      </c>
      <c r="I723" s="4" t="e">
        <f ca="1">[1]!BexGetData("DP_1","003N8EMH8GTFRCSWKMPXRSAE6","GSON1112060375")</f>
        <v>#NAME?</v>
      </c>
      <c r="J723" s="4" t="e">
        <f ca="1">[1]!BexGetData("DP_1","003N8EMH8GTFRCSWKMPXRSGPQ","GSON1112060375")</f>
        <v>#NAME?</v>
      </c>
      <c r="K723" s="8" t="e">
        <f ca="1">[1]!BexGetData("DP_1","003N8EMH8GTFRIVNUPY288VJH","GSON1112060375")</f>
        <v>#NAME?</v>
      </c>
      <c r="L723" s="8" t="e">
        <f ca="1">[1]!BexGetData("DP_1","003N8EMH8GTFRIVNUPY2891V1","GSON1112060375")</f>
        <v>#NAME?</v>
      </c>
      <c r="M723" s="8" t="e">
        <f ca="1">[1]!BexGetData("DP_1","003N8EMH8GTFRIVOG7KG9IQXA","GSON1112060375")</f>
        <v>#NAME?</v>
      </c>
      <c r="N723" s="8" t="e">
        <f ca="1">[1]!BexGetData("DP_1","003N8EMH8GTFRIVOG7KG9IX8U","GSON1112060375")</f>
        <v>#NAME?</v>
      </c>
      <c r="O723" s="8" t="e">
        <f ca="1">[1]!BexGetData("DP_1","003N8EMH8GTFRIVOG7KG9J3KE","GSON1112060375")</f>
        <v>#NAME?</v>
      </c>
      <c r="P723" s="8" t="e">
        <f ca="1">[1]!BexGetData("DP_1","003N8EMH8GTFRIVOG7KG9J9VY","GSON1112060375")</f>
        <v>#NAME?</v>
      </c>
      <c r="Q723" s="4" t="e">
        <f ca="1">[1]!BexGetData("DP_1","00O2TNJGODT0G5Z4TTKYMM5MT","GSON1112060375")</f>
        <v>#NAME?</v>
      </c>
      <c r="R723" s="4" t="e">
        <f ca="1">[1]!BexGetData("DP_1","00O2TNJGODT0G5Z4TTKYMMBYD","GSON1112060375")</f>
        <v>#NAME?</v>
      </c>
      <c r="S723" s="4" t="e">
        <f ca="1">[1]!BexGetData("DP_1","00O2TNJGODT0G5Z4TTKYMMI9X","GSON1112060375")</f>
        <v>#NAME?</v>
      </c>
      <c r="T723" s="4" t="e">
        <f ca="1">[1]!BexGetData("DP_1","00O2TNJGODT0G5Z4TTKYMMOLH","GSON1112060375")</f>
        <v>#NAME?</v>
      </c>
      <c r="U723" s="4" t="e">
        <f ca="1">[1]!BexGetData("DP_1","00O2TNJGODT0G5Z4TTKYMMUX1","GSON1112060375")</f>
        <v>#NAME?</v>
      </c>
      <c r="V723" s="4" t="e">
        <f ca="1">[1]!BexGetData("DP_1","00O2TNJGODT0G5Z4TTKYMN18L","GSON1112060375")</f>
        <v>#NAME?</v>
      </c>
      <c r="W723" s="4" t="e">
        <f ca="1">[1]!BexGetData("DP_1","00O2TNJGODT0G5Z4TTKYMN7K5","GSON1112060375")</f>
        <v>#NAME?</v>
      </c>
    </row>
    <row r="724" spans="1:23" x14ac:dyDescent="0.2">
      <c r="A724" s="16" t="s">
        <v>2797</v>
      </c>
      <c r="B724" s="7" t="s">
        <v>2798</v>
      </c>
      <c r="C724" s="3" t="e">
        <f ca="1">[1]!BexGetData("DP_1","003N8EMH8GTFRCSWKMPXRR8GU","GSON1112060380")</f>
        <v>#NAME?</v>
      </c>
      <c r="D724" s="3" t="e">
        <f ca="1">[1]!BexGetData("DP_1","003N8EMH8GTFRCSWKMPXRRESE","GSON1112060380")</f>
        <v>#NAME?</v>
      </c>
      <c r="E724" s="3" t="e">
        <f ca="1">[1]!BexGetData("DP_1","003N8EMH8GTFRCSWKMPXRRL3Y","GSON1112060380")</f>
        <v>#NAME?</v>
      </c>
      <c r="F724" s="3" t="e">
        <f ca="1">[1]!BexGetData("DP_1","003N8EMH8GTFRCSWKMPXRRRFI","GSON1112060380")</f>
        <v>#NAME?</v>
      </c>
      <c r="G724" s="3" t="e">
        <f ca="1">[1]!BexGetData("DP_1","003N8EMH8GTFRCSWKMPXRRXR2","GSON1112060380")</f>
        <v>#NAME?</v>
      </c>
      <c r="H724" s="8" t="e">
        <f ca="1">[1]!BexGetData("DP_1","003N8EMH8GTFRCSWKMPXRS42M","GSON1112060380")</f>
        <v>#NAME?</v>
      </c>
      <c r="I724" s="3" t="e">
        <f ca="1">[1]!BexGetData("DP_1","003N8EMH8GTFRCSWKMPXRSAE6","GSON1112060380")</f>
        <v>#NAME?</v>
      </c>
      <c r="J724" s="4" t="e">
        <f ca="1">[1]!BexGetData("DP_1","003N8EMH8GTFRCSWKMPXRSGPQ","GSON1112060380")</f>
        <v>#NAME?</v>
      </c>
      <c r="K724" s="3" t="e">
        <f ca="1">[1]!BexGetData("DP_1","003N8EMH8GTFRIVNUPY288VJH","GSON1112060380")</f>
        <v>#NAME?</v>
      </c>
      <c r="L724" s="3" t="e">
        <f ca="1">[1]!BexGetData("DP_1","003N8EMH8GTFRIVNUPY2891V1","GSON1112060380")</f>
        <v>#NAME?</v>
      </c>
      <c r="M724" s="3" t="e">
        <f ca="1">[1]!BexGetData("DP_1","003N8EMH8GTFRIVOG7KG9IQXA","GSON1112060380")</f>
        <v>#NAME?</v>
      </c>
      <c r="N724" s="8" t="e">
        <f ca="1">[1]!BexGetData("DP_1","003N8EMH8GTFRIVOG7KG9IX8U","GSON1112060380")</f>
        <v>#NAME?</v>
      </c>
      <c r="O724" s="3" t="e">
        <f ca="1">[1]!BexGetData("DP_1","003N8EMH8GTFRIVOG7KG9J3KE","GSON1112060380")</f>
        <v>#NAME?</v>
      </c>
      <c r="P724" s="8" t="e">
        <f ca="1">[1]!BexGetData("DP_1","003N8EMH8GTFRIVOG7KG9J9VY","GSON1112060380")</f>
        <v>#NAME?</v>
      </c>
      <c r="Q724" s="4" t="e">
        <f ca="1">[1]!BexGetData("DP_1","00O2TNJGODT0G5Z4TTKYMM5MT","GSON1112060380")</f>
        <v>#NAME?</v>
      </c>
      <c r="R724" s="3" t="e">
        <f ca="1">[1]!BexGetData("DP_1","00O2TNJGODT0G5Z4TTKYMMBYD","GSON1112060380")</f>
        <v>#NAME?</v>
      </c>
      <c r="S724" s="3" t="e">
        <f ca="1">[1]!BexGetData("DP_1","00O2TNJGODT0G5Z4TTKYMMI9X","GSON1112060380")</f>
        <v>#NAME?</v>
      </c>
      <c r="T724" s="8" t="e">
        <f ca="1">[1]!BexGetData("DP_1","00O2TNJGODT0G5Z4TTKYMMOLH","GSON1112060380")</f>
        <v>#NAME?</v>
      </c>
      <c r="U724" s="3" t="e">
        <f ca="1">[1]!BexGetData("DP_1","00O2TNJGODT0G5Z4TTKYMMUX1","GSON1112060380")</f>
        <v>#NAME?</v>
      </c>
      <c r="V724" s="8" t="e">
        <f ca="1">[1]!BexGetData("DP_1","00O2TNJGODT0G5Z4TTKYMN18L","GSON1112060380")</f>
        <v>#NAME?</v>
      </c>
      <c r="W724" s="3" t="e">
        <f ca="1">[1]!BexGetData("DP_1","00O2TNJGODT0G5Z4TTKYMN7K5","GSON1112060380")</f>
        <v>#NAME?</v>
      </c>
    </row>
    <row r="725" spans="1:23" x14ac:dyDescent="0.2">
      <c r="A725" s="16" t="s">
        <v>2799</v>
      </c>
      <c r="B725" s="7" t="s">
        <v>2800</v>
      </c>
      <c r="C725" s="3" t="e">
        <f ca="1">[1]!BexGetData("DP_1","003N8EMH8GTFRCSWKMPXRR8GU","GSON1112060381")</f>
        <v>#NAME?</v>
      </c>
      <c r="D725" s="3" t="e">
        <f ca="1">[1]!BexGetData("DP_1","003N8EMH8GTFRCSWKMPXRRESE","GSON1112060381")</f>
        <v>#NAME?</v>
      </c>
      <c r="E725" s="8" t="e">
        <f ca="1">[1]!BexGetData("DP_1","003N8EMH8GTFRCSWKMPXRRL3Y","GSON1112060381")</f>
        <v>#NAME?</v>
      </c>
      <c r="F725" s="4" t="e">
        <f ca="1">[1]!BexGetData("DP_1","003N8EMH8GTFRCSWKMPXRRRFI","GSON1112060381")</f>
        <v>#NAME?</v>
      </c>
      <c r="G725" s="4" t="e">
        <f ca="1">[1]!BexGetData("DP_1","003N8EMH8GTFRCSWKMPXRRXR2","GSON1112060381")</f>
        <v>#NAME?</v>
      </c>
      <c r="H725" s="4" t="e">
        <f ca="1">[1]!BexGetData("DP_1","003N8EMH8GTFRCSWKMPXRS42M","GSON1112060381")</f>
        <v>#NAME?</v>
      </c>
      <c r="I725" s="4" t="e">
        <f ca="1">[1]!BexGetData("DP_1","003N8EMH8GTFRCSWKMPXRSAE6","GSON1112060381")</f>
        <v>#NAME?</v>
      </c>
      <c r="J725" s="4" t="e">
        <f ca="1">[1]!BexGetData("DP_1","003N8EMH8GTFRCSWKMPXRSGPQ","GSON1112060381")</f>
        <v>#NAME?</v>
      </c>
      <c r="K725" s="8" t="e">
        <f ca="1">[1]!BexGetData("DP_1","003N8EMH8GTFRIVNUPY288VJH","GSON1112060381")</f>
        <v>#NAME?</v>
      </c>
      <c r="L725" s="8" t="e">
        <f ca="1">[1]!BexGetData("DP_1","003N8EMH8GTFRIVNUPY2891V1","GSON1112060381")</f>
        <v>#NAME?</v>
      </c>
      <c r="M725" s="8" t="e">
        <f ca="1">[1]!BexGetData("DP_1","003N8EMH8GTFRIVOG7KG9IQXA","GSON1112060381")</f>
        <v>#NAME?</v>
      </c>
      <c r="N725" s="8" t="e">
        <f ca="1">[1]!BexGetData("DP_1","003N8EMH8GTFRIVOG7KG9IX8U","GSON1112060381")</f>
        <v>#NAME?</v>
      </c>
      <c r="O725" s="8" t="e">
        <f ca="1">[1]!BexGetData("DP_1","003N8EMH8GTFRIVOG7KG9J3KE","GSON1112060381")</f>
        <v>#NAME?</v>
      </c>
      <c r="P725" s="8" t="e">
        <f ca="1">[1]!BexGetData("DP_1","003N8EMH8GTFRIVOG7KG9J9VY","GSON1112060381")</f>
        <v>#NAME?</v>
      </c>
      <c r="Q725" s="4" t="e">
        <f ca="1">[1]!BexGetData("DP_1","00O2TNJGODT0G5Z4TTKYMM5MT","GSON1112060381")</f>
        <v>#NAME?</v>
      </c>
      <c r="R725" s="4" t="e">
        <f ca="1">[1]!BexGetData("DP_1","00O2TNJGODT0G5Z4TTKYMMBYD","GSON1112060381")</f>
        <v>#NAME?</v>
      </c>
      <c r="S725" s="4" t="e">
        <f ca="1">[1]!BexGetData("DP_1","00O2TNJGODT0G5Z4TTKYMMI9X","GSON1112060381")</f>
        <v>#NAME?</v>
      </c>
      <c r="T725" s="4" t="e">
        <f ca="1">[1]!BexGetData("DP_1","00O2TNJGODT0G5Z4TTKYMMOLH","GSON1112060381")</f>
        <v>#NAME?</v>
      </c>
      <c r="U725" s="4" t="e">
        <f ca="1">[1]!BexGetData("DP_1","00O2TNJGODT0G5Z4TTKYMMUX1","GSON1112060381")</f>
        <v>#NAME?</v>
      </c>
      <c r="V725" s="4" t="e">
        <f ca="1">[1]!BexGetData("DP_1","00O2TNJGODT0G5Z4TTKYMN18L","GSON1112060381")</f>
        <v>#NAME?</v>
      </c>
      <c r="W725" s="4" t="e">
        <f ca="1">[1]!BexGetData("DP_1","00O2TNJGODT0G5Z4TTKYMN7K5","GSON1112060381")</f>
        <v>#NAME?</v>
      </c>
    </row>
    <row r="726" spans="1:23" x14ac:dyDescent="0.2">
      <c r="A726" s="16" t="s">
        <v>2801</v>
      </c>
      <c r="B726" s="7" t="s">
        <v>2802</v>
      </c>
      <c r="C726" s="3" t="e">
        <f ca="1">[1]!BexGetData("DP_1","003N8EMH8GTFRCSWKMPXRR8GU","GSON1112060383")</f>
        <v>#NAME?</v>
      </c>
      <c r="D726" s="3" t="e">
        <f ca="1">[1]!BexGetData("DP_1","003N8EMH8GTFRCSWKMPXRRESE","GSON1112060383")</f>
        <v>#NAME?</v>
      </c>
      <c r="E726" s="8" t="e">
        <f ca="1">[1]!BexGetData("DP_1","003N8EMH8GTFRCSWKMPXRRL3Y","GSON1112060383")</f>
        <v>#NAME?</v>
      </c>
      <c r="F726" s="4" t="e">
        <f ca="1">[1]!BexGetData("DP_1","003N8EMH8GTFRCSWKMPXRRRFI","GSON1112060383")</f>
        <v>#NAME?</v>
      </c>
      <c r="G726" s="4" t="e">
        <f ca="1">[1]!BexGetData("DP_1","003N8EMH8GTFRCSWKMPXRRXR2","GSON1112060383")</f>
        <v>#NAME?</v>
      </c>
      <c r="H726" s="4" t="e">
        <f ca="1">[1]!BexGetData("DP_1","003N8EMH8GTFRCSWKMPXRS42M","GSON1112060383")</f>
        <v>#NAME?</v>
      </c>
      <c r="I726" s="4" t="e">
        <f ca="1">[1]!BexGetData("DP_1","003N8EMH8GTFRCSWKMPXRSAE6","GSON1112060383")</f>
        <v>#NAME?</v>
      </c>
      <c r="J726" s="4" t="e">
        <f ca="1">[1]!BexGetData("DP_1","003N8EMH8GTFRCSWKMPXRSGPQ","GSON1112060383")</f>
        <v>#NAME?</v>
      </c>
      <c r="K726" s="8" t="e">
        <f ca="1">[1]!BexGetData("DP_1","003N8EMH8GTFRIVNUPY288VJH","GSON1112060383")</f>
        <v>#NAME?</v>
      </c>
      <c r="L726" s="8" t="e">
        <f ca="1">[1]!BexGetData("DP_1","003N8EMH8GTFRIVNUPY2891V1","GSON1112060383")</f>
        <v>#NAME?</v>
      </c>
      <c r="M726" s="8" t="e">
        <f ca="1">[1]!BexGetData("DP_1","003N8EMH8GTFRIVOG7KG9IQXA","GSON1112060383")</f>
        <v>#NAME?</v>
      </c>
      <c r="N726" s="8" t="e">
        <f ca="1">[1]!BexGetData("DP_1","003N8EMH8GTFRIVOG7KG9IX8U","GSON1112060383")</f>
        <v>#NAME?</v>
      </c>
      <c r="O726" s="8" t="e">
        <f ca="1">[1]!BexGetData("DP_1","003N8EMH8GTFRIVOG7KG9J3KE","GSON1112060383")</f>
        <v>#NAME?</v>
      </c>
      <c r="P726" s="8" t="e">
        <f ca="1">[1]!BexGetData("DP_1","003N8EMH8GTFRIVOG7KG9J9VY","GSON1112060383")</f>
        <v>#NAME?</v>
      </c>
      <c r="Q726" s="4" t="e">
        <f ca="1">[1]!BexGetData("DP_1","00O2TNJGODT0G5Z4TTKYMM5MT","GSON1112060383")</f>
        <v>#NAME?</v>
      </c>
      <c r="R726" s="4" t="e">
        <f ca="1">[1]!BexGetData("DP_1","00O2TNJGODT0G5Z4TTKYMMBYD","GSON1112060383")</f>
        <v>#NAME?</v>
      </c>
      <c r="S726" s="4" t="e">
        <f ca="1">[1]!BexGetData("DP_1","00O2TNJGODT0G5Z4TTKYMMI9X","GSON1112060383")</f>
        <v>#NAME?</v>
      </c>
      <c r="T726" s="4" t="e">
        <f ca="1">[1]!BexGetData("DP_1","00O2TNJGODT0G5Z4TTKYMMOLH","GSON1112060383")</f>
        <v>#NAME?</v>
      </c>
      <c r="U726" s="4" t="e">
        <f ca="1">[1]!BexGetData("DP_1","00O2TNJGODT0G5Z4TTKYMMUX1","GSON1112060383")</f>
        <v>#NAME?</v>
      </c>
      <c r="V726" s="4" t="e">
        <f ca="1">[1]!BexGetData("DP_1","00O2TNJGODT0G5Z4TTKYMN18L","GSON1112060383")</f>
        <v>#NAME?</v>
      </c>
      <c r="W726" s="4" t="e">
        <f ca="1">[1]!BexGetData("DP_1","00O2TNJGODT0G5Z4TTKYMN7K5","GSON1112060383")</f>
        <v>#NAME?</v>
      </c>
    </row>
    <row r="727" spans="1:23" x14ac:dyDescent="0.2">
      <c r="A727" s="16" t="s">
        <v>2803</v>
      </c>
      <c r="B727" s="7" t="s">
        <v>2804</v>
      </c>
      <c r="C727" s="3" t="e">
        <f ca="1">[1]!BexGetData("DP_1","003N8EMH8GTFRCSWKMPXRR8GU","GSON1112060384")</f>
        <v>#NAME?</v>
      </c>
      <c r="D727" s="3" t="e">
        <f ca="1">[1]!BexGetData("DP_1","003N8EMH8GTFRCSWKMPXRRESE","GSON1112060384")</f>
        <v>#NAME?</v>
      </c>
      <c r="E727" s="8" t="e">
        <f ca="1">[1]!BexGetData("DP_1","003N8EMH8GTFRCSWKMPXRRL3Y","GSON1112060384")</f>
        <v>#NAME?</v>
      </c>
      <c r="F727" s="4" t="e">
        <f ca="1">[1]!BexGetData("DP_1","003N8EMH8GTFRCSWKMPXRRRFI","GSON1112060384")</f>
        <v>#NAME?</v>
      </c>
      <c r="G727" s="4" t="e">
        <f ca="1">[1]!BexGetData("DP_1","003N8EMH8GTFRCSWKMPXRRXR2","GSON1112060384")</f>
        <v>#NAME?</v>
      </c>
      <c r="H727" s="4" t="e">
        <f ca="1">[1]!BexGetData("DP_1","003N8EMH8GTFRCSWKMPXRS42M","GSON1112060384")</f>
        <v>#NAME?</v>
      </c>
      <c r="I727" s="4" t="e">
        <f ca="1">[1]!BexGetData("DP_1","003N8EMH8GTFRCSWKMPXRSAE6","GSON1112060384")</f>
        <v>#NAME?</v>
      </c>
      <c r="J727" s="4" t="e">
        <f ca="1">[1]!BexGetData("DP_1","003N8EMH8GTFRCSWKMPXRSGPQ","GSON1112060384")</f>
        <v>#NAME?</v>
      </c>
      <c r="K727" s="8" t="e">
        <f ca="1">[1]!BexGetData("DP_1","003N8EMH8GTFRIVNUPY288VJH","GSON1112060384")</f>
        <v>#NAME?</v>
      </c>
      <c r="L727" s="8" t="e">
        <f ca="1">[1]!BexGetData("DP_1","003N8EMH8GTFRIVNUPY2891V1","GSON1112060384")</f>
        <v>#NAME?</v>
      </c>
      <c r="M727" s="8" t="e">
        <f ca="1">[1]!BexGetData("DP_1","003N8EMH8GTFRIVOG7KG9IQXA","GSON1112060384")</f>
        <v>#NAME?</v>
      </c>
      <c r="N727" s="8" t="e">
        <f ca="1">[1]!BexGetData("DP_1","003N8EMH8GTFRIVOG7KG9IX8U","GSON1112060384")</f>
        <v>#NAME?</v>
      </c>
      <c r="O727" s="8" t="e">
        <f ca="1">[1]!BexGetData("DP_1","003N8EMH8GTFRIVOG7KG9J3KE","GSON1112060384")</f>
        <v>#NAME?</v>
      </c>
      <c r="P727" s="8" t="e">
        <f ca="1">[1]!BexGetData("DP_1","003N8EMH8GTFRIVOG7KG9J9VY","GSON1112060384")</f>
        <v>#NAME?</v>
      </c>
      <c r="Q727" s="4" t="e">
        <f ca="1">[1]!BexGetData("DP_1","00O2TNJGODT0G5Z4TTKYMM5MT","GSON1112060384")</f>
        <v>#NAME?</v>
      </c>
      <c r="R727" s="4" t="e">
        <f ca="1">[1]!BexGetData("DP_1","00O2TNJGODT0G5Z4TTKYMMBYD","GSON1112060384")</f>
        <v>#NAME?</v>
      </c>
      <c r="S727" s="4" t="e">
        <f ca="1">[1]!BexGetData("DP_1","00O2TNJGODT0G5Z4TTKYMMI9X","GSON1112060384")</f>
        <v>#NAME?</v>
      </c>
      <c r="T727" s="4" t="e">
        <f ca="1">[1]!BexGetData("DP_1","00O2TNJGODT0G5Z4TTKYMMOLH","GSON1112060384")</f>
        <v>#NAME?</v>
      </c>
      <c r="U727" s="4" t="e">
        <f ca="1">[1]!BexGetData("DP_1","00O2TNJGODT0G5Z4TTKYMMUX1","GSON1112060384")</f>
        <v>#NAME?</v>
      </c>
      <c r="V727" s="4" t="e">
        <f ca="1">[1]!BexGetData("DP_1","00O2TNJGODT0G5Z4TTKYMN18L","GSON1112060384")</f>
        <v>#NAME?</v>
      </c>
      <c r="W727" s="4" t="e">
        <f ca="1">[1]!BexGetData("DP_1","00O2TNJGODT0G5Z4TTKYMN7K5","GSON1112060384")</f>
        <v>#NAME?</v>
      </c>
    </row>
    <row r="728" spans="1:23" x14ac:dyDescent="0.2">
      <c r="A728" s="16" t="s">
        <v>2805</v>
      </c>
      <c r="B728" s="7" t="s">
        <v>2806</v>
      </c>
      <c r="C728" s="3" t="e">
        <f ca="1">[1]!BexGetData("DP_1","003N8EMH8GTFRCSWKMPXRR8GU","GSON1112060385")</f>
        <v>#NAME?</v>
      </c>
      <c r="D728" s="3" t="e">
        <f ca="1">[1]!BexGetData("DP_1","003N8EMH8GTFRCSWKMPXRRESE","GSON1112060385")</f>
        <v>#NAME?</v>
      </c>
      <c r="E728" s="8" t="e">
        <f ca="1">[1]!BexGetData("DP_1","003N8EMH8GTFRCSWKMPXRRL3Y","GSON1112060385")</f>
        <v>#NAME?</v>
      </c>
      <c r="F728" s="4" t="e">
        <f ca="1">[1]!BexGetData("DP_1","003N8EMH8GTFRCSWKMPXRRRFI","GSON1112060385")</f>
        <v>#NAME?</v>
      </c>
      <c r="G728" s="4" t="e">
        <f ca="1">[1]!BexGetData("DP_1","003N8EMH8GTFRCSWKMPXRRXR2","GSON1112060385")</f>
        <v>#NAME?</v>
      </c>
      <c r="H728" s="4" t="e">
        <f ca="1">[1]!BexGetData("DP_1","003N8EMH8GTFRCSWKMPXRS42M","GSON1112060385")</f>
        <v>#NAME?</v>
      </c>
      <c r="I728" s="4" t="e">
        <f ca="1">[1]!BexGetData("DP_1","003N8EMH8GTFRCSWKMPXRSAE6","GSON1112060385")</f>
        <v>#NAME?</v>
      </c>
      <c r="J728" s="4" t="e">
        <f ca="1">[1]!BexGetData("DP_1","003N8EMH8GTFRCSWKMPXRSGPQ","GSON1112060385")</f>
        <v>#NAME?</v>
      </c>
      <c r="K728" s="8" t="e">
        <f ca="1">[1]!BexGetData("DP_1","003N8EMH8GTFRIVNUPY288VJH","GSON1112060385")</f>
        <v>#NAME?</v>
      </c>
      <c r="L728" s="8" t="e">
        <f ca="1">[1]!BexGetData("DP_1","003N8EMH8GTFRIVNUPY2891V1","GSON1112060385")</f>
        <v>#NAME?</v>
      </c>
      <c r="M728" s="8" t="e">
        <f ca="1">[1]!BexGetData("DP_1","003N8EMH8GTFRIVOG7KG9IQXA","GSON1112060385")</f>
        <v>#NAME?</v>
      </c>
      <c r="N728" s="8" t="e">
        <f ca="1">[1]!BexGetData("DP_1","003N8EMH8GTFRIVOG7KG9IX8U","GSON1112060385")</f>
        <v>#NAME?</v>
      </c>
      <c r="O728" s="8" t="e">
        <f ca="1">[1]!BexGetData("DP_1","003N8EMH8GTFRIVOG7KG9J3KE","GSON1112060385")</f>
        <v>#NAME?</v>
      </c>
      <c r="P728" s="8" t="e">
        <f ca="1">[1]!BexGetData("DP_1","003N8EMH8GTFRIVOG7KG9J9VY","GSON1112060385")</f>
        <v>#NAME?</v>
      </c>
      <c r="Q728" s="4" t="e">
        <f ca="1">[1]!BexGetData("DP_1","00O2TNJGODT0G5Z4TTKYMM5MT","GSON1112060385")</f>
        <v>#NAME?</v>
      </c>
      <c r="R728" s="4" t="e">
        <f ca="1">[1]!BexGetData("DP_1","00O2TNJGODT0G5Z4TTKYMMBYD","GSON1112060385")</f>
        <v>#NAME?</v>
      </c>
      <c r="S728" s="4" t="e">
        <f ca="1">[1]!BexGetData("DP_1","00O2TNJGODT0G5Z4TTKYMMI9X","GSON1112060385")</f>
        <v>#NAME?</v>
      </c>
      <c r="T728" s="4" t="e">
        <f ca="1">[1]!BexGetData("DP_1","00O2TNJGODT0G5Z4TTKYMMOLH","GSON1112060385")</f>
        <v>#NAME?</v>
      </c>
      <c r="U728" s="4" t="e">
        <f ca="1">[1]!BexGetData("DP_1","00O2TNJGODT0G5Z4TTKYMMUX1","GSON1112060385")</f>
        <v>#NAME?</v>
      </c>
      <c r="V728" s="4" t="e">
        <f ca="1">[1]!BexGetData("DP_1","00O2TNJGODT0G5Z4TTKYMN18L","GSON1112060385")</f>
        <v>#NAME?</v>
      </c>
      <c r="W728" s="4" t="e">
        <f ca="1">[1]!BexGetData("DP_1","00O2TNJGODT0G5Z4TTKYMN7K5","GSON1112060385")</f>
        <v>#NAME?</v>
      </c>
    </row>
    <row r="729" spans="1:23" x14ac:dyDescent="0.2">
      <c r="A729" s="16" t="s">
        <v>2807</v>
      </c>
      <c r="B729" s="7" t="s">
        <v>2808</v>
      </c>
      <c r="C729" s="3" t="e">
        <f ca="1">[1]!BexGetData("DP_1","003N8EMH8GTFRCSWKMPXRR8GU","GSON1112060390")</f>
        <v>#NAME?</v>
      </c>
      <c r="D729" s="3" t="e">
        <f ca="1">[1]!BexGetData("DP_1","003N8EMH8GTFRCSWKMPXRRESE","GSON1112060390")</f>
        <v>#NAME?</v>
      </c>
      <c r="E729" s="8" t="e">
        <f ca="1">[1]!BexGetData("DP_1","003N8EMH8GTFRCSWKMPXRRL3Y","GSON1112060390")</f>
        <v>#NAME?</v>
      </c>
      <c r="F729" s="4" t="e">
        <f ca="1">[1]!BexGetData("DP_1","003N8EMH8GTFRCSWKMPXRRRFI","GSON1112060390")</f>
        <v>#NAME?</v>
      </c>
      <c r="G729" s="4" t="e">
        <f ca="1">[1]!BexGetData("DP_1","003N8EMH8GTFRCSWKMPXRRXR2","GSON1112060390")</f>
        <v>#NAME?</v>
      </c>
      <c r="H729" s="4" t="e">
        <f ca="1">[1]!BexGetData("DP_1","003N8EMH8GTFRCSWKMPXRS42M","GSON1112060390")</f>
        <v>#NAME?</v>
      </c>
      <c r="I729" s="4" t="e">
        <f ca="1">[1]!BexGetData("DP_1","003N8EMH8GTFRCSWKMPXRSAE6","GSON1112060390")</f>
        <v>#NAME?</v>
      </c>
      <c r="J729" s="4" t="e">
        <f ca="1">[1]!BexGetData("DP_1","003N8EMH8GTFRCSWKMPXRSGPQ","GSON1112060390")</f>
        <v>#NAME?</v>
      </c>
      <c r="K729" s="8" t="e">
        <f ca="1">[1]!BexGetData("DP_1","003N8EMH8GTFRIVNUPY288VJH","GSON1112060390")</f>
        <v>#NAME?</v>
      </c>
      <c r="L729" s="8" t="e">
        <f ca="1">[1]!BexGetData("DP_1","003N8EMH8GTFRIVNUPY2891V1","GSON1112060390")</f>
        <v>#NAME?</v>
      </c>
      <c r="M729" s="8" t="e">
        <f ca="1">[1]!BexGetData("DP_1","003N8EMH8GTFRIVOG7KG9IQXA","GSON1112060390")</f>
        <v>#NAME?</v>
      </c>
      <c r="N729" s="8" t="e">
        <f ca="1">[1]!BexGetData("DP_1","003N8EMH8GTFRIVOG7KG9IX8U","GSON1112060390")</f>
        <v>#NAME?</v>
      </c>
      <c r="O729" s="8" t="e">
        <f ca="1">[1]!BexGetData("DP_1","003N8EMH8GTFRIVOG7KG9J3KE","GSON1112060390")</f>
        <v>#NAME?</v>
      </c>
      <c r="P729" s="8" t="e">
        <f ca="1">[1]!BexGetData("DP_1","003N8EMH8GTFRIVOG7KG9J9VY","GSON1112060390")</f>
        <v>#NAME?</v>
      </c>
      <c r="Q729" s="4" t="e">
        <f ca="1">[1]!BexGetData("DP_1","00O2TNJGODT0G5Z4TTKYMM5MT","GSON1112060390")</f>
        <v>#NAME?</v>
      </c>
      <c r="R729" s="4" t="e">
        <f ca="1">[1]!BexGetData("DP_1","00O2TNJGODT0G5Z4TTKYMMBYD","GSON1112060390")</f>
        <v>#NAME?</v>
      </c>
      <c r="S729" s="4" t="e">
        <f ca="1">[1]!BexGetData("DP_1","00O2TNJGODT0G5Z4TTKYMMI9X","GSON1112060390")</f>
        <v>#NAME?</v>
      </c>
      <c r="T729" s="4" t="e">
        <f ca="1">[1]!BexGetData("DP_1","00O2TNJGODT0G5Z4TTKYMMOLH","GSON1112060390")</f>
        <v>#NAME?</v>
      </c>
      <c r="U729" s="4" t="e">
        <f ca="1">[1]!BexGetData("DP_1","00O2TNJGODT0G5Z4TTKYMMUX1","GSON1112060390")</f>
        <v>#NAME?</v>
      </c>
      <c r="V729" s="4" t="e">
        <f ca="1">[1]!BexGetData("DP_1","00O2TNJGODT0G5Z4TTKYMN18L","GSON1112060390")</f>
        <v>#NAME?</v>
      </c>
      <c r="W729" s="4" t="e">
        <f ca="1">[1]!BexGetData("DP_1","00O2TNJGODT0G5Z4TTKYMN7K5","GSON1112060390")</f>
        <v>#NAME?</v>
      </c>
    </row>
    <row r="730" spans="1:23" x14ac:dyDescent="0.2">
      <c r="A730" s="16" t="s">
        <v>2809</v>
      </c>
      <c r="B730" s="7" t="s">
        <v>2810</v>
      </c>
      <c r="C730" s="3" t="e">
        <f ca="1">[1]!BexGetData("DP_1","003N8EMH8GTFRCSWKMPXRR8GU","GSON1112060391")</f>
        <v>#NAME?</v>
      </c>
      <c r="D730" s="3" t="e">
        <f ca="1">[1]!BexGetData("DP_1","003N8EMH8GTFRCSWKMPXRRESE","GSON1112060391")</f>
        <v>#NAME?</v>
      </c>
      <c r="E730" s="8" t="e">
        <f ca="1">[1]!BexGetData("DP_1","003N8EMH8GTFRCSWKMPXRRL3Y","GSON1112060391")</f>
        <v>#NAME?</v>
      </c>
      <c r="F730" s="4" t="e">
        <f ca="1">[1]!BexGetData("DP_1","003N8EMH8GTFRCSWKMPXRRRFI","GSON1112060391")</f>
        <v>#NAME?</v>
      </c>
      <c r="G730" s="4" t="e">
        <f ca="1">[1]!BexGetData("DP_1","003N8EMH8GTFRCSWKMPXRRXR2","GSON1112060391")</f>
        <v>#NAME?</v>
      </c>
      <c r="H730" s="4" t="e">
        <f ca="1">[1]!BexGetData("DP_1","003N8EMH8GTFRCSWKMPXRS42M","GSON1112060391")</f>
        <v>#NAME?</v>
      </c>
      <c r="I730" s="4" t="e">
        <f ca="1">[1]!BexGetData("DP_1","003N8EMH8GTFRCSWKMPXRSAE6","GSON1112060391")</f>
        <v>#NAME?</v>
      </c>
      <c r="J730" s="4" t="e">
        <f ca="1">[1]!BexGetData("DP_1","003N8EMH8GTFRCSWKMPXRSGPQ","GSON1112060391")</f>
        <v>#NAME?</v>
      </c>
      <c r="K730" s="8" t="e">
        <f ca="1">[1]!BexGetData("DP_1","003N8EMH8GTFRIVNUPY288VJH","GSON1112060391")</f>
        <v>#NAME?</v>
      </c>
      <c r="L730" s="8" t="e">
        <f ca="1">[1]!BexGetData("DP_1","003N8EMH8GTFRIVNUPY2891V1","GSON1112060391")</f>
        <v>#NAME?</v>
      </c>
      <c r="M730" s="8" t="e">
        <f ca="1">[1]!BexGetData("DP_1","003N8EMH8GTFRIVOG7KG9IQXA","GSON1112060391")</f>
        <v>#NAME?</v>
      </c>
      <c r="N730" s="8" t="e">
        <f ca="1">[1]!BexGetData("DP_1","003N8EMH8GTFRIVOG7KG9IX8U","GSON1112060391")</f>
        <v>#NAME?</v>
      </c>
      <c r="O730" s="8" t="e">
        <f ca="1">[1]!BexGetData("DP_1","003N8EMH8GTFRIVOG7KG9J3KE","GSON1112060391")</f>
        <v>#NAME?</v>
      </c>
      <c r="P730" s="8" t="e">
        <f ca="1">[1]!BexGetData("DP_1","003N8EMH8GTFRIVOG7KG9J9VY","GSON1112060391")</f>
        <v>#NAME?</v>
      </c>
      <c r="Q730" s="4" t="e">
        <f ca="1">[1]!BexGetData("DP_1","00O2TNJGODT0G5Z4TTKYMM5MT","GSON1112060391")</f>
        <v>#NAME?</v>
      </c>
      <c r="R730" s="4" t="e">
        <f ca="1">[1]!BexGetData("DP_1","00O2TNJGODT0G5Z4TTKYMMBYD","GSON1112060391")</f>
        <v>#NAME?</v>
      </c>
      <c r="S730" s="4" t="e">
        <f ca="1">[1]!BexGetData("DP_1","00O2TNJGODT0G5Z4TTKYMMI9X","GSON1112060391")</f>
        <v>#NAME?</v>
      </c>
      <c r="T730" s="4" t="e">
        <f ca="1">[1]!BexGetData("DP_1","00O2TNJGODT0G5Z4TTKYMMOLH","GSON1112060391")</f>
        <v>#NAME?</v>
      </c>
      <c r="U730" s="4" t="e">
        <f ca="1">[1]!BexGetData("DP_1","00O2TNJGODT0G5Z4TTKYMMUX1","GSON1112060391")</f>
        <v>#NAME?</v>
      </c>
      <c r="V730" s="4" t="e">
        <f ca="1">[1]!BexGetData("DP_1","00O2TNJGODT0G5Z4TTKYMN18L","GSON1112060391")</f>
        <v>#NAME?</v>
      </c>
      <c r="W730" s="4" t="e">
        <f ca="1">[1]!BexGetData("DP_1","00O2TNJGODT0G5Z4TTKYMN7K5","GSON1112060391")</f>
        <v>#NAME?</v>
      </c>
    </row>
    <row r="731" spans="1:23" x14ac:dyDescent="0.2">
      <c r="A731" s="16" t="s">
        <v>2811</v>
      </c>
      <c r="B731" s="7" t="s">
        <v>2812</v>
      </c>
      <c r="C731" s="3" t="e">
        <f ca="1">[1]!BexGetData("DP_1","003N8EMH8GTFRCSWKMPXRR8GU","GSON1112060393")</f>
        <v>#NAME?</v>
      </c>
      <c r="D731" s="3" t="e">
        <f ca="1">[1]!BexGetData("DP_1","003N8EMH8GTFRCSWKMPXRRESE","GSON1112060393")</f>
        <v>#NAME?</v>
      </c>
      <c r="E731" s="8" t="e">
        <f ca="1">[1]!BexGetData("DP_1","003N8EMH8GTFRCSWKMPXRRL3Y","GSON1112060393")</f>
        <v>#NAME?</v>
      </c>
      <c r="F731" s="4" t="e">
        <f ca="1">[1]!BexGetData("DP_1","003N8EMH8GTFRCSWKMPXRRRFI","GSON1112060393")</f>
        <v>#NAME?</v>
      </c>
      <c r="G731" s="4" t="e">
        <f ca="1">[1]!BexGetData("DP_1","003N8EMH8GTFRCSWKMPXRRXR2","GSON1112060393")</f>
        <v>#NAME?</v>
      </c>
      <c r="H731" s="4" t="e">
        <f ca="1">[1]!BexGetData("DP_1","003N8EMH8GTFRCSWKMPXRS42M","GSON1112060393")</f>
        <v>#NAME?</v>
      </c>
      <c r="I731" s="4" t="e">
        <f ca="1">[1]!BexGetData("DP_1","003N8EMH8GTFRCSWKMPXRSAE6","GSON1112060393")</f>
        <v>#NAME?</v>
      </c>
      <c r="J731" s="4" t="e">
        <f ca="1">[1]!BexGetData("DP_1","003N8EMH8GTFRCSWKMPXRSGPQ","GSON1112060393")</f>
        <v>#NAME?</v>
      </c>
      <c r="K731" s="8" t="e">
        <f ca="1">[1]!BexGetData("DP_1","003N8EMH8GTFRIVNUPY288VJH","GSON1112060393")</f>
        <v>#NAME?</v>
      </c>
      <c r="L731" s="8" t="e">
        <f ca="1">[1]!BexGetData("DP_1","003N8EMH8GTFRIVNUPY2891V1","GSON1112060393")</f>
        <v>#NAME?</v>
      </c>
      <c r="M731" s="8" t="e">
        <f ca="1">[1]!BexGetData("DP_1","003N8EMH8GTFRIVOG7KG9IQXA","GSON1112060393")</f>
        <v>#NAME?</v>
      </c>
      <c r="N731" s="8" t="e">
        <f ca="1">[1]!BexGetData("DP_1","003N8EMH8GTFRIVOG7KG9IX8U","GSON1112060393")</f>
        <v>#NAME?</v>
      </c>
      <c r="O731" s="8" t="e">
        <f ca="1">[1]!BexGetData("DP_1","003N8EMH8GTFRIVOG7KG9J3KE","GSON1112060393")</f>
        <v>#NAME?</v>
      </c>
      <c r="P731" s="8" t="e">
        <f ca="1">[1]!BexGetData("DP_1","003N8EMH8GTFRIVOG7KG9J9VY","GSON1112060393")</f>
        <v>#NAME?</v>
      </c>
      <c r="Q731" s="4" t="e">
        <f ca="1">[1]!BexGetData("DP_1","00O2TNJGODT0G5Z4TTKYMM5MT","GSON1112060393")</f>
        <v>#NAME?</v>
      </c>
      <c r="R731" s="4" t="e">
        <f ca="1">[1]!BexGetData("DP_1","00O2TNJGODT0G5Z4TTKYMMBYD","GSON1112060393")</f>
        <v>#NAME?</v>
      </c>
      <c r="S731" s="4" t="e">
        <f ca="1">[1]!BexGetData("DP_1","00O2TNJGODT0G5Z4TTKYMMI9X","GSON1112060393")</f>
        <v>#NAME?</v>
      </c>
      <c r="T731" s="4" t="e">
        <f ca="1">[1]!BexGetData("DP_1","00O2TNJGODT0G5Z4TTKYMMOLH","GSON1112060393")</f>
        <v>#NAME?</v>
      </c>
      <c r="U731" s="4" t="e">
        <f ca="1">[1]!BexGetData("DP_1","00O2TNJGODT0G5Z4TTKYMMUX1","GSON1112060393")</f>
        <v>#NAME?</v>
      </c>
      <c r="V731" s="4" t="e">
        <f ca="1">[1]!BexGetData("DP_1","00O2TNJGODT0G5Z4TTKYMN18L","GSON1112060393")</f>
        <v>#NAME?</v>
      </c>
      <c r="W731" s="4" t="e">
        <f ca="1">[1]!BexGetData("DP_1","00O2TNJGODT0G5Z4TTKYMN7K5","GSON1112060393")</f>
        <v>#NAME?</v>
      </c>
    </row>
    <row r="732" spans="1:23" x14ac:dyDescent="0.2">
      <c r="A732" s="16" t="s">
        <v>2813</v>
      </c>
      <c r="B732" s="7" t="s">
        <v>2814</v>
      </c>
      <c r="C732" s="3" t="e">
        <f ca="1">[1]!BexGetData("DP_1","003N8EMH8GTFRCSWKMPXRR8GU","GSON1112060394")</f>
        <v>#NAME?</v>
      </c>
      <c r="D732" s="3" t="e">
        <f ca="1">[1]!BexGetData("DP_1","003N8EMH8GTFRCSWKMPXRRESE","GSON1112060394")</f>
        <v>#NAME?</v>
      </c>
      <c r="E732" s="8" t="e">
        <f ca="1">[1]!BexGetData("DP_1","003N8EMH8GTFRCSWKMPXRRL3Y","GSON1112060394")</f>
        <v>#NAME?</v>
      </c>
      <c r="F732" s="4" t="e">
        <f ca="1">[1]!BexGetData("DP_1","003N8EMH8GTFRCSWKMPXRRRFI","GSON1112060394")</f>
        <v>#NAME?</v>
      </c>
      <c r="G732" s="4" t="e">
        <f ca="1">[1]!BexGetData("DP_1","003N8EMH8GTFRCSWKMPXRRXR2","GSON1112060394")</f>
        <v>#NAME?</v>
      </c>
      <c r="H732" s="4" t="e">
        <f ca="1">[1]!BexGetData("DP_1","003N8EMH8GTFRCSWKMPXRS42M","GSON1112060394")</f>
        <v>#NAME?</v>
      </c>
      <c r="I732" s="4" t="e">
        <f ca="1">[1]!BexGetData("DP_1","003N8EMH8GTFRCSWKMPXRSAE6","GSON1112060394")</f>
        <v>#NAME?</v>
      </c>
      <c r="J732" s="4" t="e">
        <f ca="1">[1]!BexGetData("DP_1","003N8EMH8GTFRCSWKMPXRSGPQ","GSON1112060394")</f>
        <v>#NAME?</v>
      </c>
      <c r="K732" s="8" t="e">
        <f ca="1">[1]!BexGetData("DP_1","003N8EMH8GTFRIVNUPY288VJH","GSON1112060394")</f>
        <v>#NAME?</v>
      </c>
      <c r="L732" s="8" t="e">
        <f ca="1">[1]!BexGetData("DP_1","003N8EMH8GTFRIVNUPY2891V1","GSON1112060394")</f>
        <v>#NAME?</v>
      </c>
      <c r="M732" s="8" t="e">
        <f ca="1">[1]!BexGetData("DP_1","003N8EMH8GTFRIVOG7KG9IQXA","GSON1112060394")</f>
        <v>#NAME?</v>
      </c>
      <c r="N732" s="8" t="e">
        <f ca="1">[1]!BexGetData("DP_1","003N8EMH8GTFRIVOG7KG9IX8U","GSON1112060394")</f>
        <v>#NAME?</v>
      </c>
      <c r="O732" s="8" t="e">
        <f ca="1">[1]!BexGetData("DP_1","003N8EMH8GTFRIVOG7KG9J3KE","GSON1112060394")</f>
        <v>#NAME?</v>
      </c>
      <c r="P732" s="8" t="e">
        <f ca="1">[1]!BexGetData("DP_1","003N8EMH8GTFRIVOG7KG9J9VY","GSON1112060394")</f>
        <v>#NAME?</v>
      </c>
      <c r="Q732" s="4" t="e">
        <f ca="1">[1]!BexGetData("DP_1","00O2TNJGODT0G5Z4TTKYMM5MT","GSON1112060394")</f>
        <v>#NAME?</v>
      </c>
      <c r="R732" s="4" t="e">
        <f ca="1">[1]!BexGetData("DP_1","00O2TNJGODT0G5Z4TTKYMMBYD","GSON1112060394")</f>
        <v>#NAME?</v>
      </c>
      <c r="S732" s="4" t="e">
        <f ca="1">[1]!BexGetData("DP_1","00O2TNJGODT0G5Z4TTKYMMI9X","GSON1112060394")</f>
        <v>#NAME?</v>
      </c>
      <c r="T732" s="4" t="e">
        <f ca="1">[1]!BexGetData("DP_1","00O2TNJGODT0G5Z4TTKYMMOLH","GSON1112060394")</f>
        <v>#NAME?</v>
      </c>
      <c r="U732" s="4" t="e">
        <f ca="1">[1]!BexGetData("DP_1","00O2TNJGODT0G5Z4TTKYMMUX1","GSON1112060394")</f>
        <v>#NAME?</v>
      </c>
      <c r="V732" s="4" t="e">
        <f ca="1">[1]!BexGetData("DP_1","00O2TNJGODT0G5Z4TTKYMN18L","GSON1112060394")</f>
        <v>#NAME?</v>
      </c>
      <c r="W732" s="4" t="e">
        <f ca="1">[1]!BexGetData("DP_1","00O2TNJGODT0G5Z4TTKYMN7K5","GSON1112060394")</f>
        <v>#NAME?</v>
      </c>
    </row>
    <row r="733" spans="1:23" x14ac:dyDescent="0.2">
      <c r="A733" s="16" t="s">
        <v>2815</v>
      </c>
      <c r="B733" s="7" t="s">
        <v>2816</v>
      </c>
      <c r="C733" s="3" t="e">
        <f ca="1">[1]!BexGetData("DP_1","003N8EMH8GTFRCSWKMPXRR8GU","GSON1112060395")</f>
        <v>#NAME?</v>
      </c>
      <c r="D733" s="3" t="e">
        <f ca="1">[1]!BexGetData("DP_1","003N8EMH8GTFRCSWKMPXRRESE","GSON1112060395")</f>
        <v>#NAME?</v>
      </c>
      <c r="E733" s="8" t="e">
        <f ca="1">[1]!BexGetData("DP_1","003N8EMH8GTFRCSWKMPXRRL3Y","GSON1112060395")</f>
        <v>#NAME?</v>
      </c>
      <c r="F733" s="4" t="e">
        <f ca="1">[1]!BexGetData("DP_1","003N8EMH8GTFRCSWKMPXRRRFI","GSON1112060395")</f>
        <v>#NAME?</v>
      </c>
      <c r="G733" s="4" t="e">
        <f ca="1">[1]!BexGetData("DP_1","003N8EMH8GTFRCSWKMPXRRXR2","GSON1112060395")</f>
        <v>#NAME?</v>
      </c>
      <c r="H733" s="4" t="e">
        <f ca="1">[1]!BexGetData("DP_1","003N8EMH8GTFRCSWKMPXRS42M","GSON1112060395")</f>
        <v>#NAME?</v>
      </c>
      <c r="I733" s="4" t="e">
        <f ca="1">[1]!BexGetData("DP_1","003N8EMH8GTFRCSWKMPXRSAE6","GSON1112060395")</f>
        <v>#NAME?</v>
      </c>
      <c r="J733" s="4" t="e">
        <f ca="1">[1]!BexGetData("DP_1","003N8EMH8GTFRCSWKMPXRSGPQ","GSON1112060395")</f>
        <v>#NAME?</v>
      </c>
      <c r="K733" s="8" t="e">
        <f ca="1">[1]!BexGetData("DP_1","003N8EMH8GTFRIVNUPY288VJH","GSON1112060395")</f>
        <v>#NAME?</v>
      </c>
      <c r="L733" s="8" t="e">
        <f ca="1">[1]!BexGetData("DP_1","003N8EMH8GTFRIVNUPY2891V1","GSON1112060395")</f>
        <v>#NAME?</v>
      </c>
      <c r="M733" s="8" t="e">
        <f ca="1">[1]!BexGetData("DP_1","003N8EMH8GTFRIVOG7KG9IQXA","GSON1112060395")</f>
        <v>#NAME?</v>
      </c>
      <c r="N733" s="8" t="e">
        <f ca="1">[1]!BexGetData("DP_1","003N8EMH8GTFRIVOG7KG9IX8U","GSON1112060395")</f>
        <v>#NAME?</v>
      </c>
      <c r="O733" s="8" t="e">
        <f ca="1">[1]!BexGetData("DP_1","003N8EMH8GTFRIVOG7KG9J3KE","GSON1112060395")</f>
        <v>#NAME?</v>
      </c>
      <c r="P733" s="8" t="e">
        <f ca="1">[1]!BexGetData("DP_1","003N8EMH8GTFRIVOG7KG9J9VY","GSON1112060395")</f>
        <v>#NAME?</v>
      </c>
      <c r="Q733" s="4" t="e">
        <f ca="1">[1]!BexGetData("DP_1","00O2TNJGODT0G5Z4TTKYMM5MT","GSON1112060395")</f>
        <v>#NAME?</v>
      </c>
      <c r="R733" s="4" t="e">
        <f ca="1">[1]!BexGetData("DP_1","00O2TNJGODT0G5Z4TTKYMMBYD","GSON1112060395")</f>
        <v>#NAME?</v>
      </c>
      <c r="S733" s="4" t="e">
        <f ca="1">[1]!BexGetData("DP_1","00O2TNJGODT0G5Z4TTKYMMI9X","GSON1112060395")</f>
        <v>#NAME?</v>
      </c>
      <c r="T733" s="4" t="e">
        <f ca="1">[1]!BexGetData("DP_1","00O2TNJGODT0G5Z4TTKYMMOLH","GSON1112060395")</f>
        <v>#NAME?</v>
      </c>
      <c r="U733" s="4" t="e">
        <f ca="1">[1]!BexGetData("DP_1","00O2TNJGODT0G5Z4TTKYMMUX1","GSON1112060395")</f>
        <v>#NAME?</v>
      </c>
      <c r="V733" s="4" t="e">
        <f ca="1">[1]!BexGetData("DP_1","00O2TNJGODT0G5Z4TTKYMN18L","GSON1112060395")</f>
        <v>#NAME?</v>
      </c>
      <c r="W733" s="4" t="e">
        <f ca="1">[1]!BexGetData("DP_1","00O2TNJGODT0G5Z4TTKYMN7K5","GSON1112060395")</f>
        <v>#NAME?</v>
      </c>
    </row>
    <row r="734" spans="1:23" x14ac:dyDescent="0.2">
      <c r="A734" s="16" t="s">
        <v>2817</v>
      </c>
      <c r="B734" s="7" t="s">
        <v>2818</v>
      </c>
      <c r="C734" s="3" t="e">
        <f ca="1">[1]!BexGetData("DP_1","003N8EMH8GTFRCSWKMPXRR8GU","GSON1112060400")</f>
        <v>#NAME?</v>
      </c>
      <c r="D734" s="3" t="e">
        <f ca="1">[1]!BexGetData("DP_1","003N8EMH8GTFRCSWKMPXRRESE","GSON1112060400")</f>
        <v>#NAME?</v>
      </c>
      <c r="E734" s="3" t="e">
        <f ca="1">[1]!BexGetData("DP_1","003N8EMH8GTFRCSWKMPXRRL3Y","GSON1112060400")</f>
        <v>#NAME?</v>
      </c>
      <c r="F734" s="3" t="e">
        <f ca="1">[1]!BexGetData("DP_1","003N8EMH8GTFRCSWKMPXRRRFI","GSON1112060400")</f>
        <v>#NAME?</v>
      </c>
      <c r="G734" s="3" t="e">
        <f ca="1">[1]!BexGetData("DP_1","003N8EMH8GTFRCSWKMPXRRXR2","GSON1112060400")</f>
        <v>#NAME?</v>
      </c>
      <c r="H734" s="8" t="e">
        <f ca="1">[1]!BexGetData("DP_1","003N8EMH8GTFRCSWKMPXRS42M","GSON1112060400")</f>
        <v>#NAME?</v>
      </c>
      <c r="I734" s="3" t="e">
        <f ca="1">[1]!BexGetData("DP_1","003N8EMH8GTFRCSWKMPXRSAE6","GSON1112060400")</f>
        <v>#NAME?</v>
      </c>
      <c r="J734" s="4" t="e">
        <f ca="1">[1]!BexGetData("DP_1","003N8EMH8GTFRCSWKMPXRSGPQ","GSON1112060400")</f>
        <v>#NAME?</v>
      </c>
      <c r="K734" s="3" t="e">
        <f ca="1">[1]!BexGetData("DP_1","003N8EMH8GTFRIVNUPY288VJH","GSON1112060400")</f>
        <v>#NAME?</v>
      </c>
      <c r="L734" s="3" t="e">
        <f ca="1">[1]!BexGetData("DP_1","003N8EMH8GTFRIVNUPY2891V1","GSON1112060400")</f>
        <v>#NAME?</v>
      </c>
      <c r="M734" s="3" t="e">
        <f ca="1">[1]!BexGetData("DP_1","003N8EMH8GTFRIVOG7KG9IQXA","GSON1112060400")</f>
        <v>#NAME?</v>
      </c>
      <c r="N734" s="8" t="e">
        <f ca="1">[1]!BexGetData("DP_1","003N8EMH8GTFRIVOG7KG9IX8U","GSON1112060400")</f>
        <v>#NAME?</v>
      </c>
      <c r="O734" s="3" t="e">
        <f ca="1">[1]!BexGetData("DP_1","003N8EMH8GTFRIVOG7KG9J3KE","GSON1112060400")</f>
        <v>#NAME?</v>
      </c>
      <c r="P734" s="8" t="e">
        <f ca="1">[1]!BexGetData("DP_1","003N8EMH8GTFRIVOG7KG9J9VY","GSON1112060400")</f>
        <v>#NAME?</v>
      </c>
      <c r="Q734" s="4" t="e">
        <f ca="1">[1]!BexGetData("DP_1","00O2TNJGODT0G5Z4TTKYMM5MT","GSON1112060400")</f>
        <v>#NAME?</v>
      </c>
      <c r="R734" s="3" t="e">
        <f ca="1">[1]!BexGetData("DP_1","00O2TNJGODT0G5Z4TTKYMMBYD","GSON1112060400")</f>
        <v>#NAME?</v>
      </c>
      <c r="S734" s="3" t="e">
        <f ca="1">[1]!BexGetData("DP_1","00O2TNJGODT0G5Z4TTKYMMI9X","GSON1112060400")</f>
        <v>#NAME?</v>
      </c>
      <c r="T734" s="8" t="e">
        <f ca="1">[1]!BexGetData("DP_1","00O2TNJGODT0G5Z4TTKYMMOLH","GSON1112060400")</f>
        <v>#NAME?</v>
      </c>
      <c r="U734" s="3" t="e">
        <f ca="1">[1]!BexGetData("DP_1","00O2TNJGODT0G5Z4TTKYMMUX1","GSON1112060400")</f>
        <v>#NAME?</v>
      </c>
      <c r="V734" s="8" t="e">
        <f ca="1">[1]!BexGetData("DP_1","00O2TNJGODT0G5Z4TTKYMN18L","GSON1112060400")</f>
        <v>#NAME?</v>
      </c>
      <c r="W734" s="3" t="e">
        <f ca="1">[1]!BexGetData("DP_1","00O2TNJGODT0G5Z4TTKYMN7K5","GSON1112060400")</f>
        <v>#NAME?</v>
      </c>
    </row>
    <row r="735" spans="1:23" x14ac:dyDescent="0.2">
      <c r="A735" s="16" t="s">
        <v>2819</v>
      </c>
      <c r="B735" s="7" t="s">
        <v>2820</v>
      </c>
      <c r="C735" s="3" t="e">
        <f ca="1">[1]!BexGetData("DP_1","003N8EMH8GTFRCSWKMPXRR8GU","GSON1112060401")</f>
        <v>#NAME?</v>
      </c>
      <c r="D735" s="3" t="e">
        <f ca="1">[1]!BexGetData("DP_1","003N8EMH8GTFRCSWKMPXRRESE","GSON1112060401")</f>
        <v>#NAME?</v>
      </c>
      <c r="E735" s="8" t="e">
        <f ca="1">[1]!BexGetData("DP_1","003N8EMH8GTFRCSWKMPXRRL3Y","GSON1112060401")</f>
        <v>#NAME?</v>
      </c>
      <c r="F735" s="4" t="e">
        <f ca="1">[1]!BexGetData("DP_1","003N8EMH8GTFRCSWKMPXRRRFI","GSON1112060401")</f>
        <v>#NAME?</v>
      </c>
      <c r="G735" s="4" t="e">
        <f ca="1">[1]!BexGetData("DP_1","003N8EMH8GTFRCSWKMPXRRXR2","GSON1112060401")</f>
        <v>#NAME?</v>
      </c>
      <c r="H735" s="4" t="e">
        <f ca="1">[1]!BexGetData("DP_1","003N8EMH8GTFRCSWKMPXRS42M","GSON1112060401")</f>
        <v>#NAME?</v>
      </c>
      <c r="I735" s="4" t="e">
        <f ca="1">[1]!BexGetData("DP_1","003N8EMH8GTFRCSWKMPXRSAE6","GSON1112060401")</f>
        <v>#NAME?</v>
      </c>
      <c r="J735" s="4" t="e">
        <f ca="1">[1]!BexGetData("DP_1","003N8EMH8GTFRCSWKMPXRSGPQ","GSON1112060401")</f>
        <v>#NAME?</v>
      </c>
      <c r="K735" s="8" t="e">
        <f ca="1">[1]!BexGetData("DP_1","003N8EMH8GTFRIVNUPY288VJH","GSON1112060401")</f>
        <v>#NAME?</v>
      </c>
      <c r="L735" s="8" t="e">
        <f ca="1">[1]!BexGetData("DP_1","003N8EMH8GTFRIVNUPY2891V1","GSON1112060401")</f>
        <v>#NAME?</v>
      </c>
      <c r="M735" s="8" t="e">
        <f ca="1">[1]!BexGetData("DP_1","003N8EMH8GTFRIVOG7KG9IQXA","GSON1112060401")</f>
        <v>#NAME?</v>
      </c>
      <c r="N735" s="8" t="e">
        <f ca="1">[1]!BexGetData("DP_1","003N8EMH8GTFRIVOG7KG9IX8U","GSON1112060401")</f>
        <v>#NAME?</v>
      </c>
      <c r="O735" s="8" t="e">
        <f ca="1">[1]!BexGetData("DP_1","003N8EMH8GTFRIVOG7KG9J3KE","GSON1112060401")</f>
        <v>#NAME?</v>
      </c>
      <c r="P735" s="8" t="e">
        <f ca="1">[1]!BexGetData("DP_1","003N8EMH8GTFRIVOG7KG9J9VY","GSON1112060401")</f>
        <v>#NAME?</v>
      </c>
      <c r="Q735" s="4" t="e">
        <f ca="1">[1]!BexGetData("DP_1","00O2TNJGODT0G5Z4TTKYMM5MT","GSON1112060401")</f>
        <v>#NAME?</v>
      </c>
      <c r="R735" s="4" t="e">
        <f ca="1">[1]!BexGetData("DP_1","00O2TNJGODT0G5Z4TTKYMMBYD","GSON1112060401")</f>
        <v>#NAME?</v>
      </c>
      <c r="S735" s="4" t="e">
        <f ca="1">[1]!BexGetData("DP_1","00O2TNJGODT0G5Z4TTKYMMI9X","GSON1112060401")</f>
        <v>#NAME?</v>
      </c>
      <c r="T735" s="4" t="e">
        <f ca="1">[1]!BexGetData("DP_1","00O2TNJGODT0G5Z4TTKYMMOLH","GSON1112060401")</f>
        <v>#NAME?</v>
      </c>
      <c r="U735" s="4" t="e">
        <f ca="1">[1]!BexGetData("DP_1","00O2TNJGODT0G5Z4TTKYMMUX1","GSON1112060401")</f>
        <v>#NAME?</v>
      </c>
      <c r="V735" s="4" t="e">
        <f ca="1">[1]!BexGetData("DP_1","00O2TNJGODT0G5Z4TTKYMN18L","GSON1112060401")</f>
        <v>#NAME?</v>
      </c>
      <c r="W735" s="4" t="e">
        <f ca="1">[1]!BexGetData("DP_1","00O2TNJGODT0G5Z4TTKYMN7K5","GSON1112060401")</f>
        <v>#NAME?</v>
      </c>
    </row>
    <row r="736" spans="1:23" x14ac:dyDescent="0.2">
      <c r="A736" s="16" t="s">
        <v>2821</v>
      </c>
      <c r="B736" s="7" t="s">
        <v>2822</v>
      </c>
      <c r="C736" s="3" t="e">
        <f ca="1">[1]!BexGetData("DP_1","003N8EMH8GTFRCSWKMPXRR8GU","GSON1112060404")</f>
        <v>#NAME?</v>
      </c>
      <c r="D736" s="3" t="e">
        <f ca="1">[1]!BexGetData("DP_1","003N8EMH8GTFRCSWKMPXRRESE","GSON1112060404")</f>
        <v>#NAME?</v>
      </c>
      <c r="E736" s="8" t="e">
        <f ca="1">[1]!BexGetData("DP_1","003N8EMH8GTFRCSWKMPXRRL3Y","GSON1112060404")</f>
        <v>#NAME?</v>
      </c>
      <c r="F736" s="4" t="e">
        <f ca="1">[1]!BexGetData("DP_1","003N8EMH8GTFRCSWKMPXRRRFI","GSON1112060404")</f>
        <v>#NAME?</v>
      </c>
      <c r="G736" s="4" t="e">
        <f ca="1">[1]!BexGetData("DP_1","003N8EMH8GTFRCSWKMPXRRXR2","GSON1112060404")</f>
        <v>#NAME?</v>
      </c>
      <c r="H736" s="4" t="e">
        <f ca="1">[1]!BexGetData("DP_1","003N8EMH8GTFRCSWKMPXRS42M","GSON1112060404")</f>
        <v>#NAME?</v>
      </c>
      <c r="I736" s="4" t="e">
        <f ca="1">[1]!BexGetData("DP_1","003N8EMH8GTFRCSWKMPXRSAE6","GSON1112060404")</f>
        <v>#NAME?</v>
      </c>
      <c r="J736" s="4" t="e">
        <f ca="1">[1]!BexGetData("DP_1","003N8EMH8GTFRCSWKMPXRSGPQ","GSON1112060404")</f>
        <v>#NAME?</v>
      </c>
      <c r="K736" s="8" t="e">
        <f ca="1">[1]!BexGetData("DP_1","003N8EMH8GTFRIVNUPY288VJH","GSON1112060404")</f>
        <v>#NAME?</v>
      </c>
      <c r="L736" s="8" t="e">
        <f ca="1">[1]!BexGetData("DP_1","003N8EMH8GTFRIVNUPY2891V1","GSON1112060404")</f>
        <v>#NAME?</v>
      </c>
      <c r="M736" s="8" t="e">
        <f ca="1">[1]!BexGetData("DP_1","003N8EMH8GTFRIVOG7KG9IQXA","GSON1112060404")</f>
        <v>#NAME?</v>
      </c>
      <c r="N736" s="8" t="e">
        <f ca="1">[1]!BexGetData("DP_1","003N8EMH8GTFRIVOG7KG9IX8U","GSON1112060404")</f>
        <v>#NAME?</v>
      </c>
      <c r="O736" s="8" t="e">
        <f ca="1">[1]!BexGetData("DP_1","003N8EMH8GTFRIVOG7KG9J3KE","GSON1112060404")</f>
        <v>#NAME?</v>
      </c>
      <c r="P736" s="8" t="e">
        <f ca="1">[1]!BexGetData("DP_1","003N8EMH8GTFRIVOG7KG9J9VY","GSON1112060404")</f>
        <v>#NAME?</v>
      </c>
      <c r="Q736" s="4" t="e">
        <f ca="1">[1]!BexGetData("DP_1","00O2TNJGODT0G5Z4TTKYMM5MT","GSON1112060404")</f>
        <v>#NAME?</v>
      </c>
      <c r="R736" s="4" t="e">
        <f ca="1">[1]!BexGetData("DP_1","00O2TNJGODT0G5Z4TTKYMMBYD","GSON1112060404")</f>
        <v>#NAME?</v>
      </c>
      <c r="S736" s="4" t="e">
        <f ca="1">[1]!BexGetData("DP_1","00O2TNJGODT0G5Z4TTKYMMI9X","GSON1112060404")</f>
        <v>#NAME?</v>
      </c>
      <c r="T736" s="4" t="e">
        <f ca="1">[1]!BexGetData("DP_1","00O2TNJGODT0G5Z4TTKYMMOLH","GSON1112060404")</f>
        <v>#NAME?</v>
      </c>
      <c r="U736" s="4" t="e">
        <f ca="1">[1]!BexGetData("DP_1","00O2TNJGODT0G5Z4TTKYMMUX1","GSON1112060404")</f>
        <v>#NAME?</v>
      </c>
      <c r="V736" s="4" t="e">
        <f ca="1">[1]!BexGetData("DP_1","00O2TNJGODT0G5Z4TTKYMN18L","GSON1112060404")</f>
        <v>#NAME?</v>
      </c>
      <c r="W736" s="4" t="e">
        <f ca="1">[1]!BexGetData("DP_1","00O2TNJGODT0G5Z4TTKYMN7K5","GSON1112060404")</f>
        <v>#NAME?</v>
      </c>
    </row>
    <row r="737" spans="1:23" x14ac:dyDescent="0.2">
      <c r="A737" s="16" t="s">
        <v>2823</v>
      </c>
      <c r="B737" s="7" t="s">
        <v>2824</v>
      </c>
      <c r="C737" s="3" t="e">
        <f ca="1">[1]!BexGetData("DP_1","003N8EMH8GTFRCSWKMPXRR8GU","GSON1112060405")</f>
        <v>#NAME?</v>
      </c>
      <c r="D737" s="3" t="e">
        <f ca="1">[1]!BexGetData("DP_1","003N8EMH8GTFRCSWKMPXRRESE","GSON1112060405")</f>
        <v>#NAME?</v>
      </c>
      <c r="E737" s="8" t="e">
        <f ca="1">[1]!BexGetData("DP_1","003N8EMH8GTFRCSWKMPXRRL3Y","GSON1112060405")</f>
        <v>#NAME?</v>
      </c>
      <c r="F737" s="4" t="e">
        <f ca="1">[1]!BexGetData("DP_1","003N8EMH8GTFRCSWKMPXRRRFI","GSON1112060405")</f>
        <v>#NAME?</v>
      </c>
      <c r="G737" s="4" t="e">
        <f ca="1">[1]!BexGetData("DP_1","003N8EMH8GTFRCSWKMPXRRXR2","GSON1112060405")</f>
        <v>#NAME?</v>
      </c>
      <c r="H737" s="4" t="e">
        <f ca="1">[1]!BexGetData("DP_1","003N8EMH8GTFRCSWKMPXRS42M","GSON1112060405")</f>
        <v>#NAME?</v>
      </c>
      <c r="I737" s="4" t="e">
        <f ca="1">[1]!BexGetData("DP_1","003N8EMH8GTFRCSWKMPXRSAE6","GSON1112060405")</f>
        <v>#NAME?</v>
      </c>
      <c r="J737" s="4" t="e">
        <f ca="1">[1]!BexGetData("DP_1","003N8EMH8GTFRCSWKMPXRSGPQ","GSON1112060405")</f>
        <v>#NAME?</v>
      </c>
      <c r="K737" s="8" t="e">
        <f ca="1">[1]!BexGetData("DP_1","003N8EMH8GTFRIVNUPY288VJH","GSON1112060405")</f>
        <v>#NAME?</v>
      </c>
      <c r="L737" s="8" t="e">
        <f ca="1">[1]!BexGetData("DP_1","003N8EMH8GTFRIVNUPY2891V1","GSON1112060405")</f>
        <v>#NAME?</v>
      </c>
      <c r="M737" s="8" t="e">
        <f ca="1">[1]!BexGetData("DP_1","003N8EMH8GTFRIVOG7KG9IQXA","GSON1112060405")</f>
        <v>#NAME?</v>
      </c>
      <c r="N737" s="8" t="e">
        <f ca="1">[1]!BexGetData("DP_1","003N8EMH8GTFRIVOG7KG9IX8U","GSON1112060405")</f>
        <v>#NAME?</v>
      </c>
      <c r="O737" s="8" t="e">
        <f ca="1">[1]!BexGetData("DP_1","003N8EMH8GTFRIVOG7KG9J3KE","GSON1112060405")</f>
        <v>#NAME?</v>
      </c>
      <c r="P737" s="8" t="e">
        <f ca="1">[1]!BexGetData("DP_1","003N8EMH8GTFRIVOG7KG9J9VY","GSON1112060405")</f>
        <v>#NAME?</v>
      </c>
      <c r="Q737" s="4" t="e">
        <f ca="1">[1]!BexGetData("DP_1","00O2TNJGODT0G5Z4TTKYMM5MT","GSON1112060405")</f>
        <v>#NAME?</v>
      </c>
      <c r="R737" s="4" t="e">
        <f ca="1">[1]!BexGetData("DP_1","00O2TNJGODT0G5Z4TTKYMMBYD","GSON1112060405")</f>
        <v>#NAME?</v>
      </c>
      <c r="S737" s="4" t="e">
        <f ca="1">[1]!BexGetData("DP_1","00O2TNJGODT0G5Z4TTKYMMI9X","GSON1112060405")</f>
        <v>#NAME?</v>
      </c>
      <c r="T737" s="4" t="e">
        <f ca="1">[1]!BexGetData("DP_1","00O2TNJGODT0G5Z4TTKYMMOLH","GSON1112060405")</f>
        <v>#NAME?</v>
      </c>
      <c r="U737" s="4" t="e">
        <f ca="1">[1]!BexGetData("DP_1","00O2TNJGODT0G5Z4TTKYMMUX1","GSON1112060405")</f>
        <v>#NAME?</v>
      </c>
      <c r="V737" s="4" t="e">
        <f ca="1">[1]!BexGetData("DP_1","00O2TNJGODT0G5Z4TTKYMN18L","GSON1112060405")</f>
        <v>#NAME?</v>
      </c>
      <c r="W737" s="4" t="e">
        <f ca="1">[1]!BexGetData("DP_1","00O2TNJGODT0G5Z4TTKYMN7K5","GSON1112060405")</f>
        <v>#NAME?</v>
      </c>
    </row>
    <row r="738" spans="1:23" x14ac:dyDescent="0.2">
      <c r="A738" s="16" t="s">
        <v>2825</v>
      </c>
      <c r="B738" s="7" t="s">
        <v>2826</v>
      </c>
      <c r="C738" s="3" t="e">
        <f ca="1">[1]!BexGetData("DP_1","003N8EMH8GTFRCSWKMPXRR8GU","GSON1112060410")</f>
        <v>#NAME?</v>
      </c>
      <c r="D738" s="3" t="e">
        <f ca="1">[1]!BexGetData("DP_1","003N8EMH8GTFRCSWKMPXRRESE","GSON1112060410")</f>
        <v>#NAME?</v>
      </c>
      <c r="E738" s="3" t="e">
        <f ca="1">[1]!BexGetData("DP_1","003N8EMH8GTFRCSWKMPXRRL3Y","GSON1112060410")</f>
        <v>#NAME?</v>
      </c>
      <c r="F738" s="3" t="e">
        <f ca="1">[1]!BexGetData("DP_1","003N8EMH8GTFRCSWKMPXRRRFI","GSON1112060410")</f>
        <v>#NAME?</v>
      </c>
      <c r="G738" s="3" t="e">
        <f ca="1">[1]!BexGetData("DP_1","003N8EMH8GTFRCSWKMPXRRXR2","GSON1112060410")</f>
        <v>#NAME?</v>
      </c>
      <c r="H738" s="8" t="e">
        <f ca="1">[1]!BexGetData("DP_1","003N8EMH8GTFRCSWKMPXRS42M","GSON1112060410")</f>
        <v>#NAME?</v>
      </c>
      <c r="I738" s="3" t="e">
        <f ca="1">[1]!BexGetData("DP_1","003N8EMH8GTFRCSWKMPXRSAE6","GSON1112060410")</f>
        <v>#NAME?</v>
      </c>
      <c r="J738" s="4" t="e">
        <f ca="1">[1]!BexGetData("DP_1","003N8EMH8GTFRCSWKMPXRSGPQ","GSON1112060410")</f>
        <v>#NAME?</v>
      </c>
      <c r="K738" s="3" t="e">
        <f ca="1">[1]!BexGetData("DP_1","003N8EMH8GTFRIVNUPY288VJH","GSON1112060410")</f>
        <v>#NAME?</v>
      </c>
      <c r="L738" s="3" t="e">
        <f ca="1">[1]!BexGetData("DP_1","003N8EMH8GTFRIVNUPY2891V1","GSON1112060410")</f>
        <v>#NAME?</v>
      </c>
      <c r="M738" s="3" t="e">
        <f ca="1">[1]!BexGetData("DP_1","003N8EMH8GTFRIVOG7KG9IQXA","GSON1112060410")</f>
        <v>#NAME?</v>
      </c>
      <c r="N738" s="8" t="e">
        <f ca="1">[1]!BexGetData("DP_1","003N8EMH8GTFRIVOG7KG9IX8U","GSON1112060410")</f>
        <v>#NAME?</v>
      </c>
      <c r="O738" s="3" t="e">
        <f ca="1">[1]!BexGetData("DP_1","003N8EMH8GTFRIVOG7KG9J3KE","GSON1112060410")</f>
        <v>#NAME?</v>
      </c>
      <c r="P738" s="8" t="e">
        <f ca="1">[1]!BexGetData("DP_1","003N8EMH8GTFRIVOG7KG9J9VY","GSON1112060410")</f>
        <v>#NAME?</v>
      </c>
      <c r="Q738" s="4" t="e">
        <f ca="1">[1]!BexGetData("DP_1","00O2TNJGODT0G5Z4TTKYMM5MT","GSON1112060410")</f>
        <v>#NAME?</v>
      </c>
      <c r="R738" s="3" t="e">
        <f ca="1">[1]!BexGetData("DP_1","00O2TNJGODT0G5Z4TTKYMMBYD","GSON1112060410")</f>
        <v>#NAME?</v>
      </c>
      <c r="S738" s="3" t="e">
        <f ca="1">[1]!BexGetData("DP_1","00O2TNJGODT0G5Z4TTKYMMI9X","GSON1112060410")</f>
        <v>#NAME?</v>
      </c>
      <c r="T738" s="8" t="e">
        <f ca="1">[1]!BexGetData("DP_1","00O2TNJGODT0G5Z4TTKYMMOLH","GSON1112060410")</f>
        <v>#NAME?</v>
      </c>
      <c r="U738" s="3" t="e">
        <f ca="1">[1]!BexGetData("DP_1","00O2TNJGODT0G5Z4TTKYMMUX1","GSON1112060410")</f>
        <v>#NAME?</v>
      </c>
      <c r="V738" s="8" t="e">
        <f ca="1">[1]!BexGetData("DP_1","00O2TNJGODT0G5Z4TTKYMN18L","GSON1112060410")</f>
        <v>#NAME?</v>
      </c>
      <c r="W738" s="3" t="e">
        <f ca="1">[1]!BexGetData("DP_1","00O2TNJGODT0G5Z4TTKYMN7K5","GSON1112060410")</f>
        <v>#NAME?</v>
      </c>
    </row>
    <row r="739" spans="1:23" x14ac:dyDescent="0.2">
      <c r="A739" s="16" t="s">
        <v>2827</v>
      </c>
      <c r="B739" s="7" t="s">
        <v>2828</v>
      </c>
      <c r="C739" s="3" t="e">
        <f ca="1">[1]!BexGetData("DP_1","003N8EMH8GTFRCSWKMPXRR8GU","GSON1112060411")</f>
        <v>#NAME?</v>
      </c>
      <c r="D739" s="3" t="e">
        <f ca="1">[1]!BexGetData("DP_1","003N8EMH8GTFRCSWKMPXRRESE","GSON1112060411")</f>
        <v>#NAME?</v>
      </c>
      <c r="E739" s="8" t="e">
        <f ca="1">[1]!BexGetData("DP_1","003N8EMH8GTFRCSWKMPXRRL3Y","GSON1112060411")</f>
        <v>#NAME?</v>
      </c>
      <c r="F739" s="4" t="e">
        <f ca="1">[1]!BexGetData("DP_1","003N8EMH8GTFRCSWKMPXRRRFI","GSON1112060411")</f>
        <v>#NAME?</v>
      </c>
      <c r="G739" s="4" t="e">
        <f ca="1">[1]!BexGetData("DP_1","003N8EMH8GTFRCSWKMPXRRXR2","GSON1112060411")</f>
        <v>#NAME?</v>
      </c>
      <c r="H739" s="4" t="e">
        <f ca="1">[1]!BexGetData("DP_1","003N8EMH8GTFRCSWKMPXRS42M","GSON1112060411")</f>
        <v>#NAME?</v>
      </c>
      <c r="I739" s="4" t="e">
        <f ca="1">[1]!BexGetData("DP_1","003N8EMH8GTFRCSWKMPXRSAE6","GSON1112060411")</f>
        <v>#NAME?</v>
      </c>
      <c r="J739" s="4" t="e">
        <f ca="1">[1]!BexGetData("DP_1","003N8EMH8GTFRCSWKMPXRSGPQ","GSON1112060411")</f>
        <v>#NAME?</v>
      </c>
      <c r="K739" s="8" t="e">
        <f ca="1">[1]!BexGetData("DP_1","003N8EMH8GTFRIVNUPY288VJH","GSON1112060411")</f>
        <v>#NAME?</v>
      </c>
      <c r="L739" s="8" t="e">
        <f ca="1">[1]!BexGetData("DP_1","003N8EMH8GTFRIVNUPY2891V1","GSON1112060411")</f>
        <v>#NAME?</v>
      </c>
      <c r="M739" s="8" t="e">
        <f ca="1">[1]!BexGetData("DP_1","003N8EMH8GTFRIVOG7KG9IQXA","GSON1112060411")</f>
        <v>#NAME?</v>
      </c>
      <c r="N739" s="8" t="e">
        <f ca="1">[1]!BexGetData("DP_1","003N8EMH8GTFRIVOG7KG9IX8U","GSON1112060411")</f>
        <v>#NAME?</v>
      </c>
      <c r="O739" s="8" t="e">
        <f ca="1">[1]!BexGetData("DP_1","003N8EMH8GTFRIVOG7KG9J3KE","GSON1112060411")</f>
        <v>#NAME?</v>
      </c>
      <c r="P739" s="8" t="e">
        <f ca="1">[1]!BexGetData("DP_1","003N8EMH8GTFRIVOG7KG9J9VY","GSON1112060411")</f>
        <v>#NAME?</v>
      </c>
      <c r="Q739" s="4" t="e">
        <f ca="1">[1]!BexGetData("DP_1","00O2TNJGODT0G5Z4TTKYMM5MT","GSON1112060411")</f>
        <v>#NAME?</v>
      </c>
      <c r="R739" s="4" t="e">
        <f ca="1">[1]!BexGetData("DP_1","00O2TNJGODT0G5Z4TTKYMMBYD","GSON1112060411")</f>
        <v>#NAME?</v>
      </c>
      <c r="S739" s="4" t="e">
        <f ca="1">[1]!BexGetData("DP_1","00O2TNJGODT0G5Z4TTKYMMI9X","GSON1112060411")</f>
        <v>#NAME?</v>
      </c>
      <c r="T739" s="4" t="e">
        <f ca="1">[1]!BexGetData("DP_1","00O2TNJGODT0G5Z4TTKYMMOLH","GSON1112060411")</f>
        <v>#NAME?</v>
      </c>
      <c r="U739" s="4" t="e">
        <f ca="1">[1]!BexGetData("DP_1","00O2TNJGODT0G5Z4TTKYMMUX1","GSON1112060411")</f>
        <v>#NAME?</v>
      </c>
      <c r="V739" s="4" t="e">
        <f ca="1">[1]!BexGetData("DP_1","00O2TNJGODT0G5Z4TTKYMN18L","GSON1112060411")</f>
        <v>#NAME?</v>
      </c>
      <c r="W739" s="4" t="e">
        <f ca="1">[1]!BexGetData("DP_1","00O2TNJGODT0G5Z4TTKYMN7K5","GSON1112060411")</f>
        <v>#NAME?</v>
      </c>
    </row>
    <row r="740" spans="1:23" x14ac:dyDescent="0.2">
      <c r="A740" s="16" t="s">
        <v>2829</v>
      </c>
      <c r="B740" s="7" t="s">
        <v>2830</v>
      </c>
      <c r="C740" s="3" t="e">
        <f ca="1">[1]!BexGetData("DP_1","003N8EMH8GTFRCSWKMPXRR8GU","GSON1112060412")</f>
        <v>#NAME?</v>
      </c>
      <c r="D740" s="3" t="e">
        <f ca="1">[1]!BexGetData("DP_1","003N8EMH8GTFRCSWKMPXRRESE","GSON1112060412")</f>
        <v>#NAME?</v>
      </c>
      <c r="E740" s="8" t="e">
        <f ca="1">[1]!BexGetData("DP_1","003N8EMH8GTFRCSWKMPXRRL3Y","GSON1112060412")</f>
        <v>#NAME?</v>
      </c>
      <c r="F740" s="3" t="e">
        <f ca="1">[1]!BexGetData("DP_1","003N8EMH8GTFRCSWKMPXRRRFI","GSON1112060412")</f>
        <v>#NAME?</v>
      </c>
      <c r="G740" s="8" t="e">
        <f ca="1">[1]!BexGetData("DP_1","003N8EMH8GTFRCSWKMPXRRXR2","GSON1112060412")</f>
        <v>#NAME?</v>
      </c>
      <c r="H740" s="3" t="e">
        <f ca="1">[1]!BexGetData("DP_1","003N8EMH8GTFRCSWKMPXRS42M","GSON1112060412")</f>
        <v>#NAME?</v>
      </c>
      <c r="I740" s="3" t="e">
        <f ca="1">[1]!BexGetData("DP_1","003N8EMH8GTFRCSWKMPXRSAE6","GSON1112060412")</f>
        <v>#NAME?</v>
      </c>
      <c r="J740" s="4" t="e">
        <f ca="1">[1]!BexGetData("DP_1","003N8EMH8GTFRCSWKMPXRSGPQ","GSON1112060412")</f>
        <v>#NAME?</v>
      </c>
      <c r="K740" s="3" t="e">
        <f ca="1">[1]!BexGetData("DP_1","003N8EMH8GTFRIVNUPY288VJH","GSON1112060412")</f>
        <v>#NAME?</v>
      </c>
      <c r="L740" s="3" t="e">
        <f ca="1">[1]!BexGetData("DP_1","003N8EMH8GTFRIVNUPY2891V1","GSON1112060412")</f>
        <v>#NAME?</v>
      </c>
      <c r="M740" s="8" t="e">
        <f ca="1">[1]!BexGetData("DP_1","003N8EMH8GTFRIVOG7KG9IQXA","GSON1112060412")</f>
        <v>#NAME?</v>
      </c>
      <c r="N740" s="3" t="e">
        <f ca="1">[1]!BexGetData("DP_1","003N8EMH8GTFRIVOG7KG9IX8U","GSON1112060412")</f>
        <v>#NAME?</v>
      </c>
      <c r="O740" s="8" t="e">
        <f ca="1">[1]!BexGetData("DP_1","003N8EMH8GTFRIVOG7KG9J3KE","GSON1112060412")</f>
        <v>#NAME?</v>
      </c>
      <c r="P740" s="3" t="e">
        <f ca="1">[1]!BexGetData("DP_1","003N8EMH8GTFRIVOG7KG9J9VY","GSON1112060412")</f>
        <v>#NAME?</v>
      </c>
      <c r="Q740" s="4" t="e">
        <f ca="1">[1]!BexGetData("DP_1","00O2TNJGODT0G5Z4TTKYMM5MT","GSON1112060412")</f>
        <v>#NAME?</v>
      </c>
      <c r="R740" s="3" t="e">
        <f ca="1">[1]!BexGetData("DP_1","00O2TNJGODT0G5Z4TTKYMMBYD","GSON1112060412")</f>
        <v>#NAME?</v>
      </c>
      <c r="S740" s="3" t="e">
        <f ca="1">[1]!BexGetData("DP_1","00O2TNJGODT0G5Z4TTKYMMI9X","GSON1112060412")</f>
        <v>#NAME?</v>
      </c>
      <c r="T740" s="3" t="e">
        <f ca="1">[1]!BexGetData("DP_1","00O2TNJGODT0G5Z4TTKYMMOLH","GSON1112060412")</f>
        <v>#NAME?</v>
      </c>
      <c r="U740" s="8" t="e">
        <f ca="1">[1]!BexGetData("DP_1","00O2TNJGODT0G5Z4TTKYMMUX1","GSON1112060412")</f>
        <v>#NAME?</v>
      </c>
      <c r="V740" s="3" t="e">
        <f ca="1">[1]!BexGetData("DP_1","00O2TNJGODT0G5Z4TTKYMN18L","GSON1112060412")</f>
        <v>#NAME?</v>
      </c>
      <c r="W740" s="8" t="e">
        <f ca="1">[1]!BexGetData("DP_1","00O2TNJGODT0G5Z4TTKYMN7K5","GSON1112060412")</f>
        <v>#NAME?</v>
      </c>
    </row>
    <row r="741" spans="1:23" x14ac:dyDescent="0.2">
      <c r="A741" s="16" t="s">
        <v>2831</v>
      </c>
      <c r="B741" s="7" t="s">
        <v>2832</v>
      </c>
      <c r="C741" s="3" t="e">
        <f ca="1">[1]!BexGetData("DP_1","003N8EMH8GTFRCSWKMPXRR8GU","GSON1112060413")</f>
        <v>#NAME?</v>
      </c>
      <c r="D741" s="3" t="e">
        <f ca="1">[1]!BexGetData("DP_1","003N8EMH8GTFRCSWKMPXRRESE","GSON1112060413")</f>
        <v>#NAME?</v>
      </c>
      <c r="E741" s="8" t="e">
        <f ca="1">[1]!BexGetData("DP_1","003N8EMH8GTFRCSWKMPXRRL3Y","GSON1112060413")</f>
        <v>#NAME?</v>
      </c>
      <c r="F741" s="4" t="e">
        <f ca="1">[1]!BexGetData("DP_1","003N8EMH8GTFRCSWKMPXRRRFI","GSON1112060413")</f>
        <v>#NAME?</v>
      </c>
      <c r="G741" s="4" t="e">
        <f ca="1">[1]!BexGetData("DP_1","003N8EMH8GTFRCSWKMPXRRXR2","GSON1112060413")</f>
        <v>#NAME?</v>
      </c>
      <c r="H741" s="4" t="e">
        <f ca="1">[1]!BexGetData("DP_1","003N8EMH8GTFRCSWKMPXRS42M","GSON1112060413")</f>
        <v>#NAME?</v>
      </c>
      <c r="I741" s="4" t="e">
        <f ca="1">[1]!BexGetData("DP_1","003N8EMH8GTFRCSWKMPXRSAE6","GSON1112060413")</f>
        <v>#NAME?</v>
      </c>
      <c r="J741" s="4" t="e">
        <f ca="1">[1]!BexGetData("DP_1","003N8EMH8GTFRCSWKMPXRSGPQ","GSON1112060413")</f>
        <v>#NAME?</v>
      </c>
      <c r="K741" s="8" t="e">
        <f ca="1">[1]!BexGetData("DP_1","003N8EMH8GTFRIVNUPY288VJH","GSON1112060413")</f>
        <v>#NAME?</v>
      </c>
      <c r="L741" s="8" t="e">
        <f ca="1">[1]!BexGetData("DP_1","003N8EMH8GTFRIVNUPY2891V1","GSON1112060413")</f>
        <v>#NAME?</v>
      </c>
      <c r="M741" s="8" t="e">
        <f ca="1">[1]!BexGetData("DP_1","003N8EMH8GTFRIVOG7KG9IQXA","GSON1112060413")</f>
        <v>#NAME?</v>
      </c>
      <c r="N741" s="8" t="e">
        <f ca="1">[1]!BexGetData("DP_1","003N8EMH8GTFRIVOG7KG9IX8U","GSON1112060413")</f>
        <v>#NAME?</v>
      </c>
      <c r="O741" s="8" t="e">
        <f ca="1">[1]!BexGetData("DP_1","003N8EMH8GTFRIVOG7KG9J3KE","GSON1112060413")</f>
        <v>#NAME?</v>
      </c>
      <c r="P741" s="8" t="e">
        <f ca="1">[1]!BexGetData("DP_1","003N8EMH8GTFRIVOG7KG9J9VY","GSON1112060413")</f>
        <v>#NAME?</v>
      </c>
      <c r="Q741" s="4" t="e">
        <f ca="1">[1]!BexGetData("DP_1","00O2TNJGODT0G5Z4TTKYMM5MT","GSON1112060413")</f>
        <v>#NAME?</v>
      </c>
      <c r="R741" s="4" t="e">
        <f ca="1">[1]!BexGetData("DP_1","00O2TNJGODT0G5Z4TTKYMMBYD","GSON1112060413")</f>
        <v>#NAME?</v>
      </c>
      <c r="S741" s="4" t="e">
        <f ca="1">[1]!BexGetData("DP_1","00O2TNJGODT0G5Z4TTKYMMI9X","GSON1112060413")</f>
        <v>#NAME?</v>
      </c>
      <c r="T741" s="4" t="e">
        <f ca="1">[1]!BexGetData("DP_1","00O2TNJGODT0G5Z4TTKYMMOLH","GSON1112060413")</f>
        <v>#NAME?</v>
      </c>
      <c r="U741" s="4" t="e">
        <f ca="1">[1]!BexGetData("DP_1","00O2TNJGODT0G5Z4TTKYMMUX1","GSON1112060413")</f>
        <v>#NAME?</v>
      </c>
      <c r="V741" s="4" t="e">
        <f ca="1">[1]!BexGetData("DP_1","00O2TNJGODT0G5Z4TTKYMN18L","GSON1112060413")</f>
        <v>#NAME?</v>
      </c>
      <c r="W741" s="4" t="e">
        <f ca="1">[1]!BexGetData("DP_1","00O2TNJGODT0G5Z4TTKYMN7K5","GSON1112060413")</f>
        <v>#NAME?</v>
      </c>
    </row>
    <row r="742" spans="1:23" x14ac:dyDescent="0.2">
      <c r="A742" s="16" t="s">
        <v>2833</v>
      </c>
      <c r="B742" s="7" t="s">
        <v>2834</v>
      </c>
      <c r="C742" s="3" t="e">
        <f ca="1">[1]!BexGetData("DP_1","003N8EMH8GTFRCSWKMPXRR8GU","GSON1112060414")</f>
        <v>#NAME?</v>
      </c>
      <c r="D742" s="3" t="e">
        <f ca="1">[1]!BexGetData("DP_1","003N8EMH8GTFRCSWKMPXRRESE","GSON1112060414")</f>
        <v>#NAME?</v>
      </c>
      <c r="E742" s="8" t="e">
        <f ca="1">[1]!BexGetData("DP_1","003N8EMH8GTFRCSWKMPXRRL3Y","GSON1112060414")</f>
        <v>#NAME?</v>
      </c>
      <c r="F742" s="4" t="e">
        <f ca="1">[1]!BexGetData("DP_1","003N8EMH8GTFRCSWKMPXRRRFI","GSON1112060414")</f>
        <v>#NAME?</v>
      </c>
      <c r="G742" s="4" t="e">
        <f ca="1">[1]!BexGetData("DP_1","003N8EMH8GTFRCSWKMPXRRXR2","GSON1112060414")</f>
        <v>#NAME?</v>
      </c>
      <c r="H742" s="4" t="e">
        <f ca="1">[1]!BexGetData("DP_1","003N8EMH8GTFRCSWKMPXRS42M","GSON1112060414")</f>
        <v>#NAME?</v>
      </c>
      <c r="I742" s="4" t="e">
        <f ca="1">[1]!BexGetData("DP_1","003N8EMH8GTFRCSWKMPXRSAE6","GSON1112060414")</f>
        <v>#NAME?</v>
      </c>
      <c r="J742" s="4" t="e">
        <f ca="1">[1]!BexGetData("DP_1","003N8EMH8GTFRCSWKMPXRSGPQ","GSON1112060414")</f>
        <v>#NAME?</v>
      </c>
      <c r="K742" s="8" t="e">
        <f ca="1">[1]!BexGetData("DP_1","003N8EMH8GTFRIVNUPY288VJH","GSON1112060414")</f>
        <v>#NAME?</v>
      </c>
      <c r="L742" s="8" t="e">
        <f ca="1">[1]!BexGetData("DP_1","003N8EMH8GTFRIVNUPY2891V1","GSON1112060414")</f>
        <v>#NAME?</v>
      </c>
      <c r="M742" s="8" t="e">
        <f ca="1">[1]!BexGetData("DP_1","003N8EMH8GTFRIVOG7KG9IQXA","GSON1112060414")</f>
        <v>#NAME?</v>
      </c>
      <c r="N742" s="8" t="e">
        <f ca="1">[1]!BexGetData("DP_1","003N8EMH8GTFRIVOG7KG9IX8U","GSON1112060414")</f>
        <v>#NAME?</v>
      </c>
      <c r="O742" s="8" t="e">
        <f ca="1">[1]!BexGetData("DP_1","003N8EMH8GTFRIVOG7KG9J3KE","GSON1112060414")</f>
        <v>#NAME?</v>
      </c>
      <c r="P742" s="8" t="e">
        <f ca="1">[1]!BexGetData("DP_1","003N8EMH8GTFRIVOG7KG9J9VY","GSON1112060414")</f>
        <v>#NAME?</v>
      </c>
      <c r="Q742" s="4" t="e">
        <f ca="1">[1]!BexGetData("DP_1","00O2TNJGODT0G5Z4TTKYMM5MT","GSON1112060414")</f>
        <v>#NAME?</v>
      </c>
      <c r="R742" s="4" t="e">
        <f ca="1">[1]!BexGetData("DP_1","00O2TNJGODT0G5Z4TTKYMMBYD","GSON1112060414")</f>
        <v>#NAME?</v>
      </c>
      <c r="S742" s="4" t="e">
        <f ca="1">[1]!BexGetData("DP_1","00O2TNJGODT0G5Z4TTKYMMI9X","GSON1112060414")</f>
        <v>#NAME?</v>
      </c>
      <c r="T742" s="4" t="e">
        <f ca="1">[1]!BexGetData("DP_1","00O2TNJGODT0G5Z4TTKYMMOLH","GSON1112060414")</f>
        <v>#NAME?</v>
      </c>
      <c r="U742" s="4" t="e">
        <f ca="1">[1]!BexGetData("DP_1","00O2TNJGODT0G5Z4TTKYMMUX1","GSON1112060414")</f>
        <v>#NAME?</v>
      </c>
      <c r="V742" s="4" t="e">
        <f ca="1">[1]!BexGetData("DP_1","00O2TNJGODT0G5Z4TTKYMN18L","GSON1112060414")</f>
        <v>#NAME?</v>
      </c>
      <c r="W742" s="4" t="e">
        <f ca="1">[1]!BexGetData("DP_1","00O2TNJGODT0G5Z4TTKYMN7K5","GSON1112060414")</f>
        <v>#NAME?</v>
      </c>
    </row>
    <row r="743" spans="1:23" x14ac:dyDescent="0.2">
      <c r="A743" s="16" t="s">
        <v>2835</v>
      </c>
      <c r="B743" s="7" t="s">
        <v>2836</v>
      </c>
      <c r="C743" s="3" t="e">
        <f ca="1">[1]!BexGetData("DP_1","003N8EMH8GTFRCSWKMPXRR8GU","GSON1112060415")</f>
        <v>#NAME?</v>
      </c>
      <c r="D743" s="3" t="e">
        <f ca="1">[1]!BexGetData("DP_1","003N8EMH8GTFRCSWKMPXRRESE","GSON1112060415")</f>
        <v>#NAME?</v>
      </c>
      <c r="E743" s="8" t="e">
        <f ca="1">[1]!BexGetData("DP_1","003N8EMH8GTFRCSWKMPXRRL3Y","GSON1112060415")</f>
        <v>#NAME?</v>
      </c>
      <c r="F743" s="4" t="e">
        <f ca="1">[1]!BexGetData("DP_1","003N8EMH8GTFRCSWKMPXRRRFI","GSON1112060415")</f>
        <v>#NAME?</v>
      </c>
      <c r="G743" s="4" t="e">
        <f ca="1">[1]!BexGetData("DP_1","003N8EMH8GTFRCSWKMPXRRXR2","GSON1112060415")</f>
        <v>#NAME?</v>
      </c>
      <c r="H743" s="4" t="e">
        <f ca="1">[1]!BexGetData("DP_1","003N8EMH8GTFRCSWKMPXRS42M","GSON1112060415")</f>
        <v>#NAME?</v>
      </c>
      <c r="I743" s="4" t="e">
        <f ca="1">[1]!BexGetData("DP_1","003N8EMH8GTFRCSWKMPXRSAE6","GSON1112060415")</f>
        <v>#NAME?</v>
      </c>
      <c r="J743" s="4" t="e">
        <f ca="1">[1]!BexGetData("DP_1","003N8EMH8GTFRCSWKMPXRSGPQ","GSON1112060415")</f>
        <v>#NAME?</v>
      </c>
      <c r="K743" s="8" t="e">
        <f ca="1">[1]!BexGetData("DP_1","003N8EMH8GTFRIVNUPY288VJH","GSON1112060415")</f>
        <v>#NAME?</v>
      </c>
      <c r="L743" s="8" t="e">
        <f ca="1">[1]!BexGetData("DP_1","003N8EMH8GTFRIVNUPY2891V1","GSON1112060415")</f>
        <v>#NAME?</v>
      </c>
      <c r="M743" s="8" t="e">
        <f ca="1">[1]!BexGetData("DP_1","003N8EMH8GTFRIVOG7KG9IQXA","GSON1112060415")</f>
        <v>#NAME?</v>
      </c>
      <c r="N743" s="8" t="e">
        <f ca="1">[1]!BexGetData("DP_1","003N8EMH8GTFRIVOG7KG9IX8U","GSON1112060415")</f>
        <v>#NAME?</v>
      </c>
      <c r="O743" s="8" t="e">
        <f ca="1">[1]!BexGetData("DP_1","003N8EMH8GTFRIVOG7KG9J3KE","GSON1112060415")</f>
        <v>#NAME?</v>
      </c>
      <c r="P743" s="8" t="e">
        <f ca="1">[1]!BexGetData("DP_1","003N8EMH8GTFRIVOG7KG9J9VY","GSON1112060415")</f>
        <v>#NAME?</v>
      </c>
      <c r="Q743" s="4" t="e">
        <f ca="1">[1]!BexGetData("DP_1","00O2TNJGODT0G5Z4TTKYMM5MT","GSON1112060415")</f>
        <v>#NAME?</v>
      </c>
      <c r="R743" s="4" t="e">
        <f ca="1">[1]!BexGetData("DP_1","00O2TNJGODT0G5Z4TTKYMMBYD","GSON1112060415")</f>
        <v>#NAME?</v>
      </c>
      <c r="S743" s="4" t="e">
        <f ca="1">[1]!BexGetData("DP_1","00O2TNJGODT0G5Z4TTKYMMI9X","GSON1112060415")</f>
        <v>#NAME?</v>
      </c>
      <c r="T743" s="4" t="e">
        <f ca="1">[1]!BexGetData("DP_1","00O2TNJGODT0G5Z4TTKYMMOLH","GSON1112060415")</f>
        <v>#NAME?</v>
      </c>
      <c r="U743" s="4" t="e">
        <f ca="1">[1]!BexGetData("DP_1","00O2TNJGODT0G5Z4TTKYMMUX1","GSON1112060415")</f>
        <v>#NAME?</v>
      </c>
      <c r="V743" s="4" t="e">
        <f ca="1">[1]!BexGetData("DP_1","00O2TNJGODT0G5Z4TTKYMN18L","GSON1112060415")</f>
        <v>#NAME?</v>
      </c>
      <c r="W743" s="4" t="e">
        <f ca="1">[1]!BexGetData("DP_1","00O2TNJGODT0G5Z4TTKYMN7K5","GSON1112060415")</f>
        <v>#NAME?</v>
      </c>
    </row>
    <row r="744" spans="1:23" x14ac:dyDescent="0.2">
      <c r="A744" s="16" t="s">
        <v>2837</v>
      </c>
      <c r="B744" s="7" t="s">
        <v>2838</v>
      </c>
      <c r="C744" s="3" t="e">
        <f ca="1">[1]!BexGetData("DP_1","003N8EMH8GTFRCSWKMPXRR8GU","GSON1112060420")</f>
        <v>#NAME?</v>
      </c>
      <c r="D744" s="3" t="e">
        <f ca="1">[1]!BexGetData("DP_1","003N8EMH8GTFRCSWKMPXRRESE","GSON1112060420")</f>
        <v>#NAME?</v>
      </c>
      <c r="E744" s="3" t="e">
        <f ca="1">[1]!BexGetData("DP_1","003N8EMH8GTFRCSWKMPXRRL3Y","GSON1112060420")</f>
        <v>#NAME?</v>
      </c>
      <c r="F744" s="3" t="e">
        <f ca="1">[1]!BexGetData("DP_1","003N8EMH8GTFRCSWKMPXRRRFI","GSON1112060420")</f>
        <v>#NAME?</v>
      </c>
      <c r="G744" s="3" t="e">
        <f ca="1">[1]!BexGetData("DP_1","003N8EMH8GTFRCSWKMPXRRXR2","GSON1112060420")</f>
        <v>#NAME?</v>
      </c>
      <c r="H744" s="8" t="e">
        <f ca="1">[1]!BexGetData("DP_1","003N8EMH8GTFRCSWKMPXRS42M","GSON1112060420")</f>
        <v>#NAME?</v>
      </c>
      <c r="I744" s="3" t="e">
        <f ca="1">[1]!BexGetData("DP_1","003N8EMH8GTFRCSWKMPXRSAE6","GSON1112060420")</f>
        <v>#NAME?</v>
      </c>
      <c r="J744" s="4" t="e">
        <f ca="1">[1]!BexGetData("DP_1","003N8EMH8GTFRCSWKMPXRSGPQ","GSON1112060420")</f>
        <v>#NAME?</v>
      </c>
      <c r="K744" s="3" t="e">
        <f ca="1">[1]!BexGetData("DP_1","003N8EMH8GTFRIVNUPY288VJH","GSON1112060420")</f>
        <v>#NAME?</v>
      </c>
      <c r="L744" s="3" t="e">
        <f ca="1">[1]!BexGetData("DP_1","003N8EMH8GTFRIVNUPY2891V1","GSON1112060420")</f>
        <v>#NAME?</v>
      </c>
      <c r="M744" s="3" t="e">
        <f ca="1">[1]!BexGetData("DP_1","003N8EMH8GTFRIVOG7KG9IQXA","GSON1112060420")</f>
        <v>#NAME?</v>
      </c>
      <c r="N744" s="8" t="e">
        <f ca="1">[1]!BexGetData("DP_1","003N8EMH8GTFRIVOG7KG9IX8U","GSON1112060420")</f>
        <v>#NAME?</v>
      </c>
      <c r="O744" s="3" t="e">
        <f ca="1">[1]!BexGetData("DP_1","003N8EMH8GTFRIVOG7KG9J3KE","GSON1112060420")</f>
        <v>#NAME?</v>
      </c>
      <c r="P744" s="8" t="e">
        <f ca="1">[1]!BexGetData("DP_1","003N8EMH8GTFRIVOG7KG9J9VY","GSON1112060420")</f>
        <v>#NAME?</v>
      </c>
      <c r="Q744" s="4" t="e">
        <f ca="1">[1]!BexGetData("DP_1","00O2TNJGODT0G5Z4TTKYMM5MT","GSON1112060420")</f>
        <v>#NAME?</v>
      </c>
      <c r="R744" s="3" t="e">
        <f ca="1">[1]!BexGetData("DP_1","00O2TNJGODT0G5Z4TTKYMMBYD","GSON1112060420")</f>
        <v>#NAME?</v>
      </c>
      <c r="S744" s="3" t="e">
        <f ca="1">[1]!BexGetData("DP_1","00O2TNJGODT0G5Z4TTKYMMI9X","GSON1112060420")</f>
        <v>#NAME?</v>
      </c>
      <c r="T744" s="8" t="e">
        <f ca="1">[1]!BexGetData("DP_1","00O2TNJGODT0G5Z4TTKYMMOLH","GSON1112060420")</f>
        <v>#NAME?</v>
      </c>
      <c r="U744" s="3" t="e">
        <f ca="1">[1]!BexGetData("DP_1","00O2TNJGODT0G5Z4TTKYMMUX1","GSON1112060420")</f>
        <v>#NAME?</v>
      </c>
      <c r="V744" s="8" t="e">
        <f ca="1">[1]!BexGetData("DP_1","00O2TNJGODT0G5Z4TTKYMN18L","GSON1112060420")</f>
        <v>#NAME?</v>
      </c>
      <c r="W744" s="3" t="e">
        <f ca="1">[1]!BexGetData("DP_1","00O2TNJGODT0G5Z4TTKYMN7K5","GSON1112060420")</f>
        <v>#NAME?</v>
      </c>
    </row>
    <row r="745" spans="1:23" x14ac:dyDescent="0.2">
      <c r="A745" s="16" t="s">
        <v>2839</v>
      </c>
      <c r="B745" s="7" t="s">
        <v>2840</v>
      </c>
      <c r="C745" s="3" t="e">
        <f ca="1">[1]!BexGetData("DP_1","003N8EMH8GTFRCSWKMPXRR8GU","GSON1112060421")</f>
        <v>#NAME?</v>
      </c>
      <c r="D745" s="3" t="e">
        <f ca="1">[1]!BexGetData("DP_1","003N8EMH8GTFRCSWKMPXRRESE","GSON1112060421")</f>
        <v>#NAME?</v>
      </c>
      <c r="E745" s="8" t="e">
        <f ca="1">[1]!BexGetData("DP_1","003N8EMH8GTFRCSWKMPXRRL3Y","GSON1112060421")</f>
        <v>#NAME?</v>
      </c>
      <c r="F745" s="4" t="e">
        <f ca="1">[1]!BexGetData("DP_1","003N8EMH8GTFRCSWKMPXRRRFI","GSON1112060421")</f>
        <v>#NAME?</v>
      </c>
      <c r="G745" s="4" t="e">
        <f ca="1">[1]!BexGetData("DP_1","003N8EMH8GTFRCSWKMPXRRXR2","GSON1112060421")</f>
        <v>#NAME?</v>
      </c>
      <c r="H745" s="4" t="e">
        <f ca="1">[1]!BexGetData("DP_1","003N8EMH8GTFRCSWKMPXRS42M","GSON1112060421")</f>
        <v>#NAME?</v>
      </c>
      <c r="I745" s="4" t="e">
        <f ca="1">[1]!BexGetData("DP_1","003N8EMH8GTFRCSWKMPXRSAE6","GSON1112060421")</f>
        <v>#NAME?</v>
      </c>
      <c r="J745" s="4" t="e">
        <f ca="1">[1]!BexGetData("DP_1","003N8EMH8GTFRCSWKMPXRSGPQ","GSON1112060421")</f>
        <v>#NAME?</v>
      </c>
      <c r="K745" s="8" t="e">
        <f ca="1">[1]!BexGetData("DP_1","003N8EMH8GTFRIVNUPY288VJH","GSON1112060421")</f>
        <v>#NAME?</v>
      </c>
      <c r="L745" s="8" t="e">
        <f ca="1">[1]!BexGetData("DP_1","003N8EMH8GTFRIVNUPY2891V1","GSON1112060421")</f>
        <v>#NAME?</v>
      </c>
      <c r="M745" s="8" t="e">
        <f ca="1">[1]!BexGetData("DP_1","003N8EMH8GTFRIVOG7KG9IQXA","GSON1112060421")</f>
        <v>#NAME?</v>
      </c>
      <c r="N745" s="8" t="e">
        <f ca="1">[1]!BexGetData("DP_1","003N8EMH8GTFRIVOG7KG9IX8U","GSON1112060421")</f>
        <v>#NAME?</v>
      </c>
      <c r="O745" s="8" t="e">
        <f ca="1">[1]!BexGetData("DP_1","003N8EMH8GTFRIVOG7KG9J3KE","GSON1112060421")</f>
        <v>#NAME?</v>
      </c>
      <c r="P745" s="8" t="e">
        <f ca="1">[1]!BexGetData("DP_1","003N8EMH8GTFRIVOG7KG9J9VY","GSON1112060421")</f>
        <v>#NAME?</v>
      </c>
      <c r="Q745" s="4" t="e">
        <f ca="1">[1]!BexGetData("DP_1","00O2TNJGODT0G5Z4TTKYMM5MT","GSON1112060421")</f>
        <v>#NAME?</v>
      </c>
      <c r="R745" s="4" t="e">
        <f ca="1">[1]!BexGetData("DP_1","00O2TNJGODT0G5Z4TTKYMMBYD","GSON1112060421")</f>
        <v>#NAME?</v>
      </c>
      <c r="S745" s="4" t="e">
        <f ca="1">[1]!BexGetData("DP_1","00O2TNJGODT0G5Z4TTKYMMI9X","GSON1112060421")</f>
        <v>#NAME?</v>
      </c>
      <c r="T745" s="4" t="e">
        <f ca="1">[1]!BexGetData("DP_1","00O2TNJGODT0G5Z4TTKYMMOLH","GSON1112060421")</f>
        <v>#NAME?</v>
      </c>
      <c r="U745" s="4" t="e">
        <f ca="1">[1]!BexGetData("DP_1","00O2TNJGODT0G5Z4TTKYMMUX1","GSON1112060421")</f>
        <v>#NAME?</v>
      </c>
      <c r="V745" s="4" t="e">
        <f ca="1">[1]!BexGetData("DP_1","00O2TNJGODT0G5Z4TTKYMN18L","GSON1112060421")</f>
        <v>#NAME?</v>
      </c>
      <c r="W745" s="4" t="e">
        <f ca="1">[1]!BexGetData("DP_1","00O2TNJGODT0G5Z4TTKYMN7K5","GSON1112060421")</f>
        <v>#NAME?</v>
      </c>
    </row>
    <row r="746" spans="1:23" x14ac:dyDescent="0.2">
      <c r="A746" s="16" t="s">
        <v>2841</v>
      </c>
      <c r="B746" s="7" t="s">
        <v>2842</v>
      </c>
      <c r="C746" s="3" t="e">
        <f ca="1">[1]!BexGetData("DP_1","003N8EMH8GTFRCSWKMPXRR8GU","GSON1112060423")</f>
        <v>#NAME?</v>
      </c>
      <c r="D746" s="3" t="e">
        <f ca="1">[1]!BexGetData("DP_1","003N8EMH8GTFRCSWKMPXRRESE","GSON1112060423")</f>
        <v>#NAME?</v>
      </c>
      <c r="E746" s="8" t="e">
        <f ca="1">[1]!BexGetData("DP_1","003N8EMH8GTFRCSWKMPXRRL3Y","GSON1112060423")</f>
        <v>#NAME?</v>
      </c>
      <c r="F746" s="4" t="e">
        <f ca="1">[1]!BexGetData("DP_1","003N8EMH8GTFRCSWKMPXRRRFI","GSON1112060423")</f>
        <v>#NAME?</v>
      </c>
      <c r="G746" s="4" t="e">
        <f ca="1">[1]!BexGetData("DP_1","003N8EMH8GTFRCSWKMPXRRXR2","GSON1112060423")</f>
        <v>#NAME?</v>
      </c>
      <c r="H746" s="4" t="e">
        <f ca="1">[1]!BexGetData("DP_1","003N8EMH8GTFRCSWKMPXRS42M","GSON1112060423")</f>
        <v>#NAME?</v>
      </c>
      <c r="I746" s="4" t="e">
        <f ca="1">[1]!BexGetData("DP_1","003N8EMH8GTFRCSWKMPXRSAE6","GSON1112060423")</f>
        <v>#NAME?</v>
      </c>
      <c r="J746" s="4" t="e">
        <f ca="1">[1]!BexGetData("DP_1","003N8EMH8GTFRCSWKMPXRSGPQ","GSON1112060423")</f>
        <v>#NAME?</v>
      </c>
      <c r="K746" s="8" t="e">
        <f ca="1">[1]!BexGetData("DP_1","003N8EMH8GTFRIVNUPY288VJH","GSON1112060423")</f>
        <v>#NAME?</v>
      </c>
      <c r="L746" s="8" t="e">
        <f ca="1">[1]!BexGetData("DP_1","003N8EMH8GTFRIVNUPY2891V1","GSON1112060423")</f>
        <v>#NAME?</v>
      </c>
      <c r="M746" s="8" t="e">
        <f ca="1">[1]!BexGetData("DP_1","003N8EMH8GTFRIVOG7KG9IQXA","GSON1112060423")</f>
        <v>#NAME?</v>
      </c>
      <c r="N746" s="8" t="e">
        <f ca="1">[1]!BexGetData("DP_1","003N8EMH8GTFRIVOG7KG9IX8U","GSON1112060423")</f>
        <v>#NAME?</v>
      </c>
      <c r="O746" s="8" t="e">
        <f ca="1">[1]!BexGetData("DP_1","003N8EMH8GTFRIVOG7KG9J3KE","GSON1112060423")</f>
        <v>#NAME?</v>
      </c>
      <c r="P746" s="8" t="e">
        <f ca="1">[1]!BexGetData("DP_1","003N8EMH8GTFRIVOG7KG9J9VY","GSON1112060423")</f>
        <v>#NAME?</v>
      </c>
      <c r="Q746" s="4" t="e">
        <f ca="1">[1]!BexGetData("DP_1","00O2TNJGODT0G5Z4TTKYMM5MT","GSON1112060423")</f>
        <v>#NAME?</v>
      </c>
      <c r="R746" s="4" t="e">
        <f ca="1">[1]!BexGetData("DP_1","00O2TNJGODT0G5Z4TTKYMMBYD","GSON1112060423")</f>
        <v>#NAME?</v>
      </c>
      <c r="S746" s="4" t="e">
        <f ca="1">[1]!BexGetData("DP_1","00O2TNJGODT0G5Z4TTKYMMI9X","GSON1112060423")</f>
        <v>#NAME?</v>
      </c>
      <c r="T746" s="4" t="e">
        <f ca="1">[1]!BexGetData("DP_1","00O2TNJGODT0G5Z4TTKYMMOLH","GSON1112060423")</f>
        <v>#NAME?</v>
      </c>
      <c r="U746" s="4" t="e">
        <f ca="1">[1]!BexGetData("DP_1","00O2TNJGODT0G5Z4TTKYMMUX1","GSON1112060423")</f>
        <v>#NAME?</v>
      </c>
      <c r="V746" s="4" t="e">
        <f ca="1">[1]!BexGetData("DP_1","00O2TNJGODT0G5Z4TTKYMN18L","GSON1112060423")</f>
        <v>#NAME?</v>
      </c>
      <c r="W746" s="4" t="e">
        <f ca="1">[1]!BexGetData("DP_1","00O2TNJGODT0G5Z4TTKYMN7K5","GSON1112060423")</f>
        <v>#NAME?</v>
      </c>
    </row>
    <row r="747" spans="1:23" x14ac:dyDescent="0.2">
      <c r="A747" s="16" t="s">
        <v>2843</v>
      </c>
      <c r="B747" s="7" t="s">
        <v>2844</v>
      </c>
      <c r="C747" s="3" t="e">
        <f ca="1">[1]!BexGetData("DP_1","003N8EMH8GTFRCSWKMPXRR8GU","GSON1112060424")</f>
        <v>#NAME?</v>
      </c>
      <c r="D747" s="3" t="e">
        <f ca="1">[1]!BexGetData("DP_1","003N8EMH8GTFRCSWKMPXRRESE","GSON1112060424")</f>
        <v>#NAME?</v>
      </c>
      <c r="E747" s="8" t="e">
        <f ca="1">[1]!BexGetData("DP_1","003N8EMH8GTFRCSWKMPXRRL3Y","GSON1112060424")</f>
        <v>#NAME?</v>
      </c>
      <c r="F747" s="4" t="e">
        <f ca="1">[1]!BexGetData("DP_1","003N8EMH8GTFRCSWKMPXRRRFI","GSON1112060424")</f>
        <v>#NAME?</v>
      </c>
      <c r="G747" s="4" t="e">
        <f ca="1">[1]!BexGetData("DP_1","003N8EMH8GTFRCSWKMPXRRXR2","GSON1112060424")</f>
        <v>#NAME?</v>
      </c>
      <c r="H747" s="4" t="e">
        <f ca="1">[1]!BexGetData("DP_1","003N8EMH8GTFRCSWKMPXRS42M","GSON1112060424")</f>
        <v>#NAME?</v>
      </c>
      <c r="I747" s="4" t="e">
        <f ca="1">[1]!BexGetData("DP_1","003N8EMH8GTFRCSWKMPXRSAE6","GSON1112060424")</f>
        <v>#NAME?</v>
      </c>
      <c r="J747" s="4" t="e">
        <f ca="1">[1]!BexGetData("DP_1","003N8EMH8GTFRCSWKMPXRSGPQ","GSON1112060424")</f>
        <v>#NAME?</v>
      </c>
      <c r="K747" s="8" t="e">
        <f ca="1">[1]!BexGetData("DP_1","003N8EMH8GTFRIVNUPY288VJH","GSON1112060424")</f>
        <v>#NAME?</v>
      </c>
      <c r="L747" s="8" t="e">
        <f ca="1">[1]!BexGetData("DP_1","003N8EMH8GTFRIVNUPY2891V1","GSON1112060424")</f>
        <v>#NAME?</v>
      </c>
      <c r="M747" s="8" t="e">
        <f ca="1">[1]!BexGetData("DP_1","003N8EMH8GTFRIVOG7KG9IQXA","GSON1112060424")</f>
        <v>#NAME?</v>
      </c>
      <c r="N747" s="8" t="e">
        <f ca="1">[1]!BexGetData("DP_1","003N8EMH8GTFRIVOG7KG9IX8U","GSON1112060424")</f>
        <v>#NAME?</v>
      </c>
      <c r="O747" s="8" t="e">
        <f ca="1">[1]!BexGetData("DP_1","003N8EMH8GTFRIVOG7KG9J3KE","GSON1112060424")</f>
        <v>#NAME?</v>
      </c>
      <c r="P747" s="8" t="e">
        <f ca="1">[1]!BexGetData("DP_1","003N8EMH8GTFRIVOG7KG9J9VY","GSON1112060424")</f>
        <v>#NAME?</v>
      </c>
      <c r="Q747" s="4" t="e">
        <f ca="1">[1]!BexGetData("DP_1","00O2TNJGODT0G5Z4TTKYMM5MT","GSON1112060424")</f>
        <v>#NAME?</v>
      </c>
      <c r="R747" s="4" t="e">
        <f ca="1">[1]!BexGetData("DP_1","00O2TNJGODT0G5Z4TTKYMMBYD","GSON1112060424")</f>
        <v>#NAME?</v>
      </c>
      <c r="S747" s="4" t="e">
        <f ca="1">[1]!BexGetData("DP_1","00O2TNJGODT0G5Z4TTKYMMI9X","GSON1112060424")</f>
        <v>#NAME?</v>
      </c>
      <c r="T747" s="4" t="e">
        <f ca="1">[1]!BexGetData("DP_1","00O2TNJGODT0G5Z4TTKYMMOLH","GSON1112060424")</f>
        <v>#NAME?</v>
      </c>
      <c r="U747" s="4" t="e">
        <f ca="1">[1]!BexGetData("DP_1","00O2TNJGODT0G5Z4TTKYMMUX1","GSON1112060424")</f>
        <v>#NAME?</v>
      </c>
      <c r="V747" s="4" t="e">
        <f ca="1">[1]!BexGetData("DP_1","00O2TNJGODT0G5Z4TTKYMN18L","GSON1112060424")</f>
        <v>#NAME?</v>
      </c>
      <c r="W747" s="4" t="e">
        <f ca="1">[1]!BexGetData("DP_1","00O2TNJGODT0G5Z4TTKYMN7K5","GSON1112060424")</f>
        <v>#NAME?</v>
      </c>
    </row>
    <row r="748" spans="1:23" x14ac:dyDescent="0.2">
      <c r="A748" s="16" t="s">
        <v>2845</v>
      </c>
      <c r="B748" s="7" t="s">
        <v>2846</v>
      </c>
      <c r="C748" s="3" t="e">
        <f ca="1">[1]!BexGetData("DP_1","003N8EMH8GTFRCSWKMPXRR8GU","GSON1112060425")</f>
        <v>#NAME?</v>
      </c>
      <c r="D748" s="3" t="e">
        <f ca="1">[1]!BexGetData("DP_1","003N8EMH8GTFRCSWKMPXRRESE","GSON1112060425")</f>
        <v>#NAME?</v>
      </c>
      <c r="E748" s="8" t="e">
        <f ca="1">[1]!BexGetData("DP_1","003N8EMH8GTFRCSWKMPXRRL3Y","GSON1112060425")</f>
        <v>#NAME?</v>
      </c>
      <c r="F748" s="4" t="e">
        <f ca="1">[1]!BexGetData("DP_1","003N8EMH8GTFRCSWKMPXRRRFI","GSON1112060425")</f>
        <v>#NAME?</v>
      </c>
      <c r="G748" s="4" t="e">
        <f ca="1">[1]!BexGetData("DP_1","003N8EMH8GTFRCSWKMPXRRXR2","GSON1112060425")</f>
        <v>#NAME?</v>
      </c>
      <c r="H748" s="4" t="e">
        <f ca="1">[1]!BexGetData("DP_1","003N8EMH8GTFRCSWKMPXRS42M","GSON1112060425")</f>
        <v>#NAME?</v>
      </c>
      <c r="I748" s="4" t="e">
        <f ca="1">[1]!BexGetData("DP_1","003N8EMH8GTFRCSWKMPXRSAE6","GSON1112060425")</f>
        <v>#NAME?</v>
      </c>
      <c r="J748" s="4" t="e">
        <f ca="1">[1]!BexGetData("DP_1","003N8EMH8GTFRCSWKMPXRSGPQ","GSON1112060425")</f>
        <v>#NAME?</v>
      </c>
      <c r="K748" s="8" t="e">
        <f ca="1">[1]!BexGetData("DP_1","003N8EMH8GTFRIVNUPY288VJH","GSON1112060425")</f>
        <v>#NAME?</v>
      </c>
      <c r="L748" s="8" t="e">
        <f ca="1">[1]!BexGetData("DP_1","003N8EMH8GTFRIVNUPY2891V1","GSON1112060425")</f>
        <v>#NAME?</v>
      </c>
      <c r="M748" s="8" t="e">
        <f ca="1">[1]!BexGetData("DP_1","003N8EMH8GTFRIVOG7KG9IQXA","GSON1112060425")</f>
        <v>#NAME?</v>
      </c>
      <c r="N748" s="8" t="e">
        <f ca="1">[1]!BexGetData("DP_1","003N8EMH8GTFRIVOG7KG9IX8U","GSON1112060425")</f>
        <v>#NAME?</v>
      </c>
      <c r="O748" s="8" t="e">
        <f ca="1">[1]!BexGetData("DP_1","003N8EMH8GTFRIVOG7KG9J3KE","GSON1112060425")</f>
        <v>#NAME?</v>
      </c>
      <c r="P748" s="8" t="e">
        <f ca="1">[1]!BexGetData("DP_1","003N8EMH8GTFRIVOG7KG9J9VY","GSON1112060425")</f>
        <v>#NAME?</v>
      </c>
      <c r="Q748" s="4" t="e">
        <f ca="1">[1]!BexGetData("DP_1","00O2TNJGODT0G5Z4TTKYMM5MT","GSON1112060425")</f>
        <v>#NAME?</v>
      </c>
      <c r="R748" s="4" t="e">
        <f ca="1">[1]!BexGetData("DP_1","00O2TNJGODT0G5Z4TTKYMMBYD","GSON1112060425")</f>
        <v>#NAME?</v>
      </c>
      <c r="S748" s="4" t="e">
        <f ca="1">[1]!BexGetData("DP_1","00O2TNJGODT0G5Z4TTKYMMI9X","GSON1112060425")</f>
        <v>#NAME?</v>
      </c>
      <c r="T748" s="4" t="e">
        <f ca="1">[1]!BexGetData("DP_1","00O2TNJGODT0G5Z4TTKYMMOLH","GSON1112060425")</f>
        <v>#NAME?</v>
      </c>
      <c r="U748" s="4" t="e">
        <f ca="1">[1]!BexGetData("DP_1","00O2TNJGODT0G5Z4TTKYMMUX1","GSON1112060425")</f>
        <v>#NAME?</v>
      </c>
      <c r="V748" s="4" t="e">
        <f ca="1">[1]!BexGetData("DP_1","00O2TNJGODT0G5Z4TTKYMN18L","GSON1112060425")</f>
        <v>#NAME?</v>
      </c>
      <c r="W748" s="4" t="e">
        <f ca="1">[1]!BexGetData("DP_1","00O2TNJGODT0G5Z4TTKYMN7K5","GSON1112060425")</f>
        <v>#NAME?</v>
      </c>
    </row>
    <row r="749" spans="1:23" x14ac:dyDescent="0.2">
      <c r="A749" s="16" t="s">
        <v>2847</v>
      </c>
      <c r="B749" s="7" t="s">
        <v>2848</v>
      </c>
      <c r="C749" s="3" t="e">
        <f ca="1">[1]!BexGetData("DP_1","003N8EMH8GTFRCSWKMPXRR8GU","GSON1112060430")</f>
        <v>#NAME?</v>
      </c>
      <c r="D749" s="3" t="e">
        <f ca="1">[1]!BexGetData("DP_1","003N8EMH8GTFRCSWKMPXRRESE","GSON1112060430")</f>
        <v>#NAME?</v>
      </c>
      <c r="E749" s="3" t="e">
        <f ca="1">[1]!BexGetData("DP_1","003N8EMH8GTFRCSWKMPXRRL3Y","GSON1112060430")</f>
        <v>#NAME?</v>
      </c>
      <c r="F749" s="3" t="e">
        <f ca="1">[1]!BexGetData("DP_1","003N8EMH8GTFRCSWKMPXRRRFI","GSON1112060430")</f>
        <v>#NAME?</v>
      </c>
      <c r="G749" s="3" t="e">
        <f ca="1">[1]!BexGetData("DP_1","003N8EMH8GTFRCSWKMPXRRXR2","GSON1112060430")</f>
        <v>#NAME?</v>
      </c>
      <c r="H749" s="8" t="e">
        <f ca="1">[1]!BexGetData("DP_1","003N8EMH8GTFRCSWKMPXRS42M","GSON1112060430")</f>
        <v>#NAME?</v>
      </c>
      <c r="I749" s="3" t="e">
        <f ca="1">[1]!BexGetData("DP_1","003N8EMH8GTFRCSWKMPXRSAE6","GSON1112060430")</f>
        <v>#NAME?</v>
      </c>
      <c r="J749" s="4" t="e">
        <f ca="1">[1]!BexGetData("DP_1","003N8EMH8GTFRCSWKMPXRSGPQ","GSON1112060430")</f>
        <v>#NAME?</v>
      </c>
      <c r="K749" s="3" t="e">
        <f ca="1">[1]!BexGetData("DP_1","003N8EMH8GTFRIVNUPY288VJH","GSON1112060430")</f>
        <v>#NAME?</v>
      </c>
      <c r="L749" s="3" t="e">
        <f ca="1">[1]!BexGetData("DP_1","003N8EMH8GTFRIVNUPY2891V1","GSON1112060430")</f>
        <v>#NAME?</v>
      </c>
      <c r="M749" s="3" t="e">
        <f ca="1">[1]!BexGetData("DP_1","003N8EMH8GTFRIVOG7KG9IQXA","GSON1112060430")</f>
        <v>#NAME?</v>
      </c>
      <c r="N749" s="8" t="e">
        <f ca="1">[1]!BexGetData("DP_1","003N8EMH8GTFRIVOG7KG9IX8U","GSON1112060430")</f>
        <v>#NAME?</v>
      </c>
      <c r="O749" s="3" t="e">
        <f ca="1">[1]!BexGetData("DP_1","003N8EMH8GTFRIVOG7KG9J3KE","GSON1112060430")</f>
        <v>#NAME?</v>
      </c>
      <c r="P749" s="8" t="e">
        <f ca="1">[1]!BexGetData("DP_1","003N8EMH8GTFRIVOG7KG9J9VY","GSON1112060430")</f>
        <v>#NAME?</v>
      </c>
      <c r="Q749" s="4" t="e">
        <f ca="1">[1]!BexGetData("DP_1","00O2TNJGODT0G5Z4TTKYMM5MT","GSON1112060430")</f>
        <v>#NAME?</v>
      </c>
      <c r="R749" s="3" t="e">
        <f ca="1">[1]!BexGetData("DP_1","00O2TNJGODT0G5Z4TTKYMMBYD","GSON1112060430")</f>
        <v>#NAME?</v>
      </c>
      <c r="S749" s="3" t="e">
        <f ca="1">[1]!BexGetData("DP_1","00O2TNJGODT0G5Z4TTKYMMI9X","GSON1112060430")</f>
        <v>#NAME?</v>
      </c>
      <c r="T749" s="8" t="e">
        <f ca="1">[1]!BexGetData("DP_1","00O2TNJGODT0G5Z4TTKYMMOLH","GSON1112060430")</f>
        <v>#NAME?</v>
      </c>
      <c r="U749" s="3" t="e">
        <f ca="1">[1]!BexGetData("DP_1","00O2TNJGODT0G5Z4TTKYMMUX1","GSON1112060430")</f>
        <v>#NAME?</v>
      </c>
      <c r="V749" s="8" t="e">
        <f ca="1">[1]!BexGetData("DP_1","00O2TNJGODT0G5Z4TTKYMN18L","GSON1112060430")</f>
        <v>#NAME?</v>
      </c>
      <c r="W749" s="3" t="e">
        <f ca="1">[1]!BexGetData("DP_1","00O2TNJGODT0G5Z4TTKYMN7K5","GSON1112060430")</f>
        <v>#NAME?</v>
      </c>
    </row>
    <row r="750" spans="1:23" x14ac:dyDescent="0.2">
      <c r="A750" s="16" t="s">
        <v>2849</v>
      </c>
      <c r="B750" s="7" t="s">
        <v>2850</v>
      </c>
      <c r="C750" s="3" t="e">
        <f ca="1">[1]!BexGetData("DP_1","003N8EMH8GTFRCSWKMPXRR8GU","GSON1112060431")</f>
        <v>#NAME?</v>
      </c>
      <c r="D750" s="3" t="e">
        <f ca="1">[1]!BexGetData("DP_1","003N8EMH8GTFRCSWKMPXRRESE","GSON1112060431")</f>
        <v>#NAME?</v>
      </c>
      <c r="E750" s="8" t="e">
        <f ca="1">[1]!BexGetData("DP_1","003N8EMH8GTFRCSWKMPXRRL3Y","GSON1112060431")</f>
        <v>#NAME?</v>
      </c>
      <c r="F750" s="4" t="e">
        <f ca="1">[1]!BexGetData("DP_1","003N8EMH8GTFRCSWKMPXRRRFI","GSON1112060431")</f>
        <v>#NAME?</v>
      </c>
      <c r="G750" s="4" t="e">
        <f ca="1">[1]!BexGetData("DP_1","003N8EMH8GTFRCSWKMPXRRXR2","GSON1112060431")</f>
        <v>#NAME?</v>
      </c>
      <c r="H750" s="4" t="e">
        <f ca="1">[1]!BexGetData("DP_1","003N8EMH8GTFRCSWKMPXRS42M","GSON1112060431")</f>
        <v>#NAME?</v>
      </c>
      <c r="I750" s="4" t="e">
        <f ca="1">[1]!BexGetData("DP_1","003N8EMH8GTFRCSWKMPXRSAE6","GSON1112060431")</f>
        <v>#NAME?</v>
      </c>
      <c r="J750" s="4" t="e">
        <f ca="1">[1]!BexGetData("DP_1","003N8EMH8GTFRCSWKMPXRSGPQ","GSON1112060431")</f>
        <v>#NAME?</v>
      </c>
      <c r="K750" s="8" t="e">
        <f ca="1">[1]!BexGetData("DP_1","003N8EMH8GTFRIVNUPY288VJH","GSON1112060431")</f>
        <v>#NAME?</v>
      </c>
      <c r="L750" s="8" t="e">
        <f ca="1">[1]!BexGetData("DP_1","003N8EMH8GTFRIVNUPY2891V1","GSON1112060431")</f>
        <v>#NAME?</v>
      </c>
      <c r="M750" s="8" t="e">
        <f ca="1">[1]!BexGetData("DP_1","003N8EMH8GTFRIVOG7KG9IQXA","GSON1112060431")</f>
        <v>#NAME?</v>
      </c>
      <c r="N750" s="8" t="e">
        <f ca="1">[1]!BexGetData("DP_1","003N8EMH8GTFRIVOG7KG9IX8U","GSON1112060431")</f>
        <v>#NAME?</v>
      </c>
      <c r="O750" s="8" t="e">
        <f ca="1">[1]!BexGetData("DP_1","003N8EMH8GTFRIVOG7KG9J3KE","GSON1112060431")</f>
        <v>#NAME?</v>
      </c>
      <c r="P750" s="8" t="e">
        <f ca="1">[1]!BexGetData("DP_1","003N8EMH8GTFRIVOG7KG9J9VY","GSON1112060431")</f>
        <v>#NAME?</v>
      </c>
      <c r="Q750" s="4" t="e">
        <f ca="1">[1]!BexGetData("DP_1","00O2TNJGODT0G5Z4TTKYMM5MT","GSON1112060431")</f>
        <v>#NAME?</v>
      </c>
      <c r="R750" s="4" t="e">
        <f ca="1">[1]!BexGetData("DP_1","00O2TNJGODT0G5Z4TTKYMMBYD","GSON1112060431")</f>
        <v>#NAME?</v>
      </c>
      <c r="S750" s="4" t="e">
        <f ca="1">[1]!BexGetData("DP_1","00O2TNJGODT0G5Z4TTKYMMI9X","GSON1112060431")</f>
        <v>#NAME?</v>
      </c>
      <c r="T750" s="4" t="e">
        <f ca="1">[1]!BexGetData("DP_1","00O2TNJGODT0G5Z4TTKYMMOLH","GSON1112060431")</f>
        <v>#NAME?</v>
      </c>
      <c r="U750" s="4" t="e">
        <f ca="1">[1]!BexGetData("DP_1","00O2TNJGODT0G5Z4TTKYMMUX1","GSON1112060431")</f>
        <v>#NAME?</v>
      </c>
      <c r="V750" s="4" t="e">
        <f ca="1">[1]!BexGetData("DP_1","00O2TNJGODT0G5Z4TTKYMN18L","GSON1112060431")</f>
        <v>#NAME?</v>
      </c>
      <c r="W750" s="4" t="e">
        <f ca="1">[1]!BexGetData("DP_1","00O2TNJGODT0G5Z4TTKYMN7K5","GSON1112060431")</f>
        <v>#NAME?</v>
      </c>
    </row>
    <row r="751" spans="1:23" x14ac:dyDescent="0.2">
      <c r="A751" s="16" t="s">
        <v>2851</v>
      </c>
      <c r="B751" s="7" t="s">
        <v>2852</v>
      </c>
      <c r="C751" s="3" t="e">
        <f ca="1">[1]!BexGetData("DP_1","003N8EMH8GTFRCSWKMPXRR8GU","GSON1112060434")</f>
        <v>#NAME?</v>
      </c>
      <c r="D751" s="3" t="e">
        <f ca="1">[1]!BexGetData("DP_1","003N8EMH8GTFRCSWKMPXRRESE","GSON1112060434")</f>
        <v>#NAME?</v>
      </c>
      <c r="E751" s="8" t="e">
        <f ca="1">[1]!BexGetData("DP_1","003N8EMH8GTFRCSWKMPXRRL3Y","GSON1112060434")</f>
        <v>#NAME?</v>
      </c>
      <c r="F751" s="4" t="e">
        <f ca="1">[1]!BexGetData("DP_1","003N8EMH8GTFRCSWKMPXRRRFI","GSON1112060434")</f>
        <v>#NAME?</v>
      </c>
      <c r="G751" s="4" t="e">
        <f ca="1">[1]!BexGetData("DP_1","003N8EMH8GTFRCSWKMPXRRXR2","GSON1112060434")</f>
        <v>#NAME?</v>
      </c>
      <c r="H751" s="4" t="e">
        <f ca="1">[1]!BexGetData("DP_1","003N8EMH8GTFRCSWKMPXRS42M","GSON1112060434")</f>
        <v>#NAME?</v>
      </c>
      <c r="I751" s="4" t="e">
        <f ca="1">[1]!BexGetData("DP_1","003N8EMH8GTFRCSWKMPXRSAE6","GSON1112060434")</f>
        <v>#NAME?</v>
      </c>
      <c r="J751" s="4" t="e">
        <f ca="1">[1]!BexGetData("DP_1","003N8EMH8GTFRCSWKMPXRSGPQ","GSON1112060434")</f>
        <v>#NAME?</v>
      </c>
      <c r="K751" s="8" t="e">
        <f ca="1">[1]!BexGetData("DP_1","003N8EMH8GTFRIVNUPY288VJH","GSON1112060434")</f>
        <v>#NAME?</v>
      </c>
      <c r="L751" s="8" t="e">
        <f ca="1">[1]!BexGetData("DP_1","003N8EMH8GTFRIVNUPY2891V1","GSON1112060434")</f>
        <v>#NAME?</v>
      </c>
      <c r="M751" s="8" t="e">
        <f ca="1">[1]!BexGetData("DP_1","003N8EMH8GTFRIVOG7KG9IQXA","GSON1112060434")</f>
        <v>#NAME?</v>
      </c>
      <c r="N751" s="8" t="e">
        <f ca="1">[1]!BexGetData("DP_1","003N8EMH8GTFRIVOG7KG9IX8U","GSON1112060434")</f>
        <v>#NAME?</v>
      </c>
      <c r="O751" s="8" t="e">
        <f ca="1">[1]!BexGetData("DP_1","003N8EMH8GTFRIVOG7KG9J3KE","GSON1112060434")</f>
        <v>#NAME?</v>
      </c>
      <c r="P751" s="8" t="e">
        <f ca="1">[1]!BexGetData("DP_1","003N8EMH8GTFRIVOG7KG9J9VY","GSON1112060434")</f>
        <v>#NAME?</v>
      </c>
      <c r="Q751" s="4" t="e">
        <f ca="1">[1]!BexGetData("DP_1","00O2TNJGODT0G5Z4TTKYMM5MT","GSON1112060434")</f>
        <v>#NAME?</v>
      </c>
      <c r="R751" s="4" t="e">
        <f ca="1">[1]!BexGetData("DP_1","00O2TNJGODT0G5Z4TTKYMMBYD","GSON1112060434")</f>
        <v>#NAME?</v>
      </c>
      <c r="S751" s="4" t="e">
        <f ca="1">[1]!BexGetData("DP_1","00O2TNJGODT0G5Z4TTKYMMI9X","GSON1112060434")</f>
        <v>#NAME?</v>
      </c>
      <c r="T751" s="4" t="e">
        <f ca="1">[1]!BexGetData("DP_1","00O2TNJGODT0G5Z4TTKYMMOLH","GSON1112060434")</f>
        <v>#NAME?</v>
      </c>
      <c r="U751" s="4" t="e">
        <f ca="1">[1]!BexGetData("DP_1","00O2TNJGODT0G5Z4TTKYMMUX1","GSON1112060434")</f>
        <v>#NAME?</v>
      </c>
      <c r="V751" s="4" t="e">
        <f ca="1">[1]!BexGetData("DP_1","00O2TNJGODT0G5Z4TTKYMN18L","GSON1112060434")</f>
        <v>#NAME?</v>
      </c>
      <c r="W751" s="4" t="e">
        <f ca="1">[1]!BexGetData("DP_1","00O2TNJGODT0G5Z4TTKYMN7K5","GSON1112060434")</f>
        <v>#NAME?</v>
      </c>
    </row>
    <row r="752" spans="1:23" x14ac:dyDescent="0.2">
      <c r="A752" s="16" t="s">
        <v>2853</v>
      </c>
      <c r="B752" s="7" t="s">
        <v>2854</v>
      </c>
      <c r="C752" s="3" t="e">
        <f ca="1">[1]!BexGetData("DP_1","003N8EMH8GTFRCSWKMPXRR8GU","GSON1112060435")</f>
        <v>#NAME?</v>
      </c>
      <c r="D752" s="3" t="e">
        <f ca="1">[1]!BexGetData("DP_1","003N8EMH8GTFRCSWKMPXRRESE","GSON1112060435")</f>
        <v>#NAME?</v>
      </c>
      <c r="E752" s="8" t="e">
        <f ca="1">[1]!BexGetData("DP_1","003N8EMH8GTFRCSWKMPXRRL3Y","GSON1112060435")</f>
        <v>#NAME?</v>
      </c>
      <c r="F752" s="4" t="e">
        <f ca="1">[1]!BexGetData("DP_1","003N8EMH8GTFRCSWKMPXRRRFI","GSON1112060435")</f>
        <v>#NAME?</v>
      </c>
      <c r="G752" s="4" t="e">
        <f ca="1">[1]!BexGetData("DP_1","003N8EMH8GTFRCSWKMPXRRXR2","GSON1112060435")</f>
        <v>#NAME?</v>
      </c>
      <c r="H752" s="4" t="e">
        <f ca="1">[1]!BexGetData("DP_1","003N8EMH8GTFRCSWKMPXRS42M","GSON1112060435")</f>
        <v>#NAME?</v>
      </c>
      <c r="I752" s="4" t="e">
        <f ca="1">[1]!BexGetData("DP_1","003N8EMH8GTFRCSWKMPXRSAE6","GSON1112060435")</f>
        <v>#NAME?</v>
      </c>
      <c r="J752" s="4" t="e">
        <f ca="1">[1]!BexGetData("DP_1","003N8EMH8GTFRCSWKMPXRSGPQ","GSON1112060435")</f>
        <v>#NAME?</v>
      </c>
      <c r="K752" s="8" t="e">
        <f ca="1">[1]!BexGetData("DP_1","003N8EMH8GTFRIVNUPY288VJH","GSON1112060435")</f>
        <v>#NAME?</v>
      </c>
      <c r="L752" s="8" t="e">
        <f ca="1">[1]!BexGetData("DP_1","003N8EMH8GTFRIVNUPY2891V1","GSON1112060435")</f>
        <v>#NAME?</v>
      </c>
      <c r="M752" s="8" t="e">
        <f ca="1">[1]!BexGetData("DP_1","003N8EMH8GTFRIVOG7KG9IQXA","GSON1112060435")</f>
        <v>#NAME?</v>
      </c>
      <c r="N752" s="8" t="e">
        <f ca="1">[1]!BexGetData("DP_1","003N8EMH8GTFRIVOG7KG9IX8U","GSON1112060435")</f>
        <v>#NAME?</v>
      </c>
      <c r="O752" s="8" t="e">
        <f ca="1">[1]!BexGetData("DP_1","003N8EMH8GTFRIVOG7KG9J3KE","GSON1112060435")</f>
        <v>#NAME?</v>
      </c>
      <c r="P752" s="8" t="e">
        <f ca="1">[1]!BexGetData("DP_1","003N8EMH8GTFRIVOG7KG9J9VY","GSON1112060435")</f>
        <v>#NAME?</v>
      </c>
      <c r="Q752" s="4" t="e">
        <f ca="1">[1]!BexGetData("DP_1","00O2TNJGODT0G5Z4TTKYMM5MT","GSON1112060435")</f>
        <v>#NAME?</v>
      </c>
      <c r="R752" s="4" t="e">
        <f ca="1">[1]!BexGetData("DP_1","00O2TNJGODT0G5Z4TTKYMMBYD","GSON1112060435")</f>
        <v>#NAME?</v>
      </c>
      <c r="S752" s="4" t="e">
        <f ca="1">[1]!BexGetData("DP_1","00O2TNJGODT0G5Z4TTKYMMI9X","GSON1112060435")</f>
        <v>#NAME?</v>
      </c>
      <c r="T752" s="4" t="e">
        <f ca="1">[1]!BexGetData("DP_1","00O2TNJGODT0G5Z4TTKYMMOLH","GSON1112060435")</f>
        <v>#NAME?</v>
      </c>
      <c r="U752" s="4" t="e">
        <f ca="1">[1]!BexGetData("DP_1","00O2TNJGODT0G5Z4TTKYMMUX1","GSON1112060435")</f>
        <v>#NAME?</v>
      </c>
      <c r="V752" s="4" t="e">
        <f ca="1">[1]!BexGetData("DP_1","00O2TNJGODT0G5Z4TTKYMN18L","GSON1112060435")</f>
        <v>#NAME?</v>
      </c>
      <c r="W752" s="4" t="e">
        <f ca="1">[1]!BexGetData("DP_1","00O2TNJGODT0G5Z4TTKYMN7K5","GSON1112060435")</f>
        <v>#NAME?</v>
      </c>
    </row>
    <row r="753" spans="1:23" x14ac:dyDescent="0.2">
      <c r="A753" s="16" t="s">
        <v>2855</v>
      </c>
      <c r="B753" s="7" t="s">
        <v>2856</v>
      </c>
      <c r="C753" s="3" t="e">
        <f ca="1">[1]!BexGetData("DP_1","003N8EMH8GTFRCSWKMPXRR8GU","GSON1112060440")</f>
        <v>#NAME?</v>
      </c>
      <c r="D753" s="3" t="e">
        <f ca="1">[1]!BexGetData("DP_1","003N8EMH8GTFRCSWKMPXRRESE","GSON1112060440")</f>
        <v>#NAME?</v>
      </c>
      <c r="E753" s="3" t="e">
        <f ca="1">[1]!BexGetData("DP_1","003N8EMH8GTFRCSWKMPXRRL3Y","GSON1112060440")</f>
        <v>#NAME?</v>
      </c>
      <c r="F753" s="3" t="e">
        <f ca="1">[1]!BexGetData("DP_1","003N8EMH8GTFRCSWKMPXRRRFI","GSON1112060440")</f>
        <v>#NAME?</v>
      </c>
      <c r="G753" s="3" t="e">
        <f ca="1">[1]!BexGetData("DP_1","003N8EMH8GTFRCSWKMPXRRXR2","GSON1112060440")</f>
        <v>#NAME?</v>
      </c>
      <c r="H753" s="8" t="e">
        <f ca="1">[1]!BexGetData("DP_1","003N8EMH8GTFRCSWKMPXRS42M","GSON1112060440")</f>
        <v>#NAME?</v>
      </c>
      <c r="I753" s="3" t="e">
        <f ca="1">[1]!BexGetData("DP_1","003N8EMH8GTFRCSWKMPXRSAE6","GSON1112060440")</f>
        <v>#NAME?</v>
      </c>
      <c r="J753" s="4" t="e">
        <f ca="1">[1]!BexGetData("DP_1","003N8EMH8GTFRCSWKMPXRSGPQ","GSON1112060440")</f>
        <v>#NAME?</v>
      </c>
      <c r="K753" s="3" t="e">
        <f ca="1">[1]!BexGetData("DP_1","003N8EMH8GTFRIVNUPY288VJH","GSON1112060440")</f>
        <v>#NAME?</v>
      </c>
      <c r="L753" s="3" t="e">
        <f ca="1">[1]!BexGetData("DP_1","003N8EMH8GTFRIVNUPY2891V1","GSON1112060440")</f>
        <v>#NAME?</v>
      </c>
      <c r="M753" s="3" t="e">
        <f ca="1">[1]!BexGetData("DP_1","003N8EMH8GTFRIVOG7KG9IQXA","GSON1112060440")</f>
        <v>#NAME?</v>
      </c>
      <c r="N753" s="8" t="e">
        <f ca="1">[1]!BexGetData("DP_1","003N8EMH8GTFRIVOG7KG9IX8U","GSON1112060440")</f>
        <v>#NAME?</v>
      </c>
      <c r="O753" s="3" t="e">
        <f ca="1">[1]!BexGetData("DP_1","003N8EMH8GTFRIVOG7KG9J3KE","GSON1112060440")</f>
        <v>#NAME?</v>
      </c>
      <c r="P753" s="8" t="e">
        <f ca="1">[1]!BexGetData("DP_1","003N8EMH8GTFRIVOG7KG9J9VY","GSON1112060440")</f>
        <v>#NAME?</v>
      </c>
      <c r="Q753" s="4" t="e">
        <f ca="1">[1]!BexGetData("DP_1","00O2TNJGODT0G5Z4TTKYMM5MT","GSON1112060440")</f>
        <v>#NAME?</v>
      </c>
      <c r="R753" s="3" t="e">
        <f ca="1">[1]!BexGetData("DP_1","00O2TNJGODT0G5Z4TTKYMMBYD","GSON1112060440")</f>
        <v>#NAME?</v>
      </c>
      <c r="S753" s="3" t="e">
        <f ca="1">[1]!BexGetData("DP_1","00O2TNJGODT0G5Z4TTKYMMI9X","GSON1112060440")</f>
        <v>#NAME?</v>
      </c>
      <c r="T753" s="8" t="e">
        <f ca="1">[1]!BexGetData("DP_1","00O2TNJGODT0G5Z4TTKYMMOLH","GSON1112060440")</f>
        <v>#NAME?</v>
      </c>
      <c r="U753" s="3" t="e">
        <f ca="1">[1]!BexGetData("DP_1","00O2TNJGODT0G5Z4TTKYMMUX1","GSON1112060440")</f>
        <v>#NAME?</v>
      </c>
      <c r="V753" s="8" t="e">
        <f ca="1">[1]!BexGetData("DP_1","00O2TNJGODT0G5Z4TTKYMN18L","GSON1112060440")</f>
        <v>#NAME?</v>
      </c>
      <c r="W753" s="3" t="e">
        <f ca="1">[1]!BexGetData("DP_1","00O2TNJGODT0G5Z4TTKYMN7K5","GSON1112060440")</f>
        <v>#NAME?</v>
      </c>
    </row>
    <row r="754" spans="1:23" x14ac:dyDescent="0.2">
      <c r="A754" s="16" t="s">
        <v>2857</v>
      </c>
      <c r="B754" s="7" t="s">
        <v>2858</v>
      </c>
      <c r="C754" s="3" t="e">
        <f ca="1">[1]!BexGetData("DP_1","003N8EMH8GTFRCSWKMPXRR8GU","GSON1112060441")</f>
        <v>#NAME?</v>
      </c>
      <c r="D754" s="3" t="e">
        <f ca="1">[1]!BexGetData("DP_1","003N8EMH8GTFRCSWKMPXRRESE","GSON1112060441")</f>
        <v>#NAME?</v>
      </c>
      <c r="E754" s="8" t="e">
        <f ca="1">[1]!BexGetData("DP_1","003N8EMH8GTFRCSWKMPXRRL3Y","GSON1112060441")</f>
        <v>#NAME?</v>
      </c>
      <c r="F754" s="4" t="e">
        <f ca="1">[1]!BexGetData("DP_1","003N8EMH8GTFRCSWKMPXRRRFI","GSON1112060441")</f>
        <v>#NAME?</v>
      </c>
      <c r="G754" s="4" t="e">
        <f ca="1">[1]!BexGetData("DP_1","003N8EMH8GTFRCSWKMPXRRXR2","GSON1112060441")</f>
        <v>#NAME?</v>
      </c>
      <c r="H754" s="4" t="e">
        <f ca="1">[1]!BexGetData("DP_1","003N8EMH8GTFRCSWKMPXRS42M","GSON1112060441")</f>
        <v>#NAME?</v>
      </c>
      <c r="I754" s="4" t="e">
        <f ca="1">[1]!BexGetData("DP_1","003N8EMH8GTFRCSWKMPXRSAE6","GSON1112060441")</f>
        <v>#NAME?</v>
      </c>
      <c r="J754" s="4" t="e">
        <f ca="1">[1]!BexGetData("DP_1","003N8EMH8GTFRCSWKMPXRSGPQ","GSON1112060441")</f>
        <v>#NAME?</v>
      </c>
      <c r="K754" s="8" t="e">
        <f ca="1">[1]!BexGetData("DP_1","003N8EMH8GTFRIVNUPY288VJH","GSON1112060441")</f>
        <v>#NAME?</v>
      </c>
      <c r="L754" s="8" t="e">
        <f ca="1">[1]!BexGetData("DP_1","003N8EMH8GTFRIVNUPY2891V1","GSON1112060441")</f>
        <v>#NAME?</v>
      </c>
      <c r="M754" s="8" t="e">
        <f ca="1">[1]!BexGetData("DP_1","003N8EMH8GTFRIVOG7KG9IQXA","GSON1112060441")</f>
        <v>#NAME?</v>
      </c>
      <c r="N754" s="8" t="e">
        <f ca="1">[1]!BexGetData("DP_1","003N8EMH8GTFRIVOG7KG9IX8U","GSON1112060441")</f>
        <v>#NAME?</v>
      </c>
      <c r="O754" s="8" t="e">
        <f ca="1">[1]!BexGetData("DP_1","003N8EMH8GTFRIVOG7KG9J3KE","GSON1112060441")</f>
        <v>#NAME?</v>
      </c>
      <c r="P754" s="8" t="e">
        <f ca="1">[1]!BexGetData("DP_1","003N8EMH8GTFRIVOG7KG9J9VY","GSON1112060441")</f>
        <v>#NAME?</v>
      </c>
      <c r="Q754" s="4" t="e">
        <f ca="1">[1]!BexGetData("DP_1","00O2TNJGODT0G5Z4TTKYMM5MT","GSON1112060441")</f>
        <v>#NAME?</v>
      </c>
      <c r="R754" s="4" t="e">
        <f ca="1">[1]!BexGetData("DP_1","00O2TNJGODT0G5Z4TTKYMMBYD","GSON1112060441")</f>
        <v>#NAME?</v>
      </c>
      <c r="S754" s="4" t="e">
        <f ca="1">[1]!BexGetData("DP_1","00O2TNJGODT0G5Z4TTKYMMI9X","GSON1112060441")</f>
        <v>#NAME?</v>
      </c>
      <c r="T754" s="4" t="e">
        <f ca="1">[1]!BexGetData("DP_1","00O2TNJGODT0G5Z4TTKYMMOLH","GSON1112060441")</f>
        <v>#NAME?</v>
      </c>
      <c r="U754" s="4" t="e">
        <f ca="1">[1]!BexGetData("DP_1","00O2TNJGODT0G5Z4TTKYMMUX1","GSON1112060441")</f>
        <v>#NAME?</v>
      </c>
      <c r="V754" s="4" t="e">
        <f ca="1">[1]!BexGetData("DP_1","00O2TNJGODT0G5Z4TTKYMN18L","GSON1112060441")</f>
        <v>#NAME?</v>
      </c>
      <c r="W754" s="4" t="e">
        <f ca="1">[1]!BexGetData("DP_1","00O2TNJGODT0G5Z4TTKYMN7K5","GSON1112060441")</f>
        <v>#NAME?</v>
      </c>
    </row>
    <row r="755" spans="1:23" x14ac:dyDescent="0.2">
      <c r="A755" s="16" t="s">
        <v>2859</v>
      </c>
      <c r="B755" s="7" t="s">
        <v>2860</v>
      </c>
      <c r="C755" s="3" t="e">
        <f ca="1">[1]!BexGetData("DP_1","003N8EMH8GTFRCSWKMPXRR8GU","GSON1112060444")</f>
        <v>#NAME?</v>
      </c>
      <c r="D755" s="3" t="e">
        <f ca="1">[1]!BexGetData("DP_1","003N8EMH8GTFRCSWKMPXRRESE","GSON1112060444")</f>
        <v>#NAME?</v>
      </c>
      <c r="E755" s="8" t="e">
        <f ca="1">[1]!BexGetData("DP_1","003N8EMH8GTFRCSWKMPXRRL3Y","GSON1112060444")</f>
        <v>#NAME?</v>
      </c>
      <c r="F755" s="4" t="e">
        <f ca="1">[1]!BexGetData("DP_1","003N8EMH8GTFRCSWKMPXRRRFI","GSON1112060444")</f>
        <v>#NAME?</v>
      </c>
      <c r="G755" s="4" t="e">
        <f ca="1">[1]!BexGetData("DP_1","003N8EMH8GTFRCSWKMPXRRXR2","GSON1112060444")</f>
        <v>#NAME?</v>
      </c>
      <c r="H755" s="4" t="e">
        <f ca="1">[1]!BexGetData("DP_1","003N8EMH8GTFRCSWKMPXRS42M","GSON1112060444")</f>
        <v>#NAME?</v>
      </c>
      <c r="I755" s="4" t="e">
        <f ca="1">[1]!BexGetData("DP_1","003N8EMH8GTFRCSWKMPXRSAE6","GSON1112060444")</f>
        <v>#NAME?</v>
      </c>
      <c r="J755" s="4" t="e">
        <f ca="1">[1]!BexGetData("DP_1","003N8EMH8GTFRCSWKMPXRSGPQ","GSON1112060444")</f>
        <v>#NAME?</v>
      </c>
      <c r="K755" s="8" t="e">
        <f ca="1">[1]!BexGetData("DP_1","003N8EMH8GTFRIVNUPY288VJH","GSON1112060444")</f>
        <v>#NAME?</v>
      </c>
      <c r="L755" s="8" t="e">
        <f ca="1">[1]!BexGetData("DP_1","003N8EMH8GTFRIVNUPY2891V1","GSON1112060444")</f>
        <v>#NAME?</v>
      </c>
      <c r="M755" s="8" t="e">
        <f ca="1">[1]!BexGetData("DP_1","003N8EMH8GTFRIVOG7KG9IQXA","GSON1112060444")</f>
        <v>#NAME?</v>
      </c>
      <c r="N755" s="8" t="e">
        <f ca="1">[1]!BexGetData("DP_1","003N8EMH8GTFRIVOG7KG9IX8U","GSON1112060444")</f>
        <v>#NAME?</v>
      </c>
      <c r="O755" s="8" t="e">
        <f ca="1">[1]!BexGetData("DP_1","003N8EMH8GTFRIVOG7KG9J3KE","GSON1112060444")</f>
        <v>#NAME?</v>
      </c>
      <c r="P755" s="8" t="e">
        <f ca="1">[1]!BexGetData("DP_1","003N8EMH8GTFRIVOG7KG9J9VY","GSON1112060444")</f>
        <v>#NAME?</v>
      </c>
      <c r="Q755" s="4" t="e">
        <f ca="1">[1]!BexGetData("DP_1","00O2TNJGODT0G5Z4TTKYMM5MT","GSON1112060444")</f>
        <v>#NAME?</v>
      </c>
      <c r="R755" s="4" t="e">
        <f ca="1">[1]!BexGetData("DP_1","00O2TNJGODT0G5Z4TTKYMMBYD","GSON1112060444")</f>
        <v>#NAME?</v>
      </c>
      <c r="S755" s="4" t="e">
        <f ca="1">[1]!BexGetData("DP_1","00O2TNJGODT0G5Z4TTKYMMI9X","GSON1112060444")</f>
        <v>#NAME?</v>
      </c>
      <c r="T755" s="4" t="e">
        <f ca="1">[1]!BexGetData("DP_1","00O2TNJGODT0G5Z4TTKYMMOLH","GSON1112060444")</f>
        <v>#NAME?</v>
      </c>
      <c r="U755" s="4" t="e">
        <f ca="1">[1]!BexGetData("DP_1","00O2TNJGODT0G5Z4TTKYMMUX1","GSON1112060444")</f>
        <v>#NAME?</v>
      </c>
      <c r="V755" s="4" t="e">
        <f ca="1">[1]!BexGetData("DP_1","00O2TNJGODT0G5Z4TTKYMN18L","GSON1112060444")</f>
        <v>#NAME?</v>
      </c>
      <c r="W755" s="4" t="e">
        <f ca="1">[1]!BexGetData("DP_1","00O2TNJGODT0G5Z4TTKYMN7K5","GSON1112060444")</f>
        <v>#NAME?</v>
      </c>
    </row>
    <row r="756" spans="1:23" x14ac:dyDescent="0.2">
      <c r="A756" s="16" t="s">
        <v>2861</v>
      </c>
      <c r="B756" s="7" t="s">
        <v>2862</v>
      </c>
      <c r="C756" s="3" t="e">
        <f ca="1">[1]!BexGetData("DP_1","003N8EMH8GTFRCSWKMPXRR8GU","GSON1112060445")</f>
        <v>#NAME?</v>
      </c>
      <c r="D756" s="3" t="e">
        <f ca="1">[1]!BexGetData("DP_1","003N8EMH8GTFRCSWKMPXRRESE","GSON1112060445")</f>
        <v>#NAME?</v>
      </c>
      <c r="E756" s="8" t="e">
        <f ca="1">[1]!BexGetData("DP_1","003N8EMH8GTFRCSWKMPXRRL3Y","GSON1112060445")</f>
        <v>#NAME?</v>
      </c>
      <c r="F756" s="4" t="e">
        <f ca="1">[1]!BexGetData("DP_1","003N8EMH8GTFRCSWKMPXRRRFI","GSON1112060445")</f>
        <v>#NAME?</v>
      </c>
      <c r="G756" s="4" t="e">
        <f ca="1">[1]!BexGetData("DP_1","003N8EMH8GTFRCSWKMPXRRXR2","GSON1112060445")</f>
        <v>#NAME?</v>
      </c>
      <c r="H756" s="4" t="e">
        <f ca="1">[1]!BexGetData("DP_1","003N8EMH8GTFRCSWKMPXRS42M","GSON1112060445")</f>
        <v>#NAME?</v>
      </c>
      <c r="I756" s="4" t="e">
        <f ca="1">[1]!BexGetData("DP_1","003N8EMH8GTFRCSWKMPXRSAE6","GSON1112060445")</f>
        <v>#NAME?</v>
      </c>
      <c r="J756" s="4" t="e">
        <f ca="1">[1]!BexGetData("DP_1","003N8EMH8GTFRCSWKMPXRSGPQ","GSON1112060445")</f>
        <v>#NAME?</v>
      </c>
      <c r="K756" s="8" t="e">
        <f ca="1">[1]!BexGetData("DP_1","003N8EMH8GTFRIVNUPY288VJH","GSON1112060445")</f>
        <v>#NAME?</v>
      </c>
      <c r="L756" s="8" t="e">
        <f ca="1">[1]!BexGetData("DP_1","003N8EMH8GTFRIVNUPY2891V1","GSON1112060445")</f>
        <v>#NAME?</v>
      </c>
      <c r="M756" s="8" t="e">
        <f ca="1">[1]!BexGetData("DP_1","003N8EMH8GTFRIVOG7KG9IQXA","GSON1112060445")</f>
        <v>#NAME?</v>
      </c>
      <c r="N756" s="8" t="e">
        <f ca="1">[1]!BexGetData("DP_1","003N8EMH8GTFRIVOG7KG9IX8U","GSON1112060445")</f>
        <v>#NAME?</v>
      </c>
      <c r="O756" s="8" t="e">
        <f ca="1">[1]!BexGetData("DP_1","003N8EMH8GTFRIVOG7KG9J3KE","GSON1112060445")</f>
        <v>#NAME?</v>
      </c>
      <c r="P756" s="8" t="e">
        <f ca="1">[1]!BexGetData("DP_1","003N8EMH8GTFRIVOG7KG9J9VY","GSON1112060445")</f>
        <v>#NAME?</v>
      </c>
      <c r="Q756" s="4" t="e">
        <f ca="1">[1]!BexGetData("DP_1","00O2TNJGODT0G5Z4TTKYMM5MT","GSON1112060445")</f>
        <v>#NAME?</v>
      </c>
      <c r="R756" s="4" t="e">
        <f ca="1">[1]!BexGetData("DP_1","00O2TNJGODT0G5Z4TTKYMMBYD","GSON1112060445")</f>
        <v>#NAME?</v>
      </c>
      <c r="S756" s="4" t="e">
        <f ca="1">[1]!BexGetData("DP_1","00O2TNJGODT0G5Z4TTKYMMI9X","GSON1112060445")</f>
        <v>#NAME?</v>
      </c>
      <c r="T756" s="4" t="e">
        <f ca="1">[1]!BexGetData("DP_1","00O2TNJGODT0G5Z4TTKYMMOLH","GSON1112060445")</f>
        <v>#NAME?</v>
      </c>
      <c r="U756" s="4" t="e">
        <f ca="1">[1]!BexGetData("DP_1","00O2TNJGODT0G5Z4TTKYMMUX1","GSON1112060445")</f>
        <v>#NAME?</v>
      </c>
      <c r="V756" s="4" t="e">
        <f ca="1">[1]!BexGetData("DP_1","00O2TNJGODT0G5Z4TTKYMN18L","GSON1112060445")</f>
        <v>#NAME?</v>
      </c>
      <c r="W756" s="4" t="e">
        <f ca="1">[1]!BexGetData("DP_1","00O2TNJGODT0G5Z4TTKYMN7K5","GSON1112060445")</f>
        <v>#NAME?</v>
      </c>
    </row>
    <row r="757" spans="1:23" x14ac:dyDescent="0.2">
      <c r="A757" s="16" t="s">
        <v>963</v>
      </c>
      <c r="B757" s="7" t="s">
        <v>964</v>
      </c>
      <c r="C757" s="3" t="e">
        <f ca="1">[1]!BexGetData("DP_1","003N8EMH8GTFRCSWKMPXRR8GU","GSON1112060450")</f>
        <v>#NAME?</v>
      </c>
      <c r="D757" s="3" t="e">
        <f ca="1">[1]!BexGetData("DP_1","003N8EMH8GTFRCSWKMPXRRESE","GSON1112060450")</f>
        <v>#NAME?</v>
      </c>
      <c r="E757" s="3" t="e">
        <f ca="1">[1]!BexGetData("DP_1","003N8EMH8GTFRCSWKMPXRRL3Y","GSON1112060450")</f>
        <v>#NAME?</v>
      </c>
      <c r="F757" s="3" t="e">
        <f ca="1">[1]!BexGetData("DP_1","003N8EMH8GTFRCSWKMPXRRRFI","GSON1112060450")</f>
        <v>#NAME?</v>
      </c>
      <c r="G757" s="3" t="e">
        <f ca="1">[1]!BexGetData("DP_1","003N8EMH8GTFRCSWKMPXRRXR2","GSON1112060450")</f>
        <v>#NAME?</v>
      </c>
      <c r="H757" s="8" t="e">
        <f ca="1">[1]!BexGetData("DP_1","003N8EMH8GTFRCSWKMPXRS42M","GSON1112060450")</f>
        <v>#NAME?</v>
      </c>
      <c r="I757" s="3" t="e">
        <f ca="1">[1]!BexGetData("DP_1","003N8EMH8GTFRCSWKMPXRSAE6","GSON1112060450")</f>
        <v>#NAME?</v>
      </c>
      <c r="J757" s="4" t="e">
        <f ca="1">[1]!BexGetData("DP_1","003N8EMH8GTFRCSWKMPXRSGPQ","GSON1112060450")</f>
        <v>#NAME?</v>
      </c>
      <c r="K757" s="3" t="e">
        <f ca="1">[1]!BexGetData("DP_1","003N8EMH8GTFRIVNUPY288VJH","GSON1112060450")</f>
        <v>#NAME?</v>
      </c>
      <c r="L757" s="3" t="e">
        <f ca="1">[1]!BexGetData("DP_1","003N8EMH8GTFRIVNUPY2891V1","GSON1112060450")</f>
        <v>#NAME?</v>
      </c>
      <c r="M757" s="3" t="e">
        <f ca="1">[1]!BexGetData("DP_1","003N8EMH8GTFRIVOG7KG9IQXA","GSON1112060450")</f>
        <v>#NAME?</v>
      </c>
      <c r="N757" s="8" t="e">
        <f ca="1">[1]!BexGetData("DP_1","003N8EMH8GTFRIVOG7KG9IX8U","GSON1112060450")</f>
        <v>#NAME?</v>
      </c>
      <c r="O757" s="3" t="e">
        <f ca="1">[1]!BexGetData("DP_1","003N8EMH8GTFRIVOG7KG9J3KE","GSON1112060450")</f>
        <v>#NAME?</v>
      </c>
      <c r="P757" s="8" t="e">
        <f ca="1">[1]!BexGetData("DP_1","003N8EMH8GTFRIVOG7KG9J9VY","GSON1112060450")</f>
        <v>#NAME?</v>
      </c>
      <c r="Q757" s="4" t="e">
        <f ca="1">[1]!BexGetData("DP_1","00O2TNJGODT0G5Z4TTKYMM5MT","GSON1112060450")</f>
        <v>#NAME?</v>
      </c>
      <c r="R757" s="3" t="e">
        <f ca="1">[1]!BexGetData("DP_1","00O2TNJGODT0G5Z4TTKYMMBYD","GSON1112060450")</f>
        <v>#NAME?</v>
      </c>
      <c r="S757" s="3" t="e">
        <f ca="1">[1]!BexGetData("DP_1","00O2TNJGODT0G5Z4TTKYMMI9X","GSON1112060450")</f>
        <v>#NAME?</v>
      </c>
      <c r="T757" s="8" t="e">
        <f ca="1">[1]!BexGetData("DP_1","00O2TNJGODT0G5Z4TTKYMMOLH","GSON1112060450")</f>
        <v>#NAME?</v>
      </c>
      <c r="U757" s="3" t="e">
        <f ca="1">[1]!BexGetData("DP_1","00O2TNJGODT0G5Z4TTKYMMUX1","GSON1112060450")</f>
        <v>#NAME?</v>
      </c>
      <c r="V757" s="8" t="e">
        <f ca="1">[1]!BexGetData("DP_1","00O2TNJGODT0G5Z4TTKYMN18L","GSON1112060450")</f>
        <v>#NAME?</v>
      </c>
      <c r="W757" s="3" t="e">
        <f ca="1">[1]!BexGetData("DP_1","00O2TNJGODT0G5Z4TTKYMN7K5","GSON1112060450")</f>
        <v>#NAME?</v>
      </c>
    </row>
    <row r="758" spans="1:23" x14ac:dyDescent="0.2">
      <c r="A758" s="16" t="s">
        <v>2863</v>
      </c>
      <c r="B758" s="7" t="s">
        <v>2864</v>
      </c>
      <c r="C758" s="3" t="e">
        <f ca="1">[1]!BexGetData("DP_1","003N8EMH8GTFRCSWKMPXRR8GU","GSON1112060451")</f>
        <v>#NAME?</v>
      </c>
      <c r="D758" s="3" t="e">
        <f ca="1">[1]!BexGetData("DP_1","003N8EMH8GTFRCSWKMPXRRESE","GSON1112060451")</f>
        <v>#NAME?</v>
      </c>
      <c r="E758" s="8" t="e">
        <f ca="1">[1]!BexGetData("DP_1","003N8EMH8GTFRCSWKMPXRRL3Y","GSON1112060451")</f>
        <v>#NAME?</v>
      </c>
      <c r="F758" s="4" t="e">
        <f ca="1">[1]!BexGetData("DP_1","003N8EMH8GTFRCSWKMPXRRRFI","GSON1112060451")</f>
        <v>#NAME?</v>
      </c>
      <c r="G758" s="4" t="e">
        <f ca="1">[1]!BexGetData("DP_1","003N8EMH8GTFRCSWKMPXRRXR2","GSON1112060451")</f>
        <v>#NAME?</v>
      </c>
      <c r="H758" s="4" t="e">
        <f ca="1">[1]!BexGetData("DP_1","003N8EMH8GTFRCSWKMPXRS42M","GSON1112060451")</f>
        <v>#NAME?</v>
      </c>
      <c r="I758" s="4" t="e">
        <f ca="1">[1]!BexGetData("DP_1","003N8EMH8GTFRCSWKMPXRSAE6","GSON1112060451")</f>
        <v>#NAME?</v>
      </c>
      <c r="J758" s="4" t="e">
        <f ca="1">[1]!BexGetData("DP_1","003N8EMH8GTFRCSWKMPXRSGPQ","GSON1112060451")</f>
        <v>#NAME?</v>
      </c>
      <c r="K758" s="8" t="e">
        <f ca="1">[1]!BexGetData("DP_1","003N8EMH8GTFRIVNUPY288VJH","GSON1112060451")</f>
        <v>#NAME?</v>
      </c>
      <c r="L758" s="8" t="e">
        <f ca="1">[1]!BexGetData("DP_1","003N8EMH8GTFRIVNUPY2891V1","GSON1112060451")</f>
        <v>#NAME?</v>
      </c>
      <c r="M758" s="8" t="e">
        <f ca="1">[1]!BexGetData("DP_1","003N8EMH8GTFRIVOG7KG9IQXA","GSON1112060451")</f>
        <v>#NAME?</v>
      </c>
      <c r="N758" s="8" t="e">
        <f ca="1">[1]!BexGetData("DP_1","003N8EMH8GTFRIVOG7KG9IX8U","GSON1112060451")</f>
        <v>#NAME?</v>
      </c>
      <c r="O758" s="8" t="e">
        <f ca="1">[1]!BexGetData("DP_1","003N8EMH8GTFRIVOG7KG9J3KE","GSON1112060451")</f>
        <v>#NAME?</v>
      </c>
      <c r="P758" s="8" t="e">
        <f ca="1">[1]!BexGetData("DP_1","003N8EMH8GTFRIVOG7KG9J9VY","GSON1112060451")</f>
        <v>#NAME?</v>
      </c>
      <c r="Q758" s="4" t="e">
        <f ca="1">[1]!BexGetData("DP_1","00O2TNJGODT0G5Z4TTKYMM5MT","GSON1112060451")</f>
        <v>#NAME?</v>
      </c>
      <c r="R758" s="4" t="e">
        <f ca="1">[1]!BexGetData("DP_1","00O2TNJGODT0G5Z4TTKYMMBYD","GSON1112060451")</f>
        <v>#NAME?</v>
      </c>
      <c r="S758" s="4" t="e">
        <f ca="1">[1]!BexGetData("DP_1","00O2TNJGODT0G5Z4TTKYMMI9X","GSON1112060451")</f>
        <v>#NAME?</v>
      </c>
      <c r="T758" s="4" t="e">
        <f ca="1">[1]!BexGetData("DP_1","00O2TNJGODT0G5Z4TTKYMMOLH","GSON1112060451")</f>
        <v>#NAME?</v>
      </c>
      <c r="U758" s="4" t="e">
        <f ca="1">[1]!BexGetData("DP_1","00O2TNJGODT0G5Z4TTKYMMUX1","GSON1112060451")</f>
        <v>#NAME?</v>
      </c>
      <c r="V758" s="4" t="e">
        <f ca="1">[1]!BexGetData("DP_1","00O2TNJGODT0G5Z4TTKYMN18L","GSON1112060451")</f>
        <v>#NAME?</v>
      </c>
      <c r="W758" s="4" t="e">
        <f ca="1">[1]!BexGetData("DP_1","00O2TNJGODT0G5Z4TTKYMN7K5","GSON1112060451")</f>
        <v>#NAME?</v>
      </c>
    </row>
    <row r="759" spans="1:23" x14ac:dyDescent="0.2">
      <c r="A759" s="16" t="s">
        <v>2865</v>
      </c>
      <c r="B759" s="7" t="s">
        <v>965</v>
      </c>
      <c r="C759" s="3" t="e">
        <f ca="1">[1]!BexGetData("DP_1","003N8EMH8GTFRCSWKMPXRR8GU","GSON1112060452")</f>
        <v>#NAME?</v>
      </c>
      <c r="D759" s="3" t="e">
        <f ca="1">[1]!BexGetData("DP_1","003N8EMH8GTFRCSWKMPXRRESE","GSON1112060452")</f>
        <v>#NAME?</v>
      </c>
      <c r="E759" s="3" t="e">
        <f ca="1">[1]!BexGetData("DP_1","003N8EMH8GTFRCSWKMPXRRL3Y","GSON1112060452")</f>
        <v>#NAME?</v>
      </c>
      <c r="F759" s="3" t="e">
        <f ca="1">[1]!BexGetData("DP_1","003N8EMH8GTFRCSWKMPXRRRFI","GSON1112060452")</f>
        <v>#NAME?</v>
      </c>
      <c r="G759" s="8" t="e">
        <f ca="1">[1]!BexGetData("DP_1","003N8EMH8GTFRCSWKMPXRRXR2","GSON1112060452")</f>
        <v>#NAME?</v>
      </c>
      <c r="H759" s="3" t="e">
        <f ca="1">[1]!BexGetData("DP_1","003N8EMH8GTFRCSWKMPXRS42M","GSON1112060452")</f>
        <v>#NAME?</v>
      </c>
      <c r="I759" s="3" t="e">
        <f ca="1">[1]!BexGetData("DP_1","003N8EMH8GTFRCSWKMPXRSAE6","GSON1112060452")</f>
        <v>#NAME?</v>
      </c>
      <c r="J759" s="4" t="e">
        <f ca="1">[1]!BexGetData("DP_1","003N8EMH8GTFRCSWKMPXRSGPQ","GSON1112060452")</f>
        <v>#NAME?</v>
      </c>
      <c r="K759" s="3" t="e">
        <f ca="1">[1]!BexGetData("DP_1","003N8EMH8GTFRIVNUPY288VJH","GSON1112060452")</f>
        <v>#NAME?</v>
      </c>
      <c r="L759" s="3" t="e">
        <f ca="1">[1]!BexGetData("DP_1","003N8EMH8GTFRIVNUPY2891V1","GSON1112060452")</f>
        <v>#NAME?</v>
      </c>
      <c r="M759" s="8" t="e">
        <f ca="1">[1]!BexGetData("DP_1","003N8EMH8GTFRIVOG7KG9IQXA","GSON1112060452")</f>
        <v>#NAME?</v>
      </c>
      <c r="N759" s="3" t="e">
        <f ca="1">[1]!BexGetData("DP_1","003N8EMH8GTFRIVOG7KG9IX8U","GSON1112060452")</f>
        <v>#NAME?</v>
      </c>
      <c r="O759" s="8" t="e">
        <f ca="1">[1]!BexGetData("DP_1","003N8EMH8GTFRIVOG7KG9J3KE","GSON1112060452")</f>
        <v>#NAME?</v>
      </c>
      <c r="P759" s="3" t="e">
        <f ca="1">[1]!BexGetData("DP_1","003N8EMH8GTFRIVOG7KG9J9VY","GSON1112060452")</f>
        <v>#NAME?</v>
      </c>
      <c r="Q759" s="4" t="e">
        <f ca="1">[1]!BexGetData("DP_1","00O2TNJGODT0G5Z4TTKYMM5MT","GSON1112060452")</f>
        <v>#NAME?</v>
      </c>
      <c r="R759" s="3" t="e">
        <f ca="1">[1]!BexGetData("DP_1","00O2TNJGODT0G5Z4TTKYMMBYD","GSON1112060452")</f>
        <v>#NAME?</v>
      </c>
      <c r="S759" s="3" t="e">
        <f ca="1">[1]!BexGetData("DP_1","00O2TNJGODT0G5Z4TTKYMMI9X","GSON1112060452")</f>
        <v>#NAME?</v>
      </c>
      <c r="T759" s="3" t="e">
        <f ca="1">[1]!BexGetData("DP_1","00O2TNJGODT0G5Z4TTKYMMOLH","GSON1112060452")</f>
        <v>#NAME?</v>
      </c>
      <c r="U759" s="8" t="e">
        <f ca="1">[1]!BexGetData("DP_1","00O2TNJGODT0G5Z4TTKYMMUX1","GSON1112060452")</f>
        <v>#NAME?</v>
      </c>
      <c r="V759" s="3" t="e">
        <f ca="1">[1]!BexGetData("DP_1","00O2TNJGODT0G5Z4TTKYMN18L","GSON1112060452")</f>
        <v>#NAME?</v>
      </c>
      <c r="W759" s="8" t="e">
        <f ca="1">[1]!BexGetData("DP_1","00O2TNJGODT0G5Z4TTKYMN7K5","GSON1112060452")</f>
        <v>#NAME?</v>
      </c>
    </row>
    <row r="760" spans="1:23" x14ac:dyDescent="0.2">
      <c r="A760" s="16" t="s">
        <v>2866</v>
      </c>
      <c r="B760" s="7" t="s">
        <v>2867</v>
      </c>
      <c r="C760" s="3" t="e">
        <f ca="1">[1]!BexGetData("DP_1","003N8EMH8GTFRCSWKMPXRR8GU","GSON1112060453")</f>
        <v>#NAME?</v>
      </c>
      <c r="D760" s="3" t="e">
        <f ca="1">[1]!BexGetData("DP_1","003N8EMH8GTFRCSWKMPXRRESE","GSON1112060453")</f>
        <v>#NAME?</v>
      </c>
      <c r="E760" s="8" t="e">
        <f ca="1">[1]!BexGetData("DP_1","003N8EMH8GTFRCSWKMPXRRL3Y","GSON1112060453")</f>
        <v>#NAME?</v>
      </c>
      <c r="F760" s="4" t="e">
        <f ca="1">[1]!BexGetData("DP_1","003N8EMH8GTFRCSWKMPXRRRFI","GSON1112060453")</f>
        <v>#NAME?</v>
      </c>
      <c r="G760" s="4" t="e">
        <f ca="1">[1]!BexGetData("DP_1","003N8EMH8GTFRCSWKMPXRRXR2","GSON1112060453")</f>
        <v>#NAME?</v>
      </c>
      <c r="H760" s="4" t="e">
        <f ca="1">[1]!BexGetData("DP_1","003N8EMH8GTFRCSWKMPXRS42M","GSON1112060453")</f>
        <v>#NAME?</v>
      </c>
      <c r="I760" s="4" t="e">
        <f ca="1">[1]!BexGetData("DP_1","003N8EMH8GTFRCSWKMPXRSAE6","GSON1112060453")</f>
        <v>#NAME?</v>
      </c>
      <c r="J760" s="4" t="e">
        <f ca="1">[1]!BexGetData("DP_1","003N8EMH8GTFRCSWKMPXRSGPQ","GSON1112060453")</f>
        <v>#NAME?</v>
      </c>
      <c r="K760" s="8" t="e">
        <f ca="1">[1]!BexGetData("DP_1","003N8EMH8GTFRIVNUPY288VJH","GSON1112060453")</f>
        <v>#NAME?</v>
      </c>
      <c r="L760" s="8" t="e">
        <f ca="1">[1]!BexGetData("DP_1","003N8EMH8GTFRIVNUPY2891V1","GSON1112060453")</f>
        <v>#NAME?</v>
      </c>
      <c r="M760" s="8" t="e">
        <f ca="1">[1]!BexGetData("DP_1","003N8EMH8GTFRIVOG7KG9IQXA","GSON1112060453")</f>
        <v>#NAME?</v>
      </c>
      <c r="N760" s="8" t="e">
        <f ca="1">[1]!BexGetData("DP_1","003N8EMH8GTFRIVOG7KG9IX8U","GSON1112060453")</f>
        <v>#NAME?</v>
      </c>
      <c r="O760" s="8" t="e">
        <f ca="1">[1]!BexGetData("DP_1","003N8EMH8GTFRIVOG7KG9J3KE","GSON1112060453")</f>
        <v>#NAME?</v>
      </c>
      <c r="P760" s="8" t="e">
        <f ca="1">[1]!BexGetData("DP_1","003N8EMH8GTFRIVOG7KG9J9VY","GSON1112060453")</f>
        <v>#NAME?</v>
      </c>
      <c r="Q760" s="4" t="e">
        <f ca="1">[1]!BexGetData("DP_1","00O2TNJGODT0G5Z4TTKYMM5MT","GSON1112060453")</f>
        <v>#NAME?</v>
      </c>
      <c r="R760" s="4" t="e">
        <f ca="1">[1]!BexGetData("DP_1","00O2TNJGODT0G5Z4TTKYMMBYD","GSON1112060453")</f>
        <v>#NAME?</v>
      </c>
      <c r="S760" s="4" t="e">
        <f ca="1">[1]!BexGetData("DP_1","00O2TNJGODT0G5Z4TTKYMMI9X","GSON1112060453")</f>
        <v>#NAME?</v>
      </c>
      <c r="T760" s="4" t="e">
        <f ca="1">[1]!BexGetData("DP_1","00O2TNJGODT0G5Z4TTKYMMOLH","GSON1112060453")</f>
        <v>#NAME?</v>
      </c>
      <c r="U760" s="4" t="e">
        <f ca="1">[1]!BexGetData("DP_1","00O2TNJGODT0G5Z4TTKYMMUX1","GSON1112060453")</f>
        <v>#NAME?</v>
      </c>
      <c r="V760" s="4" t="e">
        <f ca="1">[1]!BexGetData("DP_1","00O2TNJGODT0G5Z4TTKYMN18L","GSON1112060453")</f>
        <v>#NAME?</v>
      </c>
      <c r="W760" s="4" t="e">
        <f ca="1">[1]!BexGetData("DP_1","00O2TNJGODT0G5Z4TTKYMN7K5","GSON1112060453")</f>
        <v>#NAME?</v>
      </c>
    </row>
    <row r="761" spans="1:23" x14ac:dyDescent="0.2">
      <c r="A761" s="16" t="s">
        <v>2868</v>
      </c>
      <c r="B761" s="7" t="s">
        <v>2869</v>
      </c>
      <c r="C761" s="3" t="e">
        <f ca="1">[1]!BexGetData("DP_1","003N8EMH8GTFRCSWKMPXRR8GU","GSON1112060454")</f>
        <v>#NAME?</v>
      </c>
      <c r="D761" s="3" t="e">
        <f ca="1">[1]!BexGetData("DP_1","003N8EMH8GTFRCSWKMPXRRESE","GSON1112060454")</f>
        <v>#NAME?</v>
      </c>
      <c r="E761" s="8" t="e">
        <f ca="1">[1]!BexGetData("DP_1","003N8EMH8GTFRCSWKMPXRRL3Y","GSON1112060454")</f>
        <v>#NAME?</v>
      </c>
      <c r="F761" s="4" t="e">
        <f ca="1">[1]!BexGetData("DP_1","003N8EMH8GTFRCSWKMPXRRRFI","GSON1112060454")</f>
        <v>#NAME?</v>
      </c>
      <c r="G761" s="4" t="e">
        <f ca="1">[1]!BexGetData("DP_1","003N8EMH8GTFRCSWKMPXRRXR2","GSON1112060454")</f>
        <v>#NAME?</v>
      </c>
      <c r="H761" s="4" t="e">
        <f ca="1">[1]!BexGetData("DP_1","003N8EMH8GTFRCSWKMPXRS42M","GSON1112060454")</f>
        <v>#NAME?</v>
      </c>
      <c r="I761" s="4" t="e">
        <f ca="1">[1]!BexGetData("DP_1","003N8EMH8GTFRCSWKMPXRSAE6","GSON1112060454")</f>
        <v>#NAME?</v>
      </c>
      <c r="J761" s="4" t="e">
        <f ca="1">[1]!BexGetData("DP_1","003N8EMH8GTFRCSWKMPXRSGPQ","GSON1112060454")</f>
        <v>#NAME?</v>
      </c>
      <c r="K761" s="8" t="e">
        <f ca="1">[1]!BexGetData("DP_1","003N8EMH8GTFRIVNUPY288VJH","GSON1112060454")</f>
        <v>#NAME?</v>
      </c>
      <c r="L761" s="8" t="e">
        <f ca="1">[1]!BexGetData("DP_1","003N8EMH8GTFRIVNUPY2891V1","GSON1112060454")</f>
        <v>#NAME?</v>
      </c>
      <c r="M761" s="8" t="e">
        <f ca="1">[1]!BexGetData("DP_1","003N8EMH8GTFRIVOG7KG9IQXA","GSON1112060454")</f>
        <v>#NAME?</v>
      </c>
      <c r="N761" s="8" t="e">
        <f ca="1">[1]!BexGetData("DP_1","003N8EMH8GTFRIVOG7KG9IX8U","GSON1112060454")</f>
        <v>#NAME?</v>
      </c>
      <c r="O761" s="8" t="e">
        <f ca="1">[1]!BexGetData("DP_1","003N8EMH8GTFRIVOG7KG9J3KE","GSON1112060454")</f>
        <v>#NAME?</v>
      </c>
      <c r="P761" s="8" t="e">
        <f ca="1">[1]!BexGetData("DP_1","003N8EMH8GTFRIVOG7KG9J9VY","GSON1112060454")</f>
        <v>#NAME?</v>
      </c>
      <c r="Q761" s="4" t="e">
        <f ca="1">[1]!BexGetData("DP_1","00O2TNJGODT0G5Z4TTKYMM5MT","GSON1112060454")</f>
        <v>#NAME?</v>
      </c>
      <c r="R761" s="4" t="e">
        <f ca="1">[1]!BexGetData("DP_1","00O2TNJGODT0G5Z4TTKYMMBYD","GSON1112060454")</f>
        <v>#NAME?</v>
      </c>
      <c r="S761" s="4" t="e">
        <f ca="1">[1]!BexGetData("DP_1","00O2TNJGODT0G5Z4TTKYMMI9X","GSON1112060454")</f>
        <v>#NAME?</v>
      </c>
      <c r="T761" s="4" t="e">
        <f ca="1">[1]!BexGetData("DP_1","00O2TNJGODT0G5Z4TTKYMMOLH","GSON1112060454")</f>
        <v>#NAME?</v>
      </c>
      <c r="U761" s="4" t="e">
        <f ca="1">[1]!BexGetData("DP_1","00O2TNJGODT0G5Z4TTKYMMUX1","GSON1112060454")</f>
        <v>#NAME?</v>
      </c>
      <c r="V761" s="4" t="e">
        <f ca="1">[1]!BexGetData("DP_1","00O2TNJGODT0G5Z4TTKYMN18L","GSON1112060454")</f>
        <v>#NAME?</v>
      </c>
      <c r="W761" s="4" t="e">
        <f ca="1">[1]!BexGetData("DP_1","00O2TNJGODT0G5Z4TTKYMN7K5","GSON1112060454")</f>
        <v>#NAME?</v>
      </c>
    </row>
    <row r="762" spans="1:23" x14ac:dyDescent="0.2">
      <c r="A762" s="16" t="s">
        <v>2870</v>
      </c>
      <c r="B762" s="7" t="s">
        <v>2871</v>
      </c>
      <c r="C762" s="3" t="e">
        <f ca="1">[1]!BexGetData("DP_1","003N8EMH8GTFRCSWKMPXRR8GU","GSON1112060455")</f>
        <v>#NAME?</v>
      </c>
      <c r="D762" s="3" t="e">
        <f ca="1">[1]!BexGetData("DP_1","003N8EMH8GTFRCSWKMPXRRESE","GSON1112060455")</f>
        <v>#NAME?</v>
      </c>
      <c r="E762" s="8" t="e">
        <f ca="1">[1]!BexGetData("DP_1","003N8EMH8GTFRCSWKMPXRRL3Y","GSON1112060455")</f>
        <v>#NAME?</v>
      </c>
      <c r="F762" s="4" t="e">
        <f ca="1">[1]!BexGetData("DP_1","003N8EMH8GTFRCSWKMPXRRRFI","GSON1112060455")</f>
        <v>#NAME?</v>
      </c>
      <c r="G762" s="4" t="e">
        <f ca="1">[1]!BexGetData("DP_1","003N8EMH8GTFRCSWKMPXRRXR2","GSON1112060455")</f>
        <v>#NAME?</v>
      </c>
      <c r="H762" s="4" t="e">
        <f ca="1">[1]!BexGetData("DP_1","003N8EMH8GTFRCSWKMPXRS42M","GSON1112060455")</f>
        <v>#NAME?</v>
      </c>
      <c r="I762" s="4" t="e">
        <f ca="1">[1]!BexGetData("DP_1","003N8EMH8GTFRCSWKMPXRSAE6","GSON1112060455")</f>
        <v>#NAME?</v>
      </c>
      <c r="J762" s="4" t="e">
        <f ca="1">[1]!BexGetData("DP_1","003N8EMH8GTFRCSWKMPXRSGPQ","GSON1112060455")</f>
        <v>#NAME?</v>
      </c>
      <c r="K762" s="8" t="e">
        <f ca="1">[1]!BexGetData("DP_1","003N8EMH8GTFRIVNUPY288VJH","GSON1112060455")</f>
        <v>#NAME?</v>
      </c>
      <c r="L762" s="8" t="e">
        <f ca="1">[1]!BexGetData("DP_1","003N8EMH8GTFRIVNUPY2891V1","GSON1112060455")</f>
        <v>#NAME?</v>
      </c>
      <c r="M762" s="8" t="e">
        <f ca="1">[1]!BexGetData("DP_1","003N8EMH8GTFRIVOG7KG9IQXA","GSON1112060455")</f>
        <v>#NAME?</v>
      </c>
      <c r="N762" s="8" t="e">
        <f ca="1">[1]!BexGetData("DP_1","003N8EMH8GTFRIVOG7KG9IX8U","GSON1112060455")</f>
        <v>#NAME?</v>
      </c>
      <c r="O762" s="8" t="e">
        <f ca="1">[1]!BexGetData("DP_1","003N8EMH8GTFRIVOG7KG9J3KE","GSON1112060455")</f>
        <v>#NAME?</v>
      </c>
      <c r="P762" s="8" t="e">
        <f ca="1">[1]!BexGetData("DP_1","003N8EMH8GTFRIVOG7KG9J9VY","GSON1112060455")</f>
        <v>#NAME?</v>
      </c>
      <c r="Q762" s="4" t="e">
        <f ca="1">[1]!BexGetData("DP_1","00O2TNJGODT0G5Z4TTKYMM5MT","GSON1112060455")</f>
        <v>#NAME?</v>
      </c>
      <c r="R762" s="4" t="e">
        <f ca="1">[1]!BexGetData("DP_1","00O2TNJGODT0G5Z4TTKYMMBYD","GSON1112060455")</f>
        <v>#NAME?</v>
      </c>
      <c r="S762" s="4" t="e">
        <f ca="1">[1]!BexGetData("DP_1","00O2TNJGODT0G5Z4TTKYMMI9X","GSON1112060455")</f>
        <v>#NAME?</v>
      </c>
      <c r="T762" s="4" t="e">
        <f ca="1">[1]!BexGetData("DP_1","00O2TNJGODT0G5Z4TTKYMMOLH","GSON1112060455")</f>
        <v>#NAME?</v>
      </c>
      <c r="U762" s="4" t="e">
        <f ca="1">[1]!BexGetData("DP_1","00O2TNJGODT0G5Z4TTKYMMUX1","GSON1112060455")</f>
        <v>#NAME?</v>
      </c>
      <c r="V762" s="4" t="e">
        <f ca="1">[1]!BexGetData("DP_1","00O2TNJGODT0G5Z4TTKYMN18L","GSON1112060455")</f>
        <v>#NAME?</v>
      </c>
      <c r="W762" s="4" t="e">
        <f ca="1">[1]!BexGetData("DP_1","00O2TNJGODT0G5Z4TTKYMN7K5","GSON1112060455")</f>
        <v>#NAME?</v>
      </c>
    </row>
    <row r="763" spans="1:23" x14ac:dyDescent="0.2">
      <c r="A763" s="16" t="s">
        <v>2872</v>
      </c>
      <c r="B763" s="7" t="s">
        <v>2873</v>
      </c>
      <c r="C763" s="3" t="e">
        <f ca="1">[1]!BexGetData("DP_1","003N8EMH8GTFRCSWKMPXRR8GU","GSON1112060460")</f>
        <v>#NAME?</v>
      </c>
      <c r="D763" s="3" t="e">
        <f ca="1">[1]!BexGetData("DP_1","003N8EMH8GTFRCSWKMPXRRESE","GSON1112060460")</f>
        <v>#NAME?</v>
      </c>
      <c r="E763" s="3" t="e">
        <f ca="1">[1]!BexGetData("DP_1","003N8EMH8GTFRCSWKMPXRRL3Y","GSON1112060460")</f>
        <v>#NAME?</v>
      </c>
      <c r="F763" s="3" t="e">
        <f ca="1">[1]!BexGetData("DP_1","003N8EMH8GTFRCSWKMPXRRRFI","GSON1112060460")</f>
        <v>#NAME?</v>
      </c>
      <c r="G763" s="3" t="e">
        <f ca="1">[1]!BexGetData("DP_1","003N8EMH8GTFRCSWKMPXRRXR2","GSON1112060460")</f>
        <v>#NAME?</v>
      </c>
      <c r="H763" s="8" t="e">
        <f ca="1">[1]!BexGetData("DP_1","003N8EMH8GTFRCSWKMPXRS42M","GSON1112060460")</f>
        <v>#NAME?</v>
      </c>
      <c r="I763" s="3" t="e">
        <f ca="1">[1]!BexGetData("DP_1","003N8EMH8GTFRCSWKMPXRSAE6","GSON1112060460")</f>
        <v>#NAME?</v>
      </c>
      <c r="J763" s="4" t="e">
        <f ca="1">[1]!BexGetData("DP_1","003N8EMH8GTFRCSWKMPXRSGPQ","GSON1112060460")</f>
        <v>#NAME?</v>
      </c>
      <c r="K763" s="3" t="e">
        <f ca="1">[1]!BexGetData("DP_1","003N8EMH8GTFRIVNUPY288VJH","GSON1112060460")</f>
        <v>#NAME?</v>
      </c>
      <c r="L763" s="3" t="e">
        <f ca="1">[1]!BexGetData("DP_1","003N8EMH8GTFRIVNUPY2891V1","GSON1112060460")</f>
        <v>#NAME?</v>
      </c>
      <c r="M763" s="3" t="e">
        <f ca="1">[1]!BexGetData("DP_1","003N8EMH8GTFRIVOG7KG9IQXA","GSON1112060460")</f>
        <v>#NAME?</v>
      </c>
      <c r="N763" s="8" t="e">
        <f ca="1">[1]!BexGetData("DP_1","003N8EMH8GTFRIVOG7KG9IX8U","GSON1112060460")</f>
        <v>#NAME?</v>
      </c>
      <c r="O763" s="3" t="e">
        <f ca="1">[1]!BexGetData("DP_1","003N8EMH8GTFRIVOG7KG9J3KE","GSON1112060460")</f>
        <v>#NAME?</v>
      </c>
      <c r="P763" s="8" t="e">
        <f ca="1">[1]!BexGetData("DP_1","003N8EMH8GTFRIVOG7KG9J9VY","GSON1112060460")</f>
        <v>#NAME?</v>
      </c>
      <c r="Q763" s="4" t="e">
        <f ca="1">[1]!BexGetData("DP_1","00O2TNJGODT0G5Z4TTKYMM5MT","GSON1112060460")</f>
        <v>#NAME?</v>
      </c>
      <c r="R763" s="3" t="e">
        <f ca="1">[1]!BexGetData("DP_1","00O2TNJGODT0G5Z4TTKYMMBYD","GSON1112060460")</f>
        <v>#NAME?</v>
      </c>
      <c r="S763" s="3" t="e">
        <f ca="1">[1]!BexGetData("DP_1","00O2TNJGODT0G5Z4TTKYMMI9X","GSON1112060460")</f>
        <v>#NAME?</v>
      </c>
      <c r="T763" s="8" t="e">
        <f ca="1">[1]!BexGetData("DP_1","00O2TNJGODT0G5Z4TTKYMMOLH","GSON1112060460")</f>
        <v>#NAME?</v>
      </c>
      <c r="U763" s="3" t="e">
        <f ca="1">[1]!BexGetData("DP_1","00O2TNJGODT0G5Z4TTKYMMUX1","GSON1112060460")</f>
        <v>#NAME?</v>
      </c>
      <c r="V763" s="8" t="e">
        <f ca="1">[1]!BexGetData("DP_1","00O2TNJGODT0G5Z4TTKYMN18L","GSON1112060460")</f>
        <v>#NAME?</v>
      </c>
      <c r="W763" s="3" t="e">
        <f ca="1">[1]!BexGetData("DP_1","00O2TNJGODT0G5Z4TTKYMN7K5","GSON1112060460")</f>
        <v>#NAME?</v>
      </c>
    </row>
    <row r="764" spans="1:23" x14ac:dyDescent="0.2">
      <c r="A764" s="16" t="s">
        <v>2874</v>
      </c>
      <c r="B764" s="7" t="s">
        <v>2875</v>
      </c>
      <c r="C764" s="3" t="e">
        <f ca="1">[1]!BexGetData("DP_1","003N8EMH8GTFRCSWKMPXRR8GU","GSON1112060461")</f>
        <v>#NAME?</v>
      </c>
      <c r="D764" s="3" t="e">
        <f ca="1">[1]!BexGetData("DP_1","003N8EMH8GTFRCSWKMPXRRESE","GSON1112060461")</f>
        <v>#NAME?</v>
      </c>
      <c r="E764" s="8" t="e">
        <f ca="1">[1]!BexGetData("DP_1","003N8EMH8GTFRCSWKMPXRRL3Y","GSON1112060461")</f>
        <v>#NAME?</v>
      </c>
      <c r="F764" s="4" t="e">
        <f ca="1">[1]!BexGetData("DP_1","003N8EMH8GTFRCSWKMPXRRRFI","GSON1112060461")</f>
        <v>#NAME?</v>
      </c>
      <c r="G764" s="4" t="e">
        <f ca="1">[1]!BexGetData("DP_1","003N8EMH8GTFRCSWKMPXRRXR2","GSON1112060461")</f>
        <v>#NAME?</v>
      </c>
      <c r="H764" s="4" t="e">
        <f ca="1">[1]!BexGetData("DP_1","003N8EMH8GTFRCSWKMPXRS42M","GSON1112060461")</f>
        <v>#NAME?</v>
      </c>
      <c r="I764" s="4" t="e">
        <f ca="1">[1]!BexGetData("DP_1","003N8EMH8GTFRCSWKMPXRSAE6","GSON1112060461")</f>
        <v>#NAME?</v>
      </c>
      <c r="J764" s="4" t="e">
        <f ca="1">[1]!BexGetData("DP_1","003N8EMH8GTFRCSWKMPXRSGPQ","GSON1112060461")</f>
        <v>#NAME?</v>
      </c>
      <c r="K764" s="8" t="e">
        <f ca="1">[1]!BexGetData("DP_1","003N8EMH8GTFRIVNUPY288VJH","GSON1112060461")</f>
        <v>#NAME?</v>
      </c>
      <c r="L764" s="8" t="e">
        <f ca="1">[1]!BexGetData("DP_1","003N8EMH8GTFRIVNUPY2891V1","GSON1112060461")</f>
        <v>#NAME?</v>
      </c>
      <c r="M764" s="8" t="e">
        <f ca="1">[1]!BexGetData("DP_1","003N8EMH8GTFRIVOG7KG9IQXA","GSON1112060461")</f>
        <v>#NAME?</v>
      </c>
      <c r="N764" s="8" t="e">
        <f ca="1">[1]!BexGetData("DP_1","003N8EMH8GTFRIVOG7KG9IX8U","GSON1112060461")</f>
        <v>#NAME?</v>
      </c>
      <c r="O764" s="8" t="e">
        <f ca="1">[1]!BexGetData("DP_1","003N8EMH8GTFRIVOG7KG9J3KE","GSON1112060461")</f>
        <v>#NAME?</v>
      </c>
      <c r="P764" s="8" t="e">
        <f ca="1">[1]!BexGetData("DP_1","003N8EMH8GTFRIVOG7KG9J9VY","GSON1112060461")</f>
        <v>#NAME?</v>
      </c>
      <c r="Q764" s="4" t="e">
        <f ca="1">[1]!BexGetData("DP_1","00O2TNJGODT0G5Z4TTKYMM5MT","GSON1112060461")</f>
        <v>#NAME?</v>
      </c>
      <c r="R764" s="4" t="e">
        <f ca="1">[1]!BexGetData("DP_1","00O2TNJGODT0G5Z4TTKYMMBYD","GSON1112060461")</f>
        <v>#NAME?</v>
      </c>
      <c r="S764" s="4" t="e">
        <f ca="1">[1]!BexGetData("DP_1","00O2TNJGODT0G5Z4TTKYMMI9X","GSON1112060461")</f>
        <v>#NAME?</v>
      </c>
      <c r="T764" s="4" t="e">
        <f ca="1">[1]!BexGetData("DP_1","00O2TNJGODT0G5Z4TTKYMMOLH","GSON1112060461")</f>
        <v>#NAME?</v>
      </c>
      <c r="U764" s="4" t="e">
        <f ca="1">[1]!BexGetData("DP_1","00O2TNJGODT0G5Z4TTKYMMUX1","GSON1112060461")</f>
        <v>#NAME?</v>
      </c>
      <c r="V764" s="4" t="e">
        <f ca="1">[1]!BexGetData("DP_1","00O2TNJGODT0G5Z4TTKYMN18L","GSON1112060461")</f>
        <v>#NAME?</v>
      </c>
      <c r="W764" s="4" t="e">
        <f ca="1">[1]!BexGetData("DP_1","00O2TNJGODT0G5Z4TTKYMN7K5","GSON1112060461")</f>
        <v>#NAME?</v>
      </c>
    </row>
    <row r="765" spans="1:23" x14ac:dyDescent="0.2">
      <c r="A765" s="16" t="s">
        <v>2876</v>
      </c>
      <c r="B765" s="7" t="s">
        <v>2877</v>
      </c>
      <c r="C765" s="3" t="e">
        <f ca="1">[1]!BexGetData("DP_1","003N8EMH8GTFRCSWKMPXRR8GU","GSON1112060463")</f>
        <v>#NAME?</v>
      </c>
      <c r="D765" s="3" t="e">
        <f ca="1">[1]!BexGetData("DP_1","003N8EMH8GTFRCSWKMPXRRESE","GSON1112060463")</f>
        <v>#NAME?</v>
      </c>
      <c r="E765" s="8" t="e">
        <f ca="1">[1]!BexGetData("DP_1","003N8EMH8GTFRCSWKMPXRRL3Y","GSON1112060463")</f>
        <v>#NAME?</v>
      </c>
      <c r="F765" s="4" t="e">
        <f ca="1">[1]!BexGetData("DP_1","003N8EMH8GTFRCSWKMPXRRRFI","GSON1112060463")</f>
        <v>#NAME?</v>
      </c>
      <c r="G765" s="4" t="e">
        <f ca="1">[1]!BexGetData("DP_1","003N8EMH8GTFRCSWKMPXRRXR2","GSON1112060463")</f>
        <v>#NAME?</v>
      </c>
      <c r="H765" s="4" t="e">
        <f ca="1">[1]!BexGetData("DP_1","003N8EMH8GTFRCSWKMPXRS42M","GSON1112060463")</f>
        <v>#NAME?</v>
      </c>
      <c r="I765" s="4" t="e">
        <f ca="1">[1]!BexGetData("DP_1","003N8EMH8GTFRCSWKMPXRSAE6","GSON1112060463")</f>
        <v>#NAME?</v>
      </c>
      <c r="J765" s="4" t="e">
        <f ca="1">[1]!BexGetData("DP_1","003N8EMH8GTFRCSWKMPXRSGPQ","GSON1112060463")</f>
        <v>#NAME?</v>
      </c>
      <c r="K765" s="8" t="e">
        <f ca="1">[1]!BexGetData("DP_1","003N8EMH8GTFRIVNUPY288VJH","GSON1112060463")</f>
        <v>#NAME?</v>
      </c>
      <c r="L765" s="8" t="e">
        <f ca="1">[1]!BexGetData("DP_1","003N8EMH8GTFRIVNUPY2891V1","GSON1112060463")</f>
        <v>#NAME?</v>
      </c>
      <c r="M765" s="8" t="e">
        <f ca="1">[1]!BexGetData("DP_1","003N8EMH8GTFRIVOG7KG9IQXA","GSON1112060463")</f>
        <v>#NAME?</v>
      </c>
      <c r="N765" s="8" t="e">
        <f ca="1">[1]!BexGetData("DP_1","003N8EMH8GTFRIVOG7KG9IX8U","GSON1112060463")</f>
        <v>#NAME?</v>
      </c>
      <c r="O765" s="8" t="e">
        <f ca="1">[1]!BexGetData("DP_1","003N8EMH8GTFRIVOG7KG9J3KE","GSON1112060463")</f>
        <v>#NAME?</v>
      </c>
      <c r="P765" s="8" t="e">
        <f ca="1">[1]!BexGetData("DP_1","003N8EMH8GTFRIVOG7KG9J9VY","GSON1112060463")</f>
        <v>#NAME?</v>
      </c>
      <c r="Q765" s="4" t="e">
        <f ca="1">[1]!BexGetData("DP_1","00O2TNJGODT0G5Z4TTKYMM5MT","GSON1112060463")</f>
        <v>#NAME?</v>
      </c>
      <c r="R765" s="4" t="e">
        <f ca="1">[1]!BexGetData("DP_1","00O2TNJGODT0G5Z4TTKYMMBYD","GSON1112060463")</f>
        <v>#NAME?</v>
      </c>
      <c r="S765" s="4" t="e">
        <f ca="1">[1]!BexGetData("DP_1","00O2TNJGODT0G5Z4TTKYMMI9X","GSON1112060463")</f>
        <v>#NAME?</v>
      </c>
      <c r="T765" s="4" t="e">
        <f ca="1">[1]!BexGetData("DP_1","00O2TNJGODT0G5Z4TTKYMMOLH","GSON1112060463")</f>
        <v>#NAME?</v>
      </c>
      <c r="U765" s="4" t="e">
        <f ca="1">[1]!BexGetData("DP_1","00O2TNJGODT0G5Z4TTKYMMUX1","GSON1112060463")</f>
        <v>#NAME?</v>
      </c>
      <c r="V765" s="4" t="e">
        <f ca="1">[1]!BexGetData("DP_1","00O2TNJGODT0G5Z4TTKYMN18L","GSON1112060463")</f>
        <v>#NAME?</v>
      </c>
      <c r="W765" s="4" t="e">
        <f ca="1">[1]!BexGetData("DP_1","00O2TNJGODT0G5Z4TTKYMN7K5","GSON1112060463")</f>
        <v>#NAME?</v>
      </c>
    </row>
    <row r="766" spans="1:23" x14ac:dyDescent="0.2">
      <c r="A766" s="16" t="s">
        <v>2878</v>
      </c>
      <c r="B766" s="7" t="s">
        <v>2879</v>
      </c>
      <c r="C766" s="3" t="e">
        <f ca="1">[1]!BexGetData("DP_1","003N8EMH8GTFRCSWKMPXRR8GU","GSON1112060464")</f>
        <v>#NAME?</v>
      </c>
      <c r="D766" s="3" t="e">
        <f ca="1">[1]!BexGetData("DP_1","003N8EMH8GTFRCSWKMPXRRESE","GSON1112060464")</f>
        <v>#NAME?</v>
      </c>
      <c r="E766" s="8" t="e">
        <f ca="1">[1]!BexGetData("DP_1","003N8EMH8GTFRCSWKMPXRRL3Y","GSON1112060464")</f>
        <v>#NAME?</v>
      </c>
      <c r="F766" s="4" t="e">
        <f ca="1">[1]!BexGetData("DP_1","003N8EMH8GTFRCSWKMPXRRRFI","GSON1112060464")</f>
        <v>#NAME?</v>
      </c>
      <c r="G766" s="4" t="e">
        <f ca="1">[1]!BexGetData("DP_1","003N8EMH8GTFRCSWKMPXRRXR2","GSON1112060464")</f>
        <v>#NAME?</v>
      </c>
      <c r="H766" s="4" t="e">
        <f ca="1">[1]!BexGetData("DP_1","003N8EMH8GTFRCSWKMPXRS42M","GSON1112060464")</f>
        <v>#NAME?</v>
      </c>
      <c r="I766" s="4" t="e">
        <f ca="1">[1]!BexGetData("DP_1","003N8EMH8GTFRCSWKMPXRSAE6","GSON1112060464")</f>
        <v>#NAME?</v>
      </c>
      <c r="J766" s="4" t="e">
        <f ca="1">[1]!BexGetData("DP_1","003N8EMH8GTFRCSWKMPXRSGPQ","GSON1112060464")</f>
        <v>#NAME?</v>
      </c>
      <c r="K766" s="8" t="e">
        <f ca="1">[1]!BexGetData("DP_1","003N8EMH8GTFRIVNUPY288VJH","GSON1112060464")</f>
        <v>#NAME?</v>
      </c>
      <c r="L766" s="8" t="e">
        <f ca="1">[1]!BexGetData("DP_1","003N8EMH8GTFRIVNUPY2891V1","GSON1112060464")</f>
        <v>#NAME?</v>
      </c>
      <c r="M766" s="8" t="e">
        <f ca="1">[1]!BexGetData("DP_1","003N8EMH8GTFRIVOG7KG9IQXA","GSON1112060464")</f>
        <v>#NAME?</v>
      </c>
      <c r="N766" s="8" t="e">
        <f ca="1">[1]!BexGetData("DP_1","003N8EMH8GTFRIVOG7KG9IX8U","GSON1112060464")</f>
        <v>#NAME?</v>
      </c>
      <c r="O766" s="8" t="e">
        <f ca="1">[1]!BexGetData("DP_1","003N8EMH8GTFRIVOG7KG9J3KE","GSON1112060464")</f>
        <v>#NAME?</v>
      </c>
      <c r="P766" s="8" t="e">
        <f ca="1">[1]!BexGetData("DP_1","003N8EMH8GTFRIVOG7KG9J9VY","GSON1112060464")</f>
        <v>#NAME?</v>
      </c>
      <c r="Q766" s="4" t="e">
        <f ca="1">[1]!BexGetData("DP_1","00O2TNJGODT0G5Z4TTKYMM5MT","GSON1112060464")</f>
        <v>#NAME?</v>
      </c>
      <c r="R766" s="4" t="e">
        <f ca="1">[1]!BexGetData("DP_1","00O2TNJGODT0G5Z4TTKYMMBYD","GSON1112060464")</f>
        <v>#NAME?</v>
      </c>
      <c r="S766" s="4" t="e">
        <f ca="1">[1]!BexGetData("DP_1","00O2TNJGODT0G5Z4TTKYMMI9X","GSON1112060464")</f>
        <v>#NAME?</v>
      </c>
      <c r="T766" s="4" t="e">
        <f ca="1">[1]!BexGetData("DP_1","00O2TNJGODT0G5Z4TTKYMMOLH","GSON1112060464")</f>
        <v>#NAME?</v>
      </c>
      <c r="U766" s="4" t="e">
        <f ca="1">[1]!BexGetData("DP_1","00O2TNJGODT0G5Z4TTKYMMUX1","GSON1112060464")</f>
        <v>#NAME?</v>
      </c>
      <c r="V766" s="4" t="e">
        <f ca="1">[1]!BexGetData("DP_1","00O2TNJGODT0G5Z4TTKYMN18L","GSON1112060464")</f>
        <v>#NAME?</v>
      </c>
      <c r="W766" s="4" t="e">
        <f ca="1">[1]!BexGetData("DP_1","00O2TNJGODT0G5Z4TTKYMN7K5","GSON1112060464")</f>
        <v>#NAME?</v>
      </c>
    </row>
    <row r="767" spans="1:23" x14ac:dyDescent="0.2">
      <c r="A767" s="16" t="s">
        <v>2880</v>
      </c>
      <c r="B767" s="7" t="s">
        <v>2881</v>
      </c>
      <c r="C767" s="3" t="e">
        <f ca="1">[1]!BexGetData("DP_1","003N8EMH8GTFRCSWKMPXRR8GU","GSON1112060465")</f>
        <v>#NAME?</v>
      </c>
      <c r="D767" s="3" t="e">
        <f ca="1">[1]!BexGetData("DP_1","003N8EMH8GTFRCSWKMPXRRESE","GSON1112060465")</f>
        <v>#NAME?</v>
      </c>
      <c r="E767" s="8" t="e">
        <f ca="1">[1]!BexGetData("DP_1","003N8EMH8GTFRCSWKMPXRRL3Y","GSON1112060465")</f>
        <v>#NAME?</v>
      </c>
      <c r="F767" s="4" t="e">
        <f ca="1">[1]!BexGetData("DP_1","003N8EMH8GTFRCSWKMPXRRRFI","GSON1112060465")</f>
        <v>#NAME?</v>
      </c>
      <c r="G767" s="4" t="e">
        <f ca="1">[1]!BexGetData("DP_1","003N8EMH8GTFRCSWKMPXRRXR2","GSON1112060465")</f>
        <v>#NAME?</v>
      </c>
      <c r="H767" s="4" t="e">
        <f ca="1">[1]!BexGetData("DP_1","003N8EMH8GTFRCSWKMPXRS42M","GSON1112060465")</f>
        <v>#NAME?</v>
      </c>
      <c r="I767" s="4" t="e">
        <f ca="1">[1]!BexGetData("DP_1","003N8EMH8GTFRCSWKMPXRSAE6","GSON1112060465")</f>
        <v>#NAME?</v>
      </c>
      <c r="J767" s="4" t="e">
        <f ca="1">[1]!BexGetData("DP_1","003N8EMH8GTFRCSWKMPXRSGPQ","GSON1112060465")</f>
        <v>#NAME?</v>
      </c>
      <c r="K767" s="8" t="e">
        <f ca="1">[1]!BexGetData("DP_1","003N8EMH8GTFRIVNUPY288VJH","GSON1112060465")</f>
        <v>#NAME?</v>
      </c>
      <c r="L767" s="8" t="e">
        <f ca="1">[1]!BexGetData("DP_1","003N8EMH8GTFRIVNUPY2891V1","GSON1112060465")</f>
        <v>#NAME?</v>
      </c>
      <c r="M767" s="8" t="e">
        <f ca="1">[1]!BexGetData("DP_1","003N8EMH8GTFRIVOG7KG9IQXA","GSON1112060465")</f>
        <v>#NAME?</v>
      </c>
      <c r="N767" s="8" t="e">
        <f ca="1">[1]!BexGetData("DP_1","003N8EMH8GTFRIVOG7KG9IX8U","GSON1112060465")</f>
        <v>#NAME?</v>
      </c>
      <c r="O767" s="8" t="e">
        <f ca="1">[1]!BexGetData("DP_1","003N8EMH8GTFRIVOG7KG9J3KE","GSON1112060465")</f>
        <v>#NAME?</v>
      </c>
      <c r="P767" s="8" t="e">
        <f ca="1">[1]!BexGetData("DP_1","003N8EMH8GTFRIVOG7KG9J9VY","GSON1112060465")</f>
        <v>#NAME?</v>
      </c>
      <c r="Q767" s="4" t="e">
        <f ca="1">[1]!BexGetData("DP_1","00O2TNJGODT0G5Z4TTKYMM5MT","GSON1112060465")</f>
        <v>#NAME?</v>
      </c>
      <c r="R767" s="4" t="e">
        <f ca="1">[1]!BexGetData("DP_1","00O2TNJGODT0G5Z4TTKYMMBYD","GSON1112060465")</f>
        <v>#NAME?</v>
      </c>
      <c r="S767" s="4" t="e">
        <f ca="1">[1]!BexGetData("DP_1","00O2TNJGODT0G5Z4TTKYMMI9X","GSON1112060465")</f>
        <v>#NAME?</v>
      </c>
      <c r="T767" s="4" t="e">
        <f ca="1">[1]!BexGetData("DP_1","00O2TNJGODT0G5Z4TTKYMMOLH","GSON1112060465")</f>
        <v>#NAME?</v>
      </c>
      <c r="U767" s="4" t="e">
        <f ca="1">[1]!BexGetData("DP_1","00O2TNJGODT0G5Z4TTKYMMUX1","GSON1112060465")</f>
        <v>#NAME?</v>
      </c>
      <c r="V767" s="4" t="e">
        <f ca="1">[1]!BexGetData("DP_1","00O2TNJGODT0G5Z4TTKYMN18L","GSON1112060465")</f>
        <v>#NAME?</v>
      </c>
      <c r="W767" s="4" t="e">
        <f ca="1">[1]!BexGetData("DP_1","00O2TNJGODT0G5Z4TTKYMN7K5","GSON1112060465")</f>
        <v>#NAME?</v>
      </c>
    </row>
    <row r="768" spans="1:23" x14ac:dyDescent="0.2">
      <c r="A768" s="16" t="s">
        <v>2882</v>
      </c>
      <c r="B768" s="7" t="s">
        <v>2883</v>
      </c>
      <c r="C768" s="3" t="e">
        <f ca="1">[1]!BexGetData("DP_1","003N8EMH8GTFRCSWKMPXRR8GU","GSON1112060470")</f>
        <v>#NAME?</v>
      </c>
      <c r="D768" s="3" t="e">
        <f ca="1">[1]!BexGetData("DP_1","003N8EMH8GTFRCSWKMPXRRESE","GSON1112060470")</f>
        <v>#NAME?</v>
      </c>
      <c r="E768" s="3" t="e">
        <f ca="1">[1]!BexGetData("DP_1","003N8EMH8GTFRCSWKMPXRRL3Y","GSON1112060470")</f>
        <v>#NAME?</v>
      </c>
      <c r="F768" s="3" t="e">
        <f ca="1">[1]!BexGetData("DP_1","003N8EMH8GTFRCSWKMPXRRRFI","GSON1112060470")</f>
        <v>#NAME?</v>
      </c>
      <c r="G768" s="3" t="e">
        <f ca="1">[1]!BexGetData("DP_1","003N8EMH8GTFRCSWKMPXRRXR2","GSON1112060470")</f>
        <v>#NAME?</v>
      </c>
      <c r="H768" s="8" t="e">
        <f ca="1">[1]!BexGetData("DP_1","003N8EMH8GTFRCSWKMPXRS42M","GSON1112060470")</f>
        <v>#NAME?</v>
      </c>
      <c r="I768" s="3" t="e">
        <f ca="1">[1]!BexGetData("DP_1","003N8EMH8GTFRCSWKMPXRSAE6","GSON1112060470")</f>
        <v>#NAME?</v>
      </c>
      <c r="J768" s="4" t="e">
        <f ca="1">[1]!BexGetData("DP_1","003N8EMH8GTFRCSWKMPXRSGPQ","GSON1112060470")</f>
        <v>#NAME?</v>
      </c>
      <c r="K768" s="3" t="e">
        <f ca="1">[1]!BexGetData("DP_1","003N8EMH8GTFRIVNUPY288VJH","GSON1112060470")</f>
        <v>#NAME?</v>
      </c>
      <c r="L768" s="3" t="e">
        <f ca="1">[1]!BexGetData("DP_1","003N8EMH8GTFRIVNUPY2891V1","GSON1112060470")</f>
        <v>#NAME?</v>
      </c>
      <c r="M768" s="8" t="e">
        <f ca="1">[1]!BexGetData("DP_1","003N8EMH8GTFRIVOG7KG9IQXA","GSON1112060470")</f>
        <v>#NAME?</v>
      </c>
      <c r="N768" s="3" t="e">
        <f ca="1">[1]!BexGetData("DP_1","003N8EMH8GTFRIVOG7KG9IX8U","GSON1112060470")</f>
        <v>#NAME?</v>
      </c>
      <c r="O768" s="8" t="e">
        <f ca="1">[1]!BexGetData("DP_1","003N8EMH8GTFRIVOG7KG9J3KE","GSON1112060470")</f>
        <v>#NAME?</v>
      </c>
      <c r="P768" s="3" t="e">
        <f ca="1">[1]!BexGetData("DP_1","003N8EMH8GTFRIVOG7KG9J9VY","GSON1112060470")</f>
        <v>#NAME?</v>
      </c>
      <c r="Q768" s="4" t="e">
        <f ca="1">[1]!BexGetData("DP_1","00O2TNJGODT0G5Z4TTKYMM5MT","GSON1112060470")</f>
        <v>#NAME?</v>
      </c>
      <c r="R768" s="3" t="e">
        <f ca="1">[1]!BexGetData("DP_1","00O2TNJGODT0G5Z4TTKYMMBYD","GSON1112060470")</f>
        <v>#NAME?</v>
      </c>
      <c r="S768" s="3" t="e">
        <f ca="1">[1]!BexGetData("DP_1","00O2TNJGODT0G5Z4TTKYMMI9X","GSON1112060470")</f>
        <v>#NAME?</v>
      </c>
      <c r="T768" s="8" t="e">
        <f ca="1">[1]!BexGetData("DP_1","00O2TNJGODT0G5Z4TTKYMMOLH","GSON1112060470")</f>
        <v>#NAME?</v>
      </c>
      <c r="U768" s="3" t="e">
        <f ca="1">[1]!BexGetData("DP_1","00O2TNJGODT0G5Z4TTKYMMUX1","GSON1112060470")</f>
        <v>#NAME?</v>
      </c>
      <c r="V768" s="8" t="e">
        <f ca="1">[1]!BexGetData("DP_1","00O2TNJGODT0G5Z4TTKYMN18L","GSON1112060470")</f>
        <v>#NAME?</v>
      </c>
      <c r="W768" s="3" t="e">
        <f ca="1">[1]!BexGetData("DP_1","00O2TNJGODT0G5Z4TTKYMN7K5","GSON1112060470")</f>
        <v>#NAME?</v>
      </c>
    </row>
    <row r="769" spans="1:23" x14ac:dyDescent="0.2">
      <c r="A769" s="16" t="s">
        <v>2884</v>
      </c>
      <c r="B769" s="7" t="s">
        <v>2885</v>
      </c>
      <c r="C769" s="3" t="e">
        <f ca="1">[1]!BexGetData("DP_1","003N8EMH8GTFRCSWKMPXRR8GU","GSON1112060471")</f>
        <v>#NAME?</v>
      </c>
      <c r="D769" s="3" t="e">
        <f ca="1">[1]!BexGetData("DP_1","003N8EMH8GTFRCSWKMPXRRESE","GSON1112060471")</f>
        <v>#NAME?</v>
      </c>
      <c r="E769" s="8" t="e">
        <f ca="1">[1]!BexGetData("DP_1","003N8EMH8GTFRCSWKMPXRRL3Y","GSON1112060471")</f>
        <v>#NAME?</v>
      </c>
      <c r="F769" s="4" t="e">
        <f ca="1">[1]!BexGetData("DP_1","003N8EMH8GTFRCSWKMPXRRRFI","GSON1112060471")</f>
        <v>#NAME?</v>
      </c>
      <c r="G769" s="4" t="e">
        <f ca="1">[1]!BexGetData("DP_1","003N8EMH8GTFRCSWKMPXRRXR2","GSON1112060471")</f>
        <v>#NAME?</v>
      </c>
      <c r="H769" s="4" t="e">
        <f ca="1">[1]!BexGetData("DP_1","003N8EMH8GTFRCSWKMPXRS42M","GSON1112060471")</f>
        <v>#NAME?</v>
      </c>
      <c r="I769" s="4" t="e">
        <f ca="1">[1]!BexGetData("DP_1","003N8EMH8GTFRCSWKMPXRSAE6","GSON1112060471")</f>
        <v>#NAME?</v>
      </c>
      <c r="J769" s="4" t="e">
        <f ca="1">[1]!BexGetData("DP_1","003N8EMH8GTFRCSWKMPXRSGPQ","GSON1112060471")</f>
        <v>#NAME?</v>
      </c>
      <c r="K769" s="8" t="e">
        <f ca="1">[1]!BexGetData("DP_1","003N8EMH8GTFRIVNUPY288VJH","GSON1112060471")</f>
        <v>#NAME?</v>
      </c>
      <c r="L769" s="8" t="e">
        <f ca="1">[1]!BexGetData("DP_1","003N8EMH8GTFRIVNUPY2891V1","GSON1112060471")</f>
        <v>#NAME?</v>
      </c>
      <c r="M769" s="8" t="e">
        <f ca="1">[1]!BexGetData("DP_1","003N8EMH8GTFRIVOG7KG9IQXA","GSON1112060471")</f>
        <v>#NAME?</v>
      </c>
      <c r="N769" s="8" t="e">
        <f ca="1">[1]!BexGetData("DP_1","003N8EMH8GTFRIVOG7KG9IX8U","GSON1112060471")</f>
        <v>#NAME?</v>
      </c>
      <c r="O769" s="8" t="e">
        <f ca="1">[1]!BexGetData("DP_1","003N8EMH8GTFRIVOG7KG9J3KE","GSON1112060471")</f>
        <v>#NAME?</v>
      </c>
      <c r="P769" s="8" t="e">
        <f ca="1">[1]!BexGetData("DP_1","003N8EMH8GTFRIVOG7KG9J9VY","GSON1112060471")</f>
        <v>#NAME?</v>
      </c>
      <c r="Q769" s="4" t="e">
        <f ca="1">[1]!BexGetData("DP_1","00O2TNJGODT0G5Z4TTKYMM5MT","GSON1112060471")</f>
        <v>#NAME?</v>
      </c>
      <c r="R769" s="4" t="e">
        <f ca="1">[1]!BexGetData("DP_1","00O2TNJGODT0G5Z4TTKYMMBYD","GSON1112060471")</f>
        <v>#NAME?</v>
      </c>
      <c r="S769" s="4" t="e">
        <f ca="1">[1]!BexGetData("DP_1","00O2TNJGODT0G5Z4TTKYMMI9X","GSON1112060471")</f>
        <v>#NAME?</v>
      </c>
      <c r="T769" s="4" t="e">
        <f ca="1">[1]!BexGetData("DP_1","00O2TNJGODT0G5Z4TTKYMMOLH","GSON1112060471")</f>
        <v>#NAME?</v>
      </c>
      <c r="U769" s="4" t="e">
        <f ca="1">[1]!BexGetData("DP_1","00O2TNJGODT0G5Z4TTKYMMUX1","GSON1112060471")</f>
        <v>#NAME?</v>
      </c>
      <c r="V769" s="4" t="e">
        <f ca="1">[1]!BexGetData("DP_1","00O2TNJGODT0G5Z4TTKYMN18L","GSON1112060471")</f>
        <v>#NAME?</v>
      </c>
      <c r="W769" s="4" t="e">
        <f ca="1">[1]!BexGetData("DP_1","00O2TNJGODT0G5Z4TTKYMN7K5","GSON1112060471")</f>
        <v>#NAME?</v>
      </c>
    </row>
    <row r="770" spans="1:23" x14ac:dyDescent="0.2">
      <c r="A770" s="16" t="s">
        <v>2886</v>
      </c>
      <c r="B770" s="7" t="s">
        <v>2887</v>
      </c>
      <c r="C770" s="3" t="e">
        <f ca="1">[1]!BexGetData("DP_1","003N8EMH8GTFRCSWKMPXRR8GU","GSON1112060473")</f>
        <v>#NAME?</v>
      </c>
      <c r="D770" s="3" t="e">
        <f ca="1">[1]!BexGetData("DP_1","003N8EMH8GTFRCSWKMPXRRESE","GSON1112060473")</f>
        <v>#NAME?</v>
      </c>
      <c r="E770" s="8" t="e">
        <f ca="1">[1]!BexGetData("DP_1","003N8EMH8GTFRCSWKMPXRRL3Y","GSON1112060473")</f>
        <v>#NAME?</v>
      </c>
      <c r="F770" s="4" t="e">
        <f ca="1">[1]!BexGetData("DP_1","003N8EMH8GTFRCSWKMPXRRRFI","GSON1112060473")</f>
        <v>#NAME?</v>
      </c>
      <c r="G770" s="4" t="e">
        <f ca="1">[1]!BexGetData("DP_1","003N8EMH8GTFRCSWKMPXRRXR2","GSON1112060473")</f>
        <v>#NAME?</v>
      </c>
      <c r="H770" s="4" t="e">
        <f ca="1">[1]!BexGetData("DP_1","003N8EMH8GTFRCSWKMPXRS42M","GSON1112060473")</f>
        <v>#NAME?</v>
      </c>
      <c r="I770" s="4" t="e">
        <f ca="1">[1]!BexGetData("DP_1","003N8EMH8GTFRCSWKMPXRSAE6","GSON1112060473")</f>
        <v>#NAME?</v>
      </c>
      <c r="J770" s="4" t="e">
        <f ca="1">[1]!BexGetData("DP_1","003N8EMH8GTFRCSWKMPXRSGPQ","GSON1112060473")</f>
        <v>#NAME?</v>
      </c>
      <c r="K770" s="8" t="e">
        <f ca="1">[1]!BexGetData("DP_1","003N8EMH8GTFRIVNUPY288VJH","GSON1112060473")</f>
        <v>#NAME?</v>
      </c>
      <c r="L770" s="8" t="e">
        <f ca="1">[1]!BexGetData("DP_1","003N8EMH8GTFRIVNUPY2891V1","GSON1112060473")</f>
        <v>#NAME?</v>
      </c>
      <c r="M770" s="8" t="e">
        <f ca="1">[1]!BexGetData("DP_1","003N8EMH8GTFRIVOG7KG9IQXA","GSON1112060473")</f>
        <v>#NAME?</v>
      </c>
      <c r="N770" s="8" t="e">
        <f ca="1">[1]!BexGetData("DP_1","003N8EMH8GTFRIVOG7KG9IX8U","GSON1112060473")</f>
        <v>#NAME?</v>
      </c>
      <c r="O770" s="8" t="e">
        <f ca="1">[1]!BexGetData("DP_1","003N8EMH8GTFRIVOG7KG9J3KE","GSON1112060473")</f>
        <v>#NAME?</v>
      </c>
      <c r="P770" s="8" t="e">
        <f ca="1">[1]!BexGetData("DP_1","003N8EMH8GTFRIVOG7KG9J9VY","GSON1112060473")</f>
        <v>#NAME?</v>
      </c>
      <c r="Q770" s="4" t="e">
        <f ca="1">[1]!BexGetData("DP_1","00O2TNJGODT0G5Z4TTKYMM5MT","GSON1112060473")</f>
        <v>#NAME?</v>
      </c>
      <c r="R770" s="4" t="e">
        <f ca="1">[1]!BexGetData("DP_1","00O2TNJGODT0G5Z4TTKYMMBYD","GSON1112060473")</f>
        <v>#NAME?</v>
      </c>
      <c r="S770" s="4" t="e">
        <f ca="1">[1]!BexGetData("DP_1","00O2TNJGODT0G5Z4TTKYMMI9X","GSON1112060473")</f>
        <v>#NAME?</v>
      </c>
      <c r="T770" s="4" t="e">
        <f ca="1">[1]!BexGetData("DP_1","00O2TNJGODT0G5Z4TTKYMMOLH","GSON1112060473")</f>
        <v>#NAME?</v>
      </c>
      <c r="U770" s="4" t="e">
        <f ca="1">[1]!BexGetData("DP_1","00O2TNJGODT0G5Z4TTKYMMUX1","GSON1112060473")</f>
        <v>#NAME?</v>
      </c>
      <c r="V770" s="4" t="e">
        <f ca="1">[1]!BexGetData("DP_1","00O2TNJGODT0G5Z4TTKYMN18L","GSON1112060473")</f>
        <v>#NAME?</v>
      </c>
      <c r="W770" s="4" t="e">
        <f ca="1">[1]!BexGetData("DP_1","00O2TNJGODT0G5Z4TTKYMN7K5","GSON1112060473")</f>
        <v>#NAME?</v>
      </c>
    </row>
    <row r="771" spans="1:23" x14ac:dyDescent="0.2">
      <c r="A771" s="16" t="s">
        <v>2888</v>
      </c>
      <c r="B771" s="7" t="s">
        <v>2889</v>
      </c>
      <c r="C771" s="3" t="e">
        <f ca="1">[1]!BexGetData("DP_1","003N8EMH8GTFRCSWKMPXRR8GU","GSON1112060474")</f>
        <v>#NAME?</v>
      </c>
      <c r="D771" s="3" t="e">
        <f ca="1">[1]!BexGetData("DP_1","003N8EMH8GTFRCSWKMPXRRESE","GSON1112060474")</f>
        <v>#NAME?</v>
      </c>
      <c r="E771" s="8" t="e">
        <f ca="1">[1]!BexGetData("DP_1","003N8EMH8GTFRCSWKMPXRRL3Y","GSON1112060474")</f>
        <v>#NAME?</v>
      </c>
      <c r="F771" s="4" t="e">
        <f ca="1">[1]!BexGetData("DP_1","003N8EMH8GTFRCSWKMPXRRRFI","GSON1112060474")</f>
        <v>#NAME?</v>
      </c>
      <c r="G771" s="4" t="e">
        <f ca="1">[1]!BexGetData("DP_1","003N8EMH8GTFRCSWKMPXRRXR2","GSON1112060474")</f>
        <v>#NAME?</v>
      </c>
      <c r="H771" s="4" t="e">
        <f ca="1">[1]!BexGetData("DP_1","003N8EMH8GTFRCSWKMPXRS42M","GSON1112060474")</f>
        <v>#NAME?</v>
      </c>
      <c r="I771" s="4" t="e">
        <f ca="1">[1]!BexGetData("DP_1","003N8EMH8GTFRCSWKMPXRSAE6","GSON1112060474")</f>
        <v>#NAME?</v>
      </c>
      <c r="J771" s="4" t="e">
        <f ca="1">[1]!BexGetData("DP_1","003N8EMH8GTFRCSWKMPXRSGPQ","GSON1112060474")</f>
        <v>#NAME?</v>
      </c>
      <c r="K771" s="8" t="e">
        <f ca="1">[1]!BexGetData("DP_1","003N8EMH8GTFRIVNUPY288VJH","GSON1112060474")</f>
        <v>#NAME?</v>
      </c>
      <c r="L771" s="8" t="e">
        <f ca="1">[1]!BexGetData("DP_1","003N8EMH8GTFRIVNUPY2891V1","GSON1112060474")</f>
        <v>#NAME?</v>
      </c>
      <c r="M771" s="8" t="e">
        <f ca="1">[1]!BexGetData("DP_1","003N8EMH8GTFRIVOG7KG9IQXA","GSON1112060474")</f>
        <v>#NAME?</v>
      </c>
      <c r="N771" s="8" t="e">
        <f ca="1">[1]!BexGetData("DP_1","003N8EMH8GTFRIVOG7KG9IX8U","GSON1112060474")</f>
        <v>#NAME?</v>
      </c>
      <c r="O771" s="8" t="e">
        <f ca="1">[1]!BexGetData("DP_1","003N8EMH8GTFRIVOG7KG9J3KE","GSON1112060474")</f>
        <v>#NAME?</v>
      </c>
      <c r="P771" s="8" t="e">
        <f ca="1">[1]!BexGetData("DP_1","003N8EMH8GTFRIVOG7KG9J9VY","GSON1112060474")</f>
        <v>#NAME?</v>
      </c>
      <c r="Q771" s="4" t="e">
        <f ca="1">[1]!BexGetData("DP_1","00O2TNJGODT0G5Z4TTKYMM5MT","GSON1112060474")</f>
        <v>#NAME?</v>
      </c>
      <c r="R771" s="4" t="e">
        <f ca="1">[1]!BexGetData("DP_1","00O2TNJGODT0G5Z4TTKYMMBYD","GSON1112060474")</f>
        <v>#NAME?</v>
      </c>
      <c r="S771" s="4" t="e">
        <f ca="1">[1]!BexGetData("DP_1","00O2TNJGODT0G5Z4TTKYMMI9X","GSON1112060474")</f>
        <v>#NAME?</v>
      </c>
      <c r="T771" s="4" t="e">
        <f ca="1">[1]!BexGetData("DP_1","00O2TNJGODT0G5Z4TTKYMMOLH","GSON1112060474")</f>
        <v>#NAME?</v>
      </c>
      <c r="U771" s="4" t="e">
        <f ca="1">[1]!BexGetData("DP_1","00O2TNJGODT0G5Z4TTKYMMUX1","GSON1112060474")</f>
        <v>#NAME?</v>
      </c>
      <c r="V771" s="4" t="e">
        <f ca="1">[1]!BexGetData("DP_1","00O2TNJGODT0G5Z4TTKYMN18L","GSON1112060474")</f>
        <v>#NAME?</v>
      </c>
      <c r="W771" s="4" t="e">
        <f ca="1">[1]!BexGetData("DP_1","00O2TNJGODT0G5Z4TTKYMN7K5","GSON1112060474")</f>
        <v>#NAME?</v>
      </c>
    </row>
    <row r="772" spans="1:23" x14ac:dyDescent="0.2">
      <c r="A772" s="16" t="s">
        <v>2890</v>
      </c>
      <c r="B772" s="7" t="s">
        <v>2891</v>
      </c>
      <c r="C772" s="3" t="e">
        <f ca="1">[1]!BexGetData("DP_1","003N8EMH8GTFRCSWKMPXRR8GU","GSON1112060475")</f>
        <v>#NAME?</v>
      </c>
      <c r="D772" s="3" t="e">
        <f ca="1">[1]!BexGetData("DP_1","003N8EMH8GTFRCSWKMPXRRESE","GSON1112060475")</f>
        <v>#NAME?</v>
      </c>
      <c r="E772" s="8" t="e">
        <f ca="1">[1]!BexGetData("DP_1","003N8EMH8GTFRCSWKMPXRRL3Y","GSON1112060475")</f>
        <v>#NAME?</v>
      </c>
      <c r="F772" s="4" t="e">
        <f ca="1">[1]!BexGetData("DP_1","003N8EMH8GTFRCSWKMPXRRRFI","GSON1112060475")</f>
        <v>#NAME?</v>
      </c>
      <c r="G772" s="4" t="e">
        <f ca="1">[1]!BexGetData("DP_1","003N8EMH8GTFRCSWKMPXRRXR2","GSON1112060475")</f>
        <v>#NAME?</v>
      </c>
      <c r="H772" s="4" t="e">
        <f ca="1">[1]!BexGetData("DP_1","003N8EMH8GTFRCSWKMPXRS42M","GSON1112060475")</f>
        <v>#NAME?</v>
      </c>
      <c r="I772" s="4" t="e">
        <f ca="1">[1]!BexGetData("DP_1","003N8EMH8GTFRCSWKMPXRSAE6","GSON1112060475")</f>
        <v>#NAME?</v>
      </c>
      <c r="J772" s="4" t="e">
        <f ca="1">[1]!BexGetData("DP_1","003N8EMH8GTFRCSWKMPXRSGPQ","GSON1112060475")</f>
        <v>#NAME?</v>
      </c>
      <c r="K772" s="8" t="e">
        <f ca="1">[1]!BexGetData("DP_1","003N8EMH8GTFRIVNUPY288VJH","GSON1112060475")</f>
        <v>#NAME?</v>
      </c>
      <c r="L772" s="8" t="e">
        <f ca="1">[1]!BexGetData("DP_1","003N8EMH8GTFRIVNUPY2891V1","GSON1112060475")</f>
        <v>#NAME?</v>
      </c>
      <c r="M772" s="8" t="e">
        <f ca="1">[1]!BexGetData("DP_1","003N8EMH8GTFRIVOG7KG9IQXA","GSON1112060475")</f>
        <v>#NAME?</v>
      </c>
      <c r="N772" s="8" t="e">
        <f ca="1">[1]!BexGetData("DP_1","003N8EMH8GTFRIVOG7KG9IX8U","GSON1112060475")</f>
        <v>#NAME?</v>
      </c>
      <c r="O772" s="8" t="e">
        <f ca="1">[1]!BexGetData("DP_1","003N8EMH8GTFRIVOG7KG9J3KE","GSON1112060475")</f>
        <v>#NAME?</v>
      </c>
      <c r="P772" s="8" t="e">
        <f ca="1">[1]!BexGetData("DP_1","003N8EMH8GTFRIVOG7KG9J9VY","GSON1112060475")</f>
        <v>#NAME?</v>
      </c>
      <c r="Q772" s="4" t="e">
        <f ca="1">[1]!BexGetData("DP_1","00O2TNJGODT0G5Z4TTKYMM5MT","GSON1112060475")</f>
        <v>#NAME?</v>
      </c>
      <c r="R772" s="4" t="e">
        <f ca="1">[1]!BexGetData("DP_1","00O2TNJGODT0G5Z4TTKYMMBYD","GSON1112060475")</f>
        <v>#NAME?</v>
      </c>
      <c r="S772" s="4" t="e">
        <f ca="1">[1]!BexGetData("DP_1","00O2TNJGODT0G5Z4TTKYMMI9X","GSON1112060475")</f>
        <v>#NAME?</v>
      </c>
      <c r="T772" s="4" t="e">
        <f ca="1">[1]!BexGetData("DP_1","00O2TNJGODT0G5Z4TTKYMMOLH","GSON1112060475")</f>
        <v>#NAME?</v>
      </c>
      <c r="U772" s="4" t="e">
        <f ca="1">[1]!BexGetData("DP_1","00O2TNJGODT0G5Z4TTKYMMUX1","GSON1112060475")</f>
        <v>#NAME?</v>
      </c>
      <c r="V772" s="4" t="e">
        <f ca="1">[1]!BexGetData("DP_1","00O2TNJGODT0G5Z4TTKYMN18L","GSON1112060475")</f>
        <v>#NAME?</v>
      </c>
      <c r="W772" s="4" t="e">
        <f ca="1">[1]!BexGetData("DP_1","00O2TNJGODT0G5Z4TTKYMN7K5","GSON1112060475")</f>
        <v>#NAME?</v>
      </c>
    </row>
    <row r="773" spans="1:23" x14ac:dyDescent="0.2">
      <c r="A773" s="16" t="s">
        <v>2892</v>
      </c>
      <c r="B773" s="7" t="s">
        <v>2893</v>
      </c>
      <c r="C773" s="3" t="e">
        <f ca="1">[1]!BexGetData("DP_1","003N8EMH8GTFRCSWKMPXRR8GU","GSON1112060480")</f>
        <v>#NAME?</v>
      </c>
      <c r="D773" s="3" t="e">
        <f ca="1">[1]!BexGetData("DP_1","003N8EMH8GTFRCSWKMPXRRESE","GSON1112060480")</f>
        <v>#NAME?</v>
      </c>
      <c r="E773" s="3" t="e">
        <f ca="1">[1]!BexGetData("DP_1","003N8EMH8GTFRCSWKMPXRRL3Y","GSON1112060480")</f>
        <v>#NAME?</v>
      </c>
      <c r="F773" s="3" t="e">
        <f ca="1">[1]!BexGetData("DP_1","003N8EMH8GTFRCSWKMPXRRRFI","GSON1112060480")</f>
        <v>#NAME?</v>
      </c>
      <c r="G773" s="3" t="e">
        <f ca="1">[1]!BexGetData("DP_1","003N8EMH8GTFRCSWKMPXRRXR2","GSON1112060480")</f>
        <v>#NAME?</v>
      </c>
      <c r="H773" s="8" t="e">
        <f ca="1">[1]!BexGetData("DP_1","003N8EMH8GTFRCSWKMPXRS42M","GSON1112060480")</f>
        <v>#NAME?</v>
      </c>
      <c r="I773" s="3" t="e">
        <f ca="1">[1]!BexGetData("DP_1","003N8EMH8GTFRCSWKMPXRSAE6","GSON1112060480")</f>
        <v>#NAME?</v>
      </c>
      <c r="J773" s="4" t="e">
        <f ca="1">[1]!BexGetData("DP_1","003N8EMH8GTFRCSWKMPXRSGPQ","GSON1112060480")</f>
        <v>#NAME?</v>
      </c>
      <c r="K773" s="3" t="e">
        <f ca="1">[1]!BexGetData("DP_1","003N8EMH8GTFRIVNUPY288VJH","GSON1112060480")</f>
        <v>#NAME?</v>
      </c>
      <c r="L773" s="3" t="e">
        <f ca="1">[1]!BexGetData("DP_1","003N8EMH8GTFRIVNUPY2891V1","GSON1112060480")</f>
        <v>#NAME?</v>
      </c>
      <c r="M773" s="3" t="e">
        <f ca="1">[1]!BexGetData("DP_1","003N8EMH8GTFRIVOG7KG9IQXA","GSON1112060480")</f>
        <v>#NAME?</v>
      </c>
      <c r="N773" s="8" t="e">
        <f ca="1">[1]!BexGetData("DP_1","003N8EMH8GTFRIVOG7KG9IX8U","GSON1112060480")</f>
        <v>#NAME?</v>
      </c>
      <c r="O773" s="3" t="e">
        <f ca="1">[1]!BexGetData("DP_1","003N8EMH8GTFRIVOG7KG9J3KE","GSON1112060480")</f>
        <v>#NAME?</v>
      </c>
      <c r="P773" s="8" t="e">
        <f ca="1">[1]!BexGetData("DP_1","003N8EMH8GTFRIVOG7KG9J9VY","GSON1112060480")</f>
        <v>#NAME?</v>
      </c>
      <c r="Q773" s="4" t="e">
        <f ca="1">[1]!BexGetData("DP_1","00O2TNJGODT0G5Z4TTKYMM5MT","GSON1112060480")</f>
        <v>#NAME?</v>
      </c>
      <c r="R773" s="3" t="e">
        <f ca="1">[1]!BexGetData("DP_1","00O2TNJGODT0G5Z4TTKYMMBYD","GSON1112060480")</f>
        <v>#NAME?</v>
      </c>
      <c r="S773" s="3" t="e">
        <f ca="1">[1]!BexGetData("DP_1","00O2TNJGODT0G5Z4TTKYMMI9X","GSON1112060480")</f>
        <v>#NAME?</v>
      </c>
      <c r="T773" s="8" t="e">
        <f ca="1">[1]!BexGetData("DP_1","00O2TNJGODT0G5Z4TTKYMMOLH","GSON1112060480")</f>
        <v>#NAME?</v>
      </c>
      <c r="U773" s="3" t="e">
        <f ca="1">[1]!BexGetData("DP_1","00O2TNJGODT0G5Z4TTKYMMUX1","GSON1112060480")</f>
        <v>#NAME?</v>
      </c>
      <c r="V773" s="8" t="e">
        <f ca="1">[1]!BexGetData("DP_1","00O2TNJGODT0G5Z4TTKYMN18L","GSON1112060480")</f>
        <v>#NAME?</v>
      </c>
      <c r="W773" s="3" t="e">
        <f ca="1">[1]!BexGetData("DP_1","00O2TNJGODT0G5Z4TTKYMN7K5","GSON1112060480")</f>
        <v>#NAME?</v>
      </c>
    </row>
    <row r="774" spans="1:23" x14ac:dyDescent="0.2">
      <c r="A774" s="16" t="s">
        <v>2894</v>
      </c>
      <c r="B774" s="7" t="s">
        <v>2895</v>
      </c>
      <c r="C774" s="3" t="e">
        <f ca="1">[1]!BexGetData("DP_1","003N8EMH8GTFRCSWKMPXRR8GU","GSON1112060481")</f>
        <v>#NAME?</v>
      </c>
      <c r="D774" s="3" t="e">
        <f ca="1">[1]!BexGetData("DP_1","003N8EMH8GTFRCSWKMPXRRESE","GSON1112060481")</f>
        <v>#NAME?</v>
      </c>
      <c r="E774" s="8" t="e">
        <f ca="1">[1]!BexGetData("DP_1","003N8EMH8GTFRCSWKMPXRRL3Y","GSON1112060481")</f>
        <v>#NAME?</v>
      </c>
      <c r="F774" s="4" t="e">
        <f ca="1">[1]!BexGetData("DP_1","003N8EMH8GTFRCSWKMPXRRRFI","GSON1112060481")</f>
        <v>#NAME?</v>
      </c>
      <c r="G774" s="4" t="e">
        <f ca="1">[1]!BexGetData("DP_1","003N8EMH8GTFRCSWKMPXRRXR2","GSON1112060481")</f>
        <v>#NAME?</v>
      </c>
      <c r="H774" s="4" t="e">
        <f ca="1">[1]!BexGetData("DP_1","003N8EMH8GTFRCSWKMPXRS42M","GSON1112060481")</f>
        <v>#NAME?</v>
      </c>
      <c r="I774" s="4" t="e">
        <f ca="1">[1]!BexGetData("DP_1","003N8EMH8GTFRCSWKMPXRSAE6","GSON1112060481")</f>
        <v>#NAME?</v>
      </c>
      <c r="J774" s="4" t="e">
        <f ca="1">[1]!BexGetData("DP_1","003N8EMH8GTFRCSWKMPXRSGPQ","GSON1112060481")</f>
        <v>#NAME?</v>
      </c>
      <c r="K774" s="8" t="e">
        <f ca="1">[1]!BexGetData("DP_1","003N8EMH8GTFRIVNUPY288VJH","GSON1112060481")</f>
        <v>#NAME?</v>
      </c>
      <c r="L774" s="8" t="e">
        <f ca="1">[1]!BexGetData("DP_1","003N8EMH8GTFRIVNUPY2891V1","GSON1112060481")</f>
        <v>#NAME?</v>
      </c>
      <c r="M774" s="8" t="e">
        <f ca="1">[1]!BexGetData("DP_1","003N8EMH8GTFRIVOG7KG9IQXA","GSON1112060481")</f>
        <v>#NAME?</v>
      </c>
      <c r="N774" s="8" t="e">
        <f ca="1">[1]!BexGetData("DP_1","003N8EMH8GTFRIVOG7KG9IX8U","GSON1112060481")</f>
        <v>#NAME?</v>
      </c>
      <c r="O774" s="8" t="e">
        <f ca="1">[1]!BexGetData("DP_1","003N8EMH8GTFRIVOG7KG9J3KE","GSON1112060481")</f>
        <v>#NAME?</v>
      </c>
      <c r="P774" s="8" t="e">
        <f ca="1">[1]!BexGetData("DP_1","003N8EMH8GTFRIVOG7KG9J9VY","GSON1112060481")</f>
        <v>#NAME?</v>
      </c>
      <c r="Q774" s="4" t="e">
        <f ca="1">[1]!BexGetData("DP_1","00O2TNJGODT0G5Z4TTKYMM5MT","GSON1112060481")</f>
        <v>#NAME?</v>
      </c>
      <c r="R774" s="4" t="e">
        <f ca="1">[1]!BexGetData("DP_1","00O2TNJGODT0G5Z4TTKYMMBYD","GSON1112060481")</f>
        <v>#NAME?</v>
      </c>
      <c r="S774" s="4" t="e">
        <f ca="1">[1]!BexGetData("DP_1","00O2TNJGODT0G5Z4TTKYMMI9X","GSON1112060481")</f>
        <v>#NAME?</v>
      </c>
      <c r="T774" s="4" t="e">
        <f ca="1">[1]!BexGetData("DP_1","00O2TNJGODT0G5Z4TTKYMMOLH","GSON1112060481")</f>
        <v>#NAME?</v>
      </c>
      <c r="U774" s="4" t="e">
        <f ca="1">[1]!BexGetData("DP_1","00O2TNJGODT0G5Z4TTKYMMUX1","GSON1112060481")</f>
        <v>#NAME?</v>
      </c>
      <c r="V774" s="4" t="e">
        <f ca="1">[1]!BexGetData("DP_1","00O2TNJGODT0G5Z4TTKYMN18L","GSON1112060481")</f>
        <v>#NAME?</v>
      </c>
      <c r="W774" s="4" t="e">
        <f ca="1">[1]!BexGetData("DP_1","00O2TNJGODT0G5Z4TTKYMN7K5","GSON1112060481")</f>
        <v>#NAME?</v>
      </c>
    </row>
    <row r="775" spans="1:23" x14ac:dyDescent="0.2">
      <c r="A775" s="16" t="s">
        <v>2896</v>
      </c>
      <c r="B775" s="7" t="s">
        <v>1644</v>
      </c>
      <c r="C775" s="3" t="e">
        <f ca="1">[1]!BexGetData("DP_1","003N8EMH8GTFRCSWKMPXRR8GU","GSON1112060482")</f>
        <v>#NAME?</v>
      </c>
      <c r="D775" s="3" t="e">
        <f ca="1">[1]!BexGetData("DP_1","003N8EMH8GTFRCSWKMPXRRESE","GSON1112060482")</f>
        <v>#NAME?</v>
      </c>
      <c r="E775" s="3" t="e">
        <f ca="1">[1]!BexGetData("DP_1","003N8EMH8GTFRCSWKMPXRRL3Y","GSON1112060482")</f>
        <v>#NAME?</v>
      </c>
      <c r="F775" s="3" t="e">
        <f ca="1">[1]!BexGetData("DP_1","003N8EMH8GTFRCSWKMPXRRRFI","GSON1112060482")</f>
        <v>#NAME?</v>
      </c>
      <c r="G775" s="8" t="e">
        <f ca="1">[1]!BexGetData("DP_1","003N8EMH8GTFRCSWKMPXRRXR2","GSON1112060482")</f>
        <v>#NAME?</v>
      </c>
      <c r="H775" s="3" t="e">
        <f ca="1">[1]!BexGetData("DP_1","003N8EMH8GTFRCSWKMPXRS42M","GSON1112060482")</f>
        <v>#NAME?</v>
      </c>
      <c r="I775" s="3" t="e">
        <f ca="1">[1]!BexGetData("DP_1","003N8EMH8GTFRCSWKMPXRSAE6","GSON1112060482")</f>
        <v>#NAME?</v>
      </c>
      <c r="J775" s="4" t="e">
        <f ca="1">[1]!BexGetData("DP_1","003N8EMH8GTFRCSWKMPXRSGPQ","GSON1112060482")</f>
        <v>#NAME?</v>
      </c>
      <c r="K775" s="3" t="e">
        <f ca="1">[1]!BexGetData("DP_1","003N8EMH8GTFRIVNUPY288VJH","GSON1112060482")</f>
        <v>#NAME?</v>
      </c>
      <c r="L775" s="3" t="e">
        <f ca="1">[1]!BexGetData("DP_1","003N8EMH8GTFRIVNUPY2891V1","GSON1112060482")</f>
        <v>#NAME?</v>
      </c>
      <c r="M775" s="8" t="e">
        <f ca="1">[1]!BexGetData("DP_1","003N8EMH8GTFRIVOG7KG9IQXA","GSON1112060482")</f>
        <v>#NAME?</v>
      </c>
      <c r="N775" s="3" t="e">
        <f ca="1">[1]!BexGetData("DP_1","003N8EMH8GTFRIVOG7KG9IX8U","GSON1112060482")</f>
        <v>#NAME?</v>
      </c>
      <c r="O775" s="8" t="e">
        <f ca="1">[1]!BexGetData("DP_1","003N8EMH8GTFRIVOG7KG9J3KE","GSON1112060482")</f>
        <v>#NAME?</v>
      </c>
      <c r="P775" s="3" t="e">
        <f ca="1">[1]!BexGetData("DP_1","003N8EMH8GTFRIVOG7KG9J9VY","GSON1112060482")</f>
        <v>#NAME?</v>
      </c>
      <c r="Q775" s="4" t="e">
        <f ca="1">[1]!BexGetData("DP_1","00O2TNJGODT0G5Z4TTKYMM5MT","GSON1112060482")</f>
        <v>#NAME?</v>
      </c>
      <c r="R775" s="3" t="e">
        <f ca="1">[1]!BexGetData("DP_1","00O2TNJGODT0G5Z4TTKYMMBYD","GSON1112060482")</f>
        <v>#NAME?</v>
      </c>
      <c r="S775" s="3" t="e">
        <f ca="1">[1]!BexGetData("DP_1","00O2TNJGODT0G5Z4TTKYMMI9X","GSON1112060482")</f>
        <v>#NAME?</v>
      </c>
      <c r="T775" s="3" t="e">
        <f ca="1">[1]!BexGetData("DP_1","00O2TNJGODT0G5Z4TTKYMMOLH","GSON1112060482")</f>
        <v>#NAME?</v>
      </c>
      <c r="U775" s="8" t="e">
        <f ca="1">[1]!BexGetData("DP_1","00O2TNJGODT0G5Z4TTKYMMUX1","GSON1112060482")</f>
        <v>#NAME?</v>
      </c>
      <c r="V775" s="3" t="e">
        <f ca="1">[1]!BexGetData("DP_1","00O2TNJGODT0G5Z4TTKYMN18L","GSON1112060482")</f>
        <v>#NAME?</v>
      </c>
      <c r="W775" s="8" t="e">
        <f ca="1">[1]!BexGetData("DP_1","00O2TNJGODT0G5Z4TTKYMN7K5","GSON1112060482")</f>
        <v>#NAME?</v>
      </c>
    </row>
    <row r="776" spans="1:23" x14ac:dyDescent="0.2">
      <c r="A776" s="16" t="s">
        <v>2897</v>
      </c>
      <c r="B776" s="7" t="s">
        <v>2898</v>
      </c>
      <c r="C776" s="3" t="e">
        <f ca="1">[1]!BexGetData("DP_1","003N8EMH8GTFRCSWKMPXRR8GU","GSON1112060483")</f>
        <v>#NAME?</v>
      </c>
      <c r="D776" s="3" t="e">
        <f ca="1">[1]!BexGetData("DP_1","003N8EMH8GTFRCSWKMPXRRESE","GSON1112060483")</f>
        <v>#NAME?</v>
      </c>
      <c r="E776" s="8" t="e">
        <f ca="1">[1]!BexGetData("DP_1","003N8EMH8GTFRCSWKMPXRRL3Y","GSON1112060483")</f>
        <v>#NAME?</v>
      </c>
      <c r="F776" s="4" t="e">
        <f ca="1">[1]!BexGetData("DP_1","003N8EMH8GTFRCSWKMPXRRRFI","GSON1112060483")</f>
        <v>#NAME?</v>
      </c>
      <c r="G776" s="4" t="e">
        <f ca="1">[1]!BexGetData("DP_1","003N8EMH8GTFRCSWKMPXRRXR2","GSON1112060483")</f>
        <v>#NAME?</v>
      </c>
      <c r="H776" s="4" t="e">
        <f ca="1">[1]!BexGetData("DP_1","003N8EMH8GTFRCSWKMPXRS42M","GSON1112060483")</f>
        <v>#NAME?</v>
      </c>
      <c r="I776" s="4" t="e">
        <f ca="1">[1]!BexGetData("DP_1","003N8EMH8GTFRCSWKMPXRSAE6","GSON1112060483")</f>
        <v>#NAME?</v>
      </c>
      <c r="J776" s="4" t="e">
        <f ca="1">[1]!BexGetData("DP_1","003N8EMH8GTFRCSWKMPXRSGPQ","GSON1112060483")</f>
        <v>#NAME?</v>
      </c>
      <c r="K776" s="8" t="e">
        <f ca="1">[1]!BexGetData("DP_1","003N8EMH8GTFRIVNUPY288VJH","GSON1112060483")</f>
        <v>#NAME?</v>
      </c>
      <c r="L776" s="8" t="e">
        <f ca="1">[1]!BexGetData("DP_1","003N8EMH8GTFRIVNUPY2891V1","GSON1112060483")</f>
        <v>#NAME?</v>
      </c>
      <c r="M776" s="8" t="e">
        <f ca="1">[1]!BexGetData("DP_1","003N8EMH8GTFRIVOG7KG9IQXA","GSON1112060483")</f>
        <v>#NAME?</v>
      </c>
      <c r="N776" s="8" t="e">
        <f ca="1">[1]!BexGetData("DP_1","003N8EMH8GTFRIVOG7KG9IX8U","GSON1112060483")</f>
        <v>#NAME?</v>
      </c>
      <c r="O776" s="8" t="e">
        <f ca="1">[1]!BexGetData("DP_1","003N8EMH8GTFRIVOG7KG9J3KE","GSON1112060483")</f>
        <v>#NAME?</v>
      </c>
      <c r="P776" s="8" t="e">
        <f ca="1">[1]!BexGetData("DP_1","003N8EMH8GTFRIVOG7KG9J9VY","GSON1112060483")</f>
        <v>#NAME?</v>
      </c>
      <c r="Q776" s="4" t="e">
        <f ca="1">[1]!BexGetData("DP_1","00O2TNJGODT0G5Z4TTKYMM5MT","GSON1112060483")</f>
        <v>#NAME?</v>
      </c>
      <c r="R776" s="4" t="e">
        <f ca="1">[1]!BexGetData("DP_1","00O2TNJGODT0G5Z4TTKYMMBYD","GSON1112060483")</f>
        <v>#NAME?</v>
      </c>
      <c r="S776" s="4" t="e">
        <f ca="1">[1]!BexGetData("DP_1","00O2TNJGODT0G5Z4TTKYMMI9X","GSON1112060483")</f>
        <v>#NAME?</v>
      </c>
      <c r="T776" s="4" t="e">
        <f ca="1">[1]!BexGetData("DP_1","00O2TNJGODT0G5Z4TTKYMMOLH","GSON1112060483")</f>
        <v>#NAME?</v>
      </c>
      <c r="U776" s="4" t="e">
        <f ca="1">[1]!BexGetData("DP_1","00O2TNJGODT0G5Z4TTKYMMUX1","GSON1112060483")</f>
        <v>#NAME?</v>
      </c>
      <c r="V776" s="4" t="e">
        <f ca="1">[1]!BexGetData("DP_1","00O2TNJGODT0G5Z4TTKYMN18L","GSON1112060483")</f>
        <v>#NAME?</v>
      </c>
      <c r="W776" s="4" t="e">
        <f ca="1">[1]!BexGetData("DP_1","00O2TNJGODT0G5Z4TTKYMN7K5","GSON1112060483")</f>
        <v>#NAME?</v>
      </c>
    </row>
    <row r="777" spans="1:23" x14ac:dyDescent="0.2">
      <c r="A777" s="16" t="s">
        <v>2899</v>
      </c>
      <c r="B777" s="7" t="s">
        <v>2900</v>
      </c>
      <c r="C777" s="3" t="e">
        <f ca="1">[1]!BexGetData("DP_1","003N8EMH8GTFRCSWKMPXRR8GU","GSON1112060484")</f>
        <v>#NAME?</v>
      </c>
      <c r="D777" s="3" t="e">
        <f ca="1">[1]!BexGetData("DP_1","003N8EMH8GTFRCSWKMPXRRESE","GSON1112060484")</f>
        <v>#NAME?</v>
      </c>
      <c r="E777" s="8" t="e">
        <f ca="1">[1]!BexGetData("DP_1","003N8EMH8GTFRCSWKMPXRRL3Y","GSON1112060484")</f>
        <v>#NAME?</v>
      </c>
      <c r="F777" s="4" t="e">
        <f ca="1">[1]!BexGetData("DP_1","003N8EMH8GTFRCSWKMPXRRRFI","GSON1112060484")</f>
        <v>#NAME?</v>
      </c>
      <c r="G777" s="4" t="e">
        <f ca="1">[1]!BexGetData("DP_1","003N8EMH8GTFRCSWKMPXRRXR2","GSON1112060484")</f>
        <v>#NAME?</v>
      </c>
      <c r="H777" s="4" t="e">
        <f ca="1">[1]!BexGetData("DP_1","003N8EMH8GTFRCSWKMPXRS42M","GSON1112060484")</f>
        <v>#NAME?</v>
      </c>
      <c r="I777" s="4" t="e">
        <f ca="1">[1]!BexGetData("DP_1","003N8EMH8GTFRCSWKMPXRSAE6","GSON1112060484")</f>
        <v>#NAME?</v>
      </c>
      <c r="J777" s="4" t="e">
        <f ca="1">[1]!BexGetData("DP_1","003N8EMH8GTFRCSWKMPXRSGPQ","GSON1112060484")</f>
        <v>#NAME?</v>
      </c>
      <c r="K777" s="8" t="e">
        <f ca="1">[1]!BexGetData("DP_1","003N8EMH8GTFRIVNUPY288VJH","GSON1112060484")</f>
        <v>#NAME?</v>
      </c>
      <c r="L777" s="8" t="e">
        <f ca="1">[1]!BexGetData("DP_1","003N8EMH8GTFRIVNUPY2891V1","GSON1112060484")</f>
        <v>#NAME?</v>
      </c>
      <c r="M777" s="8" t="e">
        <f ca="1">[1]!BexGetData("DP_1","003N8EMH8GTFRIVOG7KG9IQXA","GSON1112060484")</f>
        <v>#NAME?</v>
      </c>
      <c r="N777" s="8" t="e">
        <f ca="1">[1]!BexGetData("DP_1","003N8EMH8GTFRIVOG7KG9IX8U","GSON1112060484")</f>
        <v>#NAME?</v>
      </c>
      <c r="O777" s="8" t="e">
        <f ca="1">[1]!BexGetData("DP_1","003N8EMH8GTFRIVOG7KG9J3KE","GSON1112060484")</f>
        <v>#NAME?</v>
      </c>
      <c r="P777" s="8" t="e">
        <f ca="1">[1]!BexGetData("DP_1","003N8EMH8GTFRIVOG7KG9J9VY","GSON1112060484")</f>
        <v>#NAME?</v>
      </c>
      <c r="Q777" s="4" t="e">
        <f ca="1">[1]!BexGetData("DP_1","00O2TNJGODT0G5Z4TTKYMM5MT","GSON1112060484")</f>
        <v>#NAME?</v>
      </c>
      <c r="R777" s="4" t="e">
        <f ca="1">[1]!BexGetData("DP_1","00O2TNJGODT0G5Z4TTKYMMBYD","GSON1112060484")</f>
        <v>#NAME?</v>
      </c>
      <c r="S777" s="4" t="e">
        <f ca="1">[1]!BexGetData("DP_1","00O2TNJGODT0G5Z4TTKYMMI9X","GSON1112060484")</f>
        <v>#NAME?</v>
      </c>
      <c r="T777" s="4" t="e">
        <f ca="1">[1]!BexGetData("DP_1","00O2TNJGODT0G5Z4TTKYMMOLH","GSON1112060484")</f>
        <v>#NAME?</v>
      </c>
      <c r="U777" s="4" t="e">
        <f ca="1">[1]!BexGetData("DP_1","00O2TNJGODT0G5Z4TTKYMMUX1","GSON1112060484")</f>
        <v>#NAME?</v>
      </c>
      <c r="V777" s="4" t="e">
        <f ca="1">[1]!BexGetData("DP_1","00O2TNJGODT0G5Z4TTKYMN18L","GSON1112060484")</f>
        <v>#NAME?</v>
      </c>
      <c r="W777" s="4" t="e">
        <f ca="1">[1]!BexGetData("DP_1","00O2TNJGODT0G5Z4TTKYMN7K5","GSON1112060484")</f>
        <v>#NAME?</v>
      </c>
    </row>
    <row r="778" spans="1:23" x14ac:dyDescent="0.2">
      <c r="A778" s="16" t="s">
        <v>2901</v>
      </c>
      <c r="B778" s="7" t="s">
        <v>2902</v>
      </c>
      <c r="C778" s="3" t="e">
        <f ca="1">[1]!BexGetData("DP_1","003N8EMH8GTFRCSWKMPXRR8GU","GSON1112060485")</f>
        <v>#NAME?</v>
      </c>
      <c r="D778" s="3" t="e">
        <f ca="1">[1]!BexGetData("DP_1","003N8EMH8GTFRCSWKMPXRRESE","GSON1112060485")</f>
        <v>#NAME?</v>
      </c>
      <c r="E778" s="8" t="e">
        <f ca="1">[1]!BexGetData("DP_1","003N8EMH8GTFRCSWKMPXRRL3Y","GSON1112060485")</f>
        <v>#NAME?</v>
      </c>
      <c r="F778" s="4" t="e">
        <f ca="1">[1]!BexGetData("DP_1","003N8EMH8GTFRCSWKMPXRRRFI","GSON1112060485")</f>
        <v>#NAME?</v>
      </c>
      <c r="G778" s="4" t="e">
        <f ca="1">[1]!BexGetData("DP_1","003N8EMH8GTFRCSWKMPXRRXR2","GSON1112060485")</f>
        <v>#NAME?</v>
      </c>
      <c r="H778" s="4" t="e">
        <f ca="1">[1]!BexGetData("DP_1","003N8EMH8GTFRCSWKMPXRS42M","GSON1112060485")</f>
        <v>#NAME?</v>
      </c>
      <c r="I778" s="4" t="e">
        <f ca="1">[1]!BexGetData("DP_1","003N8EMH8GTFRCSWKMPXRSAE6","GSON1112060485")</f>
        <v>#NAME?</v>
      </c>
      <c r="J778" s="4" t="e">
        <f ca="1">[1]!BexGetData("DP_1","003N8EMH8GTFRCSWKMPXRSGPQ","GSON1112060485")</f>
        <v>#NAME?</v>
      </c>
      <c r="K778" s="8" t="e">
        <f ca="1">[1]!BexGetData("DP_1","003N8EMH8GTFRIVNUPY288VJH","GSON1112060485")</f>
        <v>#NAME?</v>
      </c>
      <c r="L778" s="8" t="e">
        <f ca="1">[1]!BexGetData("DP_1","003N8EMH8GTFRIVNUPY2891V1","GSON1112060485")</f>
        <v>#NAME?</v>
      </c>
      <c r="M778" s="8" t="e">
        <f ca="1">[1]!BexGetData("DP_1","003N8EMH8GTFRIVOG7KG9IQXA","GSON1112060485")</f>
        <v>#NAME?</v>
      </c>
      <c r="N778" s="8" t="e">
        <f ca="1">[1]!BexGetData("DP_1","003N8EMH8GTFRIVOG7KG9IX8U","GSON1112060485")</f>
        <v>#NAME?</v>
      </c>
      <c r="O778" s="8" t="e">
        <f ca="1">[1]!BexGetData("DP_1","003N8EMH8GTFRIVOG7KG9J3KE","GSON1112060485")</f>
        <v>#NAME?</v>
      </c>
      <c r="P778" s="8" t="e">
        <f ca="1">[1]!BexGetData("DP_1","003N8EMH8GTFRIVOG7KG9J9VY","GSON1112060485")</f>
        <v>#NAME?</v>
      </c>
      <c r="Q778" s="4" t="e">
        <f ca="1">[1]!BexGetData("DP_1","00O2TNJGODT0G5Z4TTKYMM5MT","GSON1112060485")</f>
        <v>#NAME?</v>
      </c>
      <c r="R778" s="4" t="e">
        <f ca="1">[1]!BexGetData("DP_1","00O2TNJGODT0G5Z4TTKYMMBYD","GSON1112060485")</f>
        <v>#NAME?</v>
      </c>
      <c r="S778" s="4" t="e">
        <f ca="1">[1]!BexGetData("DP_1","00O2TNJGODT0G5Z4TTKYMMI9X","GSON1112060485")</f>
        <v>#NAME?</v>
      </c>
      <c r="T778" s="4" t="e">
        <f ca="1">[1]!BexGetData("DP_1","00O2TNJGODT0G5Z4TTKYMMOLH","GSON1112060485")</f>
        <v>#NAME?</v>
      </c>
      <c r="U778" s="4" t="e">
        <f ca="1">[1]!BexGetData("DP_1","00O2TNJGODT0G5Z4TTKYMMUX1","GSON1112060485")</f>
        <v>#NAME?</v>
      </c>
      <c r="V778" s="4" t="e">
        <f ca="1">[1]!BexGetData("DP_1","00O2TNJGODT0G5Z4TTKYMN18L","GSON1112060485")</f>
        <v>#NAME?</v>
      </c>
      <c r="W778" s="4" t="e">
        <f ca="1">[1]!BexGetData("DP_1","00O2TNJGODT0G5Z4TTKYMN7K5","GSON1112060485")</f>
        <v>#NAME?</v>
      </c>
    </row>
    <row r="779" spans="1:23" x14ac:dyDescent="0.2">
      <c r="A779" s="16" t="s">
        <v>2903</v>
      </c>
      <c r="B779" s="7" t="s">
        <v>2904</v>
      </c>
      <c r="C779" s="3" t="e">
        <f ca="1">[1]!BexGetData("DP_1","003N8EMH8GTFRCSWKMPXRR8GU","GSON1112060490")</f>
        <v>#NAME?</v>
      </c>
      <c r="D779" s="3" t="e">
        <f ca="1">[1]!BexGetData("DP_1","003N8EMH8GTFRCSWKMPXRRESE","GSON1112060490")</f>
        <v>#NAME?</v>
      </c>
      <c r="E779" s="3" t="e">
        <f ca="1">[1]!BexGetData("DP_1","003N8EMH8GTFRCSWKMPXRRL3Y","GSON1112060490")</f>
        <v>#NAME?</v>
      </c>
      <c r="F779" s="3" t="e">
        <f ca="1">[1]!BexGetData("DP_1","003N8EMH8GTFRCSWKMPXRRRFI","GSON1112060490")</f>
        <v>#NAME?</v>
      </c>
      <c r="G779" s="3" t="e">
        <f ca="1">[1]!BexGetData("DP_1","003N8EMH8GTFRCSWKMPXRRXR2","GSON1112060490")</f>
        <v>#NAME?</v>
      </c>
      <c r="H779" s="8" t="e">
        <f ca="1">[1]!BexGetData("DP_1","003N8EMH8GTFRCSWKMPXRS42M","GSON1112060490")</f>
        <v>#NAME?</v>
      </c>
      <c r="I779" s="3" t="e">
        <f ca="1">[1]!BexGetData("DP_1","003N8EMH8GTFRCSWKMPXRSAE6","GSON1112060490")</f>
        <v>#NAME?</v>
      </c>
      <c r="J779" s="4" t="e">
        <f ca="1">[1]!BexGetData("DP_1","003N8EMH8GTFRCSWKMPXRSGPQ","GSON1112060490")</f>
        <v>#NAME?</v>
      </c>
      <c r="K779" s="3" t="e">
        <f ca="1">[1]!BexGetData("DP_1","003N8EMH8GTFRIVNUPY288VJH","GSON1112060490")</f>
        <v>#NAME?</v>
      </c>
      <c r="L779" s="3" t="e">
        <f ca="1">[1]!BexGetData("DP_1","003N8EMH8GTFRIVNUPY2891V1","GSON1112060490")</f>
        <v>#NAME?</v>
      </c>
      <c r="M779" s="8" t="e">
        <f ca="1">[1]!BexGetData("DP_1","003N8EMH8GTFRIVOG7KG9IQXA","GSON1112060490")</f>
        <v>#NAME?</v>
      </c>
      <c r="N779" s="3" t="e">
        <f ca="1">[1]!BexGetData("DP_1","003N8EMH8GTFRIVOG7KG9IX8U","GSON1112060490")</f>
        <v>#NAME?</v>
      </c>
      <c r="O779" s="8" t="e">
        <f ca="1">[1]!BexGetData("DP_1","003N8EMH8GTFRIVOG7KG9J3KE","GSON1112060490")</f>
        <v>#NAME?</v>
      </c>
      <c r="P779" s="3" t="e">
        <f ca="1">[1]!BexGetData("DP_1","003N8EMH8GTFRIVOG7KG9J9VY","GSON1112060490")</f>
        <v>#NAME?</v>
      </c>
      <c r="Q779" s="4" t="e">
        <f ca="1">[1]!BexGetData("DP_1","00O2TNJGODT0G5Z4TTKYMM5MT","GSON1112060490")</f>
        <v>#NAME?</v>
      </c>
      <c r="R779" s="3" t="e">
        <f ca="1">[1]!BexGetData("DP_1","00O2TNJGODT0G5Z4TTKYMMBYD","GSON1112060490")</f>
        <v>#NAME?</v>
      </c>
      <c r="S779" s="3" t="e">
        <f ca="1">[1]!BexGetData("DP_1","00O2TNJGODT0G5Z4TTKYMMI9X","GSON1112060490")</f>
        <v>#NAME?</v>
      </c>
      <c r="T779" s="8" t="e">
        <f ca="1">[1]!BexGetData("DP_1","00O2TNJGODT0G5Z4TTKYMMOLH","GSON1112060490")</f>
        <v>#NAME?</v>
      </c>
      <c r="U779" s="3" t="e">
        <f ca="1">[1]!BexGetData("DP_1","00O2TNJGODT0G5Z4TTKYMMUX1","GSON1112060490")</f>
        <v>#NAME?</v>
      </c>
      <c r="V779" s="8" t="e">
        <f ca="1">[1]!BexGetData("DP_1","00O2TNJGODT0G5Z4TTKYMN18L","GSON1112060490")</f>
        <v>#NAME?</v>
      </c>
      <c r="W779" s="3" t="e">
        <f ca="1">[1]!BexGetData("DP_1","00O2TNJGODT0G5Z4TTKYMN7K5","GSON1112060490")</f>
        <v>#NAME?</v>
      </c>
    </row>
    <row r="780" spans="1:23" x14ac:dyDescent="0.2">
      <c r="A780" s="16" t="s">
        <v>2905</v>
      </c>
      <c r="B780" s="7" t="s">
        <v>2906</v>
      </c>
      <c r="C780" s="3" t="e">
        <f ca="1">[1]!BexGetData("DP_1","003N8EMH8GTFRCSWKMPXRR8GU","GSON1112060491")</f>
        <v>#NAME?</v>
      </c>
      <c r="D780" s="3" t="e">
        <f ca="1">[1]!BexGetData("DP_1","003N8EMH8GTFRCSWKMPXRRESE","GSON1112060491")</f>
        <v>#NAME?</v>
      </c>
      <c r="E780" s="8" t="e">
        <f ca="1">[1]!BexGetData("DP_1","003N8EMH8GTFRCSWKMPXRRL3Y","GSON1112060491")</f>
        <v>#NAME?</v>
      </c>
      <c r="F780" s="4" t="e">
        <f ca="1">[1]!BexGetData("DP_1","003N8EMH8GTFRCSWKMPXRRRFI","GSON1112060491")</f>
        <v>#NAME?</v>
      </c>
      <c r="G780" s="4" t="e">
        <f ca="1">[1]!BexGetData("DP_1","003N8EMH8GTFRCSWKMPXRRXR2","GSON1112060491")</f>
        <v>#NAME?</v>
      </c>
      <c r="H780" s="4" t="e">
        <f ca="1">[1]!BexGetData("DP_1","003N8EMH8GTFRCSWKMPXRS42M","GSON1112060491")</f>
        <v>#NAME?</v>
      </c>
      <c r="I780" s="4" t="e">
        <f ca="1">[1]!BexGetData("DP_1","003N8EMH8GTFRCSWKMPXRSAE6","GSON1112060491")</f>
        <v>#NAME?</v>
      </c>
      <c r="J780" s="4" t="e">
        <f ca="1">[1]!BexGetData("DP_1","003N8EMH8GTFRCSWKMPXRSGPQ","GSON1112060491")</f>
        <v>#NAME?</v>
      </c>
      <c r="K780" s="8" t="e">
        <f ca="1">[1]!BexGetData("DP_1","003N8EMH8GTFRIVNUPY288VJH","GSON1112060491")</f>
        <v>#NAME?</v>
      </c>
      <c r="L780" s="8" t="e">
        <f ca="1">[1]!BexGetData("DP_1","003N8EMH8GTFRIVNUPY2891V1","GSON1112060491")</f>
        <v>#NAME?</v>
      </c>
      <c r="M780" s="8" t="e">
        <f ca="1">[1]!BexGetData("DP_1","003N8EMH8GTFRIVOG7KG9IQXA","GSON1112060491")</f>
        <v>#NAME?</v>
      </c>
      <c r="N780" s="8" t="e">
        <f ca="1">[1]!BexGetData("DP_1","003N8EMH8GTFRIVOG7KG9IX8U","GSON1112060491")</f>
        <v>#NAME?</v>
      </c>
      <c r="O780" s="8" t="e">
        <f ca="1">[1]!BexGetData("DP_1","003N8EMH8GTFRIVOG7KG9J3KE","GSON1112060491")</f>
        <v>#NAME?</v>
      </c>
      <c r="P780" s="8" t="e">
        <f ca="1">[1]!BexGetData("DP_1","003N8EMH8GTFRIVOG7KG9J9VY","GSON1112060491")</f>
        <v>#NAME?</v>
      </c>
      <c r="Q780" s="4" t="e">
        <f ca="1">[1]!BexGetData("DP_1","00O2TNJGODT0G5Z4TTKYMM5MT","GSON1112060491")</f>
        <v>#NAME?</v>
      </c>
      <c r="R780" s="4" t="e">
        <f ca="1">[1]!BexGetData("DP_1","00O2TNJGODT0G5Z4TTKYMMBYD","GSON1112060491")</f>
        <v>#NAME?</v>
      </c>
      <c r="S780" s="4" t="e">
        <f ca="1">[1]!BexGetData("DP_1","00O2TNJGODT0G5Z4TTKYMMI9X","GSON1112060491")</f>
        <v>#NAME?</v>
      </c>
      <c r="T780" s="4" t="e">
        <f ca="1">[1]!BexGetData("DP_1","00O2TNJGODT0G5Z4TTKYMMOLH","GSON1112060491")</f>
        <v>#NAME?</v>
      </c>
      <c r="U780" s="4" t="e">
        <f ca="1">[1]!BexGetData("DP_1","00O2TNJGODT0G5Z4TTKYMMUX1","GSON1112060491")</f>
        <v>#NAME?</v>
      </c>
      <c r="V780" s="4" t="e">
        <f ca="1">[1]!BexGetData("DP_1","00O2TNJGODT0G5Z4TTKYMN18L","GSON1112060491")</f>
        <v>#NAME?</v>
      </c>
      <c r="W780" s="4" t="e">
        <f ca="1">[1]!BexGetData("DP_1","00O2TNJGODT0G5Z4TTKYMN7K5","GSON1112060491")</f>
        <v>#NAME?</v>
      </c>
    </row>
    <row r="781" spans="1:23" x14ac:dyDescent="0.2">
      <c r="A781" s="16" t="s">
        <v>2907</v>
      </c>
      <c r="B781" s="7" t="s">
        <v>2908</v>
      </c>
      <c r="C781" s="3" t="e">
        <f ca="1">[1]!BexGetData("DP_1","003N8EMH8GTFRCSWKMPXRR8GU","GSON1112060493")</f>
        <v>#NAME?</v>
      </c>
      <c r="D781" s="3" t="e">
        <f ca="1">[1]!BexGetData("DP_1","003N8EMH8GTFRCSWKMPXRRESE","GSON1112060493")</f>
        <v>#NAME?</v>
      </c>
      <c r="E781" s="8" t="e">
        <f ca="1">[1]!BexGetData("DP_1","003N8EMH8GTFRCSWKMPXRRL3Y","GSON1112060493")</f>
        <v>#NAME?</v>
      </c>
      <c r="F781" s="4" t="e">
        <f ca="1">[1]!BexGetData("DP_1","003N8EMH8GTFRCSWKMPXRRRFI","GSON1112060493")</f>
        <v>#NAME?</v>
      </c>
      <c r="G781" s="4" t="e">
        <f ca="1">[1]!BexGetData("DP_1","003N8EMH8GTFRCSWKMPXRRXR2","GSON1112060493")</f>
        <v>#NAME?</v>
      </c>
      <c r="H781" s="4" t="e">
        <f ca="1">[1]!BexGetData("DP_1","003N8EMH8GTFRCSWKMPXRS42M","GSON1112060493")</f>
        <v>#NAME?</v>
      </c>
      <c r="I781" s="4" t="e">
        <f ca="1">[1]!BexGetData("DP_1","003N8EMH8GTFRCSWKMPXRSAE6","GSON1112060493")</f>
        <v>#NAME?</v>
      </c>
      <c r="J781" s="4" t="e">
        <f ca="1">[1]!BexGetData("DP_1","003N8EMH8GTFRCSWKMPXRSGPQ","GSON1112060493")</f>
        <v>#NAME?</v>
      </c>
      <c r="K781" s="8" t="e">
        <f ca="1">[1]!BexGetData("DP_1","003N8EMH8GTFRIVNUPY288VJH","GSON1112060493")</f>
        <v>#NAME?</v>
      </c>
      <c r="L781" s="8" t="e">
        <f ca="1">[1]!BexGetData("DP_1","003N8EMH8GTFRIVNUPY2891V1","GSON1112060493")</f>
        <v>#NAME?</v>
      </c>
      <c r="M781" s="8" t="e">
        <f ca="1">[1]!BexGetData("DP_1","003N8EMH8GTFRIVOG7KG9IQXA","GSON1112060493")</f>
        <v>#NAME?</v>
      </c>
      <c r="N781" s="8" t="e">
        <f ca="1">[1]!BexGetData("DP_1","003N8EMH8GTFRIVOG7KG9IX8U","GSON1112060493")</f>
        <v>#NAME?</v>
      </c>
      <c r="O781" s="8" t="e">
        <f ca="1">[1]!BexGetData("DP_1","003N8EMH8GTFRIVOG7KG9J3KE","GSON1112060493")</f>
        <v>#NAME?</v>
      </c>
      <c r="P781" s="8" t="e">
        <f ca="1">[1]!BexGetData("DP_1","003N8EMH8GTFRIVOG7KG9J9VY","GSON1112060493")</f>
        <v>#NAME?</v>
      </c>
      <c r="Q781" s="4" t="e">
        <f ca="1">[1]!BexGetData("DP_1","00O2TNJGODT0G5Z4TTKYMM5MT","GSON1112060493")</f>
        <v>#NAME?</v>
      </c>
      <c r="R781" s="4" t="e">
        <f ca="1">[1]!BexGetData("DP_1","00O2TNJGODT0G5Z4TTKYMMBYD","GSON1112060493")</f>
        <v>#NAME?</v>
      </c>
      <c r="S781" s="4" t="e">
        <f ca="1">[1]!BexGetData("DP_1","00O2TNJGODT0G5Z4TTKYMMI9X","GSON1112060493")</f>
        <v>#NAME?</v>
      </c>
      <c r="T781" s="4" t="e">
        <f ca="1">[1]!BexGetData("DP_1","00O2TNJGODT0G5Z4TTKYMMOLH","GSON1112060493")</f>
        <v>#NAME?</v>
      </c>
      <c r="U781" s="4" t="e">
        <f ca="1">[1]!BexGetData("DP_1","00O2TNJGODT0G5Z4TTKYMMUX1","GSON1112060493")</f>
        <v>#NAME?</v>
      </c>
      <c r="V781" s="4" t="e">
        <f ca="1">[1]!BexGetData("DP_1","00O2TNJGODT0G5Z4TTKYMN18L","GSON1112060493")</f>
        <v>#NAME?</v>
      </c>
      <c r="W781" s="4" t="e">
        <f ca="1">[1]!BexGetData("DP_1","00O2TNJGODT0G5Z4TTKYMN7K5","GSON1112060493")</f>
        <v>#NAME?</v>
      </c>
    </row>
    <row r="782" spans="1:23" x14ac:dyDescent="0.2">
      <c r="A782" s="16" t="s">
        <v>2909</v>
      </c>
      <c r="B782" s="7" t="s">
        <v>2910</v>
      </c>
      <c r="C782" s="3" t="e">
        <f ca="1">[1]!BexGetData("DP_1","003N8EMH8GTFRCSWKMPXRR8GU","GSON1112060494")</f>
        <v>#NAME?</v>
      </c>
      <c r="D782" s="3" t="e">
        <f ca="1">[1]!BexGetData("DP_1","003N8EMH8GTFRCSWKMPXRRESE","GSON1112060494")</f>
        <v>#NAME?</v>
      </c>
      <c r="E782" s="8" t="e">
        <f ca="1">[1]!BexGetData("DP_1","003N8EMH8GTFRCSWKMPXRRL3Y","GSON1112060494")</f>
        <v>#NAME?</v>
      </c>
      <c r="F782" s="4" t="e">
        <f ca="1">[1]!BexGetData("DP_1","003N8EMH8GTFRCSWKMPXRRRFI","GSON1112060494")</f>
        <v>#NAME?</v>
      </c>
      <c r="G782" s="4" t="e">
        <f ca="1">[1]!BexGetData("DP_1","003N8EMH8GTFRCSWKMPXRRXR2","GSON1112060494")</f>
        <v>#NAME?</v>
      </c>
      <c r="H782" s="4" t="e">
        <f ca="1">[1]!BexGetData("DP_1","003N8EMH8GTFRCSWKMPXRS42M","GSON1112060494")</f>
        <v>#NAME?</v>
      </c>
      <c r="I782" s="4" t="e">
        <f ca="1">[1]!BexGetData("DP_1","003N8EMH8GTFRCSWKMPXRSAE6","GSON1112060494")</f>
        <v>#NAME?</v>
      </c>
      <c r="J782" s="4" t="e">
        <f ca="1">[1]!BexGetData("DP_1","003N8EMH8GTFRCSWKMPXRSGPQ","GSON1112060494")</f>
        <v>#NAME?</v>
      </c>
      <c r="K782" s="8" t="e">
        <f ca="1">[1]!BexGetData("DP_1","003N8EMH8GTFRIVNUPY288VJH","GSON1112060494")</f>
        <v>#NAME?</v>
      </c>
      <c r="L782" s="8" t="e">
        <f ca="1">[1]!BexGetData("DP_1","003N8EMH8GTFRIVNUPY2891V1","GSON1112060494")</f>
        <v>#NAME?</v>
      </c>
      <c r="M782" s="8" t="e">
        <f ca="1">[1]!BexGetData("DP_1","003N8EMH8GTFRIVOG7KG9IQXA","GSON1112060494")</f>
        <v>#NAME?</v>
      </c>
      <c r="N782" s="8" t="e">
        <f ca="1">[1]!BexGetData("DP_1","003N8EMH8GTFRIVOG7KG9IX8U","GSON1112060494")</f>
        <v>#NAME?</v>
      </c>
      <c r="O782" s="8" t="e">
        <f ca="1">[1]!BexGetData("DP_1","003N8EMH8GTFRIVOG7KG9J3KE","GSON1112060494")</f>
        <v>#NAME?</v>
      </c>
      <c r="P782" s="8" t="e">
        <f ca="1">[1]!BexGetData("DP_1","003N8EMH8GTFRIVOG7KG9J9VY","GSON1112060494")</f>
        <v>#NAME?</v>
      </c>
      <c r="Q782" s="4" t="e">
        <f ca="1">[1]!BexGetData("DP_1","00O2TNJGODT0G5Z4TTKYMM5MT","GSON1112060494")</f>
        <v>#NAME?</v>
      </c>
      <c r="R782" s="4" t="e">
        <f ca="1">[1]!BexGetData("DP_1","00O2TNJGODT0G5Z4TTKYMMBYD","GSON1112060494")</f>
        <v>#NAME?</v>
      </c>
      <c r="S782" s="4" t="e">
        <f ca="1">[1]!BexGetData("DP_1","00O2TNJGODT0G5Z4TTKYMMI9X","GSON1112060494")</f>
        <v>#NAME?</v>
      </c>
      <c r="T782" s="4" t="e">
        <f ca="1">[1]!BexGetData("DP_1","00O2TNJGODT0G5Z4TTKYMMOLH","GSON1112060494")</f>
        <v>#NAME?</v>
      </c>
      <c r="U782" s="4" t="e">
        <f ca="1">[1]!BexGetData("DP_1","00O2TNJGODT0G5Z4TTKYMMUX1","GSON1112060494")</f>
        <v>#NAME?</v>
      </c>
      <c r="V782" s="4" t="e">
        <f ca="1">[1]!BexGetData("DP_1","00O2TNJGODT0G5Z4TTKYMN18L","GSON1112060494")</f>
        <v>#NAME?</v>
      </c>
      <c r="W782" s="4" t="e">
        <f ca="1">[1]!BexGetData("DP_1","00O2TNJGODT0G5Z4TTKYMN7K5","GSON1112060494")</f>
        <v>#NAME?</v>
      </c>
    </row>
    <row r="783" spans="1:23" x14ac:dyDescent="0.2">
      <c r="A783" s="16" t="s">
        <v>2911</v>
      </c>
      <c r="B783" s="7" t="s">
        <v>2912</v>
      </c>
      <c r="C783" s="3" t="e">
        <f ca="1">[1]!BexGetData("DP_1","003N8EMH8GTFRCSWKMPXRR8GU","GSON1112060495")</f>
        <v>#NAME?</v>
      </c>
      <c r="D783" s="3" t="e">
        <f ca="1">[1]!BexGetData("DP_1","003N8EMH8GTFRCSWKMPXRRESE","GSON1112060495")</f>
        <v>#NAME?</v>
      </c>
      <c r="E783" s="8" t="e">
        <f ca="1">[1]!BexGetData("DP_1","003N8EMH8GTFRCSWKMPXRRL3Y","GSON1112060495")</f>
        <v>#NAME?</v>
      </c>
      <c r="F783" s="4" t="e">
        <f ca="1">[1]!BexGetData("DP_1","003N8EMH8GTFRCSWKMPXRRRFI","GSON1112060495")</f>
        <v>#NAME?</v>
      </c>
      <c r="G783" s="4" t="e">
        <f ca="1">[1]!BexGetData("DP_1","003N8EMH8GTFRCSWKMPXRRXR2","GSON1112060495")</f>
        <v>#NAME?</v>
      </c>
      <c r="H783" s="4" t="e">
        <f ca="1">[1]!BexGetData("DP_1","003N8EMH8GTFRCSWKMPXRS42M","GSON1112060495")</f>
        <v>#NAME?</v>
      </c>
      <c r="I783" s="4" t="e">
        <f ca="1">[1]!BexGetData("DP_1","003N8EMH8GTFRCSWKMPXRSAE6","GSON1112060495")</f>
        <v>#NAME?</v>
      </c>
      <c r="J783" s="4" t="e">
        <f ca="1">[1]!BexGetData("DP_1","003N8EMH8GTFRCSWKMPXRSGPQ","GSON1112060495")</f>
        <v>#NAME?</v>
      </c>
      <c r="K783" s="8" t="e">
        <f ca="1">[1]!BexGetData("DP_1","003N8EMH8GTFRIVNUPY288VJH","GSON1112060495")</f>
        <v>#NAME?</v>
      </c>
      <c r="L783" s="8" t="e">
        <f ca="1">[1]!BexGetData("DP_1","003N8EMH8GTFRIVNUPY2891V1","GSON1112060495")</f>
        <v>#NAME?</v>
      </c>
      <c r="M783" s="8" t="e">
        <f ca="1">[1]!BexGetData("DP_1","003N8EMH8GTFRIVOG7KG9IQXA","GSON1112060495")</f>
        <v>#NAME?</v>
      </c>
      <c r="N783" s="8" t="e">
        <f ca="1">[1]!BexGetData("DP_1","003N8EMH8GTFRIVOG7KG9IX8U","GSON1112060495")</f>
        <v>#NAME?</v>
      </c>
      <c r="O783" s="8" t="e">
        <f ca="1">[1]!BexGetData("DP_1","003N8EMH8GTFRIVOG7KG9J3KE","GSON1112060495")</f>
        <v>#NAME?</v>
      </c>
      <c r="P783" s="8" t="e">
        <f ca="1">[1]!BexGetData("DP_1","003N8EMH8GTFRIVOG7KG9J9VY","GSON1112060495")</f>
        <v>#NAME?</v>
      </c>
      <c r="Q783" s="4" t="e">
        <f ca="1">[1]!BexGetData("DP_1","00O2TNJGODT0G5Z4TTKYMM5MT","GSON1112060495")</f>
        <v>#NAME?</v>
      </c>
      <c r="R783" s="4" t="e">
        <f ca="1">[1]!BexGetData("DP_1","00O2TNJGODT0G5Z4TTKYMMBYD","GSON1112060495")</f>
        <v>#NAME?</v>
      </c>
      <c r="S783" s="4" t="e">
        <f ca="1">[1]!BexGetData("DP_1","00O2TNJGODT0G5Z4TTKYMMI9X","GSON1112060495")</f>
        <v>#NAME?</v>
      </c>
      <c r="T783" s="4" t="e">
        <f ca="1">[1]!BexGetData("DP_1","00O2TNJGODT0G5Z4TTKYMMOLH","GSON1112060495")</f>
        <v>#NAME?</v>
      </c>
      <c r="U783" s="4" t="e">
        <f ca="1">[1]!BexGetData("DP_1","00O2TNJGODT0G5Z4TTKYMMUX1","GSON1112060495")</f>
        <v>#NAME?</v>
      </c>
      <c r="V783" s="4" t="e">
        <f ca="1">[1]!BexGetData("DP_1","00O2TNJGODT0G5Z4TTKYMN18L","GSON1112060495")</f>
        <v>#NAME?</v>
      </c>
      <c r="W783" s="4" t="e">
        <f ca="1">[1]!BexGetData("DP_1","00O2TNJGODT0G5Z4TTKYMN7K5","GSON1112060495")</f>
        <v>#NAME?</v>
      </c>
    </row>
    <row r="784" spans="1:23" x14ac:dyDescent="0.2">
      <c r="A784" s="16" t="s">
        <v>2913</v>
      </c>
      <c r="B784" s="7" t="s">
        <v>2914</v>
      </c>
      <c r="C784" s="8" t="e">
        <f ca="1">[1]!BexGetData("DP_1","003N8EMH8GTFRCSWKMPXRR8GU","GSON1112060651")</f>
        <v>#NAME?</v>
      </c>
      <c r="D784" s="8" t="e">
        <f ca="1">[1]!BexGetData("DP_1","003N8EMH8GTFRCSWKMPXRRESE","GSON1112060651")</f>
        <v>#NAME?</v>
      </c>
      <c r="E784" s="3" t="e">
        <f ca="1">[1]!BexGetData("DP_1","003N8EMH8GTFRCSWKMPXRRL3Y","GSON1112060651")</f>
        <v>#NAME?</v>
      </c>
      <c r="F784" s="3" t="e">
        <f ca="1">[1]!BexGetData("DP_1","003N8EMH8GTFRCSWKMPXRRRFI","GSON1112060651")</f>
        <v>#NAME?</v>
      </c>
      <c r="G784" s="3" t="e">
        <f ca="1">[1]!BexGetData("DP_1","003N8EMH8GTFRCSWKMPXRRXR2","GSON1112060651")</f>
        <v>#NAME?</v>
      </c>
      <c r="H784" s="8" t="e">
        <f ca="1">[1]!BexGetData("DP_1","003N8EMH8GTFRCSWKMPXRS42M","GSON1112060651")</f>
        <v>#NAME?</v>
      </c>
      <c r="I784" s="3" t="e">
        <f ca="1">[1]!BexGetData("DP_1","003N8EMH8GTFRCSWKMPXRSAE6","GSON1112060651")</f>
        <v>#NAME?</v>
      </c>
      <c r="J784" s="4" t="e">
        <f ca="1">[1]!BexGetData("DP_1","003N8EMH8GTFRCSWKMPXRSGPQ","GSON1112060651")</f>
        <v>#NAME?</v>
      </c>
      <c r="K784" s="8" t="e">
        <f ca="1">[1]!BexGetData("DP_1","003N8EMH8GTFRIVNUPY288VJH","GSON1112060651")</f>
        <v>#NAME?</v>
      </c>
      <c r="L784" s="8" t="e">
        <f ca="1">[1]!BexGetData("DP_1","003N8EMH8GTFRIVNUPY2891V1","GSON1112060651")</f>
        <v>#NAME?</v>
      </c>
      <c r="M784" s="8" t="e">
        <f ca="1">[1]!BexGetData("DP_1","003N8EMH8GTFRIVOG7KG9IQXA","GSON1112060651")</f>
        <v>#NAME?</v>
      </c>
      <c r="N784" s="8" t="e">
        <f ca="1">[1]!BexGetData("DP_1","003N8EMH8GTFRIVOG7KG9IX8U","GSON1112060651")</f>
        <v>#NAME?</v>
      </c>
      <c r="O784" s="8" t="e">
        <f ca="1">[1]!BexGetData("DP_1","003N8EMH8GTFRIVOG7KG9J3KE","GSON1112060651")</f>
        <v>#NAME?</v>
      </c>
      <c r="P784" s="8" t="e">
        <f ca="1">[1]!BexGetData("DP_1","003N8EMH8GTFRIVOG7KG9J9VY","GSON1112060651")</f>
        <v>#NAME?</v>
      </c>
      <c r="Q784" s="4" t="e">
        <f ca="1">[1]!BexGetData("DP_1","00O2TNJGODT0G5Z4TTKYMM5MT","GSON1112060651")</f>
        <v>#NAME?</v>
      </c>
      <c r="R784" s="3" t="e">
        <f ca="1">[1]!BexGetData("DP_1","00O2TNJGODT0G5Z4TTKYMMBYD","GSON1112060651")</f>
        <v>#NAME?</v>
      </c>
      <c r="S784" s="3" t="e">
        <f ca="1">[1]!BexGetData("DP_1","00O2TNJGODT0G5Z4TTKYMMI9X","GSON1112060651")</f>
        <v>#NAME?</v>
      </c>
      <c r="T784" s="8" t="e">
        <f ca="1">[1]!BexGetData("DP_1","00O2TNJGODT0G5Z4TTKYMMOLH","GSON1112060651")</f>
        <v>#NAME?</v>
      </c>
      <c r="U784" s="3" t="e">
        <f ca="1">[1]!BexGetData("DP_1","00O2TNJGODT0G5Z4TTKYMMUX1","GSON1112060651")</f>
        <v>#NAME?</v>
      </c>
      <c r="V784" s="8" t="e">
        <f ca="1">[1]!BexGetData("DP_1","00O2TNJGODT0G5Z4TTKYMN18L","GSON1112060651")</f>
        <v>#NAME?</v>
      </c>
      <c r="W784" s="3" t="e">
        <f ca="1">[1]!BexGetData("DP_1","00O2TNJGODT0G5Z4TTKYMN7K5","GSON1112060651")</f>
        <v>#NAME?</v>
      </c>
    </row>
    <row r="785" spans="1:23" x14ac:dyDescent="0.2">
      <c r="A785" s="16" t="s">
        <v>2915</v>
      </c>
      <c r="B785" s="7" t="s">
        <v>2916</v>
      </c>
      <c r="C785" s="8" t="e">
        <f ca="1">[1]!BexGetData("DP_1","003N8EMH8GTFRCSWKMPXRR8GU","GSON1112060653")</f>
        <v>#NAME?</v>
      </c>
      <c r="D785" s="3" t="e">
        <f ca="1">[1]!BexGetData("DP_1","003N8EMH8GTFRCSWKMPXRRESE","GSON1112060653")</f>
        <v>#NAME?</v>
      </c>
      <c r="E785" s="3" t="e">
        <f ca="1">[1]!BexGetData("DP_1","003N8EMH8GTFRCSWKMPXRRL3Y","GSON1112060653")</f>
        <v>#NAME?</v>
      </c>
      <c r="F785" s="4" t="e">
        <f ca="1">[1]!BexGetData("DP_1","003N8EMH8GTFRCSWKMPXRRRFI","GSON1112060653")</f>
        <v>#NAME?</v>
      </c>
      <c r="G785" s="4" t="e">
        <f ca="1">[1]!BexGetData("DP_1","003N8EMH8GTFRCSWKMPXRRXR2","GSON1112060653")</f>
        <v>#NAME?</v>
      </c>
      <c r="H785" s="4" t="e">
        <f ca="1">[1]!BexGetData("DP_1","003N8EMH8GTFRCSWKMPXRS42M","GSON1112060653")</f>
        <v>#NAME?</v>
      </c>
      <c r="I785" s="4" t="e">
        <f ca="1">[1]!BexGetData("DP_1","003N8EMH8GTFRCSWKMPXRSAE6","GSON1112060653")</f>
        <v>#NAME?</v>
      </c>
      <c r="J785" s="4" t="e">
        <f ca="1">[1]!BexGetData("DP_1","003N8EMH8GTFRCSWKMPXRSGPQ","GSON1112060653")</f>
        <v>#NAME?</v>
      </c>
      <c r="K785" s="3" t="e">
        <f ca="1">[1]!BexGetData("DP_1","003N8EMH8GTFRIVNUPY288VJH","GSON1112060653")</f>
        <v>#NAME?</v>
      </c>
      <c r="L785" s="3" t="e">
        <f ca="1">[1]!BexGetData("DP_1","003N8EMH8GTFRIVNUPY2891V1","GSON1112060653")</f>
        <v>#NAME?</v>
      </c>
      <c r="M785" s="3" t="e">
        <f ca="1">[1]!BexGetData("DP_1","003N8EMH8GTFRIVOG7KG9IQXA","GSON1112060653")</f>
        <v>#NAME?</v>
      </c>
      <c r="N785" s="8" t="e">
        <f ca="1">[1]!BexGetData("DP_1","003N8EMH8GTFRIVOG7KG9IX8U","GSON1112060653")</f>
        <v>#NAME?</v>
      </c>
      <c r="O785" s="3" t="e">
        <f ca="1">[1]!BexGetData("DP_1","003N8EMH8GTFRIVOG7KG9J3KE","GSON1112060653")</f>
        <v>#NAME?</v>
      </c>
      <c r="P785" s="8" t="e">
        <f ca="1">[1]!BexGetData("DP_1","003N8EMH8GTFRIVOG7KG9J9VY","GSON1112060653")</f>
        <v>#NAME?</v>
      </c>
      <c r="Q785" s="4" t="e">
        <f ca="1">[1]!BexGetData("DP_1","00O2TNJGODT0G5Z4TTKYMM5MT","GSON1112060653")</f>
        <v>#NAME?</v>
      </c>
      <c r="R785" s="4" t="e">
        <f ca="1">[1]!BexGetData("DP_1","00O2TNJGODT0G5Z4TTKYMMBYD","GSON1112060653")</f>
        <v>#NAME?</v>
      </c>
      <c r="S785" s="4" t="e">
        <f ca="1">[1]!BexGetData("DP_1","00O2TNJGODT0G5Z4TTKYMMI9X","GSON1112060653")</f>
        <v>#NAME?</v>
      </c>
      <c r="T785" s="4" t="e">
        <f ca="1">[1]!BexGetData("DP_1","00O2TNJGODT0G5Z4TTKYMMOLH","GSON1112060653")</f>
        <v>#NAME?</v>
      </c>
      <c r="U785" s="4" t="e">
        <f ca="1">[1]!BexGetData("DP_1","00O2TNJGODT0G5Z4TTKYMMUX1","GSON1112060653")</f>
        <v>#NAME?</v>
      </c>
      <c r="V785" s="4" t="e">
        <f ca="1">[1]!BexGetData("DP_1","00O2TNJGODT0G5Z4TTKYMN18L","GSON1112060653")</f>
        <v>#NAME?</v>
      </c>
      <c r="W785" s="4" t="e">
        <f ca="1">[1]!BexGetData("DP_1","00O2TNJGODT0G5Z4TTKYMN7K5","GSON1112060653")</f>
        <v>#NAME?</v>
      </c>
    </row>
    <row r="786" spans="1:23" x14ac:dyDescent="0.2">
      <c r="A786" s="16" t="s">
        <v>2917</v>
      </c>
      <c r="B786" s="7" t="s">
        <v>2918</v>
      </c>
      <c r="C786" s="3" t="e">
        <f ca="1">[1]!BexGetData("DP_1","003N8EMH8GTFRCSWKMPXRR8GU","GSON1112060660")</f>
        <v>#NAME?</v>
      </c>
      <c r="D786" s="3" t="e">
        <f ca="1">[1]!BexGetData("DP_1","003N8EMH8GTFRCSWKMPXRRESE","GSON1112060660")</f>
        <v>#NAME?</v>
      </c>
      <c r="E786" s="3" t="e">
        <f ca="1">[1]!BexGetData("DP_1","003N8EMH8GTFRCSWKMPXRRL3Y","GSON1112060660")</f>
        <v>#NAME?</v>
      </c>
      <c r="F786" s="3" t="e">
        <f ca="1">[1]!BexGetData("DP_1","003N8EMH8GTFRCSWKMPXRRRFI","GSON1112060660")</f>
        <v>#NAME?</v>
      </c>
      <c r="G786" s="3" t="e">
        <f ca="1">[1]!BexGetData("DP_1","003N8EMH8GTFRCSWKMPXRRXR2","GSON1112060660")</f>
        <v>#NAME?</v>
      </c>
      <c r="H786" s="8" t="e">
        <f ca="1">[1]!BexGetData("DP_1","003N8EMH8GTFRCSWKMPXRS42M","GSON1112060660")</f>
        <v>#NAME?</v>
      </c>
      <c r="I786" s="3" t="e">
        <f ca="1">[1]!BexGetData("DP_1","003N8EMH8GTFRCSWKMPXRSAE6","GSON1112060660")</f>
        <v>#NAME?</v>
      </c>
      <c r="J786" s="4" t="e">
        <f ca="1">[1]!BexGetData("DP_1","003N8EMH8GTFRCSWKMPXRSGPQ","GSON1112060660")</f>
        <v>#NAME?</v>
      </c>
      <c r="K786" s="3" t="e">
        <f ca="1">[1]!BexGetData("DP_1","003N8EMH8GTFRIVNUPY288VJH","GSON1112060660")</f>
        <v>#NAME?</v>
      </c>
      <c r="L786" s="3" t="e">
        <f ca="1">[1]!BexGetData("DP_1","003N8EMH8GTFRIVNUPY2891V1","GSON1112060660")</f>
        <v>#NAME?</v>
      </c>
      <c r="M786" s="3" t="e">
        <f ca="1">[1]!BexGetData("DP_1","003N8EMH8GTFRIVOG7KG9IQXA","GSON1112060660")</f>
        <v>#NAME?</v>
      </c>
      <c r="N786" s="8" t="e">
        <f ca="1">[1]!BexGetData("DP_1","003N8EMH8GTFRIVOG7KG9IX8U","GSON1112060660")</f>
        <v>#NAME?</v>
      </c>
      <c r="O786" s="3" t="e">
        <f ca="1">[1]!BexGetData("DP_1","003N8EMH8GTFRIVOG7KG9J3KE","GSON1112060660")</f>
        <v>#NAME?</v>
      </c>
      <c r="P786" s="8" t="e">
        <f ca="1">[1]!BexGetData("DP_1","003N8EMH8GTFRIVOG7KG9J9VY","GSON1112060660")</f>
        <v>#NAME?</v>
      </c>
      <c r="Q786" s="4" t="e">
        <f ca="1">[1]!BexGetData("DP_1","00O2TNJGODT0G5Z4TTKYMM5MT","GSON1112060660")</f>
        <v>#NAME?</v>
      </c>
      <c r="R786" s="3" t="e">
        <f ca="1">[1]!BexGetData("DP_1","00O2TNJGODT0G5Z4TTKYMMBYD","GSON1112060660")</f>
        <v>#NAME?</v>
      </c>
      <c r="S786" s="3" t="e">
        <f ca="1">[1]!BexGetData("DP_1","00O2TNJGODT0G5Z4TTKYMMI9X","GSON1112060660")</f>
        <v>#NAME?</v>
      </c>
      <c r="T786" s="8" t="e">
        <f ca="1">[1]!BexGetData("DP_1","00O2TNJGODT0G5Z4TTKYMMOLH","GSON1112060660")</f>
        <v>#NAME?</v>
      </c>
      <c r="U786" s="3" t="e">
        <f ca="1">[1]!BexGetData("DP_1","00O2TNJGODT0G5Z4TTKYMMUX1","GSON1112060660")</f>
        <v>#NAME?</v>
      </c>
      <c r="V786" s="8" t="e">
        <f ca="1">[1]!BexGetData("DP_1","00O2TNJGODT0G5Z4TTKYMN18L","GSON1112060660")</f>
        <v>#NAME?</v>
      </c>
      <c r="W786" s="3" t="e">
        <f ca="1">[1]!BexGetData("DP_1","00O2TNJGODT0G5Z4TTKYMN7K5","GSON1112060660")</f>
        <v>#NAME?</v>
      </c>
    </row>
    <row r="787" spans="1:23" x14ac:dyDescent="0.2">
      <c r="A787" s="16" t="s">
        <v>2919</v>
      </c>
      <c r="B787" s="7" t="s">
        <v>2920</v>
      </c>
      <c r="C787" s="3" t="e">
        <f ca="1">[1]!BexGetData("DP_1","003N8EMH8GTFRCSWKMPXRR8GU","GSON1112060661")</f>
        <v>#NAME?</v>
      </c>
      <c r="D787" s="3" t="e">
        <f ca="1">[1]!BexGetData("DP_1","003N8EMH8GTFRCSWKMPXRRESE","GSON1112060661")</f>
        <v>#NAME?</v>
      </c>
      <c r="E787" s="8" t="e">
        <f ca="1">[1]!BexGetData("DP_1","003N8EMH8GTFRCSWKMPXRRL3Y","GSON1112060661")</f>
        <v>#NAME?</v>
      </c>
      <c r="F787" s="4" t="e">
        <f ca="1">[1]!BexGetData("DP_1","003N8EMH8GTFRCSWKMPXRRRFI","GSON1112060661")</f>
        <v>#NAME?</v>
      </c>
      <c r="G787" s="4" t="e">
        <f ca="1">[1]!BexGetData("DP_1","003N8EMH8GTFRCSWKMPXRRXR2","GSON1112060661")</f>
        <v>#NAME?</v>
      </c>
      <c r="H787" s="4" t="e">
        <f ca="1">[1]!BexGetData("DP_1","003N8EMH8GTFRCSWKMPXRS42M","GSON1112060661")</f>
        <v>#NAME?</v>
      </c>
      <c r="I787" s="4" t="e">
        <f ca="1">[1]!BexGetData("DP_1","003N8EMH8GTFRCSWKMPXRSAE6","GSON1112060661")</f>
        <v>#NAME?</v>
      </c>
      <c r="J787" s="4" t="e">
        <f ca="1">[1]!BexGetData("DP_1","003N8EMH8GTFRCSWKMPXRSGPQ","GSON1112060661")</f>
        <v>#NAME?</v>
      </c>
      <c r="K787" s="8" t="e">
        <f ca="1">[1]!BexGetData("DP_1","003N8EMH8GTFRIVNUPY288VJH","GSON1112060661")</f>
        <v>#NAME?</v>
      </c>
      <c r="L787" s="8" t="e">
        <f ca="1">[1]!BexGetData("DP_1","003N8EMH8GTFRIVNUPY2891V1","GSON1112060661")</f>
        <v>#NAME?</v>
      </c>
      <c r="M787" s="8" t="e">
        <f ca="1">[1]!BexGetData("DP_1","003N8EMH8GTFRIVOG7KG9IQXA","GSON1112060661")</f>
        <v>#NAME?</v>
      </c>
      <c r="N787" s="8" t="e">
        <f ca="1">[1]!BexGetData("DP_1","003N8EMH8GTFRIVOG7KG9IX8U","GSON1112060661")</f>
        <v>#NAME?</v>
      </c>
      <c r="O787" s="8" t="e">
        <f ca="1">[1]!BexGetData("DP_1","003N8EMH8GTFRIVOG7KG9J3KE","GSON1112060661")</f>
        <v>#NAME?</v>
      </c>
      <c r="P787" s="8" t="e">
        <f ca="1">[1]!BexGetData("DP_1","003N8EMH8GTFRIVOG7KG9J9VY","GSON1112060661")</f>
        <v>#NAME?</v>
      </c>
      <c r="Q787" s="4" t="e">
        <f ca="1">[1]!BexGetData("DP_1","00O2TNJGODT0G5Z4TTKYMM5MT","GSON1112060661")</f>
        <v>#NAME?</v>
      </c>
      <c r="R787" s="4" t="e">
        <f ca="1">[1]!BexGetData("DP_1","00O2TNJGODT0G5Z4TTKYMMBYD","GSON1112060661")</f>
        <v>#NAME?</v>
      </c>
      <c r="S787" s="4" t="e">
        <f ca="1">[1]!BexGetData("DP_1","00O2TNJGODT0G5Z4TTKYMMI9X","GSON1112060661")</f>
        <v>#NAME?</v>
      </c>
      <c r="T787" s="4" t="e">
        <f ca="1">[1]!BexGetData("DP_1","00O2TNJGODT0G5Z4TTKYMMOLH","GSON1112060661")</f>
        <v>#NAME?</v>
      </c>
      <c r="U787" s="4" t="e">
        <f ca="1">[1]!BexGetData("DP_1","00O2TNJGODT0G5Z4TTKYMMUX1","GSON1112060661")</f>
        <v>#NAME?</v>
      </c>
      <c r="V787" s="4" t="e">
        <f ca="1">[1]!BexGetData("DP_1","00O2TNJGODT0G5Z4TTKYMN18L","GSON1112060661")</f>
        <v>#NAME?</v>
      </c>
      <c r="W787" s="4" t="e">
        <f ca="1">[1]!BexGetData("DP_1","00O2TNJGODT0G5Z4TTKYMN7K5","GSON1112060661")</f>
        <v>#NAME?</v>
      </c>
    </row>
    <row r="788" spans="1:23" x14ac:dyDescent="0.2">
      <c r="A788" s="16" t="s">
        <v>2921</v>
      </c>
      <c r="B788" s="7" t="s">
        <v>2922</v>
      </c>
      <c r="C788" s="3" t="e">
        <f ca="1">[1]!BexGetData("DP_1","003N8EMH8GTFRCSWKMPXRR8GU","GSON1112060663")</f>
        <v>#NAME?</v>
      </c>
      <c r="D788" s="3" t="e">
        <f ca="1">[1]!BexGetData("DP_1","003N8EMH8GTFRCSWKMPXRRESE","GSON1112060663")</f>
        <v>#NAME?</v>
      </c>
      <c r="E788" s="8" t="e">
        <f ca="1">[1]!BexGetData("DP_1","003N8EMH8GTFRCSWKMPXRRL3Y","GSON1112060663")</f>
        <v>#NAME?</v>
      </c>
      <c r="F788" s="4" t="e">
        <f ca="1">[1]!BexGetData("DP_1","003N8EMH8GTFRCSWKMPXRRRFI","GSON1112060663")</f>
        <v>#NAME?</v>
      </c>
      <c r="G788" s="4" t="e">
        <f ca="1">[1]!BexGetData("DP_1","003N8EMH8GTFRCSWKMPXRRXR2","GSON1112060663")</f>
        <v>#NAME?</v>
      </c>
      <c r="H788" s="4" t="e">
        <f ca="1">[1]!BexGetData("DP_1","003N8EMH8GTFRCSWKMPXRS42M","GSON1112060663")</f>
        <v>#NAME?</v>
      </c>
      <c r="I788" s="4" t="e">
        <f ca="1">[1]!BexGetData("DP_1","003N8EMH8GTFRCSWKMPXRSAE6","GSON1112060663")</f>
        <v>#NAME?</v>
      </c>
      <c r="J788" s="4" t="e">
        <f ca="1">[1]!BexGetData("DP_1","003N8EMH8GTFRCSWKMPXRSGPQ","GSON1112060663")</f>
        <v>#NAME?</v>
      </c>
      <c r="K788" s="8" t="e">
        <f ca="1">[1]!BexGetData("DP_1","003N8EMH8GTFRIVNUPY288VJH","GSON1112060663")</f>
        <v>#NAME?</v>
      </c>
      <c r="L788" s="8" t="e">
        <f ca="1">[1]!BexGetData("DP_1","003N8EMH8GTFRIVNUPY2891V1","GSON1112060663")</f>
        <v>#NAME?</v>
      </c>
      <c r="M788" s="8" t="e">
        <f ca="1">[1]!BexGetData("DP_1","003N8EMH8GTFRIVOG7KG9IQXA","GSON1112060663")</f>
        <v>#NAME?</v>
      </c>
      <c r="N788" s="8" t="e">
        <f ca="1">[1]!BexGetData("DP_1","003N8EMH8GTFRIVOG7KG9IX8U","GSON1112060663")</f>
        <v>#NAME?</v>
      </c>
      <c r="O788" s="8" t="e">
        <f ca="1">[1]!BexGetData("DP_1","003N8EMH8GTFRIVOG7KG9J3KE","GSON1112060663")</f>
        <v>#NAME?</v>
      </c>
      <c r="P788" s="8" t="e">
        <f ca="1">[1]!BexGetData("DP_1","003N8EMH8GTFRIVOG7KG9J9VY","GSON1112060663")</f>
        <v>#NAME?</v>
      </c>
      <c r="Q788" s="4" t="e">
        <f ca="1">[1]!BexGetData("DP_1","00O2TNJGODT0G5Z4TTKYMM5MT","GSON1112060663")</f>
        <v>#NAME?</v>
      </c>
      <c r="R788" s="4" t="e">
        <f ca="1">[1]!BexGetData("DP_1","00O2TNJGODT0G5Z4TTKYMMBYD","GSON1112060663")</f>
        <v>#NAME?</v>
      </c>
      <c r="S788" s="4" t="e">
        <f ca="1">[1]!BexGetData("DP_1","00O2TNJGODT0G5Z4TTKYMMI9X","GSON1112060663")</f>
        <v>#NAME?</v>
      </c>
      <c r="T788" s="4" t="e">
        <f ca="1">[1]!BexGetData("DP_1","00O2TNJGODT0G5Z4TTKYMMOLH","GSON1112060663")</f>
        <v>#NAME?</v>
      </c>
      <c r="U788" s="4" t="e">
        <f ca="1">[1]!BexGetData("DP_1","00O2TNJGODT0G5Z4TTKYMMUX1","GSON1112060663")</f>
        <v>#NAME?</v>
      </c>
      <c r="V788" s="4" t="e">
        <f ca="1">[1]!BexGetData("DP_1","00O2TNJGODT0G5Z4TTKYMN18L","GSON1112060663")</f>
        <v>#NAME?</v>
      </c>
      <c r="W788" s="4" t="e">
        <f ca="1">[1]!BexGetData("DP_1","00O2TNJGODT0G5Z4TTKYMN7K5","GSON1112060663")</f>
        <v>#NAME?</v>
      </c>
    </row>
    <row r="789" spans="1:23" x14ac:dyDescent="0.2">
      <c r="A789" s="16" t="s">
        <v>2923</v>
      </c>
      <c r="B789" s="7" t="s">
        <v>2924</v>
      </c>
      <c r="C789" s="3" t="e">
        <f ca="1">[1]!BexGetData("DP_1","003N8EMH8GTFRCSWKMPXRR8GU","GSON1112060664")</f>
        <v>#NAME?</v>
      </c>
      <c r="D789" s="3" t="e">
        <f ca="1">[1]!BexGetData("DP_1","003N8EMH8GTFRCSWKMPXRRESE","GSON1112060664")</f>
        <v>#NAME?</v>
      </c>
      <c r="E789" s="8" t="e">
        <f ca="1">[1]!BexGetData("DP_1","003N8EMH8GTFRCSWKMPXRRL3Y","GSON1112060664")</f>
        <v>#NAME?</v>
      </c>
      <c r="F789" s="4" t="e">
        <f ca="1">[1]!BexGetData("DP_1","003N8EMH8GTFRCSWKMPXRRRFI","GSON1112060664")</f>
        <v>#NAME?</v>
      </c>
      <c r="G789" s="4" t="e">
        <f ca="1">[1]!BexGetData("DP_1","003N8EMH8GTFRCSWKMPXRRXR2","GSON1112060664")</f>
        <v>#NAME?</v>
      </c>
      <c r="H789" s="4" t="e">
        <f ca="1">[1]!BexGetData("DP_1","003N8EMH8GTFRCSWKMPXRS42M","GSON1112060664")</f>
        <v>#NAME?</v>
      </c>
      <c r="I789" s="4" t="e">
        <f ca="1">[1]!BexGetData("DP_1","003N8EMH8GTFRCSWKMPXRSAE6","GSON1112060664")</f>
        <v>#NAME?</v>
      </c>
      <c r="J789" s="4" t="e">
        <f ca="1">[1]!BexGetData("DP_1","003N8EMH8GTFRCSWKMPXRSGPQ","GSON1112060664")</f>
        <v>#NAME?</v>
      </c>
      <c r="K789" s="8" t="e">
        <f ca="1">[1]!BexGetData("DP_1","003N8EMH8GTFRIVNUPY288VJH","GSON1112060664")</f>
        <v>#NAME?</v>
      </c>
      <c r="L789" s="8" t="e">
        <f ca="1">[1]!BexGetData("DP_1","003N8EMH8GTFRIVNUPY2891V1","GSON1112060664")</f>
        <v>#NAME?</v>
      </c>
      <c r="M789" s="8" t="e">
        <f ca="1">[1]!BexGetData("DP_1","003N8EMH8GTFRIVOG7KG9IQXA","GSON1112060664")</f>
        <v>#NAME?</v>
      </c>
      <c r="N789" s="8" t="e">
        <f ca="1">[1]!BexGetData("DP_1","003N8EMH8GTFRIVOG7KG9IX8U","GSON1112060664")</f>
        <v>#NAME?</v>
      </c>
      <c r="O789" s="8" t="e">
        <f ca="1">[1]!BexGetData("DP_1","003N8EMH8GTFRIVOG7KG9J3KE","GSON1112060664")</f>
        <v>#NAME?</v>
      </c>
      <c r="P789" s="8" t="e">
        <f ca="1">[1]!BexGetData("DP_1","003N8EMH8GTFRIVOG7KG9J9VY","GSON1112060664")</f>
        <v>#NAME?</v>
      </c>
      <c r="Q789" s="4" t="e">
        <f ca="1">[1]!BexGetData("DP_1","00O2TNJGODT0G5Z4TTKYMM5MT","GSON1112060664")</f>
        <v>#NAME?</v>
      </c>
      <c r="R789" s="4" t="e">
        <f ca="1">[1]!BexGetData("DP_1","00O2TNJGODT0G5Z4TTKYMMBYD","GSON1112060664")</f>
        <v>#NAME?</v>
      </c>
      <c r="S789" s="4" t="e">
        <f ca="1">[1]!BexGetData("DP_1","00O2TNJGODT0G5Z4TTKYMMI9X","GSON1112060664")</f>
        <v>#NAME?</v>
      </c>
      <c r="T789" s="4" t="e">
        <f ca="1">[1]!BexGetData("DP_1","00O2TNJGODT0G5Z4TTKYMMOLH","GSON1112060664")</f>
        <v>#NAME?</v>
      </c>
      <c r="U789" s="4" t="e">
        <f ca="1">[1]!BexGetData("DP_1","00O2TNJGODT0G5Z4TTKYMMUX1","GSON1112060664")</f>
        <v>#NAME?</v>
      </c>
      <c r="V789" s="4" t="e">
        <f ca="1">[1]!BexGetData("DP_1","00O2TNJGODT0G5Z4TTKYMN18L","GSON1112060664")</f>
        <v>#NAME?</v>
      </c>
      <c r="W789" s="4" t="e">
        <f ca="1">[1]!BexGetData("DP_1","00O2TNJGODT0G5Z4TTKYMN7K5","GSON1112060664")</f>
        <v>#NAME?</v>
      </c>
    </row>
    <row r="790" spans="1:23" x14ac:dyDescent="0.2">
      <c r="A790" s="16" t="s">
        <v>2925</v>
      </c>
      <c r="B790" s="7" t="s">
        <v>2926</v>
      </c>
      <c r="C790" s="3" t="e">
        <f ca="1">[1]!BexGetData("DP_1","003N8EMH8GTFRCSWKMPXRR8GU","GSON1112060665")</f>
        <v>#NAME?</v>
      </c>
      <c r="D790" s="3" t="e">
        <f ca="1">[1]!BexGetData("DP_1","003N8EMH8GTFRCSWKMPXRRESE","GSON1112060665")</f>
        <v>#NAME?</v>
      </c>
      <c r="E790" s="3" t="e">
        <f ca="1">[1]!BexGetData("DP_1","003N8EMH8GTFRCSWKMPXRRL3Y","GSON1112060665")</f>
        <v>#NAME?</v>
      </c>
      <c r="F790" s="4" t="e">
        <f ca="1">[1]!BexGetData("DP_1","003N8EMH8GTFRCSWKMPXRRRFI","GSON1112060665")</f>
        <v>#NAME?</v>
      </c>
      <c r="G790" s="4" t="e">
        <f ca="1">[1]!BexGetData("DP_1","003N8EMH8GTFRCSWKMPXRRXR2","GSON1112060665")</f>
        <v>#NAME?</v>
      </c>
      <c r="H790" s="4" t="e">
        <f ca="1">[1]!BexGetData("DP_1","003N8EMH8GTFRCSWKMPXRS42M","GSON1112060665")</f>
        <v>#NAME?</v>
      </c>
      <c r="I790" s="4" t="e">
        <f ca="1">[1]!BexGetData("DP_1","003N8EMH8GTFRCSWKMPXRSAE6","GSON1112060665")</f>
        <v>#NAME?</v>
      </c>
      <c r="J790" s="4" t="e">
        <f ca="1">[1]!BexGetData("DP_1","003N8EMH8GTFRCSWKMPXRSGPQ","GSON1112060665")</f>
        <v>#NAME?</v>
      </c>
      <c r="K790" s="3" t="e">
        <f ca="1">[1]!BexGetData("DP_1","003N8EMH8GTFRIVNUPY288VJH","GSON1112060665")</f>
        <v>#NAME?</v>
      </c>
      <c r="L790" s="3" t="e">
        <f ca="1">[1]!BexGetData("DP_1","003N8EMH8GTFRIVNUPY2891V1","GSON1112060665")</f>
        <v>#NAME?</v>
      </c>
      <c r="M790" s="3" t="e">
        <f ca="1">[1]!BexGetData("DP_1","003N8EMH8GTFRIVOG7KG9IQXA","GSON1112060665")</f>
        <v>#NAME?</v>
      </c>
      <c r="N790" s="8" t="e">
        <f ca="1">[1]!BexGetData("DP_1","003N8EMH8GTFRIVOG7KG9IX8U","GSON1112060665")</f>
        <v>#NAME?</v>
      </c>
      <c r="O790" s="3" t="e">
        <f ca="1">[1]!BexGetData("DP_1","003N8EMH8GTFRIVOG7KG9J3KE","GSON1112060665")</f>
        <v>#NAME?</v>
      </c>
      <c r="P790" s="8" t="e">
        <f ca="1">[1]!BexGetData("DP_1","003N8EMH8GTFRIVOG7KG9J9VY","GSON1112060665")</f>
        <v>#NAME?</v>
      </c>
      <c r="Q790" s="4" t="e">
        <f ca="1">[1]!BexGetData("DP_1","00O2TNJGODT0G5Z4TTKYMM5MT","GSON1112060665")</f>
        <v>#NAME?</v>
      </c>
      <c r="R790" s="4" t="e">
        <f ca="1">[1]!BexGetData("DP_1","00O2TNJGODT0G5Z4TTKYMMBYD","GSON1112060665")</f>
        <v>#NAME?</v>
      </c>
      <c r="S790" s="4" t="e">
        <f ca="1">[1]!BexGetData("DP_1","00O2TNJGODT0G5Z4TTKYMMI9X","GSON1112060665")</f>
        <v>#NAME?</v>
      </c>
      <c r="T790" s="4" t="e">
        <f ca="1">[1]!BexGetData("DP_1","00O2TNJGODT0G5Z4TTKYMMOLH","GSON1112060665")</f>
        <v>#NAME?</v>
      </c>
      <c r="U790" s="4" t="e">
        <f ca="1">[1]!BexGetData("DP_1","00O2TNJGODT0G5Z4TTKYMMUX1","GSON1112060665")</f>
        <v>#NAME?</v>
      </c>
      <c r="V790" s="4" t="e">
        <f ca="1">[1]!BexGetData("DP_1","00O2TNJGODT0G5Z4TTKYMN18L","GSON1112060665")</f>
        <v>#NAME?</v>
      </c>
      <c r="W790" s="4" t="e">
        <f ca="1">[1]!BexGetData("DP_1","00O2TNJGODT0G5Z4TTKYMN7K5","GSON1112060665")</f>
        <v>#NAME?</v>
      </c>
    </row>
    <row r="791" spans="1:23" x14ac:dyDescent="0.2">
      <c r="A791" s="16" t="s">
        <v>966</v>
      </c>
      <c r="B791" s="7" t="s">
        <v>967</v>
      </c>
      <c r="C791" s="3" t="e">
        <f ca="1">[1]!BexGetData("DP_1","003N8EMH8GTFRCSWKMPXRR8GU","GSON1112060670")</f>
        <v>#NAME?</v>
      </c>
      <c r="D791" s="3" t="e">
        <f ca="1">[1]!BexGetData("DP_1","003N8EMH8GTFRCSWKMPXRRESE","GSON1112060670")</f>
        <v>#NAME?</v>
      </c>
      <c r="E791" s="3" t="e">
        <f ca="1">[1]!BexGetData("DP_1","003N8EMH8GTFRCSWKMPXRRL3Y","GSON1112060670")</f>
        <v>#NAME?</v>
      </c>
      <c r="F791" s="3" t="e">
        <f ca="1">[1]!BexGetData("DP_1","003N8EMH8GTFRCSWKMPXRRRFI","GSON1112060670")</f>
        <v>#NAME?</v>
      </c>
      <c r="G791" s="3" t="e">
        <f ca="1">[1]!BexGetData("DP_1","003N8EMH8GTFRCSWKMPXRRXR2","GSON1112060670")</f>
        <v>#NAME?</v>
      </c>
      <c r="H791" s="8" t="e">
        <f ca="1">[1]!BexGetData("DP_1","003N8EMH8GTFRCSWKMPXRS42M","GSON1112060670")</f>
        <v>#NAME?</v>
      </c>
      <c r="I791" s="3" t="e">
        <f ca="1">[1]!BexGetData("DP_1","003N8EMH8GTFRCSWKMPXRSAE6","GSON1112060670")</f>
        <v>#NAME?</v>
      </c>
      <c r="J791" s="4" t="e">
        <f ca="1">[1]!BexGetData("DP_1","003N8EMH8GTFRCSWKMPXRSGPQ","GSON1112060670")</f>
        <v>#NAME?</v>
      </c>
      <c r="K791" s="3" t="e">
        <f ca="1">[1]!BexGetData("DP_1","003N8EMH8GTFRIVNUPY288VJH","GSON1112060670")</f>
        <v>#NAME?</v>
      </c>
      <c r="L791" s="3" t="e">
        <f ca="1">[1]!BexGetData("DP_1","003N8EMH8GTFRIVNUPY2891V1","GSON1112060670")</f>
        <v>#NAME?</v>
      </c>
      <c r="M791" s="8" t="e">
        <f ca="1">[1]!BexGetData("DP_1","003N8EMH8GTFRIVOG7KG9IQXA","GSON1112060670")</f>
        <v>#NAME?</v>
      </c>
      <c r="N791" s="3" t="e">
        <f ca="1">[1]!BexGetData("DP_1","003N8EMH8GTFRIVOG7KG9IX8U","GSON1112060670")</f>
        <v>#NAME?</v>
      </c>
      <c r="O791" s="8" t="e">
        <f ca="1">[1]!BexGetData("DP_1","003N8EMH8GTFRIVOG7KG9J3KE","GSON1112060670")</f>
        <v>#NAME?</v>
      </c>
      <c r="P791" s="3" t="e">
        <f ca="1">[1]!BexGetData("DP_1","003N8EMH8GTFRIVOG7KG9J9VY","GSON1112060670")</f>
        <v>#NAME?</v>
      </c>
      <c r="Q791" s="4" t="e">
        <f ca="1">[1]!BexGetData("DP_1","00O2TNJGODT0G5Z4TTKYMM5MT","GSON1112060670")</f>
        <v>#NAME?</v>
      </c>
      <c r="R791" s="3" t="e">
        <f ca="1">[1]!BexGetData("DP_1","00O2TNJGODT0G5Z4TTKYMMBYD","GSON1112060670")</f>
        <v>#NAME?</v>
      </c>
      <c r="S791" s="3" t="e">
        <f ca="1">[1]!BexGetData("DP_1","00O2TNJGODT0G5Z4TTKYMMI9X","GSON1112060670")</f>
        <v>#NAME?</v>
      </c>
      <c r="T791" s="8" t="e">
        <f ca="1">[1]!BexGetData("DP_1","00O2TNJGODT0G5Z4TTKYMMOLH","GSON1112060670")</f>
        <v>#NAME?</v>
      </c>
      <c r="U791" s="3" t="e">
        <f ca="1">[1]!BexGetData("DP_1","00O2TNJGODT0G5Z4TTKYMMUX1","GSON1112060670")</f>
        <v>#NAME?</v>
      </c>
      <c r="V791" s="8" t="e">
        <f ca="1">[1]!BexGetData("DP_1","00O2TNJGODT0G5Z4TTKYMN18L","GSON1112060670")</f>
        <v>#NAME?</v>
      </c>
      <c r="W791" s="3" t="e">
        <f ca="1">[1]!BexGetData("DP_1","00O2TNJGODT0G5Z4TTKYMN7K5","GSON1112060670")</f>
        <v>#NAME?</v>
      </c>
    </row>
    <row r="792" spans="1:23" x14ac:dyDescent="0.2">
      <c r="A792" s="16" t="s">
        <v>418</v>
      </c>
      <c r="B792" s="7" t="s">
        <v>419</v>
      </c>
      <c r="C792" s="3" t="e">
        <f ca="1">[1]!BexGetData("DP_1","003N8EMH8GTFRCSWKMPXRR8GU","GSON1112060671")</f>
        <v>#NAME?</v>
      </c>
      <c r="D792" s="3" t="e">
        <f ca="1">[1]!BexGetData("DP_1","003N8EMH8GTFRCSWKMPXRRESE","GSON1112060671")</f>
        <v>#NAME?</v>
      </c>
      <c r="E792" s="3" t="e">
        <f ca="1">[1]!BexGetData("DP_1","003N8EMH8GTFRCSWKMPXRRL3Y","GSON1112060671")</f>
        <v>#NAME?</v>
      </c>
      <c r="F792" s="4" t="e">
        <f ca="1">[1]!BexGetData("DP_1","003N8EMH8GTFRCSWKMPXRRRFI","GSON1112060671")</f>
        <v>#NAME?</v>
      </c>
      <c r="G792" s="4" t="e">
        <f ca="1">[1]!BexGetData("DP_1","003N8EMH8GTFRCSWKMPXRRXR2","GSON1112060671")</f>
        <v>#NAME?</v>
      </c>
      <c r="H792" s="4" t="e">
        <f ca="1">[1]!BexGetData("DP_1","003N8EMH8GTFRCSWKMPXRS42M","GSON1112060671")</f>
        <v>#NAME?</v>
      </c>
      <c r="I792" s="4" t="e">
        <f ca="1">[1]!BexGetData("DP_1","003N8EMH8GTFRCSWKMPXRSAE6","GSON1112060671")</f>
        <v>#NAME?</v>
      </c>
      <c r="J792" s="4" t="e">
        <f ca="1">[1]!BexGetData("DP_1","003N8EMH8GTFRCSWKMPXRSGPQ","GSON1112060671")</f>
        <v>#NAME?</v>
      </c>
      <c r="K792" s="3" t="e">
        <f ca="1">[1]!BexGetData("DP_1","003N8EMH8GTFRIVNUPY288VJH","GSON1112060671")</f>
        <v>#NAME?</v>
      </c>
      <c r="L792" s="3" t="e">
        <f ca="1">[1]!BexGetData("DP_1","003N8EMH8GTFRIVNUPY2891V1","GSON1112060671")</f>
        <v>#NAME?</v>
      </c>
      <c r="M792" s="8" t="e">
        <f ca="1">[1]!BexGetData("DP_1","003N8EMH8GTFRIVOG7KG9IQXA","GSON1112060671")</f>
        <v>#NAME?</v>
      </c>
      <c r="N792" s="3" t="e">
        <f ca="1">[1]!BexGetData("DP_1","003N8EMH8GTFRIVOG7KG9IX8U","GSON1112060671")</f>
        <v>#NAME?</v>
      </c>
      <c r="O792" s="8" t="e">
        <f ca="1">[1]!BexGetData("DP_1","003N8EMH8GTFRIVOG7KG9J3KE","GSON1112060671")</f>
        <v>#NAME?</v>
      </c>
      <c r="P792" s="3" t="e">
        <f ca="1">[1]!BexGetData("DP_1","003N8EMH8GTFRIVOG7KG9J9VY","GSON1112060671")</f>
        <v>#NAME?</v>
      </c>
      <c r="Q792" s="4" t="e">
        <f ca="1">[1]!BexGetData("DP_1","00O2TNJGODT0G5Z4TTKYMM5MT","GSON1112060671")</f>
        <v>#NAME?</v>
      </c>
      <c r="R792" s="4" t="e">
        <f ca="1">[1]!BexGetData("DP_1","00O2TNJGODT0G5Z4TTKYMMBYD","GSON1112060671")</f>
        <v>#NAME?</v>
      </c>
      <c r="S792" s="4" t="e">
        <f ca="1">[1]!BexGetData("DP_1","00O2TNJGODT0G5Z4TTKYMMI9X","GSON1112060671")</f>
        <v>#NAME?</v>
      </c>
      <c r="T792" s="4" t="e">
        <f ca="1">[1]!BexGetData("DP_1","00O2TNJGODT0G5Z4TTKYMMOLH","GSON1112060671")</f>
        <v>#NAME?</v>
      </c>
      <c r="U792" s="4" t="e">
        <f ca="1">[1]!BexGetData("DP_1","00O2TNJGODT0G5Z4TTKYMMUX1","GSON1112060671")</f>
        <v>#NAME?</v>
      </c>
      <c r="V792" s="4" t="e">
        <f ca="1">[1]!BexGetData("DP_1","00O2TNJGODT0G5Z4TTKYMN18L","GSON1112060671")</f>
        <v>#NAME?</v>
      </c>
      <c r="W792" s="4" t="e">
        <f ca="1">[1]!BexGetData("DP_1","00O2TNJGODT0G5Z4TTKYMN7K5","GSON1112060671")</f>
        <v>#NAME?</v>
      </c>
    </row>
    <row r="793" spans="1:23" x14ac:dyDescent="0.2">
      <c r="A793" s="16" t="s">
        <v>2927</v>
      </c>
      <c r="B793" s="7" t="s">
        <v>968</v>
      </c>
      <c r="C793" s="3" t="e">
        <f ca="1">[1]!BexGetData("DP_1","003N8EMH8GTFRCSWKMPXRR8GU","GSON1112060672")</f>
        <v>#NAME?</v>
      </c>
      <c r="D793" s="8" t="e">
        <f ca="1">[1]!BexGetData("DP_1","003N8EMH8GTFRCSWKMPXRRESE","GSON1112060672")</f>
        <v>#NAME?</v>
      </c>
      <c r="E793" s="3" t="e">
        <f ca="1">[1]!BexGetData("DP_1","003N8EMH8GTFRCSWKMPXRRL3Y","GSON1112060672")</f>
        <v>#NAME?</v>
      </c>
      <c r="F793" s="4" t="e">
        <f ca="1">[1]!BexGetData("DP_1","003N8EMH8GTFRCSWKMPXRRRFI","GSON1112060672")</f>
        <v>#NAME?</v>
      </c>
      <c r="G793" s="4" t="e">
        <f ca="1">[1]!BexGetData("DP_1","003N8EMH8GTFRCSWKMPXRRXR2","GSON1112060672")</f>
        <v>#NAME?</v>
      </c>
      <c r="H793" s="4" t="e">
        <f ca="1">[1]!BexGetData("DP_1","003N8EMH8GTFRCSWKMPXRS42M","GSON1112060672")</f>
        <v>#NAME?</v>
      </c>
      <c r="I793" s="4" t="e">
        <f ca="1">[1]!BexGetData("DP_1","003N8EMH8GTFRCSWKMPXRSAE6","GSON1112060672")</f>
        <v>#NAME?</v>
      </c>
      <c r="J793" s="4" t="e">
        <f ca="1">[1]!BexGetData("DP_1","003N8EMH8GTFRCSWKMPXRSGPQ","GSON1112060672")</f>
        <v>#NAME?</v>
      </c>
      <c r="K793" s="3" t="e">
        <f ca="1">[1]!BexGetData("DP_1","003N8EMH8GTFRIVNUPY288VJH","GSON1112060672")</f>
        <v>#NAME?</v>
      </c>
      <c r="L793" s="3" t="e">
        <f ca="1">[1]!BexGetData("DP_1","003N8EMH8GTFRIVNUPY2891V1","GSON1112060672")</f>
        <v>#NAME?</v>
      </c>
      <c r="M793" s="8" t="e">
        <f ca="1">[1]!BexGetData("DP_1","003N8EMH8GTFRIVOG7KG9IQXA","GSON1112060672")</f>
        <v>#NAME?</v>
      </c>
      <c r="N793" s="3" t="e">
        <f ca="1">[1]!BexGetData("DP_1","003N8EMH8GTFRIVOG7KG9IX8U","GSON1112060672")</f>
        <v>#NAME?</v>
      </c>
      <c r="O793" s="8" t="e">
        <f ca="1">[1]!BexGetData("DP_1","003N8EMH8GTFRIVOG7KG9J3KE","GSON1112060672")</f>
        <v>#NAME?</v>
      </c>
      <c r="P793" s="3" t="e">
        <f ca="1">[1]!BexGetData("DP_1","003N8EMH8GTFRIVOG7KG9J9VY","GSON1112060672")</f>
        <v>#NAME?</v>
      </c>
      <c r="Q793" s="4" t="e">
        <f ca="1">[1]!BexGetData("DP_1","00O2TNJGODT0G5Z4TTKYMM5MT","GSON1112060672")</f>
        <v>#NAME?</v>
      </c>
      <c r="R793" s="4" t="e">
        <f ca="1">[1]!BexGetData("DP_1","00O2TNJGODT0G5Z4TTKYMMBYD","GSON1112060672")</f>
        <v>#NAME?</v>
      </c>
      <c r="S793" s="4" t="e">
        <f ca="1">[1]!BexGetData("DP_1","00O2TNJGODT0G5Z4TTKYMMI9X","GSON1112060672")</f>
        <v>#NAME?</v>
      </c>
      <c r="T793" s="4" t="e">
        <f ca="1">[1]!BexGetData("DP_1","00O2TNJGODT0G5Z4TTKYMMOLH","GSON1112060672")</f>
        <v>#NAME?</v>
      </c>
      <c r="U793" s="4" t="e">
        <f ca="1">[1]!BexGetData("DP_1","00O2TNJGODT0G5Z4TTKYMMUX1","GSON1112060672")</f>
        <v>#NAME?</v>
      </c>
      <c r="V793" s="4" t="e">
        <f ca="1">[1]!BexGetData("DP_1","00O2TNJGODT0G5Z4TTKYMN18L","GSON1112060672")</f>
        <v>#NAME?</v>
      </c>
      <c r="W793" s="4" t="e">
        <f ca="1">[1]!BexGetData("DP_1","00O2TNJGODT0G5Z4TTKYMN7K5","GSON1112060672")</f>
        <v>#NAME?</v>
      </c>
    </row>
    <row r="794" spans="1:23" x14ac:dyDescent="0.2">
      <c r="A794" s="16" t="s">
        <v>969</v>
      </c>
      <c r="B794" s="7" t="s">
        <v>970</v>
      </c>
      <c r="C794" s="3" t="e">
        <f ca="1">[1]!BexGetData("DP_1","003N8EMH8GTFRCSWKMPXRR8GU","GSON1112060673")</f>
        <v>#NAME?</v>
      </c>
      <c r="D794" s="3" t="e">
        <f ca="1">[1]!BexGetData("DP_1","003N8EMH8GTFRCSWKMPXRRESE","GSON1112060673")</f>
        <v>#NAME?</v>
      </c>
      <c r="E794" s="8" t="e">
        <f ca="1">[1]!BexGetData("DP_1","003N8EMH8GTFRCSWKMPXRRL3Y","GSON1112060673")</f>
        <v>#NAME?</v>
      </c>
      <c r="F794" s="4" t="e">
        <f ca="1">[1]!BexGetData("DP_1","003N8EMH8GTFRCSWKMPXRRRFI","GSON1112060673")</f>
        <v>#NAME?</v>
      </c>
      <c r="G794" s="4" t="e">
        <f ca="1">[1]!BexGetData("DP_1","003N8EMH8GTFRCSWKMPXRRXR2","GSON1112060673")</f>
        <v>#NAME?</v>
      </c>
      <c r="H794" s="4" t="e">
        <f ca="1">[1]!BexGetData("DP_1","003N8EMH8GTFRCSWKMPXRS42M","GSON1112060673")</f>
        <v>#NAME?</v>
      </c>
      <c r="I794" s="4" t="e">
        <f ca="1">[1]!BexGetData("DP_1","003N8EMH8GTFRCSWKMPXRSAE6","GSON1112060673")</f>
        <v>#NAME?</v>
      </c>
      <c r="J794" s="4" t="e">
        <f ca="1">[1]!BexGetData("DP_1","003N8EMH8GTFRCSWKMPXRSGPQ","GSON1112060673")</f>
        <v>#NAME?</v>
      </c>
      <c r="K794" s="8" t="e">
        <f ca="1">[1]!BexGetData("DP_1","003N8EMH8GTFRIVNUPY288VJH","GSON1112060673")</f>
        <v>#NAME?</v>
      </c>
      <c r="L794" s="8" t="e">
        <f ca="1">[1]!BexGetData("DP_1","003N8EMH8GTFRIVNUPY2891V1","GSON1112060673")</f>
        <v>#NAME?</v>
      </c>
      <c r="M794" s="8" t="e">
        <f ca="1">[1]!BexGetData("DP_1","003N8EMH8GTFRIVOG7KG9IQXA","GSON1112060673")</f>
        <v>#NAME?</v>
      </c>
      <c r="N794" s="8" t="e">
        <f ca="1">[1]!BexGetData("DP_1","003N8EMH8GTFRIVOG7KG9IX8U","GSON1112060673")</f>
        <v>#NAME?</v>
      </c>
      <c r="O794" s="8" t="e">
        <f ca="1">[1]!BexGetData("DP_1","003N8EMH8GTFRIVOG7KG9J3KE","GSON1112060673")</f>
        <v>#NAME?</v>
      </c>
      <c r="P794" s="8" t="e">
        <f ca="1">[1]!BexGetData("DP_1","003N8EMH8GTFRIVOG7KG9J9VY","GSON1112060673")</f>
        <v>#NAME?</v>
      </c>
      <c r="Q794" s="4" t="e">
        <f ca="1">[1]!BexGetData("DP_1","00O2TNJGODT0G5Z4TTKYMM5MT","GSON1112060673")</f>
        <v>#NAME?</v>
      </c>
      <c r="R794" s="4" t="e">
        <f ca="1">[1]!BexGetData("DP_1","00O2TNJGODT0G5Z4TTKYMMBYD","GSON1112060673")</f>
        <v>#NAME?</v>
      </c>
      <c r="S794" s="4" t="e">
        <f ca="1">[1]!BexGetData("DP_1","00O2TNJGODT0G5Z4TTKYMMI9X","GSON1112060673")</f>
        <v>#NAME?</v>
      </c>
      <c r="T794" s="4" t="e">
        <f ca="1">[1]!BexGetData("DP_1","00O2TNJGODT0G5Z4TTKYMMOLH","GSON1112060673")</f>
        <v>#NAME?</v>
      </c>
      <c r="U794" s="4" t="e">
        <f ca="1">[1]!BexGetData("DP_1","00O2TNJGODT0G5Z4TTKYMMUX1","GSON1112060673")</f>
        <v>#NAME?</v>
      </c>
      <c r="V794" s="4" t="e">
        <f ca="1">[1]!BexGetData("DP_1","00O2TNJGODT0G5Z4TTKYMN18L","GSON1112060673")</f>
        <v>#NAME?</v>
      </c>
      <c r="W794" s="4" t="e">
        <f ca="1">[1]!BexGetData("DP_1","00O2TNJGODT0G5Z4TTKYMN7K5","GSON1112060673")</f>
        <v>#NAME?</v>
      </c>
    </row>
    <row r="795" spans="1:23" x14ac:dyDescent="0.2">
      <c r="A795" s="16" t="s">
        <v>2928</v>
      </c>
      <c r="B795" s="7" t="s">
        <v>971</v>
      </c>
      <c r="C795" s="3" t="e">
        <f ca="1">[1]!BexGetData("DP_1","003N8EMH8GTFRCSWKMPXRR8GU","GSON1112060674")</f>
        <v>#NAME?</v>
      </c>
      <c r="D795" s="3" t="e">
        <f ca="1">[1]!BexGetData("DP_1","003N8EMH8GTFRCSWKMPXRRESE","GSON1112060674")</f>
        <v>#NAME?</v>
      </c>
      <c r="E795" s="3" t="e">
        <f ca="1">[1]!BexGetData("DP_1","003N8EMH8GTFRCSWKMPXRRL3Y","GSON1112060674")</f>
        <v>#NAME?</v>
      </c>
      <c r="F795" s="4" t="e">
        <f ca="1">[1]!BexGetData("DP_1","003N8EMH8GTFRCSWKMPXRRRFI","GSON1112060674")</f>
        <v>#NAME?</v>
      </c>
      <c r="G795" s="4" t="e">
        <f ca="1">[1]!BexGetData("DP_1","003N8EMH8GTFRCSWKMPXRRXR2","GSON1112060674")</f>
        <v>#NAME?</v>
      </c>
      <c r="H795" s="4" t="e">
        <f ca="1">[1]!BexGetData("DP_1","003N8EMH8GTFRCSWKMPXRS42M","GSON1112060674")</f>
        <v>#NAME?</v>
      </c>
      <c r="I795" s="4" t="e">
        <f ca="1">[1]!BexGetData("DP_1","003N8EMH8GTFRCSWKMPXRSAE6","GSON1112060674")</f>
        <v>#NAME?</v>
      </c>
      <c r="J795" s="4" t="e">
        <f ca="1">[1]!BexGetData("DP_1","003N8EMH8GTFRCSWKMPXRSGPQ","GSON1112060674")</f>
        <v>#NAME?</v>
      </c>
      <c r="K795" s="3" t="e">
        <f ca="1">[1]!BexGetData("DP_1","003N8EMH8GTFRIVNUPY288VJH","GSON1112060674")</f>
        <v>#NAME?</v>
      </c>
      <c r="L795" s="3" t="e">
        <f ca="1">[1]!BexGetData("DP_1","003N8EMH8GTFRIVNUPY2891V1","GSON1112060674")</f>
        <v>#NAME?</v>
      </c>
      <c r="M795" s="3" t="e">
        <f ca="1">[1]!BexGetData("DP_1","003N8EMH8GTFRIVOG7KG9IQXA","GSON1112060674")</f>
        <v>#NAME?</v>
      </c>
      <c r="N795" s="8" t="e">
        <f ca="1">[1]!BexGetData("DP_1","003N8EMH8GTFRIVOG7KG9IX8U","GSON1112060674")</f>
        <v>#NAME?</v>
      </c>
      <c r="O795" s="3" t="e">
        <f ca="1">[1]!BexGetData("DP_1","003N8EMH8GTFRIVOG7KG9J3KE","GSON1112060674")</f>
        <v>#NAME?</v>
      </c>
      <c r="P795" s="8" t="e">
        <f ca="1">[1]!BexGetData("DP_1","003N8EMH8GTFRIVOG7KG9J9VY","GSON1112060674")</f>
        <v>#NAME?</v>
      </c>
      <c r="Q795" s="4" t="e">
        <f ca="1">[1]!BexGetData("DP_1","00O2TNJGODT0G5Z4TTKYMM5MT","GSON1112060674")</f>
        <v>#NAME?</v>
      </c>
      <c r="R795" s="4" t="e">
        <f ca="1">[1]!BexGetData("DP_1","00O2TNJGODT0G5Z4TTKYMMBYD","GSON1112060674")</f>
        <v>#NAME?</v>
      </c>
      <c r="S795" s="4" t="e">
        <f ca="1">[1]!BexGetData("DP_1","00O2TNJGODT0G5Z4TTKYMMI9X","GSON1112060674")</f>
        <v>#NAME?</v>
      </c>
      <c r="T795" s="4" t="e">
        <f ca="1">[1]!BexGetData("DP_1","00O2TNJGODT0G5Z4TTKYMMOLH","GSON1112060674")</f>
        <v>#NAME?</v>
      </c>
      <c r="U795" s="4" t="e">
        <f ca="1">[1]!BexGetData("DP_1","00O2TNJGODT0G5Z4TTKYMMUX1","GSON1112060674")</f>
        <v>#NAME?</v>
      </c>
      <c r="V795" s="4" t="e">
        <f ca="1">[1]!BexGetData("DP_1","00O2TNJGODT0G5Z4TTKYMN18L","GSON1112060674")</f>
        <v>#NAME?</v>
      </c>
      <c r="W795" s="4" t="e">
        <f ca="1">[1]!BexGetData("DP_1","00O2TNJGODT0G5Z4TTKYMN7K5","GSON1112060674")</f>
        <v>#NAME?</v>
      </c>
    </row>
    <row r="796" spans="1:23" x14ac:dyDescent="0.2">
      <c r="A796" s="16" t="s">
        <v>972</v>
      </c>
      <c r="B796" s="7" t="s">
        <v>973</v>
      </c>
      <c r="C796" s="3" t="e">
        <f ca="1">[1]!BexGetData("DP_1","003N8EMH8GTFRCSWKMPXRR8GU","GSON1112060675")</f>
        <v>#NAME?</v>
      </c>
      <c r="D796" s="3" t="e">
        <f ca="1">[1]!BexGetData("DP_1","003N8EMH8GTFRCSWKMPXRRESE","GSON1112060675")</f>
        <v>#NAME?</v>
      </c>
      <c r="E796" s="3" t="e">
        <f ca="1">[1]!BexGetData("DP_1","003N8EMH8GTFRCSWKMPXRRL3Y","GSON1112060675")</f>
        <v>#NAME?</v>
      </c>
      <c r="F796" s="4" t="e">
        <f ca="1">[1]!BexGetData("DP_1","003N8EMH8GTFRCSWKMPXRRRFI","GSON1112060675")</f>
        <v>#NAME?</v>
      </c>
      <c r="G796" s="4" t="e">
        <f ca="1">[1]!BexGetData("DP_1","003N8EMH8GTFRCSWKMPXRRXR2","GSON1112060675")</f>
        <v>#NAME?</v>
      </c>
      <c r="H796" s="4" t="e">
        <f ca="1">[1]!BexGetData("DP_1","003N8EMH8GTFRCSWKMPXRS42M","GSON1112060675")</f>
        <v>#NAME?</v>
      </c>
      <c r="I796" s="4" t="e">
        <f ca="1">[1]!BexGetData("DP_1","003N8EMH8GTFRCSWKMPXRSAE6","GSON1112060675")</f>
        <v>#NAME?</v>
      </c>
      <c r="J796" s="4" t="e">
        <f ca="1">[1]!BexGetData("DP_1","003N8EMH8GTFRCSWKMPXRSGPQ","GSON1112060675")</f>
        <v>#NAME?</v>
      </c>
      <c r="K796" s="3" t="e">
        <f ca="1">[1]!BexGetData("DP_1","003N8EMH8GTFRIVNUPY288VJH","GSON1112060675")</f>
        <v>#NAME?</v>
      </c>
      <c r="L796" s="3" t="e">
        <f ca="1">[1]!BexGetData("DP_1","003N8EMH8GTFRIVNUPY2891V1","GSON1112060675")</f>
        <v>#NAME?</v>
      </c>
      <c r="M796" s="3" t="e">
        <f ca="1">[1]!BexGetData("DP_1","003N8EMH8GTFRIVOG7KG9IQXA","GSON1112060675")</f>
        <v>#NAME?</v>
      </c>
      <c r="N796" s="8" t="e">
        <f ca="1">[1]!BexGetData("DP_1","003N8EMH8GTFRIVOG7KG9IX8U","GSON1112060675")</f>
        <v>#NAME?</v>
      </c>
      <c r="O796" s="3" t="e">
        <f ca="1">[1]!BexGetData("DP_1","003N8EMH8GTFRIVOG7KG9J3KE","GSON1112060675")</f>
        <v>#NAME?</v>
      </c>
      <c r="P796" s="8" t="e">
        <f ca="1">[1]!BexGetData("DP_1","003N8EMH8GTFRIVOG7KG9J9VY","GSON1112060675")</f>
        <v>#NAME?</v>
      </c>
      <c r="Q796" s="4" t="e">
        <f ca="1">[1]!BexGetData("DP_1","00O2TNJGODT0G5Z4TTKYMM5MT","GSON1112060675")</f>
        <v>#NAME?</v>
      </c>
      <c r="R796" s="4" t="e">
        <f ca="1">[1]!BexGetData("DP_1","00O2TNJGODT0G5Z4TTKYMMBYD","GSON1112060675")</f>
        <v>#NAME?</v>
      </c>
      <c r="S796" s="4" t="e">
        <f ca="1">[1]!BexGetData("DP_1","00O2TNJGODT0G5Z4TTKYMMI9X","GSON1112060675")</f>
        <v>#NAME?</v>
      </c>
      <c r="T796" s="4" t="e">
        <f ca="1">[1]!BexGetData("DP_1","00O2TNJGODT0G5Z4TTKYMMOLH","GSON1112060675")</f>
        <v>#NAME?</v>
      </c>
      <c r="U796" s="4" t="e">
        <f ca="1">[1]!BexGetData("DP_1","00O2TNJGODT0G5Z4TTKYMMUX1","GSON1112060675")</f>
        <v>#NAME?</v>
      </c>
      <c r="V796" s="4" t="e">
        <f ca="1">[1]!BexGetData("DP_1","00O2TNJGODT0G5Z4TTKYMN18L","GSON1112060675")</f>
        <v>#NAME?</v>
      </c>
      <c r="W796" s="4" t="e">
        <f ca="1">[1]!BexGetData("DP_1","00O2TNJGODT0G5Z4TTKYMN7K5","GSON1112060675")</f>
        <v>#NAME?</v>
      </c>
    </row>
    <row r="797" spans="1:23" x14ac:dyDescent="0.2">
      <c r="A797" s="16" t="s">
        <v>2929</v>
      </c>
      <c r="B797" s="7" t="s">
        <v>2930</v>
      </c>
      <c r="C797" s="3" t="e">
        <f ca="1">[1]!BexGetData("DP_1","003N8EMH8GTFRCSWKMPXRR8GU","GSON1112060690")</f>
        <v>#NAME?</v>
      </c>
      <c r="D797" s="3" t="e">
        <f ca="1">[1]!BexGetData("DP_1","003N8EMH8GTFRCSWKMPXRRESE","GSON1112060690")</f>
        <v>#NAME?</v>
      </c>
      <c r="E797" s="3" t="e">
        <f ca="1">[1]!BexGetData("DP_1","003N8EMH8GTFRCSWKMPXRRL3Y","GSON1112060690")</f>
        <v>#NAME?</v>
      </c>
      <c r="F797" s="3" t="e">
        <f ca="1">[1]!BexGetData("DP_1","003N8EMH8GTFRCSWKMPXRRRFI","GSON1112060690")</f>
        <v>#NAME?</v>
      </c>
      <c r="G797" s="3" t="e">
        <f ca="1">[1]!BexGetData("DP_1","003N8EMH8GTFRCSWKMPXRRXR2","GSON1112060690")</f>
        <v>#NAME?</v>
      </c>
      <c r="H797" s="8" t="e">
        <f ca="1">[1]!BexGetData("DP_1","003N8EMH8GTFRCSWKMPXRS42M","GSON1112060690")</f>
        <v>#NAME?</v>
      </c>
      <c r="I797" s="3" t="e">
        <f ca="1">[1]!BexGetData("DP_1","003N8EMH8GTFRCSWKMPXRSAE6","GSON1112060690")</f>
        <v>#NAME?</v>
      </c>
      <c r="J797" s="4" t="e">
        <f ca="1">[1]!BexGetData("DP_1","003N8EMH8GTFRCSWKMPXRSGPQ","GSON1112060690")</f>
        <v>#NAME?</v>
      </c>
      <c r="K797" s="3" t="e">
        <f ca="1">[1]!BexGetData("DP_1","003N8EMH8GTFRIVNUPY288VJH","GSON1112060690")</f>
        <v>#NAME?</v>
      </c>
      <c r="L797" s="3" t="e">
        <f ca="1">[1]!BexGetData("DP_1","003N8EMH8GTFRIVNUPY2891V1","GSON1112060690")</f>
        <v>#NAME?</v>
      </c>
      <c r="M797" s="8" t="e">
        <f ca="1">[1]!BexGetData("DP_1","003N8EMH8GTFRIVOG7KG9IQXA","GSON1112060690")</f>
        <v>#NAME?</v>
      </c>
      <c r="N797" s="3" t="e">
        <f ca="1">[1]!BexGetData("DP_1","003N8EMH8GTFRIVOG7KG9IX8U","GSON1112060690")</f>
        <v>#NAME?</v>
      </c>
      <c r="O797" s="8" t="e">
        <f ca="1">[1]!BexGetData("DP_1","003N8EMH8GTFRIVOG7KG9J3KE","GSON1112060690")</f>
        <v>#NAME?</v>
      </c>
      <c r="P797" s="3" t="e">
        <f ca="1">[1]!BexGetData("DP_1","003N8EMH8GTFRIVOG7KG9J9VY","GSON1112060690")</f>
        <v>#NAME?</v>
      </c>
      <c r="Q797" s="4" t="e">
        <f ca="1">[1]!BexGetData("DP_1","00O2TNJGODT0G5Z4TTKYMM5MT","GSON1112060690")</f>
        <v>#NAME?</v>
      </c>
      <c r="R797" s="3" t="e">
        <f ca="1">[1]!BexGetData("DP_1","00O2TNJGODT0G5Z4TTKYMMBYD","GSON1112060690")</f>
        <v>#NAME?</v>
      </c>
      <c r="S797" s="3" t="e">
        <f ca="1">[1]!BexGetData("DP_1","00O2TNJGODT0G5Z4TTKYMMI9X","GSON1112060690")</f>
        <v>#NAME?</v>
      </c>
      <c r="T797" s="8" t="e">
        <f ca="1">[1]!BexGetData("DP_1","00O2TNJGODT0G5Z4TTKYMMOLH","GSON1112060690")</f>
        <v>#NAME?</v>
      </c>
      <c r="U797" s="3" t="e">
        <f ca="1">[1]!BexGetData("DP_1","00O2TNJGODT0G5Z4TTKYMMUX1","GSON1112060690")</f>
        <v>#NAME?</v>
      </c>
      <c r="V797" s="8" t="e">
        <f ca="1">[1]!BexGetData("DP_1","00O2TNJGODT0G5Z4TTKYMN18L","GSON1112060690")</f>
        <v>#NAME?</v>
      </c>
      <c r="W797" s="3" t="e">
        <f ca="1">[1]!BexGetData("DP_1","00O2TNJGODT0G5Z4TTKYMN7K5","GSON1112060690")</f>
        <v>#NAME?</v>
      </c>
    </row>
    <row r="798" spans="1:23" x14ac:dyDescent="0.2">
      <c r="A798" s="16" t="s">
        <v>2931</v>
      </c>
      <c r="B798" s="7" t="s">
        <v>2932</v>
      </c>
      <c r="C798" s="3" t="e">
        <f ca="1">[1]!BexGetData("DP_1","003N8EMH8GTFRCSWKMPXRR8GU","GSON1112060691")</f>
        <v>#NAME?</v>
      </c>
      <c r="D798" s="3" t="e">
        <f ca="1">[1]!BexGetData("DP_1","003N8EMH8GTFRCSWKMPXRRESE","GSON1112060691")</f>
        <v>#NAME?</v>
      </c>
      <c r="E798" s="3" t="e">
        <f ca="1">[1]!BexGetData("DP_1","003N8EMH8GTFRCSWKMPXRRL3Y","GSON1112060691")</f>
        <v>#NAME?</v>
      </c>
      <c r="F798" s="3" t="e">
        <f ca="1">[1]!BexGetData("DP_1","003N8EMH8GTFRCSWKMPXRRRFI","GSON1112060691")</f>
        <v>#NAME?</v>
      </c>
      <c r="G798" s="3" t="e">
        <f ca="1">[1]!BexGetData("DP_1","003N8EMH8GTFRCSWKMPXRRXR2","GSON1112060691")</f>
        <v>#NAME?</v>
      </c>
      <c r="H798" s="8" t="e">
        <f ca="1">[1]!BexGetData("DP_1","003N8EMH8GTFRCSWKMPXRS42M","GSON1112060691")</f>
        <v>#NAME?</v>
      </c>
      <c r="I798" s="3" t="e">
        <f ca="1">[1]!BexGetData("DP_1","003N8EMH8GTFRCSWKMPXRSAE6","GSON1112060691")</f>
        <v>#NAME?</v>
      </c>
      <c r="J798" s="4" t="e">
        <f ca="1">[1]!BexGetData("DP_1","003N8EMH8GTFRCSWKMPXRSGPQ","GSON1112060691")</f>
        <v>#NAME?</v>
      </c>
      <c r="K798" s="3" t="e">
        <f ca="1">[1]!BexGetData("DP_1","003N8EMH8GTFRIVNUPY288VJH","GSON1112060691")</f>
        <v>#NAME?</v>
      </c>
      <c r="L798" s="3" t="e">
        <f ca="1">[1]!BexGetData("DP_1","003N8EMH8GTFRIVNUPY2891V1","GSON1112060691")</f>
        <v>#NAME?</v>
      </c>
      <c r="M798" s="3" t="e">
        <f ca="1">[1]!BexGetData("DP_1","003N8EMH8GTFRIVOG7KG9IQXA","GSON1112060691")</f>
        <v>#NAME?</v>
      </c>
      <c r="N798" s="8" t="e">
        <f ca="1">[1]!BexGetData("DP_1","003N8EMH8GTFRIVOG7KG9IX8U","GSON1112060691")</f>
        <v>#NAME?</v>
      </c>
      <c r="O798" s="3" t="e">
        <f ca="1">[1]!BexGetData("DP_1","003N8EMH8GTFRIVOG7KG9J3KE","GSON1112060691")</f>
        <v>#NAME?</v>
      </c>
      <c r="P798" s="8" t="e">
        <f ca="1">[1]!BexGetData("DP_1","003N8EMH8GTFRIVOG7KG9J9VY","GSON1112060691")</f>
        <v>#NAME?</v>
      </c>
      <c r="Q798" s="4" t="e">
        <f ca="1">[1]!BexGetData("DP_1","00O2TNJGODT0G5Z4TTKYMM5MT","GSON1112060691")</f>
        <v>#NAME?</v>
      </c>
      <c r="R798" s="3" t="e">
        <f ca="1">[1]!BexGetData("DP_1","00O2TNJGODT0G5Z4TTKYMMBYD","GSON1112060691")</f>
        <v>#NAME?</v>
      </c>
      <c r="S798" s="3" t="e">
        <f ca="1">[1]!BexGetData("DP_1","00O2TNJGODT0G5Z4TTKYMMI9X","GSON1112060691")</f>
        <v>#NAME?</v>
      </c>
      <c r="T798" s="8" t="e">
        <f ca="1">[1]!BexGetData("DP_1","00O2TNJGODT0G5Z4TTKYMMOLH","GSON1112060691")</f>
        <v>#NAME?</v>
      </c>
      <c r="U798" s="3" t="e">
        <f ca="1">[1]!BexGetData("DP_1","00O2TNJGODT0G5Z4TTKYMMUX1","GSON1112060691")</f>
        <v>#NAME?</v>
      </c>
      <c r="V798" s="8" t="e">
        <f ca="1">[1]!BexGetData("DP_1","00O2TNJGODT0G5Z4TTKYMN18L","GSON1112060691")</f>
        <v>#NAME?</v>
      </c>
      <c r="W798" s="3" t="e">
        <f ca="1">[1]!BexGetData("DP_1","00O2TNJGODT0G5Z4TTKYMN7K5","GSON1112060691")</f>
        <v>#NAME?</v>
      </c>
    </row>
    <row r="799" spans="1:23" x14ac:dyDescent="0.2">
      <c r="A799" s="16" t="s">
        <v>2933</v>
      </c>
      <c r="B799" s="7" t="s">
        <v>2934</v>
      </c>
      <c r="C799" s="3" t="e">
        <f ca="1">[1]!BexGetData("DP_1","003N8EMH8GTFRCSWKMPXRR8GU","GSON1112060693")</f>
        <v>#NAME?</v>
      </c>
      <c r="D799" s="3" t="e">
        <f ca="1">[1]!BexGetData("DP_1","003N8EMH8GTFRCSWKMPXRRESE","GSON1112060693")</f>
        <v>#NAME?</v>
      </c>
      <c r="E799" s="3" t="e">
        <f ca="1">[1]!BexGetData("DP_1","003N8EMH8GTFRCSWKMPXRRL3Y","GSON1112060693")</f>
        <v>#NAME?</v>
      </c>
      <c r="F799" s="4" t="e">
        <f ca="1">[1]!BexGetData("DP_1","003N8EMH8GTFRCSWKMPXRRRFI","GSON1112060693")</f>
        <v>#NAME?</v>
      </c>
      <c r="G799" s="4" t="e">
        <f ca="1">[1]!BexGetData("DP_1","003N8EMH8GTFRCSWKMPXRRXR2","GSON1112060693")</f>
        <v>#NAME?</v>
      </c>
      <c r="H799" s="4" t="e">
        <f ca="1">[1]!BexGetData("DP_1","003N8EMH8GTFRCSWKMPXRS42M","GSON1112060693")</f>
        <v>#NAME?</v>
      </c>
      <c r="I799" s="4" t="e">
        <f ca="1">[1]!BexGetData("DP_1","003N8EMH8GTFRCSWKMPXRSAE6","GSON1112060693")</f>
        <v>#NAME?</v>
      </c>
      <c r="J799" s="4" t="e">
        <f ca="1">[1]!BexGetData("DP_1","003N8EMH8GTFRCSWKMPXRSGPQ","GSON1112060693")</f>
        <v>#NAME?</v>
      </c>
      <c r="K799" s="3" t="e">
        <f ca="1">[1]!BexGetData("DP_1","003N8EMH8GTFRIVNUPY288VJH","GSON1112060693")</f>
        <v>#NAME?</v>
      </c>
      <c r="L799" s="3" t="e">
        <f ca="1">[1]!BexGetData("DP_1","003N8EMH8GTFRIVNUPY2891V1","GSON1112060693")</f>
        <v>#NAME?</v>
      </c>
      <c r="M799" s="8" t="e">
        <f ca="1">[1]!BexGetData("DP_1","003N8EMH8GTFRIVOG7KG9IQXA","GSON1112060693")</f>
        <v>#NAME?</v>
      </c>
      <c r="N799" s="3" t="e">
        <f ca="1">[1]!BexGetData("DP_1","003N8EMH8GTFRIVOG7KG9IX8U","GSON1112060693")</f>
        <v>#NAME?</v>
      </c>
      <c r="O799" s="8" t="e">
        <f ca="1">[1]!BexGetData("DP_1","003N8EMH8GTFRIVOG7KG9J3KE","GSON1112060693")</f>
        <v>#NAME?</v>
      </c>
      <c r="P799" s="3" t="e">
        <f ca="1">[1]!BexGetData("DP_1","003N8EMH8GTFRIVOG7KG9J9VY","GSON1112060693")</f>
        <v>#NAME?</v>
      </c>
      <c r="Q799" s="4" t="e">
        <f ca="1">[1]!BexGetData("DP_1","00O2TNJGODT0G5Z4TTKYMM5MT","GSON1112060693")</f>
        <v>#NAME?</v>
      </c>
      <c r="R799" s="4" t="e">
        <f ca="1">[1]!BexGetData("DP_1","00O2TNJGODT0G5Z4TTKYMMBYD","GSON1112060693")</f>
        <v>#NAME?</v>
      </c>
      <c r="S799" s="4" t="e">
        <f ca="1">[1]!BexGetData("DP_1","00O2TNJGODT0G5Z4TTKYMMI9X","GSON1112060693")</f>
        <v>#NAME?</v>
      </c>
      <c r="T799" s="4" t="e">
        <f ca="1">[1]!BexGetData("DP_1","00O2TNJGODT0G5Z4TTKYMMOLH","GSON1112060693")</f>
        <v>#NAME?</v>
      </c>
      <c r="U799" s="4" t="e">
        <f ca="1">[1]!BexGetData("DP_1","00O2TNJGODT0G5Z4TTKYMMUX1","GSON1112060693")</f>
        <v>#NAME?</v>
      </c>
      <c r="V799" s="4" t="e">
        <f ca="1">[1]!BexGetData("DP_1","00O2TNJGODT0G5Z4TTKYMN18L","GSON1112060693")</f>
        <v>#NAME?</v>
      </c>
      <c r="W799" s="4" t="e">
        <f ca="1">[1]!BexGetData("DP_1","00O2TNJGODT0G5Z4TTKYMN7K5","GSON1112060693")</f>
        <v>#NAME?</v>
      </c>
    </row>
    <row r="800" spans="1:23" x14ac:dyDescent="0.2">
      <c r="A800" s="16" t="s">
        <v>2935</v>
      </c>
      <c r="B800" s="7" t="s">
        <v>2936</v>
      </c>
      <c r="C800" s="3" t="e">
        <f ca="1">[1]!BexGetData("DP_1","003N8EMH8GTFRCSWKMPXRR8GU","GSON1112060694")</f>
        <v>#NAME?</v>
      </c>
      <c r="D800" s="3" t="e">
        <f ca="1">[1]!BexGetData("DP_1","003N8EMH8GTFRCSWKMPXRRESE","GSON1112060694")</f>
        <v>#NAME?</v>
      </c>
      <c r="E800" s="8" t="e">
        <f ca="1">[1]!BexGetData("DP_1","003N8EMH8GTFRCSWKMPXRRL3Y","GSON1112060694")</f>
        <v>#NAME?</v>
      </c>
      <c r="F800" s="4" t="e">
        <f ca="1">[1]!BexGetData("DP_1","003N8EMH8GTFRCSWKMPXRRRFI","GSON1112060694")</f>
        <v>#NAME?</v>
      </c>
      <c r="G800" s="4" t="e">
        <f ca="1">[1]!BexGetData("DP_1","003N8EMH8GTFRCSWKMPXRRXR2","GSON1112060694")</f>
        <v>#NAME?</v>
      </c>
      <c r="H800" s="4" t="e">
        <f ca="1">[1]!BexGetData("DP_1","003N8EMH8GTFRCSWKMPXRS42M","GSON1112060694")</f>
        <v>#NAME?</v>
      </c>
      <c r="I800" s="4" t="e">
        <f ca="1">[1]!BexGetData("DP_1","003N8EMH8GTFRCSWKMPXRSAE6","GSON1112060694")</f>
        <v>#NAME?</v>
      </c>
      <c r="J800" s="4" t="e">
        <f ca="1">[1]!BexGetData("DP_1","003N8EMH8GTFRCSWKMPXRSGPQ","GSON1112060694")</f>
        <v>#NAME?</v>
      </c>
      <c r="K800" s="8" t="e">
        <f ca="1">[1]!BexGetData("DP_1","003N8EMH8GTFRIVNUPY288VJH","GSON1112060694")</f>
        <v>#NAME?</v>
      </c>
      <c r="L800" s="8" t="e">
        <f ca="1">[1]!BexGetData("DP_1","003N8EMH8GTFRIVNUPY2891V1","GSON1112060694")</f>
        <v>#NAME?</v>
      </c>
      <c r="M800" s="8" t="e">
        <f ca="1">[1]!BexGetData("DP_1","003N8EMH8GTFRIVOG7KG9IQXA","GSON1112060694")</f>
        <v>#NAME?</v>
      </c>
      <c r="N800" s="8" t="e">
        <f ca="1">[1]!BexGetData("DP_1","003N8EMH8GTFRIVOG7KG9IX8U","GSON1112060694")</f>
        <v>#NAME?</v>
      </c>
      <c r="O800" s="8" t="e">
        <f ca="1">[1]!BexGetData("DP_1","003N8EMH8GTFRIVOG7KG9J3KE","GSON1112060694")</f>
        <v>#NAME?</v>
      </c>
      <c r="P800" s="8" t="e">
        <f ca="1">[1]!BexGetData("DP_1","003N8EMH8GTFRIVOG7KG9J9VY","GSON1112060694")</f>
        <v>#NAME?</v>
      </c>
      <c r="Q800" s="4" t="e">
        <f ca="1">[1]!BexGetData("DP_1","00O2TNJGODT0G5Z4TTKYMM5MT","GSON1112060694")</f>
        <v>#NAME?</v>
      </c>
      <c r="R800" s="4" t="e">
        <f ca="1">[1]!BexGetData("DP_1","00O2TNJGODT0G5Z4TTKYMMBYD","GSON1112060694")</f>
        <v>#NAME?</v>
      </c>
      <c r="S800" s="4" t="e">
        <f ca="1">[1]!BexGetData("DP_1","00O2TNJGODT0G5Z4TTKYMMI9X","GSON1112060694")</f>
        <v>#NAME?</v>
      </c>
      <c r="T800" s="4" t="e">
        <f ca="1">[1]!BexGetData("DP_1","00O2TNJGODT0G5Z4TTKYMMOLH","GSON1112060694")</f>
        <v>#NAME?</v>
      </c>
      <c r="U800" s="4" t="e">
        <f ca="1">[1]!BexGetData("DP_1","00O2TNJGODT0G5Z4TTKYMMUX1","GSON1112060694")</f>
        <v>#NAME?</v>
      </c>
      <c r="V800" s="4" t="e">
        <f ca="1">[1]!BexGetData("DP_1","00O2TNJGODT0G5Z4TTKYMN18L","GSON1112060694")</f>
        <v>#NAME?</v>
      </c>
      <c r="W800" s="4" t="e">
        <f ca="1">[1]!BexGetData("DP_1","00O2TNJGODT0G5Z4TTKYMN7K5","GSON1112060694")</f>
        <v>#NAME?</v>
      </c>
    </row>
    <row r="801" spans="1:23" x14ac:dyDescent="0.2">
      <c r="A801" s="16" t="s">
        <v>2937</v>
      </c>
      <c r="B801" s="7" t="s">
        <v>2938</v>
      </c>
      <c r="C801" s="3" t="e">
        <f ca="1">[1]!BexGetData("DP_1","003N8EMH8GTFRCSWKMPXRR8GU","GSON1112060695")</f>
        <v>#NAME?</v>
      </c>
      <c r="D801" s="3" t="e">
        <f ca="1">[1]!BexGetData("DP_1","003N8EMH8GTFRCSWKMPXRRESE","GSON1112060695")</f>
        <v>#NAME?</v>
      </c>
      <c r="E801" s="3" t="e">
        <f ca="1">[1]!BexGetData("DP_1","003N8EMH8GTFRCSWKMPXRRL3Y","GSON1112060695")</f>
        <v>#NAME?</v>
      </c>
      <c r="F801" s="4" t="e">
        <f ca="1">[1]!BexGetData("DP_1","003N8EMH8GTFRCSWKMPXRRRFI","GSON1112060695")</f>
        <v>#NAME?</v>
      </c>
      <c r="G801" s="4" t="e">
        <f ca="1">[1]!BexGetData("DP_1","003N8EMH8GTFRCSWKMPXRRXR2","GSON1112060695")</f>
        <v>#NAME?</v>
      </c>
      <c r="H801" s="4" t="e">
        <f ca="1">[1]!BexGetData("DP_1","003N8EMH8GTFRCSWKMPXRS42M","GSON1112060695")</f>
        <v>#NAME?</v>
      </c>
      <c r="I801" s="4" t="e">
        <f ca="1">[1]!BexGetData("DP_1","003N8EMH8GTFRCSWKMPXRSAE6","GSON1112060695")</f>
        <v>#NAME?</v>
      </c>
      <c r="J801" s="4" t="e">
        <f ca="1">[1]!BexGetData("DP_1","003N8EMH8GTFRCSWKMPXRSGPQ","GSON1112060695")</f>
        <v>#NAME?</v>
      </c>
      <c r="K801" s="3" t="e">
        <f ca="1">[1]!BexGetData("DP_1","003N8EMH8GTFRIVNUPY288VJH","GSON1112060695")</f>
        <v>#NAME?</v>
      </c>
      <c r="L801" s="3" t="e">
        <f ca="1">[1]!BexGetData("DP_1","003N8EMH8GTFRIVNUPY2891V1","GSON1112060695")</f>
        <v>#NAME?</v>
      </c>
      <c r="M801" s="3" t="e">
        <f ca="1">[1]!BexGetData("DP_1","003N8EMH8GTFRIVOG7KG9IQXA","GSON1112060695")</f>
        <v>#NAME?</v>
      </c>
      <c r="N801" s="8" t="e">
        <f ca="1">[1]!BexGetData("DP_1","003N8EMH8GTFRIVOG7KG9IX8U","GSON1112060695")</f>
        <v>#NAME?</v>
      </c>
      <c r="O801" s="3" t="e">
        <f ca="1">[1]!BexGetData("DP_1","003N8EMH8GTFRIVOG7KG9J3KE","GSON1112060695")</f>
        <v>#NAME?</v>
      </c>
      <c r="P801" s="8" t="e">
        <f ca="1">[1]!BexGetData("DP_1","003N8EMH8GTFRIVOG7KG9J9VY","GSON1112060695")</f>
        <v>#NAME?</v>
      </c>
      <c r="Q801" s="4" t="e">
        <f ca="1">[1]!BexGetData("DP_1","00O2TNJGODT0G5Z4TTKYMM5MT","GSON1112060695")</f>
        <v>#NAME?</v>
      </c>
      <c r="R801" s="4" t="e">
        <f ca="1">[1]!BexGetData("DP_1","00O2TNJGODT0G5Z4TTKYMMBYD","GSON1112060695")</f>
        <v>#NAME?</v>
      </c>
      <c r="S801" s="4" t="e">
        <f ca="1">[1]!BexGetData("DP_1","00O2TNJGODT0G5Z4TTKYMMI9X","GSON1112060695")</f>
        <v>#NAME?</v>
      </c>
      <c r="T801" s="4" t="e">
        <f ca="1">[1]!BexGetData("DP_1","00O2TNJGODT0G5Z4TTKYMMOLH","GSON1112060695")</f>
        <v>#NAME?</v>
      </c>
      <c r="U801" s="4" t="e">
        <f ca="1">[1]!BexGetData("DP_1","00O2TNJGODT0G5Z4TTKYMMUX1","GSON1112060695")</f>
        <v>#NAME?</v>
      </c>
      <c r="V801" s="4" t="e">
        <f ca="1">[1]!BexGetData("DP_1","00O2TNJGODT0G5Z4TTKYMN18L","GSON1112060695")</f>
        <v>#NAME?</v>
      </c>
      <c r="W801" s="4" t="e">
        <f ca="1">[1]!BexGetData("DP_1","00O2TNJGODT0G5Z4TTKYMN7K5","GSON1112060695")</f>
        <v>#NAME?</v>
      </c>
    </row>
    <row r="802" spans="1:23" x14ac:dyDescent="0.2">
      <c r="A802" s="16" t="s">
        <v>974</v>
      </c>
      <c r="B802" s="7" t="s">
        <v>975</v>
      </c>
      <c r="C802" s="3" t="e">
        <f ca="1">[1]!BexGetData("DP_1","003N8EMH8GTFRCSWKMPXRR8GU","GSON1112060700")</f>
        <v>#NAME?</v>
      </c>
      <c r="D802" s="3" t="e">
        <f ca="1">[1]!BexGetData("DP_1","003N8EMH8GTFRCSWKMPXRRESE","GSON1112060700")</f>
        <v>#NAME?</v>
      </c>
      <c r="E802" s="3" t="e">
        <f ca="1">[1]!BexGetData("DP_1","003N8EMH8GTFRCSWKMPXRRL3Y","GSON1112060700")</f>
        <v>#NAME?</v>
      </c>
      <c r="F802" s="3" t="e">
        <f ca="1">[1]!BexGetData("DP_1","003N8EMH8GTFRCSWKMPXRRRFI","GSON1112060700")</f>
        <v>#NAME?</v>
      </c>
      <c r="G802" s="3" t="e">
        <f ca="1">[1]!BexGetData("DP_1","003N8EMH8GTFRCSWKMPXRRXR2","GSON1112060700")</f>
        <v>#NAME?</v>
      </c>
      <c r="H802" s="8" t="e">
        <f ca="1">[1]!BexGetData("DP_1","003N8EMH8GTFRCSWKMPXRS42M","GSON1112060700")</f>
        <v>#NAME?</v>
      </c>
      <c r="I802" s="3" t="e">
        <f ca="1">[1]!BexGetData("DP_1","003N8EMH8GTFRCSWKMPXRSAE6","GSON1112060700")</f>
        <v>#NAME?</v>
      </c>
      <c r="J802" s="4" t="e">
        <f ca="1">[1]!BexGetData("DP_1","003N8EMH8GTFRCSWKMPXRSGPQ","GSON1112060700")</f>
        <v>#NAME?</v>
      </c>
      <c r="K802" s="3" t="e">
        <f ca="1">[1]!BexGetData("DP_1","003N8EMH8GTFRIVNUPY288VJH","GSON1112060700")</f>
        <v>#NAME?</v>
      </c>
      <c r="L802" s="3" t="e">
        <f ca="1">[1]!BexGetData("DP_1","003N8EMH8GTFRIVNUPY2891V1","GSON1112060700")</f>
        <v>#NAME?</v>
      </c>
      <c r="M802" s="8" t="e">
        <f ca="1">[1]!BexGetData("DP_1","003N8EMH8GTFRIVOG7KG9IQXA","GSON1112060700")</f>
        <v>#NAME?</v>
      </c>
      <c r="N802" s="3" t="e">
        <f ca="1">[1]!BexGetData("DP_1","003N8EMH8GTFRIVOG7KG9IX8U","GSON1112060700")</f>
        <v>#NAME?</v>
      </c>
      <c r="O802" s="8" t="e">
        <f ca="1">[1]!BexGetData("DP_1","003N8EMH8GTFRIVOG7KG9J3KE","GSON1112060700")</f>
        <v>#NAME?</v>
      </c>
      <c r="P802" s="3" t="e">
        <f ca="1">[1]!BexGetData("DP_1","003N8EMH8GTFRIVOG7KG9J9VY","GSON1112060700")</f>
        <v>#NAME?</v>
      </c>
      <c r="Q802" s="4" t="e">
        <f ca="1">[1]!BexGetData("DP_1","00O2TNJGODT0G5Z4TTKYMM5MT","GSON1112060700")</f>
        <v>#NAME?</v>
      </c>
      <c r="R802" s="3" t="e">
        <f ca="1">[1]!BexGetData("DP_1","00O2TNJGODT0G5Z4TTKYMMBYD","GSON1112060700")</f>
        <v>#NAME?</v>
      </c>
      <c r="S802" s="3" t="e">
        <f ca="1">[1]!BexGetData("DP_1","00O2TNJGODT0G5Z4TTKYMMI9X","GSON1112060700")</f>
        <v>#NAME?</v>
      </c>
      <c r="T802" s="8" t="e">
        <f ca="1">[1]!BexGetData("DP_1","00O2TNJGODT0G5Z4TTKYMMOLH","GSON1112060700")</f>
        <v>#NAME?</v>
      </c>
      <c r="U802" s="3" t="e">
        <f ca="1">[1]!BexGetData("DP_1","00O2TNJGODT0G5Z4TTKYMMUX1","GSON1112060700")</f>
        <v>#NAME?</v>
      </c>
      <c r="V802" s="8" t="e">
        <f ca="1">[1]!BexGetData("DP_1","00O2TNJGODT0G5Z4TTKYMN18L","GSON1112060700")</f>
        <v>#NAME?</v>
      </c>
      <c r="W802" s="3" t="e">
        <f ca="1">[1]!BexGetData("DP_1","00O2TNJGODT0G5Z4TTKYMN7K5","GSON1112060700")</f>
        <v>#NAME?</v>
      </c>
    </row>
    <row r="803" spans="1:23" x14ac:dyDescent="0.2">
      <c r="A803" s="16" t="s">
        <v>976</v>
      </c>
      <c r="B803" s="7" t="s">
        <v>977</v>
      </c>
      <c r="C803" s="3" t="e">
        <f ca="1">[1]!BexGetData("DP_1","003N8EMH8GTFRCSWKMPXRR8GU","GSON1112060701")</f>
        <v>#NAME?</v>
      </c>
      <c r="D803" s="3" t="e">
        <f ca="1">[1]!BexGetData("DP_1","003N8EMH8GTFRCSWKMPXRRESE","GSON1112060701")</f>
        <v>#NAME?</v>
      </c>
      <c r="E803" s="3" t="e">
        <f ca="1">[1]!BexGetData("DP_1","003N8EMH8GTFRCSWKMPXRRL3Y","GSON1112060701")</f>
        <v>#NAME?</v>
      </c>
      <c r="F803" s="3" t="e">
        <f ca="1">[1]!BexGetData("DP_1","003N8EMH8GTFRCSWKMPXRRRFI","GSON1112060701")</f>
        <v>#NAME?</v>
      </c>
      <c r="G803" s="3" t="e">
        <f ca="1">[1]!BexGetData("DP_1","003N8EMH8GTFRCSWKMPXRRXR2","GSON1112060701")</f>
        <v>#NAME?</v>
      </c>
      <c r="H803" s="3" t="e">
        <f ca="1">[1]!BexGetData("DP_1","003N8EMH8GTFRCSWKMPXRS42M","GSON1112060701")</f>
        <v>#NAME?</v>
      </c>
      <c r="I803" s="3" t="e">
        <f ca="1">[1]!BexGetData("DP_1","003N8EMH8GTFRCSWKMPXRSAE6","GSON1112060701")</f>
        <v>#NAME?</v>
      </c>
      <c r="J803" s="4" t="e">
        <f ca="1">[1]!BexGetData("DP_1","003N8EMH8GTFRCSWKMPXRSGPQ","GSON1112060701")</f>
        <v>#NAME?</v>
      </c>
      <c r="K803" s="3" t="e">
        <f ca="1">[1]!BexGetData("DP_1","003N8EMH8GTFRIVNUPY288VJH","GSON1112060701")</f>
        <v>#NAME?</v>
      </c>
      <c r="L803" s="3" t="e">
        <f ca="1">[1]!BexGetData("DP_1","003N8EMH8GTFRIVNUPY2891V1","GSON1112060701")</f>
        <v>#NAME?</v>
      </c>
      <c r="M803" s="8" t="e">
        <f ca="1">[1]!BexGetData("DP_1","003N8EMH8GTFRIVOG7KG9IQXA","GSON1112060701")</f>
        <v>#NAME?</v>
      </c>
      <c r="N803" s="3" t="e">
        <f ca="1">[1]!BexGetData("DP_1","003N8EMH8GTFRIVOG7KG9IX8U","GSON1112060701")</f>
        <v>#NAME?</v>
      </c>
      <c r="O803" s="8" t="e">
        <f ca="1">[1]!BexGetData("DP_1","003N8EMH8GTFRIVOG7KG9J3KE","GSON1112060701")</f>
        <v>#NAME?</v>
      </c>
      <c r="P803" s="3" t="e">
        <f ca="1">[1]!BexGetData("DP_1","003N8EMH8GTFRIVOG7KG9J9VY","GSON1112060701")</f>
        <v>#NAME?</v>
      </c>
      <c r="Q803" s="4" t="e">
        <f ca="1">[1]!BexGetData("DP_1","00O2TNJGODT0G5Z4TTKYMM5MT","GSON1112060701")</f>
        <v>#NAME?</v>
      </c>
      <c r="R803" s="3" t="e">
        <f ca="1">[1]!BexGetData("DP_1","00O2TNJGODT0G5Z4TTKYMMBYD","GSON1112060701")</f>
        <v>#NAME?</v>
      </c>
      <c r="S803" s="3" t="e">
        <f ca="1">[1]!BexGetData("DP_1","00O2TNJGODT0G5Z4TTKYMMI9X","GSON1112060701")</f>
        <v>#NAME?</v>
      </c>
      <c r="T803" s="8" t="e">
        <f ca="1">[1]!BexGetData("DP_1","00O2TNJGODT0G5Z4TTKYMMOLH","GSON1112060701")</f>
        <v>#NAME?</v>
      </c>
      <c r="U803" s="3" t="e">
        <f ca="1">[1]!BexGetData("DP_1","00O2TNJGODT0G5Z4TTKYMMUX1","GSON1112060701")</f>
        <v>#NAME?</v>
      </c>
      <c r="V803" s="8" t="e">
        <f ca="1">[1]!BexGetData("DP_1","00O2TNJGODT0G5Z4TTKYMN18L","GSON1112060701")</f>
        <v>#NAME?</v>
      </c>
      <c r="W803" s="3" t="e">
        <f ca="1">[1]!BexGetData("DP_1","00O2TNJGODT0G5Z4TTKYMN7K5","GSON1112060701")</f>
        <v>#NAME?</v>
      </c>
    </row>
    <row r="804" spans="1:23" x14ac:dyDescent="0.2">
      <c r="A804" s="16" t="s">
        <v>2939</v>
      </c>
      <c r="B804" s="7" t="s">
        <v>2940</v>
      </c>
      <c r="C804" s="3" t="e">
        <f ca="1">[1]!BexGetData("DP_1","003N8EMH8GTFRCSWKMPXRR8GU","GSON1112060703")</f>
        <v>#NAME?</v>
      </c>
      <c r="D804" s="3" t="e">
        <f ca="1">[1]!BexGetData("DP_1","003N8EMH8GTFRCSWKMPXRRESE","GSON1112060703")</f>
        <v>#NAME?</v>
      </c>
      <c r="E804" s="8" t="e">
        <f ca="1">[1]!BexGetData("DP_1","003N8EMH8GTFRCSWKMPXRRL3Y","GSON1112060703")</f>
        <v>#NAME?</v>
      </c>
      <c r="F804" s="4" t="e">
        <f ca="1">[1]!BexGetData("DP_1","003N8EMH8GTFRCSWKMPXRRRFI","GSON1112060703")</f>
        <v>#NAME?</v>
      </c>
      <c r="G804" s="4" t="e">
        <f ca="1">[1]!BexGetData("DP_1","003N8EMH8GTFRCSWKMPXRRXR2","GSON1112060703")</f>
        <v>#NAME?</v>
      </c>
      <c r="H804" s="4" t="e">
        <f ca="1">[1]!BexGetData("DP_1","003N8EMH8GTFRCSWKMPXRS42M","GSON1112060703")</f>
        <v>#NAME?</v>
      </c>
      <c r="I804" s="4" t="e">
        <f ca="1">[1]!BexGetData("DP_1","003N8EMH8GTFRCSWKMPXRSAE6","GSON1112060703")</f>
        <v>#NAME?</v>
      </c>
      <c r="J804" s="4" t="e">
        <f ca="1">[1]!BexGetData("DP_1","003N8EMH8GTFRCSWKMPXRSGPQ","GSON1112060703")</f>
        <v>#NAME?</v>
      </c>
      <c r="K804" s="8" t="e">
        <f ca="1">[1]!BexGetData("DP_1","003N8EMH8GTFRIVNUPY288VJH","GSON1112060703")</f>
        <v>#NAME?</v>
      </c>
      <c r="L804" s="8" t="e">
        <f ca="1">[1]!BexGetData("DP_1","003N8EMH8GTFRIVNUPY2891V1","GSON1112060703")</f>
        <v>#NAME?</v>
      </c>
      <c r="M804" s="8" t="e">
        <f ca="1">[1]!BexGetData("DP_1","003N8EMH8GTFRIVOG7KG9IQXA","GSON1112060703")</f>
        <v>#NAME?</v>
      </c>
      <c r="N804" s="8" t="e">
        <f ca="1">[1]!BexGetData("DP_1","003N8EMH8GTFRIVOG7KG9IX8U","GSON1112060703")</f>
        <v>#NAME?</v>
      </c>
      <c r="O804" s="8" t="e">
        <f ca="1">[1]!BexGetData("DP_1","003N8EMH8GTFRIVOG7KG9J3KE","GSON1112060703")</f>
        <v>#NAME?</v>
      </c>
      <c r="P804" s="8" t="e">
        <f ca="1">[1]!BexGetData("DP_1","003N8EMH8GTFRIVOG7KG9J9VY","GSON1112060703")</f>
        <v>#NAME?</v>
      </c>
      <c r="Q804" s="4" t="e">
        <f ca="1">[1]!BexGetData("DP_1","00O2TNJGODT0G5Z4TTKYMM5MT","GSON1112060703")</f>
        <v>#NAME?</v>
      </c>
      <c r="R804" s="4" t="e">
        <f ca="1">[1]!BexGetData("DP_1","00O2TNJGODT0G5Z4TTKYMMBYD","GSON1112060703")</f>
        <v>#NAME?</v>
      </c>
      <c r="S804" s="4" t="e">
        <f ca="1">[1]!BexGetData("DP_1","00O2TNJGODT0G5Z4TTKYMMI9X","GSON1112060703")</f>
        <v>#NAME?</v>
      </c>
      <c r="T804" s="4" t="e">
        <f ca="1">[1]!BexGetData("DP_1","00O2TNJGODT0G5Z4TTKYMMOLH","GSON1112060703")</f>
        <v>#NAME?</v>
      </c>
      <c r="U804" s="4" t="e">
        <f ca="1">[1]!BexGetData("DP_1","00O2TNJGODT0G5Z4TTKYMMUX1","GSON1112060703")</f>
        <v>#NAME?</v>
      </c>
      <c r="V804" s="4" t="e">
        <f ca="1">[1]!BexGetData("DP_1","00O2TNJGODT0G5Z4TTKYMN18L","GSON1112060703")</f>
        <v>#NAME?</v>
      </c>
      <c r="W804" s="4" t="e">
        <f ca="1">[1]!BexGetData("DP_1","00O2TNJGODT0G5Z4TTKYMN7K5","GSON1112060703")</f>
        <v>#NAME?</v>
      </c>
    </row>
    <row r="805" spans="1:23" x14ac:dyDescent="0.2">
      <c r="A805" s="16" t="s">
        <v>2941</v>
      </c>
      <c r="B805" s="7" t="s">
        <v>2942</v>
      </c>
      <c r="C805" s="3" t="e">
        <f ca="1">[1]!BexGetData("DP_1","003N8EMH8GTFRCSWKMPXRR8GU","GSON1112060704")</f>
        <v>#NAME?</v>
      </c>
      <c r="D805" s="3" t="e">
        <f ca="1">[1]!BexGetData("DP_1","003N8EMH8GTFRCSWKMPXRRESE","GSON1112060704")</f>
        <v>#NAME?</v>
      </c>
      <c r="E805" s="8" t="e">
        <f ca="1">[1]!BexGetData("DP_1","003N8EMH8GTFRCSWKMPXRRL3Y","GSON1112060704")</f>
        <v>#NAME?</v>
      </c>
      <c r="F805" s="4" t="e">
        <f ca="1">[1]!BexGetData("DP_1","003N8EMH8GTFRCSWKMPXRRRFI","GSON1112060704")</f>
        <v>#NAME?</v>
      </c>
      <c r="G805" s="4" t="e">
        <f ca="1">[1]!BexGetData("DP_1","003N8EMH8GTFRCSWKMPXRRXR2","GSON1112060704")</f>
        <v>#NAME?</v>
      </c>
      <c r="H805" s="4" t="e">
        <f ca="1">[1]!BexGetData("DP_1","003N8EMH8GTFRCSWKMPXRS42M","GSON1112060704")</f>
        <v>#NAME?</v>
      </c>
      <c r="I805" s="4" t="e">
        <f ca="1">[1]!BexGetData("DP_1","003N8EMH8GTFRCSWKMPXRSAE6","GSON1112060704")</f>
        <v>#NAME?</v>
      </c>
      <c r="J805" s="4" t="e">
        <f ca="1">[1]!BexGetData("DP_1","003N8EMH8GTFRCSWKMPXRSGPQ","GSON1112060704")</f>
        <v>#NAME?</v>
      </c>
      <c r="K805" s="8" t="e">
        <f ca="1">[1]!BexGetData("DP_1","003N8EMH8GTFRIVNUPY288VJH","GSON1112060704")</f>
        <v>#NAME?</v>
      </c>
      <c r="L805" s="8" t="e">
        <f ca="1">[1]!BexGetData("DP_1","003N8EMH8GTFRIVNUPY2891V1","GSON1112060704")</f>
        <v>#NAME?</v>
      </c>
      <c r="M805" s="8" t="e">
        <f ca="1">[1]!BexGetData("DP_1","003N8EMH8GTFRIVOG7KG9IQXA","GSON1112060704")</f>
        <v>#NAME?</v>
      </c>
      <c r="N805" s="8" t="e">
        <f ca="1">[1]!BexGetData("DP_1","003N8EMH8GTFRIVOG7KG9IX8U","GSON1112060704")</f>
        <v>#NAME?</v>
      </c>
      <c r="O805" s="8" t="e">
        <f ca="1">[1]!BexGetData("DP_1","003N8EMH8GTFRIVOG7KG9J3KE","GSON1112060704")</f>
        <v>#NAME?</v>
      </c>
      <c r="P805" s="8" t="e">
        <f ca="1">[1]!BexGetData("DP_1","003N8EMH8GTFRIVOG7KG9J9VY","GSON1112060704")</f>
        <v>#NAME?</v>
      </c>
      <c r="Q805" s="4" t="e">
        <f ca="1">[1]!BexGetData("DP_1","00O2TNJGODT0G5Z4TTKYMM5MT","GSON1112060704")</f>
        <v>#NAME?</v>
      </c>
      <c r="R805" s="4" t="e">
        <f ca="1">[1]!BexGetData("DP_1","00O2TNJGODT0G5Z4TTKYMMBYD","GSON1112060704")</f>
        <v>#NAME?</v>
      </c>
      <c r="S805" s="4" t="e">
        <f ca="1">[1]!BexGetData("DP_1","00O2TNJGODT0G5Z4TTKYMMI9X","GSON1112060704")</f>
        <v>#NAME?</v>
      </c>
      <c r="T805" s="4" t="e">
        <f ca="1">[1]!BexGetData("DP_1","00O2TNJGODT0G5Z4TTKYMMOLH","GSON1112060704")</f>
        <v>#NAME?</v>
      </c>
      <c r="U805" s="4" t="e">
        <f ca="1">[1]!BexGetData("DP_1","00O2TNJGODT0G5Z4TTKYMMUX1","GSON1112060704")</f>
        <v>#NAME?</v>
      </c>
      <c r="V805" s="4" t="e">
        <f ca="1">[1]!BexGetData("DP_1","00O2TNJGODT0G5Z4TTKYMN18L","GSON1112060704")</f>
        <v>#NAME?</v>
      </c>
      <c r="W805" s="4" t="e">
        <f ca="1">[1]!BexGetData("DP_1","00O2TNJGODT0G5Z4TTKYMN7K5","GSON1112060704")</f>
        <v>#NAME?</v>
      </c>
    </row>
    <row r="806" spans="1:23" x14ac:dyDescent="0.2">
      <c r="A806" s="16" t="s">
        <v>2943</v>
      </c>
      <c r="B806" s="7" t="s">
        <v>2944</v>
      </c>
      <c r="C806" s="3" t="e">
        <f ca="1">[1]!BexGetData("DP_1","003N8EMH8GTFRCSWKMPXRR8GU","GSON1112060705")</f>
        <v>#NAME?</v>
      </c>
      <c r="D806" s="3" t="e">
        <f ca="1">[1]!BexGetData("DP_1","003N8EMH8GTFRCSWKMPXRRESE","GSON1112060705")</f>
        <v>#NAME?</v>
      </c>
      <c r="E806" s="3" t="e">
        <f ca="1">[1]!BexGetData("DP_1","003N8EMH8GTFRCSWKMPXRRL3Y","GSON1112060705")</f>
        <v>#NAME?</v>
      </c>
      <c r="F806" s="4" t="e">
        <f ca="1">[1]!BexGetData("DP_1","003N8EMH8GTFRCSWKMPXRRRFI","GSON1112060705")</f>
        <v>#NAME?</v>
      </c>
      <c r="G806" s="4" t="e">
        <f ca="1">[1]!BexGetData("DP_1","003N8EMH8GTFRCSWKMPXRRXR2","GSON1112060705")</f>
        <v>#NAME?</v>
      </c>
      <c r="H806" s="4" t="e">
        <f ca="1">[1]!BexGetData("DP_1","003N8EMH8GTFRCSWKMPXRS42M","GSON1112060705")</f>
        <v>#NAME?</v>
      </c>
      <c r="I806" s="4" t="e">
        <f ca="1">[1]!BexGetData("DP_1","003N8EMH8GTFRCSWKMPXRSAE6","GSON1112060705")</f>
        <v>#NAME?</v>
      </c>
      <c r="J806" s="4" t="e">
        <f ca="1">[1]!BexGetData("DP_1","003N8EMH8GTFRCSWKMPXRSGPQ","GSON1112060705")</f>
        <v>#NAME?</v>
      </c>
      <c r="K806" s="3" t="e">
        <f ca="1">[1]!BexGetData("DP_1","003N8EMH8GTFRIVNUPY288VJH","GSON1112060705")</f>
        <v>#NAME?</v>
      </c>
      <c r="L806" s="3" t="e">
        <f ca="1">[1]!BexGetData("DP_1","003N8EMH8GTFRIVNUPY2891V1","GSON1112060705")</f>
        <v>#NAME?</v>
      </c>
      <c r="M806" s="3" t="e">
        <f ca="1">[1]!BexGetData("DP_1","003N8EMH8GTFRIVOG7KG9IQXA","GSON1112060705")</f>
        <v>#NAME?</v>
      </c>
      <c r="N806" s="8" t="e">
        <f ca="1">[1]!BexGetData("DP_1","003N8EMH8GTFRIVOG7KG9IX8U","GSON1112060705")</f>
        <v>#NAME?</v>
      </c>
      <c r="O806" s="3" t="e">
        <f ca="1">[1]!BexGetData("DP_1","003N8EMH8GTFRIVOG7KG9J3KE","GSON1112060705")</f>
        <v>#NAME?</v>
      </c>
      <c r="P806" s="8" t="e">
        <f ca="1">[1]!BexGetData("DP_1","003N8EMH8GTFRIVOG7KG9J9VY","GSON1112060705")</f>
        <v>#NAME?</v>
      </c>
      <c r="Q806" s="4" t="e">
        <f ca="1">[1]!BexGetData("DP_1","00O2TNJGODT0G5Z4TTKYMM5MT","GSON1112060705")</f>
        <v>#NAME?</v>
      </c>
      <c r="R806" s="4" t="e">
        <f ca="1">[1]!BexGetData("DP_1","00O2TNJGODT0G5Z4TTKYMMBYD","GSON1112060705")</f>
        <v>#NAME?</v>
      </c>
      <c r="S806" s="4" t="e">
        <f ca="1">[1]!BexGetData("DP_1","00O2TNJGODT0G5Z4TTKYMMI9X","GSON1112060705")</f>
        <v>#NAME?</v>
      </c>
      <c r="T806" s="4" t="e">
        <f ca="1">[1]!BexGetData("DP_1","00O2TNJGODT0G5Z4TTKYMMOLH","GSON1112060705")</f>
        <v>#NAME?</v>
      </c>
      <c r="U806" s="4" t="e">
        <f ca="1">[1]!BexGetData("DP_1","00O2TNJGODT0G5Z4TTKYMMUX1","GSON1112060705")</f>
        <v>#NAME?</v>
      </c>
      <c r="V806" s="4" t="e">
        <f ca="1">[1]!BexGetData("DP_1","00O2TNJGODT0G5Z4TTKYMN18L","GSON1112060705")</f>
        <v>#NAME?</v>
      </c>
      <c r="W806" s="4" t="e">
        <f ca="1">[1]!BexGetData("DP_1","00O2TNJGODT0G5Z4TTKYMN7K5","GSON1112060705")</f>
        <v>#NAME?</v>
      </c>
    </row>
    <row r="807" spans="1:23" x14ac:dyDescent="0.2">
      <c r="A807" s="16" t="s">
        <v>2945</v>
      </c>
      <c r="B807" s="7" t="s">
        <v>2946</v>
      </c>
      <c r="C807" s="3" t="e">
        <f ca="1">[1]!BexGetData("DP_1","003N8EMH8GTFRCSWKMPXRR8GU","GSON1112060710")</f>
        <v>#NAME?</v>
      </c>
      <c r="D807" s="3" t="e">
        <f ca="1">[1]!BexGetData("DP_1","003N8EMH8GTFRCSWKMPXRRESE","GSON1112060710")</f>
        <v>#NAME?</v>
      </c>
      <c r="E807" s="3" t="e">
        <f ca="1">[1]!BexGetData("DP_1","003N8EMH8GTFRCSWKMPXRRL3Y","GSON1112060710")</f>
        <v>#NAME?</v>
      </c>
      <c r="F807" s="3" t="e">
        <f ca="1">[1]!BexGetData("DP_1","003N8EMH8GTFRCSWKMPXRRRFI","GSON1112060710")</f>
        <v>#NAME?</v>
      </c>
      <c r="G807" s="3" t="e">
        <f ca="1">[1]!BexGetData("DP_1","003N8EMH8GTFRCSWKMPXRRXR2","GSON1112060710")</f>
        <v>#NAME?</v>
      </c>
      <c r="H807" s="8" t="e">
        <f ca="1">[1]!BexGetData("DP_1","003N8EMH8GTFRCSWKMPXRS42M","GSON1112060710")</f>
        <v>#NAME?</v>
      </c>
      <c r="I807" s="3" t="e">
        <f ca="1">[1]!BexGetData("DP_1","003N8EMH8GTFRCSWKMPXRSAE6","GSON1112060710")</f>
        <v>#NAME?</v>
      </c>
      <c r="J807" s="4" t="e">
        <f ca="1">[1]!BexGetData("DP_1","003N8EMH8GTFRCSWKMPXRSGPQ","GSON1112060710")</f>
        <v>#NAME?</v>
      </c>
      <c r="K807" s="3" t="e">
        <f ca="1">[1]!BexGetData("DP_1","003N8EMH8GTFRIVNUPY288VJH","GSON1112060710")</f>
        <v>#NAME?</v>
      </c>
      <c r="L807" s="3" t="e">
        <f ca="1">[1]!BexGetData("DP_1","003N8EMH8GTFRIVNUPY2891V1","GSON1112060710")</f>
        <v>#NAME?</v>
      </c>
      <c r="M807" s="8" t="e">
        <f ca="1">[1]!BexGetData("DP_1","003N8EMH8GTFRIVOG7KG9IQXA","GSON1112060710")</f>
        <v>#NAME?</v>
      </c>
      <c r="N807" s="3" t="e">
        <f ca="1">[1]!BexGetData("DP_1","003N8EMH8GTFRIVOG7KG9IX8U","GSON1112060710")</f>
        <v>#NAME?</v>
      </c>
      <c r="O807" s="8" t="e">
        <f ca="1">[1]!BexGetData("DP_1","003N8EMH8GTFRIVOG7KG9J3KE","GSON1112060710")</f>
        <v>#NAME?</v>
      </c>
      <c r="P807" s="3" t="e">
        <f ca="1">[1]!BexGetData("DP_1","003N8EMH8GTFRIVOG7KG9J9VY","GSON1112060710")</f>
        <v>#NAME?</v>
      </c>
      <c r="Q807" s="4" t="e">
        <f ca="1">[1]!BexGetData("DP_1","00O2TNJGODT0G5Z4TTKYMM5MT","GSON1112060710")</f>
        <v>#NAME?</v>
      </c>
      <c r="R807" s="3" t="e">
        <f ca="1">[1]!BexGetData("DP_1","00O2TNJGODT0G5Z4TTKYMMBYD","GSON1112060710")</f>
        <v>#NAME?</v>
      </c>
      <c r="S807" s="3" t="e">
        <f ca="1">[1]!BexGetData("DP_1","00O2TNJGODT0G5Z4TTKYMMI9X","GSON1112060710")</f>
        <v>#NAME?</v>
      </c>
      <c r="T807" s="8" t="e">
        <f ca="1">[1]!BexGetData("DP_1","00O2TNJGODT0G5Z4TTKYMMOLH","GSON1112060710")</f>
        <v>#NAME?</v>
      </c>
      <c r="U807" s="3" t="e">
        <f ca="1">[1]!BexGetData("DP_1","00O2TNJGODT0G5Z4TTKYMMUX1","GSON1112060710")</f>
        <v>#NAME?</v>
      </c>
      <c r="V807" s="8" t="e">
        <f ca="1">[1]!BexGetData("DP_1","00O2TNJGODT0G5Z4TTKYMN18L","GSON1112060710")</f>
        <v>#NAME?</v>
      </c>
      <c r="W807" s="3" t="e">
        <f ca="1">[1]!BexGetData("DP_1","00O2TNJGODT0G5Z4TTKYMN7K5","GSON1112060710")</f>
        <v>#NAME?</v>
      </c>
    </row>
    <row r="808" spans="1:23" x14ac:dyDescent="0.2">
      <c r="A808" s="16" t="s">
        <v>2947</v>
      </c>
      <c r="B808" s="7" t="s">
        <v>2948</v>
      </c>
      <c r="C808" s="3" t="e">
        <f ca="1">[1]!BexGetData("DP_1","003N8EMH8GTFRCSWKMPXRR8GU","GSON1112060711")</f>
        <v>#NAME?</v>
      </c>
      <c r="D808" s="3" t="e">
        <f ca="1">[1]!BexGetData("DP_1","003N8EMH8GTFRCSWKMPXRRESE","GSON1112060711")</f>
        <v>#NAME?</v>
      </c>
      <c r="E808" s="8" t="e">
        <f ca="1">[1]!BexGetData("DP_1","003N8EMH8GTFRCSWKMPXRRL3Y","GSON1112060711")</f>
        <v>#NAME?</v>
      </c>
      <c r="F808" s="4" t="e">
        <f ca="1">[1]!BexGetData("DP_1","003N8EMH8GTFRCSWKMPXRRRFI","GSON1112060711")</f>
        <v>#NAME?</v>
      </c>
      <c r="G808" s="4" t="e">
        <f ca="1">[1]!BexGetData("DP_1","003N8EMH8GTFRCSWKMPXRRXR2","GSON1112060711")</f>
        <v>#NAME?</v>
      </c>
      <c r="H808" s="4" t="e">
        <f ca="1">[1]!BexGetData("DP_1","003N8EMH8GTFRCSWKMPXRS42M","GSON1112060711")</f>
        <v>#NAME?</v>
      </c>
      <c r="I808" s="4" t="e">
        <f ca="1">[1]!BexGetData("DP_1","003N8EMH8GTFRCSWKMPXRSAE6","GSON1112060711")</f>
        <v>#NAME?</v>
      </c>
      <c r="J808" s="4" t="e">
        <f ca="1">[1]!BexGetData("DP_1","003N8EMH8GTFRCSWKMPXRSGPQ","GSON1112060711")</f>
        <v>#NAME?</v>
      </c>
      <c r="K808" s="8" t="e">
        <f ca="1">[1]!BexGetData("DP_1","003N8EMH8GTFRIVNUPY288VJH","GSON1112060711")</f>
        <v>#NAME?</v>
      </c>
      <c r="L808" s="8" t="e">
        <f ca="1">[1]!BexGetData("DP_1","003N8EMH8GTFRIVNUPY2891V1","GSON1112060711")</f>
        <v>#NAME?</v>
      </c>
      <c r="M808" s="8" t="e">
        <f ca="1">[1]!BexGetData("DP_1","003N8EMH8GTFRIVOG7KG9IQXA","GSON1112060711")</f>
        <v>#NAME?</v>
      </c>
      <c r="N808" s="8" t="e">
        <f ca="1">[1]!BexGetData("DP_1","003N8EMH8GTFRIVOG7KG9IX8U","GSON1112060711")</f>
        <v>#NAME?</v>
      </c>
      <c r="O808" s="8" t="e">
        <f ca="1">[1]!BexGetData("DP_1","003N8EMH8GTFRIVOG7KG9J3KE","GSON1112060711")</f>
        <v>#NAME?</v>
      </c>
      <c r="P808" s="8" t="e">
        <f ca="1">[1]!BexGetData("DP_1","003N8EMH8GTFRIVOG7KG9J9VY","GSON1112060711")</f>
        <v>#NAME?</v>
      </c>
      <c r="Q808" s="4" t="e">
        <f ca="1">[1]!BexGetData("DP_1","00O2TNJGODT0G5Z4TTKYMM5MT","GSON1112060711")</f>
        <v>#NAME?</v>
      </c>
      <c r="R808" s="4" t="e">
        <f ca="1">[1]!BexGetData("DP_1","00O2TNJGODT0G5Z4TTKYMMBYD","GSON1112060711")</f>
        <v>#NAME?</v>
      </c>
      <c r="S808" s="4" t="e">
        <f ca="1">[1]!BexGetData("DP_1","00O2TNJGODT0G5Z4TTKYMMI9X","GSON1112060711")</f>
        <v>#NAME?</v>
      </c>
      <c r="T808" s="4" t="e">
        <f ca="1">[1]!BexGetData("DP_1","00O2TNJGODT0G5Z4TTKYMMOLH","GSON1112060711")</f>
        <v>#NAME?</v>
      </c>
      <c r="U808" s="4" t="e">
        <f ca="1">[1]!BexGetData("DP_1","00O2TNJGODT0G5Z4TTKYMMUX1","GSON1112060711")</f>
        <v>#NAME?</v>
      </c>
      <c r="V808" s="4" t="e">
        <f ca="1">[1]!BexGetData("DP_1","00O2TNJGODT0G5Z4TTKYMN18L","GSON1112060711")</f>
        <v>#NAME?</v>
      </c>
      <c r="W808" s="4" t="e">
        <f ca="1">[1]!BexGetData("DP_1","00O2TNJGODT0G5Z4TTKYMN7K5","GSON1112060711")</f>
        <v>#NAME?</v>
      </c>
    </row>
    <row r="809" spans="1:23" x14ac:dyDescent="0.2">
      <c r="A809" s="16" t="s">
        <v>2949</v>
      </c>
      <c r="B809" s="7" t="s">
        <v>2950</v>
      </c>
      <c r="C809" s="3" t="e">
        <f ca="1">[1]!BexGetData("DP_1","003N8EMH8GTFRCSWKMPXRR8GU","GSON1112060713")</f>
        <v>#NAME?</v>
      </c>
      <c r="D809" s="3" t="e">
        <f ca="1">[1]!BexGetData("DP_1","003N8EMH8GTFRCSWKMPXRRESE","GSON1112060713")</f>
        <v>#NAME?</v>
      </c>
      <c r="E809" s="8" t="e">
        <f ca="1">[1]!BexGetData("DP_1","003N8EMH8GTFRCSWKMPXRRL3Y","GSON1112060713")</f>
        <v>#NAME?</v>
      </c>
      <c r="F809" s="4" t="e">
        <f ca="1">[1]!BexGetData("DP_1","003N8EMH8GTFRCSWKMPXRRRFI","GSON1112060713")</f>
        <v>#NAME?</v>
      </c>
      <c r="G809" s="4" t="e">
        <f ca="1">[1]!BexGetData("DP_1","003N8EMH8GTFRCSWKMPXRRXR2","GSON1112060713")</f>
        <v>#NAME?</v>
      </c>
      <c r="H809" s="4" t="e">
        <f ca="1">[1]!BexGetData("DP_1","003N8EMH8GTFRCSWKMPXRS42M","GSON1112060713")</f>
        <v>#NAME?</v>
      </c>
      <c r="I809" s="4" t="e">
        <f ca="1">[1]!BexGetData("DP_1","003N8EMH8GTFRCSWKMPXRSAE6","GSON1112060713")</f>
        <v>#NAME?</v>
      </c>
      <c r="J809" s="4" t="e">
        <f ca="1">[1]!BexGetData("DP_1","003N8EMH8GTFRCSWKMPXRSGPQ","GSON1112060713")</f>
        <v>#NAME?</v>
      </c>
      <c r="K809" s="8" t="e">
        <f ca="1">[1]!BexGetData("DP_1","003N8EMH8GTFRIVNUPY288VJH","GSON1112060713")</f>
        <v>#NAME?</v>
      </c>
      <c r="L809" s="8" t="e">
        <f ca="1">[1]!BexGetData("DP_1","003N8EMH8GTFRIVNUPY2891V1","GSON1112060713")</f>
        <v>#NAME?</v>
      </c>
      <c r="M809" s="8" t="e">
        <f ca="1">[1]!BexGetData("DP_1","003N8EMH8GTFRIVOG7KG9IQXA","GSON1112060713")</f>
        <v>#NAME?</v>
      </c>
      <c r="N809" s="8" t="e">
        <f ca="1">[1]!BexGetData("DP_1","003N8EMH8GTFRIVOG7KG9IX8U","GSON1112060713")</f>
        <v>#NAME?</v>
      </c>
      <c r="O809" s="8" t="e">
        <f ca="1">[1]!BexGetData("DP_1","003N8EMH8GTFRIVOG7KG9J3KE","GSON1112060713")</f>
        <v>#NAME?</v>
      </c>
      <c r="P809" s="8" t="e">
        <f ca="1">[1]!BexGetData("DP_1","003N8EMH8GTFRIVOG7KG9J9VY","GSON1112060713")</f>
        <v>#NAME?</v>
      </c>
      <c r="Q809" s="4" t="e">
        <f ca="1">[1]!BexGetData("DP_1","00O2TNJGODT0G5Z4TTKYMM5MT","GSON1112060713")</f>
        <v>#NAME?</v>
      </c>
      <c r="R809" s="4" t="e">
        <f ca="1">[1]!BexGetData("DP_1","00O2TNJGODT0G5Z4TTKYMMBYD","GSON1112060713")</f>
        <v>#NAME?</v>
      </c>
      <c r="S809" s="4" t="e">
        <f ca="1">[1]!BexGetData("DP_1","00O2TNJGODT0G5Z4TTKYMMI9X","GSON1112060713")</f>
        <v>#NAME?</v>
      </c>
      <c r="T809" s="4" t="e">
        <f ca="1">[1]!BexGetData("DP_1","00O2TNJGODT0G5Z4TTKYMMOLH","GSON1112060713")</f>
        <v>#NAME?</v>
      </c>
      <c r="U809" s="4" t="e">
        <f ca="1">[1]!BexGetData("DP_1","00O2TNJGODT0G5Z4TTKYMMUX1","GSON1112060713")</f>
        <v>#NAME?</v>
      </c>
      <c r="V809" s="4" t="e">
        <f ca="1">[1]!BexGetData("DP_1","00O2TNJGODT0G5Z4TTKYMN18L","GSON1112060713")</f>
        <v>#NAME?</v>
      </c>
      <c r="W809" s="4" t="e">
        <f ca="1">[1]!BexGetData("DP_1","00O2TNJGODT0G5Z4TTKYMN7K5","GSON1112060713")</f>
        <v>#NAME?</v>
      </c>
    </row>
    <row r="810" spans="1:23" x14ac:dyDescent="0.2">
      <c r="A810" s="16" t="s">
        <v>2951</v>
      </c>
      <c r="B810" s="7" t="s">
        <v>2952</v>
      </c>
      <c r="C810" s="3" t="e">
        <f ca="1">[1]!BexGetData("DP_1","003N8EMH8GTFRCSWKMPXRR8GU","GSON1112060714")</f>
        <v>#NAME?</v>
      </c>
      <c r="D810" s="3" t="e">
        <f ca="1">[1]!BexGetData("DP_1","003N8EMH8GTFRCSWKMPXRRESE","GSON1112060714")</f>
        <v>#NAME?</v>
      </c>
      <c r="E810" s="8" t="e">
        <f ca="1">[1]!BexGetData("DP_1","003N8EMH8GTFRCSWKMPXRRL3Y","GSON1112060714")</f>
        <v>#NAME?</v>
      </c>
      <c r="F810" s="4" t="e">
        <f ca="1">[1]!BexGetData("DP_1","003N8EMH8GTFRCSWKMPXRRRFI","GSON1112060714")</f>
        <v>#NAME?</v>
      </c>
      <c r="G810" s="4" t="e">
        <f ca="1">[1]!BexGetData("DP_1","003N8EMH8GTFRCSWKMPXRRXR2","GSON1112060714")</f>
        <v>#NAME?</v>
      </c>
      <c r="H810" s="4" t="e">
        <f ca="1">[1]!BexGetData("DP_1","003N8EMH8GTFRCSWKMPXRS42M","GSON1112060714")</f>
        <v>#NAME?</v>
      </c>
      <c r="I810" s="4" t="e">
        <f ca="1">[1]!BexGetData("DP_1","003N8EMH8GTFRCSWKMPXRSAE6","GSON1112060714")</f>
        <v>#NAME?</v>
      </c>
      <c r="J810" s="4" t="e">
        <f ca="1">[1]!BexGetData("DP_1","003N8EMH8GTFRCSWKMPXRSGPQ","GSON1112060714")</f>
        <v>#NAME?</v>
      </c>
      <c r="K810" s="8" t="e">
        <f ca="1">[1]!BexGetData("DP_1","003N8EMH8GTFRIVNUPY288VJH","GSON1112060714")</f>
        <v>#NAME?</v>
      </c>
      <c r="L810" s="8" t="e">
        <f ca="1">[1]!BexGetData("DP_1","003N8EMH8GTFRIVNUPY2891V1","GSON1112060714")</f>
        <v>#NAME?</v>
      </c>
      <c r="M810" s="8" t="e">
        <f ca="1">[1]!BexGetData("DP_1","003N8EMH8GTFRIVOG7KG9IQXA","GSON1112060714")</f>
        <v>#NAME?</v>
      </c>
      <c r="N810" s="8" t="e">
        <f ca="1">[1]!BexGetData("DP_1","003N8EMH8GTFRIVOG7KG9IX8U","GSON1112060714")</f>
        <v>#NAME?</v>
      </c>
      <c r="O810" s="8" t="e">
        <f ca="1">[1]!BexGetData("DP_1","003N8EMH8GTFRIVOG7KG9J3KE","GSON1112060714")</f>
        <v>#NAME?</v>
      </c>
      <c r="P810" s="8" t="e">
        <f ca="1">[1]!BexGetData("DP_1","003N8EMH8GTFRIVOG7KG9J9VY","GSON1112060714")</f>
        <v>#NAME?</v>
      </c>
      <c r="Q810" s="4" t="e">
        <f ca="1">[1]!BexGetData("DP_1","00O2TNJGODT0G5Z4TTKYMM5MT","GSON1112060714")</f>
        <v>#NAME?</v>
      </c>
      <c r="R810" s="4" t="e">
        <f ca="1">[1]!BexGetData("DP_1","00O2TNJGODT0G5Z4TTKYMMBYD","GSON1112060714")</f>
        <v>#NAME?</v>
      </c>
      <c r="S810" s="4" t="e">
        <f ca="1">[1]!BexGetData("DP_1","00O2TNJGODT0G5Z4TTKYMMI9X","GSON1112060714")</f>
        <v>#NAME?</v>
      </c>
      <c r="T810" s="4" t="e">
        <f ca="1">[1]!BexGetData("DP_1","00O2TNJGODT0G5Z4TTKYMMOLH","GSON1112060714")</f>
        <v>#NAME?</v>
      </c>
      <c r="U810" s="4" t="e">
        <f ca="1">[1]!BexGetData("DP_1","00O2TNJGODT0G5Z4TTKYMMUX1","GSON1112060714")</f>
        <v>#NAME?</v>
      </c>
      <c r="V810" s="4" t="e">
        <f ca="1">[1]!BexGetData("DP_1","00O2TNJGODT0G5Z4TTKYMN18L","GSON1112060714")</f>
        <v>#NAME?</v>
      </c>
      <c r="W810" s="4" t="e">
        <f ca="1">[1]!BexGetData("DP_1","00O2TNJGODT0G5Z4TTKYMN7K5","GSON1112060714")</f>
        <v>#NAME?</v>
      </c>
    </row>
    <row r="811" spans="1:23" x14ac:dyDescent="0.2">
      <c r="A811" s="16" t="s">
        <v>1645</v>
      </c>
      <c r="B811" s="7" t="s">
        <v>1646</v>
      </c>
      <c r="C811" s="3" t="e">
        <f ca="1">[1]!BexGetData("DP_1","003N8EMH8GTFRCSWKMPXRR8GU","GSON1112060720")</f>
        <v>#NAME?</v>
      </c>
      <c r="D811" s="3" t="e">
        <f ca="1">[1]!BexGetData("DP_1","003N8EMH8GTFRCSWKMPXRRESE","GSON1112060720")</f>
        <v>#NAME?</v>
      </c>
      <c r="E811" s="3" t="e">
        <f ca="1">[1]!BexGetData("DP_1","003N8EMH8GTFRCSWKMPXRRL3Y","GSON1112060720")</f>
        <v>#NAME?</v>
      </c>
      <c r="F811" s="3" t="e">
        <f ca="1">[1]!BexGetData("DP_1","003N8EMH8GTFRCSWKMPXRRRFI","GSON1112060720")</f>
        <v>#NAME?</v>
      </c>
      <c r="G811" s="3" t="e">
        <f ca="1">[1]!BexGetData("DP_1","003N8EMH8GTFRCSWKMPXRRXR2","GSON1112060720")</f>
        <v>#NAME?</v>
      </c>
      <c r="H811" s="8" t="e">
        <f ca="1">[1]!BexGetData("DP_1","003N8EMH8GTFRCSWKMPXRS42M","GSON1112060720")</f>
        <v>#NAME?</v>
      </c>
      <c r="I811" s="3" t="e">
        <f ca="1">[1]!BexGetData("DP_1","003N8EMH8GTFRCSWKMPXRSAE6","GSON1112060720")</f>
        <v>#NAME?</v>
      </c>
      <c r="J811" s="4" t="e">
        <f ca="1">[1]!BexGetData("DP_1","003N8EMH8GTFRCSWKMPXRSGPQ","GSON1112060720")</f>
        <v>#NAME?</v>
      </c>
      <c r="K811" s="3" t="e">
        <f ca="1">[1]!BexGetData("DP_1","003N8EMH8GTFRIVNUPY288VJH","GSON1112060720")</f>
        <v>#NAME?</v>
      </c>
      <c r="L811" s="3" t="e">
        <f ca="1">[1]!BexGetData("DP_1","003N8EMH8GTFRIVNUPY2891V1","GSON1112060720")</f>
        <v>#NAME?</v>
      </c>
      <c r="M811" s="8" t="e">
        <f ca="1">[1]!BexGetData("DP_1","003N8EMH8GTFRIVOG7KG9IQXA","GSON1112060720")</f>
        <v>#NAME?</v>
      </c>
      <c r="N811" s="3" t="e">
        <f ca="1">[1]!BexGetData("DP_1","003N8EMH8GTFRIVOG7KG9IX8U","GSON1112060720")</f>
        <v>#NAME?</v>
      </c>
      <c r="O811" s="8" t="e">
        <f ca="1">[1]!BexGetData("DP_1","003N8EMH8GTFRIVOG7KG9J3KE","GSON1112060720")</f>
        <v>#NAME?</v>
      </c>
      <c r="P811" s="3" t="e">
        <f ca="1">[1]!BexGetData("DP_1","003N8EMH8GTFRIVOG7KG9J9VY","GSON1112060720")</f>
        <v>#NAME?</v>
      </c>
      <c r="Q811" s="4" t="e">
        <f ca="1">[1]!BexGetData("DP_1","00O2TNJGODT0G5Z4TTKYMM5MT","GSON1112060720")</f>
        <v>#NAME?</v>
      </c>
      <c r="R811" s="3" t="e">
        <f ca="1">[1]!BexGetData("DP_1","00O2TNJGODT0G5Z4TTKYMMBYD","GSON1112060720")</f>
        <v>#NAME?</v>
      </c>
      <c r="S811" s="3" t="e">
        <f ca="1">[1]!BexGetData("DP_1","00O2TNJGODT0G5Z4TTKYMMI9X","GSON1112060720")</f>
        <v>#NAME?</v>
      </c>
      <c r="T811" s="8" t="e">
        <f ca="1">[1]!BexGetData("DP_1","00O2TNJGODT0G5Z4TTKYMMOLH","GSON1112060720")</f>
        <v>#NAME?</v>
      </c>
      <c r="U811" s="3" t="e">
        <f ca="1">[1]!BexGetData("DP_1","00O2TNJGODT0G5Z4TTKYMMUX1","GSON1112060720")</f>
        <v>#NAME?</v>
      </c>
      <c r="V811" s="8" t="e">
        <f ca="1">[1]!BexGetData("DP_1","00O2TNJGODT0G5Z4TTKYMN18L","GSON1112060720")</f>
        <v>#NAME?</v>
      </c>
      <c r="W811" s="3" t="e">
        <f ca="1">[1]!BexGetData("DP_1","00O2TNJGODT0G5Z4TTKYMN7K5","GSON1112060720")</f>
        <v>#NAME?</v>
      </c>
    </row>
    <row r="812" spans="1:23" x14ac:dyDescent="0.2">
      <c r="A812" s="16" t="s">
        <v>2953</v>
      </c>
      <c r="B812" s="7" t="s">
        <v>2954</v>
      </c>
      <c r="C812" s="3" t="e">
        <f ca="1">[1]!BexGetData("DP_1","003N8EMH8GTFRCSWKMPXRR8GU","GSON1112060721")</f>
        <v>#NAME?</v>
      </c>
      <c r="D812" s="3" t="e">
        <f ca="1">[1]!BexGetData("DP_1","003N8EMH8GTFRCSWKMPXRRESE","GSON1112060721")</f>
        <v>#NAME?</v>
      </c>
      <c r="E812" s="8" t="e">
        <f ca="1">[1]!BexGetData("DP_1","003N8EMH8GTFRCSWKMPXRRL3Y","GSON1112060721")</f>
        <v>#NAME?</v>
      </c>
      <c r="F812" s="4" t="e">
        <f ca="1">[1]!BexGetData("DP_1","003N8EMH8GTFRCSWKMPXRRRFI","GSON1112060721")</f>
        <v>#NAME?</v>
      </c>
      <c r="G812" s="4" t="e">
        <f ca="1">[1]!BexGetData("DP_1","003N8EMH8GTFRCSWKMPXRRXR2","GSON1112060721")</f>
        <v>#NAME?</v>
      </c>
      <c r="H812" s="4" t="e">
        <f ca="1">[1]!BexGetData("DP_1","003N8EMH8GTFRCSWKMPXRS42M","GSON1112060721")</f>
        <v>#NAME?</v>
      </c>
      <c r="I812" s="4" t="e">
        <f ca="1">[1]!BexGetData("DP_1","003N8EMH8GTFRCSWKMPXRSAE6","GSON1112060721")</f>
        <v>#NAME?</v>
      </c>
      <c r="J812" s="4" t="e">
        <f ca="1">[1]!BexGetData("DP_1","003N8EMH8GTFRCSWKMPXRSGPQ","GSON1112060721")</f>
        <v>#NAME?</v>
      </c>
      <c r="K812" s="8" t="e">
        <f ca="1">[1]!BexGetData("DP_1","003N8EMH8GTFRIVNUPY288VJH","GSON1112060721")</f>
        <v>#NAME?</v>
      </c>
      <c r="L812" s="8" t="e">
        <f ca="1">[1]!BexGetData("DP_1","003N8EMH8GTFRIVNUPY2891V1","GSON1112060721")</f>
        <v>#NAME?</v>
      </c>
      <c r="M812" s="8" t="e">
        <f ca="1">[1]!BexGetData("DP_1","003N8EMH8GTFRIVOG7KG9IQXA","GSON1112060721")</f>
        <v>#NAME?</v>
      </c>
      <c r="N812" s="8" t="e">
        <f ca="1">[1]!BexGetData("DP_1","003N8EMH8GTFRIVOG7KG9IX8U","GSON1112060721")</f>
        <v>#NAME?</v>
      </c>
      <c r="O812" s="8" t="e">
        <f ca="1">[1]!BexGetData("DP_1","003N8EMH8GTFRIVOG7KG9J3KE","GSON1112060721")</f>
        <v>#NAME?</v>
      </c>
      <c r="P812" s="8" t="e">
        <f ca="1">[1]!BexGetData("DP_1","003N8EMH8GTFRIVOG7KG9J9VY","GSON1112060721")</f>
        <v>#NAME?</v>
      </c>
      <c r="Q812" s="4" t="e">
        <f ca="1">[1]!BexGetData("DP_1","00O2TNJGODT0G5Z4TTKYMM5MT","GSON1112060721")</f>
        <v>#NAME?</v>
      </c>
      <c r="R812" s="4" t="e">
        <f ca="1">[1]!BexGetData("DP_1","00O2TNJGODT0G5Z4TTKYMMBYD","GSON1112060721")</f>
        <v>#NAME?</v>
      </c>
      <c r="S812" s="4" t="e">
        <f ca="1">[1]!BexGetData("DP_1","00O2TNJGODT0G5Z4TTKYMMI9X","GSON1112060721")</f>
        <v>#NAME?</v>
      </c>
      <c r="T812" s="4" t="e">
        <f ca="1">[1]!BexGetData("DP_1","00O2TNJGODT0G5Z4TTKYMMOLH","GSON1112060721")</f>
        <v>#NAME?</v>
      </c>
      <c r="U812" s="4" t="e">
        <f ca="1">[1]!BexGetData("DP_1","00O2TNJGODT0G5Z4TTKYMMUX1","GSON1112060721")</f>
        <v>#NAME?</v>
      </c>
      <c r="V812" s="4" t="e">
        <f ca="1">[1]!BexGetData("DP_1","00O2TNJGODT0G5Z4TTKYMN18L","GSON1112060721")</f>
        <v>#NAME?</v>
      </c>
      <c r="W812" s="4" t="e">
        <f ca="1">[1]!BexGetData("DP_1","00O2TNJGODT0G5Z4TTKYMN7K5","GSON1112060721")</f>
        <v>#NAME?</v>
      </c>
    </row>
    <row r="813" spans="1:23" x14ac:dyDescent="0.2">
      <c r="A813" s="16" t="s">
        <v>2955</v>
      </c>
      <c r="B813" s="7" t="s">
        <v>2956</v>
      </c>
      <c r="C813" s="3" t="e">
        <f ca="1">[1]!BexGetData("DP_1","003N8EMH8GTFRCSWKMPXRR8GU","GSON1112060722")</f>
        <v>#NAME?</v>
      </c>
      <c r="D813" s="3" t="e">
        <f ca="1">[1]!BexGetData("DP_1","003N8EMH8GTFRCSWKMPXRRESE","GSON1112060722")</f>
        <v>#NAME?</v>
      </c>
      <c r="E813" s="3" t="e">
        <f ca="1">[1]!BexGetData("DP_1","003N8EMH8GTFRCSWKMPXRRL3Y","GSON1112060722")</f>
        <v>#NAME?</v>
      </c>
      <c r="F813" s="4" t="e">
        <f ca="1">[1]!BexGetData("DP_1","003N8EMH8GTFRCSWKMPXRRRFI","GSON1112060722")</f>
        <v>#NAME?</v>
      </c>
      <c r="G813" s="4" t="e">
        <f ca="1">[1]!BexGetData("DP_1","003N8EMH8GTFRCSWKMPXRRXR2","GSON1112060722")</f>
        <v>#NAME?</v>
      </c>
      <c r="H813" s="4" t="e">
        <f ca="1">[1]!BexGetData("DP_1","003N8EMH8GTFRCSWKMPXRS42M","GSON1112060722")</f>
        <v>#NAME?</v>
      </c>
      <c r="I813" s="4" t="e">
        <f ca="1">[1]!BexGetData("DP_1","003N8EMH8GTFRCSWKMPXRSAE6","GSON1112060722")</f>
        <v>#NAME?</v>
      </c>
      <c r="J813" s="4" t="e">
        <f ca="1">[1]!BexGetData("DP_1","003N8EMH8GTFRCSWKMPXRSGPQ","GSON1112060722")</f>
        <v>#NAME?</v>
      </c>
      <c r="K813" s="3" t="e">
        <f ca="1">[1]!BexGetData("DP_1","003N8EMH8GTFRIVNUPY288VJH","GSON1112060722")</f>
        <v>#NAME?</v>
      </c>
      <c r="L813" s="3" t="e">
        <f ca="1">[1]!BexGetData("DP_1","003N8EMH8GTFRIVNUPY2891V1","GSON1112060722")</f>
        <v>#NAME?</v>
      </c>
      <c r="M813" s="8" t="e">
        <f ca="1">[1]!BexGetData("DP_1","003N8EMH8GTFRIVOG7KG9IQXA","GSON1112060722")</f>
        <v>#NAME?</v>
      </c>
      <c r="N813" s="3" t="e">
        <f ca="1">[1]!BexGetData("DP_1","003N8EMH8GTFRIVOG7KG9IX8U","GSON1112060722")</f>
        <v>#NAME?</v>
      </c>
      <c r="O813" s="8" t="e">
        <f ca="1">[1]!BexGetData("DP_1","003N8EMH8GTFRIVOG7KG9J3KE","GSON1112060722")</f>
        <v>#NAME?</v>
      </c>
      <c r="P813" s="3" t="e">
        <f ca="1">[1]!BexGetData("DP_1","003N8EMH8GTFRIVOG7KG9J9VY","GSON1112060722")</f>
        <v>#NAME?</v>
      </c>
      <c r="Q813" s="4" t="e">
        <f ca="1">[1]!BexGetData("DP_1","00O2TNJGODT0G5Z4TTKYMM5MT","GSON1112060722")</f>
        <v>#NAME?</v>
      </c>
      <c r="R813" s="4" t="e">
        <f ca="1">[1]!BexGetData("DP_1","00O2TNJGODT0G5Z4TTKYMMBYD","GSON1112060722")</f>
        <v>#NAME?</v>
      </c>
      <c r="S813" s="4" t="e">
        <f ca="1">[1]!BexGetData("DP_1","00O2TNJGODT0G5Z4TTKYMMI9X","GSON1112060722")</f>
        <v>#NAME?</v>
      </c>
      <c r="T813" s="4" t="e">
        <f ca="1">[1]!BexGetData("DP_1","00O2TNJGODT0G5Z4TTKYMMOLH","GSON1112060722")</f>
        <v>#NAME?</v>
      </c>
      <c r="U813" s="4" t="e">
        <f ca="1">[1]!BexGetData("DP_1","00O2TNJGODT0G5Z4TTKYMMUX1","GSON1112060722")</f>
        <v>#NAME?</v>
      </c>
      <c r="V813" s="4" t="e">
        <f ca="1">[1]!BexGetData("DP_1","00O2TNJGODT0G5Z4TTKYMN18L","GSON1112060722")</f>
        <v>#NAME?</v>
      </c>
      <c r="W813" s="4" t="e">
        <f ca="1">[1]!BexGetData("DP_1","00O2TNJGODT0G5Z4TTKYMN7K5","GSON1112060722")</f>
        <v>#NAME?</v>
      </c>
    </row>
    <row r="814" spans="1:23" x14ac:dyDescent="0.2">
      <c r="A814" s="16" t="s">
        <v>2957</v>
      </c>
      <c r="B814" s="7" t="s">
        <v>2958</v>
      </c>
      <c r="C814" s="3" t="e">
        <f ca="1">[1]!BexGetData("DP_1","003N8EMH8GTFRCSWKMPXRR8GU","GSON1112060724")</f>
        <v>#NAME?</v>
      </c>
      <c r="D814" s="3" t="e">
        <f ca="1">[1]!BexGetData("DP_1","003N8EMH8GTFRCSWKMPXRRESE","GSON1112060724")</f>
        <v>#NAME?</v>
      </c>
      <c r="E814" s="3" t="e">
        <f ca="1">[1]!BexGetData("DP_1","003N8EMH8GTFRCSWKMPXRRL3Y","GSON1112060724")</f>
        <v>#NAME?</v>
      </c>
      <c r="F814" s="4" t="e">
        <f ca="1">[1]!BexGetData("DP_1","003N8EMH8GTFRCSWKMPXRRRFI","GSON1112060724")</f>
        <v>#NAME?</v>
      </c>
      <c r="G814" s="4" t="e">
        <f ca="1">[1]!BexGetData("DP_1","003N8EMH8GTFRCSWKMPXRRXR2","GSON1112060724")</f>
        <v>#NAME?</v>
      </c>
      <c r="H814" s="4" t="e">
        <f ca="1">[1]!BexGetData("DP_1","003N8EMH8GTFRCSWKMPXRS42M","GSON1112060724")</f>
        <v>#NAME?</v>
      </c>
      <c r="I814" s="4" t="e">
        <f ca="1">[1]!BexGetData("DP_1","003N8EMH8GTFRCSWKMPXRSAE6","GSON1112060724")</f>
        <v>#NAME?</v>
      </c>
      <c r="J814" s="4" t="e">
        <f ca="1">[1]!BexGetData("DP_1","003N8EMH8GTFRCSWKMPXRSGPQ","GSON1112060724")</f>
        <v>#NAME?</v>
      </c>
      <c r="K814" s="3" t="e">
        <f ca="1">[1]!BexGetData("DP_1","003N8EMH8GTFRIVNUPY288VJH","GSON1112060724")</f>
        <v>#NAME?</v>
      </c>
      <c r="L814" s="3" t="e">
        <f ca="1">[1]!BexGetData("DP_1","003N8EMH8GTFRIVNUPY2891V1","GSON1112060724")</f>
        <v>#NAME?</v>
      </c>
      <c r="M814" s="3" t="e">
        <f ca="1">[1]!BexGetData("DP_1","003N8EMH8GTFRIVOG7KG9IQXA","GSON1112060724")</f>
        <v>#NAME?</v>
      </c>
      <c r="N814" s="8" t="e">
        <f ca="1">[1]!BexGetData("DP_1","003N8EMH8GTFRIVOG7KG9IX8U","GSON1112060724")</f>
        <v>#NAME?</v>
      </c>
      <c r="O814" s="3" t="e">
        <f ca="1">[1]!BexGetData("DP_1","003N8EMH8GTFRIVOG7KG9J3KE","GSON1112060724")</f>
        <v>#NAME?</v>
      </c>
      <c r="P814" s="8" t="e">
        <f ca="1">[1]!BexGetData("DP_1","003N8EMH8GTFRIVOG7KG9J9VY","GSON1112060724")</f>
        <v>#NAME?</v>
      </c>
      <c r="Q814" s="4" t="e">
        <f ca="1">[1]!BexGetData("DP_1","00O2TNJGODT0G5Z4TTKYMM5MT","GSON1112060724")</f>
        <v>#NAME?</v>
      </c>
      <c r="R814" s="4" t="e">
        <f ca="1">[1]!BexGetData("DP_1","00O2TNJGODT0G5Z4TTKYMMBYD","GSON1112060724")</f>
        <v>#NAME?</v>
      </c>
      <c r="S814" s="4" t="e">
        <f ca="1">[1]!BexGetData("DP_1","00O2TNJGODT0G5Z4TTKYMMI9X","GSON1112060724")</f>
        <v>#NAME?</v>
      </c>
      <c r="T814" s="4" t="e">
        <f ca="1">[1]!BexGetData("DP_1","00O2TNJGODT0G5Z4TTKYMMOLH","GSON1112060724")</f>
        <v>#NAME?</v>
      </c>
      <c r="U814" s="4" t="e">
        <f ca="1">[1]!BexGetData("DP_1","00O2TNJGODT0G5Z4TTKYMMUX1","GSON1112060724")</f>
        <v>#NAME?</v>
      </c>
      <c r="V814" s="4" t="e">
        <f ca="1">[1]!BexGetData("DP_1","00O2TNJGODT0G5Z4TTKYMN18L","GSON1112060724")</f>
        <v>#NAME?</v>
      </c>
      <c r="W814" s="4" t="e">
        <f ca="1">[1]!BexGetData("DP_1","00O2TNJGODT0G5Z4TTKYMN7K5","GSON1112060724")</f>
        <v>#NAME?</v>
      </c>
    </row>
    <row r="815" spans="1:23" x14ac:dyDescent="0.2">
      <c r="A815" s="16" t="s">
        <v>2959</v>
      </c>
      <c r="B815" s="7" t="s">
        <v>2960</v>
      </c>
      <c r="C815" s="3" t="e">
        <f ca="1">[1]!BexGetData("DP_1","003N8EMH8GTFRCSWKMPXRR8GU","GSON1112060730")</f>
        <v>#NAME?</v>
      </c>
      <c r="D815" s="3" t="e">
        <f ca="1">[1]!BexGetData("DP_1","003N8EMH8GTFRCSWKMPXRRESE","GSON1112060730")</f>
        <v>#NAME?</v>
      </c>
      <c r="E815" s="3" t="e">
        <f ca="1">[1]!BexGetData("DP_1","003N8EMH8GTFRCSWKMPXRRL3Y","GSON1112060730")</f>
        <v>#NAME?</v>
      </c>
      <c r="F815" s="3" t="e">
        <f ca="1">[1]!BexGetData("DP_1","003N8EMH8GTFRCSWKMPXRRRFI","GSON1112060730")</f>
        <v>#NAME?</v>
      </c>
      <c r="G815" s="3" t="e">
        <f ca="1">[1]!BexGetData("DP_1","003N8EMH8GTFRCSWKMPXRRXR2","GSON1112060730")</f>
        <v>#NAME?</v>
      </c>
      <c r="H815" s="8" t="e">
        <f ca="1">[1]!BexGetData("DP_1","003N8EMH8GTFRCSWKMPXRS42M","GSON1112060730")</f>
        <v>#NAME?</v>
      </c>
      <c r="I815" s="3" t="e">
        <f ca="1">[1]!BexGetData("DP_1","003N8EMH8GTFRCSWKMPXRSAE6","GSON1112060730")</f>
        <v>#NAME?</v>
      </c>
      <c r="J815" s="4" t="e">
        <f ca="1">[1]!BexGetData("DP_1","003N8EMH8GTFRCSWKMPXRSGPQ","GSON1112060730")</f>
        <v>#NAME?</v>
      </c>
      <c r="K815" s="3" t="e">
        <f ca="1">[1]!BexGetData("DP_1","003N8EMH8GTFRIVNUPY288VJH","GSON1112060730")</f>
        <v>#NAME?</v>
      </c>
      <c r="L815" s="3" t="e">
        <f ca="1">[1]!BexGetData("DP_1","003N8EMH8GTFRIVNUPY2891V1","GSON1112060730")</f>
        <v>#NAME?</v>
      </c>
      <c r="M815" s="8" t="e">
        <f ca="1">[1]!BexGetData("DP_1","003N8EMH8GTFRIVOG7KG9IQXA","GSON1112060730")</f>
        <v>#NAME?</v>
      </c>
      <c r="N815" s="3" t="e">
        <f ca="1">[1]!BexGetData("DP_1","003N8EMH8GTFRIVOG7KG9IX8U","GSON1112060730")</f>
        <v>#NAME?</v>
      </c>
      <c r="O815" s="8" t="e">
        <f ca="1">[1]!BexGetData("DP_1","003N8EMH8GTFRIVOG7KG9J3KE","GSON1112060730")</f>
        <v>#NAME?</v>
      </c>
      <c r="P815" s="3" t="e">
        <f ca="1">[1]!BexGetData("DP_1","003N8EMH8GTFRIVOG7KG9J9VY","GSON1112060730")</f>
        <v>#NAME?</v>
      </c>
      <c r="Q815" s="4" t="e">
        <f ca="1">[1]!BexGetData("DP_1","00O2TNJGODT0G5Z4TTKYMM5MT","GSON1112060730")</f>
        <v>#NAME?</v>
      </c>
      <c r="R815" s="3" t="e">
        <f ca="1">[1]!BexGetData("DP_1","00O2TNJGODT0G5Z4TTKYMMBYD","GSON1112060730")</f>
        <v>#NAME?</v>
      </c>
      <c r="S815" s="3" t="e">
        <f ca="1">[1]!BexGetData("DP_1","00O2TNJGODT0G5Z4TTKYMMI9X","GSON1112060730")</f>
        <v>#NAME?</v>
      </c>
      <c r="T815" s="8" t="e">
        <f ca="1">[1]!BexGetData("DP_1","00O2TNJGODT0G5Z4TTKYMMOLH","GSON1112060730")</f>
        <v>#NAME?</v>
      </c>
      <c r="U815" s="3" t="e">
        <f ca="1">[1]!BexGetData("DP_1","00O2TNJGODT0G5Z4TTKYMMUX1","GSON1112060730")</f>
        <v>#NAME?</v>
      </c>
      <c r="V815" s="8" t="e">
        <f ca="1">[1]!BexGetData("DP_1","00O2TNJGODT0G5Z4TTKYMN18L","GSON1112060730")</f>
        <v>#NAME?</v>
      </c>
      <c r="W815" s="3" t="e">
        <f ca="1">[1]!BexGetData("DP_1","00O2TNJGODT0G5Z4TTKYMN7K5","GSON1112060730")</f>
        <v>#NAME?</v>
      </c>
    </row>
    <row r="816" spans="1:23" x14ac:dyDescent="0.2">
      <c r="A816" s="16" t="s">
        <v>2961</v>
      </c>
      <c r="B816" s="7" t="s">
        <v>2962</v>
      </c>
      <c r="C816" s="3" t="e">
        <f ca="1">[1]!BexGetData("DP_1","003N8EMH8GTFRCSWKMPXRR8GU","GSON1112060731")</f>
        <v>#NAME?</v>
      </c>
      <c r="D816" s="3" t="e">
        <f ca="1">[1]!BexGetData("DP_1","003N8EMH8GTFRCSWKMPXRRESE","GSON1112060731")</f>
        <v>#NAME?</v>
      </c>
      <c r="E816" s="3" t="e">
        <f ca="1">[1]!BexGetData("DP_1","003N8EMH8GTFRCSWKMPXRRL3Y","GSON1112060731")</f>
        <v>#NAME?</v>
      </c>
      <c r="F816" s="4" t="e">
        <f ca="1">[1]!BexGetData("DP_1","003N8EMH8GTFRCSWKMPXRRRFI","GSON1112060731")</f>
        <v>#NAME?</v>
      </c>
      <c r="G816" s="4" t="e">
        <f ca="1">[1]!BexGetData("DP_1","003N8EMH8GTFRCSWKMPXRRXR2","GSON1112060731")</f>
        <v>#NAME?</v>
      </c>
      <c r="H816" s="4" t="e">
        <f ca="1">[1]!BexGetData("DP_1","003N8EMH8GTFRCSWKMPXRS42M","GSON1112060731")</f>
        <v>#NAME?</v>
      </c>
      <c r="I816" s="4" t="e">
        <f ca="1">[1]!BexGetData("DP_1","003N8EMH8GTFRCSWKMPXRSAE6","GSON1112060731")</f>
        <v>#NAME?</v>
      </c>
      <c r="J816" s="4" t="e">
        <f ca="1">[1]!BexGetData("DP_1","003N8EMH8GTFRCSWKMPXRSGPQ","GSON1112060731")</f>
        <v>#NAME?</v>
      </c>
      <c r="K816" s="3" t="e">
        <f ca="1">[1]!BexGetData("DP_1","003N8EMH8GTFRIVNUPY288VJH","GSON1112060731")</f>
        <v>#NAME?</v>
      </c>
      <c r="L816" s="3" t="e">
        <f ca="1">[1]!BexGetData("DP_1","003N8EMH8GTFRIVNUPY2891V1","GSON1112060731")</f>
        <v>#NAME?</v>
      </c>
      <c r="M816" s="3" t="e">
        <f ca="1">[1]!BexGetData("DP_1","003N8EMH8GTFRIVOG7KG9IQXA","GSON1112060731")</f>
        <v>#NAME?</v>
      </c>
      <c r="N816" s="8" t="e">
        <f ca="1">[1]!BexGetData("DP_1","003N8EMH8GTFRIVOG7KG9IX8U","GSON1112060731")</f>
        <v>#NAME?</v>
      </c>
      <c r="O816" s="3" t="e">
        <f ca="1">[1]!BexGetData("DP_1","003N8EMH8GTFRIVOG7KG9J3KE","GSON1112060731")</f>
        <v>#NAME?</v>
      </c>
      <c r="P816" s="8" t="e">
        <f ca="1">[1]!BexGetData("DP_1","003N8EMH8GTFRIVOG7KG9J9VY","GSON1112060731")</f>
        <v>#NAME?</v>
      </c>
      <c r="Q816" s="4" t="e">
        <f ca="1">[1]!BexGetData("DP_1","00O2TNJGODT0G5Z4TTKYMM5MT","GSON1112060731")</f>
        <v>#NAME?</v>
      </c>
      <c r="R816" s="4" t="e">
        <f ca="1">[1]!BexGetData("DP_1","00O2TNJGODT0G5Z4TTKYMMBYD","GSON1112060731")</f>
        <v>#NAME?</v>
      </c>
      <c r="S816" s="4" t="e">
        <f ca="1">[1]!BexGetData("DP_1","00O2TNJGODT0G5Z4TTKYMMI9X","GSON1112060731")</f>
        <v>#NAME?</v>
      </c>
      <c r="T816" s="4" t="e">
        <f ca="1">[1]!BexGetData("DP_1","00O2TNJGODT0G5Z4TTKYMMOLH","GSON1112060731")</f>
        <v>#NAME?</v>
      </c>
      <c r="U816" s="4" t="e">
        <f ca="1">[1]!BexGetData("DP_1","00O2TNJGODT0G5Z4TTKYMMUX1","GSON1112060731")</f>
        <v>#NAME?</v>
      </c>
      <c r="V816" s="4" t="e">
        <f ca="1">[1]!BexGetData("DP_1","00O2TNJGODT0G5Z4TTKYMN18L","GSON1112060731")</f>
        <v>#NAME?</v>
      </c>
      <c r="W816" s="4" t="e">
        <f ca="1">[1]!BexGetData("DP_1","00O2TNJGODT0G5Z4TTKYMN7K5","GSON1112060731")</f>
        <v>#NAME?</v>
      </c>
    </row>
    <row r="817" spans="1:23" x14ac:dyDescent="0.2">
      <c r="A817" s="16" t="s">
        <v>2963</v>
      </c>
      <c r="B817" s="7" t="s">
        <v>2964</v>
      </c>
      <c r="C817" s="3" t="e">
        <f ca="1">[1]!BexGetData("DP_1","003N8EMH8GTFRCSWKMPXRR8GU","GSON1112060733")</f>
        <v>#NAME?</v>
      </c>
      <c r="D817" s="3" t="e">
        <f ca="1">[1]!BexGetData("DP_1","003N8EMH8GTFRCSWKMPXRRESE","GSON1112060733")</f>
        <v>#NAME?</v>
      </c>
      <c r="E817" s="8" t="e">
        <f ca="1">[1]!BexGetData("DP_1","003N8EMH8GTFRCSWKMPXRRL3Y","GSON1112060733")</f>
        <v>#NAME?</v>
      </c>
      <c r="F817" s="4" t="e">
        <f ca="1">[1]!BexGetData("DP_1","003N8EMH8GTFRCSWKMPXRRRFI","GSON1112060733")</f>
        <v>#NAME?</v>
      </c>
      <c r="G817" s="4" t="e">
        <f ca="1">[1]!BexGetData("DP_1","003N8EMH8GTFRCSWKMPXRRXR2","GSON1112060733")</f>
        <v>#NAME?</v>
      </c>
      <c r="H817" s="4" t="e">
        <f ca="1">[1]!BexGetData("DP_1","003N8EMH8GTFRCSWKMPXRS42M","GSON1112060733")</f>
        <v>#NAME?</v>
      </c>
      <c r="I817" s="4" t="e">
        <f ca="1">[1]!BexGetData("DP_1","003N8EMH8GTFRCSWKMPXRSAE6","GSON1112060733")</f>
        <v>#NAME?</v>
      </c>
      <c r="J817" s="4" t="e">
        <f ca="1">[1]!BexGetData("DP_1","003N8EMH8GTFRCSWKMPXRSGPQ","GSON1112060733")</f>
        <v>#NAME?</v>
      </c>
      <c r="K817" s="8" t="e">
        <f ca="1">[1]!BexGetData("DP_1","003N8EMH8GTFRIVNUPY288VJH","GSON1112060733")</f>
        <v>#NAME?</v>
      </c>
      <c r="L817" s="8" t="e">
        <f ca="1">[1]!BexGetData("DP_1","003N8EMH8GTFRIVNUPY2891V1","GSON1112060733")</f>
        <v>#NAME?</v>
      </c>
      <c r="M817" s="8" t="e">
        <f ca="1">[1]!BexGetData("DP_1","003N8EMH8GTFRIVOG7KG9IQXA","GSON1112060733")</f>
        <v>#NAME?</v>
      </c>
      <c r="N817" s="8" t="e">
        <f ca="1">[1]!BexGetData("DP_1","003N8EMH8GTFRIVOG7KG9IX8U","GSON1112060733")</f>
        <v>#NAME?</v>
      </c>
      <c r="O817" s="8" t="e">
        <f ca="1">[1]!BexGetData("DP_1","003N8EMH8GTFRIVOG7KG9J3KE","GSON1112060733")</f>
        <v>#NAME?</v>
      </c>
      <c r="P817" s="8" t="e">
        <f ca="1">[1]!BexGetData("DP_1","003N8EMH8GTFRIVOG7KG9J9VY","GSON1112060733")</f>
        <v>#NAME?</v>
      </c>
      <c r="Q817" s="4" t="e">
        <f ca="1">[1]!BexGetData("DP_1","00O2TNJGODT0G5Z4TTKYMM5MT","GSON1112060733")</f>
        <v>#NAME?</v>
      </c>
      <c r="R817" s="4" t="e">
        <f ca="1">[1]!BexGetData("DP_1","00O2TNJGODT0G5Z4TTKYMMBYD","GSON1112060733")</f>
        <v>#NAME?</v>
      </c>
      <c r="S817" s="4" t="e">
        <f ca="1">[1]!BexGetData("DP_1","00O2TNJGODT0G5Z4TTKYMMI9X","GSON1112060733")</f>
        <v>#NAME?</v>
      </c>
      <c r="T817" s="4" t="e">
        <f ca="1">[1]!BexGetData("DP_1","00O2TNJGODT0G5Z4TTKYMMOLH","GSON1112060733")</f>
        <v>#NAME?</v>
      </c>
      <c r="U817" s="4" t="e">
        <f ca="1">[1]!BexGetData("DP_1","00O2TNJGODT0G5Z4TTKYMMUX1","GSON1112060733")</f>
        <v>#NAME?</v>
      </c>
      <c r="V817" s="4" t="e">
        <f ca="1">[1]!BexGetData("DP_1","00O2TNJGODT0G5Z4TTKYMN18L","GSON1112060733")</f>
        <v>#NAME?</v>
      </c>
      <c r="W817" s="4" t="e">
        <f ca="1">[1]!BexGetData("DP_1","00O2TNJGODT0G5Z4TTKYMN7K5","GSON1112060733")</f>
        <v>#NAME?</v>
      </c>
    </row>
    <row r="818" spans="1:23" x14ac:dyDescent="0.2">
      <c r="A818" s="16" t="s">
        <v>2965</v>
      </c>
      <c r="B818" s="7" t="s">
        <v>2966</v>
      </c>
      <c r="C818" s="3" t="e">
        <f ca="1">[1]!BexGetData("DP_1","003N8EMH8GTFRCSWKMPXRR8GU","GSON1112060734")</f>
        <v>#NAME?</v>
      </c>
      <c r="D818" s="3" t="e">
        <f ca="1">[1]!BexGetData("DP_1","003N8EMH8GTFRCSWKMPXRRESE","GSON1112060734")</f>
        <v>#NAME?</v>
      </c>
      <c r="E818" s="8" t="e">
        <f ca="1">[1]!BexGetData("DP_1","003N8EMH8GTFRCSWKMPXRRL3Y","GSON1112060734")</f>
        <v>#NAME?</v>
      </c>
      <c r="F818" s="4" t="e">
        <f ca="1">[1]!BexGetData("DP_1","003N8EMH8GTFRCSWKMPXRRRFI","GSON1112060734")</f>
        <v>#NAME?</v>
      </c>
      <c r="G818" s="4" t="e">
        <f ca="1">[1]!BexGetData("DP_1","003N8EMH8GTFRCSWKMPXRRXR2","GSON1112060734")</f>
        <v>#NAME?</v>
      </c>
      <c r="H818" s="4" t="e">
        <f ca="1">[1]!BexGetData("DP_1","003N8EMH8GTFRCSWKMPXRS42M","GSON1112060734")</f>
        <v>#NAME?</v>
      </c>
      <c r="I818" s="4" t="e">
        <f ca="1">[1]!BexGetData("DP_1","003N8EMH8GTFRCSWKMPXRSAE6","GSON1112060734")</f>
        <v>#NAME?</v>
      </c>
      <c r="J818" s="4" t="e">
        <f ca="1">[1]!BexGetData("DP_1","003N8EMH8GTFRCSWKMPXRSGPQ","GSON1112060734")</f>
        <v>#NAME?</v>
      </c>
      <c r="K818" s="8" t="e">
        <f ca="1">[1]!BexGetData("DP_1","003N8EMH8GTFRIVNUPY288VJH","GSON1112060734")</f>
        <v>#NAME?</v>
      </c>
      <c r="L818" s="8" t="e">
        <f ca="1">[1]!BexGetData("DP_1","003N8EMH8GTFRIVNUPY2891V1","GSON1112060734")</f>
        <v>#NAME?</v>
      </c>
      <c r="M818" s="8" t="e">
        <f ca="1">[1]!BexGetData("DP_1","003N8EMH8GTFRIVOG7KG9IQXA","GSON1112060734")</f>
        <v>#NAME?</v>
      </c>
      <c r="N818" s="8" t="e">
        <f ca="1">[1]!BexGetData("DP_1","003N8EMH8GTFRIVOG7KG9IX8U","GSON1112060734")</f>
        <v>#NAME?</v>
      </c>
      <c r="O818" s="8" t="e">
        <f ca="1">[1]!BexGetData("DP_1","003N8EMH8GTFRIVOG7KG9J3KE","GSON1112060734")</f>
        <v>#NAME?</v>
      </c>
      <c r="P818" s="8" t="e">
        <f ca="1">[1]!BexGetData("DP_1","003N8EMH8GTFRIVOG7KG9J9VY","GSON1112060734")</f>
        <v>#NAME?</v>
      </c>
      <c r="Q818" s="4" t="e">
        <f ca="1">[1]!BexGetData("DP_1","00O2TNJGODT0G5Z4TTKYMM5MT","GSON1112060734")</f>
        <v>#NAME?</v>
      </c>
      <c r="R818" s="4" t="e">
        <f ca="1">[1]!BexGetData("DP_1","00O2TNJGODT0G5Z4TTKYMMBYD","GSON1112060734")</f>
        <v>#NAME?</v>
      </c>
      <c r="S818" s="4" t="e">
        <f ca="1">[1]!BexGetData("DP_1","00O2TNJGODT0G5Z4TTKYMMI9X","GSON1112060734")</f>
        <v>#NAME?</v>
      </c>
      <c r="T818" s="4" t="e">
        <f ca="1">[1]!BexGetData("DP_1","00O2TNJGODT0G5Z4TTKYMMOLH","GSON1112060734")</f>
        <v>#NAME?</v>
      </c>
      <c r="U818" s="4" t="e">
        <f ca="1">[1]!BexGetData("DP_1","00O2TNJGODT0G5Z4TTKYMMUX1","GSON1112060734")</f>
        <v>#NAME?</v>
      </c>
      <c r="V818" s="4" t="e">
        <f ca="1">[1]!BexGetData("DP_1","00O2TNJGODT0G5Z4TTKYMN18L","GSON1112060734")</f>
        <v>#NAME?</v>
      </c>
      <c r="W818" s="4" t="e">
        <f ca="1">[1]!BexGetData("DP_1","00O2TNJGODT0G5Z4TTKYMN7K5","GSON1112060734")</f>
        <v>#NAME?</v>
      </c>
    </row>
    <row r="819" spans="1:23" x14ac:dyDescent="0.2">
      <c r="A819" s="16" t="s">
        <v>2967</v>
      </c>
      <c r="B819" s="7" t="s">
        <v>2968</v>
      </c>
      <c r="C819" s="3" t="e">
        <f ca="1">[1]!BexGetData("DP_1","003N8EMH8GTFRCSWKMPXRR8GU","GSON1112060740")</f>
        <v>#NAME?</v>
      </c>
      <c r="D819" s="3" t="e">
        <f ca="1">[1]!BexGetData("DP_1","003N8EMH8GTFRCSWKMPXRRESE","GSON1112060740")</f>
        <v>#NAME?</v>
      </c>
      <c r="E819" s="3" t="e">
        <f ca="1">[1]!BexGetData("DP_1","003N8EMH8GTFRCSWKMPXRRL3Y","GSON1112060740")</f>
        <v>#NAME?</v>
      </c>
      <c r="F819" s="3" t="e">
        <f ca="1">[1]!BexGetData("DP_1","003N8EMH8GTFRCSWKMPXRRRFI","GSON1112060740")</f>
        <v>#NAME?</v>
      </c>
      <c r="G819" s="3" t="e">
        <f ca="1">[1]!BexGetData("DP_1","003N8EMH8GTFRCSWKMPXRRXR2","GSON1112060740")</f>
        <v>#NAME?</v>
      </c>
      <c r="H819" s="8" t="e">
        <f ca="1">[1]!BexGetData("DP_1","003N8EMH8GTFRCSWKMPXRS42M","GSON1112060740")</f>
        <v>#NAME?</v>
      </c>
      <c r="I819" s="3" t="e">
        <f ca="1">[1]!BexGetData("DP_1","003N8EMH8GTFRCSWKMPXRSAE6","GSON1112060740")</f>
        <v>#NAME?</v>
      </c>
      <c r="J819" s="4" t="e">
        <f ca="1">[1]!BexGetData("DP_1","003N8EMH8GTFRCSWKMPXRSGPQ","GSON1112060740")</f>
        <v>#NAME?</v>
      </c>
      <c r="K819" s="3" t="e">
        <f ca="1">[1]!BexGetData("DP_1","003N8EMH8GTFRIVNUPY288VJH","GSON1112060740")</f>
        <v>#NAME?</v>
      </c>
      <c r="L819" s="3" t="e">
        <f ca="1">[1]!BexGetData("DP_1","003N8EMH8GTFRIVNUPY2891V1","GSON1112060740")</f>
        <v>#NAME?</v>
      </c>
      <c r="M819" s="8" t="e">
        <f ca="1">[1]!BexGetData("DP_1","003N8EMH8GTFRIVOG7KG9IQXA","GSON1112060740")</f>
        <v>#NAME?</v>
      </c>
      <c r="N819" s="3" t="e">
        <f ca="1">[1]!BexGetData("DP_1","003N8EMH8GTFRIVOG7KG9IX8U","GSON1112060740")</f>
        <v>#NAME?</v>
      </c>
      <c r="O819" s="8" t="e">
        <f ca="1">[1]!BexGetData("DP_1","003N8EMH8GTFRIVOG7KG9J3KE","GSON1112060740")</f>
        <v>#NAME?</v>
      </c>
      <c r="P819" s="3" t="e">
        <f ca="1">[1]!BexGetData("DP_1","003N8EMH8GTFRIVOG7KG9J9VY","GSON1112060740")</f>
        <v>#NAME?</v>
      </c>
      <c r="Q819" s="4" t="e">
        <f ca="1">[1]!BexGetData("DP_1","00O2TNJGODT0G5Z4TTKYMM5MT","GSON1112060740")</f>
        <v>#NAME?</v>
      </c>
      <c r="R819" s="3" t="e">
        <f ca="1">[1]!BexGetData("DP_1","00O2TNJGODT0G5Z4TTKYMMBYD","GSON1112060740")</f>
        <v>#NAME?</v>
      </c>
      <c r="S819" s="3" t="e">
        <f ca="1">[1]!BexGetData("DP_1","00O2TNJGODT0G5Z4TTKYMMI9X","GSON1112060740")</f>
        <v>#NAME?</v>
      </c>
      <c r="T819" s="8" t="e">
        <f ca="1">[1]!BexGetData("DP_1","00O2TNJGODT0G5Z4TTKYMMOLH","GSON1112060740")</f>
        <v>#NAME?</v>
      </c>
      <c r="U819" s="3" t="e">
        <f ca="1">[1]!BexGetData("DP_1","00O2TNJGODT0G5Z4TTKYMMUX1","GSON1112060740")</f>
        <v>#NAME?</v>
      </c>
      <c r="V819" s="8" t="e">
        <f ca="1">[1]!BexGetData("DP_1","00O2TNJGODT0G5Z4TTKYMN18L","GSON1112060740")</f>
        <v>#NAME?</v>
      </c>
      <c r="W819" s="3" t="e">
        <f ca="1">[1]!BexGetData("DP_1","00O2TNJGODT0G5Z4TTKYMN7K5","GSON1112060740")</f>
        <v>#NAME?</v>
      </c>
    </row>
    <row r="820" spans="1:23" x14ac:dyDescent="0.2">
      <c r="A820" s="16" t="s">
        <v>2969</v>
      </c>
      <c r="B820" s="7" t="s">
        <v>2970</v>
      </c>
      <c r="C820" s="3" t="e">
        <f ca="1">[1]!BexGetData("DP_1","003N8EMH8GTFRCSWKMPXRR8GU","GSON1112060741")</f>
        <v>#NAME?</v>
      </c>
      <c r="D820" s="3" t="e">
        <f ca="1">[1]!BexGetData("DP_1","003N8EMH8GTFRCSWKMPXRRESE","GSON1112060741")</f>
        <v>#NAME?</v>
      </c>
      <c r="E820" s="8" t="e">
        <f ca="1">[1]!BexGetData("DP_1","003N8EMH8GTFRCSWKMPXRRL3Y","GSON1112060741")</f>
        <v>#NAME?</v>
      </c>
      <c r="F820" s="4" t="e">
        <f ca="1">[1]!BexGetData("DP_1","003N8EMH8GTFRCSWKMPXRRRFI","GSON1112060741")</f>
        <v>#NAME?</v>
      </c>
      <c r="G820" s="4" t="e">
        <f ca="1">[1]!BexGetData("DP_1","003N8EMH8GTFRCSWKMPXRRXR2","GSON1112060741")</f>
        <v>#NAME?</v>
      </c>
      <c r="H820" s="4" t="e">
        <f ca="1">[1]!BexGetData("DP_1","003N8EMH8GTFRCSWKMPXRS42M","GSON1112060741")</f>
        <v>#NAME?</v>
      </c>
      <c r="I820" s="4" t="e">
        <f ca="1">[1]!BexGetData("DP_1","003N8EMH8GTFRCSWKMPXRSAE6","GSON1112060741")</f>
        <v>#NAME?</v>
      </c>
      <c r="J820" s="4" t="e">
        <f ca="1">[1]!BexGetData("DP_1","003N8EMH8GTFRCSWKMPXRSGPQ","GSON1112060741")</f>
        <v>#NAME?</v>
      </c>
      <c r="K820" s="8" t="e">
        <f ca="1">[1]!BexGetData("DP_1","003N8EMH8GTFRIVNUPY288VJH","GSON1112060741")</f>
        <v>#NAME?</v>
      </c>
      <c r="L820" s="8" t="e">
        <f ca="1">[1]!BexGetData("DP_1","003N8EMH8GTFRIVNUPY2891V1","GSON1112060741")</f>
        <v>#NAME?</v>
      </c>
      <c r="M820" s="8" t="e">
        <f ca="1">[1]!BexGetData("DP_1","003N8EMH8GTFRIVOG7KG9IQXA","GSON1112060741")</f>
        <v>#NAME?</v>
      </c>
      <c r="N820" s="8" t="e">
        <f ca="1">[1]!BexGetData("DP_1","003N8EMH8GTFRIVOG7KG9IX8U","GSON1112060741")</f>
        <v>#NAME?</v>
      </c>
      <c r="O820" s="8" t="e">
        <f ca="1">[1]!BexGetData("DP_1","003N8EMH8GTFRIVOG7KG9J3KE","GSON1112060741")</f>
        <v>#NAME?</v>
      </c>
      <c r="P820" s="8" t="e">
        <f ca="1">[1]!BexGetData("DP_1","003N8EMH8GTFRIVOG7KG9J9VY","GSON1112060741")</f>
        <v>#NAME?</v>
      </c>
      <c r="Q820" s="4" t="e">
        <f ca="1">[1]!BexGetData("DP_1","00O2TNJGODT0G5Z4TTKYMM5MT","GSON1112060741")</f>
        <v>#NAME?</v>
      </c>
      <c r="R820" s="4" t="e">
        <f ca="1">[1]!BexGetData("DP_1","00O2TNJGODT0G5Z4TTKYMMBYD","GSON1112060741")</f>
        <v>#NAME?</v>
      </c>
      <c r="S820" s="4" t="e">
        <f ca="1">[1]!BexGetData("DP_1","00O2TNJGODT0G5Z4TTKYMMI9X","GSON1112060741")</f>
        <v>#NAME?</v>
      </c>
      <c r="T820" s="4" t="e">
        <f ca="1">[1]!BexGetData("DP_1","00O2TNJGODT0G5Z4TTKYMMOLH","GSON1112060741")</f>
        <v>#NAME?</v>
      </c>
      <c r="U820" s="4" t="e">
        <f ca="1">[1]!BexGetData("DP_1","00O2TNJGODT0G5Z4TTKYMMUX1","GSON1112060741")</f>
        <v>#NAME?</v>
      </c>
      <c r="V820" s="4" t="e">
        <f ca="1">[1]!BexGetData("DP_1","00O2TNJGODT0G5Z4TTKYMN18L","GSON1112060741")</f>
        <v>#NAME?</v>
      </c>
      <c r="W820" s="4" t="e">
        <f ca="1">[1]!BexGetData("DP_1","00O2TNJGODT0G5Z4TTKYMN7K5","GSON1112060741")</f>
        <v>#NAME?</v>
      </c>
    </row>
    <row r="821" spans="1:23" x14ac:dyDescent="0.2">
      <c r="A821" s="16" t="s">
        <v>2971</v>
      </c>
      <c r="B821" s="7" t="s">
        <v>2972</v>
      </c>
      <c r="C821" s="3" t="e">
        <f ca="1">[1]!BexGetData("DP_1","003N8EMH8GTFRCSWKMPXRR8GU","GSON1112060744")</f>
        <v>#NAME?</v>
      </c>
      <c r="D821" s="3" t="e">
        <f ca="1">[1]!BexGetData("DP_1","003N8EMH8GTFRCSWKMPXRRESE","GSON1112060744")</f>
        <v>#NAME?</v>
      </c>
      <c r="E821" s="8" t="e">
        <f ca="1">[1]!BexGetData("DP_1","003N8EMH8GTFRCSWKMPXRRL3Y","GSON1112060744")</f>
        <v>#NAME?</v>
      </c>
      <c r="F821" s="4" t="e">
        <f ca="1">[1]!BexGetData("DP_1","003N8EMH8GTFRCSWKMPXRRRFI","GSON1112060744")</f>
        <v>#NAME?</v>
      </c>
      <c r="G821" s="4" t="e">
        <f ca="1">[1]!BexGetData("DP_1","003N8EMH8GTFRCSWKMPXRRXR2","GSON1112060744")</f>
        <v>#NAME?</v>
      </c>
      <c r="H821" s="4" t="e">
        <f ca="1">[1]!BexGetData("DP_1","003N8EMH8GTFRCSWKMPXRS42M","GSON1112060744")</f>
        <v>#NAME?</v>
      </c>
      <c r="I821" s="4" t="e">
        <f ca="1">[1]!BexGetData("DP_1","003N8EMH8GTFRCSWKMPXRSAE6","GSON1112060744")</f>
        <v>#NAME?</v>
      </c>
      <c r="J821" s="4" t="e">
        <f ca="1">[1]!BexGetData("DP_1","003N8EMH8GTFRCSWKMPXRSGPQ","GSON1112060744")</f>
        <v>#NAME?</v>
      </c>
      <c r="K821" s="8" t="e">
        <f ca="1">[1]!BexGetData("DP_1","003N8EMH8GTFRIVNUPY288VJH","GSON1112060744")</f>
        <v>#NAME?</v>
      </c>
      <c r="L821" s="8" t="e">
        <f ca="1">[1]!BexGetData("DP_1","003N8EMH8GTFRIVNUPY2891V1","GSON1112060744")</f>
        <v>#NAME?</v>
      </c>
      <c r="M821" s="8" t="e">
        <f ca="1">[1]!BexGetData("DP_1","003N8EMH8GTFRIVOG7KG9IQXA","GSON1112060744")</f>
        <v>#NAME?</v>
      </c>
      <c r="N821" s="8" t="e">
        <f ca="1">[1]!BexGetData("DP_1","003N8EMH8GTFRIVOG7KG9IX8U","GSON1112060744")</f>
        <v>#NAME?</v>
      </c>
      <c r="O821" s="8" t="e">
        <f ca="1">[1]!BexGetData("DP_1","003N8EMH8GTFRIVOG7KG9J3KE","GSON1112060744")</f>
        <v>#NAME?</v>
      </c>
      <c r="P821" s="8" t="e">
        <f ca="1">[1]!BexGetData("DP_1","003N8EMH8GTFRIVOG7KG9J9VY","GSON1112060744")</f>
        <v>#NAME?</v>
      </c>
      <c r="Q821" s="4" t="e">
        <f ca="1">[1]!BexGetData("DP_1","00O2TNJGODT0G5Z4TTKYMM5MT","GSON1112060744")</f>
        <v>#NAME?</v>
      </c>
      <c r="R821" s="4" t="e">
        <f ca="1">[1]!BexGetData("DP_1","00O2TNJGODT0G5Z4TTKYMMBYD","GSON1112060744")</f>
        <v>#NAME?</v>
      </c>
      <c r="S821" s="4" t="e">
        <f ca="1">[1]!BexGetData("DP_1","00O2TNJGODT0G5Z4TTKYMMI9X","GSON1112060744")</f>
        <v>#NAME?</v>
      </c>
      <c r="T821" s="4" t="e">
        <f ca="1">[1]!BexGetData("DP_1","00O2TNJGODT0G5Z4TTKYMMOLH","GSON1112060744")</f>
        <v>#NAME?</v>
      </c>
      <c r="U821" s="4" t="e">
        <f ca="1">[1]!BexGetData("DP_1","00O2TNJGODT0G5Z4TTKYMMUX1","GSON1112060744")</f>
        <v>#NAME?</v>
      </c>
      <c r="V821" s="4" t="e">
        <f ca="1">[1]!BexGetData("DP_1","00O2TNJGODT0G5Z4TTKYMN18L","GSON1112060744")</f>
        <v>#NAME?</v>
      </c>
      <c r="W821" s="4" t="e">
        <f ca="1">[1]!BexGetData("DP_1","00O2TNJGODT0G5Z4TTKYMN7K5","GSON1112060744")</f>
        <v>#NAME?</v>
      </c>
    </row>
    <row r="822" spans="1:23" x14ac:dyDescent="0.2">
      <c r="A822" s="16" t="s">
        <v>2973</v>
      </c>
      <c r="B822" s="7" t="s">
        <v>2974</v>
      </c>
      <c r="C822" s="3" t="e">
        <f ca="1">[1]!BexGetData("DP_1","003N8EMH8GTFRCSWKMPXRR8GU","GSON1112060760")</f>
        <v>#NAME?</v>
      </c>
      <c r="D822" s="3" t="e">
        <f ca="1">[1]!BexGetData("DP_1","003N8EMH8GTFRCSWKMPXRRESE","GSON1112060760")</f>
        <v>#NAME?</v>
      </c>
      <c r="E822" s="3" t="e">
        <f ca="1">[1]!BexGetData("DP_1","003N8EMH8GTFRCSWKMPXRRL3Y","GSON1112060760")</f>
        <v>#NAME?</v>
      </c>
      <c r="F822" s="3" t="e">
        <f ca="1">[1]!BexGetData("DP_1","003N8EMH8GTFRCSWKMPXRRRFI","GSON1112060760")</f>
        <v>#NAME?</v>
      </c>
      <c r="G822" s="3" t="e">
        <f ca="1">[1]!BexGetData("DP_1","003N8EMH8GTFRCSWKMPXRRXR2","GSON1112060760")</f>
        <v>#NAME?</v>
      </c>
      <c r="H822" s="8" t="e">
        <f ca="1">[1]!BexGetData("DP_1","003N8EMH8GTFRCSWKMPXRS42M","GSON1112060760")</f>
        <v>#NAME?</v>
      </c>
      <c r="I822" s="3" t="e">
        <f ca="1">[1]!BexGetData("DP_1","003N8EMH8GTFRCSWKMPXRSAE6","GSON1112060760")</f>
        <v>#NAME?</v>
      </c>
      <c r="J822" s="4" t="e">
        <f ca="1">[1]!BexGetData("DP_1","003N8EMH8GTFRCSWKMPXRSGPQ","GSON1112060760")</f>
        <v>#NAME?</v>
      </c>
      <c r="K822" s="3" t="e">
        <f ca="1">[1]!BexGetData("DP_1","003N8EMH8GTFRIVNUPY288VJH","GSON1112060760")</f>
        <v>#NAME?</v>
      </c>
      <c r="L822" s="3" t="e">
        <f ca="1">[1]!BexGetData("DP_1","003N8EMH8GTFRIVNUPY2891V1","GSON1112060760")</f>
        <v>#NAME?</v>
      </c>
      <c r="M822" s="3" t="e">
        <f ca="1">[1]!BexGetData("DP_1","003N8EMH8GTFRIVOG7KG9IQXA","GSON1112060760")</f>
        <v>#NAME?</v>
      </c>
      <c r="N822" s="8" t="e">
        <f ca="1">[1]!BexGetData("DP_1","003N8EMH8GTFRIVOG7KG9IX8U","GSON1112060760")</f>
        <v>#NAME?</v>
      </c>
      <c r="O822" s="3" t="e">
        <f ca="1">[1]!BexGetData("DP_1","003N8EMH8GTFRIVOG7KG9J3KE","GSON1112060760")</f>
        <v>#NAME?</v>
      </c>
      <c r="P822" s="8" t="e">
        <f ca="1">[1]!BexGetData("DP_1","003N8EMH8GTFRIVOG7KG9J9VY","GSON1112060760")</f>
        <v>#NAME?</v>
      </c>
      <c r="Q822" s="4" t="e">
        <f ca="1">[1]!BexGetData("DP_1","00O2TNJGODT0G5Z4TTKYMM5MT","GSON1112060760")</f>
        <v>#NAME?</v>
      </c>
      <c r="R822" s="3" t="e">
        <f ca="1">[1]!BexGetData("DP_1","00O2TNJGODT0G5Z4TTKYMMBYD","GSON1112060760")</f>
        <v>#NAME?</v>
      </c>
      <c r="S822" s="3" t="e">
        <f ca="1">[1]!BexGetData("DP_1","00O2TNJGODT0G5Z4TTKYMMI9X","GSON1112060760")</f>
        <v>#NAME?</v>
      </c>
      <c r="T822" s="8" t="e">
        <f ca="1">[1]!BexGetData("DP_1","00O2TNJGODT0G5Z4TTKYMMOLH","GSON1112060760")</f>
        <v>#NAME?</v>
      </c>
      <c r="U822" s="3" t="e">
        <f ca="1">[1]!BexGetData("DP_1","00O2TNJGODT0G5Z4TTKYMMUX1","GSON1112060760")</f>
        <v>#NAME?</v>
      </c>
      <c r="V822" s="8" t="e">
        <f ca="1">[1]!BexGetData("DP_1","00O2TNJGODT0G5Z4TTKYMN18L","GSON1112060760")</f>
        <v>#NAME?</v>
      </c>
      <c r="W822" s="3" t="e">
        <f ca="1">[1]!BexGetData("DP_1","00O2TNJGODT0G5Z4TTKYMN7K5","GSON1112060760")</f>
        <v>#NAME?</v>
      </c>
    </row>
    <row r="823" spans="1:23" x14ac:dyDescent="0.2">
      <c r="A823" s="16" t="s">
        <v>420</v>
      </c>
      <c r="B823" s="7" t="s">
        <v>421</v>
      </c>
      <c r="C823" s="3" t="e">
        <f ca="1">[1]!BexGetData("DP_1","003N8EMH8GTFRCSWKMPXRR8GU","GSON1112060761")</f>
        <v>#NAME?</v>
      </c>
      <c r="D823" s="3" t="e">
        <f ca="1">[1]!BexGetData("DP_1","003N8EMH8GTFRCSWKMPXRRESE","GSON1112060761")</f>
        <v>#NAME?</v>
      </c>
      <c r="E823" s="3" t="e">
        <f ca="1">[1]!BexGetData("DP_1","003N8EMH8GTFRCSWKMPXRRL3Y","GSON1112060761")</f>
        <v>#NAME?</v>
      </c>
      <c r="F823" s="3" t="e">
        <f ca="1">[1]!BexGetData("DP_1","003N8EMH8GTFRCSWKMPXRRRFI","GSON1112060761")</f>
        <v>#NAME?</v>
      </c>
      <c r="G823" s="3" t="e">
        <f ca="1">[1]!BexGetData("DP_1","003N8EMH8GTFRCSWKMPXRRXR2","GSON1112060761")</f>
        <v>#NAME?</v>
      </c>
      <c r="H823" s="8" t="e">
        <f ca="1">[1]!BexGetData("DP_1","003N8EMH8GTFRCSWKMPXRS42M","GSON1112060761")</f>
        <v>#NAME?</v>
      </c>
      <c r="I823" s="3" t="e">
        <f ca="1">[1]!BexGetData("DP_1","003N8EMH8GTFRCSWKMPXRSAE6","GSON1112060761")</f>
        <v>#NAME?</v>
      </c>
      <c r="J823" s="4" t="e">
        <f ca="1">[1]!BexGetData("DP_1","003N8EMH8GTFRCSWKMPXRSGPQ","GSON1112060761")</f>
        <v>#NAME?</v>
      </c>
      <c r="K823" s="3" t="e">
        <f ca="1">[1]!BexGetData("DP_1","003N8EMH8GTFRIVNUPY288VJH","GSON1112060761")</f>
        <v>#NAME?</v>
      </c>
      <c r="L823" s="3" t="e">
        <f ca="1">[1]!BexGetData("DP_1","003N8EMH8GTFRIVNUPY2891V1","GSON1112060761")</f>
        <v>#NAME?</v>
      </c>
      <c r="M823" s="3" t="e">
        <f ca="1">[1]!BexGetData("DP_1","003N8EMH8GTFRIVOG7KG9IQXA","GSON1112060761")</f>
        <v>#NAME?</v>
      </c>
      <c r="N823" s="8" t="e">
        <f ca="1">[1]!BexGetData("DP_1","003N8EMH8GTFRIVOG7KG9IX8U","GSON1112060761")</f>
        <v>#NAME?</v>
      </c>
      <c r="O823" s="3" t="e">
        <f ca="1">[1]!BexGetData("DP_1","003N8EMH8GTFRIVOG7KG9J3KE","GSON1112060761")</f>
        <v>#NAME?</v>
      </c>
      <c r="P823" s="8" t="e">
        <f ca="1">[1]!BexGetData("DP_1","003N8EMH8GTFRIVOG7KG9J9VY","GSON1112060761")</f>
        <v>#NAME?</v>
      </c>
      <c r="Q823" s="4" t="e">
        <f ca="1">[1]!BexGetData("DP_1","00O2TNJGODT0G5Z4TTKYMM5MT","GSON1112060761")</f>
        <v>#NAME?</v>
      </c>
      <c r="R823" s="3" t="e">
        <f ca="1">[1]!BexGetData("DP_1","00O2TNJGODT0G5Z4TTKYMMBYD","GSON1112060761")</f>
        <v>#NAME?</v>
      </c>
      <c r="S823" s="3" t="e">
        <f ca="1">[1]!BexGetData("DP_1","00O2TNJGODT0G5Z4TTKYMMI9X","GSON1112060761")</f>
        <v>#NAME?</v>
      </c>
      <c r="T823" s="8" t="e">
        <f ca="1">[1]!BexGetData("DP_1","00O2TNJGODT0G5Z4TTKYMMOLH","GSON1112060761")</f>
        <v>#NAME?</v>
      </c>
      <c r="U823" s="3" t="e">
        <f ca="1">[1]!BexGetData("DP_1","00O2TNJGODT0G5Z4TTKYMMUX1","GSON1112060761")</f>
        <v>#NAME?</v>
      </c>
      <c r="V823" s="8" t="e">
        <f ca="1">[1]!BexGetData("DP_1","00O2TNJGODT0G5Z4TTKYMN18L","GSON1112060761")</f>
        <v>#NAME?</v>
      </c>
      <c r="W823" s="3" t="e">
        <f ca="1">[1]!BexGetData("DP_1","00O2TNJGODT0G5Z4TTKYMN7K5","GSON1112060761")</f>
        <v>#NAME?</v>
      </c>
    </row>
    <row r="824" spans="1:23" x14ac:dyDescent="0.2">
      <c r="A824" s="16" t="s">
        <v>2975</v>
      </c>
      <c r="B824" s="7" t="s">
        <v>2976</v>
      </c>
      <c r="C824" s="3" t="e">
        <f ca="1">[1]!BexGetData("DP_1","003N8EMH8GTFRCSWKMPXRR8GU","GSON1112060763")</f>
        <v>#NAME?</v>
      </c>
      <c r="D824" s="3" t="e">
        <f ca="1">[1]!BexGetData("DP_1","003N8EMH8GTFRCSWKMPXRRESE","GSON1112060763")</f>
        <v>#NAME?</v>
      </c>
      <c r="E824" s="3" t="e">
        <f ca="1">[1]!BexGetData("DP_1","003N8EMH8GTFRCSWKMPXRRL3Y","GSON1112060763")</f>
        <v>#NAME?</v>
      </c>
      <c r="F824" s="4" t="e">
        <f ca="1">[1]!BexGetData("DP_1","003N8EMH8GTFRCSWKMPXRRRFI","GSON1112060763")</f>
        <v>#NAME?</v>
      </c>
      <c r="G824" s="4" t="e">
        <f ca="1">[1]!BexGetData("DP_1","003N8EMH8GTFRCSWKMPXRRXR2","GSON1112060763")</f>
        <v>#NAME?</v>
      </c>
      <c r="H824" s="4" t="e">
        <f ca="1">[1]!BexGetData("DP_1","003N8EMH8GTFRCSWKMPXRS42M","GSON1112060763")</f>
        <v>#NAME?</v>
      </c>
      <c r="I824" s="4" t="e">
        <f ca="1">[1]!BexGetData("DP_1","003N8EMH8GTFRCSWKMPXRSAE6","GSON1112060763")</f>
        <v>#NAME?</v>
      </c>
      <c r="J824" s="4" t="e">
        <f ca="1">[1]!BexGetData("DP_1","003N8EMH8GTFRCSWKMPXRSGPQ","GSON1112060763")</f>
        <v>#NAME?</v>
      </c>
      <c r="K824" s="3" t="e">
        <f ca="1">[1]!BexGetData("DP_1","003N8EMH8GTFRIVNUPY288VJH","GSON1112060763")</f>
        <v>#NAME?</v>
      </c>
      <c r="L824" s="3" t="e">
        <f ca="1">[1]!BexGetData("DP_1","003N8EMH8GTFRIVNUPY2891V1","GSON1112060763")</f>
        <v>#NAME?</v>
      </c>
      <c r="M824" s="8" t="e">
        <f ca="1">[1]!BexGetData("DP_1","003N8EMH8GTFRIVOG7KG9IQXA","GSON1112060763")</f>
        <v>#NAME?</v>
      </c>
      <c r="N824" s="3" t="e">
        <f ca="1">[1]!BexGetData("DP_1","003N8EMH8GTFRIVOG7KG9IX8U","GSON1112060763")</f>
        <v>#NAME?</v>
      </c>
      <c r="O824" s="8" t="e">
        <f ca="1">[1]!BexGetData("DP_1","003N8EMH8GTFRIVOG7KG9J3KE","GSON1112060763")</f>
        <v>#NAME?</v>
      </c>
      <c r="P824" s="3" t="e">
        <f ca="1">[1]!BexGetData("DP_1","003N8EMH8GTFRIVOG7KG9J9VY","GSON1112060763")</f>
        <v>#NAME?</v>
      </c>
      <c r="Q824" s="4" t="e">
        <f ca="1">[1]!BexGetData("DP_1","00O2TNJGODT0G5Z4TTKYMM5MT","GSON1112060763")</f>
        <v>#NAME?</v>
      </c>
      <c r="R824" s="4" t="e">
        <f ca="1">[1]!BexGetData("DP_1","00O2TNJGODT0G5Z4TTKYMMBYD","GSON1112060763")</f>
        <v>#NAME?</v>
      </c>
      <c r="S824" s="4" t="e">
        <f ca="1">[1]!BexGetData("DP_1","00O2TNJGODT0G5Z4TTKYMMI9X","GSON1112060763")</f>
        <v>#NAME?</v>
      </c>
      <c r="T824" s="4" t="e">
        <f ca="1">[1]!BexGetData("DP_1","00O2TNJGODT0G5Z4TTKYMMOLH","GSON1112060763")</f>
        <v>#NAME?</v>
      </c>
      <c r="U824" s="4" t="e">
        <f ca="1">[1]!BexGetData("DP_1","00O2TNJGODT0G5Z4TTKYMMUX1","GSON1112060763")</f>
        <v>#NAME?</v>
      </c>
      <c r="V824" s="4" t="e">
        <f ca="1">[1]!BexGetData("DP_1","00O2TNJGODT0G5Z4TTKYMN18L","GSON1112060763")</f>
        <v>#NAME?</v>
      </c>
      <c r="W824" s="4" t="e">
        <f ca="1">[1]!BexGetData("DP_1","00O2TNJGODT0G5Z4TTKYMN7K5","GSON1112060763")</f>
        <v>#NAME?</v>
      </c>
    </row>
    <row r="825" spans="1:23" x14ac:dyDescent="0.2">
      <c r="A825" s="16" t="s">
        <v>2977</v>
      </c>
      <c r="B825" s="7" t="s">
        <v>2978</v>
      </c>
      <c r="C825" s="3" t="e">
        <f ca="1">[1]!BexGetData("DP_1","003N8EMH8GTFRCSWKMPXRR8GU","GSON1112060764")</f>
        <v>#NAME?</v>
      </c>
      <c r="D825" s="3" t="e">
        <f ca="1">[1]!BexGetData("DP_1","003N8EMH8GTFRCSWKMPXRRESE","GSON1112060764")</f>
        <v>#NAME?</v>
      </c>
      <c r="E825" s="3" t="e">
        <f ca="1">[1]!BexGetData("DP_1","003N8EMH8GTFRCSWKMPXRRL3Y","GSON1112060764")</f>
        <v>#NAME?</v>
      </c>
      <c r="F825" s="4" t="e">
        <f ca="1">[1]!BexGetData("DP_1","003N8EMH8GTFRCSWKMPXRRRFI","GSON1112060764")</f>
        <v>#NAME?</v>
      </c>
      <c r="G825" s="4" t="e">
        <f ca="1">[1]!BexGetData("DP_1","003N8EMH8GTFRCSWKMPXRRXR2","GSON1112060764")</f>
        <v>#NAME?</v>
      </c>
      <c r="H825" s="4" t="e">
        <f ca="1">[1]!BexGetData("DP_1","003N8EMH8GTFRCSWKMPXRS42M","GSON1112060764")</f>
        <v>#NAME?</v>
      </c>
      <c r="I825" s="4" t="e">
        <f ca="1">[1]!BexGetData("DP_1","003N8EMH8GTFRCSWKMPXRSAE6","GSON1112060764")</f>
        <v>#NAME?</v>
      </c>
      <c r="J825" s="4" t="e">
        <f ca="1">[1]!BexGetData("DP_1","003N8EMH8GTFRCSWKMPXRSGPQ","GSON1112060764")</f>
        <v>#NAME?</v>
      </c>
      <c r="K825" s="3" t="e">
        <f ca="1">[1]!BexGetData("DP_1","003N8EMH8GTFRIVNUPY288VJH","GSON1112060764")</f>
        <v>#NAME?</v>
      </c>
      <c r="L825" s="3" t="e">
        <f ca="1">[1]!BexGetData("DP_1","003N8EMH8GTFRIVNUPY2891V1","GSON1112060764")</f>
        <v>#NAME?</v>
      </c>
      <c r="M825" s="3" t="e">
        <f ca="1">[1]!BexGetData("DP_1","003N8EMH8GTFRIVOG7KG9IQXA","GSON1112060764")</f>
        <v>#NAME?</v>
      </c>
      <c r="N825" s="8" t="e">
        <f ca="1">[1]!BexGetData("DP_1","003N8EMH8GTFRIVOG7KG9IX8U","GSON1112060764")</f>
        <v>#NAME?</v>
      </c>
      <c r="O825" s="3" t="e">
        <f ca="1">[1]!BexGetData("DP_1","003N8EMH8GTFRIVOG7KG9J3KE","GSON1112060764")</f>
        <v>#NAME?</v>
      </c>
      <c r="P825" s="8" t="e">
        <f ca="1">[1]!BexGetData("DP_1","003N8EMH8GTFRIVOG7KG9J9VY","GSON1112060764")</f>
        <v>#NAME?</v>
      </c>
      <c r="Q825" s="4" t="e">
        <f ca="1">[1]!BexGetData("DP_1","00O2TNJGODT0G5Z4TTKYMM5MT","GSON1112060764")</f>
        <v>#NAME?</v>
      </c>
      <c r="R825" s="4" t="e">
        <f ca="1">[1]!BexGetData("DP_1","00O2TNJGODT0G5Z4TTKYMMBYD","GSON1112060764")</f>
        <v>#NAME?</v>
      </c>
      <c r="S825" s="4" t="e">
        <f ca="1">[1]!BexGetData("DP_1","00O2TNJGODT0G5Z4TTKYMMI9X","GSON1112060764")</f>
        <v>#NAME?</v>
      </c>
      <c r="T825" s="4" t="e">
        <f ca="1">[1]!BexGetData("DP_1","00O2TNJGODT0G5Z4TTKYMMOLH","GSON1112060764")</f>
        <v>#NAME?</v>
      </c>
      <c r="U825" s="4" t="e">
        <f ca="1">[1]!BexGetData("DP_1","00O2TNJGODT0G5Z4TTKYMMUX1","GSON1112060764")</f>
        <v>#NAME?</v>
      </c>
      <c r="V825" s="4" t="e">
        <f ca="1">[1]!BexGetData("DP_1","00O2TNJGODT0G5Z4TTKYMN18L","GSON1112060764")</f>
        <v>#NAME?</v>
      </c>
      <c r="W825" s="4" t="e">
        <f ca="1">[1]!BexGetData("DP_1","00O2TNJGODT0G5Z4TTKYMN7K5","GSON1112060764")</f>
        <v>#NAME?</v>
      </c>
    </row>
    <row r="826" spans="1:23" x14ac:dyDescent="0.2">
      <c r="A826" s="16" t="s">
        <v>2979</v>
      </c>
      <c r="B826" s="7" t="s">
        <v>2980</v>
      </c>
      <c r="C826" s="3" t="e">
        <f ca="1">[1]!BexGetData("DP_1","003N8EMH8GTFRCSWKMPXRR8GU","GSON1112060780")</f>
        <v>#NAME?</v>
      </c>
      <c r="D826" s="3" t="e">
        <f ca="1">[1]!BexGetData("DP_1","003N8EMH8GTFRCSWKMPXRRESE","GSON1112060780")</f>
        <v>#NAME?</v>
      </c>
      <c r="E826" s="3" t="e">
        <f ca="1">[1]!BexGetData("DP_1","003N8EMH8GTFRCSWKMPXRRL3Y","GSON1112060780")</f>
        <v>#NAME?</v>
      </c>
      <c r="F826" s="3" t="e">
        <f ca="1">[1]!BexGetData("DP_1","003N8EMH8GTFRCSWKMPXRRRFI","GSON1112060780")</f>
        <v>#NAME?</v>
      </c>
      <c r="G826" s="3" t="e">
        <f ca="1">[1]!BexGetData("DP_1","003N8EMH8GTFRCSWKMPXRRXR2","GSON1112060780")</f>
        <v>#NAME?</v>
      </c>
      <c r="H826" s="8" t="e">
        <f ca="1">[1]!BexGetData("DP_1","003N8EMH8GTFRCSWKMPXRS42M","GSON1112060780")</f>
        <v>#NAME?</v>
      </c>
      <c r="I826" s="3" t="e">
        <f ca="1">[1]!BexGetData("DP_1","003N8EMH8GTFRCSWKMPXRSAE6","GSON1112060780")</f>
        <v>#NAME?</v>
      </c>
      <c r="J826" s="4" t="e">
        <f ca="1">[1]!BexGetData("DP_1","003N8EMH8GTFRCSWKMPXRSGPQ","GSON1112060780")</f>
        <v>#NAME?</v>
      </c>
      <c r="K826" s="3" t="e">
        <f ca="1">[1]!BexGetData("DP_1","003N8EMH8GTFRIVNUPY288VJH","GSON1112060780")</f>
        <v>#NAME?</v>
      </c>
      <c r="L826" s="3" t="e">
        <f ca="1">[1]!BexGetData("DP_1","003N8EMH8GTFRIVNUPY2891V1","GSON1112060780")</f>
        <v>#NAME?</v>
      </c>
      <c r="M826" s="3" t="e">
        <f ca="1">[1]!BexGetData("DP_1","003N8EMH8GTFRIVOG7KG9IQXA","GSON1112060780")</f>
        <v>#NAME?</v>
      </c>
      <c r="N826" s="8" t="e">
        <f ca="1">[1]!BexGetData("DP_1","003N8EMH8GTFRIVOG7KG9IX8U","GSON1112060780")</f>
        <v>#NAME?</v>
      </c>
      <c r="O826" s="3" t="e">
        <f ca="1">[1]!BexGetData("DP_1","003N8EMH8GTFRIVOG7KG9J3KE","GSON1112060780")</f>
        <v>#NAME?</v>
      </c>
      <c r="P826" s="8" t="e">
        <f ca="1">[1]!BexGetData("DP_1","003N8EMH8GTFRIVOG7KG9J9VY","GSON1112060780")</f>
        <v>#NAME?</v>
      </c>
      <c r="Q826" s="4" t="e">
        <f ca="1">[1]!BexGetData("DP_1","00O2TNJGODT0G5Z4TTKYMM5MT","GSON1112060780")</f>
        <v>#NAME?</v>
      </c>
      <c r="R826" s="3" t="e">
        <f ca="1">[1]!BexGetData("DP_1","00O2TNJGODT0G5Z4TTKYMMBYD","GSON1112060780")</f>
        <v>#NAME?</v>
      </c>
      <c r="S826" s="3" t="e">
        <f ca="1">[1]!BexGetData("DP_1","00O2TNJGODT0G5Z4TTKYMMI9X","GSON1112060780")</f>
        <v>#NAME?</v>
      </c>
      <c r="T826" s="8" t="e">
        <f ca="1">[1]!BexGetData("DP_1","00O2TNJGODT0G5Z4TTKYMMOLH","GSON1112060780")</f>
        <v>#NAME?</v>
      </c>
      <c r="U826" s="3" t="e">
        <f ca="1">[1]!BexGetData("DP_1","00O2TNJGODT0G5Z4TTKYMMUX1","GSON1112060780")</f>
        <v>#NAME?</v>
      </c>
      <c r="V826" s="8" t="e">
        <f ca="1">[1]!BexGetData("DP_1","00O2TNJGODT0G5Z4TTKYMN18L","GSON1112060780")</f>
        <v>#NAME?</v>
      </c>
      <c r="W826" s="3" t="e">
        <f ca="1">[1]!BexGetData("DP_1","00O2TNJGODT0G5Z4TTKYMN7K5","GSON1112060780")</f>
        <v>#NAME?</v>
      </c>
    </row>
    <row r="827" spans="1:23" x14ac:dyDescent="0.2">
      <c r="A827" s="16" t="s">
        <v>2981</v>
      </c>
      <c r="B827" s="7" t="s">
        <v>2982</v>
      </c>
      <c r="C827" s="3" t="e">
        <f ca="1">[1]!BexGetData("DP_1","003N8EMH8GTFRCSWKMPXRR8GU","GSON1112060781")</f>
        <v>#NAME?</v>
      </c>
      <c r="D827" s="3" t="e">
        <f ca="1">[1]!BexGetData("DP_1","003N8EMH8GTFRCSWKMPXRRESE","GSON1112060781")</f>
        <v>#NAME?</v>
      </c>
      <c r="E827" s="8" t="e">
        <f ca="1">[1]!BexGetData("DP_1","003N8EMH8GTFRCSWKMPXRRL3Y","GSON1112060781")</f>
        <v>#NAME?</v>
      </c>
      <c r="F827" s="4" t="e">
        <f ca="1">[1]!BexGetData("DP_1","003N8EMH8GTFRCSWKMPXRRRFI","GSON1112060781")</f>
        <v>#NAME?</v>
      </c>
      <c r="G827" s="4" t="e">
        <f ca="1">[1]!BexGetData("DP_1","003N8EMH8GTFRCSWKMPXRRXR2","GSON1112060781")</f>
        <v>#NAME?</v>
      </c>
      <c r="H827" s="4" t="e">
        <f ca="1">[1]!BexGetData("DP_1","003N8EMH8GTFRCSWKMPXRS42M","GSON1112060781")</f>
        <v>#NAME?</v>
      </c>
      <c r="I827" s="4" t="e">
        <f ca="1">[1]!BexGetData("DP_1","003N8EMH8GTFRCSWKMPXRSAE6","GSON1112060781")</f>
        <v>#NAME?</v>
      </c>
      <c r="J827" s="4" t="e">
        <f ca="1">[1]!BexGetData("DP_1","003N8EMH8GTFRCSWKMPXRSGPQ","GSON1112060781")</f>
        <v>#NAME?</v>
      </c>
      <c r="K827" s="8" t="e">
        <f ca="1">[1]!BexGetData("DP_1","003N8EMH8GTFRIVNUPY288VJH","GSON1112060781")</f>
        <v>#NAME?</v>
      </c>
      <c r="L827" s="8" t="e">
        <f ca="1">[1]!BexGetData("DP_1","003N8EMH8GTFRIVNUPY2891V1","GSON1112060781")</f>
        <v>#NAME?</v>
      </c>
      <c r="M827" s="8" t="e">
        <f ca="1">[1]!BexGetData("DP_1","003N8EMH8GTFRIVOG7KG9IQXA","GSON1112060781")</f>
        <v>#NAME?</v>
      </c>
      <c r="N827" s="8" t="e">
        <f ca="1">[1]!BexGetData("DP_1","003N8EMH8GTFRIVOG7KG9IX8U","GSON1112060781")</f>
        <v>#NAME?</v>
      </c>
      <c r="O827" s="8" t="e">
        <f ca="1">[1]!BexGetData("DP_1","003N8EMH8GTFRIVOG7KG9J3KE","GSON1112060781")</f>
        <v>#NAME?</v>
      </c>
      <c r="P827" s="8" t="e">
        <f ca="1">[1]!BexGetData("DP_1","003N8EMH8GTFRIVOG7KG9J9VY","GSON1112060781")</f>
        <v>#NAME?</v>
      </c>
      <c r="Q827" s="4" t="e">
        <f ca="1">[1]!BexGetData("DP_1","00O2TNJGODT0G5Z4TTKYMM5MT","GSON1112060781")</f>
        <v>#NAME?</v>
      </c>
      <c r="R827" s="4" t="e">
        <f ca="1">[1]!BexGetData("DP_1","00O2TNJGODT0G5Z4TTKYMMBYD","GSON1112060781")</f>
        <v>#NAME?</v>
      </c>
      <c r="S827" s="4" t="e">
        <f ca="1">[1]!BexGetData("DP_1","00O2TNJGODT0G5Z4TTKYMMI9X","GSON1112060781")</f>
        <v>#NAME?</v>
      </c>
      <c r="T827" s="4" t="e">
        <f ca="1">[1]!BexGetData("DP_1","00O2TNJGODT0G5Z4TTKYMMOLH","GSON1112060781")</f>
        <v>#NAME?</v>
      </c>
      <c r="U827" s="4" t="e">
        <f ca="1">[1]!BexGetData("DP_1","00O2TNJGODT0G5Z4TTKYMMUX1","GSON1112060781")</f>
        <v>#NAME?</v>
      </c>
      <c r="V827" s="4" t="e">
        <f ca="1">[1]!BexGetData("DP_1","00O2TNJGODT0G5Z4TTKYMN18L","GSON1112060781")</f>
        <v>#NAME?</v>
      </c>
      <c r="W827" s="4" t="e">
        <f ca="1">[1]!BexGetData("DP_1","00O2TNJGODT0G5Z4TTKYMN7K5","GSON1112060781")</f>
        <v>#NAME?</v>
      </c>
    </row>
    <row r="828" spans="1:23" x14ac:dyDescent="0.2">
      <c r="A828" s="16" t="s">
        <v>2983</v>
      </c>
      <c r="B828" s="7" t="s">
        <v>2984</v>
      </c>
      <c r="C828" s="3" t="e">
        <f ca="1">[1]!BexGetData("DP_1","003N8EMH8GTFRCSWKMPXRR8GU","GSON1112060782")</f>
        <v>#NAME?</v>
      </c>
      <c r="D828" s="3" t="e">
        <f ca="1">[1]!BexGetData("DP_1","003N8EMH8GTFRCSWKMPXRRESE","GSON1112060782")</f>
        <v>#NAME?</v>
      </c>
      <c r="E828" s="8" t="e">
        <f ca="1">[1]!BexGetData("DP_1","003N8EMH8GTFRCSWKMPXRRL3Y","GSON1112060782")</f>
        <v>#NAME?</v>
      </c>
      <c r="F828" s="3" t="e">
        <f ca="1">[1]!BexGetData("DP_1","003N8EMH8GTFRCSWKMPXRRRFI","GSON1112060782")</f>
        <v>#NAME?</v>
      </c>
      <c r="G828" s="8" t="e">
        <f ca="1">[1]!BexGetData("DP_1","003N8EMH8GTFRCSWKMPXRRXR2","GSON1112060782")</f>
        <v>#NAME?</v>
      </c>
      <c r="H828" s="3" t="e">
        <f ca="1">[1]!BexGetData("DP_1","003N8EMH8GTFRCSWKMPXRS42M","GSON1112060782")</f>
        <v>#NAME?</v>
      </c>
      <c r="I828" s="3" t="e">
        <f ca="1">[1]!BexGetData("DP_1","003N8EMH8GTFRCSWKMPXRSAE6","GSON1112060782")</f>
        <v>#NAME?</v>
      </c>
      <c r="J828" s="4" t="e">
        <f ca="1">[1]!BexGetData("DP_1","003N8EMH8GTFRCSWKMPXRSGPQ","GSON1112060782")</f>
        <v>#NAME?</v>
      </c>
      <c r="K828" s="3" t="e">
        <f ca="1">[1]!BexGetData("DP_1","003N8EMH8GTFRIVNUPY288VJH","GSON1112060782")</f>
        <v>#NAME?</v>
      </c>
      <c r="L828" s="3" t="e">
        <f ca="1">[1]!BexGetData("DP_1","003N8EMH8GTFRIVNUPY2891V1","GSON1112060782")</f>
        <v>#NAME?</v>
      </c>
      <c r="M828" s="8" t="e">
        <f ca="1">[1]!BexGetData("DP_1","003N8EMH8GTFRIVOG7KG9IQXA","GSON1112060782")</f>
        <v>#NAME?</v>
      </c>
      <c r="N828" s="3" t="e">
        <f ca="1">[1]!BexGetData("DP_1","003N8EMH8GTFRIVOG7KG9IX8U","GSON1112060782")</f>
        <v>#NAME?</v>
      </c>
      <c r="O828" s="8" t="e">
        <f ca="1">[1]!BexGetData("DP_1","003N8EMH8GTFRIVOG7KG9J3KE","GSON1112060782")</f>
        <v>#NAME?</v>
      </c>
      <c r="P828" s="3" t="e">
        <f ca="1">[1]!BexGetData("DP_1","003N8EMH8GTFRIVOG7KG9J9VY","GSON1112060782")</f>
        <v>#NAME?</v>
      </c>
      <c r="Q828" s="4" t="e">
        <f ca="1">[1]!BexGetData("DP_1","00O2TNJGODT0G5Z4TTKYMM5MT","GSON1112060782")</f>
        <v>#NAME?</v>
      </c>
      <c r="R828" s="3" t="e">
        <f ca="1">[1]!BexGetData("DP_1","00O2TNJGODT0G5Z4TTKYMMBYD","GSON1112060782")</f>
        <v>#NAME?</v>
      </c>
      <c r="S828" s="3" t="e">
        <f ca="1">[1]!BexGetData("DP_1","00O2TNJGODT0G5Z4TTKYMMI9X","GSON1112060782")</f>
        <v>#NAME?</v>
      </c>
      <c r="T828" s="3" t="e">
        <f ca="1">[1]!BexGetData("DP_1","00O2TNJGODT0G5Z4TTKYMMOLH","GSON1112060782")</f>
        <v>#NAME?</v>
      </c>
      <c r="U828" s="8" t="e">
        <f ca="1">[1]!BexGetData("DP_1","00O2TNJGODT0G5Z4TTKYMMUX1","GSON1112060782")</f>
        <v>#NAME?</v>
      </c>
      <c r="V828" s="3" t="e">
        <f ca="1">[1]!BexGetData("DP_1","00O2TNJGODT0G5Z4TTKYMN18L","GSON1112060782")</f>
        <v>#NAME?</v>
      </c>
      <c r="W828" s="8" t="e">
        <f ca="1">[1]!BexGetData("DP_1","00O2TNJGODT0G5Z4TTKYMN7K5","GSON1112060782")</f>
        <v>#NAME?</v>
      </c>
    </row>
    <row r="829" spans="1:23" x14ac:dyDescent="0.2">
      <c r="A829" s="16" t="s">
        <v>2985</v>
      </c>
      <c r="B829" s="7" t="s">
        <v>2986</v>
      </c>
      <c r="C829" s="3" t="e">
        <f ca="1">[1]!BexGetData("DP_1","003N8EMH8GTFRCSWKMPXRR8GU","GSON1112060783")</f>
        <v>#NAME?</v>
      </c>
      <c r="D829" s="3" t="e">
        <f ca="1">[1]!BexGetData("DP_1","003N8EMH8GTFRCSWKMPXRRESE","GSON1112060783")</f>
        <v>#NAME?</v>
      </c>
      <c r="E829" s="8" t="e">
        <f ca="1">[1]!BexGetData("DP_1","003N8EMH8GTFRCSWKMPXRRL3Y","GSON1112060783")</f>
        <v>#NAME?</v>
      </c>
      <c r="F829" s="4" t="e">
        <f ca="1">[1]!BexGetData("DP_1","003N8EMH8GTFRCSWKMPXRRRFI","GSON1112060783")</f>
        <v>#NAME?</v>
      </c>
      <c r="G829" s="4" t="e">
        <f ca="1">[1]!BexGetData("DP_1","003N8EMH8GTFRCSWKMPXRRXR2","GSON1112060783")</f>
        <v>#NAME?</v>
      </c>
      <c r="H829" s="4" t="e">
        <f ca="1">[1]!BexGetData("DP_1","003N8EMH8GTFRCSWKMPXRS42M","GSON1112060783")</f>
        <v>#NAME?</v>
      </c>
      <c r="I829" s="4" t="e">
        <f ca="1">[1]!BexGetData("DP_1","003N8EMH8GTFRCSWKMPXRSAE6","GSON1112060783")</f>
        <v>#NAME?</v>
      </c>
      <c r="J829" s="4" t="e">
        <f ca="1">[1]!BexGetData("DP_1","003N8EMH8GTFRCSWKMPXRSGPQ","GSON1112060783")</f>
        <v>#NAME?</v>
      </c>
      <c r="K829" s="8" t="e">
        <f ca="1">[1]!BexGetData("DP_1","003N8EMH8GTFRIVNUPY288VJH","GSON1112060783")</f>
        <v>#NAME?</v>
      </c>
      <c r="L829" s="8" t="e">
        <f ca="1">[1]!BexGetData("DP_1","003N8EMH8GTFRIVNUPY2891V1","GSON1112060783")</f>
        <v>#NAME?</v>
      </c>
      <c r="M829" s="8" t="e">
        <f ca="1">[1]!BexGetData("DP_1","003N8EMH8GTFRIVOG7KG9IQXA","GSON1112060783")</f>
        <v>#NAME?</v>
      </c>
      <c r="N829" s="8" t="e">
        <f ca="1">[1]!BexGetData("DP_1","003N8EMH8GTFRIVOG7KG9IX8U","GSON1112060783")</f>
        <v>#NAME?</v>
      </c>
      <c r="O829" s="8" t="e">
        <f ca="1">[1]!BexGetData("DP_1","003N8EMH8GTFRIVOG7KG9J3KE","GSON1112060783")</f>
        <v>#NAME?</v>
      </c>
      <c r="P829" s="8" t="e">
        <f ca="1">[1]!BexGetData("DP_1","003N8EMH8GTFRIVOG7KG9J9VY","GSON1112060783")</f>
        <v>#NAME?</v>
      </c>
      <c r="Q829" s="4" t="e">
        <f ca="1">[1]!BexGetData("DP_1","00O2TNJGODT0G5Z4TTKYMM5MT","GSON1112060783")</f>
        <v>#NAME?</v>
      </c>
      <c r="R829" s="4" t="e">
        <f ca="1">[1]!BexGetData("DP_1","00O2TNJGODT0G5Z4TTKYMMBYD","GSON1112060783")</f>
        <v>#NAME?</v>
      </c>
      <c r="S829" s="4" t="e">
        <f ca="1">[1]!BexGetData("DP_1","00O2TNJGODT0G5Z4TTKYMMI9X","GSON1112060783")</f>
        <v>#NAME?</v>
      </c>
      <c r="T829" s="4" t="e">
        <f ca="1">[1]!BexGetData("DP_1","00O2TNJGODT0G5Z4TTKYMMOLH","GSON1112060783")</f>
        <v>#NAME?</v>
      </c>
      <c r="U829" s="4" t="e">
        <f ca="1">[1]!BexGetData("DP_1","00O2TNJGODT0G5Z4TTKYMMUX1","GSON1112060783")</f>
        <v>#NAME?</v>
      </c>
      <c r="V829" s="4" t="e">
        <f ca="1">[1]!BexGetData("DP_1","00O2TNJGODT0G5Z4TTKYMN18L","GSON1112060783")</f>
        <v>#NAME?</v>
      </c>
      <c r="W829" s="4" t="e">
        <f ca="1">[1]!BexGetData("DP_1","00O2TNJGODT0G5Z4TTKYMN7K5","GSON1112060783")</f>
        <v>#NAME?</v>
      </c>
    </row>
    <row r="830" spans="1:23" x14ac:dyDescent="0.2">
      <c r="A830" s="16" t="s">
        <v>2987</v>
      </c>
      <c r="B830" s="7" t="s">
        <v>2988</v>
      </c>
      <c r="C830" s="3" t="e">
        <f ca="1">[1]!BexGetData("DP_1","003N8EMH8GTFRCSWKMPXRR8GU","GSON1112060784")</f>
        <v>#NAME?</v>
      </c>
      <c r="D830" s="3" t="e">
        <f ca="1">[1]!BexGetData("DP_1","003N8EMH8GTFRCSWKMPXRRESE","GSON1112060784")</f>
        <v>#NAME?</v>
      </c>
      <c r="E830" s="8" t="e">
        <f ca="1">[1]!BexGetData("DP_1","003N8EMH8GTFRCSWKMPXRRL3Y","GSON1112060784")</f>
        <v>#NAME?</v>
      </c>
      <c r="F830" s="4" t="e">
        <f ca="1">[1]!BexGetData("DP_1","003N8EMH8GTFRCSWKMPXRRRFI","GSON1112060784")</f>
        <v>#NAME?</v>
      </c>
      <c r="G830" s="4" t="e">
        <f ca="1">[1]!BexGetData("DP_1","003N8EMH8GTFRCSWKMPXRRXR2","GSON1112060784")</f>
        <v>#NAME?</v>
      </c>
      <c r="H830" s="4" t="e">
        <f ca="1">[1]!BexGetData("DP_1","003N8EMH8GTFRCSWKMPXRS42M","GSON1112060784")</f>
        <v>#NAME?</v>
      </c>
      <c r="I830" s="4" t="e">
        <f ca="1">[1]!BexGetData("DP_1","003N8EMH8GTFRCSWKMPXRSAE6","GSON1112060784")</f>
        <v>#NAME?</v>
      </c>
      <c r="J830" s="4" t="e">
        <f ca="1">[1]!BexGetData("DP_1","003N8EMH8GTFRCSWKMPXRSGPQ","GSON1112060784")</f>
        <v>#NAME?</v>
      </c>
      <c r="K830" s="8" t="e">
        <f ca="1">[1]!BexGetData("DP_1","003N8EMH8GTFRIVNUPY288VJH","GSON1112060784")</f>
        <v>#NAME?</v>
      </c>
      <c r="L830" s="8" t="e">
        <f ca="1">[1]!BexGetData("DP_1","003N8EMH8GTFRIVNUPY2891V1","GSON1112060784")</f>
        <v>#NAME?</v>
      </c>
      <c r="M830" s="8" t="e">
        <f ca="1">[1]!BexGetData("DP_1","003N8EMH8GTFRIVOG7KG9IQXA","GSON1112060784")</f>
        <v>#NAME?</v>
      </c>
      <c r="N830" s="8" t="e">
        <f ca="1">[1]!BexGetData("DP_1","003N8EMH8GTFRIVOG7KG9IX8U","GSON1112060784")</f>
        <v>#NAME?</v>
      </c>
      <c r="O830" s="8" t="e">
        <f ca="1">[1]!BexGetData("DP_1","003N8EMH8GTFRIVOG7KG9J3KE","GSON1112060784")</f>
        <v>#NAME?</v>
      </c>
      <c r="P830" s="8" t="e">
        <f ca="1">[1]!BexGetData("DP_1","003N8EMH8GTFRIVOG7KG9J9VY","GSON1112060784")</f>
        <v>#NAME?</v>
      </c>
      <c r="Q830" s="4" t="e">
        <f ca="1">[1]!BexGetData("DP_1","00O2TNJGODT0G5Z4TTKYMM5MT","GSON1112060784")</f>
        <v>#NAME?</v>
      </c>
      <c r="R830" s="4" t="e">
        <f ca="1">[1]!BexGetData("DP_1","00O2TNJGODT0G5Z4TTKYMMBYD","GSON1112060784")</f>
        <v>#NAME?</v>
      </c>
      <c r="S830" s="4" t="e">
        <f ca="1">[1]!BexGetData("DP_1","00O2TNJGODT0G5Z4TTKYMMI9X","GSON1112060784")</f>
        <v>#NAME?</v>
      </c>
      <c r="T830" s="4" t="e">
        <f ca="1">[1]!BexGetData("DP_1","00O2TNJGODT0G5Z4TTKYMMOLH","GSON1112060784")</f>
        <v>#NAME?</v>
      </c>
      <c r="U830" s="4" t="e">
        <f ca="1">[1]!BexGetData("DP_1","00O2TNJGODT0G5Z4TTKYMMUX1","GSON1112060784")</f>
        <v>#NAME?</v>
      </c>
      <c r="V830" s="4" t="e">
        <f ca="1">[1]!BexGetData("DP_1","00O2TNJGODT0G5Z4TTKYMN18L","GSON1112060784")</f>
        <v>#NAME?</v>
      </c>
      <c r="W830" s="4" t="e">
        <f ca="1">[1]!BexGetData("DP_1","00O2TNJGODT0G5Z4TTKYMN7K5","GSON1112060784")</f>
        <v>#NAME?</v>
      </c>
    </row>
    <row r="831" spans="1:23" x14ac:dyDescent="0.2">
      <c r="A831" s="16" t="s">
        <v>2989</v>
      </c>
      <c r="B831" s="7" t="s">
        <v>2990</v>
      </c>
      <c r="C831" s="3" t="e">
        <f ca="1">[1]!BexGetData("DP_1","003N8EMH8GTFRCSWKMPXRR8GU","GSON1112060785")</f>
        <v>#NAME?</v>
      </c>
      <c r="D831" s="3" t="e">
        <f ca="1">[1]!BexGetData("DP_1","003N8EMH8GTFRCSWKMPXRRESE","GSON1112060785")</f>
        <v>#NAME?</v>
      </c>
      <c r="E831" s="8" t="e">
        <f ca="1">[1]!BexGetData("DP_1","003N8EMH8GTFRCSWKMPXRRL3Y","GSON1112060785")</f>
        <v>#NAME?</v>
      </c>
      <c r="F831" s="4" t="e">
        <f ca="1">[1]!BexGetData("DP_1","003N8EMH8GTFRCSWKMPXRRRFI","GSON1112060785")</f>
        <v>#NAME?</v>
      </c>
      <c r="G831" s="4" t="e">
        <f ca="1">[1]!BexGetData("DP_1","003N8EMH8GTFRCSWKMPXRRXR2","GSON1112060785")</f>
        <v>#NAME?</v>
      </c>
      <c r="H831" s="4" t="e">
        <f ca="1">[1]!BexGetData("DP_1","003N8EMH8GTFRCSWKMPXRS42M","GSON1112060785")</f>
        <v>#NAME?</v>
      </c>
      <c r="I831" s="4" t="e">
        <f ca="1">[1]!BexGetData("DP_1","003N8EMH8GTFRCSWKMPXRSAE6","GSON1112060785")</f>
        <v>#NAME?</v>
      </c>
      <c r="J831" s="4" t="e">
        <f ca="1">[1]!BexGetData("DP_1","003N8EMH8GTFRCSWKMPXRSGPQ","GSON1112060785")</f>
        <v>#NAME?</v>
      </c>
      <c r="K831" s="8" t="e">
        <f ca="1">[1]!BexGetData("DP_1","003N8EMH8GTFRIVNUPY288VJH","GSON1112060785")</f>
        <v>#NAME?</v>
      </c>
      <c r="L831" s="8" t="e">
        <f ca="1">[1]!BexGetData("DP_1","003N8EMH8GTFRIVNUPY2891V1","GSON1112060785")</f>
        <v>#NAME?</v>
      </c>
      <c r="M831" s="8" t="e">
        <f ca="1">[1]!BexGetData("DP_1","003N8EMH8GTFRIVOG7KG9IQXA","GSON1112060785")</f>
        <v>#NAME?</v>
      </c>
      <c r="N831" s="8" t="e">
        <f ca="1">[1]!BexGetData("DP_1","003N8EMH8GTFRIVOG7KG9IX8U","GSON1112060785")</f>
        <v>#NAME?</v>
      </c>
      <c r="O831" s="8" t="e">
        <f ca="1">[1]!BexGetData("DP_1","003N8EMH8GTFRIVOG7KG9J3KE","GSON1112060785")</f>
        <v>#NAME?</v>
      </c>
      <c r="P831" s="8" t="e">
        <f ca="1">[1]!BexGetData("DP_1","003N8EMH8GTFRIVOG7KG9J9VY","GSON1112060785")</f>
        <v>#NAME?</v>
      </c>
      <c r="Q831" s="4" t="e">
        <f ca="1">[1]!BexGetData("DP_1","00O2TNJGODT0G5Z4TTKYMM5MT","GSON1112060785")</f>
        <v>#NAME?</v>
      </c>
      <c r="R831" s="4" t="e">
        <f ca="1">[1]!BexGetData("DP_1","00O2TNJGODT0G5Z4TTKYMMBYD","GSON1112060785")</f>
        <v>#NAME?</v>
      </c>
      <c r="S831" s="4" t="e">
        <f ca="1">[1]!BexGetData("DP_1","00O2TNJGODT0G5Z4TTKYMMI9X","GSON1112060785")</f>
        <v>#NAME?</v>
      </c>
      <c r="T831" s="4" t="e">
        <f ca="1">[1]!BexGetData("DP_1","00O2TNJGODT0G5Z4TTKYMMOLH","GSON1112060785")</f>
        <v>#NAME?</v>
      </c>
      <c r="U831" s="4" t="e">
        <f ca="1">[1]!BexGetData("DP_1","00O2TNJGODT0G5Z4TTKYMMUX1","GSON1112060785")</f>
        <v>#NAME?</v>
      </c>
      <c r="V831" s="4" t="e">
        <f ca="1">[1]!BexGetData("DP_1","00O2TNJGODT0G5Z4TTKYMN18L","GSON1112060785")</f>
        <v>#NAME?</v>
      </c>
      <c r="W831" s="4" t="e">
        <f ca="1">[1]!BexGetData("DP_1","00O2TNJGODT0G5Z4TTKYMN7K5","GSON1112060785")</f>
        <v>#NAME?</v>
      </c>
    </row>
    <row r="832" spans="1:23" x14ac:dyDescent="0.2">
      <c r="A832" s="16" t="s">
        <v>2991</v>
      </c>
      <c r="B832" s="7" t="s">
        <v>2992</v>
      </c>
      <c r="C832" s="3" t="e">
        <f ca="1">[1]!BexGetData("DP_1","003N8EMH8GTFRCSWKMPXRR8GU","GSON1112060790")</f>
        <v>#NAME?</v>
      </c>
      <c r="D832" s="3" t="e">
        <f ca="1">[1]!BexGetData("DP_1","003N8EMH8GTFRCSWKMPXRRESE","GSON1112060790")</f>
        <v>#NAME?</v>
      </c>
      <c r="E832" s="3" t="e">
        <f ca="1">[1]!BexGetData("DP_1","003N8EMH8GTFRCSWKMPXRRL3Y","GSON1112060790")</f>
        <v>#NAME?</v>
      </c>
      <c r="F832" s="3" t="e">
        <f ca="1">[1]!BexGetData("DP_1","003N8EMH8GTFRCSWKMPXRRRFI","GSON1112060790")</f>
        <v>#NAME?</v>
      </c>
      <c r="G832" s="3" t="e">
        <f ca="1">[1]!BexGetData("DP_1","003N8EMH8GTFRCSWKMPXRRXR2","GSON1112060790")</f>
        <v>#NAME?</v>
      </c>
      <c r="H832" s="8" t="e">
        <f ca="1">[1]!BexGetData("DP_1","003N8EMH8GTFRCSWKMPXRS42M","GSON1112060790")</f>
        <v>#NAME?</v>
      </c>
      <c r="I832" s="3" t="e">
        <f ca="1">[1]!BexGetData("DP_1","003N8EMH8GTFRCSWKMPXRSAE6","GSON1112060790")</f>
        <v>#NAME?</v>
      </c>
      <c r="J832" s="4" t="e">
        <f ca="1">[1]!BexGetData("DP_1","003N8EMH8GTFRCSWKMPXRSGPQ","GSON1112060790")</f>
        <v>#NAME?</v>
      </c>
      <c r="K832" s="3" t="e">
        <f ca="1">[1]!BexGetData("DP_1","003N8EMH8GTFRIVNUPY288VJH","GSON1112060790")</f>
        <v>#NAME?</v>
      </c>
      <c r="L832" s="3" t="e">
        <f ca="1">[1]!BexGetData("DP_1","003N8EMH8GTFRIVNUPY2891V1","GSON1112060790")</f>
        <v>#NAME?</v>
      </c>
      <c r="M832" s="3" t="e">
        <f ca="1">[1]!BexGetData("DP_1","003N8EMH8GTFRIVOG7KG9IQXA","GSON1112060790")</f>
        <v>#NAME?</v>
      </c>
      <c r="N832" s="8" t="e">
        <f ca="1">[1]!BexGetData("DP_1","003N8EMH8GTFRIVOG7KG9IX8U","GSON1112060790")</f>
        <v>#NAME?</v>
      </c>
      <c r="O832" s="3" t="e">
        <f ca="1">[1]!BexGetData("DP_1","003N8EMH8GTFRIVOG7KG9J3KE","GSON1112060790")</f>
        <v>#NAME?</v>
      </c>
      <c r="P832" s="8" t="e">
        <f ca="1">[1]!BexGetData("DP_1","003N8EMH8GTFRIVOG7KG9J9VY","GSON1112060790")</f>
        <v>#NAME?</v>
      </c>
      <c r="Q832" s="4" t="e">
        <f ca="1">[1]!BexGetData("DP_1","00O2TNJGODT0G5Z4TTKYMM5MT","GSON1112060790")</f>
        <v>#NAME?</v>
      </c>
      <c r="R832" s="3" t="e">
        <f ca="1">[1]!BexGetData("DP_1","00O2TNJGODT0G5Z4TTKYMMBYD","GSON1112060790")</f>
        <v>#NAME?</v>
      </c>
      <c r="S832" s="3" t="e">
        <f ca="1">[1]!BexGetData("DP_1","00O2TNJGODT0G5Z4TTKYMMI9X","GSON1112060790")</f>
        <v>#NAME?</v>
      </c>
      <c r="T832" s="8" t="e">
        <f ca="1">[1]!BexGetData("DP_1","00O2TNJGODT0G5Z4TTKYMMOLH","GSON1112060790")</f>
        <v>#NAME?</v>
      </c>
      <c r="U832" s="3" t="e">
        <f ca="1">[1]!BexGetData("DP_1","00O2TNJGODT0G5Z4TTKYMMUX1","GSON1112060790")</f>
        <v>#NAME?</v>
      </c>
      <c r="V832" s="8" t="e">
        <f ca="1">[1]!BexGetData("DP_1","00O2TNJGODT0G5Z4TTKYMN18L","GSON1112060790")</f>
        <v>#NAME?</v>
      </c>
      <c r="W832" s="3" t="e">
        <f ca="1">[1]!BexGetData("DP_1","00O2TNJGODT0G5Z4TTKYMN7K5","GSON1112060790")</f>
        <v>#NAME?</v>
      </c>
    </row>
    <row r="833" spans="1:23" x14ac:dyDescent="0.2">
      <c r="A833" s="16" t="s">
        <v>2993</v>
      </c>
      <c r="B833" s="7" t="s">
        <v>2994</v>
      </c>
      <c r="C833" s="3" t="e">
        <f ca="1">[1]!BexGetData("DP_1","003N8EMH8GTFRCSWKMPXRR8GU","GSON1112060791")</f>
        <v>#NAME?</v>
      </c>
      <c r="D833" s="3" t="e">
        <f ca="1">[1]!BexGetData("DP_1","003N8EMH8GTFRCSWKMPXRRESE","GSON1112060791")</f>
        <v>#NAME?</v>
      </c>
      <c r="E833" s="8" t="e">
        <f ca="1">[1]!BexGetData("DP_1","003N8EMH8GTFRCSWKMPXRRL3Y","GSON1112060791")</f>
        <v>#NAME?</v>
      </c>
      <c r="F833" s="4" t="e">
        <f ca="1">[1]!BexGetData("DP_1","003N8EMH8GTFRCSWKMPXRRRFI","GSON1112060791")</f>
        <v>#NAME?</v>
      </c>
      <c r="G833" s="4" t="e">
        <f ca="1">[1]!BexGetData("DP_1","003N8EMH8GTFRCSWKMPXRRXR2","GSON1112060791")</f>
        <v>#NAME?</v>
      </c>
      <c r="H833" s="4" t="e">
        <f ca="1">[1]!BexGetData("DP_1","003N8EMH8GTFRCSWKMPXRS42M","GSON1112060791")</f>
        <v>#NAME?</v>
      </c>
      <c r="I833" s="4" t="e">
        <f ca="1">[1]!BexGetData("DP_1","003N8EMH8GTFRCSWKMPXRSAE6","GSON1112060791")</f>
        <v>#NAME?</v>
      </c>
      <c r="J833" s="4" t="e">
        <f ca="1">[1]!BexGetData("DP_1","003N8EMH8GTFRCSWKMPXRSGPQ","GSON1112060791")</f>
        <v>#NAME?</v>
      </c>
      <c r="K833" s="8" t="e">
        <f ca="1">[1]!BexGetData("DP_1","003N8EMH8GTFRIVNUPY288VJH","GSON1112060791")</f>
        <v>#NAME?</v>
      </c>
      <c r="L833" s="8" t="e">
        <f ca="1">[1]!BexGetData("DP_1","003N8EMH8GTFRIVNUPY2891V1","GSON1112060791")</f>
        <v>#NAME?</v>
      </c>
      <c r="M833" s="8" t="e">
        <f ca="1">[1]!BexGetData("DP_1","003N8EMH8GTFRIVOG7KG9IQXA","GSON1112060791")</f>
        <v>#NAME?</v>
      </c>
      <c r="N833" s="8" t="e">
        <f ca="1">[1]!BexGetData("DP_1","003N8EMH8GTFRIVOG7KG9IX8U","GSON1112060791")</f>
        <v>#NAME?</v>
      </c>
      <c r="O833" s="8" t="e">
        <f ca="1">[1]!BexGetData("DP_1","003N8EMH8GTFRIVOG7KG9J3KE","GSON1112060791")</f>
        <v>#NAME?</v>
      </c>
      <c r="P833" s="8" t="e">
        <f ca="1">[1]!BexGetData("DP_1","003N8EMH8GTFRIVOG7KG9J9VY","GSON1112060791")</f>
        <v>#NAME?</v>
      </c>
      <c r="Q833" s="4" t="e">
        <f ca="1">[1]!BexGetData("DP_1","00O2TNJGODT0G5Z4TTKYMM5MT","GSON1112060791")</f>
        <v>#NAME?</v>
      </c>
      <c r="R833" s="4" t="e">
        <f ca="1">[1]!BexGetData("DP_1","00O2TNJGODT0G5Z4TTKYMMBYD","GSON1112060791")</f>
        <v>#NAME?</v>
      </c>
      <c r="S833" s="4" t="e">
        <f ca="1">[1]!BexGetData("DP_1","00O2TNJGODT0G5Z4TTKYMMI9X","GSON1112060791")</f>
        <v>#NAME?</v>
      </c>
      <c r="T833" s="4" t="e">
        <f ca="1">[1]!BexGetData("DP_1","00O2TNJGODT0G5Z4TTKYMMOLH","GSON1112060791")</f>
        <v>#NAME?</v>
      </c>
      <c r="U833" s="4" t="e">
        <f ca="1">[1]!BexGetData("DP_1","00O2TNJGODT0G5Z4TTKYMMUX1","GSON1112060791")</f>
        <v>#NAME?</v>
      </c>
      <c r="V833" s="4" t="e">
        <f ca="1">[1]!BexGetData("DP_1","00O2TNJGODT0G5Z4TTKYMN18L","GSON1112060791")</f>
        <v>#NAME?</v>
      </c>
      <c r="W833" s="4" t="e">
        <f ca="1">[1]!BexGetData("DP_1","00O2TNJGODT0G5Z4TTKYMN7K5","GSON1112060791")</f>
        <v>#NAME?</v>
      </c>
    </row>
    <row r="834" spans="1:23" x14ac:dyDescent="0.2">
      <c r="A834" s="16" t="s">
        <v>2995</v>
      </c>
      <c r="B834" s="7" t="s">
        <v>2996</v>
      </c>
      <c r="C834" s="3" t="e">
        <f ca="1">[1]!BexGetData("DP_1","003N8EMH8GTFRCSWKMPXRR8GU","GSON1112060793")</f>
        <v>#NAME?</v>
      </c>
      <c r="D834" s="3" t="e">
        <f ca="1">[1]!BexGetData("DP_1","003N8EMH8GTFRCSWKMPXRRESE","GSON1112060793")</f>
        <v>#NAME?</v>
      </c>
      <c r="E834" s="8" t="e">
        <f ca="1">[1]!BexGetData("DP_1","003N8EMH8GTFRCSWKMPXRRL3Y","GSON1112060793")</f>
        <v>#NAME?</v>
      </c>
      <c r="F834" s="4" t="e">
        <f ca="1">[1]!BexGetData("DP_1","003N8EMH8GTFRCSWKMPXRRRFI","GSON1112060793")</f>
        <v>#NAME?</v>
      </c>
      <c r="G834" s="4" t="e">
        <f ca="1">[1]!BexGetData("DP_1","003N8EMH8GTFRCSWKMPXRRXR2","GSON1112060793")</f>
        <v>#NAME?</v>
      </c>
      <c r="H834" s="4" t="e">
        <f ca="1">[1]!BexGetData("DP_1","003N8EMH8GTFRCSWKMPXRS42M","GSON1112060793")</f>
        <v>#NAME?</v>
      </c>
      <c r="I834" s="4" t="e">
        <f ca="1">[1]!BexGetData("DP_1","003N8EMH8GTFRCSWKMPXRSAE6","GSON1112060793")</f>
        <v>#NAME?</v>
      </c>
      <c r="J834" s="4" t="e">
        <f ca="1">[1]!BexGetData("DP_1","003N8EMH8GTFRCSWKMPXRSGPQ","GSON1112060793")</f>
        <v>#NAME?</v>
      </c>
      <c r="K834" s="8" t="e">
        <f ca="1">[1]!BexGetData("DP_1","003N8EMH8GTFRIVNUPY288VJH","GSON1112060793")</f>
        <v>#NAME?</v>
      </c>
      <c r="L834" s="8" t="e">
        <f ca="1">[1]!BexGetData("DP_1","003N8EMH8GTFRIVNUPY2891V1","GSON1112060793")</f>
        <v>#NAME?</v>
      </c>
      <c r="M834" s="8" t="e">
        <f ca="1">[1]!BexGetData("DP_1","003N8EMH8GTFRIVOG7KG9IQXA","GSON1112060793")</f>
        <v>#NAME?</v>
      </c>
      <c r="N834" s="8" t="e">
        <f ca="1">[1]!BexGetData("DP_1","003N8EMH8GTFRIVOG7KG9IX8U","GSON1112060793")</f>
        <v>#NAME?</v>
      </c>
      <c r="O834" s="8" t="e">
        <f ca="1">[1]!BexGetData("DP_1","003N8EMH8GTFRIVOG7KG9J3KE","GSON1112060793")</f>
        <v>#NAME?</v>
      </c>
      <c r="P834" s="8" t="e">
        <f ca="1">[1]!BexGetData("DP_1","003N8EMH8GTFRIVOG7KG9J9VY","GSON1112060793")</f>
        <v>#NAME?</v>
      </c>
      <c r="Q834" s="4" t="e">
        <f ca="1">[1]!BexGetData("DP_1","00O2TNJGODT0G5Z4TTKYMM5MT","GSON1112060793")</f>
        <v>#NAME?</v>
      </c>
      <c r="R834" s="4" t="e">
        <f ca="1">[1]!BexGetData("DP_1","00O2TNJGODT0G5Z4TTKYMMBYD","GSON1112060793")</f>
        <v>#NAME?</v>
      </c>
      <c r="S834" s="4" t="e">
        <f ca="1">[1]!BexGetData("DP_1","00O2TNJGODT0G5Z4TTKYMMI9X","GSON1112060793")</f>
        <v>#NAME?</v>
      </c>
      <c r="T834" s="4" t="e">
        <f ca="1">[1]!BexGetData("DP_1","00O2TNJGODT0G5Z4TTKYMMOLH","GSON1112060793")</f>
        <v>#NAME?</v>
      </c>
      <c r="U834" s="4" t="e">
        <f ca="1">[1]!BexGetData("DP_1","00O2TNJGODT0G5Z4TTKYMMUX1","GSON1112060793")</f>
        <v>#NAME?</v>
      </c>
      <c r="V834" s="4" t="e">
        <f ca="1">[1]!BexGetData("DP_1","00O2TNJGODT0G5Z4TTKYMN18L","GSON1112060793")</f>
        <v>#NAME?</v>
      </c>
      <c r="W834" s="4" t="e">
        <f ca="1">[1]!BexGetData("DP_1","00O2TNJGODT0G5Z4TTKYMN7K5","GSON1112060793")</f>
        <v>#NAME?</v>
      </c>
    </row>
    <row r="835" spans="1:23" x14ac:dyDescent="0.2">
      <c r="A835" s="16" t="s">
        <v>2997</v>
      </c>
      <c r="B835" s="7" t="s">
        <v>2998</v>
      </c>
      <c r="C835" s="3" t="e">
        <f ca="1">[1]!BexGetData("DP_1","003N8EMH8GTFRCSWKMPXRR8GU","GSON1112060794")</f>
        <v>#NAME?</v>
      </c>
      <c r="D835" s="3" t="e">
        <f ca="1">[1]!BexGetData("DP_1","003N8EMH8GTFRCSWKMPXRRESE","GSON1112060794")</f>
        <v>#NAME?</v>
      </c>
      <c r="E835" s="8" t="e">
        <f ca="1">[1]!BexGetData("DP_1","003N8EMH8GTFRCSWKMPXRRL3Y","GSON1112060794")</f>
        <v>#NAME?</v>
      </c>
      <c r="F835" s="4" t="e">
        <f ca="1">[1]!BexGetData("DP_1","003N8EMH8GTFRCSWKMPXRRRFI","GSON1112060794")</f>
        <v>#NAME?</v>
      </c>
      <c r="G835" s="4" t="e">
        <f ca="1">[1]!BexGetData("DP_1","003N8EMH8GTFRCSWKMPXRRXR2","GSON1112060794")</f>
        <v>#NAME?</v>
      </c>
      <c r="H835" s="4" t="e">
        <f ca="1">[1]!BexGetData("DP_1","003N8EMH8GTFRCSWKMPXRS42M","GSON1112060794")</f>
        <v>#NAME?</v>
      </c>
      <c r="I835" s="4" t="e">
        <f ca="1">[1]!BexGetData("DP_1","003N8EMH8GTFRCSWKMPXRSAE6","GSON1112060794")</f>
        <v>#NAME?</v>
      </c>
      <c r="J835" s="4" t="e">
        <f ca="1">[1]!BexGetData("DP_1","003N8EMH8GTFRCSWKMPXRSGPQ","GSON1112060794")</f>
        <v>#NAME?</v>
      </c>
      <c r="K835" s="8" t="e">
        <f ca="1">[1]!BexGetData("DP_1","003N8EMH8GTFRIVNUPY288VJH","GSON1112060794")</f>
        <v>#NAME?</v>
      </c>
      <c r="L835" s="8" t="e">
        <f ca="1">[1]!BexGetData("DP_1","003N8EMH8GTFRIVNUPY2891V1","GSON1112060794")</f>
        <v>#NAME?</v>
      </c>
      <c r="M835" s="8" t="e">
        <f ca="1">[1]!BexGetData("DP_1","003N8EMH8GTFRIVOG7KG9IQXA","GSON1112060794")</f>
        <v>#NAME?</v>
      </c>
      <c r="N835" s="8" t="e">
        <f ca="1">[1]!BexGetData("DP_1","003N8EMH8GTFRIVOG7KG9IX8U","GSON1112060794")</f>
        <v>#NAME?</v>
      </c>
      <c r="O835" s="8" t="e">
        <f ca="1">[1]!BexGetData("DP_1","003N8EMH8GTFRIVOG7KG9J3KE","GSON1112060794")</f>
        <v>#NAME?</v>
      </c>
      <c r="P835" s="8" t="e">
        <f ca="1">[1]!BexGetData("DP_1","003N8EMH8GTFRIVOG7KG9J9VY","GSON1112060794")</f>
        <v>#NAME?</v>
      </c>
      <c r="Q835" s="4" t="e">
        <f ca="1">[1]!BexGetData("DP_1","00O2TNJGODT0G5Z4TTKYMM5MT","GSON1112060794")</f>
        <v>#NAME?</v>
      </c>
      <c r="R835" s="4" t="e">
        <f ca="1">[1]!BexGetData("DP_1","00O2TNJGODT0G5Z4TTKYMMBYD","GSON1112060794")</f>
        <v>#NAME?</v>
      </c>
      <c r="S835" s="4" t="e">
        <f ca="1">[1]!BexGetData("DP_1","00O2TNJGODT0G5Z4TTKYMMI9X","GSON1112060794")</f>
        <v>#NAME?</v>
      </c>
      <c r="T835" s="4" t="e">
        <f ca="1">[1]!BexGetData("DP_1","00O2TNJGODT0G5Z4TTKYMMOLH","GSON1112060794")</f>
        <v>#NAME?</v>
      </c>
      <c r="U835" s="4" t="e">
        <f ca="1">[1]!BexGetData("DP_1","00O2TNJGODT0G5Z4TTKYMMUX1","GSON1112060794")</f>
        <v>#NAME?</v>
      </c>
      <c r="V835" s="4" t="e">
        <f ca="1">[1]!BexGetData("DP_1","00O2TNJGODT0G5Z4TTKYMN18L","GSON1112060794")</f>
        <v>#NAME?</v>
      </c>
      <c r="W835" s="4" t="e">
        <f ca="1">[1]!BexGetData("DP_1","00O2TNJGODT0G5Z4TTKYMN7K5","GSON1112060794")</f>
        <v>#NAME?</v>
      </c>
    </row>
    <row r="836" spans="1:23" x14ac:dyDescent="0.2">
      <c r="A836" s="16" t="s">
        <v>2999</v>
      </c>
      <c r="B836" s="7" t="s">
        <v>3000</v>
      </c>
      <c r="C836" s="3" t="e">
        <f ca="1">[1]!BexGetData("DP_1","003N8EMH8GTFRCSWKMPXRR8GU","GSON1112060795")</f>
        <v>#NAME?</v>
      </c>
      <c r="D836" s="3" t="e">
        <f ca="1">[1]!BexGetData("DP_1","003N8EMH8GTFRCSWKMPXRRESE","GSON1112060795")</f>
        <v>#NAME?</v>
      </c>
      <c r="E836" s="8" t="e">
        <f ca="1">[1]!BexGetData("DP_1","003N8EMH8GTFRCSWKMPXRRL3Y","GSON1112060795")</f>
        <v>#NAME?</v>
      </c>
      <c r="F836" s="4" t="e">
        <f ca="1">[1]!BexGetData("DP_1","003N8EMH8GTFRCSWKMPXRRRFI","GSON1112060795")</f>
        <v>#NAME?</v>
      </c>
      <c r="G836" s="4" t="e">
        <f ca="1">[1]!BexGetData("DP_1","003N8EMH8GTFRCSWKMPXRRXR2","GSON1112060795")</f>
        <v>#NAME?</v>
      </c>
      <c r="H836" s="4" t="e">
        <f ca="1">[1]!BexGetData("DP_1","003N8EMH8GTFRCSWKMPXRS42M","GSON1112060795")</f>
        <v>#NAME?</v>
      </c>
      <c r="I836" s="4" t="e">
        <f ca="1">[1]!BexGetData("DP_1","003N8EMH8GTFRCSWKMPXRSAE6","GSON1112060795")</f>
        <v>#NAME?</v>
      </c>
      <c r="J836" s="4" t="e">
        <f ca="1">[1]!BexGetData("DP_1","003N8EMH8GTFRCSWKMPXRSGPQ","GSON1112060795")</f>
        <v>#NAME?</v>
      </c>
      <c r="K836" s="8" t="e">
        <f ca="1">[1]!BexGetData("DP_1","003N8EMH8GTFRIVNUPY288VJH","GSON1112060795")</f>
        <v>#NAME?</v>
      </c>
      <c r="L836" s="8" t="e">
        <f ca="1">[1]!BexGetData("DP_1","003N8EMH8GTFRIVNUPY2891V1","GSON1112060795")</f>
        <v>#NAME?</v>
      </c>
      <c r="M836" s="8" t="e">
        <f ca="1">[1]!BexGetData("DP_1","003N8EMH8GTFRIVOG7KG9IQXA","GSON1112060795")</f>
        <v>#NAME?</v>
      </c>
      <c r="N836" s="8" t="e">
        <f ca="1">[1]!BexGetData("DP_1","003N8EMH8GTFRIVOG7KG9IX8U","GSON1112060795")</f>
        <v>#NAME?</v>
      </c>
      <c r="O836" s="8" t="e">
        <f ca="1">[1]!BexGetData("DP_1","003N8EMH8GTFRIVOG7KG9J3KE","GSON1112060795")</f>
        <v>#NAME?</v>
      </c>
      <c r="P836" s="8" t="e">
        <f ca="1">[1]!BexGetData("DP_1","003N8EMH8GTFRIVOG7KG9J9VY","GSON1112060795")</f>
        <v>#NAME?</v>
      </c>
      <c r="Q836" s="4" t="e">
        <f ca="1">[1]!BexGetData("DP_1","00O2TNJGODT0G5Z4TTKYMM5MT","GSON1112060795")</f>
        <v>#NAME?</v>
      </c>
      <c r="R836" s="4" t="e">
        <f ca="1">[1]!BexGetData("DP_1","00O2TNJGODT0G5Z4TTKYMMBYD","GSON1112060795")</f>
        <v>#NAME?</v>
      </c>
      <c r="S836" s="4" t="e">
        <f ca="1">[1]!BexGetData("DP_1","00O2TNJGODT0G5Z4TTKYMMI9X","GSON1112060795")</f>
        <v>#NAME?</v>
      </c>
      <c r="T836" s="4" t="e">
        <f ca="1">[1]!BexGetData("DP_1","00O2TNJGODT0G5Z4TTKYMMOLH","GSON1112060795")</f>
        <v>#NAME?</v>
      </c>
      <c r="U836" s="4" t="e">
        <f ca="1">[1]!BexGetData("DP_1","00O2TNJGODT0G5Z4TTKYMMUX1","GSON1112060795")</f>
        <v>#NAME?</v>
      </c>
      <c r="V836" s="4" t="e">
        <f ca="1">[1]!BexGetData("DP_1","00O2TNJGODT0G5Z4TTKYMN18L","GSON1112060795")</f>
        <v>#NAME?</v>
      </c>
      <c r="W836" s="4" t="e">
        <f ca="1">[1]!BexGetData("DP_1","00O2TNJGODT0G5Z4TTKYMN7K5","GSON1112060795")</f>
        <v>#NAME?</v>
      </c>
    </row>
    <row r="837" spans="1:23" x14ac:dyDescent="0.2">
      <c r="A837" s="16" t="s">
        <v>3001</v>
      </c>
      <c r="B837" s="7" t="s">
        <v>3002</v>
      </c>
      <c r="C837" s="3" t="e">
        <f ca="1">[1]!BexGetData("DP_1","003N8EMH8GTFRCSWKMPXRR8GU","GSON1112060800")</f>
        <v>#NAME?</v>
      </c>
      <c r="D837" s="3" t="e">
        <f ca="1">[1]!BexGetData("DP_1","003N8EMH8GTFRCSWKMPXRRESE","GSON1112060800")</f>
        <v>#NAME?</v>
      </c>
      <c r="E837" s="8" t="e">
        <f ca="1">[1]!BexGetData("DP_1","003N8EMH8GTFRCSWKMPXRRL3Y","GSON1112060800")</f>
        <v>#NAME?</v>
      </c>
      <c r="F837" s="3" t="e">
        <f ca="1">[1]!BexGetData("DP_1","003N8EMH8GTFRCSWKMPXRRRFI","GSON1112060800")</f>
        <v>#NAME?</v>
      </c>
      <c r="G837" s="3" t="e">
        <f ca="1">[1]!BexGetData("DP_1","003N8EMH8GTFRCSWKMPXRRXR2","GSON1112060800")</f>
        <v>#NAME?</v>
      </c>
      <c r="H837" s="8" t="e">
        <f ca="1">[1]!BexGetData("DP_1","003N8EMH8GTFRCSWKMPXRS42M","GSON1112060800")</f>
        <v>#NAME?</v>
      </c>
      <c r="I837" s="3" t="e">
        <f ca="1">[1]!BexGetData("DP_1","003N8EMH8GTFRCSWKMPXRSAE6","GSON1112060800")</f>
        <v>#NAME?</v>
      </c>
      <c r="J837" s="4" t="e">
        <f ca="1">[1]!BexGetData("DP_1","003N8EMH8GTFRCSWKMPXRSGPQ","GSON1112060800")</f>
        <v>#NAME?</v>
      </c>
      <c r="K837" s="3" t="e">
        <f ca="1">[1]!BexGetData("DP_1","003N8EMH8GTFRIVNUPY288VJH","GSON1112060800")</f>
        <v>#NAME?</v>
      </c>
      <c r="L837" s="3" t="e">
        <f ca="1">[1]!BexGetData("DP_1","003N8EMH8GTFRIVNUPY2891V1","GSON1112060800")</f>
        <v>#NAME?</v>
      </c>
      <c r="M837" s="3" t="e">
        <f ca="1">[1]!BexGetData("DP_1","003N8EMH8GTFRIVOG7KG9IQXA","GSON1112060800")</f>
        <v>#NAME?</v>
      </c>
      <c r="N837" s="8" t="e">
        <f ca="1">[1]!BexGetData("DP_1","003N8EMH8GTFRIVOG7KG9IX8U","GSON1112060800")</f>
        <v>#NAME?</v>
      </c>
      <c r="O837" s="3" t="e">
        <f ca="1">[1]!BexGetData("DP_1","003N8EMH8GTFRIVOG7KG9J3KE","GSON1112060800")</f>
        <v>#NAME?</v>
      </c>
      <c r="P837" s="8" t="e">
        <f ca="1">[1]!BexGetData("DP_1","003N8EMH8GTFRIVOG7KG9J9VY","GSON1112060800")</f>
        <v>#NAME?</v>
      </c>
      <c r="Q837" s="4" t="e">
        <f ca="1">[1]!BexGetData("DP_1","00O2TNJGODT0G5Z4TTKYMM5MT","GSON1112060800")</f>
        <v>#NAME?</v>
      </c>
      <c r="R837" s="3" t="e">
        <f ca="1">[1]!BexGetData("DP_1","00O2TNJGODT0G5Z4TTKYMMBYD","GSON1112060800")</f>
        <v>#NAME?</v>
      </c>
      <c r="S837" s="3" t="e">
        <f ca="1">[1]!BexGetData("DP_1","00O2TNJGODT0G5Z4TTKYMMI9X","GSON1112060800")</f>
        <v>#NAME?</v>
      </c>
      <c r="T837" s="8" t="e">
        <f ca="1">[1]!BexGetData("DP_1","00O2TNJGODT0G5Z4TTKYMMOLH","GSON1112060800")</f>
        <v>#NAME?</v>
      </c>
      <c r="U837" s="3" t="e">
        <f ca="1">[1]!BexGetData("DP_1","00O2TNJGODT0G5Z4TTKYMMUX1","GSON1112060800")</f>
        <v>#NAME?</v>
      </c>
      <c r="V837" s="8" t="e">
        <f ca="1">[1]!BexGetData("DP_1","00O2TNJGODT0G5Z4TTKYMN18L","GSON1112060800")</f>
        <v>#NAME?</v>
      </c>
      <c r="W837" s="3" t="e">
        <f ca="1">[1]!BexGetData("DP_1","00O2TNJGODT0G5Z4TTKYMN7K5","GSON1112060800")</f>
        <v>#NAME?</v>
      </c>
    </row>
    <row r="838" spans="1:23" x14ac:dyDescent="0.2">
      <c r="A838" s="16" t="s">
        <v>3003</v>
      </c>
      <c r="B838" s="7" t="s">
        <v>3004</v>
      </c>
      <c r="C838" s="3" t="e">
        <f ca="1">[1]!BexGetData("DP_1","003N8EMH8GTFRCSWKMPXRR8GU","GSON1112060801")</f>
        <v>#NAME?</v>
      </c>
      <c r="D838" s="3" t="e">
        <f ca="1">[1]!BexGetData("DP_1","003N8EMH8GTFRCSWKMPXRRESE","GSON1112060801")</f>
        <v>#NAME?</v>
      </c>
      <c r="E838" s="8" t="e">
        <f ca="1">[1]!BexGetData("DP_1","003N8EMH8GTFRCSWKMPXRRL3Y","GSON1112060801")</f>
        <v>#NAME?</v>
      </c>
      <c r="F838" s="4" t="e">
        <f ca="1">[1]!BexGetData("DP_1","003N8EMH8GTFRCSWKMPXRRRFI","GSON1112060801")</f>
        <v>#NAME?</v>
      </c>
      <c r="G838" s="4" t="e">
        <f ca="1">[1]!BexGetData("DP_1","003N8EMH8GTFRCSWKMPXRRXR2","GSON1112060801")</f>
        <v>#NAME?</v>
      </c>
      <c r="H838" s="4" t="e">
        <f ca="1">[1]!BexGetData("DP_1","003N8EMH8GTFRCSWKMPXRS42M","GSON1112060801")</f>
        <v>#NAME?</v>
      </c>
      <c r="I838" s="4" t="e">
        <f ca="1">[1]!BexGetData("DP_1","003N8EMH8GTFRCSWKMPXRSAE6","GSON1112060801")</f>
        <v>#NAME?</v>
      </c>
      <c r="J838" s="4" t="e">
        <f ca="1">[1]!BexGetData("DP_1","003N8EMH8GTFRCSWKMPXRSGPQ","GSON1112060801")</f>
        <v>#NAME?</v>
      </c>
      <c r="K838" s="8" t="e">
        <f ca="1">[1]!BexGetData("DP_1","003N8EMH8GTFRIVNUPY288VJH","GSON1112060801")</f>
        <v>#NAME?</v>
      </c>
      <c r="L838" s="8" t="e">
        <f ca="1">[1]!BexGetData("DP_1","003N8EMH8GTFRIVNUPY2891V1","GSON1112060801")</f>
        <v>#NAME?</v>
      </c>
      <c r="M838" s="8" t="e">
        <f ca="1">[1]!BexGetData("DP_1","003N8EMH8GTFRIVOG7KG9IQXA","GSON1112060801")</f>
        <v>#NAME?</v>
      </c>
      <c r="N838" s="8" t="e">
        <f ca="1">[1]!BexGetData("DP_1","003N8EMH8GTFRIVOG7KG9IX8U","GSON1112060801")</f>
        <v>#NAME?</v>
      </c>
      <c r="O838" s="8" t="e">
        <f ca="1">[1]!BexGetData("DP_1","003N8EMH8GTFRIVOG7KG9J3KE","GSON1112060801")</f>
        <v>#NAME?</v>
      </c>
      <c r="P838" s="8" t="e">
        <f ca="1">[1]!BexGetData("DP_1","003N8EMH8GTFRIVOG7KG9J9VY","GSON1112060801")</f>
        <v>#NAME?</v>
      </c>
      <c r="Q838" s="4" t="e">
        <f ca="1">[1]!BexGetData("DP_1","00O2TNJGODT0G5Z4TTKYMM5MT","GSON1112060801")</f>
        <v>#NAME?</v>
      </c>
      <c r="R838" s="4" t="e">
        <f ca="1">[1]!BexGetData("DP_1","00O2TNJGODT0G5Z4TTKYMMBYD","GSON1112060801")</f>
        <v>#NAME?</v>
      </c>
      <c r="S838" s="4" t="e">
        <f ca="1">[1]!BexGetData("DP_1","00O2TNJGODT0G5Z4TTKYMMI9X","GSON1112060801")</f>
        <v>#NAME?</v>
      </c>
      <c r="T838" s="4" t="e">
        <f ca="1">[1]!BexGetData("DP_1","00O2TNJGODT0G5Z4TTKYMMOLH","GSON1112060801")</f>
        <v>#NAME?</v>
      </c>
      <c r="U838" s="4" t="e">
        <f ca="1">[1]!BexGetData("DP_1","00O2TNJGODT0G5Z4TTKYMMUX1","GSON1112060801")</f>
        <v>#NAME?</v>
      </c>
      <c r="V838" s="4" t="e">
        <f ca="1">[1]!BexGetData("DP_1","00O2TNJGODT0G5Z4TTKYMN18L","GSON1112060801")</f>
        <v>#NAME?</v>
      </c>
      <c r="W838" s="4" t="e">
        <f ca="1">[1]!BexGetData("DP_1","00O2TNJGODT0G5Z4TTKYMN7K5","GSON1112060801")</f>
        <v>#NAME?</v>
      </c>
    </row>
    <row r="839" spans="1:23" x14ac:dyDescent="0.2">
      <c r="A839" s="16" t="s">
        <v>3005</v>
      </c>
      <c r="B839" s="7" t="s">
        <v>3006</v>
      </c>
      <c r="C839" s="3" t="e">
        <f ca="1">[1]!BexGetData("DP_1","003N8EMH8GTFRCSWKMPXRR8GU","GSON1112060803")</f>
        <v>#NAME?</v>
      </c>
      <c r="D839" s="3" t="e">
        <f ca="1">[1]!BexGetData("DP_1","003N8EMH8GTFRCSWKMPXRRESE","GSON1112060803")</f>
        <v>#NAME?</v>
      </c>
      <c r="E839" s="8" t="e">
        <f ca="1">[1]!BexGetData("DP_1","003N8EMH8GTFRCSWKMPXRRL3Y","GSON1112060803")</f>
        <v>#NAME?</v>
      </c>
      <c r="F839" s="4" t="e">
        <f ca="1">[1]!BexGetData("DP_1","003N8EMH8GTFRCSWKMPXRRRFI","GSON1112060803")</f>
        <v>#NAME?</v>
      </c>
      <c r="G839" s="4" t="e">
        <f ca="1">[1]!BexGetData("DP_1","003N8EMH8GTFRCSWKMPXRRXR2","GSON1112060803")</f>
        <v>#NAME?</v>
      </c>
      <c r="H839" s="4" t="e">
        <f ca="1">[1]!BexGetData("DP_1","003N8EMH8GTFRCSWKMPXRS42M","GSON1112060803")</f>
        <v>#NAME?</v>
      </c>
      <c r="I839" s="4" t="e">
        <f ca="1">[1]!BexGetData("DP_1","003N8EMH8GTFRCSWKMPXRSAE6","GSON1112060803")</f>
        <v>#NAME?</v>
      </c>
      <c r="J839" s="4" t="e">
        <f ca="1">[1]!BexGetData("DP_1","003N8EMH8GTFRCSWKMPXRSGPQ","GSON1112060803")</f>
        <v>#NAME?</v>
      </c>
      <c r="K839" s="8" t="e">
        <f ca="1">[1]!BexGetData("DP_1","003N8EMH8GTFRIVNUPY288VJH","GSON1112060803")</f>
        <v>#NAME?</v>
      </c>
      <c r="L839" s="8" t="e">
        <f ca="1">[1]!BexGetData("DP_1","003N8EMH8GTFRIVNUPY2891V1","GSON1112060803")</f>
        <v>#NAME?</v>
      </c>
      <c r="M839" s="8" t="e">
        <f ca="1">[1]!BexGetData("DP_1","003N8EMH8GTFRIVOG7KG9IQXA","GSON1112060803")</f>
        <v>#NAME?</v>
      </c>
      <c r="N839" s="8" t="e">
        <f ca="1">[1]!BexGetData("DP_1","003N8EMH8GTFRIVOG7KG9IX8U","GSON1112060803")</f>
        <v>#NAME?</v>
      </c>
      <c r="O839" s="8" t="e">
        <f ca="1">[1]!BexGetData("DP_1","003N8EMH8GTFRIVOG7KG9J3KE","GSON1112060803")</f>
        <v>#NAME?</v>
      </c>
      <c r="P839" s="8" t="e">
        <f ca="1">[1]!BexGetData("DP_1","003N8EMH8GTFRIVOG7KG9J9VY","GSON1112060803")</f>
        <v>#NAME?</v>
      </c>
      <c r="Q839" s="4" t="e">
        <f ca="1">[1]!BexGetData("DP_1","00O2TNJGODT0G5Z4TTKYMM5MT","GSON1112060803")</f>
        <v>#NAME?</v>
      </c>
      <c r="R839" s="4" t="e">
        <f ca="1">[1]!BexGetData("DP_1","00O2TNJGODT0G5Z4TTKYMMBYD","GSON1112060803")</f>
        <v>#NAME?</v>
      </c>
      <c r="S839" s="4" t="e">
        <f ca="1">[1]!BexGetData("DP_1","00O2TNJGODT0G5Z4TTKYMMI9X","GSON1112060803")</f>
        <v>#NAME?</v>
      </c>
      <c r="T839" s="4" t="e">
        <f ca="1">[1]!BexGetData("DP_1","00O2TNJGODT0G5Z4TTKYMMOLH","GSON1112060803")</f>
        <v>#NAME?</v>
      </c>
      <c r="U839" s="4" t="e">
        <f ca="1">[1]!BexGetData("DP_1","00O2TNJGODT0G5Z4TTKYMMUX1","GSON1112060803")</f>
        <v>#NAME?</v>
      </c>
      <c r="V839" s="4" t="e">
        <f ca="1">[1]!BexGetData("DP_1","00O2TNJGODT0G5Z4TTKYMN18L","GSON1112060803")</f>
        <v>#NAME?</v>
      </c>
      <c r="W839" s="4" t="e">
        <f ca="1">[1]!BexGetData("DP_1","00O2TNJGODT0G5Z4TTKYMN7K5","GSON1112060803")</f>
        <v>#NAME?</v>
      </c>
    </row>
    <row r="840" spans="1:23" x14ac:dyDescent="0.2">
      <c r="A840" s="16" t="s">
        <v>3007</v>
      </c>
      <c r="B840" s="7" t="s">
        <v>3008</v>
      </c>
      <c r="C840" s="3" t="e">
        <f ca="1">[1]!BexGetData("DP_1","003N8EMH8GTFRCSWKMPXRR8GU","GSON1112060804")</f>
        <v>#NAME?</v>
      </c>
      <c r="D840" s="3" t="e">
        <f ca="1">[1]!BexGetData("DP_1","003N8EMH8GTFRCSWKMPXRRESE","GSON1112060804")</f>
        <v>#NAME?</v>
      </c>
      <c r="E840" s="8" t="e">
        <f ca="1">[1]!BexGetData("DP_1","003N8EMH8GTFRCSWKMPXRRL3Y","GSON1112060804")</f>
        <v>#NAME?</v>
      </c>
      <c r="F840" s="4" t="e">
        <f ca="1">[1]!BexGetData("DP_1","003N8EMH8GTFRCSWKMPXRRRFI","GSON1112060804")</f>
        <v>#NAME?</v>
      </c>
      <c r="G840" s="4" t="e">
        <f ca="1">[1]!BexGetData("DP_1","003N8EMH8GTFRCSWKMPXRRXR2","GSON1112060804")</f>
        <v>#NAME?</v>
      </c>
      <c r="H840" s="4" t="e">
        <f ca="1">[1]!BexGetData("DP_1","003N8EMH8GTFRCSWKMPXRS42M","GSON1112060804")</f>
        <v>#NAME?</v>
      </c>
      <c r="I840" s="4" t="e">
        <f ca="1">[1]!BexGetData("DP_1","003N8EMH8GTFRCSWKMPXRSAE6","GSON1112060804")</f>
        <v>#NAME?</v>
      </c>
      <c r="J840" s="4" t="e">
        <f ca="1">[1]!BexGetData("DP_1","003N8EMH8GTFRCSWKMPXRSGPQ","GSON1112060804")</f>
        <v>#NAME?</v>
      </c>
      <c r="K840" s="8" t="e">
        <f ca="1">[1]!BexGetData("DP_1","003N8EMH8GTFRIVNUPY288VJH","GSON1112060804")</f>
        <v>#NAME?</v>
      </c>
      <c r="L840" s="8" t="e">
        <f ca="1">[1]!BexGetData("DP_1","003N8EMH8GTFRIVNUPY2891V1","GSON1112060804")</f>
        <v>#NAME?</v>
      </c>
      <c r="M840" s="8" t="e">
        <f ca="1">[1]!BexGetData("DP_1","003N8EMH8GTFRIVOG7KG9IQXA","GSON1112060804")</f>
        <v>#NAME?</v>
      </c>
      <c r="N840" s="8" t="e">
        <f ca="1">[1]!BexGetData("DP_1","003N8EMH8GTFRIVOG7KG9IX8U","GSON1112060804")</f>
        <v>#NAME?</v>
      </c>
      <c r="O840" s="8" t="e">
        <f ca="1">[1]!BexGetData("DP_1","003N8EMH8GTFRIVOG7KG9J3KE","GSON1112060804")</f>
        <v>#NAME?</v>
      </c>
      <c r="P840" s="8" t="e">
        <f ca="1">[1]!BexGetData("DP_1","003N8EMH8GTFRIVOG7KG9J9VY","GSON1112060804")</f>
        <v>#NAME?</v>
      </c>
      <c r="Q840" s="4" t="e">
        <f ca="1">[1]!BexGetData("DP_1","00O2TNJGODT0G5Z4TTKYMM5MT","GSON1112060804")</f>
        <v>#NAME?</v>
      </c>
      <c r="R840" s="4" t="e">
        <f ca="1">[1]!BexGetData("DP_1","00O2TNJGODT0G5Z4TTKYMMBYD","GSON1112060804")</f>
        <v>#NAME?</v>
      </c>
      <c r="S840" s="4" t="e">
        <f ca="1">[1]!BexGetData("DP_1","00O2TNJGODT0G5Z4TTKYMMI9X","GSON1112060804")</f>
        <v>#NAME?</v>
      </c>
      <c r="T840" s="4" t="e">
        <f ca="1">[1]!BexGetData("DP_1","00O2TNJGODT0G5Z4TTKYMMOLH","GSON1112060804")</f>
        <v>#NAME?</v>
      </c>
      <c r="U840" s="4" t="e">
        <f ca="1">[1]!BexGetData("DP_1","00O2TNJGODT0G5Z4TTKYMMUX1","GSON1112060804")</f>
        <v>#NAME?</v>
      </c>
      <c r="V840" s="4" t="e">
        <f ca="1">[1]!BexGetData("DP_1","00O2TNJGODT0G5Z4TTKYMN18L","GSON1112060804")</f>
        <v>#NAME?</v>
      </c>
      <c r="W840" s="4" t="e">
        <f ca="1">[1]!BexGetData("DP_1","00O2TNJGODT0G5Z4TTKYMN7K5","GSON1112060804")</f>
        <v>#NAME?</v>
      </c>
    </row>
    <row r="841" spans="1:23" x14ac:dyDescent="0.2">
      <c r="A841" s="16" t="s">
        <v>3009</v>
      </c>
      <c r="B841" s="7" t="s">
        <v>3010</v>
      </c>
      <c r="C841" s="3" t="e">
        <f ca="1">[1]!BexGetData("DP_1","003N8EMH8GTFRCSWKMPXRR8GU","GSON1112060805")</f>
        <v>#NAME?</v>
      </c>
      <c r="D841" s="3" t="e">
        <f ca="1">[1]!BexGetData("DP_1","003N8EMH8GTFRCSWKMPXRRESE","GSON1112060805")</f>
        <v>#NAME?</v>
      </c>
      <c r="E841" s="8" t="e">
        <f ca="1">[1]!BexGetData("DP_1","003N8EMH8GTFRCSWKMPXRRL3Y","GSON1112060805")</f>
        <v>#NAME?</v>
      </c>
      <c r="F841" s="4" t="e">
        <f ca="1">[1]!BexGetData("DP_1","003N8EMH8GTFRCSWKMPXRRRFI","GSON1112060805")</f>
        <v>#NAME?</v>
      </c>
      <c r="G841" s="4" t="e">
        <f ca="1">[1]!BexGetData("DP_1","003N8EMH8GTFRCSWKMPXRRXR2","GSON1112060805")</f>
        <v>#NAME?</v>
      </c>
      <c r="H841" s="4" t="e">
        <f ca="1">[1]!BexGetData("DP_1","003N8EMH8GTFRCSWKMPXRS42M","GSON1112060805")</f>
        <v>#NAME?</v>
      </c>
      <c r="I841" s="4" t="e">
        <f ca="1">[1]!BexGetData("DP_1","003N8EMH8GTFRCSWKMPXRSAE6","GSON1112060805")</f>
        <v>#NAME?</v>
      </c>
      <c r="J841" s="4" t="e">
        <f ca="1">[1]!BexGetData("DP_1","003N8EMH8GTFRCSWKMPXRSGPQ","GSON1112060805")</f>
        <v>#NAME?</v>
      </c>
      <c r="K841" s="8" t="e">
        <f ca="1">[1]!BexGetData("DP_1","003N8EMH8GTFRIVNUPY288VJH","GSON1112060805")</f>
        <v>#NAME?</v>
      </c>
      <c r="L841" s="8" t="e">
        <f ca="1">[1]!BexGetData("DP_1","003N8EMH8GTFRIVNUPY2891V1","GSON1112060805")</f>
        <v>#NAME?</v>
      </c>
      <c r="M841" s="8" t="e">
        <f ca="1">[1]!BexGetData("DP_1","003N8EMH8GTFRIVOG7KG9IQXA","GSON1112060805")</f>
        <v>#NAME?</v>
      </c>
      <c r="N841" s="8" t="e">
        <f ca="1">[1]!BexGetData("DP_1","003N8EMH8GTFRIVOG7KG9IX8U","GSON1112060805")</f>
        <v>#NAME?</v>
      </c>
      <c r="O841" s="8" t="e">
        <f ca="1">[1]!BexGetData("DP_1","003N8EMH8GTFRIVOG7KG9J3KE","GSON1112060805")</f>
        <v>#NAME?</v>
      </c>
      <c r="P841" s="8" t="e">
        <f ca="1">[1]!BexGetData("DP_1","003N8EMH8GTFRIVOG7KG9J9VY","GSON1112060805")</f>
        <v>#NAME?</v>
      </c>
      <c r="Q841" s="4" t="e">
        <f ca="1">[1]!BexGetData("DP_1","00O2TNJGODT0G5Z4TTKYMM5MT","GSON1112060805")</f>
        <v>#NAME?</v>
      </c>
      <c r="R841" s="4" t="e">
        <f ca="1">[1]!BexGetData("DP_1","00O2TNJGODT0G5Z4TTKYMMBYD","GSON1112060805")</f>
        <v>#NAME?</v>
      </c>
      <c r="S841" s="4" t="e">
        <f ca="1">[1]!BexGetData("DP_1","00O2TNJGODT0G5Z4TTKYMMI9X","GSON1112060805")</f>
        <v>#NAME?</v>
      </c>
      <c r="T841" s="4" t="e">
        <f ca="1">[1]!BexGetData("DP_1","00O2TNJGODT0G5Z4TTKYMMOLH","GSON1112060805")</f>
        <v>#NAME?</v>
      </c>
      <c r="U841" s="4" t="e">
        <f ca="1">[1]!BexGetData("DP_1","00O2TNJGODT0G5Z4TTKYMMUX1","GSON1112060805")</f>
        <v>#NAME?</v>
      </c>
      <c r="V841" s="4" t="e">
        <f ca="1">[1]!BexGetData("DP_1","00O2TNJGODT0G5Z4TTKYMN18L","GSON1112060805")</f>
        <v>#NAME?</v>
      </c>
      <c r="W841" s="4" t="e">
        <f ca="1">[1]!BexGetData("DP_1","00O2TNJGODT0G5Z4TTKYMN7K5","GSON1112060805")</f>
        <v>#NAME?</v>
      </c>
    </row>
    <row r="842" spans="1:23" x14ac:dyDescent="0.2">
      <c r="A842" s="16" t="s">
        <v>3011</v>
      </c>
      <c r="B842" s="7" t="s">
        <v>3012</v>
      </c>
      <c r="C842" s="3" t="e">
        <f ca="1">[1]!BexGetData("DP_1","003N8EMH8GTFRCSWKMPXRR8GU","GSON1112060810")</f>
        <v>#NAME?</v>
      </c>
      <c r="D842" s="3" t="e">
        <f ca="1">[1]!BexGetData("DP_1","003N8EMH8GTFRCSWKMPXRRESE","GSON1112060810")</f>
        <v>#NAME?</v>
      </c>
      <c r="E842" s="3" t="e">
        <f ca="1">[1]!BexGetData("DP_1","003N8EMH8GTFRCSWKMPXRRL3Y","GSON1112060810")</f>
        <v>#NAME?</v>
      </c>
      <c r="F842" s="3" t="e">
        <f ca="1">[1]!BexGetData("DP_1","003N8EMH8GTFRCSWKMPXRRRFI","GSON1112060810")</f>
        <v>#NAME?</v>
      </c>
      <c r="G842" s="3" t="e">
        <f ca="1">[1]!BexGetData("DP_1","003N8EMH8GTFRCSWKMPXRRXR2","GSON1112060810")</f>
        <v>#NAME?</v>
      </c>
      <c r="H842" s="8" t="e">
        <f ca="1">[1]!BexGetData("DP_1","003N8EMH8GTFRCSWKMPXRS42M","GSON1112060810")</f>
        <v>#NAME?</v>
      </c>
      <c r="I842" s="3" t="e">
        <f ca="1">[1]!BexGetData("DP_1","003N8EMH8GTFRCSWKMPXRSAE6","GSON1112060810")</f>
        <v>#NAME?</v>
      </c>
      <c r="J842" s="4" t="e">
        <f ca="1">[1]!BexGetData("DP_1","003N8EMH8GTFRCSWKMPXRSGPQ","GSON1112060810")</f>
        <v>#NAME?</v>
      </c>
      <c r="K842" s="3" t="e">
        <f ca="1">[1]!BexGetData("DP_1","003N8EMH8GTFRIVNUPY288VJH","GSON1112060810")</f>
        <v>#NAME?</v>
      </c>
      <c r="L842" s="3" t="e">
        <f ca="1">[1]!BexGetData("DP_1","003N8EMH8GTFRIVNUPY2891V1","GSON1112060810")</f>
        <v>#NAME?</v>
      </c>
      <c r="M842" s="3" t="e">
        <f ca="1">[1]!BexGetData("DP_1","003N8EMH8GTFRIVOG7KG9IQXA","GSON1112060810")</f>
        <v>#NAME?</v>
      </c>
      <c r="N842" s="8" t="e">
        <f ca="1">[1]!BexGetData("DP_1","003N8EMH8GTFRIVOG7KG9IX8U","GSON1112060810")</f>
        <v>#NAME?</v>
      </c>
      <c r="O842" s="3" t="e">
        <f ca="1">[1]!BexGetData("DP_1","003N8EMH8GTFRIVOG7KG9J3KE","GSON1112060810")</f>
        <v>#NAME?</v>
      </c>
      <c r="P842" s="8" t="e">
        <f ca="1">[1]!BexGetData("DP_1","003N8EMH8GTFRIVOG7KG9J9VY","GSON1112060810")</f>
        <v>#NAME?</v>
      </c>
      <c r="Q842" s="4" t="e">
        <f ca="1">[1]!BexGetData("DP_1","00O2TNJGODT0G5Z4TTKYMM5MT","GSON1112060810")</f>
        <v>#NAME?</v>
      </c>
      <c r="R842" s="3" t="e">
        <f ca="1">[1]!BexGetData("DP_1","00O2TNJGODT0G5Z4TTKYMMBYD","GSON1112060810")</f>
        <v>#NAME?</v>
      </c>
      <c r="S842" s="3" t="e">
        <f ca="1">[1]!BexGetData("DP_1","00O2TNJGODT0G5Z4TTKYMMI9X","GSON1112060810")</f>
        <v>#NAME?</v>
      </c>
      <c r="T842" s="8" t="e">
        <f ca="1">[1]!BexGetData("DP_1","00O2TNJGODT0G5Z4TTKYMMOLH","GSON1112060810")</f>
        <v>#NAME?</v>
      </c>
      <c r="U842" s="3" t="e">
        <f ca="1">[1]!BexGetData("DP_1","00O2TNJGODT0G5Z4TTKYMMUX1","GSON1112060810")</f>
        <v>#NAME?</v>
      </c>
      <c r="V842" s="8" t="e">
        <f ca="1">[1]!BexGetData("DP_1","00O2TNJGODT0G5Z4TTKYMN18L","GSON1112060810")</f>
        <v>#NAME?</v>
      </c>
      <c r="W842" s="3" t="e">
        <f ca="1">[1]!BexGetData("DP_1","00O2TNJGODT0G5Z4TTKYMN7K5","GSON1112060810")</f>
        <v>#NAME?</v>
      </c>
    </row>
    <row r="843" spans="1:23" x14ac:dyDescent="0.2">
      <c r="A843" s="16" t="s">
        <v>978</v>
      </c>
      <c r="B843" s="7" t="s">
        <v>979</v>
      </c>
      <c r="C843" s="3" t="e">
        <f ca="1">[1]!BexGetData("DP_1","003N8EMH8GTFRCSWKMPXRR8GU","GSON1112060811")</f>
        <v>#NAME?</v>
      </c>
      <c r="D843" s="3" t="e">
        <f ca="1">[1]!BexGetData("DP_1","003N8EMH8GTFRCSWKMPXRRESE","GSON1112060811")</f>
        <v>#NAME?</v>
      </c>
      <c r="E843" s="8" t="e">
        <f ca="1">[1]!BexGetData("DP_1","003N8EMH8GTFRCSWKMPXRRL3Y","GSON1112060811")</f>
        <v>#NAME?</v>
      </c>
      <c r="F843" s="4" t="e">
        <f ca="1">[1]!BexGetData("DP_1","003N8EMH8GTFRCSWKMPXRRRFI","GSON1112060811")</f>
        <v>#NAME?</v>
      </c>
      <c r="G843" s="4" t="e">
        <f ca="1">[1]!BexGetData("DP_1","003N8EMH8GTFRCSWKMPXRRXR2","GSON1112060811")</f>
        <v>#NAME?</v>
      </c>
      <c r="H843" s="4" t="e">
        <f ca="1">[1]!BexGetData("DP_1","003N8EMH8GTFRCSWKMPXRS42M","GSON1112060811")</f>
        <v>#NAME?</v>
      </c>
      <c r="I843" s="4" t="e">
        <f ca="1">[1]!BexGetData("DP_1","003N8EMH8GTFRCSWKMPXRSAE6","GSON1112060811")</f>
        <v>#NAME?</v>
      </c>
      <c r="J843" s="4" t="e">
        <f ca="1">[1]!BexGetData("DP_1","003N8EMH8GTFRCSWKMPXRSGPQ","GSON1112060811")</f>
        <v>#NAME?</v>
      </c>
      <c r="K843" s="8" t="e">
        <f ca="1">[1]!BexGetData("DP_1","003N8EMH8GTFRIVNUPY288VJH","GSON1112060811")</f>
        <v>#NAME?</v>
      </c>
      <c r="L843" s="8" t="e">
        <f ca="1">[1]!BexGetData("DP_1","003N8EMH8GTFRIVNUPY2891V1","GSON1112060811")</f>
        <v>#NAME?</v>
      </c>
      <c r="M843" s="8" t="e">
        <f ca="1">[1]!BexGetData("DP_1","003N8EMH8GTFRIVOG7KG9IQXA","GSON1112060811")</f>
        <v>#NAME?</v>
      </c>
      <c r="N843" s="8" t="e">
        <f ca="1">[1]!BexGetData("DP_1","003N8EMH8GTFRIVOG7KG9IX8U","GSON1112060811")</f>
        <v>#NAME?</v>
      </c>
      <c r="O843" s="8" t="e">
        <f ca="1">[1]!BexGetData("DP_1","003N8EMH8GTFRIVOG7KG9J3KE","GSON1112060811")</f>
        <v>#NAME?</v>
      </c>
      <c r="P843" s="8" t="e">
        <f ca="1">[1]!BexGetData("DP_1","003N8EMH8GTFRIVOG7KG9J9VY","GSON1112060811")</f>
        <v>#NAME?</v>
      </c>
      <c r="Q843" s="4" t="e">
        <f ca="1">[1]!BexGetData("DP_1","00O2TNJGODT0G5Z4TTKYMM5MT","GSON1112060811")</f>
        <v>#NAME?</v>
      </c>
      <c r="R843" s="4" t="e">
        <f ca="1">[1]!BexGetData("DP_1","00O2TNJGODT0G5Z4TTKYMMBYD","GSON1112060811")</f>
        <v>#NAME?</v>
      </c>
      <c r="S843" s="4" t="e">
        <f ca="1">[1]!BexGetData("DP_1","00O2TNJGODT0G5Z4TTKYMMI9X","GSON1112060811")</f>
        <v>#NAME?</v>
      </c>
      <c r="T843" s="4" t="e">
        <f ca="1">[1]!BexGetData("DP_1","00O2TNJGODT0G5Z4TTKYMMOLH","GSON1112060811")</f>
        <v>#NAME?</v>
      </c>
      <c r="U843" s="4" t="e">
        <f ca="1">[1]!BexGetData("DP_1","00O2TNJGODT0G5Z4TTKYMMUX1","GSON1112060811")</f>
        <v>#NAME?</v>
      </c>
      <c r="V843" s="4" t="e">
        <f ca="1">[1]!BexGetData("DP_1","00O2TNJGODT0G5Z4TTKYMN18L","GSON1112060811")</f>
        <v>#NAME?</v>
      </c>
      <c r="W843" s="4" t="e">
        <f ca="1">[1]!BexGetData("DP_1","00O2TNJGODT0G5Z4TTKYMN7K5","GSON1112060811")</f>
        <v>#NAME?</v>
      </c>
    </row>
    <row r="844" spans="1:23" x14ac:dyDescent="0.2">
      <c r="A844" s="16" t="s">
        <v>3013</v>
      </c>
      <c r="B844" s="7" t="s">
        <v>3014</v>
      </c>
      <c r="C844" s="3" t="e">
        <f ca="1">[1]!BexGetData("DP_1","003N8EMH8GTFRCSWKMPXRR8GU","GSON1112060812")</f>
        <v>#NAME?</v>
      </c>
      <c r="D844" s="3" t="e">
        <f ca="1">[1]!BexGetData("DP_1","003N8EMH8GTFRCSWKMPXRRESE","GSON1112060812")</f>
        <v>#NAME?</v>
      </c>
      <c r="E844" s="8" t="e">
        <f ca="1">[1]!BexGetData("DP_1","003N8EMH8GTFRCSWKMPXRRL3Y","GSON1112060812")</f>
        <v>#NAME?</v>
      </c>
      <c r="F844" s="3" t="e">
        <f ca="1">[1]!BexGetData("DP_1","003N8EMH8GTFRCSWKMPXRRRFI","GSON1112060812")</f>
        <v>#NAME?</v>
      </c>
      <c r="G844" s="8" t="e">
        <f ca="1">[1]!BexGetData("DP_1","003N8EMH8GTFRCSWKMPXRRXR2","GSON1112060812")</f>
        <v>#NAME?</v>
      </c>
      <c r="H844" s="3" t="e">
        <f ca="1">[1]!BexGetData("DP_1","003N8EMH8GTFRCSWKMPXRS42M","GSON1112060812")</f>
        <v>#NAME?</v>
      </c>
      <c r="I844" s="3" t="e">
        <f ca="1">[1]!BexGetData("DP_1","003N8EMH8GTFRCSWKMPXRSAE6","GSON1112060812")</f>
        <v>#NAME?</v>
      </c>
      <c r="J844" s="4" t="e">
        <f ca="1">[1]!BexGetData("DP_1","003N8EMH8GTFRCSWKMPXRSGPQ","GSON1112060812")</f>
        <v>#NAME?</v>
      </c>
      <c r="K844" s="3" t="e">
        <f ca="1">[1]!BexGetData("DP_1","003N8EMH8GTFRIVNUPY288VJH","GSON1112060812")</f>
        <v>#NAME?</v>
      </c>
      <c r="L844" s="3" t="e">
        <f ca="1">[1]!BexGetData("DP_1","003N8EMH8GTFRIVNUPY2891V1","GSON1112060812")</f>
        <v>#NAME?</v>
      </c>
      <c r="M844" s="8" t="e">
        <f ca="1">[1]!BexGetData("DP_1","003N8EMH8GTFRIVOG7KG9IQXA","GSON1112060812")</f>
        <v>#NAME?</v>
      </c>
      <c r="N844" s="3" t="e">
        <f ca="1">[1]!BexGetData("DP_1","003N8EMH8GTFRIVOG7KG9IX8U","GSON1112060812")</f>
        <v>#NAME?</v>
      </c>
      <c r="O844" s="8" t="e">
        <f ca="1">[1]!BexGetData("DP_1","003N8EMH8GTFRIVOG7KG9J3KE","GSON1112060812")</f>
        <v>#NAME?</v>
      </c>
      <c r="P844" s="3" t="e">
        <f ca="1">[1]!BexGetData("DP_1","003N8EMH8GTFRIVOG7KG9J9VY","GSON1112060812")</f>
        <v>#NAME?</v>
      </c>
      <c r="Q844" s="4" t="e">
        <f ca="1">[1]!BexGetData("DP_1","00O2TNJGODT0G5Z4TTKYMM5MT","GSON1112060812")</f>
        <v>#NAME?</v>
      </c>
      <c r="R844" s="3" t="e">
        <f ca="1">[1]!BexGetData("DP_1","00O2TNJGODT0G5Z4TTKYMMBYD","GSON1112060812")</f>
        <v>#NAME?</v>
      </c>
      <c r="S844" s="3" t="e">
        <f ca="1">[1]!BexGetData("DP_1","00O2TNJGODT0G5Z4TTKYMMI9X","GSON1112060812")</f>
        <v>#NAME?</v>
      </c>
      <c r="T844" s="3" t="e">
        <f ca="1">[1]!BexGetData("DP_1","00O2TNJGODT0G5Z4TTKYMMOLH","GSON1112060812")</f>
        <v>#NAME?</v>
      </c>
      <c r="U844" s="8" t="e">
        <f ca="1">[1]!BexGetData("DP_1","00O2TNJGODT0G5Z4TTKYMMUX1","GSON1112060812")</f>
        <v>#NAME?</v>
      </c>
      <c r="V844" s="3" t="e">
        <f ca="1">[1]!BexGetData("DP_1","00O2TNJGODT0G5Z4TTKYMN18L","GSON1112060812")</f>
        <v>#NAME?</v>
      </c>
      <c r="W844" s="8" t="e">
        <f ca="1">[1]!BexGetData("DP_1","00O2TNJGODT0G5Z4TTKYMN7K5","GSON1112060812")</f>
        <v>#NAME?</v>
      </c>
    </row>
    <row r="845" spans="1:23" x14ac:dyDescent="0.2">
      <c r="A845" s="16" t="s">
        <v>3015</v>
      </c>
      <c r="B845" s="7" t="s">
        <v>3016</v>
      </c>
      <c r="C845" s="3" t="e">
        <f ca="1">[1]!BexGetData("DP_1","003N8EMH8GTFRCSWKMPXRR8GU","GSON1112060813")</f>
        <v>#NAME?</v>
      </c>
      <c r="D845" s="3" t="e">
        <f ca="1">[1]!BexGetData("DP_1","003N8EMH8GTFRCSWKMPXRRESE","GSON1112060813")</f>
        <v>#NAME?</v>
      </c>
      <c r="E845" s="8" t="e">
        <f ca="1">[1]!BexGetData("DP_1","003N8EMH8GTFRCSWKMPXRRL3Y","GSON1112060813")</f>
        <v>#NAME?</v>
      </c>
      <c r="F845" s="4" t="e">
        <f ca="1">[1]!BexGetData("DP_1","003N8EMH8GTFRCSWKMPXRRRFI","GSON1112060813")</f>
        <v>#NAME?</v>
      </c>
      <c r="G845" s="4" t="e">
        <f ca="1">[1]!BexGetData("DP_1","003N8EMH8GTFRCSWKMPXRRXR2","GSON1112060813")</f>
        <v>#NAME?</v>
      </c>
      <c r="H845" s="4" t="e">
        <f ca="1">[1]!BexGetData("DP_1","003N8EMH8GTFRCSWKMPXRS42M","GSON1112060813")</f>
        <v>#NAME?</v>
      </c>
      <c r="I845" s="4" t="e">
        <f ca="1">[1]!BexGetData("DP_1","003N8EMH8GTFRCSWKMPXRSAE6","GSON1112060813")</f>
        <v>#NAME?</v>
      </c>
      <c r="J845" s="4" t="e">
        <f ca="1">[1]!BexGetData("DP_1","003N8EMH8GTFRCSWKMPXRSGPQ","GSON1112060813")</f>
        <v>#NAME?</v>
      </c>
      <c r="K845" s="8" t="e">
        <f ca="1">[1]!BexGetData("DP_1","003N8EMH8GTFRIVNUPY288VJH","GSON1112060813")</f>
        <v>#NAME?</v>
      </c>
      <c r="L845" s="8" t="e">
        <f ca="1">[1]!BexGetData("DP_1","003N8EMH8GTFRIVNUPY2891V1","GSON1112060813")</f>
        <v>#NAME?</v>
      </c>
      <c r="M845" s="8" t="e">
        <f ca="1">[1]!BexGetData("DP_1","003N8EMH8GTFRIVOG7KG9IQXA","GSON1112060813")</f>
        <v>#NAME?</v>
      </c>
      <c r="N845" s="8" t="e">
        <f ca="1">[1]!BexGetData("DP_1","003N8EMH8GTFRIVOG7KG9IX8U","GSON1112060813")</f>
        <v>#NAME?</v>
      </c>
      <c r="O845" s="8" t="e">
        <f ca="1">[1]!BexGetData("DP_1","003N8EMH8GTFRIVOG7KG9J3KE","GSON1112060813")</f>
        <v>#NAME?</v>
      </c>
      <c r="P845" s="8" t="e">
        <f ca="1">[1]!BexGetData("DP_1","003N8EMH8GTFRIVOG7KG9J9VY","GSON1112060813")</f>
        <v>#NAME?</v>
      </c>
      <c r="Q845" s="4" t="e">
        <f ca="1">[1]!BexGetData("DP_1","00O2TNJGODT0G5Z4TTKYMM5MT","GSON1112060813")</f>
        <v>#NAME?</v>
      </c>
      <c r="R845" s="4" t="e">
        <f ca="1">[1]!BexGetData("DP_1","00O2TNJGODT0G5Z4TTKYMMBYD","GSON1112060813")</f>
        <v>#NAME?</v>
      </c>
      <c r="S845" s="4" t="e">
        <f ca="1">[1]!BexGetData("DP_1","00O2TNJGODT0G5Z4TTKYMMI9X","GSON1112060813")</f>
        <v>#NAME?</v>
      </c>
      <c r="T845" s="4" t="e">
        <f ca="1">[1]!BexGetData("DP_1","00O2TNJGODT0G5Z4TTKYMMOLH","GSON1112060813")</f>
        <v>#NAME?</v>
      </c>
      <c r="U845" s="4" t="e">
        <f ca="1">[1]!BexGetData("DP_1","00O2TNJGODT0G5Z4TTKYMMUX1","GSON1112060813")</f>
        <v>#NAME?</v>
      </c>
      <c r="V845" s="4" t="e">
        <f ca="1">[1]!BexGetData("DP_1","00O2TNJGODT0G5Z4TTKYMN18L","GSON1112060813")</f>
        <v>#NAME?</v>
      </c>
      <c r="W845" s="4" t="e">
        <f ca="1">[1]!BexGetData("DP_1","00O2TNJGODT0G5Z4TTKYMN7K5","GSON1112060813")</f>
        <v>#NAME?</v>
      </c>
    </row>
    <row r="846" spans="1:23" x14ac:dyDescent="0.2">
      <c r="A846" s="16" t="s">
        <v>3017</v>
      </c>
      <c r="B846" s="7" t="s">
        <v>3018</v>
      </c>
      <c r="C846" s="3" t="e">
        <f ca="1">[1]!BexGetData("DP_1","003N8EMH8GTFRCSWKMPXRR8GU","GSON1112060814")</f>
        <v>#NAME?</v>
      </c>
      <c r="D846" s="3" t="e">
        <f ca="1">[1]!BexGetData("DP_1","003N8EMH8GTFRCSWKMPXRRESE","GSON1112060814")</f>
        <v>#NAME?</v>
      </c>
      <c r="E846" s="8" t="e">
        <f ca="1">[1]!BexGetData("DP_1","003N8EMH8GTFRCSWKMPXRRL3Y","GSON1112060814")</f>
        <v>#NAME?</v>
      </c>
      <c r="F846" s="4" t="e">
        <f ca="1">[1]!BexGetData("DP_1","003N8EMH8GTFRCSWKMPXRRRFI","GSON1112060814")</f>
        <v>#NAME?</v>
      </c>
      <c r="G846" s="4" t="e">
        <f ca="1">[1]!BexGetData("DP_1","003N8EMH8GTFRCSWKMPXRRXR2","GSON1112060814")</f>
        <v>#NAME?</v>
      </c>
      <c r="H846" s="4" t="e">
        <f ca="1">[1]!BexGetData("DP_1","003N8EMH8GTFRCSWKMPXRS42M","GSON1112060814")</f>
        <v>#NAME?</v>
      </c>
      <c r="I846" s="4" t="e">
        <f ca="1">[1]!BexGetData("DP_1","003N8EMH8GTFRCSWKMPXRSAE6","GSON1112060814")</f>
        <v>#NAME?</v>
      </c>
      <c r="J846" s="4" t="e">
        <f ca="1">[1]!BexGetData("DP_1","003N8EMH8GTFRCSWKMPXRSGPQ","GSON1112060814")</f>
        <v>#NAME?</v>
      </c>
      <c r="K846" s="8" t="e">
        <f ca="1">[1]!BexGetData("DP_1","003N8EMH8GTFRIVNUPY288VJH","GSON1112060814")</f>
        <v>#NAME?</v>
      </c>
      <c r="L846" s="8" t="e">
        <f ca="1">[1]!BexGetData("DP_1","003N8EMH8GTFRIVNUPY2891V1","GSON1112060814")</f>
        <v>#NAME?</v>
      </c>
      <c r="M846" s="8" t="e">
        <f ca="1">[1]!BexGetData("DP_1","003N8EMH8GTFRIVOG7KG9IQXA","GSON1112060814")</f>
        <v>#NAME?</v>
      </c>
      <c r="N846" s="8" t="e">
        <f ca="1">[1]!BexGetData("DP_1","003N8EMH8GTFRIVOG7KG9IX8U","GSON1112060814")</f>
        <v>#NAME?</v>
      </c>
      <c r="O846" s="8" t="e">
        <f ca="1">[1]!BexGetData("DP_1","003N8EMH8GTFRIVOG7KG9J3KE","GSON1112060814")</f>
        <v>#NAME?</v>
      </c>
      <c r="P846" s="8" t="e">
        <f ca="1">[1]!BexGetData("DP_1","003N8EMH8GTFRIVOG7KG9J9VY","GSON1112060814")</f>
        <v>#NAME?</v>
      </c>
      <c r="Q846" s="4" t="e">
        <f ca="1">[1]!BexGetData("DP_1","00O2TNJGODT0G5Z4TTKYMM5MT","GSON1112060814")</f>
        <v>#NAME?</v>
      </c>
      <c r="R846" s="4" t="e">
        <f ca="1">[1]!BexGetData("DP_1","00O2TNJGODT0G5Z4TTKYMMBYD","GSON1112060814")</f>
        <v>#NAME?</v>
      </c>
      <c r="S846" s="4" t="e">
        <f ca="1">[1]!BexGetData("DP_1","00O2TNJGODT0G5Z4TTKYMMI9X","GSON1112060814")</f>
        <v>#NAME?</v>
      </c>
      <c r="T846" s="4" t="e">
        <f ca="1">[1]!BexGetData("DP_1","00O2TNJGODT0G5Z4TTKYMMOLH","GSON1112060814")</f>
        <v>#NAME?</v>
      </c>
      <c r="U846" s="4" t="e">
        <f ca="1">[1]!BexGetData("DP_1","00O2TNJGODT0G5Z4TTKYMMUX1","GSON1112060814")</f>
        <v>#NAME?</v>
      </c>
      <c r="V846" s="4" t="e">
        <f ca="1">[1]!BexGetData("DP_1","00O2TNJGODT0G5Z4TTKYMN18L","GSON1112060814")</f>
        <v>#NAME?</v>
      </c>
      <c r="W846" s="4" t="e">
        <f ca="1">[1]!BexGetData("DP_1","00O2TNJGODT0G5Z4TTKYMN7K5","GSON1112060814")</f>
        <v>#NAME?</v>
      </c>
    </row>
    <row r="847" spans="1:23" x14ac:dyDescent="0.2">
      <c r="A847" s="16" t="s">
        <v>3019</v>
      </c>
      <c r="B847" s="7" t="s">
        <v>3020</v>
      </c>
      <c r="C847" s="3" t="e">
        <f ca="1">[1]!BexGetData("DP_1","003N8EMH8GTFRCSWKMPXRR8GU","GSON1112060815")</f>
        <v>#NAME?</v>
      </c>
      <c r="D847" s="3" t="e">
        <f ca="1">[1]!BexGetData("DP_1","003N8EMH8GTFRCSWKMPXRRESE","GSON1112060815")</f>
        <v>#NAME?</v>
      </c>
      <c r="E847" s="8" t="e">
        <f ca="1">[1]!BexGetData("DP_1","003N8EMH8GTFRCSWKMPXRRL3Y","GSON1112060815")</f>
        <v>#NAME?</v>
      </c>
      <c r="F847" s="4" t="e">
        <f ca="1">[1]!BexGetData("DP_1","003N8EMH8GTFRCSWKMPXRRRFI","GSON1112060815")</f>
        <v>#NAME?</v>
      </c>
      <c r="G847" s="4" t="e">
        <f ca="1">[1]!BexGetData("DP_1","003N8EMH8GTFRCSWKMPXRRXR2","GSON1112060815")</f>
        <v>#NAME?</v>
      </c>
      <c r="H847" s="4" t="e">
        <f ca="1">[1]!BexGetData("DP_1","003N8EMH8GTFRCSWKMPXRS42M","GSON1112060815")</f>
        <v>#NAME?</v>
      </c>
      <c r="I847" s="4" t="e">
        <f ca="1">[1]!BexGetData("DP_1","003N8EMH8GTFRCSWKMPXRSAE6","GSON1112060815")</f>
        <v>#NAME?</v>
      </c>
      <c r="J847" s="4" t="e">
        <f ca="1">[1]!BexGetData("DP_1","003N8EMH8GTFRCSWKMPXRSGPQ","GSON1112060815")</f>
        <v>#NAME?</v>
      </c>
      <c r="K847" s="8" t="e">
        <f ca="1">[1]!BexGetData("DP_1","003N8EMH8GTFRIVNUPY288VJH","GSON1112060815")</f>
        <v>#NAME?</v>
      </c>
      <c r="L847" s="8" t="e">
        <f ca="1">[1]!BexGetData("DP_1","003N8EMH8GTFRIVNUPY2891V1","GSON1112060815")</f>
        <v>#NAME?</v>
      </c>
      <c r="M847" s="8" t="e">
        <f ca="1">[1]!BexGetData("DP_1","003N8EMH8GTFRIVOG7KG9IQXA","GSON1112060815")</f>
        <v>#NAME?</v>
      </c>
      <c r="N847" s="8" t="e">
        <f ca="1">[1]!BexGetData("DP_1","003N8EMH8GTFRIVOG7KG9IX8U","GSON1112060815")</f>
        <v>#NAME?</v>
      </c>
      <c r="O847" s="8" t="e">
        <f ca="1">[1]!BexGetData("DP_1","003N8EMH8GTFRIVOG7KG9J3KE","GSON1112060815")</f>
        <v>#NAME?</v>
      </c>
      <c r="P847" s="8" t="e">
        <f ca="1">[1]!BexGetData("DP_1","003N8EMH8GTFRIVOG7KG9J9VY","GSON1112060815")</f>
        <v>#NAME?</v>
      </c>
      <c r="Q847" s="4" t="e">
        <f ca="1">[1]!BexGetData("DP_1","00O2TNJGODT0G5Z4TTKYMM5MT","GSON1112060815")</f>
        <v>#NAME?</v>
      </c>
      <c r="R847" s="4" t="e">
        <f ca="1">[1]!BexGetData("DP_1","00O2TNJGODT0G5Z4TTKYMMBYD","GSON1112060815")</f>
        <v>#NAME?</v>
      </c>
      <c r="S847" s="4" t="e">
        <f ca="1">[1]!BexGetData("DP_1","00O2TNJGODT0G5Z4TTKYMMI9X","GSON1112060815")</f>
        <v>#NAME?</v>
      </c>
      <c r="T847" s="4" t="e">
        <f ca="1">[1]!BexGetData("DP_1","00O2TNJGODT0G5Z4TTKYMMOLH","GSON1112060815")</f>
        <v>#NAME?</v>
      </c>
      <c r="U847" s="4" t="e">
        <f ca="1">[1]!BexGetData("DP_1","00O2TNJGODT0G5Z4TTKYMMUX1","GSON1112060815")</f>
        <v>#NAME?</v>
      </c>
      <c r="V847" s="4" t="e">
        <f ca="1">[1]!BexGetData("DP_1","00O2TNJGODT0G5Z4TTKYMN18L","GSON1112060815")</f>
        <v>#NAME?</v>
      </c>
      <c r="W847" s="4" t="e">
        <f ca="1">[1]!BexGetData("DP_1","00O2TNJGODT0G5Z4TTKYMN7K5","GSON1112060815")</f>
        <v>#NAME?</v>
      </c>
    </row>
    <row r="848" spans="1:23" x14ac:dyDescent="0.2">
      <c r="A848" s="16" t="s">
        <v>3021</v>
      </c>
      <c r="B848" s="7" t="s">
        <v>3022</v>
      </c>
      <c r="C848" s="3" t="e">
        <f ca="1">[1]!BexGetData("DP_1","003N8EMH8GTFRCSWKMPXRR8GU","GSON1112060820")</f>
        <v>#NAME?</v>
      </c>
      <c r="D848" s="3" t="e">
        <f ca="1">[1]!BexGetData("DP_1","003N8EMH8GTFRCSWKMPXRRESE","GSON1112060820")</f>
        <v>#NAME?</v>
      </c>
      <c r="E848" s="3" t="e">
        <f ca="1">[1]!BexGetData("DP_1","003N8EMH8GTFRCSWKMPXRRL3Y","GSON1112060820")</f>
        <v>#NAME?</v>
      </c>
      <c r="F848" s="3" t="e">
        <f ca="1">[1]!BexGetData("DP_1","003N8EMH8GTFRCSWKMPXRRRFI","GSON1112060820")</f>
        <v>#NAME?</v>
      </c>
      <c r="G848" s="3" t="e">
        <f ca="1">[1]!BexGetData("DP_1","003N8EMH8GTFRCSWKMPXRRXR2","GSON1112060820")</f>
        <v>#NAME?</v>
      </c>
      <c r="H848" s="8" t="e">
        <f ca="1">[1]!BexGetData("DP_1","003N8EMH8GTFRCSWKMPXRS42M","GSON1112060820")</f>
        <v>#NAME?</v>
      </c>
      <c r="I848" s="3" t="e">
        <f ca="1">[1]!BexGetData("DP_1","003N8EMH8GTFRCSWKMPXRSAE6","GSON1112060820")</f>
        <v>#NAME?</v>
      </c>
      <c r="J848" s="4" t="e">
        <f ca="1">[1]!BexGetData("DP_1","003N8EMH8GTFRCSWKMPXRSGPQ","GSON1112060820")</f>
        <v>#NAME?</v>
      </c>
      <c r="K848" s="3" t="e">
        <f ca="1">[1]!BexGetData("DP_1","003N8EMH8GTFRIVNUPY288VJH","GSON1112060820")</f>
        <v>#NAME?</v>
      </c>
      <c r="L848" s="3" t="e">
        <f ca="1">[1]!BexGetData("DP_1","003N8EMH8GTFRIVNUPY2891V1","GSON1112060820")</f>
        <v>#NAME?</v>
      </c>
      <c r="M848" s="3" t="e">
        <f ca="1">[1]!BexGetData("DP_1","003N8EMH8GTFRIVOG7KG9IQXA","GSON1112060820")</f>
        <v>#NAME?</v>
      </c>
      <c r="N848" s="8" t="e">
        <f ca="1">[1]!BexGetData("DP_1","003N8EMH8GTFRIVOG7KG9IX8U","GSON1112060820")</f>
        <v>#NAME?</v>
      </c>
      <c r="O848" s="3" t="e">
        <f ca="1">[1]!BexGetData("DP_1","003N8EMH8GTFRIVOG7KG9J3KE","GSON1112060820")</f>
        <v>#NAME?</v>
      </c>
      <c r="P848" s="8" t="e">
        <f ca="1">[1]!BexGetData("DP_1","003N8EMH8GTFRIVOG7KG9J9VY","GSON1112060820")</f>
        <v>#NAME?</v>
      </c>
      <c r="Q848" s="4" t="e">
        <f ca="1">[1]!BexGetData("DP_1","00O2TNJGODT0G5Z4TTKYMM5MT","GSON1112060820")</f>
        <v>#NAME?</v>
      </c>
      <c r="R848" s="3" t="e">
        <f ca="1">[1]!BexGetData("DP_1","00O2TNJGODT0G5Z4TTKYMMBYD","GSON1112060820")</f>
        <v>#NAME?</v>
      </c>
      <c r="S848" s="3" t="e">
        <f ca="1">[1]!BexGetData("DP_1","00O2TNJGODT0G5Z4TTKYMMI9X","GSON1112060820")</f>
        <v>#NAME?</v>
      </c>
      <c r="T848" s="8" t="e">
        <f ca="1">[1]!BexGetData("DP_1","00O2TNJGODT0G5Z4TTKYMMOLH","GSON1112060820")</f>
        <v>#NAME?</v>
      </c>
      <c r="U848" s="3" t="e">
        <f ca="1">[1]!BexGetData("DP_1","00O2TNJGODT0G5Z4TTKYMMUX1","GSON1112060820")</f>
        <v>#NAME?</v>
      </c>
      <c r="V848" s="8" t="e">
        <f ca="1">[1]!BexGetData("DP_1","00O2TNJGODT0G5Z4TTKYMN18L","GSON1112060820")</f>
        <v>#NAME?</v>
      </c>
      <c r="W848" s="3" t="e">
        <f ca="1">[1]!BexGetData("DP_1","00O2TNJGODT0G5Z4TTKYMN7K5","GSON1112060820")</f>
        <v>#NAME?</v>
      </c>
    </row>
    <row r="849" spans="1:23" x14ac:dyDescent="0.2">
      <c r="A849" s="16" t="s">
        <v>3023</v>
      </c>
      <c r="B849" s="7" t="s">
        <v>3024</v>
      </c>
      <c r="C849" s="3" t="e">
        <f ca="1">[1]!BexGetData("DP_1","003N8EMH8GTFRCSWKMPXRR8GU","GSON1112060821")</f>
        <v>#NAME?</v>
      </c>
      <c r="D849" s="3" t="e">
        <f ca="1">[1]!BexGetData("DP_1","003N8EMH8GTFRCSWKMPXRRESE","GSON1112060821")</f>
        <v>#NAME?</v>
      </c>
      <c r="E849" s="8" t="e">
        <f ca="1">[1]!BexGetData("DP_1","003N8EMH8GTFRCSWKMPXRRL3Y","GSON1112060821")</f>
        <v>#NAME?</v>
      </c>
      <c r="F849" s="4" t="e">
        <f ca="1">[1]!BexGetData("DP_1","003N8EMH8GTFRCSWKMPXRRRFI","GSON1112060821")</f>
        <v>#NAME?</v>
      </c>
      <c r="G849" s="4" t="e">
        <f ca="1">[1]!BexGetData("DP_1","003N8EMH8GTFRCSWKMPXRRXR2","GSON1112060821")</f>
        <v>#NAME?</v>
      </c>
      <c r="H849" s="4" t="e">
        <f ca="1">[1]!BexGetData("DP_1","003N8EMH8GTFRCSWKMPXRS42M","GSON1112060821")</f>
        <v>#NAME?</v>
      </c>
      <c r="I849" s="4" t="e">
        <f ca="1">[1]!BexGetData("DP_1","003N8EMH8GTFRCSWKMPXRSAE6","GSON1112060821")</f>
        <v>#NAME?</v>
      </c>
      <c r="J849" s="4" t="e">
        <f ca="1">[1]!BexGetData("DP_1","003N8EMH8GTFRCSWKMPXRSGPQ","GSON1112060821")</f>
        <v>#NAME?</v>
      </c>
      <c r="K849" s="8" t="e">
        <f ca="1">[1]!BexGetData("DP_1","003N8EMH8GTFRIVNUPY288VJH","GSON1112060821")</f>
        <v>#NAME?</v>
      </c>
      <c r="L849" s="8" t="e">
        <f ca="1">[1]!BexGetData("DP_1","003N8EMH8GTFRIVNUPY2891V1","GSON1112060821")</f>
        <v>#NAME?</v>
      </c>
      <c r="M849" s="8" t="e">
        <f ca="1">[1]!BexGetData("DP_1","003N8EMH8GTFRIVOG7KG9IQXA","GSON1112060821")</f>
        <v>#NAME?</v>
      </c>
      <c r="N849" s="8" t="e">
        <f ca="1">[1]!BexGetData("DP_1","003N8EMH8GTFRIVOG7KG9IX8U","GSON1112060821")</f>
        <v>#NAME?</v>
      </c>
      <c r="O849" s="8" t="e">
        <f ca="1">[1]!BexGetData("DP_1","003N8EMH8GTFRIVOG7KG9J3KE","GSON1112060821")</f>
        <v>#NAME?</v>
      </c>
      <c r="P849" s="8" t="e">
        <f ca="1">[1]!BexGetData("DP_1","003N8EMH8GTFRIVOG7KG9J9VY","GSON1112060821")</f>
        <v>#NAME?</v>
      </c>
      <c r="Q849" s="4" t="e">
        <f ca="1">[1]!BexGetData("DP_1","00O2TNJGODT0G5Z4TTKYMM5MT","GSON1112060821")</f>
        <v>#NAME?</v>
      </c>
      <c r="R849" s="4" t="e">
        <f ca="1">[1]!BexGetData("DP_1","00O2TNJGODT0G5Z4TTKYMMBYD","GSON1112060821")</f>
        <v>#NAME?</v>
      </c>
      <c r="S849" s="4" t="e">
        <f ca="1">[1]!BexGetData("DP_1","00O2TNJGODT0G5Z4TTKYMMI9X","GSON1112060821")</f>
        <v>#NAME?</v>
      </c>
      <c r="T849" s="4" t="e">
        <f ca="1">[1]!BexGetData("DP_1","00O2TNJGODT0G5Z4TTKYMMOLH","GSON1112060821")</f>
        <v>#NAME?</v>
      </c>
      <c r="U849" s="4" t="e">
        <f ca="1">[1]!BexGetData("DP_1","00O2TNJGODT0G5Z4TTKYMMUX1","GSON1112060821")</f>
        <v>#NAME?</v>
      </c>
      <c r="V849" s="4" t="e">
        <f ca="1">[1]!BexGetData("DP_1","00O2TNJGODT0G5Z4TTKYMN18L","GSON1112060821")</f>
        <v>#NAME?</v>
      </c>
      <c r="W849" s="4" t="e">
        <f ca="1">[1]!BexGetData("DP_1","00O2TNJGODT0G5Z4TTKYMN7K5","GSON1112060821")</f>
        <v>#NAME?</v>
      </c>
    </row>
    <row r="850" spans="1:23" x14ac:dyDescent="0.2">
      <c r="A850" s="16" t="s">
        <v>3025</v>
      </c>
      <c r="B850" s="7" t="s">
        <v>3026</v>
      </c>
      <c r="C850" s="3" t="e">
        <f ca="1">[1]!BexGetData("DP_1","003N8EMH8GTFRCSWKMPXRR8GU","GSON1112060822")</f>
        <v>#NAME?</v>
      </c>
      <c r="D850" s="3" t="e">
        <f ca="1">[1]!BexGetData("DP_1","003N8EMH8GTFRCSWKMPXRRESE","GSON1112060822")</f>
        <v>#NAME?</v>
      </c>
      <c r="E850" s="8" t="e">
        <f ca="1">[1]!BexGetData("DP_1","003N8EMH8GTFRCSWKMPXRRL3Y","GSON1112060822")</f>
        <v>#NAME?</v>
      </c>
      <c r="F850" s="3" t="e">
        <f ca="1">[1]!BexGetData("DP_1","003N8EMH8GTFRCSWKMPXRRRFI","GSON1112060822")</f>
        <v>#NAME?</v>
      </c>
      <c r="G850" s="8" t="e">
        <f ca="1">[1]!BexGetData("DP_1","003N8EMH8GTFRCSWKMPXRRXR2","GSON1112060822")</f>
        <v>#NAME?</v>
      </c>
      <c r="H850" s="3" t="e">
        <f ca="1">[1]!BexGetData("DP_1","003N8EMH8GTFRCSWKMPXRS42M","GSON1112060822")</f>
        <v>#NAME?</v>
      </c>
      <c r="I850" s="3" t="e">
        <f ca="1">[1]!BexGetData("DP_1","003N8EMH8GTFRCSWKMPXRSAE6","GSON1112060822")</f>
        <v>#NAME?</v>
      </c>
      <c r="J850" s="4" t="e">
        <f ca="1">[1]!BexGetData("DP_1","003N8EMH8GTFRCSWKMPXRSGPQ","GSON1112060822")</f>
        <v>#NAME?</v>
      </c>
      <c r="K850" s="3" t="e">
        <f ca="1">[1]!BexGetData("DP_1","003N8EMH8GTFRIVNUPY288VJH","GSON1112060822")</f>
        <v>#NAME?</v>
      </c>
      <c r="L850" s="3" t="e">
        <f ca="1">[1]!BexGetData("DP_1","003N8EMH8GTFRIVNUPY2891V1","GSON1112060822")</f>
        <v>#NAME?</v>
      </c>
      <c r="M850" s="8" t="e">
        <f ca="1">[1]!BexGetData("DP_1","003N8EMH8GTFRIVOG7KG9IQXA","GSON1112060822")</f>
        <v>#NAME?</v>
      </c>
      <c r="N850" s="3" t="e">
        <f ca="1">[1]!BexGetData("DP_1","003N8EMH8GTFRIVOG7KG9IX8U","GSON1112060822")</f>
        <v>#NAME?</v>
      </c>
      <c r="O850" s="8" t="e">
        <f ca="1">[1]!BexGetData("DP_1","003N8EMH8GTFRIVOG7KG9J3KE","GSON1112060822")</f>
        <v>#NAME?</v>
      </c>
      <c r="P850" s="3" t="e">
        <f ca="1">[1]!BexGetData("DP_1","003N8EMH8GTFRIVOG7KG9J9VY","GSON1112060822")</f>
        <v>#NAME?</v>
      </c>
      <c r="Q850" s="4" t="e">
        <f ca="1">[1]!BexGetData("DP_1","00O2TNJGODT0G5Z4TTKYMM5MT","GSON1112060822")</f>
        <v>#NAME?</v>
      </c>
      <c r="R850" s="3" t="e">
        <f ca="1">[1]!BexGetData("DP_1","00O2TNJGODT0G5Z4TTKYMMBYD","GSON1112060822")</f>
        <v>#NAME?</v>
      </c>
      <c r="S850" s="3" t="e">
        <f ca="1">[1]!BexGetData("DP_1","00O2TNJGODT0G5Z4TTKYMMI9X","GSON1112060822")</f>
        <v>#NAME?</v>
      </c>
      <c r="T850" s="3" t="e">
        <f ca="1">[1]!BexGetData("DP_1","00O2TNJGODT0G5Z4TTKYMMOLH","GSON1112060822")</f>
        <v>#NAME?</v>
      </c>
      <c r="U850" s="8" t="e">
        <f ca="1">[1]!BexGetData("DP_1","00O2TNJGODT0G5Z4TTKYMMUX1","GSON1112060822")</f>
        <v>#NAME?</v>
      </c>
      <c r="V850" s="3" t="e">
        <f ca="1">[1]!BexGetData("DP_1","00O2TNJGODT0G5Z4TTKYMN18L","GSON1112060822")</f>
        <v>#NAME?</v>
      </c>
      <c r="W850" s="8" t="e">
        <f ca="1">[1]!BexGetData("DP_1","00O2TNJGODT0G5Z4TTKYMN7K5","GSON1112060822")</f>
        <v>#NAME?</v>
      </c>
    </row>
    <row r="851" spans="1:23" x14ac:dyDescent="0.2">
      <c r="A851" s="16" t="s">
        <v>3027</v>
      </c>
      <c r="B851" s="7" t="s">
        <v>3028</v>
      </c>
      <c r="C851" s="3" t="e">
        <f ca="1">[1]!BexGetData("DP_1","003N8EMH8GTFRCSWKMPXRR8GU","GSON1112060823")</f>
        <v>#NAME?</v>
      </c>
      <c r="D851" s="3" t="e">
        <f ca="1">[1]!BexGetData("DP_1","003N8EMH8GTFRCSWKMPXRRESE","GSON1112060823")</f>
        <v>#NAME?</v>
      </c>
      <c r="E851" s="8" t="e">
        <f ca="1">[1]!BexGetData("DP_1","003N8EMH8GTFRCSWKMPXRRL3Y","GSON1112060823")</f>
        <v>#NAME?</v>
      </c>
      <c r="F851" s="4" t="e">
        <f ca="1">[1]!BexGetData("DP_1","003N8EMH8GTFRCSWKMPXRRRFI","GSON1112060823")</f>
        <v>#NAME?</v>
      </c>
      <c r="G851" s="4" t="e">
        <f ca="1">[1]!BexGetData("DP_1","003N8EMH8GTFRCSWKMPXRRXR2","GSON1112060823")</f>
        <v>#NAME?</v>
      </c>
      <c r="H851" s="4" t="e">
        <f ca="1">[1]!BexGetData("DP_1","003N8EMH8GTFRCSWKMPXRS42M","GSON1112060823")</f>
        <v>#NAME?</v>
      </c>
      <c r="I851" s="4" t="e">
        <f ca="1">[1]!BexGetData("DP_1","003N8EMH8GTFRCSWKMPXRSAE6","GSON1112060823")</f>
        <v>#NAME?</v>
      </c>
      <c r="J851" s="4" t="e">
        <f ca="1">[1]!BexGetData("DP_1","003N8EMH8GTFRCSWKMPXRSGPQ","GSON1112060823")</f>
        <v>#NAME?</v>
      </c>
      <c r="K851" s="8" t="e">
        <f ca="1">[1]!BexGetData("DP_1","003N8EMH8GTFRIVNUPY288VJH","GSON1112060823")</f>
        <v>#NAME?</v>
      </c>
      <c r="L851" s="8" t="e">
        <f ca="1">[1]!BexGetData("DP_1","003N8EMH8GTFRIVNUPY2891V1","GSON1112060823")</f>
        <v>#NAME?</v>
      </c>
      <c r="M851" s="8" t="e">
        <f ca="1">[1]!BexGetData("DP_1","003N8EMH8GTFRIVOG7KG9IQXA","GSON1112060823")</f>
        <v>#NAME?</v>
      </c>
      <c r="N851" s="8" t="e">
        <f ca="1">[1]!BexGetData("DP_1","003N8EMH8GTFRIVOG7KG9IX8U","GSON1112060823")</f>
        <v>#NAME?</v>
      </c>
      <c r="O851" s="8" t="e">
        <f ca="1">[1]!BexGetData("DP_1","003N8EMH8GTFRIVOG7KG9J3KE","GSON1112060823")</f>
        <v>#NAME?</v>
      </c>
      <c r="P851" s="8" t="e">
        <f ca="1">[1]!BexGetData("DP_1","003N8EMH8GTFRIVOG7KG9J9VY","GSON1112060823")</f>
        <v>#NAME?</v>
      </c>
      <c r="Q851" s="4" t="e">
        <f ca="1">[1]!BexGetData("DP_1","00O2TNJGODT0G5Z4TTKYMM5MT","GSON1112060823")</f>
        <v>#NAME?</v>
      </c>
      <c r="R851" s="4" t="e">
        <f ca="1">[1]!BexGetData("DP_1","00O2TNJGODT0G5Z4TTKYMMBYD","GSON1112060823")</f>
        <v>#NAME?</v>
      </c>
      <c r="S851" s="4" t="e">
        <f ca="1">[1]!BexGetData("DP_1","00O2TNJGODT0G5Z4TTKYMMI9X","GSON1112060823")</f>
        <v>#NAME?</v>
      </c>
      <c r="T851" s="4" t="e">
        <f ca="1">[1]!BexGetData("DP_1","00O2TNJGODT0G5Z4TTKYMMOLH","GSON1112060823")</f>
        <v>#NAME?</v>
      </c>
      <c r="U851" s="4" t="e">
        <f ca="1">[1]!BexGetData("DP_1","00O2TNJGODT0G5Z4TTKYMMUX1","GSON1112060823")</f>
        <v>#NAME?</v>
      </c>
      <c r="V851" s="4" t="e">
        <f ca="1">[1]!BexGetData("DP_1","00O2TNJGODT0G5Z4TTKYMN18L","GSON1112060823")</f>
        <v>#NAME?</v>
      </c>
      <c r="W851" s="4" t="e">
        <f ca="1">[1]!BexGetData("DP_1","00O2TNJGODT0G5Z4TTKYMN7K5","GSON1112060823")</f>
        <v>#NAME?</v>
      </c>
    </row>
    <row r="852" spans="1:23" x14ac:dyDescent="0.2">
      <c r="A852" s="16" t="s">
        <v>3029</v>
      </c>
      <c r="B852" s="7" t="s">
        <v>3030</v>
      </c>
      <c r="C852" s="3" t="e">
        <f ca="1">[1]!BexGetData("DP_1","003N8EMH8GTFRCSWKMPXRR8GU","GSON1112060824")</f>
        <v>#NAME?</v>
      </c>
      <c r="D852" s="3" t="e">
        <f ca="1">[1]!BexGetData("DP_1","003N8EMH8GTFRCSWKMPXRRESE","GSON1112060824")</f>
        <v>#NAME?</v>
      </c>
      <c r="E852" s="8" t="e">
        <f ca="1">[1]!BexGetData("DP_1","003N8EMH8GTFRCSWKMPXRRL3Y","GSON1112060824")</f>
        <v>#NAME?</v>
      </c>
      <c r="F852" s="4" t="e">
        <f ca="1">[1]!BexGetData("DP_1","003N8EMH8GTFRCSWKMPXRRRFI","GSON1112060824")</f>
        <v>#NAME?</v>
      </c>
      <c r="G852" s="4" t="e">
        <f ca="1">[1]!BexGetData("DP_1","003N8EMH8GTFRCSWKMPXRRXR2","GSON1112060824")</f>
        <v>#NAME?</v>
      </c>
      <c r="H852" s="4" t="e">
        <f ca="1">[1]!BexGetData("DP_1","003N8EMH8GTFRCSWKMPXRS42M","GSON1112060824")</f>
        <v>#NAME?</v>
      </c>
      <c r="I852" s="4" t="e">
        <f ca="1">[1]!BexGetData("DP_1","003N8EMH8GTFRCSWKMPXRSAE6","GSON1112060824")</f>
        <v>#NAME?</v>
      </c>
      <c r="J852" s="4" t="e">
        <f ca="1">[1]!BexGetData("DP_1","003N8EMH8GTFRCSWKMPXRSGPQ","GSON1112060824")</f>
        <v>#NAME?</v>
      </c>
      <c r="K852" s="8" t="e">
        <f ca="1">[1]!BexGetData("DP_1","003N8EMH8GTFRIVNUPY288VJH","GSON1112060824")</f>
        <v>#NAME?</v>
      </c>
      <c r="L852" s="8" t="e">
        <f ca="1">[1]!BexGetData("DP_1","003N8EMH8GTFRIVNUPY2891V1","GSON1112060824")</f>
        <v>#NAME?</v>
      </c>
      <c r="M852" s="8" t="e">
        <f ca="1">[1]!BexGetData("DP_1","003N8EMH8GTFRIVOG7KG9IQXA","GSON1112060824")</f>
        <v>#NAME?</v>
      </c>
      <c r="N852" s="8" t="e">
        <f ca="1">[1]!BexGetData("DP_1","003N8EMH8GTFRIVOG7KG9IX8U","GSON1112060824")</f>
        <v>#NAME?</v>
      </c>
      <c r="O852" s="8" t="e">
        <f ca="1">[1]!BexGetData("DP_1","003N8EMH8GTFRIVOG7KG9J3KE","GSON1112060824")</f>
        <v>#NAME?</v>
      </c>
      <c r="P852" s="8" t="e">
        <f ca="1">[1]!BexGetData("DP_1","003N8EMH8GTFRIVOG7KG9J9VY","GSON1112060824")</f>
        <v>#NAME?</v>
      </c>
      <c r="Q852" s="4" t="e">
        <f ca="1">[1]!BexGetData("DP_1","00O2TNJGODT0G5Z4TTKYMM5MT","GSON1112060824")</f>
        <v>#NAME?</v>
      </c>
      <c r="R852" s="4" t="e">
        <f ca="1">[1]!BexGetData("DP_1","00O2TNJGODT0G5Z4TTKYMMBYD","GSON1112060824")</f>
        <v>#NAME?</v>
      </c>
      <c r="S852" s="4" t="e">
        <f ca="1">[1]!BexGetData("DP_1","00O2TNJGODT0G5Z4TTKYMMI9X","GSON1112060824")</f>
        <v>#NAME?</v>
      </c>
      <c r="T852" s="4" t="e">
        <f ca="1">[1]!BexGetData("DP_1","00O2TNJGODT0G5Z4TTKYMMOLH","GSON1112060824")</f>
        <v>#NAME?</v>
      </c>
      <c r="U852" s="4" t="e">
        <f ca="1">[1]!BexGetData("DP_1","00O2TNJGODT0G5Z4TTKYMMUX1","GSON1112060824")</f>
        <v>#NAME?</v>
      </c>
      <c r="V852" s="4" t="e">
        <f ca="1">[1]!BexGetData("DP_1","00O2TNJGODT0G5Z4TTKYMN18L","GSON1112060824")</f>
        <v>#NAME?</v>
      </c>
      <c r="W852" s="4" t="e">
        <f ca="1">[1]!BexGetData("DP_1","00O2TNJGODT0G5Z4TTKYMN7K5","GSON1112060824")</f>
        <v>#NAME?</v>
      </c>
    </row>
    <row r="853" spans="1:23" x14ac:dyDescent="0.2">
      <c r="A853" s="16" t="s">
        <v>3031</v>
      </c>
      <c r="B853" s="7" t="s">
        <v>3032</v>
      </c>
      <c r="C853" s="3" t="e">
        <f ca="1">[1]!BexGetData("DP_1","003N8EMH8GTFRCSWKMPXRR8GU","GSON1112060825")</f>
        <v>#NAME?</v>
      </c>
      <c r="D853" s="3" t="e">
        <f ca="1">[1]!BexGetData("DP_1","003N8EMH8GTFRCSWKMPXRRESE","GSON1112060825")</f>
        <v>#NAME?</v>
      </c>
      <c r="E853" s="8" t="e">
        <f ca="1">[1]!BexGetData("DP_1","003N8EMH8GTFRCSWKMPXRRL3Y","GSON1112060825")</f>
        <v>#NAME?</v>
      </c>
      <c r="F853" s="4" t="e">
        <f ca="1">[1]!BexGetData("DP_1","003N8EMH8GTFRCSWKMPXRRRFI","GSON1112060825")</f>
        <v>#NAME?</v>
      </c>
      <c r="G853" s="4" t="e">
        <f ca="1">[1]!BexGetData("DP_1","003N8EMH8GTFRCSWKMPXRRXR2","GSON1112060825")</f>
        <v>#NAME?</v>
      </c>
      <c r="H853" s="4" t="e">
        <f ca="1">[1]!BexGetData("DP_1","003N8EMH8GTFRCSWKMPXRS42M","GSON1112060825")</f>
        <v>#NAME?</v>
      </c>
      <c r="I853" s="4" t="e">
        <f ca="1">[1]!BexGetData("DP_1","003N8EMH8GTFRCSWKMPXRSAE6","GSON1112060825")</f>
        <v>#NAME?</v>
      </c>
      <c r="J853" s="4" t="e">
        <f ca="1">[1]!BexGetData("DP_1","003N8EMH8GTFRCSWKMPXRSGPQ","GSON1112060825")</f>
        <v>#NAME?</v>
      </c>
      <c r="K853" s="8" t="e">
        <f ca="1">[1]!BexGetData("DP_1","003N8EMH8GTFRIVNUPY288VJH","GSON1112060825")</f>
        <v>#NAME?</v>
      </c>
      <c r="L853" s="8" t="e">
        <f ca="1">[1]!BexGetData("DP_1","003N8EMH8GTFRIVNUPY2891V1","GSON1112060825")</f>
        <v>#NAME?</v>
      </c>
      <c r="M853" s="8" t="e">
        <f ca="1">[1]!BexGetData("DP_1","003N8EMH8GTFRIVOG7KG9IQXA","GSON1112060825")</f>
        <v>#NAME?</v>
      </c>
      <c r="N853" s="8" t="e">
        <f ca="1">[1]!BexGetData("DP_1","003N8EMH8GTFRIVOG7KG9IX8U","GSON1112060825")</f>
        <v>#NAME?</v>
      </c>
      <c r="O853" s="8" t="e">
        <f ca="1">[1]!BexGetData("DP_1","003N8EMH8GTFRIVOG7KG9J3KE","GSON1112060825")</f>
        <v>#NAME?</v>
      </c>
      <c r="P853" s="8" t="e">
        <f ca="1">[1]!BexGetData("DP_1","003N8EMH8GTFRIVOG7KG9J9VY","GSON1112060825")</f>
        <v>#NAME?</v>
      </c>
      <c r="Q853" s="4" t="e">
        <f ca="1">[1]!BexGetData("DP_1","00O2TNJGODT0G5Z4TTKYMM5MT","GSON1112060825")</f>
        <v>#NAME?</v>
      </c>
      <c r="R853" s="4" t="e">
        <f ca="1">[1]!BexGetData("DP_1","00O2TNJGODT0G5Z4TTKYMMBYD","GSON1112060825")</f>
        <v>#NAME?</v>
      </c>
      <c r="S853" s="4" t="e">
        <f ca="1">[1]!BexGetData("DP_1","00O2TNJGODT0G5Z4TTKYMMI9X","GSON1112060825")</f>
        <v>#NAME?</v>
      </c>
      <c r="T853" s="4" t="e">
        <f ca="1">[1]!BexGetData("DP_1","00O2TNJGODT0G5Z4TTKYMMOLH","GSON1112060825")</f>
        <v>#NAME?</v>
      </c>
      <c r="U853" s="4" t="e">
        <f ca="1">[1]!BexGetData("DP_1","00O2TNJGODT0G5Z4TTKYMMUX1","GSON1112060825")</f>
        <v>#NAME?</v>
      </c>
      <c r="V853" s="4" t="e">
        <f ca="1">[1]!BexGetData("DP_1","00O2TNJGODT0G5Z4TTKYMN18L","GSON1112060825")</f>
        <v>#NAME?</v>
      </c>
      <c r="W853" s="4" t="e">
        <f ca="1">[1]!BexGetData("DP_1","00O2TNJGODT0G5Z4TTKYMN7K5","GSON1112060825")</f>
        <v>#NAME?</v>
      </c>
    </row>
    <row r="854" spans="1:23" x14ac:dyDescent="0.2">
      <c r="A854" s="16" t="s">
        <v>3033</v>
      </c>
      <c r="B854" s="7" t="s">
        <v>3034</v>
      </c>
      <c r="C854" s="3" t="e">
        <f ca="1">[1]!BexGetData("DP_1","003N8EMH8GTFRCSWKMPXRR8GU","GSON1112060830")</f>
        <v>#NAME?</v>
      </c>
      <c r="D854" s="3" t="e">
        <f ca="1">[1]!BexGetData("DP_1","003N8EMH8GTFRCSWKMPXRRESE","GSON1112060830")</f>
        <v>#NAME?</v>
      </c>
      <c r="E854" s="3" t="e">
        <f ca="1">[1]!BexGetData("DP_1","003N8EMH8GTFRCSWKMPXRRL3Y","GSON1112060830")</f>
        <v>#NAME?</v>
      </c>
      <c r="F854" s="3" t="e">
        <f ca="1">[1]!BexGetData("DP_1","003N8EMH8GTFRCSWKMPXRRRFI","GSON1112060830")</f>
        <v>#NAME?</v>
      </c>
      <c r="G854" s="3" t="e">
        <f ca="1">[1]!BexGetData("DP_1","003N8EMH8GTFRCSWKMPXRRXR2","GSON1112060830")</f>
        <v>#NAME?</v>
      </c>
      <c r="H854" s="8" t="e">
        <f ca="1">[1]!BexGetData("DP_1","003N8EMH8GTFRCSWKMPXRS42M","GSON1112060830")</f>
        <v>#NAME?</v>
      </c>
      <c r="I854" s="3" t="e">
        <f ca="1">[1]!BexGetData("DP_1","003N8EMH8GTFRCSWKMPXRSAE6","GSON1112060830")</f>
        <v>#NAME?</v>
      </c>
      <c r="J854" s="4" t="e">
        <f ca="1">[1]!BexGetData("DP_1","003N8EMH8GTFRCSWKMPXRSGPQ","GSON1112060830")</f>
        <v>#NAME?</v>
      </c>
      <c r="K854" s="3" t="e">
        <f ca="1">[1]!BexGetData("DP_1","003N8EMH8GTFRIVNUPY288VJH","GSON1112060830")</f>
        <v>#NAME?</v>
      </c>
      <c r="L854" s="3" t="e">
        <f ca="1">[1]!BexGetData("DP_1","003N8EMH8GTFRIVNUPY2891V1","GSON1112060830")</f>
        <v>#NAME?</v>
      </c>
      <c r="M854" s="3" t="e">
        <f ca="1">[1]!BexGetData("DP_1","003N8EMH8GTFRIVOG7KG9IQXA","GSON1112060830")</f>
        <v>#NAME?</v>
      </c>
      <c r="N854" s="8" t="e">
        <f ca="1">[1]!BexGetData("DP_1","003N8EMH8GTFRIVOG7KG9IX8U","GSON1112060830")</f>
        <v>#NAME?</v>
      </c>
      <c r="O854" s="3" t="e">
        <f ca="1">[1]!BexGetData("DP_1","003N8EMH8GTFRIVOG7KG9J3KE","GSON1112060830")</f>
        <v>#NAME?</v>
      </c>
      <c r="P854" s="8" t="e">
        <f ca="1">[1]!BexGetData("DP_1","003N8EMH8GTFRIVOG7KG9J9VY","GSON1112060830")</f>
        <v>#NAME?</v>
      </c>
      <c r="Q854" s="4" t="e">
        <f ca="1">[1]!BexGetData("DP_1","00O2TNJGODT0G5Z4TTKYMM5MT","GSON1112060830")</f>
        <v>#NAME?</v>
      </c>
      <c r="R854" s="3" t="e">
        <f ca="1">[1]!BexGetData("DP_1","00O2TNJGODT0G5Z4TTKYMMBYD","GSON1112060830")</f>
        <v>#NAME?</v>
      </c>
      <c r="S854" s="3" t="e">
        <f ca="1">[1]!BexGetData("DP_1","00O2TNJGODT0G5Z4TTKYMMI9X","GSON1112060830")</f>
        <v>#NAME?</v>
      </c>
      <c r="T854" s="8" t="e">
        <f ca="1">[1]!BexGetData("DP_1","00O2TNJGODT0G5Z4TTKYMMOLH","GSON1112060830")</f>
        <v>#NAME?</v>
      </c>
      <c r="U854" s="3" t="e">
        <f ca="1">[1]!BexGetData("DP_1","00O2TNJGODT0G5Z4TTKYMMUX1","GSON1112060830")</f>
        <v>#NAME?</v>
      </c>
      <c r="V854" s="8" t="e">
        <f ca="1">[1]!BexGetData("DP_1","00O2TNJGODT0G5Z4TTKYMN18L","GSON1112060830")</f>
        <v>#NAME?</v>
      </c>
      <c r="W854" s="3" t="e">
        <f ca="1">[1]!BexGetData("DP_1","00O2TNJGODT0G5Z4TTKYMN7K5","GSON1112060830")</f>
        <v>#NAME?</v>
      </c>
    </row>
    <row r="855" spans="1:23" x14ac:dyDescent="0.2">
      <c r="A855" s="16" t="s">
        <v>3035</v>
      </c>
      <c r="B855" s="7" t="s">
        <v>3036</v>
      </c>
      <c r="C855" s="3" t="e">
        <f ca="1">[1]!BexGetData("DP_1","003N8EMH8GTFRCSWKMPXRR8GU","GSON1112060831")</f>
        <v>#NAME?</v>
      </c>
      <c r="D855" s="3" t="e">
        <f ca="1">[1]!BexGetData("DP_1","003N8EMH8GTFRCSWKMPXRRESE","GSON1112060831")</f>
        <v>#NAME?</v>
      </c>
      <c r="E855" s="8" t="e">
        <f ca="1">[1]!BexGetData("DP_1","003N8EMH8GTFRCSWKMPXRRL3Y","GSON1112060831")</f>
        <v>#NAME?</v>
      </c>
      <c r="F855" s="4" t="e">
        <f ca="1">[1]!BexGetData("DP_1","003N8EMH8GTFRCSWKMPXRRRFI","GSON1112060831")</f>
        <v>#NAME?</v>
      </c>
      <c r="G855" s="4" t="e">
        <f ca="1">[1]!BexGetData("DP_1","003N8EMH8GTFRCSWKMPXRRXR2","GSON1112060831")</f>
        <v>#NAME?</v>
      </c>
      <c r="H855" s="4" t="e">
        <f ca="1">[1]!BexGetData("DP_1","003N8EMH8GTFRCSWKMPXRS42M","GSON1112060831")</f>
        <v>#NAME?</v>
      </c>
      <c r="I855" s="4" t="e">
        <f ca="1">[1]!BexGetData("DP_1","003N8EMH8GTFRCSWKMPXRSAE6","GSON1112060831")</f>
        <v>#NAME?</v>
      </c>
      <c r="J855" s="4" t="e">
        <f ca="1">[1]!BexGetData("DP_1","003N8EMH8GTFRCSWKMPXRSGPQ","GSON1112060831")</f>
        <v>#NAME?</v>
      </c>
      <c r="K855" s="8" t="e">
        <f ca="1">[1]!BexGetData("DP_1","003N8EMH8GTFRIVNUPY288VJH","GSON1112060831")</f>
        <v>#NAME?</v>
      </c>
      <c r="L855" s="8" t="e">
        <f ca="1">[1]!BexGetData("DP_1","003N8EMH8GTFRIVNUPY2891V1","GSON1112060831")</f>
        <v>#NAME?</v>
      </c>
      <c r="M855" s="8" t="e">
        <f ca="1">[1]!BexGetData("DP_1","003N8EMH8GTFRIVOG7KG9IQXA","GSON1112060831")</f>
        <v>#NAME?</v>
      </c>
      <c r="N855" s="8" t="e">
        <f ca="1">[1]!BexGetData("DP_1","003N8EMH8GTFRIVOG7KG9IX8U","GSON1112060831")</f>
        <v>#NAME?</v>
      </c>
      <c r="O855" s="8" t="e">
        <f ca="1">[1]!BexGetData("DP_1","003N8EMH8GTFRIVOG7KG9J3KE","GSON1112060831")</f>
        <v>#NAME?</v>
      </c>
      <c r="P855" s="8" t="e">
        <f ca="1">[1]!BexGetData("DP_1","003N8EMH8GTFRIVOG7KG9J9VY","GSON1112060831")</f>
        <v>#NAME?</v>
      </c>
      <c r="Q855" s="4" t="e">
        <f ca="1">[1]!BexGetData("DP_1","00O2TNJGODT0G5Z4TTKYMM5MT","GSON1112060831")</f>
        <v>#NAME?</v>
      </c>
      <c r="R855" s="4" t="e">
        <f ca="1">[1]!BexGetData("DP_1","00O2TNJGODT0G5Z4TTKYMMBYD","GSON1112060831")</f>
        <v>#NAME?</v>
      </c>
      <c r="S855" s="4" t="e">
        <f ca="1">[1]!BexGetData("DP_1","00O2TNJGODT0G5Z4TTKYMMI9X","GSON1112060831")</f>
        <v>#NAME?</v>
      </c>
      <c r="T855" s="4" t="e">
        <f ca="1">[1]!BexGetData("DP_1","00O2TNJGODT0G5Z4TTKYMMOLH","GSON1112060831")</f>
        <v>#NAME?</v>
      </c>
      <c r="U855" s="4" t="e">
        <f ca="1">[1]!BexGetData("DP_1","00O2TNJGODT0G5Z4TTKYMMUX1","GSON1112060831")</f>
        <v>#NAME?</v>
      </c>
      <c r="V855" s="4" t="e">
        <f ca="1">[1]!BexGetData("DP_1","00O2TNJGODT0G5Z4TTKYMN18L","GSON1112060831")</f>
        <v>#NAME?</v>
      </c>
      <c r="W855" s="4" t="e">
        <f ca="1">[1]!BexGetData("DP_1","00O2TNJGODT0G5Z4TTKYMN7K5","GSON1112060831")</f>
        <v>#NAME?</v>
      </c>
    </row>
    <row r="856" spans="1:23" x14ac:dyDescent="0.2">
      <c r="A856" s="16" t="s">
        <v>3037</v>
      </c>
      <c r="B856" s="7" t="s">
        <v>3038</v>
      </c>
      <c r="C856" s="3" t="e">
        <f ca="1">[1]!BexGetData("DP_1","003N8EMH8GTFRCSWKMPXRR8GU","GSON1112060832")</f>
        <v>#NAME?</v>
      </c>
      <c r="D856" s="3" t="e">
        <f ca="1">[1]!BexGetData("DP_1","003N8EMH8GTFRCSWKMPXRRESE","GSON1112060832")</f>
        <v>#NAME?</v>
      </c>
      <c r="E856" s="8" t="e">
        <f ca="1">[1]!BexGetData("DP_1","003N8EMH8GTFRCSWKMPXRRL3Y","GSON1112060832")</f>
        <v>#NAME?</v>
      </c>
      <c r="F856" s="3" t="e">
        <f ca="1">[1]!BexGetData("DP_1","003N8EMH8GTFRCSWKMPXRRRFI","GSON1112060832")</f>
        <v>#NAME?</v>
      </c>
      <c r="G856" s="8" t="e">
        <f ca="1">[1]!BexGetData("DP_1","003N8EMH8GTFRCSWKMPXRRXR2","GSON1112060832")</f>
        <v>#NAME?</v>
      </c>
      <c r="H856" s="3" t="e">
        <f ca="1">[1]!BexGetData("DP_1","003N8EMH8GTFRCSWKMPXRS42M","GSON1112060832")</f>
        <v>#NAME?</v>
      </c>
      <c r="I856" s="3" t="e">
        <f ca="1">[1]!BexGetData("DP_1","003N8EMH8GTFRCSWKMPXRSAE6","GSON1112060832")</f>
        <v>#NAME?</v>
      </c>
      <c r="J856" s="4" t="e">
        <f ca="1">[1]!BexGetData("DP_1","003N8EMH8GTFRCSWKMPXRSGPQ","GSON1112060832")</f>
        <v>#NAME?</v>
      </c>
      <c r="K856" s="3" t="e">
        <f ca="1">[1]!BexGetData("DP_1","003N8EMH8GTFRIVNUPY288VJH","GSON1112060832")</f>
        <v>#NAME?</v>
      </c>
      <c r="L856" s="3" t="e">
        <f ca="1">[1]!BexGetData("DP_1","003N8EMH8GTFRIVNUPY2891V1","GSON1112060832")</f>
        <v>#NAME?</v>
      </c>
      <c r="M856" s="8" t="e">
        <f ca="1">[1]!BexGetData("DP_1","003N8EMH8GTFRIVOG7KG9IQXA","GSON1112060832")</f>
        <v>#NAME?</v>
      </c>
      <c r="N856" s="3" t="e">
        <f ca="1">[1]!BexGetData("DP_1","003N8EMH8GTFRIVOG7KG9IX8U","GSON1112060832")</f>
        <v>#NAME?</v>
      </c>
      <c r="O856" s="8" t="e">
        <f ca="1">[1]!BexGetData("DP_1","003N8EMH8GTFRIVOG7KG9J3KE","GSON1112060832")</f>
        <v>#NAME?</v>
      </c>
      <c r="P856" s="3" t="e">
        <f ca="1">[1]!BexGetData("DP_1","003N8EMH8GTFRIVOG7KG9J9VY","GSON1112060832")</f>
        <v>#NAME?</v>
      </c>
      <c r="Q856" s="4" t="e">
        <f ca="1">[1]!BexGetData("DP_1","00O2TNJGODT0G5Z4TTKYMM5MT","GSON1112060832")</f>
        <v>#NAME?</v>
      </c>
      <c r="R856" s="3" t="e">
        <f ca="1">[1]!BexGetData("DP_1","00O2TNJGODT0G5Z4TTKYMMBYD","GSON1112060832")</f>
        <v>#NAME?</v>
      </c>
      <c r="S856" s="3" t="e">
        <f ca="1">[1]!BexGetData("DP_1","00O2TNJGODT0G5Z4TTKYMMI9X","GSON1112060832")</f>
        <v>#NAME?</v>
      </c>
      <c r="T856" s="3" t="e">
        <f ca="1">[1]!BexGetData("DP_1","00O2TNJGODT0G5Z4TTKYMMOLH","GSON1112060832")</f>
        <v>#NAME?</v>
      </c>
      <c r="U856" s="8" t="e">
        <f ca="1">[1]!BexGetData("DP_1","00O2TNJGODT0G5Z4TTKYMMUX1","GSON1112060832")</f>
        <v>#NAME?</v>
      </c>
      <c r="V856" s="3" t="e">
        <f ca="1">[1]!BexGetData("DP_1","00O2TNJGODT0G5Z4TTKYMN18L","GSON1112060832")</f>
        <v>#NAME?</v>
      </c>
      <c r="W856" s="8" t="e">
        <f ca="1">[1]!BexGetData("DP_1","00O2TNJGODT0G5Z4TTKYMN7K5","GSON1112060832")</f>
        <v>#NAME?</v>
      </c>
    </row>
    <row r="857" spans="1:23" x14ac:dyDescent="0.2">
      <c r="A857" s="16" t="s">
        <v>3039</v>
      </c>
      <c r="B857" s="7" t="s">
        <v>3040</v>
      </c>
      <c r="C857" s="3" t="e">
        <f ca="1">[1]!BexGetData("DP_1","003N8EMH8GTFRCSWKMPXRR8GU","GSON1112060833")</f>
        <v>#NAME?</v>
      </c>
      <c r="D857" s="3" t="e">
        <f ca="1">[1]!BexGetData("DP_1","003N8EMH8GTFRCSWKMPXRRESE","GSON1112060833")</f>
        <v>#NAME?</v>
      </c>
      <c r="E857" s="8" t="e">
        <f ca="1">[1]!BexGetData("DP_1","003N8EMH8GTFRCSWKMPXRRL3Y","GSON1112060833")</f>
        <v>#NAME?</v>
      </c>
      <c r="F857" s="4" t="e">
        <f ca="1">[1]!BexGetData("DP_1","003N8EMH8GTFRCSWKMPXRRRFI","GSON1112060833")</f>
        <v>#NAME?</v>
      </c>
      <c r="G857" s="4" t="e">
        <f ca="1">[1]!BexGetData("DP_1","003N8EMH8GTFRCSWKMPXRRXR2","GSON1112060833")</f>
        <v>#NAME?</v>
      </c>
      <c r="H857" s="4" t="e">
        <f ca="1">[1]!BexGetData("DP_1","003N8EMH8GTFRCSWKMPXRS42M","GSON1112060833")</f>
        <v>#NAME?</v>
      </c>
      <c r="I857" s="4" t="e">
        <f ca="1">[1]!BexGetData("DP_1","003N8EMH8GTFRCSWKMPXRSAE6","GSON1112060833")</f>
        <v>#NAME?</v>
      </c>
      <c r="J857" s="4" t="e">
        <f ca="1">[1]!BexGetData("DP_1","003N8EMH8GTFRCSWKMPXRSGPQ","GSON1112060833")</f>
        <v>#NAME?</v>
      </c>
      <c r="K857" s="8" t="e">
        <f ca="1">[1]!BexGetData("DP_1","003N8EMH8GTFRIVNUPY288VJH","GSON1112060833")</f>
        <v>#NAME?</v>
      </c>
      <c r="L857" s="8" t="e">
        <f ca="1">[1]!BexGetData("DP_1","003N8EMH8GTFRIVNUPY2891V1","GSON1112060833")</f>
        <v>#NAME?</v>
      </c>
      <c r="M857" s="8" t="e">
        <f ca="1">[1]!BexGetData("DP_1","003N8EMH8GTFRIVOG7KG9IQXA","GSON1112060833")</f>
        <v>#NAME?</v>
      </c>
      <c r="N857" s="8" t="e">
        <f ca="1">[1]!BexGetData("DP_1","003N8EMH8GTFRIVOG7KG9IX8U","GSON1112060833")</f>
        <v>#NAME?</v>
      </c>
      <c r="O857" s="8" t="e">
        <f ca="1">[1]!BexGetData("DP_1","003N8EMH8GTFRIVOG7KG9J3KE","GSON1112060833")</f>
        <v>#NAME?</v>
      </c>
      <c r="P857" s="8" t="e">
        <f ca="1">[1]!BexGetData("DP_1","003N8EMH8GTFRIVOG7KG9J9VY","GSON1112060833")</f>
        <v>#NAME?</v>
      </c>
      <c r="Q857" s="4" t="e">
        <f ca="1">[1]!BexGetData("DP_1","00O2TNJGODT0G5Z4TTKYMM5MT","GSON1112060833")</f>
        <v>#NAME?</v>
      </c>
      <c r="R857" s="4" t="e">
        <f ca="1">[1]!BexGetData("DP_1","00O2TNJGODT0G5Z4TTKYMMBYD","GSON1112060833")</f>
        <v>#NAME?</v>
      </c>
      <c r="S857" s="4" t="e">
        <f ca="1">[1]!BexGetData("DP_1","00O2TNJGODT0G5Z4TTKYMMI9X","GSON1112060833")</f>
        <v>#NAME?</v>
      </c>
      <c r="T857" s="4" t="e">
        <f ca="1">[1]!BexGetData("DP_1","00O2TNJGODT0G5Z4TTKYMMOLH","GSON1112060833")</f>
        <v>#NAME?</v>
      </c>
      <c r="U857" s="4" t="e">
        <f ca="1">[1]!BexGetData("DP_1","00O2TNJGODT0G5Z4TTKYMMUX1","GSON1112060833")</f>
        <v>#NAME?</v>
      </c>
      <c r="V857" s="4" t="e">
        <f ca="1">[1]!BexGetData("DP_1","00O2TNJGODT0G5Z4TTKYMN18L","GSON1112060833")</f>
        <v>#NAME?</v>
      </c>
      <c r="W857" s="4" t="e">
        <f ca="1">[1]!BexGetData("DP_1","00O2TNJGODT0G5Z4TTKYMN7K5","GSON1112060833")</f>
        <v>#NAME?</v>
      </c>
    </row>
    <row r="858" spans="1:23" x14ac:dyDescent="0.2">
      <c r="A858" s="16" t="s">
        <v>3041</v>
      </c>
      <c r="B858" s="7" t="s">
        <v>3042</v>
      </c>
      <c r="C858" s="3" t="e">
        <f ca="1">[1]!BexGetData("DP_1","003N8EMH8GTFRCSWKMPXRR8GU","GSON1112060834")</f>
        <v>#NAME?</v>
      </c>
      <c r="D858" s="3" t="e">
        <f ca="1">[1]!BexGetData("DP_1","003N8EMH8GTFRCSWKMPXRRESE","GSON1112060834")</f>
        <v>#NAME?</v>
      </c>
      <c r="E858" s="8" t="e">
        <f ca="1">[1]!BexGetData("DP_1","003N8EMH8GTFRCSWKMPXRRL3Y","GSON1112060834")</f>
        <v>#NAME?</v>
      </c>
      <c r="F858" s="4" t="e">
        <f ca="1">[1]!BexGetData("DP_1","003N8EMH8GTFRCSWKMPXRRRFI","GSON1112060834")</f>
        <v>#NAME?</v>
      </c>
      <c r="G858" s="4" t="e">
        <f ca="1">[1]!BexGetData("DP_1","003N8EMH8GTFRCSWKMPXRRXR2","GSON1112060834")</f>
        <v>#NAME?</v>
      </c>
      <c r="H858" s="4" t="e">
        <f ca="1">[1]!BexGetData("DP_1","003N8EMH8GTFRCSWKMPXRS42M","GSON1112060834")</f>
        <v>#NAME?</v>
      </c>
      <c r="I858" s="4" t="e">
        <f ca="1">[1]!BexGetData("DP_1","003N8EMH8GTFRCSWKMPXRSAE6","GSON1112060834")</f>
        <v>#NAME?</v>
      </c>
      <c r="J858" s="4" t="e">
        <f ca="1">[1]!BexGetData("DP_1","003N8EMH8GTFRCSWKMPXRSGPQ","GSON1112060834")</f>
        <v>#NAME?</v>
      </c>
      <c r="K858" s="8" t="e">
        <f ca="1">[1]!BexGetData("DP_1","003N8EMH8GTFRIVNUPY288VJH","GSON1112060834")</f>
        <v>#NAME?</v>
      </c>
      <c r="L858" s="8" t="e">
        <f ca="1">[1]!BexGetData("DP_1","003N8EMH8GTFRIVNUPY2891V1","GSON1112060834")</f>
        <v>#NAME?</v>
      </c>
      <c r="M858" s="8" t="e">
        <f ca="1">[1]!BexGetData("DP_1","003N8EMH8GTFRIVOG7KG9IQXA","GSON1112060834")</f>
        <v>#NAME?</v>
      </c>
      <c r="N858" s="8" t="e">
        <f ca="1">[1]!BexGetData("DP_1","003N8EMH8GTFRIVOG7KG9IX8U","GSON1112060834")</f>
        <v>#NAME?</v>
      </c>
      <c r="O858" s="8" t="e">
        <f ca="1">[1]!BexGetData("DP_1","003N8EMH8GTFRIVOG7KG9J3KE","GSON1112060834")</f>
        <v>#NAME?</v>
      </c>
      <c r="P858" s="8" t="e">
        <f ca="1">[1]!BexGetData("DP_1","003N8EMH8GTFRIVOG7KG9J9VY","GSON1112060834")</f>
        <v>#NAME?</v>
      </c>
      <c r="Q858" s="4" t="e">
        <f ca="1">[1]!BexGetData("DP_1","00O2TNJGODT0G5Z4TTKYMM5MT","GSON1112060834")</f>
        <v>#NAME?</v>
      </c>
      <c r="R858" s="4" t="e">
        <f ca="1">[1]!BexGetData("DP_1","00O2TNJGODT0G5Z4TTKYMMBYD","GSON1112060834")</f>
        <v>#NAME?</v>
      </c>
      <c r="S858" s="4" t="e">
        <f ca="1">[1]!BexGetData("DP_1","00O2TNJGODT0G5Z4TTKYMMI9X","GSON1112060834")</f>
        <v>#NAME?</v>
      </c>
      <c r="T858" s="4" t="e">
        <f ca="1">[1]!BexGetData("DP_1","00O2TNJGODT0G5Z4TTKYMMOLH","GSON1112060834")</f>
        <v>#NAME?</v>
      </c>
      <c r="U858" s="4" t="e">
        <f ca="1">[1]!BexGetData("DP_1","00O2TNJGODT0G5Z4TTKYMMUX1","GSON1112060834")</f>
        <v>#NAME?</v>
      </c>
      <c r="V858" s="4" t="e">
        <f ca="1">[1]!BexGetData("DP_1","00O2TNJGODT0G5Z4TTKYMN18L","GSON1112060834")</f>
        <v>#NAME?</v>
      </c>
      <c r="W858" s="4" t="e">
        <f ca="1">[1]!BexGetData("DP_1","00O2TNJGODT0G5Z4TTKYMN7K5","GSON1112060834")</f>
        <v>#NAME?</v>
      </c>
    </row>
    <row r="859" spans="1:23" x14ac:dyDescent="0.2">
      <c r="A859" s="16" t="s">
        <v>3043</v>
      </c>
      <c r="B859" s="7" t="s">
        <v>3044</v>
      </c>
      <c r="C859" s="3" t="e">
        <f ca="1">[1]!BexGetData("DP_1","003N8EMH8GTFRCSWKMPXRR8GU","GSON1112060835")</f>
        <v>#NAME?</v>
      </c>
      <c r="D859" s="3" t="e">
        <f ca="1">[1]!BexGetData("DP_1","003N8EMH8GTFRCSWKMPXRRESE","GSON1112060835")</f>
        <v>#NAME?</v>
      </c>
      <c r="E859" s="8" t="e">
        <f ca="1">[1]!BexGetData("DP_1","003N8EMH8GTFRCSWKMPXRRL3Y","GSON1112060835")</f>
        <v>#NAME?</v>
      </c>
      <c r="F859" s="4" t="e">
        <f ca="1">[1]!BexGetData("DP_1","003N8EMH8GTFRCSWKMPXRRRFI","GSON1112060835")</f>
        <v>#NAME?</v>
      </c>
      <c r="G859" s="4" t="e">
        <f ca="1">[1]!BexGetData("DP_1","003N8EMH8GTFRCSWKMPXRRXR2","GSON1112060835")</f>
        <v>#NAME?</v>
      </c>
      <c r="H859" s="4" t="e">
        <f ca="1">[1]!BexGetData("DP_1","003N8EMH8GTFRCSWKMPXRS42M","GSON1112060835")</f>
        <v>#NAME?</v>
      </c>
      <c r="I859" s="4" t="e">
        <f ca="1">[1]!BexGetData("DP_1","003N8EMH8GTFRCSWKMPXRSAE6","GSON1112060835")</f>
        <v>#NAME?</v>
      </c>
      <c r="J859" s="4" t="e">
        <f ca="1">[1]!BexGetData("DP_1","003N8EMH8GTFRCSWKMPXRSGPQ","GSON1112060835")</f>
        <v>#NAME?</v>
      </c>
      <c r="K859" s="8" t="e">
        <f ca="1">[1]!BexGetData("DP_1","003N8EMH8GTFRIVNUPY288VJH","GSON1112060835")</f>
        <v>#NAME?</v>
      </c>
      <c r="L859" s="8" t="e">
        <f ca="1">[1]!BexGetData("DP_1","003N8EMH8GTFRIVNUPY2891V1","GSON1112060835")</f>
        <v>#NAME?</v>
      </c>
      <c r="M859" s="8" t="e">
        <f ca="1">[1]!BexGetData("DP_1","003N8EMH8GTFRIVOG7KG9IQXA","GSON1112060835")</f>
        <v>#NAME?</v>
      </c>
      <c r="N859" s="8" t="e">
        <f ca="1">[1]!BexGetData("DP_1","003N8EMH8GTFRIVOG7KG9IX8U","GSON1112060835")</f>
        <v>#NAME?</v>
      </c>
      <c r="O859" s="8" t="e">
        <f ca="1">[1]!BexGetData("DP_1","003N8EMH8GTFRIVOG7KG9J3KE","GSON1112060835")</f>
        <v>#NAME?</v>
      </c>
      <c r="P859" s="8" t="e">
        <f ca="1">[1]!BexGetData("DP_1","003N8EMH8GTFRIVOG7KG9J9VY","GSON1112060835")</f>
        <v>#NAME?</v>
      </c>
      <c r="Q859" s="4" t="e">
        <f ca="1">[1]!BexGetData("DP_1","00O2TNJGODT0G5Z4TTKYMM5MT","GSON1112060835")</f>
        <v>#NAME?</v>
      </c>
      <c r="R859" s="4" t="e">
        <f ca="1">[1]!BexGetData("DP_1","00O2TNJGODT0G5Z4TTKYMMBYD","GSON1112060835")</f>
        <v>#NAME?</v>
      </c>
      <c r="S859" s="4" t="e">
        <f ca="1">[1]!BexGetData("DP_1","00O2TNJGODT0G5Z4TTKYMMI9X","GSON1112060835")</f>
        <v>#NAME?</v>
      </c>
      <c r="T859" s="4" t="e">
        <f ca="1">[1]!BexGetData("DP_1","00O2TNJGODT0G5Z4TTKYMMOLH","GSON1112060835")</f>
        <v>#NAME?</v>
      </c>
      <c r="U859" s="4" t="e">
        <f ca="1">[1]!BexGetData("DP_1","00O2TNJGODT0G5Z4TTKYMMUX1","GSON1112060835")</f>
        <v>#NAME?</v>
      </c>
      <c r="V859" s="4" t="e">
        <f ca="1">[1]!BexGetData("DP_1","00O2TNJGODT0G5Z4TTKYMN18L","GSON1112060835")</f>
        <v>#NAME?</v>
      </c>
      <c r="W859" s="4" t="e">
        <f ca="1">[1]!BexGetData("DP_1","00O2TNJGODT0G5Z4TTKYMN7K5","GSON1112060835")</f>
        <v>#NAME?</v>
      </c>
    </row>
    <row r="860" spans="1:23" x14ac:dyDescent="0.2">
      <c r="A860" s="16" t="s">
        <v>3045</v>
      </c>
      <c r="B860" s="7" t="s">
        <v>3046</v>
      </c>
      <c r="C860" s="3" t="e">
        <f ca="1">[1]!BexGetData("DP_1","003N8EMH8GTFRCSWKMPXRR8GU","GSON1112060840")</f>
        <v>#NAME?</v>
      </c>
      <c r="D860" s="3" t="e">
        <f ca="1">[1]!BexGetData("DP_1","003N8EMH8GTFRCSWKMPXRRESE","GSON1112060840")</f>
        <v>#NAME?</v>
      </c>
      <c r="E860" s="3" t="e">
        <f ca="1">[1]!BexGetData("DP_1","003N8EMH8GTFRCSWKMPXRRL3Y","GSON1112060840")</f>
        <v>#NAME?</v>
      </c>
      <c r="F860" s="4" t="e">
        <f ca="1">[1]!BexGetData("DP_1","003N8EMH8GTFRCSWKMPXRRRFI","GSON1112060840")</f>
        <v>#NAME?</v>
      </c>
      <c r="G860" s="4" t="e">
        <f ca="1">[1]!BexGetData("DP_1","003N8EMH8GTFRCSWKMPXRRXR2","GSON1112060840")</f>
        <v>#NAME?</v>
      </c>
      <c r="H860" s="4" t="e">
        <f ca="1">[1]!BexGetData("DP_1","003N8EMH8GTFRCSWKMPXRS42M","GSON1112060840")</f>
        <v>#NAME?</v>
      </c>
      <c r="I860" s="4" t="e">
        <f ca="1">[1]!BexGetData("DP_1","003N8EMH8GTFRCSWKMPXRSAE6","GSON1112060840")</f>
        <v>#NAME?</v>
      </c>
      <c r="J860" s="4" t="e">
        <f ca="1">[1]!BexGetData("DP_1","003N8EMH8GTFRCSWKMPXRSGPQ","GSON1112060840")</f>
        <v>#NAME?</v>
      </c>
      <c r="K860" s="3" t="e">
        <f ca="1">[1]!BexGetData("DP_1","003N8EMH8GTFRIVNUPY288VJH","GSON1112060840")</f>
        <v>#NAME?</v>
      </c>
      <c r="L860" s="3" t="e">
        <f ca="1">[1]!BexGetData("DP_1","003N8EMH8GTFRIVNUPY2891V1","GSON1112060840")</f>
        <v>#NAME?</v>
      </c>
      <c r="M860" s="8" t="e">
        <f ca="1">[1]!BexGetData("DP_1","003N8EMH8GTFRIVOG7KG9IQXA","GSON1112060840")</f>
        <v>#NAME?</v>
      </c>
      <c r="N860" s="3" t="e">
        <f ca="1">[1]!BexGetData("DP_1","003N8EMH8GTFRIVOG7KG9IX8U","GSON1112060840")</f>
        <v>#NAME?</v>
      </c>
      <c r="O860" s="8" t="e">
        <f ca="1">[1]!BexGetData("DP_1","003N8EMH8GTFRIVOG7KG9J3KE","GSON1112060840")</f>
        <v>#NAME?</v>
      </c>
      <c r="P860" s="3" t="e">
        <f ca="1">[1]!BexGetData("DP_1","003N8EMH8GTFRIVOG7KG9J9VY","GSON1112060840")</f>
        <v>#NAME?</v>
      </c>
      <c r="Q860" s="4" t="e">
        <f ca="1">[1]!BexGetData("DP_1","00O2TNJGODT0G5Z4TTKYMM5MT","GSON1112060840")</f>
        <v>#NAME?</v>
      </c>
      <c r="R860" s="4" t="e">
        <f ca="1">[1]!BexGetData("DP_1","00O2TNJGODT0G5Z4TTKYMMBYD","GSON1112060840")</f>
        <v>#NAME?</v>
      </c>
      <c r="S860" s="4" t="e">
        <f ca="1">[1]!BexGetData("DP_1","00O2TNJGODT0G5Z4TTKYMMI9X","GSON1112060840")</f>
        <v>#NAME?</v>
      </c>
      <c r="T860" s="4" t="e">
        <f ca="1">[1]!BexGetData("DP_1","00O2TNJGODT0G5Z4TTKYMMOLH","GSON1112060840")</f>
        <v>#NAME?</v>
      </c>
      <c r="U860" s="4" t="e">
        <f ca="1">[1]!BexGetData("DP_1","00O2TNJGODT0G5Z4TTKYMMUX1","GSON1112060840")</f>
        <v>#NAME?</v>
      </c>
      <c r="V860" s="4" t="e">
        <f ca="1">[1]!BexGetData("DP_1","00O2TNJGODT0G5Z4TTKYMN18L","GSON1112060840")</f>
        <v>#NAME?</v>
      </c>
      <c r="W860" s="4" t="e">
        <f ca="1">[1]!BexGetData("DP_1","00O2TNJGODT0G5Z4TTKYMN7K5","GSON1112060840")</f>
        <v>#NAME?</v>
      </c>
    </row>
    <row r="861" spans="1:23" x14ac:dyDescent="0.2">
      <c r="A861" s="16" t="s">
        <v>3047</v>
      </c>
      <c r="B861" s="7" t="s">
        <v>3048</v>
      </c>
      <c r="C861" s="3" t="e">
        <f ca="1">[1]!BexGetData("DP_1","003N8EMH8GTFRCSWKMPXRR8GU","GSON1112060841")</f>
        <v>#NAME?</v>
      </c>
      <c r="D861" s="3" t="e">
        <f ca="1">[1]!BexGetData("DP_1","003N8EMH8GTFRCSWKMPXRRESE","GSON1112060841")</f>
        <v>#NAME?</v>
      </c>
      <c r="E861" s="8" t="e">
        <f ca="1">[1]!BexGetData("DP_1","003N8EMH8GTFRCSWKMPXRRL3Y","GSON1112060841")</f>
        <v>#NAME?</v>
      </c>
      <c r="F861" s="4" t="e">
        <f ca="1">[1]!BexGetData("DP_1","003N8EMH8GTFRCSWKMPXRRRFI","GSON1112060841")</f>
        <v>#NAME?</v>
      </c>
      <c r="G861" s="4" t="e">
        <f ca="1">[1]!BexGetData("DP_1","003N8EMH8GTFRCSWKMPXRRXR2","GSON1112060841")</f>
        <v>#NAME?</v>
      </c>
      <c r="H861" s="4" t="e">
        <f ca="1">[1]!BexGetData("DP_1","003N8EMH8GTFRCSWKMPXRS42M","GSON1112060841")</f>
        <v>#NAME?</v>
      </c>
      <c r="I861" s="4" t="e">
        <f ca="1">[1]!BexGetData("DP_1","003N8EMH8GTFRCSWKMPXRSAE6","GSON1112060841")</f>
        <v>#NAME?</v>
      </c>
      <c r="J861" s="4" t="e">
        <f ca="1">[1]!BexGetData("DP_1","003N8EMH8GTFRCSWKMPXRSGPQ","GSON1112060841")</f>
        <v>#NAME?</v>
      </c>
      <c r="K861" s="8" t="e">
        <f ca="1">[1]!BexGetData("DP_1","003N8EMH8GTFRIVNUPY288VJH","GSON1112060841")</f>
        <v>#NAME?</v>
      </c>
      <c r="L861" s="8" t="e">
        <f ca="1">[1]!BexGetData("DP_1","003N8EMH8GTFRIVNUPY2891V1","GSON1112060841")</f>
        <v>#NAME?</v>
      </c>
      <c r="M861" s="8" t="e">
        <f ca="1">[1]!BexGetData("DP_1","003N8EMH8GTFRIVOG7KG9IQXA","GSON1112060841")</f>
        <v>#NAME?</v>
      </c>
      <c r="N861" s="8" t="e">
        <f ca="1">[1]!BexGetData("DP_1","003N8EMH8GTFRIVOG7KG9IX8U","GSON1112060841")</f>
        <v>#NAME?</v>
      </c>
      <c r="O861" s="8" t="e">
        <f ca="1">[1]!BexGetData("DP_1","003N8EMH8GTFRIVOG7KG9J3KE","GSON1112060841")</f>
        <v>#NAME?</v>
      </c>
      <c r="P861" s="8" t="e">
        <f ca="1">[1]!BexGetData("DP_1","003N8EMH8GTFRIVOG7KG9J9VY","GSON1112060841")</f>
        <v>#NAME?</v>
      </c>
      <c r="Q861" s="4" t="e">
        <f ca="1">[1]!BexGetData("DP_1","00O2TNJGODT0G5Z4TTKYMM5MT","GSON1112060841")</f>
        <v>#NAME?</v>
      </c>
      <c r="R861" s="4" t="e">
        <f ca="1">[1]!BexGetData("DP_1","00O2TNJGODT0G5Z4TTKYMMBYD","GSON1112060841")</f>
        <v>#NAME?</v>
      </c>
      <c r="S861" s="4" t="e">
        <f ca="1">[1]!BexGetData("DP_1","00O2TNJGODT0G5Z4TTKYMMI9X","GSON1112060841")</f>
        <v>#NAME?</v>
      </c>
      <c r="T861" s="4" t="e">
        <f ca="1">[1]!BexGetData("DP_1","00O2TNJGODT0G5Z4TTKYMMOLH","GSON1112060841")</f>
        <v>#NAME?</v>
      </c>
      <c r="U861" s="4" t="e">
        <f ca="1">[1]!BexGetData("DP_1","00O2TNJGODT0G5Z4TTKYMMUX1","GSON1112060841")</f>
        <v>#NAME?</v>
      </c>
      <c r="V861" s="4" t="e">
        <f ca="1">[1]!BexGetData("DP_1","00O2TNJGODT0G5Z4TTKYMN18L","GSON1112060841")</f>
        <v>#NAME?</v>
      </c>
      <c r="W861" s="4" t="e">
        <f ca="1">[1]!BexGetData("DP_1","00O2TNJGODT0G5Z4TTKYMN7K5","GSON1112060841")</f>
        <v>#NAME?</v>
      </c>
    </row>
    <row r="862" spans="1:23" x14ac:dyDescent="0.2">
      <c r="A862" s="16" t="s">
        <v>3049</v>
      </c>
      <c r="B862" s="7" t="s">
        <v>3050</v>
      </c>
      <c r="C862" s="3" t="e">
        <f ca="1">[1]!BexGetData("DP_1","003N8EMH8GTFRCSWKMPXRR8GU","GSON1112060842")</f>
        <v>#NAME?</v>
      </c>
      <c r="D862" s="3" t="e">
        <f ca="1">[1]!BexGetData("DP_1","003N8EMH8GTFRCSWKMPXRRESE","GSON1112060842")</f>
        <v>#NAME?</v>
      </c>
      <c r="E862" s="3" t="e">
        <f ca="1">[1]!BexGetData("DP_1","003N8EMH8GTFRCSWKMPXRRL3Y","GSON1112060842")</f>
        <v>#NAME?</v>
      </c>
      <c r="F862" s="4" t="e">
        <f ca="1">[1]!BexGetData("DP_1","003N8EMH8GTFRCSWKMPXRRRFI","GSON1112060842")</f>
        <v>#NAME?</v>
      </c>
      <c r="G862" s="4" t="e">
        <f ca="1">[1]!BexGetData("DP_1","003N8EMH8GTFRCSWKMPXRRXR2","GSON1112060842")</f>
        <v>#NAME?</v>
      </c>
      <c r="H862" s="4" t="e">
        <f ca="1">[1]!BexGetData("DP_1","003N8EMH8GTFRCSWKMPXRS42M","GSON1112060842")</f>
        <v>#NAME?</v>
      </c>
      <c r="I862" s="4" t="e">
        <f ca="1">[1]!BexGetData("DP_1","003N8EMH8GTFRCSWKMPXRSAE6","GSON1112060842")</f>
        <v>#NAME?</v>
      </c>
      <c r="J862" s="4" t="e">
        <f ca="1">[1]!BexGetData("DP_1","003N8EMH8GTFRCSWKMPXRSGPQ","GSON1112060842")</f>
        <v>#NAME?</v>
      </c>
      <c r="K862" s="3" t="e">
        <f ca="1">[1]!BexGetData("DP_1","003N8EMH8GTFRIVNUPY288VJH","GSON1112060842")</f>
        <v>#NAME?</v>
      </c>
      <c r="L862" s="3" t="e">
        <f ca="1">[1]!BexGetData("DP_1","003N8EMH8GTFRIVNUPY2891V1","GSON1112060842")</f>
        <v>#NAME?</v>
      </c>
      <c r="M862" s="3" t="e">
        <f ca="1">[1]!BexGetData("DP_1","003N8EMH8GTFRIVOG7KG9IQXA","GSON1112060842")</f>
        <v>#NAME?</v>
      </c>
      <c r="N862" s="8" t="e">
        <f ca="1">[1]!BexGetData("DP_1","003N8EMH8GTFRIVOG7KG9IX8U","GSON1112060842")</f>
        <v>#NAME?</v>
      </c>
      <c r="O862" s="3" t="e">
        <f ca="1">[1]!BexGetData("DP_1","003N8EMH8GTFRIVOG7KG9J3KE","GSON1112060842")</f>
        <v>#NAME?</v>
      </c>
      <c r="P862" s="8" t="e">
        <f ca="1">[1]!BexGetData("DP_1","003N8EMH8GTFRIVOG7KG9J9VY","GSON1112060842")</f>
        <v>#NAME?</v>
      </c>
      <c r="Q862" s="4" t="e">
        <f ca="1">[1]!BexGetData("DP_1","00O2TNJGODT0G5Z4TTKYMM5MT","GSON1112060842")</f>
        <v>#NAME?</v>
      </c>
      <c r="R862" s="4" t="e">
        <f ca="1">[1]!BexGetData("DP_1","00O2TNJGODT0G5Z4TTKYMMBYD","GSON1112060842")</f>
        <v>#NAME?</v>
      </c>
      <c r="S862" s="4" t="e">
        <f ca="1">[1]!BexGetData("DP_1","00O2TNJGODT0G5Z4TTKYMMI9X","GSON1112060842")</f>
        <v>#NAME?</v>
      </c>
      <c r="T862" s="4" t="e">
        <f ca="1">[1]!BexGetData("DP_1","00O2TNJGODT0G5Z4TTKYMMOLH","GSON1112060842")</f>
        <v>#NAME?</v>
      </c>
      <c r="U862" s="4" t="e">
        <f ca="1">[1]!BexGetData("DP_1","00O2TNJGODT0G5Z4TTKYMMUX1","GSON1112060842")</f>
        <v>#NAME?</v>
      </c>
      <c r="V862" s="4" t="e">
        <f ca="1">[1]!BexGetData("DP_1","00O2TNJGODT0G5Z4TTKYMN18L","GSON1112060842")</f>
        <v>#NAME?</v>
      </c>
      <c r="W862" s="4" t="e">
        <f ca="1">[1]!BexGetData("DP_1","00O2TNJGODT0G5Z4TTKYMN7K5","GSON1112060842")</f>
        <v>#NAME?</v>
      </c>
    </row>
    <row r="863" spans="1:23" x14ac:dyDescent="0.2">
      <c r="A863" s="16" t="s">
        <v>3051</v>
      </c>
      <c r="B863" s="7" t="s">
        <v>3052</v>
      </c>
      <c r="C863" s="3" t="e">
        <f ca="1">[1]!BexGetData("DP_1","003N8EMH8GTFRCSWKMPXRR8GU","GSON1112060843")</f>
        <v>#NAME?</v>
      </c>
      <c r="D863" s="3" t="e">
        <f ca="1">[1]!BexGetData("DP_1","003N8EMH8GTFRCSWKMPXRRESE","GSON1112060843")</f>
        <v>#NAME?</v>
      </c>
      <c r="E863" s="8" t="e">
        <f ca="1">[1]!BexGetData("DP_1","003N8EMH8GTFRCSWKMPXRRL3Y","GSON1112060843")</f>
        <v>#NAME?</v>
      </c>
      <c r="F863" s="4" t="e">
        <f ca="1">[1]!BexGetData("DP_1","003N8EMH8GTFRCSWKMPXRRRFI","GSON1112060843")</f>
        <v>#NAME?</v>
      </c>
      <c r="G863" s="4" t="e">
        <f ca="1">[1]!BexGetData("DP_1","003N8EMH8GTFRCSWKMPXRRXR2","GSON1112060843")</f>
        <v>#NAME?</v>
      </c>
      <c r="H863" s="4" t="e">
        <f ca="1">[1]!BexGetData("DP_1","003N8EMH8GTFRCSWKMPXRS42M","GSON1112060843")</f>
        <v>#NAME?</v>
      </c>
      <c r="I863" s="4" t="e">
        <f ca="1">[1]!BexGetData("DP_1","003N8EMH8GTFRCSWKMPXRSAE6","GSON1112060843")</f>
        <v>#NAME?</v>
      </c>
      <c r="J863" s="4" t="e">
        <f ca="1">[1]!BexGetData("DP_1","003N8EMH8GTFRCSWKMPXRSGPQ","GSON1112060843")</f>
        <v>#NAME?</v>
      </c>
      <c r="K863" s="8" t="e">
        <f ca="1">[1]!BexGetData("DP_1","003N8EMH8GTFRIVNUPY288VJH","GSON1112060843")</f>
        <v>#NAME?</v>
      </c>
      <c r="L863" s="8" t="e">
        <f ca="1">[1]!BexGetData("DP_1","003N8EMH8GTFRIVNUPY2891V1","GSON1112060843")</f>
        <v>#NAME?</v>
      </c>
      <c r="M863" s="8" t="e">
        <f ca="1">[1]!BexGetData("DP_1","003N8EMH8GTFRIVOG7KG9IQXA","GSON1112060843")</f>
        <v>#NAME?</v>
      </c>
      <c r="N863" s="8" t="e">
        <f ca="1">[1]!BexGetData("DP_1","003N8EMH8GTFRIVOG7KG9IX8U","GSON1112060843")</f>
        <v>#NAME?</v>
      </c>
      <c r="O863" s="8" t="e">
        <f ca="1">[1]!BexGetData("DP_1","003N8EMH8GTFRIVOG7KG9J3KE","GSON1112060843")</f>
        <v>#NAME?</v>
      </c>
      <c r="P863" s="8" t="e">
        <f ca="1">[1]!BexGetData("DP_1","003N8EMH8GTFRIVOG7KG9J9VY","GSON1112060843")</f>
        <v>#NAME?</v>
      </c>
      <c r="Q863" s="4" t="e">
        <f ca="1">[1]!BexGetData("DP_1","00O2TNJGODT0G5Z4TTKYMM5MT","GSON1112060843")</f>
        <v>#NAME?</v>
      </c>
      <c r="R863" s="4" t="e">
        <f ca="1">[1]!BexGetData("DP_1","00O2TNJGODT0G5Z4TTKYMMBYD","GSON1112060843")</f>
        <v>#NAME?</v>
      </c>
      <c r="S863" s="4" t="e">
        <f ca="1">[1]!BexGetData("DP_1","00O2TNJGODT0G5Z4TTKYMMI9X","GSON1112060843")</f>
        <v>#NAME?</v>
      </c>
      <c r="T863" s="4" t="e">
        <f ca="1">[1]!BexGetData("DP_1","00O2TNJGODT0G5Z4TTKYMMOLH","GSON1112060843")</f>
        <v>#NAME?</v>
      </c>
      <c r="U863" s="4" t="e">
        <f ca="1">[1]!BexGetData("DP_1","00O2TNJGODT0G5Z4TTKYMMUX1","GSON1112060843")</f>
        <v>#NAME?</v>
      </c>
      <c r="V863" s="4" t="e">
        <f ca="1">[1]!BexGetData("DP_1","00O2TNJGODT0G5Z4TTKYMN18L","GSON1112060843")</f>
        <v>#NAME?</v>
      </c>
      <c r="W863" s="4" t="e">
        <f ca="1">[1]!BexGetData("DP_1","00O2TNJGODT0G5Z4TTKYMN7K5","GSON1112060843")</f>
        <v>#NAME?</v>
      </c>
    </row>
    <row r="864" spans="1:23" x14ac:dyDescent="0.2">
      <c r="A864" s="16" t="s">
        <v>3053</v>
      </c>
      <c r="B864" s="7" t="s">
        <v>3054</v>
      </c>
      <c r="C864" s="3" t="e">
        <f ca="1">[1]!BexGetData("DP_1","003N8EMH8GTFRCSWKMPXRR8GU","GSON1112060844")</f>
        <v>#NAME?</v>
      </c>
      <c r="D864" s="3" t="e">
        <f ca="1">[1]!BexGetData("DP_1","003N8EMH8GTFRCSWKMPXRRESE","GSON1112060844")</f>
        <v>#NAME?</v>
      </c>
      <c r="E864" s="8" t="e">
        <f ca="1">[1]!BexGetData("DP_1","003N8EMH8GTFRCSWKMPXRRL3Y","GSON1112060844")</f>
        <v>#NAME?</v>
      </c>
      <c r="F864" s="4" t="e">
        <f ca="1">[1]!BexGetData("DP_1","003N8EMH8GTFRCSWKMPXRRRFI","GSON1112060844")</f>
        <v>#NAME?</v>
      </c>
      <c r="G864" s="4" t="e">
        <f ca="1">[1]!BexGetData("DP_1","003N8EMH8GTFRCSWKMPXRRXR2","GSON1112060844")</f>
        <v>#NAME?</v>
      </c>
      <c r="H864" s="4" t="e">
        <f ca="1">[1]!BexGetData("DP_1","003N8EMH8GTFRCSWKMPXRS42M","GSON1112060844")</f>
        <v>#NAME?</v>
      </c>
      <c r="I864" s="4" t="e">
        <f ca="1">[1]!BexGetData("DP_1","003N8EMH8GTFRCSWKMPXRSAE6","GSON1112060844")</f>
        <v>#NAME?</v>
      </c>
      <c r="J864" s="4" t="e">
        <f ca="1">[1]!BexGetData("DP_1","003N8EMH8GTFRCSWKMPXRSGPQ","GSON1112060844")</f>
        <v>#NAME?</v>
      </c>
      <c r="K864" s="8" t="e">
        <f ca="1">[1]!BexGetData("DP_1","003N8EMH8GTFRIVNUPY288VJH","GSON1112060844")</f>
        <v>#NAME?</v>
      </c>
      <c r="L864" s="8" t="e">
        <f ca="1">[1]!BexGetData("DP_1","003N8EMH8GTFRIVNUPY2891V1","GSON1112060844")</f>
        <v>#NAME?</v>
      </c>
      <c r="M864" s="8" t="e">
        <f ca="1">[1]!BexGetData("DP_1","003N8EMH8GTFRIVOG7KG9IQXA","GSON1112060844")</f>
        <v>#NAME?</v>
      </c>
      <c r="N864" s="8" t="e">
        <f ca="1">[1]!BexGetData("DP_1","003N8EMH8GTFRIVOG7KG9IX8U","GSON1112060844")</f>
        <v>#NAME?</v>
      </c>
      <c r="O864" s="8" t="e">
        <f ca="1">[1]!BexGetData("DP_1","003N8EMH8GTFRIVOG7KG9J3KE","GSON1112060844")</f>
        <v>#NAME?</v>
      </c>
      <c r="P864" s="8" t="e">
        <f ca="1">[1]!BexGetData("DP_1","003N8EMH8GTFRIVOG7KG9J9VY","GSON1112060844")</f>
        <v>#NAME?</v>
      </c>
      <c r="Q864" s="4" t="e">
        <f ca="1">[1]!BexGetData("DP_1","00O2TNJGODT0G5Z4TTKYMM5MT","GSON1112060844")</f>
        <v>#NAME?</v>
      </c>
      <c r="R864" s="4" t="e">
        <f ca="1">[1]!BexGetData("DP_1","00O2TNJGODT0G5Z4TTKYMMBYD","GSON1112060844")</f>
        <v>#NAME?</v>
      </c>
      <c r="S864" s="4" t="e">
        <f ca="1">[1]!BexGetData("DP_1","00O2TNJGODT0G5Z4TTKYMMI9X","GSON1112060844")</f>
        <v>#NAME?</v>
      </c>
      <c r="T864" s="4" t="e">
        <f ca="1">[1]!BexGetData("DP_1","00O2TNJGODT0G5Z4TTKYMMOLH","GSON1112060844")</f>
        <v>#NAME?</v>
      </c>
      <c r="U864" s="4" t="e">
        <f ca="1">[1]!BexGetData("DP_1","00O2TNJGODT0G5Z4TTKYMMUX1","GSON1112060844")</f>
        <v>#NAME?</v>
      </c>
      <c r="V864" s="4" t="e">
        <f ca="1">[1]!BexGetData("DP_1","00O2TNJGODT0G5Z4TTKYMN18L","GSON1112060844")</f>
        <v>#NAME?</v>
      </c>
      <c r="W864" s="4" t="e">
        <f ca="1">[1]!BexGetData("DP_1","00O2TNJGODT0G5Z4TTKYMN7K5","GSON1112060844")</f>
        <v>#NAME?</v>
      </c>
    </row>
    <row r="865" spans="1:23" x14ac:dyDescent="0.2">
      <c r="A865" s="16" t="s">
        <v>3055</v>
      </c>
      <c r="B865" s="7" t="s">
        <v>3056</v>
      </c>
      <c r="C865" s="3" t="e">
        <f ca="1">[1]!BexGetData("DP_1","003N8EMH8GTFRCSWKMPXRR8GU","GSON1112060845")</f>
        <v>#NAME?</v>
      </c>
      <c r="D865" s="3" t="e">
        <f ca="1">[1]!BexGetData("DP_1","003N8EMH8GTFRCSWKMPXRRESE","GSON1112060845")</f>
        <v>#NAME?</v>
      </c>
      <c r="E865" s="8" t="e">
        <f ca="1">[1]!BexGetData("DP_1","003N8EMH8GTFRCSWKMPXRRL3Y","GSON1112060845")</f>
        <v>#NAME?</v>
      </c>
      <c r="F865" s="4" t="e">
        <f ca="1">[1]!BexGetData("DP_1","003N8EMH8GTFRCSWKMPXRRRFI","GSON1112060845")</f>
        <v>#NAME?</v>
      </c>
      <c r="G865" s="4" t="e">
        <f ca="1">[1]!BexGetData("DP_1","003N8EMH8GTFRCSWKMPXRRXR2","GSON1112060845")</f>
        <v>#NAME?</v>
      </c>
      <c r="H865" s="4" t="e">
        <f ca="1">[1]!BexGetData("DP_1","003N8EMH8GTFRCSWKMPXRS42M","GSON1112060845")</f>
        <v>#NAME?</v>
      </c>
      <c r="I865" s="4" t="e">
        <f ca="1">[1]!BexGetData("DP_1","003N8EMH8GTFRCSWKMPXRSAE6","GSON1112060845")</f>
        <v>#NAME?</v>
      </c>
      <c r="J865" s="4" t="e">
        <f ca="1">[1]!BexGetData("DP_1","003N8EMH8GTFRCSWKMPXRSGPQ","GSON1112060845")</f>
        <v>#NAME?</v>
      </c>
      <c r="K865" s="8" t="e">
        <f ca="1">[1]!BexGetData("DP_1","003N8EMH8GTFRIVNUPY288VJH","GSON1112060845")</f>
        <v>#NAME?</v>
      </c>
      <c r="L865" s="8" t="e">
        <f ca="1">[1]!BexGetData("DP_1","003N8EMH8GTFRIVNUPY2891V1","GSON1112060845")</f>
        <v>#NAME?</v>
      </c>
      <c r="M865" s="8" t="e">
        <f ca="1">[1]!BexGetData("DP_1","003N8EMH8GTFRIVOG7KG9IQXA","GSON1112060845")</f>
        <v>#NAME?</v>
      </c>
      <c r="N865" s="8" t="e">
        <f ca="1">[1]!BexGetData("DP_1","003N8EMH8GTFRIVOG7KG9IX8U","GSON1112060845")</f>
        <v>#NAME?</v>
      </c>
      <c r="O865" s="8" t="e">
        <f ca="1">[1]!BexGetData("DP_1","003N8EMH8GTFRIVOG7KG9J3KE","GSON1112060845")</f>
        <v>#NAME?</v>
      </c>
      <c r="P865" s="8" t="e">
        <f ca="1">[1]!BexGetData("DP_1","003N8EMH8GTFRIVOG7KG9J9VY","GSON1112060845")</f>
        <v>#NAME?</v>
      </c>
      <c r="Q865" s="4" t="e">
        <f ca="1">[1]!BexGetData("DP_1","00O2TNJGODT0G5Z4TTKYMM5MT","GSON1112060845")</f>
        <v>#NAME?</v>
      </c>
      <c r="R865" s="4" t="e">
        <f ca="1">[1]!BexGetData("DP_1","00O2TNJGODT0G5Z4TTKYMMBYD","GSON1112060845")</f>
        <v>#NAME?</v>
      </c>
      <c r="S865" s="4" t="e">
        <f ca="1">[1]!BexGetData("DP_1","00O2TNJGODT0G5Z4TTKYMMI9X","GSON1112060845")</f>
        <v>#NAME?</v>
      </c>
      <c r="T865" s="4" t="e">
        <f ca="1">[1]!BexGetData("DP_1","00O2TNJGODT0G5Z4TTKYMMOLH","GSON1112060845")</f>
        <v>#NAME?</v>
      </c>
      <c r="U865" s="4" t="e">
        <f ca="1">[1]!BexGetData("DP_1","00O2TNJGODT0G5Z4TTKYMMUX1","GSON1112060845")</f>
        <v>#NAME?</v>
      </c>
      <c r="V865" s="4" t="e">
        <f ca="1">[1]!BexGetData("DP_1","00O2TNJGODT0G5Z4TTKYMN18L","GSON1112060845")</f>
        <v>#NAME?</v>
      </c>
      <c r="W865" s="4" t="e">
        <f ca="1">[1]!BexGetData("DP_1","00O2TNJGODT0G5Z4TTKYMN7K5","GSON1112060845")</f>
        <v>#NAME?</v>
      </c>
    </row>
    <row r="866" spans="1:23" x14ac:dyDescent="0.2">
      <c r="A866" s="16" t="s">
        <v>3057</v>
      </c>
      <c r="B866" s="7" t="s">
        <v>3058</v>
      </c>
      <c r="C866" s="3" t="e">
        <f ca="1">[1]!BexGetData("DP_1","003N8EMH8GTFRCSWKMPXRR8GU","GSON1112060850")</f>
        <v>#NAME?</v>
      </c>
      <c r="D866" s="3" t="e">
        <f ca="1">[1]!BexGetData("DP_1","003N8EMH8GTFRCSWKMPXRRESE","GSON1112060850")</f>
        <v>#NAME?</v>
      </c>
      <c r="E866" s="3" t="e">
        <f ca="1">[1]!BexGetData("DP_1","003N8EMH8GTFRCSWKMPXRRL3Y","GSON1112060850")</f>
        <v>#NAME?</v>
      </c>
      <c r="F866" s="4" t="e">
        <f ca="1">[1]!BexGetData("DP_1","003N8EMH8GTFRCSWKMPXRRRFI","GSON1112060850")</f>
        <v>#NAME?</v>
      </c>
      <c r="G866" s="4" t="e">
        <f ca="1">[1]!BexGetData("DP_1","003N8EMH8GTFRCSWKMPXRRXR2","GSON1112060850")</f>
        <v>#NAME?</v>
      </c>
      <c r="H866" s="4" t="e">
        <f ca="1">[1]!BexGetData("DP_1","003N8EMH8GTFRCSWKMPXRS42M","GSON1112060850")</f>
        <v>#NAME?</v>
      </c>
      <c r="I866" s="4" t="e">
        <f ca="1">[1]!BexGetData("DP_1","003N8EMH8GTFRCSWKMPXRSAE6","GSON1112060850")</f>
        <v>#NAME?</v>
      </c>
      <c r="J866" s="4" t="e">
        <f ca="1">[1]!BexGetData("DP_1","003N8EMH8GTFRCSWKMPXRSGPQ","GSON1112060850")</f>
        <v>#NAME?</v>
      </c>
      <c r="K866" s="3" t="e">
        <f ca="1">[1]!BexGetData("DP_1","003N8EMH8GTFRIVNUPY288VJH","GSON1112060850")</f>
        <v>#NAME?</v>
      </c>
      <c r="L866" s="3" t="e">
        <f ca="1">[1]!BexGetData("DP_1","003N8EMH8GTFRIVNUPY2891V1","GSON1112060850")</f>
        <v>#NAME?</v>
      </c>
      <c r="M866" s="8" t="e">
        <f ca="1">[1]!BexGetData("DP_1","003N8EMH8GTFRIVOG7KG9IQXA","GSON1112060850")</f>
        <v>#NAME?</v>
      </c>
      <c r="N866" s="3" t="e">
        <f ca="1">[1]!BexGetData("DP_1","003N8EMH8GTFRIVOG7KG9IX8U","GSON1112060850")</f>
        <v>#NAME?</v>
      </c>
      <c r="O866" s="8" t="e">
        <f ca="1">[1]!BexGetData("DP_1","003N8EMH8GTFRIVOG7KG9J3KE","GSON1112060850")</f>
        <v>#NAME?</v>
      </c>
      <c r="P866" s="3" t="e">
        <f ca="1">[1]!BexGetData("DP_1","003N8EMH8GTFRIVOG7KG9J9VY","GSON1112060850")</f>
        <v>#NAME?</v>
      </c>
      <c r="Q866" s="4" t="e">
        <f ca="1">[1]!BexGetData("DP_1","00O2TNJGODT0G5Z4TTKYMM5MT","GSON1112060850")</f>
        <v>#NAME?</v>
      </c>
      <c r="R866" s="4" t="e">
        <f ca="1">[1]!BexGetData("DP_1","00O2TNJGODT0G5Z4TTKYMMBYD","GSON1112060850")</f>
        <v>#NAME?</v>
      </c>
      <c r="S866" s="4" t="e">
        <f ca="1">[1]!BexGetData("DP_1","00O2TNJGODT0G5Z4TTKYMMI9X","GSON1112060850")</f>
        <v>#NAME?</v>
      </c>
      <c r="T866" s="4" t="e">
        <f ca="1">[1]!BexGetData("DP_1","00O2TNJGODT0G5Z4TTKYMMOLH","GSON1112060850")</f>
        <v>#NAME?</v>
      </c>
      <c r="U866" s="4" t="e">
        <f ca="1">[1]!BexGetData("DP_1","00O2TNJGODT0G5Z4TTKYMMUX1","GSON1112060850")</f>
        <v>#NAME?</v>
      </c>
      <c r="V866" s="4" t="e">
        <f ca="1">[1]!BexGetData("DP_1","00O2TNJGODT0G5Z4TTKYMN18L","GSON1112060850")</f>
        <v>#NAME?</v>
      </c>
      <c r="W866" s="4" t="e">
        <f ca="1">[1]!BexGetData("DP_1","00O2TNJGODT0G5Z4TTKYMN7K5","GSON1112060850")</f>
        <v>#NAME?</v>
      </c>
    </row>
    <row r="867" spans="1:23" x14ac:dyDescent="0.2">
      <c r="A867" s="16" t="s">
        <v>3059</v>
      </c>
      <c r="B867" s="7" t="s">
        <v>3060</v>
      </c>
      <c r="C867" s="3" t="e">
        <f ca="1">[1]!BexGetData("DP_1","003N8EMH8GTFRCSWKMPXRR8GU","GSON1112060851")</f>
        <v>#NAME?</v>
      </c>
      <c r="D867" s="3" t="e">
        <f ca="1">[1]!BexGetData("DP_1","003N8EMH8GTFRCSWKMPXRRESE","GSON1112060851")</f>
        <v>#NAME?</v>
      </c>
      <c r="E867" s="8" t="e">
        <f ca="1">[1]!BexGetData("DP_1","003N8EMH8GTFRCSWKMPXRRL3Y","GSON1112060851")</f>
        <v>#NAME?</v>
      </c>
      <c r="F867" s="4" t="e">
        <f ca="1">[1]!BexGetData("DP_1","003N8EMH8GTFRCSWKMPXRRRFI","GSON1112060851")</f>
        <v>#NAME?</v>
      </c>
      <c r="G867" s="4" t="e">
        <f ca="1">[1]!BexGetData("DP_1","003N8EMH8GTFRCSWKMPXRRXR2","GSON1112060851")</f>
        <v>#NAME?</v>
      </c>
      <c r="H867" s="4" t="e">
        <f ca="1">[1]!BexGetData("DP_1","003N8EMH8GTFRCSWKMPXRS42M","GSON1112060851")</f>
        <v>#NAME?</v>
      </c>
      <c r="I867" s="4" t="e">
        <f ca="1">[1]!BexGetData("DP_1","003N8EMH8GTFRCSWKMPXRSAE6","GSON1112060851")</f>
        <v>#NAME?</v>
      </c>
      <c r="J867" s="4" t="e">
        <f ca="1">[1]!BexGetData("DP_1","003N8EMH8GTFRCSWKMPXRSGPQ","GSON1112060851")</f>
        <v>#NAME?</v>
      </c>
      <c r="K867" s="8" t="e">
        <f ca="1">[1]!BexGetData("DP_1","003N8EMH8GTFRIVNUPY288VJH","GSON1112060851")</f>
        <v>#NAME?</v>
      </c>
      <c r="L867" s="8" t="e">
        <f ca="1">[1]!BexGetData("DP_1","003N8EMH8GTFRIVNUPY2891V1","GSON1112060851")</f>
        <v>#NAME?</v>
      </c>
      <c r="M867" s="8" t="e">
        <f ca="1">[1]!BexGetData("DP_1","003N8EMH8GTFRIVOG7KG9IQXA","GSON1112060851")</f>
        <v>#NAME?</v>
      </c>
      <c r="N867" s="8" t="e">
        <f ca="1">[1]!BexGetData("DP_1","003N8EMH8GTFRIVOG7KG9IX8U","GSON1112060851")</f>
        <v>#NAME?</v>
      </c>
      <c r="O867" s="8" t="e">
        <f ca="1">[1]!BexGetData("DP_1","003N8EMH8GTFRIVOG7KG9J3KE","GSON1112060851")</f>
        <v>#NAME?</v>
      </c>
      <c r="P867" s="8" t="e">
        <f ca="1">[1]!BexGetData("DP_1","003N8EMH8GTFRIVOG7KG9J9VY","GSON1112060851")</f>
        <v>#NAME?</v>
      </c>
      <c r="Q867" s="4" t="e">
        <f ca="1">[1]!BexGetData("DP_1","00O2TNJGODT0G5Z4TTKYMM5MT","GSON1112060851")</f>
        <v>#NAME?</v>
      </c>
      <c r="R867" s="4" t="e">
        <f ca="1">[1]!BexGetData("DP_1","00O2TNJGODT0G5Z4TTKYMMBYD","GSON1112060851")</f>
        <v>#NAME?</v>
      </c>
      <c r="S867" s="4" t="e">
        <f ca="1">[1]!BexGetData("DP_1","00O2TNJGODT0G5Z4TTKYMMI9X","GSON1112060851")</f>
        <v>#NAME?</v>
      </c>
      <c r="T867" s="4" t="e">
        <f ca="1">[1]!BexGetData("DP_1","00O2TNJGODT0G5Z4TTKYMMOLH","GSON1112060851")</f>
        <v>#NAME?</v>
      </c>
      <c r="U867" s="4" t="e">
        <f ca="1">[1]!BexGetData("DP_1","00O2TNJGODT0G5Z4TTKYMMUX1","GSON1112060851")</f>
        <v>#NAME?</v>
      </c>
      <c r="V867" s="4" t="e">
        <f ca="1">[1]!BexGetData("DP_1","00O2TNJGODT0G5Z4TTKYMN18L","GSON1112060851")</f>
        <v>#NAME?</v>
      </c>
      <c r="W867" s="4" t="e">
        <f ca="1">[1]!BexGetData("DP_1","00O2TNJGODT0G5Z4TTKYMN7K5","GSON1112060851")</f>
        <v>#NAME?</v>
      </c>
    </row>
    <row r="868" spans="1:23" x14ac:dyDescent="0.2">
      <c r="A868" s="16" t="s">
        <v>3061</v>
      </c>
      <c r="B868" s="7" t="s">
        <v>3062</v>
      </c>
      <c r="C868" s="3" t="e">
        <f ca="1">[1]!BexGetData("DP_1","003N8EMH8GTFRCSWKMPXRR8GU","GSON1112060853")</f>
        <v>#NAME?</v>
      </c>
      <c r="D868" s="3" t="e">
        <f ca="1">[1]!BexGetData("DP_1","003N8EMH8GTFRCSWKMPXRRESE","GSON1112060853")</f>
        <v>#NAME?</v>
      </c>
      <c r="E868" s="8" t="e">
        <f ca="1">[1]!BexGetData("DP_1","003N8EMH8GTFRCSWKMPXRRL3Y","GSON1112060853")</f>
        <v>#NAME?</v>
      </c>
      <c r="F868" s="4" t="e">
        <f ca="1">[1]!BexGetData("DP_1","003N8EMH8GTFRCSWKMPXRRRFI","GSON1112060853")</f>
        <v>#NAME?</v>
      </c>
      <c r="G868" s="4" t="e">
        <f ca="1">[1]!BexGetData("DP_1","003N8EMH8GTFRCSWKMPXRRXR2","GSON1112060853")</f>
        <v>#NAME?</v>
      </c>
      <c r="H868" s="4" t="e">
        <f ca="1">[1]!BexGetData("DP_1","003N8EMH8GTFRCSWKMPXRS42M","GSON1112060853")</f>
        <v>#NAME?</v>
      </c>
      <c r="I868" s="4" t="e">
        <f ca="1">[1]!BexGetData("DP_1","003N8EMH8GTFRCSWKMPXRSAE6","GSON1112060853")</f>
        <v>#NAME?</v>
      </c>
      <c r="J868" s="4" t="e">
        <f ca="1">[1]!BexGetData("DP_1","003N8EMH8GTFRCSWKMPXRSGPQ","GSON1112060853")</f>
        <v>#NAME?</v>
      </c>
      <c r="K868" s="8" t="e">
        <f ca="1">[1]!BexGetData("DP_1","003N8EMH8GTFRIVNUPY288VJH","GSON1112060853")</f>
        <v>#NAME?</v>
      </c>
      <c r="L868" s="8" t="e">
        <f ca="1">[1]!BexGetData("DP_1","003N8EMH8GTFRIVNUPY2891V1","GSON1112060853")</f>
        <v>#NAME?</v>
      </c>
      <c r="M868" s="8" t="e">
        <f ca="1">[1]!BexGetData("DP_1","003N8EMH8GTFRIVOG7KG9IQXA","GSON1112060853")</f>
        <v>#NAME?</v>
      </c>
      <c r="N868" s="8" t="e">
        <f ca="1">[1]!BexGetData("DP_1","003N8EMH8GTFRIVOG7KG9IX8U","GSON1112060853")</f>
        <v>#NAME?</v>
      </c>
      <c r="O868" s="8" t="e">
        <f ca="1">[1]!BexGetData("DP_1","003N8EMH8GTFRIVOG7KG9J3KE","GSON1112060853")</f>
        <v>#NAME?</v>
      </c>
      <c r="P868" s="8" t="e">
        <f ca="1">[1]!BexGetData("DP_1","003N8EMH8GTFRIVOG7KG9J9VY","GSON1112060853")</f>
        <v>#NAME?</v>
      </c>
      <c r="Q868" s="4" t="e">
        <f ca="1">[1]!BexGetData("DP_1","00O2TNJGODT0G5Z4TTKYMM5MT","GSON1112060853")</f>
        <v>#NAME?</v>
      </c>
      <c r="R868" s="4" t="e">
        <f ca="1">[1]!BexGetData("DP_1","00O2TNJGODT0G5Z4TTKYMMBYD","GSON1112060853")</f>
        <v>#NAME?</v>
      </c>
      <c r="S868" s="4" t="e">
        <f ca="1">[1]!BexGetData("DP_1","00O2TNJGODT0G5Z4TTKYMMI9X","GSON1112060853")</f>
        <v>#NAME?</v>
      </c>
      <c r="T868" s="4" t="e">
        <f ca="1">[1]!BexGetData("DP_1","00O2TNJGODT0G5Z4TTKYMMOLH","GSON1112060853")</f>
        <v>#NAME?</v>
      </c>
      <c r="U868" s="4" t="e">
        <f ca="1">[1]!BexGetData("DP_1","00O2TNJGODT0G5Z4TTKYMMUX1","GSON1112060853")</f>
        <v>#NAME?</v>
      </c>
      <c r="V868" s="4" t="e">
        <f ca="1">[1]!BexGetData("DP_1","00O2TNJGODT0G5Z4TTKYMN18L","GSON1112060853")</f>
        <v>#NAME?</v>
      </c>
      <c r="W868" s="4" t="e">
        <f ca="1">[1]!BexGetData("DP_1","00O2TNJGODT0G5Z4TTKYMN7K5","GSON1112060853")</f>
        <v>#NAME?</v>
      </c>
    </row>
    <row r="869" spans="1:23" x14ac:dyDescent="0.2">
      <c r="A869" s="16" t="s">
        <v>3063</v>
      </c>
      <c r="B869" s="7" t="s">
        <v>3064</v>
      </c>
      <c r="C869" s="3" t="e">
        <f ca="1">[1]!BexGetData("DP_1","003N8EMH8GTFRCSWKMPXRR8GU","GSON1112060854")</f>
        <v>#NAME?</v>
      </c>
      <c r="D869" s="3" t="e">
        <f ca="1">[1]!BexGetData("DP_1","003N8EMH8GTFRCSWKMPXRRESE","GSON1112060854")</f>
        <v>#NAME?</v>
      </c>
      <c r="E869" s="8" t="e">
        <f ca="1">[1]!BexGetData("DP_1","003N8EMH8GTFRCSWKMPXRRL3Y","GSON1112060854")</f>
        <v>#NAME?</v>
      </c>
      <c r="F869" s="4" t="e">
        <f ca="1">[1]!BexGetData("DP_1","003N8EMH8GTFRCSWKMPXRRRFI","GSON1112060854")</f>
        <v>#NAME?</v>
      </c>
      <c r="G869" s="4" t="e">
        <f ca="1">[1]!BexGetData("DP_1","003N8EMH8GTFRCSWKMPXRRXR2","GSON1112060854")</f>
        <v>#NAME?</v>
      </c>
      <c r="H869" s="4" t="e">
        <f ca="1">[1]!BexGetData("DP_1","003N8EMH8GTFRCSWKMPXRS42M","GSON1112060854")</f>
        <v>#NAME?</v>
      </c>
      <c r="I869" s="4" t="e">
        <f ca="1">[1]!BexGetData("DP_1","003N8EMH8GTFRCSWKMPXRSAE6","GSON1112060854")</f>
        <v>#NAME?</v>
      </c>
      <c r="J869" s="4" t="e">
        <f ca="1">[1]!BexGetData("DP_1","003N8EMH8GTFRCSWKMPXRSGPQ","GSON1112060854")</f>
        <v>#NAME?</v>
      </c>
      <c r="K869" s="8" t="e">
        <f ca="1">[1]!BexGetData("DP_1","003N8EMH8GTFRIVNUPY288VJH","GSON1112060854")</f>
        <v>#NAME?</v>
      </c>
      <c r="L869" s="8" t="e">
        <f ca="1">[1]!BexGetData("DP_1","003N8EMH8GTFRIVNUPY2891V1","GSON1112060854")</f>
        <v>#NAME?</v>
      </c>
      <c r="M869" s="8" t="e">
        <f ca="1">[1]!BexGetData("DP_1","003N8EMH8GTFRIVOG7KG9IQXA","GSON1112060854")</f>
        <v>#NAME?</v>
      </c>
      <c r="N869" s="8" t="e">
        <f ca="1">[1]!BexGetData("DP_1","003N8EMH8GTFRIVOG7KG9IX8U","GSON1112060854")</f>
        <v>#NAME?</v>
      </c>
      <c r="O869" s="8" t="e">
        <f ca="1">[1]!BexGetData("DP_1","003N8EMH8GTFRIVOG7KG9J3KE","GSON1112060854")</f>
        <v>#NAME?</v>
      </c>
      <c r="P869" s="8" t="e">
        <f ca="1">[1]!BexGetData("DP_1","003N8EMH8GTFRIVOG7KG9J9VY","GSON1112060854")</f>
        <v>#NAME?</v>
      </c>
      <c r="Q869" s="4" t="e">
        <f ca="1">[1]!BexGetData("DP_1","00O2TNJGODT0G5Z4TTKYMM5MT","GSON1112060854")</f>
        <v>#NAME?</v>
      </c>
      <c r="R869" s="4" t="e">
        <f ca="1">[1]!BexGetData("DP_1","00O2TNJGODT0G5Z4TTKYMMBYD","GSON1112060854")</f>
        <v>#NAME?</v>
      </c>
      <c r="S869" s="4" t="e">
        <f ca="1">[1]!BexGetData("DP_1","00O2TNJGODT0G5Z4TTKYMMI9X","GSON1112060854")</f>
        <v>#NAME?</v>
      </c>
      <c r="T869" s="4" t="e">
        <f ca="1">[1]!BexGetData("DP_1","00O2TNJGODT0G5Z4TTKYMMOLH","GSON1112060854")</f>
        <v>#NAME?</v>
      </c>
      <c r="U869" s="4" t="e">
        <f ca="1">[1]!BexGetData("DP_1","00O2TNJGODT0G5Z4TTKYMMUX1","GSON1112060854")</f>
        <v>#NAME?</v>
      </c>
      <c r="V869" s="4" t="e">
        <f ca="1">[1]!BexGetData("DP_1","00O2TNJGODT0G5Z4TTKYMN18L","GSON1112060854")</f>
        <v>#NAME?</v>
      </c>
      <c r="W869" s="4" t="e">
        <f ca="1">[1]!BexGetData("DP_1","00O2TNJGODT0G5Z4TTKYMN7K5","GSON1112060854")</f>
        <v>#NAME?</v>
      </c>
    </row>
    <row r="870" spans="1:23" x14ac:dyDescent="0.2">
      <c r="A870" s="16" t="s">
        <v>3065</v>
      </c>
      <c r="B870" s="7" t="s">
        <v>3066</v>
      </c>
      <c r="C870" s="3" t="e">
        <f ca="1">[1]!BexGetData("DP_1","003N8EMH8GTFRCSWKMPXRR8GU","GSON1112060855")</f>
        <v>#NAME?</v>
      </c>
      <c r="D870" s="3" t="e">
        <f ca="1">[1]!BexGetData("DP_1","003N8EMH8GTFRCSWKMPXRRESE","GSON1112060855")</f>
        <v>#NAME?</v>
      </c>
      <c r="E870" s="8" t="e">
        <f ca="1">[1]!BexGetData("DP_1","003N8EMH8GTFRCSWKMPXRRL3Y","GSON1112060855")</f>
        <v>#NAME?</v>
      </c>
      <c r="F870" s="4" t="e">
        <f ca="1">[1]!BexGetData("DP_1","003N8EMH8GTFRCSWKMPXRRRFI","GSON1112060855")</f>
        <v>#NAME?</v>
      </c>
      <c r="G870" s="4" t="e">
        <f ca="1">[1]!BexGetData("DP_1","003N8EMH8GTFRCSWKMPXRRXR2","GSON1112060855")</f>
        <v>#NAME?</v>
      </c>
      <c r="H870" s="4" t="e">
        <f ca="1">[1]!BexGetData("DP_1","003N8EMH8GTFRCSWKMPXRS42M","GSON1112060855")</f>
        <v>#NAME?</v>
      </c>
      <c r="I870" s="4" t="e">
        <f ca="1">[1]!BexGetData("DP_1","003N8EMH8GTFRCSWKMPXRSAE6","GSON1112060855")</f>
        <v>#NAME?</v>
      </c>
      <c r="J870" s="4" t="e">
        <f ca="1">[1]!BexGetData("DP_1","003N8EMH8GTFRCSWKMPXRSGPQ","GSON1112060855")</f>
        <v>#NAME?</v>
      </c>
      <c r="K870" s="8" t="e">
        <f ca="1">[1]!BexGetData("DP_1","003N8EMH8GTFRIVNUPY288VJH","GSON1112060855")</f>
        <v>#NAME?</v>
      </c>
      <c r="L870" s="8" t="e">
        <f ca="1">[1]!BexGetData("DP_1","003N8EMH8GTFRIVNUPY2891V1","GSON1112060855")</f>
        <v>#NAME?</v>
      </c>
      <c r="M870" s="8" t="e">
        <f ca="1">[1]!BexGetData("DP_1","003N8EMH8GTFRIVOG7KG9IQXA","GSON1112060855")</f>
        <v>#NAME?</v>
      </c>
      <c r="N870" s="8" t="e">
        <f ca="1">[1]!BexGetData("DP_1","003N8EMH8GTFRIVOG7KG9IX8U","GSON1112060855")</f>
        <v>#NAME?</v>
      </c>
      <c r="O870" s="8" t="e">
        <f ca="1">[1]!BexGetData("DP_1","003N8EMH8GTFRIVOG7KG9J3KE","GSON1112060855")</f>
        <v>#NAME?</v>
      </c>
      <c r="P870" s="8" t="e">
        <f ca="1">[1]!BexGetData("DP_1","003N8EMH8GTFRIVOG7KG9J9VY","GSON1112060855")</f>
        <v>#NAME?</v>
      </c>
      <c r="Q870" s="4" t="e">
        <f ca="1">[1]!BexGetData("DP_1","00O2TNJGODT0G5Z4TTKYMM5MT","GSON1112060855")</f>
        <v>#NAME?</v>
      </c>
      <c r="R870" s="4" t="e">
        <f ca="1">[1]!BexGetData("DP_1","00O2TNJGODT0G5Z4TTKYMMBYD","GSON1112060855")</f>
        <v>#NAME?</v>
      </c>
      <c r="S870" s="4" t="e">
        <f ca="1">[1]!BexGetData("DP_1","00O2TNJGODT0G5Z4TTKYMMI9X","GSON1112060855")</f>
        <v>#NAME?</v>
      </c>
      <c r="T870" s="4" t="e">
        <f ca="1">[1]!BexGetData("DP_1","00O2TNJGODT0G5Z4TTKYMMOLH","GSON1112060855")</f>
        <v>#NAME?</v>
      </c>
      <c r="U870" s="4" t="e">
        <f ca="1">[1]!BexGetData("DP_1","00O2TNJGODT0G5Z4TTKYMMUX1","GSON1112060855")</f>
        <v>#NAME?</v>
      </c>
      <c r="V870" s="4" t="e">
        <f ca="1">[1]!BexGetData("DP_1","00O2TNJGODT0G5Z4TTKYMN18L","GSON1112060855")</f>
        <v>#NAME?</v>
      </c>
      <c r="W870" s="4" t="e">
        <f ca="1">[1]!BexGetData("DP_1","00O2TNJGODT0G5Z4TTKYMN7K5","GSON1112060855")</f>
        <v>#NAME?</v>
      </c>
    </row>
    <row r="871" spans="1:23" x14ac:dyDescent="0.2">
      <c r="A871" s="16" t="s">
        <v>3067</v>
      </c>
      <c r="B871" s="7" t="s">
        <v>3068</v>
      </c>
      <c r="C871" s="3" t="e">
        <f ca="1">[1]!BexGetData("DP_1","003N8EMH8GTFRCSWKMPXRR8GU","GSON1112060860")</f>
        <v>#NAME?</v>
      </c>
      <c r="D871" s="3" t="e">
        <f ca="1">[1]!BexGetData("DP_1","003N8EMH8GTFRCSWKMPXRRESE","GSON1112060860")</f>
        <v>#NAME?</v>
      </c>
      <c r="E871" s="3" t="e">
        <f ca="1">[1]!BexGetData("DP_1","003N8EMH8GTFRCSWKMPXRRL3Y","GSON1112060860")</f>
        <v>#NAME?</v>
      </c>
      <c r="F871" s="4" t="e">
        <f ca="1">[1]!BexGetData("DP_1","003N8EMH8GTFRCSWKMPXRRRFI","GSON1112060860")</f>
        <v>#NAME?</v>
      </c>
      <c r="G871" s="4" t="e">
        <f ca="1">[1]!BexGetData("DP_1","003N8EMH8GTFRCSWKMPXRRXR2","GSON1112060860")</f>
        <v>#NAME?</v>
      </c>
      <c r="H871" s="4" t="e">
        <f ca="1">[1]!BexGetData("DP_1","003N8EMH8GTFRCSWKMPXRS42M","GSON1112060860")</f>
        <v>#NAME?</v>
      </c>
      <c r="I871" s="4" t="e">
        <f ca="1">[1]!BexGetData("DP_1","003N8EMH8GTFRCSWKMPXRSAE6","GSON1112060860")</f>
        <v>#NAME?</v>
      </c>
      <c r="J871" s="4" t="e">
        <f ca="1">[1]!BexGetData("DP_1","003N8EMH8GTFRCSWKMPXRSGPQ","GSON1112060860")</f>
        <v>#NAME?</v>
      </c>
      <c r="K871" s="3" t="e">
        <f ca="1">[1]!BexGetData("DP_1","003N8EMH8GTFRIVNUPY288VJH","GSON1112060860")</f>
        <v>#NAME?</v>
      </c>
      <c r="L871" s="3" t="e">
        <f ca="1">[1]!BexGetData("DP_1","003N8EMH8GTFRIVNUPY2891V1","GSON1112060860")</f>
        <v>#NAME?</v>
      </c>
      <c r="M871" s="8" t="e">
        <f ca="1">[1]!BexGetData("DP_1","003N8EMH8GTFRIVOG7KG9IQXA","GSON1112060860")</f>
        <v>#NAME?</v>
      </c>
      <c r="N871" s="3" t="e">
        <f ca="1">[1]!BexGetData("DP_1","003N8EMH8GTFRIVOG7KG9IX8U","GSON1112060860")</f>
        <v>#NAME?</v>
      </c>
      <c r="O871" s="8" t="e">
        <f ca="1">[1]!BexGetData("DP_1","003N8EMH8GTFRIVOG7KG9J3KE","GSON1112060860")</f>
        <v>#NAME?</v>
      </c>
      <c r="P871" s="3" t="e">
        <f ca="1">[1]!BexGetData("DP_1","003N8EMH8GTFRIVOG7KG9J9VY","GSON1112060860")</f>
        <v>#NAME?</v>
      </c>
      <c r="Q871" s="4" t="e">
        <f ca="1">[1]!BexGetData("DP_1","00O2TNJGODT0G5Z4TTKYMM5MT","GSON1112060860")</f>
        <v>#NAME?</v>
      </c>
      <c r="R871" s="4" t="e">
        <f ca="1">[1]!BexGetData("DP_1","00O2TNJGODT0G5Z4TTKYMMBYD","GSON1112060860")</f>
        <v>#NAME?</v>
      </c>
      <c r="S871" s="4" t="e">
        <f ca="1">[1]!BexGetData("DP_1","00O2TNJGODT0G5Z4TTKYMMI9X","GSON1112060860")</f>
        <v>#NAME?</v>
      </c>
      <c r="T871" s="4" t="e">
        <f ca="1">[1]!BexGetData("DP_1","00O2TNJGODT0G5Z4TTKYMMOLH","GSON1112060860")</f>
        <v>#NAME?</v>
      </c>
      <c r="U871" s="4" t="e">
        <f ca="1">[1]!BexGetData("DP_1","00O2TNJGODT0G5Z4TTKYMMUX1","GSON1112060860")</f>
        <v>#NAME?</v>
      </c>
      <c r="V871" s="4" t="e">
        <f ca="1">[1]!BexGetData("DP_1","00O2TNJGODT0G5Z4TTKYMN18L","GSON1112060860")</f>
        <v>#NAME?</v>
      </c>
      <c r="W871" s="4" t="e">
        <f ca="1">[1]!BexGetData("DP_1","00O2TNJGODT0G5Z4TTKYMN7K5","GSON1112060860")</f>
        <v>#NAME?</v>
      </c>
    </row>
    <row r="872" spans="1:23" x14ac:dyDescent="0.2">
      <c r="A872" s="16" t="s">
        <v>3069</v>
      </c>
      <c r="B872" s="7" t="s">
        <v>3070</v>
      </c>
      <c r="C872" s="3" t="e">
        <f ca="1">[1]!BexGetData("DP_1","003N8EMH8GTFRCSWKMPXRR8GU","GSON1112060861")</f>
        <v>#NAME?</v>
      </c>
      <c r="D872" s="3" t="e">
        <f ca="1">[1]!BexGetData("DP_1","003N8EMH8GTFRCSWKMPXRRESE","GSON1112060861")</f>
        <v>#NAME?</v>
      </c>
      <c r="E872" s="8" t="e">
        <f ca="1">[1]!BexGetData("DP_1","003N8EMH8GTFRCSWKMPXRRL3Y","GSON1112060861")</f>
        <v>#NAME?</v>
      </c>
      <c r="F872" s="4" t="e">
        <f ca="1">[1]!BexGetData("DP_1","003N8EMH8GTFRCSWKMPXRRRFI","GSON1112060861")</f>
        <v>#NAME?</v>
      </c>
      <c r="G872" s="4" t="e">
        <f ca="1">[1]!BexGetData("DP_1","003N8EMH8GTFRCSWKMPXRRXR2","GSON1112060861")</f>
        <v>#NAME?</v>
      </c>
      <c r="H872" s="4" t="e">
        <f ca="1">[1]!BexGetData("DP_1","003N8EMH8GTFRCSWKMPXRS42M","GSON1112060861")</f>
        <v>#NAME?</v>
      </c>
      <c r="I872" s="4" t="e">
        <f ca="1">[1]!BexGetData("DP_1","003N8EMH8GTFRCSWKMPXRSAE6","GSON1112060861")</f>
        <v>#NAME?</v>
      </c>
      <c r="J872" s="4" t="e">
        <f ca="1">[1]!BexGetData("DP_1","003N8EMH8GTFRCSWKMPXRSGPQ","GSON1112060861")</f>
        <v>#NAME?</v>
      </c>
      <c r="K872" s="8" t="e">
        <f ca="1">[1]!BexGetData("DP_1","003N8EMH8GTFRIVNUPY288VJH","GSON1112060861")</f>
        <v>#NAME?</v>
      </c>
      <c r="L872" s="8" t="e">
        <f ca="1">[1]!BexGetData("DP_1","003N8EMH8GTFRIVNUPY2891V1","GSON1112060861")</f>
        <v>#NAME?</v>
      </c>
      <c r="M872" s="8" t="e">
        <f ca="1">[1]!BexGetData("DP_1","003N8EMH8GTFRIVOG7KG9IQXA","GSON1112060861")</f>
        <v>#NAME?</v>
      </c>
      <c r="N872" s="8" t="e">
        <f ca="1">[1]!BexGetData("DP_1","003N8EMH8GTFRIVOG7KG9IX8U","GSON1112060861")</f>
        <v>#NAME?</v>
      </c>
      <c r="O872" s="8" t="e">
        <f ca="1">[1]!BexGetData("DP_1","003N8EMH8GTFRIVOG7KG9J3KE","GSON1112060861")</f>
        <v>#NAME?</v>
      </c>
      <c r="P872" s="8" t="e">
        <f ca="1">[1]!BexGetData("DP_1","003N8EMH8GTFRIVOG7KG9J9VY","GSON1112060861")</f>
        <v>#NAME?</v>
      </c>
      <c r="Q872" s="4" t="e">
        <f ca="1">[1]!BexGetData("DP_1","00O2TNJGODT0G5Z4TTKYMM5MT","GSON1112060861")</f>
        <v>#NAME?</v>
      </c>
      <c r="R872" s="4" t="e">
        <f ca="1">[1]!BexGetData("DP_1","00O2TNJGODT0G5Z4TTKYMMBYD","GSON1112060861")</f>
        <v>#NAME?</v>
      </c>
      <c r="S872" s="4" t="e">
        <f ca="1">[1]!BexGetData("DP_1","00O2TNJGODT0G5Z4TTKYMMI9X","GSON1112060861")</f>
        <v>#NAME?</v>
      </c>
      <c r="T872" s="4" t="e">
        <f ca="1">[1]!BexGetData("DP_1","00O2TNJGODT0G5Z4TTKYMMOLH","GSON1112060861")</f>
        <v>#NAME?</v>
      </c>
      <c r="U872" s="4" t="e">
        <f ca="1">[1]!BexGetData("DP_1","00O2TNJGODT0G5Z4TTKYMMUX1","GSON1112060861")</f>
        <v>#NAME?</v>
      </c>
      <c r="V872" s="4" t="e">
        <f ca="1">[1]!BexGetData("DP_1","00O2TNJGODT0G5Z4TTKYMN18L","GSON1112060861")</f>
        <v>#NAME?</v>
      </c>
      <c r="W872" s="4" t="e">
        <f ca="1">[1]!BexGetData("DP_1","00O2TNJGODT0G5Z4TTKYMN7K5","GSON1112060861")</f>
        <v>#NAME?</v>
      </c>
    </row>
    <row r="873" spans="1:23" x14ac:dyDescent="0.2">
      <c r="A873" s="16" t="s">
        <v>3071</v>
      </c>
      <c r="B873" s="7" t="s">
        <v>3072</v>
      </c>
      <c r="C873" s="3" t="e">
        <f ca="1">[1]!BexGetData("DP_1","003N8EMH8GTFRCSWKMPXRR8GU","GSON1112060863")</f>
        <v>#NAME?</v>
      </c>
      <c r="D873" s="3" t="e">
        <f ca="1">[1]!BexGetData("DP_1","003N8EMH8GTFRCSWKMPXRRESE","GSON1112060863")</f>
        <v>#NAME?</v>
      </c>
      <c r="E873" s="8" t="e">
        <f ca="1">[1]!BexGetData("DP_1","003N8EMH8GTFRCSWKMPXRRL3Y","GSON1112060863")</f>
        <v>#NAME?</v>
      </c>
      <c r="F873" s="4" t="e">
        <f ca="1">[1]!BexGetData("DP_1","003N8EMH8GTFRCSWKMPXRRRFI","GSON1112060863")</f>
        <v>#NAME?</v>
      </c>
      <c r="G873" s="4" t="e">
        <f ca="1">[1]!BexGetData("DP_1","003N8EMH8GTFRCSWKMPXRRXR2","GSON1112060863")</f>
        <v>#NAME?</v>
      </c>
      <c r="H873" s="4" t="e">
        <f ca="1">[1]!BexGetData("DP_1","003N8EMH8GTFRCSWKMPXRS42M","GSON1112060863")</f>
        <v>#NAME?</v>
      </c>
      <c r="I873" s="4" t="e">
        <f ca="1">[1]!BexGetData("DP_1","003N8EMH8GTFRCSWKMPXRSAE6","GSON1112060863")</f>
        <v>#NAME?</v>
      </c>
      <c r="J873" s="4" t="e">
        <f ca="1">[1]!BexGetData("DP_1","003N8EMH8GTFRCSWKMPXRSGPQ","GSON1112060863")</f>
        <v>#NAME?</v>
      </c>
      <c r="K873" s="8" t="e">
        <f ca="1">[1]!BexGetData("DP_1","003N8EMH8GTFRIVNUPY288VJH","GSON1112060863")</f>
        <v>#NAME?</v>
      </c>
      <c r="L873" s="8" t="e">
        <f ca="1">[1]!BexGetData("DP_1","003N8EMH8GTFRIVNUPY2891V1","GSON1112060863")</f>
        <v>#NAME?</v>
      </c>
      <c r="M873" s="8" t="e">
        <f ca="1">[1]!BexGetData("DP_1","003N8EMH8GTFRIVOG7KG9IQXA","GSON1112060863")</f>
        <v>#NAME?</v>
      </c>
      <c r="N873" s="8" t="e">
        <f ca="1">[1]!BexGetData("DP_1","003N8EMH8GTFRIVOG7KG9IX8U","GSON1112060863")</f>
        <v>#NAME?</v>
      </c>
      <c r="O873" s="8" t="e">
        <f ca="1">[1]!BexGetData("DP_1","003N8EMH8GTFRIVOG7KG9J3KE","GSON1112060863")</f>
        <v>#NAME?</v>
      </c>
      <c r="P873" s="8" t="e">
        <f ca="1">[1]!BexGetData("DP_1","003N8EMH8GTFRIVOG7KG9J9VY","GSON1112060863")</f>
        <v>#NAME?</v>
      </c>
      <c r="Q873" s="4" t="e">
        <f ca="1">[1]!BexGetData("DP_1","00O2TNJGODT0G5Z4TTKYMM5MT","GSON1112060863")</f>
        <v>#NAME?</v>
      </c>
      <c r="R873" s="4" t="e">
        <f ca="1">[1]!BexGetData("DP_1","00O2TNJGODT0G5Z4TTKYMMBYD","GSON1112060863")</f>
        <v>#NAME?</v>
      </c>
      <c r="S873" s="4" t="e">
        <f ca="1">[1]!BexGetData("DP_1","00O2TNJGODT0G5Z4TTKYMMI9X","GSON1112060863")</f>
        <v>#NAME?</v>
      </c>
      <c r="T873" s="4" t="e">
        <f ca="1">[1]!BexGetData("DP_1","00O2TNJGODT0G5Z4TTKYMMOLH","GSON1112060863")</f>
        <v>#NAME?</v>
      </c>
      <c r="U873" s="4" t="e">
        <f ca="1">[1]!BexGetData("DP_1","00O2TNJGODT0G5Z4TTKYMMUX1","GSON1112060863")</f>
        <v>#NAME?</v>
      </c>
      <c r="V873" s="4" t="e">
        <f ca="1">[1]!BexGetData("DP_1","00O2TNJGODT0G5Z4TTKYMN18L","GSON1112060863")</f>
        <v>#NAME?</v>
      </c>
      <c r="W873" s="4" t="e">
        <f ca="1">[1]!BexGetData("DP_1","00O2TNJGODT0G5Z4TTKYMN7K5","GSON1112060863")</f>
        <v>#NAME?</v>
      </c>
    </row>
    <row r="874" spans="1:23" x14ac:dyDescent="0.2">
      <c r="A874" s="16" t="s">
        <v>3073</v>
      </c>
      <c r="B874" s="7" t="s">
        <v>3074</v>
      </c>
      <c r="C874" s="3" t="e">
        <f ca="1">[1]!BexGetData("DP_1","003N8EMH8GTFRCSWKMPXRR8GU","GSON1112060864")</f>
        <v>#NAME?</v>
      </c>
      <c r="D874" s="3" t="e">
        <f ca="1">[1]!BexGetData("DP_1","003N8EMH8GTFRCSWKMPXRRESE","GSON1112060864")</f>
        <v>#NAME?</v>
      </c>
      <c r="E874" s="8" t="e">
        <f ca="1">[1]!BexGetData("DP_1","003N8EMH8GTFRCSWKMPXRRL3Y","GSON1112060864")</f>
        <v>#NAME?</v>
      </c>
      <c r="F874" s="4" t="e">
        <f ca="1">[1]!BexGetData("DP_1","003N8EMH8GTFRCSWKMPXRRRFI","GSON1112060864")</f>
        <v>#NAME?</v>
      </c>
      <c r="G874" s="4" t="e">
        <f ca="1">[1]!BexGetData("DP_1","003N8EMH8GTFRCSWKMPXRRXR2","GSON1112060864")</f>
        <v>#NAME?</v>
      </c>
      <c r="H874" s="4" t="e">
        <f ca="1">[1]!BexGetData("DP_1","003N8EMH8GTFRCSWKMPXRS42M","GSON1112060864")</f>
        <v>#NAME?</v>
      </c>
      <c r="I874" s="4" t="e">
        <f ca="1">[1]!BexGetData("DP_1","003N8EMH8GTFRCSWKMPXRSAE6","GSON1112060864")</f>
        <v>#NAME?</v>
      </c>
      <c r="J874" s="4" t="e">
        <f ca="1">[1]!BexGetData("DP_1","003N8EMH8GTFRCSWKMPXRSGPQ","GSON1112060864")</f>
        <v>#NAME?</v>
      </c>
      <c r="K874" s="8" t="e">
        <f ca="1">[1]!BexGetData("DP_1","003N8EMH8GTFRIVNUPY288VJH","GSON1112060864")</f>
        <v>#NAME?</v>
      </c>
      <c r="L874" s="8" t="e">
        <f ca="1">[1]!BexGetData("DP_1","003N8EMH8GTFRIVNUPY2891V1","GSON1112060864")</f>
        <v>#NAME?</v>
      </c>
      <c r="M874" s="8" t="e">
        <f ca="1">[1]!BexGetData("DP_1","003N8EMH8GTFRIVOG7KG9IQXA","GSON1112060864")</f>
        <v>#NAME?</v>
      </c>
      <c r="N874" s="8" t="e">
        <f ca="1">[1]!BexGetData("DP_1","003N8EMH8GTFRIVOG7KG9IX8U","GSON1112060864")</f>
        <v>#NAME?</v>
      </c>
      <c r="O874" s="8" t="e">
        <f ca="1">[1]!BexGetData("DP_1","003N8EMH8GTFRIVOG7KG9J3KE","GSON1112060864")</f>
        <v>#NAME?</v>
      </c>
      <c r="P874" s="8" t="e">
        <f ca="1">[1]!BexGetData("DP_1","003N8EMH8GTFRIVOG7KG9J9VY","GSON1112060864")</f>
        <v>#NAME?</v>
      </c>
      <c r="Q874" s="4" t="e">
        <f ca="1">[1]!BexGetData("DP_1","00O2TNJGODT0G5Z4TTKYMM5MT","GSON1112060864")</f>
        <v>#NAME?</v>
      </c>
      <c r="R874" s="4" t="e">
        <f ca="1">[1]!BexGetData("DP_1","00O2TNJGODT0G5Z4TTKYMMBYD","GSON1112060864")</f>
        <v>#NAME?</v>
      </c>
      <c r="S874" s="4" t="e">
        <f ca="1">[1]!BexGetData("DP_1","00O2TNJGODT0G5Z4TTKYMMI9X","GSON1112060864")</f>
        <v>#NAME?</v>
      </c>
      <c r="T874" s="4" t="e">
        <f ca="1">[1]!BexGetData("DP_1","00O2TNJGODT0G5Z4TTKYMMOLH","GSON1112060864")</f>
        <v>#NAME?</v>
      </c>
      <c r="U874" s="4" t="e">
        <f ca="1">[1]!BexGetData("DP_1","00O2TNJGODT0G5Z4TTKYMMUX1","GSON1112060864")</f>
        <v>#NAME?</v>
      </c>
      <c r="V874" s="4" t="e">
        <f ca="1">[1]!BexGetData("DP_1","00O2TNJGODT0G5Z4TTKYMN18L","GSON1112060864")</f>
        <v>#NAME?</v>
      </c>
      <c r="W874" s="4" t="e">
        <f ca="1">[1]!BexGetData("DP_1","00O2TNJGODT0G5Z4TTKYMN7K5","GSON1112060864")</f>
        <v>#NAME?</v>
      </c>
    </row>
    <row r="875" spans="1:23" x14ac:dyDescent="0.2">
      <c r="A875" s="16" t="s">
        <v>3075</v>
      </c>
      <c r="B875" s="7" t="s">
        <v>3076</v>
      </c>
      <c r="C875" s="3" t="e">
        <f ca="1">[1]!BexGetData("DP_1","003N8EMH8GTFRCSWKMPXRR8GU","GSON1112060865")</f>
        <v>#NAME?</v>
      </c>
      <c r="D875" s="3" t="e">
        <f ca="1">[1]!BexGetData("DP_1","003N8EMH8GTFRCSWKMPXRRESE","GSON1112060865")</f>
        <v>#NAME?</v>
      </c>
      <c r="E875" s="8" t="e">
        <f ca="1">[1]!BexGetData("DP_1","003N8EMH8GTFRCSWKMPXRRL3Y","GSON1112060865")</f>
        <v>#NAME?</v>
      </c>
      <c r="F875" s="4" t="e">
        <f ca="1">[1]!BexGetData("DP_1","003N8EMH8GTFRCSWKMPXRRRFI","GSON1112060865")</f>
        <v>#NAME?</v>
      </c>
      <c r="G875" s="4" t="e">
        <f ca="1">[1]!BexGetData("DP_1","003N8EMH8GTFRCSWKMPXRRXR2","GSON1112060865")</f>
        <v>#NAME?</v>
      </c>
      <c r="H875" s="4" t="e">
        <f ca="1">[1]!BexGetData("DP_1","003N8EMH8GTFRCSWKMPXRS42M","GSON1112060865")</f>
        <v>#NAME?</v>
      </c>
      <c r="I875" s="4" t="e">
        <f ca="1">[1]!BexGetData("DP_1","003N8EMH8GTFRCSWKMPXRSAE6","GSON1112060865")</f>
        <v>#NAME?</v>
      </c>
      <c r="J875" s="4" t="e">
        <f ca="1">[1]!BexGetData("DP_1","003N8EMH8GTFRCSWKMPXRSGPQ","GSON1112060865")</f>
        <v>#NAME?</v>
      </c>
      <c r="K875" s="8" t="e">
        <f ca="1">[1]!BexGetData("DP_1","003N8EMH8GTFRIVNUPY288VJH","GSON1112060865")</f>
        <v>#NAME?</v>
      </c>
      <c r="L875" s="8" t="e">
        <f ca="1">[1]!BexGetData("DP_1","003N8EMH8GTFRIVNUPY2891V1","GSON1112060865")</f>
        <v>#NAME?</v>
      </c>
      <c r="M875" s="8" t="e">
        <f ca="1">[1]!BexGetData("DP_1","003N8EMH8GTFRIVOG7KG9IQXA","GSON1112060865")</f>
        <v>#NAME?</v>
      </c>
      <c r="N875" s="8" t="e">
        <f ca="1">[1]!BexGetData("DP_1","003N8EMH8GTFRIVOG7KG9IX8U","GSON1112060865")</f>
        <v>#NAME?</v>
      </c>
      <c r="O875" s="8" t="e">
        <f ca="1">[1]!BexGetData("DP_1","003N8EMH8GTFRIVOG7KG9J3KE","GSON1112060865")</f>
        <v>#NAME?</v>
      </c>
      <c r="P875" s="8" t="e">
        <f ca="1">[1]!BexGetData("DP_1","003N8EMH8GTFRIVOG7KG9J9VY","GSON1112060865")</f>
        <v>#NAME?</v>
      </c>
      <c r="Q875" s="4" t="e">
        <f ca="1">[1]!BexGetData("DP_1","00O2TNJGODT0G5Z4TTKYMM5MT","GSON1112060865")</f>
        <v>#NAME?</v>
      </c>
      <c r="R875" s="4" t="e">
        <f ca="1">[1]!BexGetData("DP_1","00O2TNJGODT0G5Z4TTKYMMBYD","GSON1112060865")</f>
        <v>#NAME?</v>
      </c>
      <c r="S875" s="4" t="e">
        <f ca="1">[1]!BexGetData("DP_1","00O2TNJGODT0G5Z4TTKYMMI9X","GSON1112060865")</f>
        <v>#NAME?</v>
      </c>
      <c r="T875" s="4" t="e">
        <f ca="1">[1]!BexGetData("DP_1","00O2TNJGODT0G5Z4TTKYMMOLH","GSON1112060865")</f>
        <v>#NAME?</v>
      </c>
      <c r="U875" s="4" t="e">
        <f ca="1">[1]!BexGetData("DP_1","00O2TNJGODT0G5Z4TTKYMMUX1","GSON1112060865")</f>
        <v>#NAME?</v>
      </c>
      <c r="V875" s="4" t="e">
        <f ca="1">[1]!BexGetData("DP_1","00O2TNJGODT0G5Z4TTKYMN18L","GSON1112060865")</f>
        <v>#NAME?</v>
      </c>
      <c r="W875" s="4" t="e">
        <f ca="1">[1]!BexGetData("DP_1","00O2TNJGODT0G5Z4TTKYMN7K5","GSON1112060865")</f>
        <v>#NAME?</v>
      </c>
    </row>
    <row r="876" spans="1:23" x14ac:dyDescent="0.2">
      <c r="A876" s="16" t="s">
        <v>3077</v>
      </c>
      <c r="B876" s="7" t="s">
        <v>3078</v>
      </c>
      <c r="C876" s="3" t="e">
        <f ca="1">[1]!BexGetData("DP_1","003N8EMH8GTFRCSWKMPXRR8GU","GSON1112060870")</f>
        <v>#NAME?</v>
      </c>
      <c r="D876" s="3" t="e">
        <f ca="1">[1]!BexGetData("DP_1","003N8EMH8GTFRCSWKMPXRRESE","GSON1112060870")</f>
        <v>#NAME?</v>
      </c>
      <c r="E876" s="3" t="e">
        <f ca="1">[1]!BexGetData("DP_1","003N8EMH8GTFRCSWKMPXRRL3Y","GSON1112060870")</f>
        <v>#NAME?</v>
      </c>
      <c r="F876" s="4" t="e">
        <f ca="1">[1]!BexGetData("DP_1","003N8EMH8GTFRCSWKMPXRRRFI","GSON1112060870")</f>
        <v>#NAME?</v>
      </c>
      <c r="G876" s="4" t="e">
        <f ca="1">[1]!BexGetData("DP_1","003N8EMH8GTFRCSWKMPXRRXR2","GSON1112060870")</f>
        <v>#NAME?</v>
      </c>
      <c r="H876" s="4" t="e">
        <f ca="1">[1]!BexGetData("DP_1","003N8EMH8GTFRCSWKMPXRS42M","GSON1112060870")</f>
        <v>#NAME?</v>
      </c>
      <c r="I876" s="4" t="e">
        <f ca="1">[1]!BexGetData("DP_1","003N8EMH8GTFRCSWKMPXRSAE6","GSON1112060870")</f>
        <v>#NAME?</v>
      </c>
      <c r="J876" s="4" t="e">
        <f ca="1">[1]!BexGetData("DP_1","003N8EMH8GTFRCSWKMPXRSGPQ","GSON1112060870")</f>
        <v>#NAME?</v>
      </c>
      <c r="K876" s="3" t="e">
        <f ca="1">[1]!BexGetData("DP_1","003N8EMH8GTFRIVNUPY288VJH","GSON1112060870")</f>
        <v>#NAME?</v>
      </c>
      <c r="L876" s="3" t="e">
        <f ca="1">[1]!BexGetData("DP_1","003N8EMH8GTFRIVNUPY2891V1","GSON1112060870")</f>
        <v>#NAME?</v>
      </c>
      <c r="M876" s="8" t="e">
        <f ca="1">[1]!BexGetData("DP_1","003N8EMH8GTFRIVOG7KG9IQXA","GSON1112060870")</f>
        <v>#NAME?</v>
      </c>
      <c r="N876" s="3" t="e">
        <f ca="1">[1]!BexGetData("DP_1","003N8EMH8GTFRIVOG7KG9IX8U","GSON1112060870")</f>
        <v>#NAME?</v>
      </c>
      <c r="O876" s="8" t="e">
        <f ca="1">[1]!BexGetData("DP_1","003N8EMH8GTFRIVOG7KG9J3KE","GSON1112060870")</f>
        <v>#NAME?</v>
      </c>
      <c r="P876" s="3" t="e">
        <f ca="1">[1]!BexGetData("DP_1","003N8EMH8GTFRIVOG7KG9J9VY","GSON1112060870")</f>
        <v>#NAME?</v>
      </c>
      <c r="Q876" s="4" t="e">
        <f ca="1">[1]!BexGetData("DP_1","00O2TNJGODT0G5Z4TTKYMM5MT","GSON1112060870")</f>
        <v>#NAME?</v>
      </c>
      <c r="R876" s="4" t="e">
        <f ca="1">[1]!BexGetData("DP_1","00O2TNJGODT0G5Z4TTKYMMBYD","GSON1112060870")</f>
        <v>#NAME?</v>
      </c>
      <c r="S876" s="4" t="e">
        <f ca="1">[1]!BexGetData("DP_1","00O2TNJGODT0G5Z4TTKYMMI9X","GSON1112060870")</f>
        <v>#NAME?</v>
      </c>
      <c r="T876" s="4" t="e">
        <f ca="1">[1]!BexGetData("DP_1","00O2TNJGODT0G5Z4TTKYMMOLH","GSON1112060870")</f>
        <v>#NAME?</v>
      </c>
      <c r="U876" s="4" t="e">
        <f ca="1">[1]!BexGetData("DP_1","00O2TNJGODT0G5Z4TTKYMMUX1","GSON1112060870")</f>
        <v>#NAME?</v>
      </c>
      <c r="V876" s="4" t="e">
        <f ca="1">[1]!BexGetData("DP_1","00O2TNJGODT0G5Z4TTKYMN18L","GSON1112060870")</f>
        <v>#NAME?</v>
      </c>
      <c r="W876" s="4" t="e">
        <f ca="1">[1]!BexGetData("DP_1","00O2TNJGODT0G5Z4TTKYMN7K5","GSON1112060870")</f>
        <v>#NAME?</v>
      </c>
    </row>
    <row r="877" spans="1:23" x14ac:dyDescent="0.2">
      <c r="A877" s="16" t="s">
        <v>3079</v>
      </c>
      <c r="B877" s="7" t="s">
        <v>3080</v>
      </c>
      <c r="C877" s="3" t="e">
        <f ca="1">[1]!BexGetData("DP_1","003N8EMH8GTFRCSWKMPXRR8GU","GSON1112060871")</f>
        <v>#NAME?</v>
      </c>
      <c r="D877" s="3" t="e">
        <f ca="1">[1]!BexGetData("DP_1","003N8EMH8GTFRCSWKMPXRRESE","GSON1112060871")</f>
        <v>#NAME?</v>
      </c>
      <c r="E877" s="8" t="e">
        <f ca="1">[1]!BexGetData("DP_1","003N8EMH8GTFRCSWKMPXRRL3Y","GSON1112060871")</f>
        <v>#NAME?</v>
      </c>
      <c r="F877" s="4" t="e">
        <f ca="1">[1]!BexGetData("DP_1","003N8EMH8GTFRCSWKMPXRRRFI","GSON1112060871")</f>
        <v>#NAME?</v>
      </c>
      <c r="G877" s="4" t="e">
        <f ca="1">[1]!BexGetData("DP_1","003N8EMH8GTFRCSWKMPXRRXR2","GSON1112060871")</f>
        <v>#NAME?</v>
      </c>
      <c r="H877" s="4" t="e">
        <f ca="1">[1]!BexGetData("DP_1","003N8EMH8GTFRCSWKMPXRS42M","GSON1112060871")</f>
        <v>#NAME?</v>
      </c>
      <c r="I877" s="4" t="e">
        <f ca="1">[1]!BexGetData("DP_1","003N8EMH8GTFRCSWKMPXRSAE6","GSON1112060871")</f>
        <v>#NAME?</v>
      </c>
      <c r="J877" s="4" t="e">
        <f ca="1">[1]!BexGetData("DP_1","003N8EMH8GTFRCSWKMPXRSGPQ","GSON1112060871")</f>
        <v>#NAME?</v>
      </c>
      <c r="K877" s="8" t="e">
        <f ca="1">[1]!BexGetData("DP_1","003N8EMH8GTFRIVNUPY288VJH","GSON1112060871")</f>
        <v>#NAME?</v>
      </c>
      <c r="L877" s="8" t="e">
        <f ca="1">[1]!BexGetData("DP_1","003N8EMH8GTFRIVNUPY2891V1","GSON1112060871")</f>
        <v>#NAME?</v>
      </c>
      <c r="M877" s="8" t="e">
        <f ca="1">[1]!BexGetData("DP_1","003N8EMH8GTFRIVOG7KG9IQXA","GSON1112060871")</f>
        <v>#NAME?</v>
      </c>
      <c r="N877" s="8" t="e">
        <f ca="1">[1]!BexGetData("DP_1","003N8EMH8GTFRIVOG7KG9IX8U","GSON1112060871")</f>
        <v>#NAME?</v>
      </c>
      <c r="O877" s="8" t="e">
        <f ca="1">[1]!BexGetData("DP_1","003N8EMH8GTFRIVOG7KG9J3KE","GSON1112060871")</f>
        <v>#NAME?</v>
      </c>
      <c r="P877" s="8" t="e">
        <f ca="1">[1]!BexGetData("DP_1","003N8EMH8GTFRIVOG7KG9J9VY","GSON1112060871")</f>
        <v>#NAME?</v>
      </c>
      <c r="Q877" s="4" t="e">
        <f ca="1">[1]!BexGetData("DP_1","00O2TNJGODT0G5Z4TTKYMM5MT","GSON1112060871")</f>
        <v>#NAME?</v>
      </c>
      <c r="R877" s="4" t="e">
        <f ca="1">[1]!BexGetData("DP_1","00O2TNJGODT0G5Z4TTKYMMBYD","GSON1112060871")</f>
        <v>#NAME?</v>
      </c>
      <c r="S877" s="4" t="e">
        <f ca="1">[1]!BexGetData("DP_1","00O2TNJGODT0G5Z4TTKYMMI9X","GSON1112060871")</f>
        <v>#NAME?</v>
      </c>
      <c r="T877" s="4" t="e">
        <f ca="1">[1]!BexGetData("DP_1","00O2TNJGODT0G5Z4TTKYMMOLH","GSON1112060871")</f>
        <v>#NAME?</v>
      </c>
      <c r="U877" s="4" t="e">
        <f ca="1">[1]!BexGetData("DP_1","00O2TNJGODT0G5Z4TTKYMMUX1","GSON1112060871")</f>
        <v>#NAME?</v>
      </c>
      <c r="V877" s="4" t="e">
        <f ca="1">[1]!BexGetData("DP_1","00O2TNJGODT0G5Z4TTKYMN18L","GSON1112060871")</f>
        <v>#NAME?</v>
      </c>
      <c r="W877" s="4" t="e">
        <f ca="1">[1]!BexGetData("DP_1","00O2TNJGODT0G5Z4TTKYMN7K5","GSON1112060871")</f>
        <v>#NAME?</v>
      </c>
    </row>
    <row r="878" spans="1:23" x14ac:dyDescent="0.2">
      <c r="A878" s="16" t="s">
        <v>3081</v>
      </c>
      <c r="B878" s="7" t="s">
        <v>3082</v>
      </c>
      <c r="C878" s="3" t="e">
        <f ca="1">[1]!BexGetData("DP_1","003N8EMH8GTFRCSWKMPXRR8GU","GSON1112060873")</f>
        <v>#NAME?</v>
      </c>
      <c r="D878" s="3" t="e">
        <f ca="1">[1]!BexGetData("DP_1","003N8EMH8GTFRCSWKMPXRRESE","GSON1112060873")</f>
        <v>#NAME?</v>
      </c>
      <c r="E878" s="8" t="e">
        <f ca="1">[1]!BexGetData("DP_1","003N8EMH8GTFRCSWKMPXRRL3Y","GSON1112060873")</f>
        <v>#NAME?</v>
      </c>
      <c r="F878" s="4" t="e">
        <f ca="1">[1]!BexGetData("DP_1","003N8EMH8GTFRCSWKMPXRRRFI","GSON1112060873")</f>
        <v>#NAME?</v>
      </c>
      <c r="G878" s="4" t="e">
        <f ca="1">[1]!BexGetData("DP_1","003N8EMH8GTFRCSWKMPXRRXR2","GSON1112060873")</f>
        <v>#NAME?</v>
      </c>
      <c r="H878" s="4" t="e">
        <f ca="1">[1]!BexGetData("DP_1","003N8EMH8GTFRCSWKMPXRS42M","GSON1112060873")</f>
        <v>#NAME?</v>
      </c>
      <c r="I878" s="4" t="e">
        <f ca="1">[1]!BexGetData("DP_1","003N8EMH8GTFRCSWKMPXRSAE6","GSON1112060873")</f>
        <v>#NAME?</v>
      </c>
      <c r="J878" s="4" t="e">
        <f ca="1">[1]!BexGetData("DP_1","003N8EMH8GTFRCSWKMPXRSGPQ","GSON1112060873")</f>
        <v>#NAME?</v>
      </c>
      <c r="K878" s="8" t="e">
        <f ca="1">[1]!BexGetData("DP_1","003N8EMH8GTFRIVNUPY288VJH","GSON1112060873")</f>
        <v>#NAME?</v>
      </c>
      <c r="L878" s="8" t="e">
        <f ca="1">[1]!BexGetData("DP_1","003N8EMH8GTFRIVNUPY2891V1","GSON1112060873")</f>
        <v>#NAME?</v>
      </c>
      <c r="M878" s="8" t="e">
        <f ca="1">[1]!BexGetData("DP_1","003N8EMH8GTFRIVOG7KG9IQXA","GSON1112060873")</f>
        <v>#NAME?</v>
      </c>
      <c r="N878" s="8" t="e">
        <f ca="1">[1]!BexGetData("DP_1","003N8EMH8GTFRIVOG7KG9IX8U","GSON1112060873")</f>
        <v>#NAME?</v>
      </c>
      <c r="O878" s="8" t="e">
        <f ca="1">[1]!BexGetData("DP_1","003N8EMH8GTFRIVOG7KG9J3KE","GSON1112060873")</f>
        <v>#NAME?</v>
      </c>
      <c r="P878" s="8" t="e">
        <f ca="1">[1]!BexGetData("DP_1","003N8EMH8GTFRIVOG7KG9J9VY","GSON1112060873")</f>
        <v>#NAME?</v>
      </c>
      <c r="Q878" s="4" t="e">
        <f ca="1">[1]!BexGetData("DP_1","00O2TNJGODT0G5Z4TTKYMM5MT","GSON1112060873")</f>
        <v>#NAME?</v>
      </c>
      <c r="R878" s="4" t="e">
        <f ca="1">[1]!BexGetData("DP_1","00O2TNJGODT0G5Z4TTKYMMBYD","GSON1112060873")</f>
        <v>#NAME?</v>
      </c>
      <c r="S878" s="4" t="e">
        <f ca="1">[1]!BexGetData("DP_1","00O2TNJGODT0G5Z4TTKYMMI9X","GSON1112060873")</f>
        <v>#NAME?</v>
      </c>
      <c r="T878" s="4" t="e">
        <f ca="1">[1]!BexGetData("DP_1","00O2TNJGODT0G5Z4TTKYMMOLH","GSON1112060873")</f>
        <v>#NAME?</v>
      </c>
      <c r="U878" s="4" t="e">
        <f ca="1">[1]!BexGetData("DP_1","00O2TNJGODT0G5Z4TTKYMMUX1","GSON1112060873")</f>
        <v>#NAME?</v>
      </c>
      <c r="V878" s="4" t="e">
        <f ca="1">[1]!BexGetData("DP_1","00O2TNJGODT0G5Z4TTKYMN18L","GSON1112060873")</f>
        <v>#NAME?</v>
      </c>
      <c r="W878" s="4" t="e">
        <f ca="1">[1]!BexGetData("DP_1","00O2TNJGODT0G5Z4TTKYMN7K5","GSON1112060873")</f>
        <v>#NAME?</v>
      </c>
    </row>
    <row r="879" spans="1:23" x14ac:dyDescent="0.2">
      <c r="A879" s="16" t="s">
        <v>3083</v>
      </c>
      <c r="B879" s="7" t="s">
        <v>3084</v>
      </c>
      <c r="C879" s="3" t="e">
        <f ca="1">[1]!BexGetData("DP_1","003N8EMH8GTFRCSWKMPXRR8GU","GSON1112060874")</f>
        <v>#NAME?</v>
      </c>
      <c r="D879" s="3" t="e">
        <f ca="1">[1]!BexGetData("DP_1","003N8EMH8GTFRCSWKMPXRRESE","GSON1112060874")</f>
        <v>#NAME?</v>
      </c>
      <c r="E879" s="8" t="e">
        <f ca="1">[1]!BexGetData("DP_1","003N8EMH8GTFRCSWKMPXRRL3Y","GSON1112060874")</f>
        <v>#NAME?</v>
      </c>
      <c r="F879" s="4" t="e">
        <f ca="1">[1]!BexGetData("DP_1","003N8EMH8GTFRCSWKMPXRRRFI","GSON1112060874")</f>
        <v>#NAME?</v>
      </c>
      <c r="G879" s="4" t="e">
        <f ca="1">[1]!BexGetData("DP_1","003N8EMH8GTFRCSWKMPXRRXR2","GSON1112060874")</f>
        <v>#NAME?</v>
      </c>
      <c r="H879" s="4" t="e">
        <f ca="1">[1]!BexGetData("DP_1","003N8EMH8GTFRCSWKMPXRS42M","GSON1112060874")</f>
        <v>#NAME?</v>
      </c>
      <c r="I879" s="4" t="e">
        <f ca="1">[1]!BexGetData("DP_1","003N8EMH8GTFRCSWKMPXRSAE6","GSON1112060874")</f>
        <v>#NAME?</v>
      </c>
      <c r="J879" s="4" t="e">
        <f ca="1">[1]!BexGetData("DP_1","003N8EMH8GTFRCSWKMPXRSGPQ","GSON1112060874")</f>
        <v>#NAME?</v>
      </c>
      <c r="K879" s="8" t="e">
        <f ca="1">[1]!BexGetData("DP_1","003N8EMH8GTFRIVNUPY288VJH","GSON1112060874")</f>
        <v>#NAME?</v>
      </c>
      <c r="L879" s="8" t="e">
        <f ca="1">[1]!BexGetData("DP_1","003N8EMH8GTFRIVNUPY2891V1","GSON1112060874")</f>
        <v>#NAME?</v>
      </c>
      <c r="M879" s="8" t="e">
        <f ca="1">[1]!BexGetData("DP_1","003N8EMH8GTFRIVOG7KG9IQXA","GSON1112060874")</f>
        <v>#NAME?</v>
      </c>
      <c r="N879" s="8" t="e">
        <f ca="1">[1]!BexGetData("DP_1","003N8EMH8GTFRIVOG7KG9IX8U","GSON1112060874")</f>
        <v>#NAME?</v>
      </c>
      <c r="O879" s="8" t="e">
        <f ca="1">[1]!BexGetData("DP_1","003N8EMH8GTFRIVOG7KG9J3KE","GSON1112060874")</f>
        <v>#NAME?</v>
      </c>
      <c r="P879" s="8" t="e">
        <f ca="1">[1]!BexGetData("DP_1","003N8EMH8GTFRIVOG7KG9J9VY","GSON1112060874")</f>
        <v>#NAME?</v>
      </c>
      <c r="Q879" s="4" t="e">
        <f ca="1">[1]!BexGetData("DP_1","00O2TNJGODT0G5Z4TTKYMM5MT","GSON1112060874")</f>
        <v>#NAME?</v>
      </c>
      <c r="R879" s="4" t="e">
        <f ca="1">[1]!BexGetData("DP_1","00O2TNJGODT0G5Z4TTKYMMBYD","GSON1112060874")</f>
        <v>#NAME?</v>
      </c>
      <c r="S879" s="4" t="e">
        <f ca="1">[1]!BexGetData("DP_1","00O2TNJGODT0G5Z4TTKYMMI9X","GSON1112060874")</f>
        <v>#NAME?</v>
      </c>
      <c r="T879" s="4" t="e">
        <f ca="1">[1]!BexGetData("DP_1","00O2TNJGODT0G5Z4TTKYMMOLH","GSON1112060874")</f>
        <v>#NAME?</v>
      </c>
      <c r="U879" s="4" t="e">
        <f ca="1">[1]!BexGetData("DP_1","00O2TNJGODT0G5Z4TTKYMMUX1","GSON1112060874")</f>
        <v>#NAME?</v>
      </c>
      <c r="V879" s="4" t="e">
        <f ca="1">[1]!BexGetData("DP_1","00O2TNJGODT0G5Z4TTKYMN18L","GSON1112060874")</f>
        <v>#NAME?</v>
      </c>
      <c r="W879" s="4" t="e">
        <f ca="1">[1]!BexGetData("DP_1","00O2TNJGODT0G5Z4TTKYMN7K5","GSON1112060874")</f>
        <v>#NAME?</v>
      </c>
    </row>
    <row r="880" spans="1:23" x14ac:dyDescent="0.2">
      <c r="A880" s="16" t="s">
        <v>3085</v>
      </c>
      <c r="B880" s="7" t="s">
        <v>3086</v>
      </c>
      <c r="C880" s="3" t="e">
        <f ca="1">[1]!BexGetData("DP_1","003N8EMH8GTFRCSWKMPXRR8GU","GSON1112060875")</f>
        <v>#NAME?</v>
      </c>
      <c r="D880" s="3" t="e">
        <f ca="1">[1]!BexGetData("DP_1","003N8EMH8GTFRCSWKMPXRRESE","GSON1112060875")</f>
        <v>#NAME?</v>
      </c>
      <c r="E880" s="8" t="e">
        <f ca="1">[1]!BexGetData("DP_1","003N8EMH8GTFRCSWKMPXRRL3Y","GSON1112060875")</f>
        <v>#NAME?</v>
      </c>
      <c r="F880" s="4" t="e">
        <f ca="1">[1]!BexGetData("DP_1","003N8EMH8GTFRCSWKMPXRRRFI","GSON1112060875")</f>
        <v>#NAME?</v>
      </c>
      <c r="G880" s="4" t="e">
        <f ca="1">[1]!BexGetData("DP_1","003N8EMH8GTFRCSWKMPXRRXR2","GSON1112060875")</f>
        <v>#NAME?</v>
      </c>
      <c r="H880" s="4" t="e">
        <f ca="1">[1]!BexGetData("DP_1","003N8EMH8GTFRCSWKMPXRS42M","GSON1112060875")</f>
        <v>#NAME?</v>
      </c>
      <c r="I880" s="4" t="e">
        <f ca="1">[1]!BexGetData("DP_1","003N8EMH8GTFRCSWKMPXRSAE6","GSON1112060875")</f>
        <v>#NAME?</v>
      </c>
      <c r="J880" s="4" t="e">
        <f ca="1">[1]!BexGetData("DP_1","003N8EMH8GTFRCSWKMPXRSGPQ","GSON1112060875")</f>
        <v>#NAME?</v>
      </c>
      <c r="K880" s="8" t="e">
        <f ca="1">[1]!BexGetData("DP_1","003N8EMH8GTFRIVNUPY288VJH","GSON1112060875")</f>
        <v>#NAME?</v>
      </c>
      <c r="L880" s="8" t="e">
        <f ca="1">[1]!BexGetData("DP_1","003N8EMH8GTFRIVNUPY2891V1","GSON1112060875")</f>
        <v>#NAME?</v>
      </c>
      <c r="M880" s="8" t="e">
        <f ca="1">[1]!BexGetData("DP_1","003N8EMH8GTFRIVOG7KG9IQXA","GSON1112060875")</f>
        <v>#NAME?</v>
      </c>
      <c r="N880" s="8" t="e">
        <f ca="1">[1]!BexGetData("DP_1","003N8EMH8GTFRIVOG7KG9IX8U","GSON1112060875")</f>
        <v>#NAME?</v>
      </c>
      <c r="O880" s="8" t="e">
        <f ca="1">[1]!BexGetData("DP_1","003N8EMH8GTFRIVOG7KG9J3KE","GSON1112060875")</f>
        <v>#NAME?</v>
      </c>
      <c r="P880" s="8" t="e">
        <f ca="1">[1]!BexGetData("DP_1","003N8EMH8GTFRIVOG7KG9J9VY","GSON1112060875")</f>
        <v>#NAME?</v>
      </c>
      <c r="Q880" s="4" t="e">
        <f ca="1">[1]!BexGetData("DP_1","00O2TNJGODT0G5Z4TTKYMM5MT","GSON1112060875")</f>
        <v>#NAME?</v>
      </c>
      <c r="R880" s="4" t="e">
        <f ca="1">[1]!BexGetData("DP_1","00O2TNJGODT0G5Z4TTKYMMBYD","GSON1112060875")</f>
        <v>#NAME?</v>
      </c>
      <c r="S880" s="4" t="e">
        <f ca="1">[1]!BexGetData("DP_1","00O2TNJGODT0G5Z4TTKYMMI9X","GSON1112060875")</f>
        <v>#NAME?</v>
      </c>
      <c r="T880" s="4" t="e">
        <f ca="1">[1]!BexGetData("DP_1","00O2TNJGODT0G5Z4TTKYMMOLH","GSON1112060875")</f>
        <v>#NAME?</v>
      </c>
      <c r="U880" s="4" t="e">
        <f ca="1">[1]!BexGetData("DP_1","00O2TNJGODT0G5Z4TTKYMMUX1","GSON1112060875")</f>
        <v>#NAME?</v>
      </c>
      <c r="V880" s="4" t="e">
        <f ca="1">[1]!BexGetData("DP_1","00O2TNJGODT0G5Z4TTKYMN18L","GSON1112060875")</f>
        <v>#NAME?</v>
      </c>
      <c r="W880" s="4" t="e">
        <f ca="1">[1]!BexGetData("DP_1","00O2TNJGODT0G5Z4TTKYMN7K5","GSON1112060875")</f>
        <v>#NAME?</v>
      </c>
    </row>
    <row r="881" spans="1:23" x14ac:dyDescent="0.2">
      <c r="A881" s="16" t="s">
        <v>3087</v>
      </c>
      <c r="B881" s="7" t="s">
        <v>3088</v>
      </c>
      <c r="C881" s="3" t="e">
        <f ca="1">[1]!BexGetData("DP_1","003N8EMH8GTFRCSWKMPXRR8GU","GSON1112060880")</f>
        <v>#NAME?</v>
      </c>
      <c r="D881" s="3" t="e">
        <f ca="1">[1]!BexGetData("DP_1","003N8EMH8GTFRCSWKMPXRRESE","GSON1112060880")</f>
        <v>#NAME?</v>
      </c>
      <c r="E881" s="3" t="e">
        <f ca="1">[1]!BexGetData("DP_1","003N8EMH8GTFRCSWKMPXRRL3Y","GSON1112060880")</f>
        <v>#NAME?</v>
      </c>
      <c r="F881" s="4" t="e">
        <f ca="1">[1]!BexGetData("DP_1","003N8EMH8GTFRCSWKMPXRRRFI","GSON1112060880")</f>
        <v>#NAME?</v>
      </c>
      <c r="G881" s="4" t="e">
        <f ca="1">[1]!BexGetData("DP_1","003N8EMH8GTFRCSWKMPXRRXR2","GSON1112060880")</f>
        <v>#NAME?</v>
      </c>
      <c r="H881" s="4" t="e">
        <f ca="1">[1]!BexGetData("DP_1","003N8EMH8GTFRCSWKMPXRS42M","GSON1112060880")</f>
        <v>#NAME?</v>
      </c>
      <c r="I881" s="4" t="e">
        <f ca="1">[1]!BexGetData("DP_1","003N8EMH8GTFRCSWKMPXRSAE6","GSON1112060880")</f>
        <v>#NAME?</v>
      </c>
      <c r="J881" s="4" t="e">
        <f ca="1">[1]!BexGetData("DP_1","003N8EMH8GTFRCSWKMPXRSGPQ","GSON1112060880")</f>
        <v>#NAME?</v>
      </c>
      <c r="K881" s="3" t="e">
        <f ca="1">[1]!BexGetData("DP_1","003N8EMH8GTFRIVNUPY288VJH","GSON1112060880")</f>
        <v>#NAME?</v>
      </c>
      <c r="L881" s="3" t="e">
        <f ca="1">[1]!BexGetData("DP_1","003N8EMH8GTFRIVNUPY2891V1","GSON1112060880")</f>
        <v>#NAME?</v>
      </c>
      <c r="M881" s="8" t="e">
        <f ca="1">[1]!BexGetData("DP_1","003N8EMH8GTFRIVOG7KG9IQXA","GSON1112060880")</f>
        <v>#NAME?</v>
      </c>
      <c r="N881" s="3" t="e">
        <f ca="1">[1]!BexGetData("DP_1","003N8EMH8GTFRIVOG7KG9IX8U","GSON1112060880")</f>
        <v>#NAME?</v>
      </c>
      <c r="O881" s="8" t="e">
        <f ca="1">[1]!BexGetData("DP_1","003N8EMH8GTFRIVOG7KG9J3KE","GSON1112060880")</f>
        <v>#NAME?</v>
      </c>
      <c r="P881" s="3" t="e">
        <f ca="1">[1]!BexGetData("DP_1","003N8EMH8GTFRIVOG7KG9J9VY","GSON1112060880")</f>
        <v>#NAME?</v>
      </c>
      <c r="Q881" s="4" t="e">
        <f ca="1">[1]!BexGetData("DP_1","00O2TNJGODT0G5Z4TTKYMM5MT","GSON1112060880")</f>
        <v>#NAME?</v>
      </c>
      <c r="R881" s="4" t="e">
        <f ca="1">[1]!BexGetData("DP_1","00O2TNJGODT0G5Z4TTKYMMBYD","GSON1112060880")</f>
        <v>#NAME?</v>
      </c>
      <c r="S881" s="4" t="e">
        <f ca="1">[1]!BexGetData("DP_1","00O2TNJGODT0G5Z4TTKYMMI9X","GSON1112060880")</f>
        <v>#NAME?</v>
      </c>
      <c r="T881" s="4" t="e">
        <f ca="1">[1]!BexGetData("DP_1","00O2TNJGODT0G5Z4TTKYMMOLH","GSON1112060880")</f>
        <v>#NAME?</v>
      </c>
      <c r="U881" s="4" t="e">
        <f ca="1">[1]!BexGetData("DP_1","00O2TNJGODT0G5Z4TTKYMMUX1","GSON1112060880")</f>
        <v>#NAME?</v>
      </c>
      <c r="V881" s="4" t="e">
        <f ca="1">[1]!BexGetData("DP_1","00O2TNJGODT0G5Z4TTKYMN18L","GSON1112060880")</f>
        <v>#NAME?</v>
      </c>
      <c r="W881" s="4" t="e">
        <f ca="1">[1]!BexGetData("DP_1","00O2TNJGODT0G5Z4TTKYMN7K5","GSON1112060880")</f>
        <v>#NAME?</v>
      </c>
    </row>
    <row r="882" spans="1:23" x14ac:dyDescent="0.2">
      <c r="A882" s="16" t="s">
        <v>3089</v>
      </c>
      <c r="B882" s="7" t="s">
        <v>3090</v>
      </c>
      <c r="C882" s="3" t="e">
        <f ca="1">[1]!BexGetData("DP_1","003N8EMH8GTFRCSWKMPXRR8GU","GSON1112060881")</f>
        <v>#NAME?</v>
      </c>
      <c r="D882" s="3" t="e">
        <f ca="1">[1]!BexGetData("DP_1","003N8EMH8GTFRCSWKMPXRRESE","GSON1112060881")</f>
        <v>#NAME?</v>
      </c>
      <c r="E882" s="8" t="e">
        <f ca="1">[1]!BexGetData("DP_1","003N8EMH8GTFRCSWKMPXRRL3Y","GSON1112060881")</f>
        <v>#NAME?</v>
      </c>
      <c r="F882" s="4" t="e">
        <f ca="1">[1]!BexGetData("DP_1","003N8EMH8GTFRCSWKMPXRRRFI","GSON1112060881")</f>
        <v>#NAME?</v>
      </c>
      <c r="G882" s="4" t="e">
        <f ca="1">[1]!BexGetData("DP_1","003N8EMH8GTFRCSWKMPXRRXR2","GSON1112060881")</f>
        <v>#NAME?</v>
      </c>
      <c r="H882" s="4" t="e">
        <f ca="1">[1]!BexGetData("DP_1","003N8EMH8GTFRCSWKMPXRS42M","GSON1112060881")</f>
        <v>#NAME?</v>
      </c>
      <c r="I882" s="4" t="e">
        <f ca="1">[1]!BexGetData("DP_1","003N8EMH8GTFRCSWKMPXRSAE6","GSON1112060881")</f>
        <v>#NAME?</v>
      </c>
      <c r="J882" s="4" t="e">
        <f ca="1">[1]!BexGetData("DP_1","003N8EMH8GTFRCSWKMPXRSGPQ","GSON1112060881")</f>
        <v>#NAME?</v>
      </c>
      <c r="K882" s="8" t="e">
        <f ca="1">[1]!BexGetData("DP_1","003N8EMH8GTFRIVNUPY288VJH","GSON1112060881")</f>
        <v>#NAME?</v>
      </c>
      <c r="L882" s="8" t="e">
        <f ca="1">[1]!BexGetData("DP_1","003N8EMH8GTFRIVNUPY2891V1","GSON1112060881")</f>
        <v>#NAME?</v>
      </c>
      <c r="M882" s="8" t="e">
        <f ca="1">[1]!BexGetData("DP_1","003N8EMH8GTFRIVOG7KG9IQXA","GSON1112060881")</f>
        <v>#NAME?</v>
      </c>
      <c r="N882" s="8" t="e">
        <f ca="1">[1]!BexGetData("DP_1","003N8EMH8GTFRIVOG7KG9IX8U","GSON1112060881")</f>
        <v>#NAME?</v>
      </c>
      <c r="O882" s="8" t="e">
        <f ca="1">[1]!BexGetData("DP_1","003N8EMH8GTFRIVOG7KG9J3KE","GSON1112060881")</f>
        <v>#NAME?</v>
      </c>
      <c r="P882" s="8" t="e">
        <f ca="1">[1]!BexGetData("DP_1","003N8EMH8GTFRIVOG7KG9J9VY","GSON1112060881")</f>
        <v>#NAME?</v>
      </c>
      <c r="Q882" s="4" t="e">
        <f ca="1">[1]!BexGetData("DP_1","00O2TNJGODT0G5Z4TTKYMM5MT","GSON1112060881")</f>
        <v>#NAME?</v>
      </c>
      <c r="R882" s="4" t="e">
        <f ca="1">[1]!BexGetData("DP_1","00O2TNJGODT0G5Z4TTKYMMBYD","GSON1112060881")</f>
        <v>#NAME?</v>
      </c>
      <c r="S882" s="4" t="e">
        <f ca="1">[1]!BexGetData("DP_1","00O2TNJGODT0G5Z4TTKYMMI9X","GSON1112060881")</f>
        <v>#NAME?</v>
      </c>
      <c r="T882" s="4" t="e">
        <f ca="1">[1]!BexGetData("DP_1","00O2TNJGODT0G5Z4TTKYMMOLH","GSON1112060881")</f>
        <v>#NAME?</v>
      </c>
      <c r="U882" s="4" t="e">
        <f ca="1">[1]!BexGetData("DP_1","00O2TNJGODT0G5Z4TTKYMMUX1","GSON1112060881")</f>
        <v>#NAME?</v>
      </c>
      <c r="V882" s="4" t="e">
        <f ca="1">[1]!BexGetData("DP_1","00O2TNJGODT0G5Z4TTKYMN18L","GSON1112060881")</f>
        <v>#NAME?</v>
      </c>
      <c r="W882" s="4" t="e">
        <f ca="1">[1]!BexGetData("DP_1","00O2TNJGODT0G5Z4TTKYMN7K5","GSON1112060881")</f>
        <v>#NAME?</v>
      </c>
    </row>
    <row r="883" spans="1:23" x14ac:dyDescent="0.2">
      <c r="A883" s="16" t="s">
        <v>3091</v>
      </c>
      <c r="B883" s="7" t="s">
        <v>3092</v>
      </c>
      <c r="C883" s="3" t="e">
        <f ca="1">[1]!BexGetData("DP_1","003N8EMH8GTFRCSWKMPXRR8GU","GSON1112060883")</f>
        <v>#NAME?</v>
      </c>
      <c r="D883" s="3" t="e">
        <f ca="1">[1]!BexGetData("DP_1","003N8EMH8GTFRCSWKMPXRRESE","GSON1112060883")</f>
        <v>#NAME?</v>
      </c>
      <c r="E883" s="8" t="e">
        <f ca="1">[1]!BexGetData("DP_1","003N8EMH8GTFRCSWKMPXRRL3Y","GSON1112060883")</f>
        <v>#NAME?</v>
      </c>
      <c r="F883" s="4" t="e">
        <f ca="1">[1]!BexGetData("DP_1","003N8EMH8GTFRCSWKMPXRRRFI","GSON1112060883")</f>
        <v>#NAME?</v>
      </c>
      <c r="G883" s="4" t="e">
        <f ca="1">[1]!BexGetData("DP_1","003N8EMH8GTFRCSWKMPXRRXR2","GSON1112060883")</f>
        <v>#NAME?</v>
      </c>
      <c r="H883" s="4" t="e">
        <f ca="1">[1]!BexGetData("DP_1","003N8EMH8GTFRCSWKMPXRS42M","GSON1112060883")</f>
        <v>#NAME?</v>
      </c>
      <c r="I883" s="4" t="e">
        <f ca="1">[1]!BexGetData("DP_1","003N8EMH8GTFRCSWKMPXRSAE6","GSON1112060883")</f>
        <v>#NAME?</v>
      </c>
      <c r="J883" s="4" t="e">
        <f ca="1">[1]!BexGetData("DP_1","003N8EMH8GTFRCSWKMPXRSGPQ","GSON1112060883")</f>
        <v>#NAME?</v>
      </c>
      <c r="K883" s="8" t="e">
        <f ca="1">[1]!BexGetData("DP_1","003N8EMH8GTFRIVNUPY288VJH","GSON1112060883")</f>
        <v>#NAME?</v>
      </c>
      <c r="L883" s="8" t="e">
        <f ca="1">[1]!BexGetData("DP_1","003N8EMH8GTFRIVNUPY2891V1","GSON1112060883")</f>
        <v>#NAME?</v>
      </c>
      <c r="M883" s="8" t="e">
        <f ca="1">[1]!BexGetData("DP_1","003N8EMH8GTFRIVOG7KG9IQXA","GSON1112060883")</f>
        <v>#NAME?</v>
      </c>
      <c r="N883" s="8" t="e">
        <f ca="1">[1]!BexGetData("DP_1","003N8EMH8GTFRIVOG7KG9IX8U","GSON1112060883")</f>
        <v>#NAME?</v>
      </c>
      <c r="O883" s="8" t="e">
        <f ca="1">[1]!BexGetData("DP_1","003N8EMH8GTFRIVOG7KG9J3KE","GSON1112060883")</f>
        <v>#NAME?</v>
      </c>
      <c r="P883" s="8" t="e">
        <f ca="1">[1]!BexGetData("DP_1","003N8EMH8GTFRIVOG7KG9J9VY","GSON1112060883")</f>
        <v>#NAME?</v>
      </c>
      <c r="Q883" s="4" t="e">
        <f ca="1">[1]!BexGetData("DP_1","00O2TNJGODT0G5Z4TTKYMM5MT","GSON1112060883")</f>
        <v>#NAME?</v>
      </c>
      <c r="R883" s="4" t="e">
        <f ca="1">[1]!BexGetData("DP_1","00O2TNJGODT0G5Z4TTKYMMBYD","GSON1112060883")</f>
        <v>#NAME?</v>
      </c>
      <c r="S883" s="4" t="e">
        <f ca="1">[1]!BexGetData("DP_1","00O2TNJGODT0G5Z4TTKYMMI9X","GSON1112060883")</f>
        <v>#NAME?</v>
      </c>
      <c r="T883" s="4" t="e">
        <f ca="1">[1]!BexGetData("DP_1","00O2TNJGODT0G5Z4TTKYMMOLH","GSON1112060883")</f>
        <v>#NAME?</v>
      </c>
      <c r="U883" s="4" t="e">
        <f ca="1">[1]!BexGetData("DP_1","00O2TNJGODT0G5Z4TTKYMMUX1","GSON1112060883")</f>
        <v>#NAME?</v>
      </c>
      <c r="V883" s="4" t="e">
        <f ca="1">[1]!BexGetData("DP_1","00O2TNJGODT0G5Z4TTKYMN18L","GSON1112060883")</f>
        <v>#NAME?</v>
      </c>
      <c r="W883" s="4" t="e">
        <f ca="1">[1]!BexGetData("DP_1","00O2TNJGODT0G5Z4TTKYMN7K5","GSON1112060883")</f>
        <v>#NAME?</v>
      </c>
    </row>
    <row r="884" spans="1:23" x14ac:dyDescent="0.2">
      <c r="A884" s="16" t="s">
        <v>3093</v>
      </c>
      <c r="B884" s="7" t="s">
        <v>3094</v>
      </c>
      <c r="C884" s="3" t="e">
        <f ca="1">[1]!BexGetData("DP_1","003N8EMH8GTFRCSWKMPXRR8GU","GSON1112060884")</f>
        <v>#NAME?</v>
      </c>
      <c r="D884" s="3" t="e">
        <f ca="1">[1]!BexGetData("DP_1","003N8EMH8GTFRCSWKMPXRRESE","GSON1112060884")</f>
        <v>#NAME?</v>
      </c>
      <c r="E884" s="8" t="e">
        <f ca="1">[1]!BexGetData("DP_1","003N8EMH8GTFRCSWKMPXRRL3Y","GSON1112060884")</f>
        <v>#NAME?</v>
      </c>
      <c r="F884" s="4" t="e">
        <f ca="1">[1]!BexGetData("DP_1","003N8EMH8GTFRCSWKMPXRRRFI","GSON1112060884")</f>
        <v>#NAME?</v>
      </c>
      <c r="G884" s="4" t="e">
        <f ca="1">[1]!BexGetData("DP_1","003N8EMH8GTFRCSWKMPXRRXR2","GSON1112060884")</f>
        <v>#NAME?</v>
      </c>
      <c r="H884" s="4" t="e">
        <f ca="1">[1]!BexGetData("DP_1","003N8EMH8GTFRCSWKMPXRS42M","GSON1112060884")</f>
        <v>#NAME?</v>
      </c>
      <c r="I884" s="4" t="e">
        <f ca="1">[1]!BexGetData("DP_1","003N8EMH8GTFRCSWKMPXRSAE6","GSON1112060884")</f>
        <v>#NAME?</v>
      </c>
      <c r="J884" s="4" t="e">
        <f ca="1">[1]!BexGetData("DP_1","003N8EMH8GTFRCSWKMPXRSGPQ","GSON1112060884")</f>
        <v>#NAME?</v>
      </c>
      <c r="K884" s="8" t="e">
        <f ca="1">[1]!BexGetData("DP_1","003N8EMH8GTFRIVNUPY288VJH","GSON1112060884")</f>
        <v>#NAME?</v>
      </c>
      <c r="L884" s="8" t="e">
        <f ca="1">[1]!BexGetData("DP_1","003N8EMH8GTFRIVNUPY2891V1","GSON1112060884")</f>
        <v>#NAME?</v>
      </c>
      <c r="M884" s="8" t="e">
        <f ca="1">[1]!BexGetData("DP_1","003N8EMH8GTFRIVOG7KG9IQXA","GSON1112060884")</f>
        <v>#NAME?</v>
      </c>
      <c r="N884" s="8" t="e">
        <f ca="1">[1]!BexGetData("DP_1","003N8EMH8GTFRIVOG7KG9IX8U","GSON1112060884")</f>
        <v>#NAME?</v>
      </c>
      <c r="O884" s="8" t="e">
        <f ca="1">[1]!BexGetData("DP_1","003N8EMH8GTFRIVOG7KG9J3KE","GSON1112060884")</f>
        <v>#NAME?</v>
      </c>
      <c r="P884" s="8" t="e">
        <f ca="1">[1]!BexGetData("DP_1","003N8EMH8GTFRIVOG7KG9J9VY","GSON1112060884")</f>
        <v>#NAME?</v>
      </c>
      <c r="Q884" s="4" t="e">
        <f ca="1">[1]!BexGetData("DP_1","00O2TNJGODT0G5Z4TTKYMM5MT","GSON1112060884")</f>
        <v>#NAME?</v>
      </c>
      <c r="R884" s="4" t="e">
        <f ca="1">[1]!BexGetData("DP_1","00O2TNJGODT0G5Z4TTKYMMBYD","GSON1112060884")</f>
        <v>#NAME?</v>
      </c>
      <c r="S884" s="4" t="e">
        <f ca="1">[1]!BexGetData("DP_1","00O2TNJGODT0G5Z4TTKYMMI9X","GSON1112060884")</f>
        <v>#NAME?</v>
      </c>
      <c r="T884" s="4" t="e">
        <f ca="1">[1]!BexGetData("DP_1","00O2TNJGODT0G5Z4TTKYMMOLH","GSON1112060884")</f>
        <v>#NAME?</v>
      </c>
      <c r="U884" s="4" t="e">
        <f ca="1">[1]!BexGetData("DP_1","00O2TNJGODT0G5Z4TTKYMMUX1","GSON1112060884")</f>
        <v>#NAME?</v>
      </c>
      <c r="V884" s="4" t="e">
        <f ca="1">[1]!BexGetData("DP_1","00O2TNJGODT0G5Z4TTKYMN18L","GSON1112060884")</f>
        <v>#NAME?</v>
      </c>
      <c r="W884" s="4" t="e">
        <f ca="1">[1]!BexGetData("DP_1","00O2TNJGODT0G5Z4TTKYMN7K5","GSON1112060884")</f>
        <v>#NAME?</v>
      </c>
    </row>
    <row r="885" spans="1:23" x14ac:dyDescent="0.2">
      <c r="A885" s="16" t="s">
        <v>3095</v>
      </c>
      <c r="B885" s="7" t="s">
        <v>3096</v>
      </c>
      <c r="C885" s="3" t="e">
        <f ca="1">[1]!BexGetData("DP_1","003N8EMH8GTFRCSWKMPXRR8GU","GSON1112060885")</f>
        <v>#NAME?</v>
      </c>
      <c r="D885" s="3" t="e">
        <f ca="1">[1]!BexGetData("DP_1","003N8EMH8GTFRCSWKMPXRRESE","GSON1112060885")</f>
        <v>#NAME?</v>
      </c>
      <c r="E885" s="8" t="e">
        <f ca="1">[1]!BexGetData("DP_1","003N8EMH8GTFRCSWKMPXRRL3Y","GSON1112060885")</f>
        <v>#NAME?</v>
      </c>
      <c r="F885" s="4" t="e">
        <f ca="1">[1]!BexGetData("DP_1","003N8EMH8GTFRCSWKMPXRRRFI","GSON1112060885")</f>
        <v>#NAME?</v>
      </c>
      <c r="G885" s="4" t="e">
        <f ca="1">[1]!BexGetData("DP_1","003N8EMH8GTFRCSWKMPXRRXR2","GSON1112060885")</f>
        <v>#NAME?</v>
      </c>
      <c r="H885" s="4" t="e">
        <f ca="1">[1]!BexGetData("DP_1","003N8EMH8GTFRCSWKMPXRS42M","GSON1112060885")</f>
        <v>#NAME?</v>
      </c>
      <c r="I885" s="4" t="e">
        <f ca="1">[1]!BexGetData("DP_1","003N8EMH8GTFRCSWKMPXRSAE6","GSON1112060885")</f>
        <v>#NAME?</v>
      </c>
      <c r="J885" s="4" t="e">
        <f ca="1">[1]!BexGetData("DP_1","003N8EMH8GTFRCSWKMPXRSGPQ","GSON1112060885")</f>
        <v>#NAME?</v>
      </c>
      <c r="K885" s="8" t="e">
        <f ca="1">[1]!BexGetData("DP_1","003N8EMH8GTFRIVNUPY288VJH","GSON1112060885")</f>
        <v>#NAME?</v>
      </c>
      <c r="L885" s="8" t="e">
        <f ca="1">[1]!BexGetData("DP_1","003N8EMH8GTFRIVNUPY2891V1","GSON1112060885")</f>
        <v>#NAME?</v>
      </c>
      <c r="M885" s="8" t="e">
        <f ca="1">[1]!BexGetData("DP_1","003N8EMH8GTFRIVOG7KG9IQXA","GSON1112060885")</f>
        <v>#NAME?</v>
      </c>
      <c r="N885" s="8" t="e">
        <f ca="1">[1]!BexGetData("DP_1","003N8EMH8GTFRIVOG7KG9IX8U","GSON1112060885")</f>
        <v>#NAME?</v>
      </c>
      <c r="O885" s="8" t="e">
        <f ca="1">[1]!BexGetData("DP_1","003N8EMH8GTFRIVOG7KG9J3KE","GSON1112060885")</f>
        <v>#NAME?</v>
      </c>
      <c r="P885" s="8" t="e">
        <f ca="1">[1]!BexGetData("DP_1","003N8EMH8GTFRIVOG7KG9J9VY","GSON1112060885")</f>
        <v>#NAME?</v>
      </c>
      <c r="Q885" s="4" t="e">
        <f ca="1">[1]!BexGetData("DP_1","00O2TNJGODT0G5Z4TTKYMM5MT","GSON1112060885")</f>
        <v>#NAME?</v>
      </c>
      <c r="R885" s="4" t="e">
        <f ca="1">[1]!BexGetData("DP_1","00O2TNJGODT0G5Z4TTKYMMBYD","GSON1112060885")</f>
        <v>#NAME?</v>
      </c>
      <c r="S885" s="4" t="e">
        <f ca="1">[1]!BexGetData("DP_1","00O2TNJGODT0G5Z4TTKYMMI9X","GSON1112060885")</f>
        <v>#NAME?</v>
      </c>
      <c r="T885" s="4" t="e">
        <f ca="1">[1]!BexGetData("DP_1","00O2TNJGODT0G5Z4TTKYMMOLH","GSON1112060885")</f>
        <v>#NAME?</v>
      </c>
      <c r="U885" s="4" t="e">
        <f ca="1">[1]!BexGetData("DP_1","00O2TNJGODT0G5Z4TTKYMMUX1","GSON1112060885")</f>
        <v>#NAME?</v>
      </c>
      <c r="V885" s="4" t="e">
        <f ca="1">[1]!BexGetData("DP_1","00O2TNJGODT0G5Z4TTKYMN18L","GSON1112060885")</f>
        <v>#NAME?</v>
      </c>
      <c r="W885" s="4" t="e">
        <f ca="1">[1]!BexGetData("DP_1","00O2TNJGODT0G5Z4TTKYMN7K5","GSON1112060885")</f>
        <v>#NAME?</v>
      </c>
    </row>
    <row r="886" spans="1:23" x14ac:dyDescent="0.2">
      <c r="A886" s="16" t="s">
        <v>3097</v>
      </c>
      <c r="B886" s="7" t="s">
        <v>1647</v>
      </c>
      <c r="C886" s="3" t="e">
        <f ca="1">[1]!BexGetData("DP_1","003N8EMH8GTFRCSWKMPXRR8GU","GSON1112060890")</f>
        <v>#NAME?</v>
      </c>
      <c r="D886" s="3" t="e">
        <f ca="1">[1]!BexGetData("DP_1","003N8EMH8GTFRCSWKMPXRRESE","GSON1112060890")</f>
        <v>#NAME?</v>
      </c>
      <c r="E886" s="3" t="e">
        <f ca="1">[1]!BexGetData("DP_1","003N8EMH8GTFRCSWKMPXRRL3Y","GSON1112060890")</f>
        <v>#NAME?</v>
      </c>
      <c r="F886" s="4" t="e">
        <f ca="1">[1]!BexGetData("DP_1","003N8EMH8GTFRCSWKMPXRRRFI","GSON1112060890")</f>
        <v>#NAME?</v>
      </c>
      <c r="G886" s="4" t="e">
        <f ca="1">[1]!BexGetData("DP_1","003N8EMH8GTFRCSWKMPXRRXR2","GSON1112060890")</f>
        <v>#NAME?</v>
      </c>
      <c r="H886" s="4" t="e">
        <f ca="1">[1]!BexGetData("DP_1","003N8EMH8GTFRCSWKMPXRS42M","GSON1112060890")</f>
        <v>#NAME?</v>
      </c>
      <c r="I886" s="4" t="e">
        <f ca="1">[1]!BexGetData("DP_1","003N8EMH8GTFRCSWKMPXRSAE6","GSON1112060890")</f>
        <v>#NAME?</v>
      </c>
      <c r="J886" s="4" t="e">
        <f ca="1">[1]!BexGetData("DP_1","003N8EMH8GTFRCSWKMPXRSGPQ","GSON1112060890")</f>
        <v>#NAME?</v>
      </c>
      <c r="K886" s="3" t="e">
        <f ca="1">[1]!BexGetData("DP_1","003N8EMH8GTFRIVNUPY288VJH","GSON1112060890")</f>
        <v>#NAME?</v>
      </c>
      <c r="L886" s="3" t="e">
        <f ca="1">[1]!BexGetData("DP_1","003N8EMH8GTFRIVNUPY2891V1","GSON1112060890")</f>
        <v>#NAME?</v>
      </c>
      <c r="M886" s="8" t="e">
        <f ca="1">[1]!BexGetData("DP_1","003N8EMH8GTFRIVOG7KG9IQXA","GSON1112060890")</f>
        <v>#NAME?</v>
      </c>
      <c r="N886" s="3" t="e">
        <f ca="1">[1]!BexGetData("DP_1","003N8EMH8GTFRIVOG7KG9IX8U","GSON1112060890")</f>
        <v>#NAME?</v>
      </c>
      <c r="O886" s="8" t="e">
        <f ca="1">[1]!BexGetData("DP_1","003N8EMH8GTFRIVOG7KG9J3KE","GSON1112060890")</f>
        <v>#NAME?</v>
      </c>
      <c r="P886" s="3" t="e">
        <f ca="1">[1]!BexGetData("DP_1","003N8EMH8GTFRIVOG7KG9J9VY","GSON1112060890")</f>
        <v>#NAME?</v>
      </c>
      <c r="Q886" s="4" t="e">
        <f ca="1">[1]!BexGetData("DP_1","00O2TNJGODT0G5Z4TTKYMM5MT","GSON1112060890")</f>
        <v>#NAME?</v>
      </c>
      <c r="R886" s="4" t="e">
        <f ca="1">[1]!BexGetData("DP_1","00O2TNJGODT0G5Z4TTKYMMBYD","GSON1112060890")</f>
        <v>#NAME?</v>
      </c>
      <c r="S886" s="4" t="e">
        <f ca="1">[1]!BexGetData("DP_1","00O2TNJGODT0G5Z4TTKYMMI9X","GSON1112060890")</f>
        <v>#NAME?</v>
      </c>
      <c r="T886" s="4" t="e">
        <f ca="1">[1]!BexGetData("DP_1","00O2TNJGODT0G5Z4TTKYMMOLH","GSON1112060890")</f>
        <v>#NAME?</v>
      </c>
      <c r="U886" s="4" t="e">
        <f ca="1">[1]!BexGetData("DP_1","00O2TNJGODT0G5Z4TTKYMMUX1","GSON1112060890")</f>
        <v>#NAME?</v>
      </c>
      <c r="V886" s="4" t="e">
        <f ca="1">[1]!BexGetData("DP_1","00O2TNJGODT0G5Z4TTKYMN18L","GSON1112060890")</f>
        <v>#NAME?</v>
      </c>
      <c r="W886" s="4" t="e">
        <f ca="1">[1]!BexGetData("DP_1","00O2TNJGODT0G5Z4TTKYMN7K5","GSON1112060890")</f>
        <v>#NAME?</v>
      </c>
    </row>
    <row r="887" spans="1:23" x14ac:dyDescent="0.2">
      <c r="A887" s="16" t="s">
        <v>3098</v>
      </c>
      <c r="B887" s="7" t="s">
        <v>3099</v>
      </c>
      <c r="C887" s="3" t="e">
        <f ca="1">[1]!BexGetData("DP_1","003N8EMH8GTFRCSWKMPXRR8GU","GSON1112060891")</f>
        <v>#NAME?</v>
      </c>
      <c r="D887" s="3" t="e">
        <f ca="1">[1]!BexGetData("DP_1","003N8EMH8GTFRCSWKMPXRRESE","GSON1112060891")</f>
        <v>#NAME?</v>
      </c>
      <c r="E887" s="8" t="e">
        <f ca="1">[1]!BexGetData("DP_1","003N8EMH8GTFRCSWKMPXRRL3Y","GSON1112060891")</f>
        <v>#NAME?</v>
      </c>
      <c r="F887" s="4" t="e">
        <f ca="1">[1]!BexGetData("DP_1","003N8EMH8GTFRCSWKMPXRRRFI","GSON1112060891")</f>
        <v>#NAME?</v>
      </c>
      <c r="G887" s="4" t="e">
        <f ca="1">[1]!BexGetData("DP_1","003N8EMH8GTFRCSWKMPXRRXR2","GSON1112060891")</f>
        <v>#NAME?</v>
      </c>
      <c r="H887" s="4" t="e">
        <f ca="1">[1]!BexGetData("DP_1","003N8EMH8GTFRCSWKMPXRS42M","GSON1112060891")</f>
        <v>#NAME?</v>
      </c>
      <c r="I887" s="4" t="e">
        <f ca="1">[1]!BexGetData("DP_1","003N8EMH8GTFRCSWKMPXRSAE6","GSON1112060891")</f>
        <v>#NAME?</v>
      </c>
      <c r="J887" s="4" t="e">
        <f ca="1">[1]!BexGetData("DP_1","003N8EMH8GTFRCSWKMPXRSGPQ","GSON1112060891")</f>
        <v>#NAME?</v>
      </c>
      <c r="K887" s="8" t="e">
        <f ca="1">[1]!BexGetData("DP_1","003N8EMH8GTFRIVNUPY288VJH","GSON1112060891")</f>
        <v>#NAME?</v>
      </c>
      <c r="L887" s="8" t="e">
        <f ca="1">[1]!BexGetData("DP_1","003N8EMH8GTFRIVNUPY2891V1","GSON1112060891")</f>
        <v>#NAME?</v>
      </c>
      <c r="M887" s="8" t="e">
        <f ca="1">[1]!BexGetData("DP_1","003N8EMH8GTFRIVOG7KG9IQXA","GSON1112060891")</f>
        <v>#NAME?</v>
      </c>
      <c r="N887" s="8" t="e">
        <f ca="1">[1]!BexGetData("DP_1","003N8EMH8GTFRIVOG7KG9IX8U","GSON1112060891")</f>
        <v>#NAME?</v>
      </c>
      <c r="O887" s="8" t="e">
        <f ca="1">[1]!BexGetData("DP_1","003N8EMH8GTFRIVOG7KG9J3KE","GSON1112060891")</f>
        <v>#NAME?</v>
      </c>
      <c r="P887" s="8" t="e">
        <f ca="1">[1]!BexGetData("DP_1","003N8EMH8GTFRIVOG7KG9J9VY","GSON1112060891")</f>
        <v>#NAME?</v>
      </c>
      <c r="Q887" s="4" t="e">
        <f ca="1">[1]!BexGetData("DP_1","00O2TNJGODT0G5Z4TTKYMM5MT","GSON1112060891")</f>
        <v>#NAME?</v>
      </c>
      <c r="R887" s="4" t="e">
        <f ca="1">[1]!BexGetData("DP_1","00O2TNJGODT0G5Z4TTKYMMBYD","GSON1112060891")</f>
        <v>#NAME?</v>
      </c>
      <c r="S887" s="4" t="e">
        <f ca="1">[1]!BexGetData("DP_1","00O2TNJGODT0G5Z4TTKYMMI9X","GSON1112060891")</f>
        <v>#NAME?</v>
      </c>
      <c r="T887" s="4" t="e">
        <f ca="1">[1]!BexGetData("DP_1","00O2TNJGODT0G5Z4TTKYMMOLH","GSON1112060891")</f>
        <v>#NAME?</v>
      </c>
      <c r="U887" s="4" t="e">
        <f ca="1">[1]!BexGetData("DP_1","00O2TNJGODT0G5Z4TTKYMMUX1","GSON1112060891")</f>
        <v>#NAME?</v>
      </c>
      <c r="V887" s="4" t="e">
        <f ca="1">[1]!BexGetData("DP_1","00O2TNJGODT0G5Z4TTKYMN18L","GSON1112060891")</f>
        <v>#NAME?</v>
      </c>
      <c r="W887" s="4" t="e">
        <f ca="1">[1]!BexGetData("DP_1","00O2TNJGODT0G5Z4TTKYMN7K5","GSON1112060891")</f>
        <v>#NAME?</v>
      </c>
    </row>
    <row r="888" spans="1:23" x14ac:dyDescent="0.2">
      <c r="A888" s="16" t="s">
        <v>3100</v>
      </c>
      <c r="B888" s="7" t="s">
        <v>1648</v>
      </c>
      <c r="C888" s="3" t="e">
        <f ca="1">[1]!BexGetData("DP_1","003N8EMH8GTFRCSWKMPXRR8GU","GSON1112060892")</f>
        <v>#NAME?</v>
      </c>
      <c r="D888" s="3" t="e">
        <f ca="1">[1]!BexGetData("DP_1","003N8EMH8GTFRCSWKMPXRRESE","GSON1112060892")</f>
        <v>#NAME?</v>
      </c>
      <c r="E888" s="8" t="e">
        <f ca="1">[1]!BexGetData("DP_1","003N8EMH8GTFRCSWKMPXRRL3Y","GSON1112060892")</f>
        <v>#NAME?</v>
      </c>
      <c r="F888" s="4" t="e">
        <f ca="1">[1]!BexGetData("DP_1","003N8EMH8GTFRCSWKMPXRRRFI","GSON1112060892")</f>
        <v>#NAME?</v>
      </c>
      <c r="G888" s="4" t="e">
        <f ca="1">[1]!BexGetData("DP_1","003N8EMH8GTFRCSWKMPXRRXR2","GSON1112060892")</f>
        <v>#NAME?</v>
      </c>
      <c r="H888" s="4" t="e">
        <f ca="1">[1]!BexGetData("DP_1","003N8EMH8GTFRCSWKMPXRS42M","GSON1112060892")</f>
        <v>#NAME?</v>
      </c>
      <c r="I888" s="4" t="e">
        <f ca="1">[1]!BexGetData("DP_1","003N8EMH8GTFRCSWKMPXRSAE6","GSON1112060892")</f>
        <v>#NAME?</v>
      </c>
      <c r="J888" s="4" t="e">
        <f ca="1">[1]!BexGetData("DP_1","003N8EMH8GTFRCSWKMPXRSGPQ","GSON1112060892")</f>
        <v>#NAME?</v>
      </c>
      <c r="K888" s="8" t="e">
        <f ca="1">[1]!BexGetData("DP_1","003N8EMH8GTFRIVNUPY288VJH","GSON1112060892")</f>
        <v>#NAME?</v>
      </c>
      <c r="L888" s="8" t="e">
        <f ca="1">[1]!BexGetData("DP_1","003N8EMH8GTFRIVNUPY2891V1","GSON1112060892")</f>
        <v>#NAME?</v>
      </c>
      <c r="M888" s="8" t="e">
        <f ca="1">[1]!BexGetData("DP_1","003N8EMH8GTFRIVOG7KG9IQXA","GSON1112060892")</f>
        <v>#NAME?</v>
      </c>
      <c r="N888" s="8" t="e">
        <f ca="1">[1]!BexGetData("DP_1","003N8EMH8GTFRIVOG7KG9IX8U","GSON1112060892")</f>
        <v>#NAME?</v>
      </c>
      <c r="O888" s="8" t="e">
        <f ca="1">[1]!BexGetData("DP_1","003N8EMH8GTFRIVOG7KG9J3KE","GSON1112060892")</f>
        <v>#NAME?</v>
      </c>
      <c r="P888" s="8" t="e">
        <f ca="1">[1]!BexGetData("DP_1","003N8EMH8GTFRIVOG7KG9J9VY","GSON1112060892")</f>
        <v>#NAME?</v>
      </c>
      <c r="Q888" s="4" t="e">
        <f ca="1">[1]!BexGetData("DP_1","00O2TNJGODT0G5Z4TTKYMM5MT","GSON1112060892")</f>
        <v>#NAME?</v>
      </c>
      <c r="R888" s="4" t="e">
        <f ca="1">[1]!BexGetData("DP_1","00O2TNJGODT0G5Z4TTKYMMBYD","GSON1112060892")</f>
        <v>#NAME?</v>
      </c>
      <c r="S888" s="4" t="e">
        <f ca="1">[1]!BexGetData("DP_1","00O2TNJGODT0G5Z4TTKYMMI9X","GSON1112060892")</f>
        <v>#NAME?</v>
      </c>
      <c r="T888" s="4" t="e">
        <f ca="1">[1]!BexGetData("DP_1","00O2TNJGODT0G5Z4TTKYMMOLH","GSON1112060892")</f>
        <v>#NAME?</v>
      </c>
      <c r="U888" s="4" t="e">
        <f ca="1">[1]!BexGetData("DP_1","00O2TNJGODT0G5Z4TTKYMMUX1","GSON1112060892")</f>
        <v>#NAME?</v>
      </c>
      <c r="V888" s="4" t="e">
        <f ca="1">[1]!BexGetData("DP_1","00O2TNJGODT0G5Z4TTKYMN18L","GSON1112060892")</f>
        <v>#NAME?</v>
      </c>
      <c r="W888" s="4" t="e">
        <f ca="1">[1]!BexGetData("DP_1","00O2TNJGODT0G5Z4TTKYMN7K5","GSON1112060892")</f>
        <v>#NAME?</v>
      </c>
    </row>
    <row r="889" spans="1:23" x14ac:dyDescent="0.2">
      <c r="A889" s="16" t="s">
        <v>3101</v>
      </c>
      <c r="B889" s="7" t="s">
        <v>1649</v>
      </c>
      <c r="C889" s="3" t="e">
        <f ca="1">[1]!BexGetData("DP_1","003N8EMH8GTFRCSWKMPXRR8GU","GSON1112060893")</f>
        <v>#NAME?</v>
      </c>
      <c r="D889" s="3" t="e">
        <f ca="1">[1]!BexGetData("DP_1","003N8EMH8GTFRCSWKMPXRRESE","GSON1112060893")</f>
        <v>#NAME?</v>
      </c>
      <c r="E889" s="8" t="e">
        <f ca="1">[1]!BexGetData("DP_1","003N8EMH8GTFRCSWKMPXRRL3Y","GSON1112060893")</f>
        <v>#NAME?</v>
      </c>
      <c r="F889" s="4" t="e">
        <f ca="1">[1]!BexGetData("DP_1","003N8EMH8GTFRCSWKMPXRRRFI","GSON1112060893")</f>
        <v>#NAME?</v>
      </c>
      <c r="G889" s="4" t="e">
        <f ca="1">[1]!BexGetData("DP_1","003N8EMH8GTFRCSWKMPXRRXR2","GSON1112060893")</f>
        <v>#NAME?</v>
      </c>
      <c r="H889" s="4" t="e">
        <f ca="1">[1]!BexGetData("DP_1","003N8EMH8GTFRCSWKMPXRS42M","GSON1112060893")</f>
        <v>#NAME?</v>
      </c>
      <c r="I889" s="4" t="e">
        <f ca="1">[1]!BexGetData("DP_1","003N8EMH8GTFRCSWKMPXRSAE6","GSON1112060893")</f>
        <v>#NAME?</v>
      </c>
      <c r="J889" s="4" t="e">
        <f ca="1">[1]!BexGetData("DP_1","003N8EMH8GTFRCSWKMPXRSGPQ","GSON1112060893")</f>
        <v>#NAME?</v>
      </c>
      <c r="K889" s="8" t="e">
        <f ca="1">[1]!BexGetData("DP_1","003N8EMH8GTFRIVNUPY288VJH","GSON1112060893")</f>
        <v>#NAME?</v>
      </c>
      <c r="L889" s="8" t="e">
        <f ca="1">[1]!BexGetData("DP_1","003N8EMH8GTFRIVNUPY2891V1","GSON1112060893")</f>
        <v>#NAME?</v>
      </c>
      <c r="M889" s="8" t="e">
        <f ca="1">[1]!BexGetData("DP_1","003N8EMH8GTFRIVOG7KG9IQXA","GSON1112060893")</f>
        <v>#NAME?</v>
      </c>
      <c r="N889" s="8" t="e">
        <f ca="1">[1]!BexGetData("DP_1","003N8EMH8GTFRIVOG7KG9IX8U","GSON1112060893")</f>
        <v>#NAME?</v>
      </c>
      <c r="O889" s="8" t="e">
        <f ca="1">[1]!BexGetData("DP_1","003N8EMH8GTFRIVOG7KG9J3KE","GSON1112060893")</f>
        <v>#NAME?</v>
      </c>
      <c r="P889" s="8" t="e">
        <f ca="1">[1]!BexGetData("DP_1","003N8EMH8GTFRIVOG7KG9J9VY","GSON1112060893")</f>
        <v>#NAME?</v>
      </c>
      <c r="Q889" s="4" t="e">
        <f ca="1">[1]!BexGetData("DP_1","00O2TNJGODT0G5Z4TTKYMM5MT","GSON1112060893")</f>
        <v>#NAME?</v>
      </c>
      <c r="R889" s="4" t="e">
        <f ca="1">[1]!BexGetData("DP_1","00O2TNJGODT0G5Z4TTKYMMBYD","GSON1112060893")</f>
        <v>#NAME?</v>
      </c>
      <c r="S889" s="4" t="e">
        <f ca="1">[1]!BexGetData("DP_1","00O2TNJGODT0G5Z4TTKYMMI9X","GSON1112060893")</f>
        <v>#NAME?</v>
      </c>
      <c r="T889" s="4" t="e">
        <f ca="1">[1]!BexGetData("DP_1","00O2TNJGODT0G5Z4TTKYMMOLH","GSON1112060893")</f>
        <v>#NAME?</v>
      </c>
      <c r="U889" s="4" t="e">
        <f ca="1">[1]!BexGetData("DP_1","00O2TNJGODT0G5Z4TTKYMMUX1","GSON1112060893")</f>
        <v>#NAME?</v>
      </c>
      <c r="V889" s="4" t="e">
        <f ca="1">[1]!BexGetData("DP_1","00O2TNJGODT0G5Z4TTKYMN18L","GSON1112060893")</f>
        <v>#NAME?</v>
      </c>
      <c r="W889" s="4" t="e">
        <f ca="1">[1]!BexGetData("DP_1","00O2TNJGODT0G5Z4TTKYMN7K5","GSON1112060893")</f>
        <v>#NAME?</v>
      </c>
    </row>
    <row r="890" spans="1:23" x14ac:dyDescent="0.2">
      <c r="A890" s="16" t="s">
        <v>3102</v>
      </c>
      <c r="B890" s="7" t="s">
        <v>1650</v>
      </c>
      <c r="C890" s="3" t="e">
        <f ca="1">[1]!BexGetData("DP_1","003N8EMH8GTFRCSWKMPXRR8GU","GSON1112060894")</f>
        <v>#NAME?</v>
      </c>
      <c r="D890" s="3" t="e">
        <f ca="1">[1]!BexGetData("DP_1","003N8EMH8GTFRCSWKMPXRRESE","GSON1112060894")</f>
        <v>#NAME?</v>
      </c>
      <c r="E890" s="8" t="e">
        <f ca="1">[1]!BexGetData("DP_1","003N8EMH8GTFRCSWKMPXRRL3Y","GSON1112060894")</f>
        <v>#NAME?</v>
      </c>
      <c r="F890" s="4" t="e">
        <f ca="1">[1]!BexGetData("DP_1","003N8EMH8GTFRCSWKMPXRRRFI","GSON1112060894")</f>
        <v>#NAME?</v>
      </c>
      <c r="G890" s="4" t="e">
        <f ca="1">[1]!BexGetData("DP_1","003N8EMH8GTFRCSWKMPXRRXR2","GSON1112060894")</f>
        <v>#NAME?</v>
      </c>
      <c r="H890" s="4" t="e">
        <f ca="1">[1]!BexGetData("DP_1","003N8EMH8GTFRCSWKMPXRS42M","GSON1112060894")</f>
        <v>#NAME?</v>
      </c>
      <c r="I890" s="4" t="e">
        <f ca="1">[1]!BexGetData("DP_1","003N8EMH8GTFRCSWKMPXRSAE6","GSON1112060894")</f>
        <v>#NAME?</v>
      </c>
      <c r="J890" s="4" t="e">
        <f ca="1">[1]!BexGetData("DP_1","003N8EMH8GTFRCSWKMPXRSGPQ","GSON1112060894")</f>
        <v>#NAME?</v>
      </c>
      <c r="K890" s="8" t="e">
        <f ca="1">[1]!BexGetData("DP_1","003N8EMH8GTFRIVNUPY288VJH","GSON1112060894")</f>
        <v>#NAME?</v>
      </c>
      <c r="L890" s="8" t="e">
        <f ca="1">[1]!BexGetData("DP_1","003N8EMH8GTFRIVNUPY2891V1","GSON1112060894")</f>
        <v>#NAME?</v>
      </c>
      <c r="M890" s="8" t="e">
        <f ca="1">[1]!BexGetData("DP_1","003N8EMH8GTFRIVOG7KG9IQXA","GSON1112060894")</f>
        <v>#NAME?</v>
      </c>
      <c r="N890" s="8" t="e">
        <f ca="1">[1]!BexGetData("DP_1","003N8EMH8GTFRIVOG7KG9IX8U","GSON1112060894")</f>
        <v>#NAME?</v>
      </c>
      <c r="O890" s="8" t="e">
        <f ca="1">[1]!BexGetData("DP_1","003N8EMH8GTFRIVOG7KG9J3KE","GSON1112060894")</f>
        <v>#NAME?</v>
      </c>
      <c r="P890" s="8" t="e">
        <f ca="1">[1]!BexGetData("DP_1","003N8EMH8GTFRIVOG7KG9J9VY","GSON1112060894")</f>
        <v>#NAME?</v>
      </c>
      <c r="Q890" s="4" t="e">
        <f ca="1">[1]!BexGetData("DP_1","00O2TNJGODT0G5Z4TTKYMM5MT","GSON1112060894")</f>
        <v>#NAME?</v>
      </c>
      <c r="R890" s="4" t="e">
        <f ca="1">[1]!BexGetData("DP_1","00O2TNJGODT0G5Z4TTKYMMBYD","GSON1112060894")</f>
        <v>#NAME?</v>
      </c>
      <c r="S890" s="4" t="e">
        <f ca="1">[1]!BexGetData("DP_1","00O2TNJGODT0G5Z4TTKYMMI9X","GSON1112060894")</f>
        <v>#NAME?</v>
      </c>
      <c r="T890" s="4" t="e">
        <f ca="1">[1]!BexGetData("DP_1","00O2TNJGODT0G5Z4TTKYMMOLH","GSON1112060894")</f>
        <v>#NAME?</v>
      </c>
      <c r="U890" s="4" t="e">
        <f ca="1">[1]!BexGetData("DP_1","00O2TNJGODT0G5Z4TTKYMMUX1","GSON1112060894")</f>
        <v>#NAME?</v>
      </c>
      <c r="V890" s="4" t="e">
        <f ca="1">[1]!BexGetData("DP_1","00O2TNJGODT0G5Z4TTKYMN18L","GSON1112060894")</f>
        <v>#NAME?</v>
      </c>
      <c r="W890" s="4" t="e">
        <f ca="1">[1]!BexGetData("DP_1","00O2TNJGODT0G5Z4TTKYMN7K5","GSON1112060894")</f>
        <v>#NAME?</v>
      </c>
    </row>
    <row r="891" spans="1:23" x14ac:dyDescent="0.2">
      <c r="A891" s="16" t="s">
        <v>3103</v>
      </c>
      <c r="B891" s="7" t="s">
        <v>3104</v>
      </c>
      <c r="C891" s="3" t="e">
        <f ca="1">[1]!BexGetData("DP_1","003N8EMH8GTFRCSWKMPXRR8GU","GSON1112060895")</f>
        <v>#NAME?</v>
      </c>
      <c r="D891" s="3" t="e">
        <f ca="1">[1]!BexGetData("DP_1","003N8EMH8GTFRCSWKMPXRRESE","GSON1112060895")</f>
        <v>#NAME?</v>
      </c>
      <c r="E891" s="8" t="e">
        <f ca="1">[1]!BexGetData("DP_1","003N8EMH8GTFRCSWKMPXRRL3Y","GSON1112060895")</f>
        <v>#NAME?</v>
      </c>
      <c r="F891" s="4" t="e">
        <f ca="1">[1]!BexGetData("DP_1","003N8EMH8GTFRCSWKMPXRRRFI","GSON1112060895")</f>
        <v>#NAME?</v>
      </c>
      <c r="G891" s="4" t="e">
        <f ca="1">[1]!BexGetData("DP_1","003N8EMH8GTFRCSWKMPXRRXR2","GSON1112060895")</f>
        <v>#NAME?</v>
      </c>
      <c r="H891" s="4" t="e">
        <f ca="1">[1]!BexGetData("DP_1","003N8EMH8GTFRCSWKMPXRS42M","GSON1112060895")</f>
        <v>#NAME?</v>
      </c>
      <c r="I891" s="4" t="e">
        <f ca="1">[1]!BexGetData("DP_1","003N8EMH8GTFRCSWKMPXRSAE6","GSON1112060895")</f>
        <v>#NAME?</v>
      </c>
      <c r="J891" s="4" t="e">
        <f ca="1">[1]!BexGetData("DP_1","003N8EMH8GTFRCSWKMPXRSGPQ","GSON1112060895")</f>
        <v>#NAME?</v>
      </c>
      <c r="K891" s="8" t="e">
        <f ca="1">[1]!BexGetData("DP_1","003N8EMH8GTFRIVNUPY288VJH","GSON1112060895")</f>
        <v>#NAME?</v>
      </c>
      <c r="L891" s="8" t="e">
        <f ca="1">[1]!BexGetData("DP_1","003N8EMH8GTFRIVNUPY2891V1","GSON1112060895")</f>
        <v>#NAME?</v>
      </c>
      <c r="M891" s="8" t="e">
        <f ca="1">[1]!BexGetData("DP_1","003N8EMH8GTFRIVOG7KG9IQXA","GSON1112060895")</f>
        <v>#NAME?</v>
      </c>
      <c r="N891" s="8" t="e">
        <f ca="1">[1]!BexGetData("DP_1","003N8EMH8GTFRIVOG7KG9IX8U","GSON1112060895")</f>
        <v>#NAME?</v>
      </c>
      <c r="O891" s="8" t="e">
        <f ca="1">[1]!BexGetData("DP_1","003N8EMH8GTFRIVOG7KG9J3KE","GSON1112060895")</f>
        <v>#NAME?</v>
      </c>
      <c r="P891" s="8" t="e">
        <f ca="1">[1]!BexGetData("DP_1","003N8EMH8GTFRIVOG7KG9J9VY","GSON1112060895")</f>
        <v>#NAME?</v>
      </c>
      <c r="Q891" s="4" t="e">
        <f ca="1">[1]!BexGetData("DP_1","00O2TNJGODT0G5Z4TTKYMM5MT","GSON1112060895")</f>
        <v>#NAME?</v>
      </c>
      <c r="R891" s="4" t="e">
        <f ca="1">[1]!BexGetData("DP_1","00O2TNJGODT0G5Z4TTKYMMBYD","GSON1112060895")</f>
        <v>#NAME?</v>
      </c>
      <c r="S891" s="4" t="e">
        <f ca="1">[1]!BexGetData("DP_1","00O2TNJGODT0G5Z4TTKYMMI9X","GSON1112060895")</f>
        <v>#NAME?</v>
      </c>
      <c r="T891" s="4" t="e">
        <f ca="1">[1]!BexGetData("DP_1","00O2TNJGODT0G5Z4TTKYMMOLH","GSON1112060895")</f>
        <v>#NAME?</v>
      </c>
      <c r="U891" s="4" t="e">
        <f ca="1">[1]!BexGetData("DP_1","00O2TNJGODT0G5Z4TTKYMMUX1","GSON1112060895")</f>
        <v>#NAME?</v>
      </c>
      <c r="V891" s="4" t="e">
        <f ca="1">[1]!BexGetData("DP_1","00O2TNJGODT0G5Z4TTKYMN18L","GSON1112060895")</f>
        <v>#NAME?</v>
      </c>
      <c r="W891" s="4" t="e">
        <f ca="1">[1]!BexGetData("DP_1","00O2TNJGODT0G5Z4TTKYMN7K5","GSON1112060895")</f>
        <v>#NAME?</v>
      </c>
    </row>
    <row r="892" spans="1:23" x14ac:dyDescent="0.2">
      <c r="A892" s="16" t="s">
        <v>3105</v>
      </c>
      <c r="B892" s="7" t="s">
        <v>3106</v>
      </c>
      <c r="C892" s="3" t="e">
        <f ca="1">[1]!BexGetData("DP_1","003N8EMH8GTFRCSWKMPXRR8GU","GSON1112060900")</f>
        <v>#NAME?</v>
      </c>
      <c r="D892" s="3" t="e">
        <f ca="1">[1]!BexGetData("DP_1","003N8EMH8GTFRCSWKMPXRRESE","GSON1112060900")</f>
        <v>#NAME?</v>
      </c>
      <c r="E892" s="3" t="e">
        <f ca="1">[1]!BexGetData("DP_1","003N8EMH8GTFRCSWKMPXRRL3Y","GSON1112060900")</f>
        <v>#NAME?</v>
      </c>
      <c r="F892" s="4" t="e">
        <f ca="1">[1]!BexGetData("DP_1","003N8EMH8GTFRCSWKMPXRRRFI","GSON1112060900")</f>
        <v>#NAME?</v>
      </c>
      <c r="G892" s="4" t="e">
        <f ca="1">[1]!BexGetData("DP_1","003N8EMH8GTFRCSWKMPXRRXR2","GSON1112060900")</f>
        <v>#NAME?</v>
      </c>
      <c r="H892" s="4" t="e">
        <f ca="1">[1]!BexGetData("DP_1","003N8EMH8GTFRCSWKMPXRS42M","GSON1112060900")</f>
        <v>#NAME?</v>
      </c>
      <c r="I892" s="4" t="e">
        <f ca="1">[1]!BexGetData("DP_1","003N8EMH8GTFRCSWKMPXRSAE6","GSON1112060900")</f>
        <v>#NAME?</v>
      </c>
      <c r="J892" s="4" t="e">
        <f ca="1">[1]!BexGetData("DP_1","003N8EMH8GTFRCSWKMPXRSGPQ","GSON1112060900")</f>
        <v>#NAME?</v>
      </c>
      <c r="K892" s="3" t="e">
        <f ca="1">[1]!BexGetData("DP_1","003N8EMH8GTFRIVNUPY288VJH","GSON1112060900")</f>
        <v>#NAME?</v>
      </c>
      <c r="L892" s="3" t="e">
        <f ca="1">[1]!BexGetData("DP_1","003N8EMH8GTFRIVNUPY2891V1","GSON1112060900")</f>
        <v>#NAME?</v>
      </c>
      <c r="M892" s="8" t="e">
        <f ca="1">[1]!BexGetData("DP_1","003N8EMH8GTFRIVOG7KG9IQXA","GSON1112060900")</f>
        <v>#NAME?</v>
      </c>
      <c r="N892" s="3" t="e">
        <f ca="1">[1]!BexGetData("DP_1","003N8EMH8GTFRIVOG7KG9IX8U","GSON1112060900")</f>
        <v>#NAME?</v>
      </c>
      <c r="O892" s="8" t="e">
        <f ca="1">[1]!BexGetData("DP_1","003N8EMH8GTFRIVOG7KG9J3KE","GSON1112060900")</f>
        <v>#NAME?</v>
      </c>
      <c r="P892" s="3" t="e">
        <f ca="1">[1]!BexGetData("DP_1","003N8EMH8GTFRIVOG7KG9J9VY","GSON1112060900")</f>
        <v>#NAME?</v>
      </c>
      <c r="Q892" s="4" t="e">
        <f ca="1">[1]!BexGetData("DP_1","00O2TNJGODT0G5Z4TTKYMM5MT","GSON1112060900")</f>
        <v>#NAME?</v>
      </c>
      <c r="R892" s="4" t="e">
        <f ca="1">[1]!BexGetData("DP_1","00O2TNJGODT0G5Z4TTKYMMBYD","GSON1112060900")</f>
        <v>#NAME?</v>
      </c>
      <c r="S892" s="4" t="e">
        <f ca="1">[1]!BexGetData("DP_1","00O2TNJGODT0G5Z4TTKYMMI9X","GSON1112060900")</f>
        <v>#NAME?</v>
      </c>
      <c r="T892" s="4" t="e">
        <f ca="1">[1]!BexGetData("DP_1","00O2TNJGODT0G5Z4TTKYMMOLH","GSON1112060900")</f>
        <v>#NAME?</v>
      </c>
      <c r="U892" s="4" t="e">
        <f ca="1">[1]!BexGetData("DP_1","00O2TNJGODT0G5Z4TTKYMMUX1","GSON1112060900")</f>
        <v>#NAME?</v>
      </c>
      <c r="V892" s="4" t="e">
        <f ca="1">[1]!BexGetData("DP_1","00O2TNJGODT0G5Z4TTKYMN18L","GSON1112060900")</f>
        <v>#NAME?</v>
      </c>
      <c r="W892" s="4" t="e">
        <f ca="1">[1]!BexGetData("DP_1","00O2TNJGODT0G5Z4TTKYMN7K5","GSON1112060900")</f>
        <v>#NAME?</v>
      </c>
    </row>
    <row r="893" spans="1:23" x14ac:dyDescent="0.2">
      <c r="A893" s="16" t="s">
        <v>3107</v>
      </c>
      <c r="B893" s="7" t="s">
        <v>3108</v>
      </c>
      <c r="C893" s="3" t="e">
        <f ca="1">[1]!BexGetData("DP_1","003N8EMH8GTFRCSWKMPXRR8GU","GSON1112060901")</f>
        <v>#NAME?</v>
      </c>
      <c r="D893" s="3" t="e">
        <f ca="1">[1]!BexGetData("DP_1","003N8EMH8GTFRCSWKMPXRRESE","GSON1112060901")</f>
        <v>#NAME?</v>
      </c>
      <c r="E893" s="8" t="e">
        <f ca="1">[1]!BexGetData("DP_1","003N8EMH8GTFRCSWKMPXRRL3Y","GSON1112060901")</f>
        <v>#NAME?</v>
      </c>
      <c r="F893" s="4" t="e">
        <f ca="1">[1]!BexGetData("DP_1","003N8EMH8GTFRCSWKMPXRRRFI","GSON1112060901")</f>
        <v>#NAME?</v>
      </c>
      <c r="G893" s="4" t="e">
        <f ca="1">[1]!BexGetData("DP_1","003N8EMH8GTFRCSWKMPXRRXR2","GSON1112060901")</f>
        <v>#NAME?</v>
      </c>
      <c r="H893" s="4" t="e">
        <f ca="1">[1]!BexGetData("DP_1","003N8EMH8GTFRCSWKMPXRS42M","GSON1112060901")</f>
        <v>#NAME?</v>
      </c>
      <c r="I893" s="4" t="e">
        <f ca="1">[1]!BexGetData("DP_1","003N8EMH8GTFRCSWKMPXRSAE6","GSON1112060901")</f>
        <v>#NAME?</v>
      </c>
      <c r="J893" s="4" t="e">
        <f ca="1">[1]!BexGetData("DP_1","003N8EMH8GTFRCSWKMPXRSGPQ","GSON1112060901")</f>
        <v>#NAME?</v>
      </c>
      <c r="K893" s="8" t="e">
        <f ca="1">[1]!BexGetData("DP_1","003N8EMH8GTFRIVNUPY288VJH","GSON1112060901")</f>
        <v>#NAME?</v>
      </c>
      <c r="L893" s="8" t="e">
        <f ca="1">[1]!BexGetData("DP_1","003N8EMH8GTFRIVNUPY2891V1","GSON1112060901")</f>
        <v>#NAME?</v>
      </c>
      <c r="M893" s="8" t="e">
        <f ca="1">[1]!BexGetData("DP_1","003N8EMH8GTFRIVOG7KG9IQXA","GSON1112060901")</f>
        <v>#NAME?</v>
      </c>
      <c r="N893" s="8" t="e">
        <f ca="1">[1]!BexGetData("DP_1","003N8EMH8GTFRIVOG7KG9IX8U","GSON1112060901")</f>
        <v>#NAME?</v>
      </c>
      <c r="O893" s="8" t="e">
        <f ca="1">[1]!BexGetData("DP_1","003N8EMH8GTFRIVOG7KG9J3KE","GSON1112060901")</f>
        <v>#NAME?</v>
      </c>
      <c r="P893" s="8" t="e">
        <f ca="1">[1]!BexGetData("DP_1","003N8EMH8GTFRIVOG7KG9J9VY","GSON1112060901")</f>
        <v>#NAME?</v>
      </c>
      <c r="Q893" s="4" t="e">
        <f ca="1">[1]!BexGetData("DP_1","00O2TNJGODT0G5Z4TTKYMM5MT","GSON1112060901")</f>
        <v>#NAME?</v>
      </c>
      <c r="R893" s="4" t="e">
        <f ca="1">[1]!BexGetData("DP_1","00O2TNJGODT0G5Z4TTKYMMBYD","GSON1112060901")</f>
        <v>#NAME?</v>
      </c>
      <c r="S893" s="4" t="e">
        <f ca="1">[1]!BexGetData("DP_1","00O2TNJGODT0G5Z4TTKYMMI9X","GSON1112060901")</f>
        <v>#NAME?</v>
      </c>
      <c r="T893" s="4" t="e">
        <f ca="1">[1]!BexGetData("DP_1","00O2TNJGODT0G5Z4TTKYMMOLH","GSON1112060901")</f>
        <v>#NAME?</v>
      </c>
      <c r="U893" s="4" t="e">
        <f ca="1">[1]!BexGetData("DP_1","00O2TNJGODT0G5Z4TTKYMMUX1","GSON1112060901")</f>
        <v>#NAME?</v>
      </c>
      <c r="V893" s="4" t="e">
        <f ca="1">[1]!BexGetData("DP_1","00O2TNJGODT0G5Z4TTKYMN18L","GSON1112060901")</f>
        <v>#NAME?</v>
      </c>
      <c r="W893" s="4" t="e">
        <f ca="1">[1]!BexGetData("DP_1","00O2TNJGODT0G5Z4TTKYMN7K5","GSON1112060901")</f>
        <v>#NAME?</v>
      </c>
    </row>
    <row r="894" spans="1:23" x14ac:dyDescent="0.2">
      <c r="A894" s="16" t="s">
        <v>3109</v>
      </c>
      <c r="B894" s="7" t="s">
        <v>3110</v>
      </c>
      <c r="C894" s="3" t="e">
        <f ca="1">[1]!BexGetData("DP_1","003N8EMH8GTFRCSWKMPXRR8GU","GSON1112060903")</f>
        <v>#NAME?</v>
      </c>
      <c r="D894" s="3" t="e">
        <f ca="1">[1]!BexGetData("DP_1","003N8EMH8GTFRCSWKMPXRRESE","GSON1112060903")</f>
        <v>#NAME?</v>
      </c>
      <c r="E894" s="8" t="e">
        <f ca="1">[1]!BexGetData("DP_1","003N8EMH8GTFRCSWKMPXRRL3Y","GSON1112060903")</f>
        <v>#NAME?</v>
      </c>
      <c r="F894" s="4" t="e">
        <f ca="1">[1]!BexGetData("DP_1","003N8EMH8GTFRCSWKMPXRRRFI","GSON1112060903")</f>
        <v>#NAME?</v>
      </c>
      <c r="G894" s="4" t="e">
        <f ca="1">[1]!BexGetData("DP_1","003N8EMH8GTFRCSWKMPXRRXR2","GSON1112060903")</f>
        <v>#NAME?</v>
      </c>
      <c r="H894" s="4" t="e">
        <f ca="1">[1]!BexGetData("DP_1","003N8EMH8GTFRCSWKMPXRS42M","GSON1112060903")</f>
        <v>#NAME?</v>
      </c>
      <c r="I894" s="4" t="e">
        <f ca="1">[1]!BexGetData("DP_1","003N8EMH8GTFRCSWKMPXRSAE6","GSON1112060903")</f>
        <v>#NAME?</v>
      </c>
      <c r="J894" s="4" t="e">
        <f ca="1">[1]!BexGetData("DP_1","003N8EMH8GTFRCSWKMPXRSGPQ","GSON1112060903")</f>
        <v>#NAME?</v>
      </c>
      <c r="K894" s="8" t="e">
        <f ca="1">[1]!BexGetData("DP_1","003N8EMH8GTFRIVNUPY288VJH","GSON1112060903")</f>
        <v>#NAME?</v>
      </c>
      <c r="L894" s="8" t="e">
        <f ca="1">[1]!BexGetData("DP_1","003N8EMH8GTFRIVNUPY2891V1","GSON1112060903")</f>
        <v>#NAME?</v>
      </c>
      <c r="M894" s="8" t="e">
        <f ca="1">[1]!BexGetData("DP_1","003N8EMH8GTFRIVOG7KG9IQXA","GSON1112060903")</f>
        <v>#NAME?</v>
      </c>
      <c r="N894" s="8" t="e">
        <f ca="1">[1]!BexGetData("DP_1","003N8EMH8GTFRIVOG7KG9IX8U","GSON1112060903")</f>
        <v>#NAME?</v>
      </c>
      <c r="O894" s="8" t="e">
        <f ca="1">[1]!BexGetData("DP_1","003N8EMH8GTFRIVOG7KG9J3KE","GSON1112060903")</f>
        <v>#NAME?</v>
      </c>
      <c r="P894" s="8" t="e">
        <f ca="1">[1]!BexGetData("DP_1","003N8EMH8GTFRIVOG7KG9J9VY","GSON1112060903")</f>
        <v>#NAME?</v>
      </c>
      <c r="Q894" s="4" t="e">
        <f ca="1">[1]!BexGetData("DP_1","00O2TNJGODT0G5Z4TTKYMM5MT","GSON1112060903")</f>
        <v>#NAME?</v>
      </c>
      <c r="R894" s="4" t="e">
        <f ca="1">[1]!BexGetData("DP_1","00O2TNJGODT0G5Z4TTKYMMBYD","GSON1112060903")</f>
        <v>#NAME?</v>
      </c>
      <c r="S894" s="4" t="e">
        <f ca="1">[1]!BexGetData("DP_1","00O2TNJGODT0G5Z4TTKYMMI9X","GSON1112060903")</f>
        <v>#NAME?</v>
      </c>
      <c r="T894" s="4" t="e">
        <f ca="1">[1]!BexGetData("DP_1","00O2TNJGODT0G5Z4TTKYMMOLH","GSON1112060903")</f>
        <v>#NAME?</v>
      </c>
      <c r="U894" s="4" t="e">
        <f ca="1">[1]!BexGetData("DP_1","00O2TNJGODT0G5Z4TTKYMMUX1","GSON1112060903")</f>
        <v>#NAME?</v>
      </c>
      <c r="V894" s="4" t="e">
        <f ca="1">[1]!BexGetData("DP_1","00O2TNJGODT0G5Z4TTKYMN18L","GSON1112060903")</f>
        <v>#NAME?</v>
      </c>
      <c r="W894" s="4" t="e">
        <f ca="1">[1]!BexGetData("DP_1","00O2TNJGODT0G5Z4TTKYMN7K5","GSON1112060903")</f>
        <v>#NAME?</v>
      </c>
    </row>
    <row r="895" spans="1:23" x14ac:dyDescent="0.2">
      <c r="A895" s="16" t="s">
        <v>3111</v>
      </c>
      <c r="B895" s="7" t="s">
        <v>3112</v>
      </c>
      <c r="C895" s="3" t="e">
        <f ca="1">[1]!BexGetData("DP_1","003N8EMH8GTFRCSWKMPXRR8GU","GSON1112060904")</f>
        <v>#NAME?</v>
      </c>
      <c r="D895" s="3" t="e">
        <f ca="1">[1]!BexGetData("DP_1","003N8EMH8GTFRCSWKMPXRRESE","GSON1112060904")</f>
        <v>#NAME?</v>
      </c>
      <c r="E895" s="8" t="e">
        <f ca="1">[1]!BexGetData("DP_1","003N8EMH8GTFRCSWKMPXRRL3Y","GSON1112060904")</f>
        <v>#NAME?</v>
      </c>
      <c r="F895" s="4" t="e">
        <f ca="1">[1]!BexGetData("DP_1","003N8EMH8GTFRCSWKMPXRRRFI","GSON1112060904")</f>
        <v>#NAME?</v>
      </c>
      <c r="G895" s="4" t="e">
        <f ca="1">[1]!BexGetData("DP_1","003N8EMH8GTFRCSWKMPXRRXR2","GSON1112060904")</f>
        <v>#NAME?</v>
      </c>
      <c r="H895" s="4" t="e">
        <f ca="1">[1]!BexGetData("DP_1","003N8EMH8GTFRCSWKMPXRS42M","GSON1112060904")</f>
        <v>#NAME?</v>
      </c>
      <c r="I895" s="4" t="e">
        <f ca="1">[1]!BexGetData("DP_1","003N8EMH8GTFRCSWKMPXRSAE6","GSON1112060904")</f>
        <v>#NAME?</v>
      </c>
      <c r="J895" s="4" t="e">
        <f ca="1">[1]!BexGetData("DP_1","003N8EMH8GTFRCSWKMPXRSGPQ","GSON1112060904")</f>
        <v>#NAME?</v>
      </c>
      <c r="K895" s="8" t="e">
        <f ca="1">[1]!BexGetData("DP_1","003N8EMH8GTFRIVNUPY288VJH","GSON1112060904")</f>
        <v>#NAME?</v>
      </c>
      <c r="L895" s="8" t="e">
        <f ca="1">[1]!BexGetData("DP_1","003N8EMH8GTFRIVNUPY2891V1","GSON1112060904")</f>
        <v>#NAME?</v>
      </c>
      <c r="M895" s="8" t="e">
        <f ca="1">[1]!BexGetData("DP_1","003N8EMH8GTFRIVOG7KG9IQXA","GSON1112060904")</f>
        <v>#NAME?</v>
      </c>
      <c r="N895" s="8" t="e">
        <f ca="1">[1]!BexGetData("DP_1","003N8EMH8GTFRIVOG7KG9IX8U","GSON1112060904")</f>
        <v>#NAME?</v>
      </c>
      <c r="O895" s="8" t="e">
        <f ca="1">[1]!BexGetData("DP_1","003N8EMH8GTFRIVOG7KG9J3KE","GSON1112060904")</f>
        <v>#NAME?</v>
      </c>
      <c r="P895" s="8" t="e">
        <f ca="1">[1]!BexGetData("DP_1","003N8EMH8GTFRIVOG7KG9J9VY","GSON1112060904")</f>
        <v>#NAME?</v>
      </c>
      <c r="Q895" s="4" t="e">
        <f ca="1">[1]!BexGetData("DP_1","00O2TNJGODT0G5Z4TTKYMM5MT","GSON1112060904")</f>
        <v>#NAME?</v>
      </c>
      <c r="R895" s="4" t="e">
        <f ca="1">[1]!BexGetData("DP_1","00O2TNJGODT0G5Z4TTKYMMBYD","GSON1112060904")</f>
        <v>#NAME?</v>
      </c>
      <c r="S895" s="4" t="e">
        <f ca="1">[1]!BexGetData("DP_1","00O2TNJGODT0G5Z4TTKYMMI9X","GSON1112060904")</f>
        <v>#NAME?</v>
      </c>
      <c r="T895" s="4" t="e">
        <f ca="1">[1]!BexGetData("DP_1","00O2TNJGODT0G5Z4TTKYMMOLH","GSON1112060904")</f>
        <v>#NAME?</v>
      </c>
      <c r="U895" s="4" t="e">
        <f ca="1">[1]!BexGetData("DP_1","00O2TNJGODT0G5Z4TTKYMMUX1","GSON1112060904")</f>
        <v>#NAME?</v>
      </c>
      <c r="V895" s="4" t="e">
        <f ca="1">[1]!BexGetData("DP_1","00O2TNJGODT0G5Z4TTKYMN18L","GSON1112060904")</f>
        <v>#NAME?</v>
      </c>
      <c r="W895" s="4" t="e">
        <f ca="1">[1]!BexGetData("DP_1","00O2TNJGODT0G5Z4TTKYMN7K5","GSON1112060904")</f>
        <v>#NAME?</v>
      </c>
    </row>
    <row r="896" spans="1:23" x14ac:dyDescent="0.2">
      <c r="A896" s="16" t="s">
        <v>3113</v>
      </c>
      <c r="B896" s="7" t="s">
        <v>3114</v>
      </c>
      <c r="C896" s="3" t="e">
        <f ca="1">[1]!BexGetData("DP_1","003N8EMH8GTFRCSWKMPXRR8GU","GSON1112060905")</f>
        <v>#NAME?</v>
      </c>
      <c r="D896" s="3" t="e">
        <f ca="1">[1]!BexGetData("DP_1","003N8EMH8GTFRCSWKMPXRRESE","GSON1112060905")</f>
        <v>#NAME?</v>
      </c>
      <c r="E896" s="8" t="e">
        <f ca="1">[1]!BexGetData("DP_1","003N8EMH8GTFRCSWKMPXRRL3Y","GSON1112060905")</f>
        <v>#NAME?</v>
      </c>
      <c r="F896" s="4" t="e">
        <f ca="1">[1]!BexGetData("DP_1","003N8EMH8GTFRCSWKMPXRRRFI","GSON1112060905")</f>
        <v>#NAME?</v>
      </c>
      <c r="G896" s="4" t="e">
        <f ca="1">[1]!BexGetData("DP_1","003N8EMH8GTFRCSWKMPXRRXR2","GSON1112060905")</f>
        <v>#NAME?</v>
      </c>
      <c r="H896" s="4" t="e">
        <f ca="1">[1]!BexGetData("DP_1","003N8EMH8GTFRCSWKMPXRS42M","GSON1112060905")</f>
        <v>#NAME?</v>
      </c>
      <c r="I896" s="4" t="e">
        <f ca="1">[1]!BexGetData("DP_1","003N8EMH8GTFRCSWKMPXRSAE6","GSON1112060905")</f>
        <v>#NAME?</v>
      </c>
      <c r="J896" s="4" t="e">
        <f ca="1">[1]!BexGetData("DP_1","003N8EMH8GTFRCSWKMPXRSGPQ","GSON1112060905")</f>
        <v>#NAME?</v>
      </c>
      <c r="K896" s="8" t="e">
        <f ca="1">[1]!BexGetData("DP_1","003N8EMH8GTFRIVNUPY288VJH","GSON1112060905")</f>
        <v>#NAME?</v>
      </c>
      <c r="L896" s="8" t="e">
        <f ca="1">[1]!BexGetData("DP_1","003N8EMH8GTFRIVNUPY2891V1","GSON1112060905")</f>
        <v>#NAME?</v>
      </c>
      <c r="M896" s="8" t="e">
        <f ca="1">[1]!BexGetData("DP_1","003N8EMH8GTFRIVOG7KG9IQXA","GSON1112060905")</f>
        <v>#NAME?</v>
      </c>
      <c r="N896" s="8" t="e">
        <f ca="1">[1]!BexGetData("DP_1","003N8EMH8GTFRIVOG7KG9IX8U","GSON1112060905")</f>
        <v>#NAME?</v>
      </c>
      <c r="O896" s="8" t="e">
        <f ca="1">[1]!BexGetData("DP_1","003N8EMH8GTFRIVOG7KG9J3KE","GSON1112060905")</f>
        <v>#NAME?</v>
      </c>
      <c r="P896" s="8" t="e">
        <f ca="1">[1]!BexGetData("DP_1","003N8EMH8GTFRIVOG7KG9J9VY","GSON1112060905")</f>
        <v>#NAME?</v>
      </c>
      <c r="Q896" s="4" t="e">
        <f ca="1">[1]!BexGetData("DP_1","00O2TNJGODT0G5Z4TTKYMM5MT","GSON1112060905")</f>
        <v>#NAME?</v>
      </c>
      <c r="R896" s="4" t="e">
        <f ca="1">[1]!BexGetData("DP_1","00O2TNJGODT0G5Z4TTKYMMBYD","GSON1112060905")</f>
        <v>#NAME?</v>
      </c>
      <c r="S896" s="4" t="e">
        <f ca="1">[1]!BexGetData("DP_1","00O2TNJGODT0G5Z4TTKYMMI9X","GSON1112060905")</f>
        <v>#NAME?</v>
      </c>
      <c r="T896" s="4" t="e">
        <f ca="1">[1]!BexGetData("DP_1","00O2TNJGODT0G5Z4TTKYMMOLH","GSON1112060905")</f>
        <v>#NAME?</v>
      </c>
      <c r="U896" s="4" t="e">
        <f ca="1">[1]!BexGetData("DP_1","00O2TNJGODT0G5Z4TTKYMMUX1","GSON1112060905")</f>
        <v>#NAME?</v>
      </c>
      <c r="V896" s="4" t="e">
        <f ca="1">[1]!BexGetData("DP_1","00O2TNJGODT0G5Z4TTKYMN18L","GSON1112060905")</f>
        <v>#NAME?</v>
      </c>
      <c r="W896" s="4" t="e">
        <f ca="1">[1]!BexGetData("DP_1","00O2TNJGODT0G5Z4TTKYMN7K5","GSON1112060905")</f>
        <v>#NAME?</v>
      </c>
    </row>
    <row r="897" spans="1:23" x14ac:dyDescent="0.2">
      <c r="A897" s="16" t="s">
        <v>3115</v>
      </c>
      <c r="B897" s="7" t="s">
        <v>3116</v>
      </c>
      <c r="C897" s="3" t="e">
        <f ca="1">[1]!BexGetData("DP_1","003N8EMH8GTFRCSWKMPXRR8GU","GSON1112060910")</f>
        <v>#NAME?</v>
      </c>
      <c r="D897" s="3" t="e">
        <f ca="1">[1]!BexGetData("DP_1","003N8EMH8GTFRCSWKMPXRRESE","GSON1112060910")</f>
        <v>#NAME?</v>
      </c>
      <c r="E897" s="3" t="e">
        <f ca="1">[1]!BexGetData("DP_1","003N8EMH8GTFRCSWKMPXRRL3Y","GSON1112060910")</f>
        <v>#NAME?</v>
      </c>
      <c r="F897" s="4" t="e">
        <f ca="1">[1]!BexGetData("DP_1","003N8EMH8GTFRCSWKMPXRRRFI","GSON1112060910")</f>
        <v>#NAME?</v>
      </c>
      <c r="G897" s="4" t="e">
        <f ca="1">[1]!BexGetData("DP_1","003N8EMH8GTFRCSWKMPXRRXR2","GSON1112060910")</f>
        <v>#NAME?</v>
      </c>
      <c r="H897" s="4" t="e">
        <f ca="1">[1]!BexGetData("DP_1","003N8EMH8GTFRCSWKMPXRS42M","GSON1112060910")</f>
        <v>#NAME?</v>
      </c>
      <c r="I897" s="4" t="e">
        <f ca="1">[1]!BexGetData("DP_1","003N8EMH8GTFRCSWKMPXRSAE6","GSON1112060910")</f>
        <v>#NAME?</v>
      </c>
      <c r="J897" s="4" t="e">
        <f ca="1">[1]!BexGetData("DP_1","003N8EMH8GTFRCSWKMPXRSGPQ","GSON1112060910")</f>
        <v>#NAME?</v>
      </c>
      <c r="K897" s="3" t="e">
        <f ca="1">[1]!BexGetData("DP_1","003N8EMH8GTFRIVNUPY288VJH","GSON1112060910")</f>
        <v>#NAME?</v>
      </c>
      <c r="L897" s="3" t="e">
        <f ca="1">[1]!BexGetData("DP_1","003N8EMH8GTFRIVNUPY2891V1","GSON1112060910")</f>
        <v>#NAME?</v>
      </c>
      <c r="M897" s="8" t="e">
        <f ca="1">[1]!BexGetData("DP_1","003N8EMH8GTFRIVOG7KG9IQXA","GSON1112060910")</f>
        <v>#NAME?</v>
      </c>
      <c r="N897" s="3" t="e">
        <f ca="1">[1]!BexGetData("DP_1","003N8EMH8GTFRIVOG7KG9IX8U","GSON1112060910")</f>
        <v>#NAME?</v>
      </c>
      <c r="O897" s="8" t="e">
        <f ca="1">[1]!BexGetData("DP_1","003N8EMH8GTFRIVOG7KG9J3KE","GSON1112060910")</f>
        <v>#NAME?</v>
      </c>
      <c r="P897" s="3" t="e">
        <f ca="1">[1]!BexGetData("DP_1","003N8EMH8GTFRIVOG7KG9J9VY","GSON1112060910")</f>
        <v>#NAME?</v>
      </c>
      <c r="Q897" s="4" t="e">
        <f ca="1">[1]!BexGetData("DP_1","00O2TNJGODT0G5Z4TTKYMM5MT","GSON1112060910")</f>
        <v>#NAME?</v>
      </c>
      <c r="R897" s="4" t="e">
        <f ca="1">[1]!BexGetData("DP_1","00O2TNJGODT0G5Z4TTKYMMBYD","GSON1112060910")</f>
        <v>#NAME?</v>
      </c>
      <c r="S897" s="4" t="e">
        <f ca="1">[1]!BexGetData("DP_1","00O2TNJGODT0G5Z4TTKYMMI9X","GSON1112060910")</f>
        <v>#NAME?</v>
      </c>
      <c r="T897" s="4" t="e">
        <f ca="1">[1]!BexGetData("DP_1","00O2TNJGODT0G5Z4TTKYMMOLH","GSON1112060910")</f>
        <v>#NAME?</v>
      </c>
      <c r="U897" s="4" t="e">
        <f ca="1">[1]!BexGetData("DP_1","00O2TNJGODT0G5Z4TTKYMMUX1","GSON1112060910")</f>
        <v>#NAME?</v>
      </c>
      <c r="V897" s="4" t="e">
        <f ca="1">[1]!BexGetData("DP_1","00O2TNJGODT0G5Z4TTKYMN18L","GSON1112060910")</f>
        <v>#NAME?</v>
      </c>
      <c r="W897" s="4" t="e">
        <f ca="1">[1]!BexGetData("DP_1","00O2TNJGODT0G5Z4TTKYMN7K5","GSON1112060910")</f>
        <v>#NAME?</v>
      </c>
    </row>
    <row r="898" spans="1:23" x14ac:dyDescent="0.2">
      <c r="A898" s="16" t="s">
        <v>3117</v>
      </c>
      <c r="B898" s="7" t="s">
        <v>3118</v>
      </c>
      <c r="C898" s="3" t="e">
        <f ca="1">[1]!BexGetData("DP_1","003N8EMH8GTFRCSWKMPXRR8GU","GSON1112060911")</f>
        <v>#NAME?</v>
      </c>
      <c r="D898" s="3" t="e">
        <f ca="1">[1]!BexGetData("DP_1","003N8EMH8GTFRCSWKMPXRRESE","GSON1112060911")</f>
        <v>#NAME?</v>
      </c>
      <c r="E898" s="8" t="e">
        <f ca="1">[1]!BexGetData("DP_1","003N8EMH8GTFRCSWKMPXRRL3Y","GSON1112060911")</f>
        <v>#NAME?</v>
      </c>
      <c r="F898" s="4" t="e">
        <f ca="1">[1]!BexGetData("DP_1","003N8EMH8GTFRCSWKMPXRRRFI","GSON1112060911")</f>
        <v>#NAME?</v>
      </c>
      <c r="G898" s="4" t="e">
        <f ca="1">[1]!BexGetData("DP_1","003N8EMH8GTFRCSWKMPXRRXR2","GSON1112060911")</f>
        <v>#NAME?</v>
      </c>
      <c r="H898" s="4" t="e">
        <f ca="1">[1]!BexGetData("DP_1","003N8EMH8GTFRCSWKMPXRS42M","GSON1112060911")</f>
        <v>#NAME?</v>
      </c>
      <c r="I898" s="4" t="e">
        <f ca="1">[1]!BexGetData("DP_1","003N8EMH8GTFRCSWKMPXRSAE6","GSON1112060911")</f>
        <v>#NAME?</v>
      </c>
      <c r="J898" s="4" t="e">
        <f ca="1">[1]!BexGetData("DP_1","003N8EMH8GTFRCSWKMPXRSGPQ","GSON1112060911")</f>
        <v>#NAME?</v>
      </c>
      <c r="K898" s="8" t="e">
        <f ca="1">[1]!BexGetData("DP_1","003N8EMH8GTFRIVNUPY288VJH","GSON1112060911")</f>
        <v>#NAME?</v>
      </c>
      <c r="L898" s="8" t="e">
        <f ca="1">[1]!BexGetData("DP_1","003N8EMH8GTFRIVNUPY2891V1","GSON1112060911")</f>
        <v>#NAME?</v>
      </c>
      <c r="M898" s="8" t="e">
        <f ca="1">[1]!BexGetData("DP_1","003N8EMH8GTFRIVOG7KG9IQXA","GSON1112060911")</f>
        <v>#NAME?</v>
      </c>
      <c r="N898" s="8" t="e">
        <f ca="1">[1]!BexGetData("DP_1","003N8EMH8GTFRIVOG7KG9IX8U","GSON1112060911")</f>
        <v>#NAME?</v>
      </c>
      <c r="O898" s="8" t="e">
        <f ca="1">[1]!BexGetData("DP_1","003N8EMH8GTFRIVOG7KG9J3KE","GSON1112060911")</f>
        <v>#NAME?</v>
      </c>
      <c r="P898" s="8" t="e">
        <f ca="1">[1]!BexGetData("DP_1","003N8EMH8GTFRIVOG7KG9J9VY","GSON1112060911")</f>
        <v>#NAME?</v>
      </c>
      <c r="Q898" s="4" t="e">
        <f ca="1">[1]!BexGetData("DP_1","00O2TNJGODT0G5Z4TTKYMM5MT","GSON1112060911")</f>
        <v>#NAME?</v>
      </c>
      <c r="R898" s="4" t="e">
        <f ca="1">[1]!BexGetData("DP_1","00O2TNJGODT0G5Z4TTKYMMBYD","GSON1112060911")</f>
        <v>#NAME?</v>
      </c>
      <c r="S898" s="4" t="e">
        <f ca="1">[1]!BexGetData("DP_1","00O2TNJGODT0G5Z4TTKYMMI9X","GSON1112060911")</f>
        <v>#NAME?</v>
      </c>
      <c r="T898" s="4" t="e">
        <f ca="1">[1]!BexGetData("DP_1","00O2TNJGODT0G5Z4TTKYMMOLH","GSON1112060911")</f>
        <v>#NAME?</v>
      </c>
      <c r="U898" s="4" t="e">
        <f ca="1">[1]!BexGetData("DP_1","00O2TNJGODT0G5Z4TTKYMMUX1","GSON1112060911")</f>
        <v>#NAME?</v>
      </c>
      <c r="V898" s="4" t="e">
        <f ca="1">[1]!BexGetData("DP_1","00O2TNJGODT0G5Z4TTKYMN18L","GSON1112060911")</f>
        <v>#NAME?</v>
      </c>
      <c r="W898" s="4" t="e">
        <f ca="1">[1]!BexGetData("DP_1","00O2TNJGODT0G5Z4TTKYMN7K5","GSON1112060911")</f>
        <v>#NAME?</v>
      </c>
    </row>
    <row r="899" spans="1:23" x14ac:dyDescent="0.2">
      <c r="A899" s="16" t="s">
        <v>3119</v>
      </c>
      <c r="B899" s="7" t="s">
        <v>3120</v>
      </c>
      <c r="C899" s="8" t="e">
        <f ca="1">[1]!BexGetData("DP_1","003N8EMH8GTFRCSWKMPXRR8GU","GSON1112060912")</f>
        <v>#NAME?</v>
      </c>
      <c r="D899" s="3" t="e">
        <f ca="1">[1]!BexGetData("DP_1","003N8EMH8GTFRCSWKMPXRRESE","GSON1112060912")</f>
        <v>#NAME?</v>
      </c>
      <c r="E899" s="3" t="e">
        <f ca="1">[1]!BexGetData("DP_1","003N8EMH8GTFRCSWKMPXRRL3Y","GSON1112060912")</f>
        <v>#NAME?</v>
      </c>
      <c r="F899" s="4" t="e">
        <f ca="1">[1]!BexGetData("DP_1","003N8EMH8GTFRCSWKMPXRRRFI","GSON1112060912")</f>
        <v>#NAME?</v>
      </c>
      <c r="G899" s="4" t="e">
        <f ca="1">[1]!BexGetData("DP_1","003N8EMH8GTFRCSWKMPXRRXR2","GSON1112060912")</f>
        <v>#NAME?</v>
      </c>
      <c r="H899" s="4" t="e">
        <f ca="1">[1]!BexGetData("DP_1","003N8EMH8GTFRCSWKMPXRS42M","GSON1112060912")</f>
        <v>#NAME?</v>
      </c>
      <c r="I899" s="4" t="e">
        <f ca="1">[1]!BexGetData("DP_1","003N8EMH8GTFRCSWKMPXRSAE6","GSON1112060912")</f>
        <v>#NAME?</v>
      </c>
      <c r="J899" s="4" t="e">
        <f ca="1">[1]!BexGetData("DP_1","003N8EMH8GTFRCSWKMPXRSGPQ","GSON1112060912")</f>
        <v>#NAME?</v>
      </c>
      <c r="K899" s="3" t="e">
        <f ca="1">[1]!BexGetData("DP_1","003N8EMH8GTFRIVNUPY288VJH","GSON1112060912")</f>
        <v>#NAME?</v>
      </c>
      <c r="L899" s="3" t="e">
        <f ca="1">[1]!BexGetData("DP_1","003N8EMH8GTFRIVNUPY2891V1","GSON1112060912")</f>
        <v>#NAME?</v>
      </c>
      <c r="M899" s="3" t="e">
        <f ca="1">[1]!BexGetData("DP_1","003N8EMH8GTFRIVOG7KG9IQXA","GSON1112060912")</f>
        <v>#NAME?</v>
      </c>
      <c r="N899" s="8" t="e">
        <f ca="1">[1]!BexGetData("DP_1","003N8EMH8GTFRIVOG7KG9IX8U","GSON1112060912")</f>
        <v>#NAME?</v>
      </c>
      <c r="O899" s="3" t="e">
        <f ca="1">[1]!BexGetData("DP_1","003N8EMH8GTFRIVOG7KG9J3KE","GSON1112060912")</f>
        <v>#NAME?</v>
      </c>
      <c r="P899" s="8" t="e">
        <f ca="1">[1]!BexGetData("DP_1","003N8EMH8GTFRIVOG7KG9J9VY","GSON1112060912")</f>
        <v>#NAME?</v>
      </c>
      <c r="Q899" s="4" t="e">
        <f ca="1">[1]!BexGetData("DP_1","00O2TNJGODT0G5Z4TTKYMM5MT","GSON1112060912")</f>
        <v>#NAME?</v>
      </c>
      <c r="R899" s="4" t="e">
        <f ca="1">[1]!BexGetData("DP_1","00O2TNJGODT0G5Z4TTKYMMBYD","GSON1112060912")</f>
        <v>#NAME?</v>
      </c>
      <c r="S899" s="4" t="e">
        <f ca="1">[1]!BexGetData("DP_1","00O2TNJGODT0G5Z4TTKYMMI9X","GSON1112060912")</f>
        <v>#NAME?</v>
      </c>
      <c r="T899" s="4" t="e">
        <f ca="1">[1]!BexGetData("DP_1","00O2TNJGODT0G5Z4TTKYMMOLH","GSON1112060912")</f>
        <v>#NAME?</v>
      </c>
      <c r="U899" s="4" t="e">
        <f ca="1">[1]!BexGetData("DP_1","00O2TNJGODT0G5Z4TTKYMMUX1","GSON1112060912")</f>
        <v>#NAME?</v>
      </c>
      <c r="V899" s="4" t="e">
        <f ca="1">[1]!BexGetData("DP_1","00O2TNJGODT0G5Z4TTKYMN18L","GSON1112060912")</f>
        <v>#NAME?</v>
      </c>
      <c r="W899" s="4" t="e">
        <f ca="1">[1]!BexGetData("DP_1","00O2TNJGODT0G5Z4TTKYMN7K5","GSON1112060912")</f>
        <v>#NAME?</v>
      </c>
    </row>
    <row r="900" spans="1:23" x14ac:dyDescent="0.2">
      <c r="A900" s="16" t="s">
        <v>3121</v>
      </c>
      <c r="B900" s="7" t="s">
        <v>3122</v>
      </c>
      <c r="C900" s="3" t="e">
        <f ca="1">[1]!BexGetData("DP_1","003N8EMH8GTFRCSWKMPXRR8GU","GSON1112060913")</f>
        <v>#NAME?</v>
      </c>
      <c r="D900" s="3" t="e">
        <f ca="1">[1]!BexGetData("DP_1","003N8EMH8GTFRCSWKMPXRRESE","GSON1112060913")</f>
        <v>#NAME?</v>
      </c>
      <c r="E900" s="8" t="e">
        <f ca="1">[1]!BexGetData("DP_1","003N8EMH8GTFRCSWKMPXRRL3Y","GSON1112060913")</f>
        <v>#NAME?</v>
      </c>
      <c r="F900" s="4" t="e">
        <f ca="1">[1]!BexGetData("DP_1","003N8EMH8GTFRCSWKMPXRRRFI","GSON1112060913")</f>
        <v>#NAME?</v>
      </c>
      <c r="G900" s="4" t="e">
        <f ca="1">[1]!BexGetData("DP_1","003N8EMH8GTFRCSWKMPXRRXR2","GSON1112060913")</f>
        <v>#NAME?</v>
      </c>
      <c r="H900" s="4" t="e">
        <f ca="1">[1]!BexGetData("DP_1","003N8EMH8GTFRCSWKMPXRS42M","GSON1112060913")</f>
        <v>#NAME?</v>
      </c>
      <c r="I900" s="4" t="e">
        <f ca="1">[1]!BexGetData("DP_1","003N8EMH8GTFRCSWKMPXRSAE6","GSON1112060913")</f>
        <v>#NAME?</v>
      </c>
      <c r="J900" s="4" t="e">
        <f ca="1">[1]!BexGetData("DP_1","003N8EMH8GTFRCSWKMPXRSGPQ","GSON1112060913")</f>
        <v>#NAME?</v>
      </c>
      <c r="K900" s="8" t="e">
        <f ca="1">[1]!BexGetData("DP_1","003N8EMH8GTFRIVNUPY288VJH","GSON1112060913")</f>
        <v>#NAME?</v>
      </c>
      <c r="L900" s="8" t="e">
        <f ca="1">[1]!BexGetData("DP_1","003N8EMH8GTFRIVNUPY2891V1","GSON1112060913")</f>
        <v>#NAME?</v>
      </c>
      <c r="M900" s="8" t="e">
        <f ca="1">[1]!BexGetData("DP_1","003N8EMH8GTFRIVOG7KG9IQXA","GSON1112060913")</f>
        <v>#NAME?</v>
      </c>
      <c r="N900" s="8" t="e">
        <f ca="1">[1]!BexGetData("DP_1","003N8EMH8GTFRIVOG7KG9IX8U","GSON1112060913")</f>
        <v>#NAME?</v>
      </c>
      <c r="O900" s="8" t="e">
        <f ca="1">[1]!BexGetData("DP_1","003N8EMH8GTFRIVOG7KG9J3KE","GSON1112060913")</f>
        <v>#NAME?</v>
      </c>
      <c r="P900" s="8" t="e">
        <f ca="1">[1]!BexGetData("DP_1","003N8EMH8GTFRIVOG7KG9J9VY","GSON1112060913")</f>
        <v>#NAME?</v>
      </c>
      <c r="Q900" s="4" t="e">
        <f ca="1">[1]!BexGetData("DP_1","00O2TNJGODT0G5Z4TTKYMM5MT","GSON1112060913")</f>
        <v>#NAME?</v>
      </c>
      <c r="R900" s="4" t="e">
        <f ca="1">[1]!BexGetData("DP_1","00O2TNJGODT0G5Z4TTKYMMBYD","GSON1112060913")</f>
        <v>#NAME?</v>
      </c>
      <c r="S900" s="4" t="e">
        <f ca="1">[1]!BexGetData("DP_1","00O2TNJGODT0G5Z4TTKYMMI9X","GSON1112060913")</f>
        <v>#NAME?</v>
      </c>
      <c r="T900" s="4" t="e">
        <f ca="1">[1]!BexGetData("DP_1","00O2TNJGODT0G5Z4TTKYMMOLH","GSON1112060913")</f>
        <v>#NAME?</v>
      </c>
      <c r="U900" s="4" t="e">
        <f ca="1">[1]!BexGetData("DP_1","00O2TNJGODT0G5Z4TTKYMMUX1","GSON1112060913")</f>
        <v>#NAME?</v>
      </c>
      <c r="V900" s="4" t="e">
        <f ca="1">[1]!BexGetData("DP_1","00O2TNJGODT0G5Z4TTKYMN18L","GSON1112060913")</f>
        <v>#NAME?</v>
      </c>
      <c r="W900" s="4" t="e">
        <f ca="1">[1]!BexGetData("DP_1","00O2TNJGODT0G5Z4TTKYMN7K5","GSON1112060913")</f>
        <v>#NAME?</v>
      </c>
    </row>
    <row r="901" spans="1:23" x14ac:dyDescent="0.2">
      <c r="A901" s="16" t="s">
        <v>3123</v>
      </c>
      <c r="B901" s="7" t="s">
        <v>3124</v>
      </c>
      <c r="C901" s="3" t="e">
        <f ca="1">[1]!BexGetData("DP_1","003N8EMH8GTFRCSWKMPXRR8GU","GSON1112060914")</f>
        <v>#NAME?</v>
      </c>
      <c r="D901" s="3" t="e">
        <f ca="1">[1]!BexGetData("DP_1","003N8EMH8GTFRCSWKMPXRRESE","GSON1112060914")</f>
        <v>#NAME?</v>
      </c>
      <c r="E901" s="8" t="e">
        <f ca="1">[1]!BexGetData("DP_1","003N8EMH8GTFRCSWKMPXRRL3Y","GSON1112060914")</f>
        <v>#NAME?</v>
      </c>
      <c r="F901" s="4" t="e">
        <f ca="1">[1]!BexGetData("DP_1","003N8EMH8GTFRCSWKMPXRRRFI","GSON1112060914")</f>
        <v>#NAME?</v>
      </c>
      <c r="G901" s="4" t="e">
        <f ca="1">[1]!BexGetData("DP_1","003N8EMH8GTFRCSWKMPXRRXR2","GSON1112060914")</f>
        <v>#NAME?</v>
      </c>
      <c r="H901" s="4" t="e">
        <f ca="1">[1]!BexGetData("DP_1","003N8EMH8GTFRCSWKMPXRS42M","GSON1112060914")</f>
        <v>#NAME?</v>
      </c>
      <c r="I901" s="4" t="e">
        <f ca="1">[1]!BexGetData("DP_1","003N8EMH8GTFRCSWKMPXRSAE6","GSON1112060914")</f>
        <v>#NAME?</v>
      </c>
      <c r="J901" s="4" t="e">
        <f ca="1">[1]!BexGetData("DP_1","003N8EMH8GTFRCSWKMPXRSGPQ","GSON1112060914")</f>
        <v>#NAME?</v>
      </c>
      <c r="K901" s="8" t="e">
        <f ca="1">[1]!BexGetData("DP_1","003N8EMH8GTFRIVNUPY288VJH","GSON1112060914")</f>
        <v>#NAME?</v>
      </c>
      <c r="L901" s="8" t="e">
        <f ca="1">[1]!BexGetData("DP_1","003N8EMH8GTFRIVNUPY2891V1","GSON1112060914")</f>
        <v>#NAME?</v>
      </c>
      <c r="M901" s="8" t="e">
        <f ca="1">[1]!BexGetData("DP_1","003N8EMH8GTFRIVOG7KG9IQXA","GSON1112060914")</f>
        <v>#NAME?</v>
      </c>
      <c r="N901" s="8" t="e">
        <f ca="1">[1]!BexGetData("DP_1","003N8EMH8GTFRIVOG7KG9IX8U","GSON1112060914")</f>
        <v>#NAME?</v>
      </c>
      <c r="O901" s="8" t="e">
        <f ca="1">[1]!BexGetData("DP_1","003N8EMH8GTFRIVOG7KG9J3KE","GSON1112060914")</f>
        <v>#NAME?</v>
      </c>
      <c r="P901" s="8" t="e">
        <f ca="1">[1]!BexGetData("DP_1","003N8EMH8GTFRIVOG7KG9J9VY","GSON1112060914")</f>
        <v>#NAME?</v>
      </c>
      <c r="Q901" s="4" t="e">
        <f ca="1">[1]!BexGetData("DP_1","00O2TNJGODT0G5Z4TTKYMM5MT","GSON1112060914")</f>
        <v>#NAME?</v>
      </c>
      <c r="R901" s="4" t="e">
        <f ca="1">[1]!BexGetData("DP_1","00O2TNJGODT0G5Z4TTKYMMBYD","GSON1112060914")</f>
        <v>#NAME?</v>
      </c>
      <c r="S901" s="4" t="e">
        <f ca="1">[1]!BexGetData("DP_1","00O2TNJGODT0G5Z4TTKYMMI9X","GSON1112060914")</f>
        <v>#NAME?</v>
      </c>
      <c r="T901" s="4" t="e">
        <f ca="1">[1]!BexGetData("DP_1","00O2TNJGODT0G5Z4TTKYMMOLH","GSON1112060914")</f>
        <v>#NAME?</v>
      </c>
      <c r="U901" s="4" t="e">
        <f ca="1">[1]!BexGetData("DP_1","00O2TNJGODT0G5Z4TTKYMMUX1","GSON1112060914")</f>
        <v>#NAME?</v>
      </c>
      <c r="V901" s="4" t="e">
        <f ca="1">[1]!BexGetData("DP_1","00O2TNJGODT0G5Z4TTKYMN18L","GSON1112060914")</f>
        <v>#NAME?</v>
      </c>
      <c r="W901" s="4" t="e">
        <f ca="1">[1]!BexGetData("DP_1","00O2TNJGODT0G5Z4TTKYMN7K5","GSON1112060914")</f>
        <v>#NAME?</v>
      </c>
    </row>
    <row r="902" spans="1:23" x14ac:dyDescent="0.2">
      <c r="A902" s="16" t="s">
        <v>3125</v>
      </c>
      <c r="B902" s="7" t="s">
        <v>3126</v>
      </c>
      <c r="C902" s="3" t="e">
        <f ca="1">[1]!BexGetData("DP_1","003N8EMH8GTFRCSWKMPXRR8GU","GSON1112060915")</f>
        <v>#NAME?</v>
      </c>
      <c r="D902" s="3" t="e">
        <f ca="1">[1]!BexGetData("DP_1","003N8EMH8GTFRCSWKMPXRRESE","GSON1112060915")</f>
        <v>#NAME?</v>
      </c>
      <c r="E902" s="8" t="e">
        <f ca="1">[1]!BexGetData("DP_1","003N8EMH8GTFRCSWKMPXRRL3Y","GSON1112060915")</f>
        <v>#NAME?</v>
      </c>
      <c r="F902" s="4" t="e">
        <f ca="1">[1]!BexGetData("DP_1","003N8EMH8GTFRCSWKMPXRRRFI","GSON1112060915")</f>
        <v>#NAME?</v>
      </c>
      <c r="G902" s="4" t="e">
        <f ca="1">[1]!BexGetData("DP_1","003N8EMH8GTFRCSWKMPXRRXR2","GSON1112060915")</f>
        <v>#NAME?</v>
      </c>
      <c r="H902" s="4" t="e">
        <f ca="1">[1]!BexGetData("DP_1","003N8EMH8GTFRCSWKMPXRS42M","GSON1112060915")</f>
        <v>#NAME?</v>
      </c>
      <c r="I902" s="4" t="e">
        <f ca="1">[1]!BexGetData("DP_1","003N8EMH8GTFRCSWKMPXRSAE6","GSON1112060915")</f>
        <v>#NAME?</v>
      </c>
      <c r="J902" s="4" t="e">
        <f ca="1">[1]!BexGetData("DP_1","003N8EMH8GTFRCSWKMPXRSGPQ","GSON1112060915")</f>
        <v>#NAME?</v>
      </c>
      <c r="K902" s="8" t="e">
        <f ca="1">[1]!BexGetData("DP_1","003N8EMH8GTFRIVNUPY288VJH","GSON1112060915")</f>
        <v>#NAME?</v>
      </c>
      <c r="L902" s="8" t="e">
        <f ca="1">[1]!BexGetData("DP_1","003N8EMH8GTFRIVNUPY2891V1","GSON1112060915")</f>
        <v>#NAME?</v>
      </c>
      <c r="M902" s="8" t="e">
        <f ca="1">[1]!BexGetData("DP_1","003N8EMH8GTFRIVOG7KG9IQXA","GSON1112060915")</f>
        <v>#NAME?</v>
      </c>
      <c r="N902" s="8" t="e">
        <f ca="1">[1]!BexGetData("DP_1","003N8EMH8GTFRIVOG7KG9IX8U","GSON1112060915")</f>
        <v>#NAME?</v>
      </c>
      <c r="O902" s="8" t="e">
        <f ca="1">[1]!BexGetData("DP_1","003N8EMH8GTFRIVOG7KG9J3KE","GSON1112060915")</f>
        <v>#NAME?</v>
      </c>
      <c r="P902" s="8" t="e">
        <f ca="1">[1]!BexGetData("DP_1","003N8EMH8GTFRIVOG7KG9J9VY","GSON1112060915")</f>
        <v>#NAME?</v>
      </c>
      <c r="Q902" s="4" t="e">
        <f ca="1">[1]!BexGetData("DP_1","00O2TNJGODT0G5Z4TTKYMM5MT","GSON1112060915")</f>
        <v>#NAME?</v>
      </c>
      <c r="R902" s="4" t="e">
        <f ca="1">[1]!BexGetData("DP_1","00O2TNJGODT0G5Z4TTKYMMBYD","GSON1112060915")</f>
        <v>#NAME?</v>
      </c>
      <c r="S902" s="4" t="e">
        <f ca="1">[1]!BexGetData("DP_1","00O2TNJGODT0G5Z4TTKYMMI9X","GSON1112060915")</f>
        <v>#NAME?</v>
      </c>
      <c r="T902" s="4" t="e">
        <f ca="1">[1]!BexGetData("DP_1","00O2TNJGODT0G5Z4TTKYMMOLH","GSON1112060915")</f>
        <v>#NAME?</v>
      </c>
      <c r="U902" s="4" t="e">
        <f ca="1">[1]!BexGetData("DP_1","00O2TNJGODT0G5Z4TTKYMMUX1","GSON1112060915")</f>
        <v>#NAME?</v>
      </c>
      <c r="V902" s="4" t="e">
        <f ca="1">[1]!BexGetData("DP_1","00O2TNJGODT0G5Z4TTKYMN18L","GSON1112060915")</f>
        <v>#NAME?</v>
      </c>
      <c r="W902" s="4" t="e">
        <f ca="1">[1]!BexGetData("DP_1","00O2TNJGODT0G5Z4TTKYMN7K5","GSON1112060915")</f>
        <v>#NAME?</v>
      </c>
    </row>
    <row r="903" spans="1:23" x14ac:dyDescent="0.2">
      <c r="A903" s="16" t="s">
        <v>3127</v>
      </c>
      <c r="B903" s="7" t="s">
        <v>3128</v>
      </c>
      <c r="C903" s="3" t="e">
        <f ca="1">[1]!BexGetData("DP_1","003N8EMH8GTFRCSWKMPXRR8GU","GSON1112060920")</f>
        <v>#NAME?</v>
      </c>
      <c r="D903" s="3" t="e">
        <f ca="1">[1]!BexGetData("DP_1","003N8EMH8GTFRCSWKMPXRRESE","GSON1112060920")</f>
        <v>#NAME?</v>
      </c>
      <c r="E903" s="3" t="e">
        <f ca="1">[1]!BexGetData("DP_1","003N8EMH8GTFRCSWKMPXRRL3Y","GSON1112060920")</f>
        <v>#NAME?</v>
      </c>
      <c r="F903" s="4" t="e">
        <f ca="1">[1]!BexGetData("DP_1","003N8EMH8GTFRCSWKMPXRRRFI","GSON1112060920")</f>
        <v>#NAME?</v>
      </c>
      <c r="G903" s="4" t="e">
        <f ca="1">[1]!BexGetData("DP_1","003N8EMH8GTFRCSWKMPXRRXR2","GSON1112060920")</f>
        <v>#NAME?</v>
      </c>
      <c r="H903" s="4" t="e">
        <f ca="1">[1]!BexGetData("DP_1","003N8EMH8GTFRCSWKMPXRS42M","GSON1112060920")</f>
        <v>#NAME?</v>
      </c>
      <c r="I903" s="4" t="e">
        <f ca="1">[1]!BexGetData("DP_1","003N8EMH8GTFRCSWKMPXRSAE6","GSON1112060920")</f>
        <v>#NAME?</v>
      </c>
      <c r="J903" s="4" t="e">
        <f ca="1">[1]!BexGetData("DP_1","003N8EMH8GTFRCSWKMPXRSGPQ","GSON1112060920")</f>
        <v>#NAME?</v>
      </c>
      <c r="K903" s="3" t="e">
        <f ca="1">[1]!BexGetData("DP_1","003N8EMH8GTFRIVNUPY288VJH","GSON1112060920")</f>
        <v>#NAME?</v>
      </c>
      <c r="L903" s="3" t="e">
        <f ca="1">[1]!BexGetData("DP_1","003N8EMH8GTFRIVNUPY2891V1","GSON1112060920")</f>
        <v>#NAME?</v>
      </c>
      <c r="M903" s="8" t="e">
        <f ca="1">[1]!BexGetData("DP_1","003N8EMH8GTFRIVOG7KG9IQXA","GSON1112060920")</f>
        <v>#NAME?</v>
      </c>
      <c r="N903" s="3" t="e">
        <f ca="1">[1]!BexGetData("DP_1","003N8EMH8GTFRIVOG7KG9IX8U","GSON1112060920")</f>
        <v>#NAME?</v>
      </c>
      <c r="O903" s="8" t="e">
        <f ca="1">[1]!BexGetData("DP_1","003N8EMH8GTFRIVOG7KG9J3KE","GSON1112060920")</f>
        <v>#NAME?</v>
      </c>
      <c r="P903" s="3" t="e">
        <f ca="1">[1]!BexGetData("DP_1","003N8EMH8GTFRIVOG7KG9J9VY","GSON1112060920")</f>
        <v>#NAME?</v>
      </c>
      <c r="Q903" s="4" t="e">
        <f ca="1">[1]!BexGetData("DP_1","00O2TNJGODT0G5Z4TTKYMM5MT","GSON1112060920")</f>
        <v>#NAME?</v>
      </c>
      <c r="R903" s="4" t="e">
        <f ca="1">[1]!BexGetData("DP_1","00O2TNJGODT0G5Z4TTKYMMBYD","GSON1112060920")</f>
        <v>#NAME?</v>
      </c>
      <c r="S903" s="4" t="e">
        <f ca="1">[1]!BexGetData("DP_1","00O2TNJGODT0G5Z4TTKYMMI9X","GSON1112060920")</f>
        <v>#NAME?</v>
      </c>
      <c r="T903" s="4" t="e">
        <f ca="1">[1]!BexGetData("DP_1","00O2TNJGODT0G5Z4TTKYMMOLH","GSON1112060920")</f>
        <v>#NAME?</v>
      </c>
      <c r="U903" s="4" t="e">
        <f ca="1">[1]!BexGetData("DP_1","00O2TNJGODT0G5Z4TTKYMMUX1","GSON1112060920")</f>
        <v>#NAME?</v>
      </c>
      <c r="V903" s="4" t="e">
        <f ca="1">[1]!BexGetData("DP_1","00O2TNJGODT0G5Z4TTKYMN18L","GSON1112060920")</f>
        <v>#NAME?</v>
      </c>
      <c r="W903" s="4" t="e">
        <f ca="1">[1]!BexGetData("DP_1","00O2TNJGODT0G5Z4TTKYMN7K5","GSON1112060920")</f>
        <v>#NAME?</v>
      </c>
    </row>
    <row r="904" spans="1:23" x14ac:dyDescent="0.2">
      <c r="A904" s="16" t="s">
        <v>3129</v>
      </c>
      <c r="B904" s="7" t="s">
        <v>3130</v>
      </c>
      <c r="C904" s="3" t="e">
        <f ca="1">[1]!BexGetData("DP_1","003N8EMH8GTFRCSWKMPXRR8GU","GSON1112060921")</f>
        <v>#NAME?</v>
      </c>
      <c r="D904" s="3" t="e">
        <f ca="1">[1]!BexGetData("DP_1","003N8EMH8GTFRCSWKMPXRRESE","GSON1112060921")</f>
        <v>#NAME?</v>
      </c>
      <c r="E904" s="8" t="e">
        <f ca="1">[1]!BexGetData("DP_1","003N8EMH8GTFRCSWKMPXRRL3Y","GSON1112060921")</f>
        <v>#NAME?</v>
      </c>
      <c r="F904" s="4" t="e">
        <f ca="1">[1]!BexGetData("DP_1","003N8EMH8GTFRCSWKMPXRRRFI","GSON1112060921")</f>
        <v>#NAME?</v>
      </c>
      <c r="G904" s="4" t="e">
        <f ca="1">[1]!BexGetData("DP_1","003N8EMH8GTFRCSWKMPXRRXR2","GSON1112060921")</f>
        <v>#NAME?</v>
      </c>
      <c r="H904" s="4" t="e">
        <f ca="1">[1]!BexGetData("DP_1","003N8EMH8GTFRCSWKMPXRS42M","GSON1112060921")</f>
        <v>#NAME?</v>
      </c>
      <c r="I904" s="4" t="e">
        <f ca="1">[1]!BexGetData("DP_1","003N8EMH8GTFRCSWKMPXRSAE6","GSON1112060921")</f>
        <v>#NAME?</v>
      </c>
      <c r="J904" s="4" t="e">
        <f ca="1">[1]!BexGetData("DP_1","003N8EMH8GTFRCSWKMPXRSGPQ","GSON1112060921")</f>
        <v>#NAME?</v>
      </c>
      <c r="K904" s="8" t="e">
        <f ca="1">[1]!BexGetData("DP_1","003N8EMH8GTFRIVNUPY288VJH","GSON1112060921")</f>
        <v>#NAME?</v>
      </c>
      <c r="L904" s="8" t="e">
        <f ca="1">[1]!BexGetData("DP_1","003N8EMH8GTFRIVNUPY2891V1","GSON1112060921")</f>
        <v>#NAME?</v>
      </c>
      <c r="M904" s="8" t="e">
        <f ca="1">[1]!BexGetData("DP_1","003N8EMH8GTFRIVOG7KG9IQXA","GSON1112060921")</f>
        <v>#NAME?</v>
      </c>
      <c r="N904" s="8" t="e">
        <f ca="1">[1]!BexGetData("DP_1","003N8EMH8GTFRIVOG7KG9IX8U","GSON1112060921")</f>
        <v>#NAME?</v>
      </c>
      <c r="O904" s="8" t="e">
        <f ca="1">[1]!BexGetData("DP_1","003N8EMH8GTFRIVOG7KG9J3KE","GSON1112060921")</f>
        <v>#NAME?</v>
      </c>
      <c r="P904" s="8" t="e">
        <f ca="1">[1]!BexGetData("DP_1","003N8EMH8GTFRIVOG7KG9J9VY","GSON1112060921")</f>
        <v>#NAME?</v>
      </c>
      <c r="Q904" s="4" t="e">
        <f ca="1">[1]!BexGetData("DP_1","00O2TNJGODT0G5Z4TTKYMM5MT","GSON1112060921")</f>
        <v>#NAME?</v>
      </c>
      <c r="R904" s="4" t="e">
        <f ca="1">[1]!BexGetData("DP_1","00O2TNJGODT0G5Z4TTKYMMBYD","GSON1112060921")</f>
        <v>#NAME?</v>
      </c>
      <c r="S904" s="4" t="e">
        <f ca="1">[1]!BexGetData("DP_1","00O2TNJGODT0G5Z4TTKYMMI9X","GSON1112060921")</f>
        <v>#NAME?</v>
      </c>
      <c r="T904" s="4" t="e">
        <f ca="1">[1]!BexGetData("DP_1","00O2TNJGODT0G5Z4TTKYMMOLH","GSON1112060921")</f>
        <v>#NAME?</v>
      </c>
      <c r="U904" s="4" t="e">
        <f ca="1">[1]!BexGetData("DP_1","00O2TNJGODT0G5Z4TTKYMMUX1","GSON1112060921")</f>
        <v>#NAME?</v>
      </c>
      <c r="V904" s="4" t="e">
        <f ca="1">[1]!BexGetData("DP_1","00O2TNJGODT0G5Z4TTKYMN18L","GSON1112060921")</f>
        <v>#NAME?</v>
      </c>
      <c r="W904" s="4" t="e">
        <f ca="1">[1]!BexGetData("DP_1","00O2TNJGODT0G5Z4TTKYMN7K5","GSON1112060921")</f>
        <v>#NAME?</v>
      </c>
    </row>
    <row r="905" spans="1:23" x14ac:dyDescent="0.2">
      <c r="A905" s="16" t="s">
        <v>3131</v>
      </c>
      <c r="B905" s="7" t="s">
        <v>3132</v>
      </c>
      <c r="C905" s="8" t="e">
        <f ca="1">[1]!BexGetData("DP_1","003N8EMH8GTFRCSWKMPXRR8GU","GSON1112060922")</f>
        <v>#NAME?</v>
      </c>
      <c r="D905" s="3" t="e">
        <f ca="1">[1]!BexGetData("DP_1","003N8EMH8GTFRCSWKMPXRRESE","GSON1112060922")</f>
        <v>#NAME?</v>
      </c>
      <c r="E905" s="3" t="e">
        <f ca="1">[1]!BexGetData("DP_1","003N8EMH8GTFRCSWKMPXRRL3Y","GSON1112060922")</f>
        <v>#NAME?</v>
      </c>
      <c r="F905" s="4" t="e">
        <f ca="1">[1]!BexGetData("DP_1","003N8EMH8GTFRCSWKMPXRRRFI","GSON1112060922")</f>
        <v>#NAME?</v>
      </c>
      <c r="G905" s="4" t="e">
        <f ca="1">[1]!BexGetData("DP_1","003N8EMH8GTFRCSWKMPXRRXR2","GSON1112060922")</f>
        <v>#NAME?</v>
      </c>
      <c r="H905" s="4" t="e">
        <f ca="1">[1]!BexGetData("DP_1","003N8EMH8GTFRCSWKMPXRS42M","GSON1112060922")</f>
        <v>#NAME?</v>
      </c>
      <c r="I905" s="4" t="e">
        <f ca="1">[1]!BexGetData("DP_1","003N8EMH8GTFRCSWKMPXRSAE6","GSON1112060922")</f>
        <v>#NAME?</v>
      </c>
      <c r="J905" s="4" t="e">
        <f ca="1">[1]!BexGetData("DP_1","003N8EMH8GTFRCSWKMPXRSGPQ","GSON1112060922")</f>
        <v>#NAME?</v>
      </c>
      <c r="K905" s="3" t="e">
        <f ca="1">[1]!BexGetData("DP_1","003N8EMH8GTFRIVNUPY288VJH","GSON1112060922")</f>
        <v>#NAME?</v>
      </c>
      <c r="L905" s="3" t="e">
        <f ca="1">[1]!BexGetData("DP_1","003N8EMH8GTFRIVNUPY2891V1","GSON1112060922")</f>
        <v>#NAME?</v>
      </c>
      <c r="M905" s="3" t="e">
        <f ca="1">[1]!BexGetData("DP_1","003N8EMH8GTFRIVOG7KG9IQXA","GSON1112060922")</f>
        <v>#NAME?</v>
      </c>
      <c r="N905" s="8" t="e">
        <f ca="1">[1]!BexGetData("DP_1","003N8EMH8GTFRIVOG7KG9IX8U","GSON1112060922")</f>
        <v>#NAME?</v>
      </c>
      <c r="O905" s="3" t="e">
        <f ca="1">[1]!BexGetData("DP_1","003N8EMH8GTFRIVOG7KG9J3KE","GSON1112060922")</f>
        <v>#NAME?</v>
      </c>
      <c r="P905" s="8" t="e">
        <f ca="1">[1]!BexGetData("DP_1","003N8EMH8GTFRIVOG7KG9J9VY","GSON1112060922")</f>
        <v>#NAME?</v>
      </c>
      <c r="Q905" s="4" t="e">
        <f ca="1">[1]!BexGetData("DP_1","00O2TNJGODT0G5Z4TTKYMM5MT","GSON1112060922")</f>
        <v>#NAME?</v>
      </c>
      <c r="R905" s="4" t="e">
        <f ca="1">[1]!BexGetData("DP_1","00O2TNJGODT0G5Z4TTKYMMBYD","GSON1112060922")</f>
        <v>#NAME?</v>
      </c>
      <c r="S905" s="4" t="e">
        <f ca="1">[1]!BexGetData("DP_1","00O2TNJGODT0G5Z4TTKYMMI9X","GSON1112060922")</f>
        <v>#NAME?</v>
      </c>
      <c r="T905" s="4" t="e">
        <f ca="1">[1]!BexGetData("DP_1","00O2TNJGODT0G5Z4TTKYMMOLH","GSON1112060922")</f>
        <v>#NAME?</v>
      </c>
      <c r="U905" s="4" t="e">
        <f ca="1">[1]!BexGetData("DP_1","00O2TNJGODT0G5Z4TTKYMMUX1","GSON1112060922")</f>
        <v>#NAME?</v>
      </c>
      <c r="V905" s="4" t="e">
        <f ca="1">[1]!BexGetData("DP_1","00O2TNJGODT0G5Z4TTKYMN18L","GSON1112060922")</f>
        <v>#NAME?</v>
      </c>
      <c r="W905" s="4" t="e">
        <f ca="1">[1]!BexGetData("DP_1","00O2TNJGODT0G5Z4TTKYMN7K5","GSON1112060922")</f>
        <v>#NAME?</v>
      </c>
    </row>
    <row r="906" spans="1:23" x14ac:dyDescent="0.2">
      <c r="A906" s="16" t="s">
        <v>3133</v>
      </c>
      <c r="B906" s="7" t="s">
        <v>3134</v>
      </c>
      <c r="C906" s="3" t="e">
        <f ca="1">[1]!BexGetData("DP_1","003N8EMH8GTFRCSWKMPXRR8GU","GSON1112060923")</f>
        <v>#NAME?</v>
      </c>
      <c r="D906" s="3" t="e">
        <f ca="1">[1]!BexGetData("DP_1","003N8EMH8GTFRCSWKMPXRRESE","GSON1112060923")</f>
        <v>#NAME?</v>
      </c>
      <c r="E906" s="8" t="e">
        <f ca="1">[1]!BexGetData("DP_1","003N8EMH8GTFRCSWKMPXRRL3Y","GSON1112060923")</f>
        <v>#NAME?</v>
      </c>
      <c r="F906" s="4" t="e">
        <f ca="1">[1]!BexGetData("DP_1","003N8EMH8GTFRCSWKMPXRRRFI","GSON1112060923")</f>
        <v>#NAME?</v>
      </c>
      <c r="G906" s="4" t="e">
        <f ca="1">[1]!BexGetData("DP_1","003N8EMH8GTFRCSWKMPXRRXR2","GSON1112060923")</f>
        <v>#NAME?</v>
      </c>
      <c r="H906" s="4" t="e">
        <f ca="1">[1]!BexGetData("DP_1","003N8EMH8GTFRCSWKMPXRS42M","GSON1112060923")</f>
        <v>#NAME?</v>
      </c>
      <c r="I906" s="4" t="e">
        <f ca="1">[1]!BexGetData("DP_1","003N8EMH8GTFRCSWKMPXRSAE6","GSON1112060923")</f>
        <v>#NAME?</v>
      </c>
      <c r="J906" s="4" t="e">
        <f ca="1">[1]!BexGetData("DP_1","003N8EMH8GTFRCSWKMPXRSGPQ","GSON1112060923")</f>
        <v>#NAME?</v>
      </c>
      <c r="K906" s="8" t="e">
        <f ca="1">[1]!BexGetData("DP_1","003N8EMH8GTFRIVNUPY288VJH","GSON1112060923")</f>
        <v>#NAME?</v>
      </c>
      <c r="L906" s="8" t="e">
        <f ca="1">[1]!BexGetData("DP_1","003N8EMH8GTFRIVNUPY2891V1","GSON1112060923")</f>
        <v>#NAME?</v>
      </c>
      <c r="M906" s="8" t="e">
        <f ca="1">[1]!BexGetData("DP_1","003N8EMH8GTFRIVOG7KG9IQXA","GSON1112060923")</f>
        <v>#NAME?</v>
      </c>
      <c r="N906" s="8" t="e">
        <f ca="1">[1]!BexGetData("DP_1","003N8EMH8GTFRIVOG7KG9IX8U","GSON1112060923")</f>
        <v>#NAME?</v>
      </c>
      <c r="O906" s="8" t="e">
        <f ca="1">[1]!BexGetData("DP_1","003N8EMH8GTFRIVOG7KG9J3KE","GSON1112060923")</f>
        <v>#NAME?</v>
      </c>
      <c r="P906" s="8" t="e">
        <f ca="1">[1]!BexGetData("DP_1","003N8EMH8GTFRIVOG7KG9J9VY","GSON1112060923")</f>
        <v>#NAME?</v>
      </c>
      <c r="Q906" s="4" t="e">
        <f ca="1">[1]!BexGetData("DP_1","00O2TNJGODT0G5Z4TTKYMM5MT","GSON1112060923")</f>
        <v>#NAME?</v>
      </c>
      <c r="R906" s="4" t="e">
        <f ca="1">[1]!BexGetData("DP_1","00O2TNJGODT0G5Z4TTKYMMBYD","GSON1112060923")</f>
        <v>#NAME?</v>
      </c>
      <c r="S906" s="4" t="e">
        <f ca="1">[1]!BexGetData("DP_1","00O2TNJGODT0G5Z4TTKYMMI9X","GSON1112060923")</f>
        <v>#NAME?</v>
      </c>
      <c r="T906" s="4" t="e">
        <f ca="1">[1]!BexGetData("DP_1","00O2TNJGODT0G5Z4TTKYMMOLH","GSON1112060923")</f>
        <v>#NAME?</v>
      </c>
      <c r="U906" s="4" t="e">
        <f ca="1">[1]!BexGetData("DP_1","00O2TNJGODT0G5Z4TTKYMMUX1","GSON1112060923")</f>
        <v>#NAME?</v>
      </c>
      <c r="V906" s="4" t="e">
        <f ca="1">[1]!BexGetData("DP_1","00O2TNJGODT0G5Z4TTKYMN18L","GSON1112060923")</f>
        <v>#NAME?</v>
      </c>
      <c r="W906" s="4" t="e">
        <f ca="1">[1]!BexGetData("DP_1","00O2TNJGODT0G5Z4TTKYMN7K5","GSON1112060923")</f>
        <v>#NAME?</v>
      </c>
    </row>
    <row r="907" spans="1:23" x14ac:dyDescent="0.2">
      <c r="A907" s="16" t="s">
        <v>3135</v>
      </c>
      <c r="B907" s="7" t="s">
        <v>3136</v>
      </c>
      <c r="C907" s="3" t="e">
        <f ca="1">[1]!BexGetData("DP_1","003N8EMH8GTFRCSWKMPXRR8GU","GSON1112060924")</f>
        <v>#NAME?</v>
      </c>
      <c r="D907" s="3" t="e">
        <f ca="1">[1]!BexGetData("DP_1","003N8EMH8GTFRCSWKMPXRRESE","GSON1112060924")</f>
        <v>#NAME?</v>
      </c>
      <c r="E907" s="8" t="e">
        <f ca="1">[1]!BexGetData("DP_1","003N8EMH8GTFRCSWKMPXRRL3Y","GSON1112060924")</f>
        <v>#NAME?</v>
      </c>
      <c r="F907" s="4" t="e">
        <f ca="1">[1]!BexGetData("DP_1","003N8EMH8GTFRCSWKMPXRRRFI","GSON1112060924")</f>
        <v>#NAME?</v>
      </c>
      <c r="G907" s="4" t="e">
        <f ca="1">[1]!BexGetData("DP_1","003N8EMH8GTFRCSWKMPXRRXR2","GSON1112060924")</f>
        <v>#NAME?</v>
      </c>
      <c r="H907" s="4" t="e">
        <f ca="1">[1]!BexGetData("DP_1","003N8EMH8GTFRCSWKMPXRS42M","GSON1112060924")</f>
        <v>#NAME?</v>
      </c>
      <c r="I907" s="4" t="e">
        <f ca="1">[1]!BexGetData("DP_1","003N8EMH8GTFRCSWKMPXRSAE6","GSON1112060924")</f>
        <v>#NAME?</v>
      </c>
      <c r="J907" s="4" t="e">
        <f ca="1">[1]!BexGetData("DP_1","003N8EMH8GTFRCSWKMPXRSGPQ","GSON1112060924")</f>
        <v>#NAME?</v>
      </c>
      <c r="K907" s="8" t="e">
        <f ca="1">[1]!BexGetData("DP_1","003N8EMH8GTFRIVNUPY288VJH","GSON1112060924")</f>
        <v>#NAME?</v>
      </c>
      <c r="L907" s="8" t="e">
        <f ca="1">[1]!BexGetData("DP_1","003N8EMH8GTFRIVNUPY2891V1","GSON1112060924")</f>
        <v>#NAME?</v>
      </c>
      <c r="M907" s="8" t="e">
        <f ca="1">[1]!BexGetData("DP_1","003N8EMH8GTFRIVOG7KG9IQXA","GSON1112060924")</f>
        <v>#NAME?</v>
      </c>
      <c r="N907" s="8" t="e">
        <f ca="1">[1]!BexGetData("DP_1","003N8EMH8GTFRIVOG7KG9IX8U","GSON1112060924")</f>
        <v>#NAME?</v>
      </c>
      <c r="O907" s="8" t="e">
        <f ca="1">[1]!BexGetData("DP_1","003N8EMH8GTFRIVOG7KG9J3KE","GSON1112060924")</f>
        <v>#NAME?</v>
      </c>
      <c r="P907" s="8" t="e">
        <f ca="1">[1]!BexGetData("DP_1","003N8EMH8GTFRIVOG7KG9J9VY","GSON1112060924")</f>
        <v>#NAME?</v>
      </c>
      <c r="Q907" s="4" t="e">
        <f ca="1">[1]!BexGetData("DP_1","00O2TNJGODT0G5Z4TTKYMM5MT","GSON1112060924")</f>
        <v>#NAME?</v>
      </c>
      <c r="R907" s="4" t="e">
        <f ca="1">[1]!BexGetData("DP_1","00O2TNJGODT0G5Z4TTKYMMBYD","GSON1112060924")</f>
        <v>#NAME?</v>
      </c>
      <c r="S907" s="4" t="e">
        <f ca="1">[1]!BexGetData("DP_1","00O2TNJGODT0G5Z4TTKYMMI9X","GSON1112060924")</f>
        <v>#NAME?</v>
      </c>
      <c r="T907" s="4" t="e">
        <f ca="1">[1]!BexGetData("DP_1","00O2TNJGODT0G5Z4TTKYMMOLH","GSON1112060924")</f>
        <v>#NAME?</v>
      </c>
      <c r="U907" s="4" t="e">
        <f ca="1">[1]!BexGetData("DP_1","00O2TNJGODT0G5Z4TTKYMMUX1","GSON1112060924")</f>
        <v>#NAME?</v>
      </c>
      <c r="V907" s="4" t="e">
        <f ca="1">[1]!BexGetData("DP_1","00O2TNJGODT0G5Z4TTKYMN18L","GSON1112060924")</f>
        <v>#NAME?</v>
      </c>
      <c r="W907" s="4" t="e">
        <f ca="1">[1]!BexGetData("DP_1","00O2TNJGODT0G5Z4TTKYMN7K5","GSON1112060924")</f>
        <v>#NAME?</v>
      </c>
    </row>
    <row r="908" spans="1:23" x14ac:dyDescent="0.2">
      <c r="A908" s="16" t="s">
        <v>3137</v>
      </c>
      <c r="B908" s="7" t="s">
        <v>3138</v>
      </c>
      <c r="C908" s="3" t="e">
        <f ca="1">[1]!BexGetData("DP_1","003N8EMH8GTFRCSWKMPXRR8GU","GSON1112060925")</f>
        <v>#NAME?</v>
      </c>
      <c r="D908" s="3" t="e">
        <f ca="1">[1]!BexGetData("DP_1","003N8EMH8GTFRCSWKMPXRRESE","GSON1112060925")</f>
        <v>#NAME?</v>
      </c>
      <c r="E908" s="8" t="e">
        <f ca="1">[1]!BexGetData("DP_1","003N8EMH8GTFRCSWKMPXRRL3Y","GSON1112060925")</f>
        <v>#NAME?</v>
      </c>
      <c r="F908" s="4" t="e">
        <f ca="1">[1]!BexGetData("DP_1","003N8EMH8GTFRCSWKMPXRRRFI","GSON1112060925")</f>
        <v>#NAME?</v>
      </c>
      <c r="G908" s="4" t="e">
        <f ca="1">[1]!BexGetData("DP_1","003N8EMH8GTFRCSWKMPXRRXR2","GSON1112060925")</f>
        <v>#NAME?</v>
      </c>
      <c r="H908" s="4" t="e">
        <f ca="1">[1]!BexGetData("DP_1","003N8EMH8GTFRCSWKMPXRS42M","GSON1112060925")</f>
        <v>#NAME?</v>
      </c>
      <c r="I908" s="4" t="e">
        <f ca="1">[1]!BexGetData("DP_1","003N8EMH8GTFRCSWKMPXRSAE6","GSON1112060925")</f>
        <v>#NAME?</v>
      </c>
      <c r="J908" s="4" t="e">
        <f ca="1">[1]!BexGetData("DP_1","003N8EMH8GTFRCSWKMPXRSGPQ","GSON1112060925")</f>
        <v>#NAME?</v>
      </c>
      <c r="K908" s="8" t="e">
        <f ca="1">[1]!BexGetData("DP_1","003N8EMH8GTFRIVNUPY288VJH","GSON1112060925")</f>
        <v>#NAME?</v>
      </c>
      <c r="L908" s="8" t="e">
        <f ca="1">[1]!BexGetData("DP_1","003N8EMH8GTFRIVNUPY2891V1","GSON1112060925")</f>
        <v>#NAME?</v>
      </c>
      <c r="M908" s="8" t="e">
        <f ca="1">[1]!BexGetData("DP_1","003N8EMH8GTFRIVOG7KG9IQXA","GSON1112060925")</f>
        <v>#NAME?</v>
      </c>
      <c r="N908" s="8" t="e">
        <f ca="1">[1]!BexGetData("DP_1","003N8EMH8GTFRIVOG7KG9IX8U","GSON1112060925")</f>
        <v>#NAME?</v>
      </c>
      <c r="O908" s="8" t="e">
        <f ca="1">[1]!BexGetData("DP_1","003N8EMH8GTFRIVOG7KG9J3KE","GSON1112060925")</f>
        <v>#NAME?</v>
      </c>
      <c r="P908" s="8" t="e">
        <f ca="1">[1]!BexGetData("DP_1","003N8EMH8GTFRIVOG7KG9J9VY","GSON1112060925")</f>
        <v>#NAME?</v>
      </c>
      <c r="Q908" s="4" t="e">
        <f ca="1">[1]!BexGetData("DP_1","00O2TNJGODT0G5Z4TTKYMM5MT","GSON1112060925")</f>
        <v>#NAME?</v>
      </c>
      <c r="R908" s="4" t="e">
        <f ca="1">[1]!BexGetData("DP_1","00O2TNJGODT0G5Z4TTKYMMBYD","GSON1112060925")</f>
        <v>#NAME?</v>
      </c>
      <c r="S908" s="4" t="e">
        <f ca="1">[1]!BexGetData("DP_1","00O2TNJGODT0G5Z4TTKYMMI9X","GSON1112060925")</f>
        <v>#NAME?</v>
      </c>
      <c r="T908" s="4" t="e">
        <f ca="1">[1]!BexGetData("DP_1","00O2TNJGODT0G5Z4TTKYMMOLH","GSON1112060925")</f>
        <v>#NAME?</v>
      </c>
      <c r="U908" s="4" t="e">
        <f ca="1">[1]!BexGetData("DP_1","00O2TNJGODT0G5Z4TTKYMMUX1","GSON1112060925")</f>
        <v>#NAME?</v>
      </c>
      <c r="V908" s="4" t="e">
        <f ca="1">[1]!BexGetData("DP_1","00O2TNJGODT0G5Z4TTKYMN18L","GSON1112060925")</f>
        <v>#NAME?</v>
      </c>
      <c r="W908" s="4" t="e">
        <f ca="1">[1]!BexGetData("DP_1","00O2TNJGODT0G5Z4TTKYMN7K5","GSON1112060925")</f>
        <v>#NAME?</v>
      </c>
    </row>
    <row r="909" spans="1:23" x14ac:dyDescent="0.2">
      <c r="A909" s="16" t="s">
        <v>980</v>
      </c>
      <c r="B909" s="7" t="s">
        <v>981</v>
      </c>
      <c r="C909" s="3" t="e">
        <f ca="1">[1]!BexGetData("DP_1","003N8EMH8GTFRCSWKMPXRR8GU","GSON1112070010")</f>
        <v>#NAME?</v>
      </c>
      <c r="D909" s="3" t="e">
        <f ca="1">[1]!BexGetData("DP_1","003N8EMH8GTFRCSWKMPXRRESE","GSON1112070010")</f>
        <v>#NAME?</v>
      </c>
      <c r="E909" s="3" t="e">
        <f ca="1">[1]!BexGetData("DP_1","003N8EMH8GTFRCSWKMPXRRL3Y","GSON1112070010")</f>
        <v>#NAME?</v>
      </c>
      <c r="F909" s="3" t="e">
        <f ca="1">[1]!BexGetData("DP_1","003N8EMH8GTFRCSWKMPXRRRFI","GSON1112070010")</f>
        <v>#NAME?</v>
      </c>
      <c r="G909" s="3" t="e">
        <f ca="1">[1]!BexGetData("DP_1","003N8EMH8GTFRCSWKMPXRRXR2","GSON1112070010")</f>
        <v>#NAME?</v>
      </c>
      <c r="H909" s="8" t="e">
        <f ca="1">[1]!BexGetData("DP_1","003N8EMH8GTFRCSWKMPXRS42M","GSON1112070010")</f>
        <v>#NAME?</v>
      </c>
      <c r="I909" s="3" t="e">
        <f ca="1">[1]!BexGetData("DP_1","003N8EMH8GTFRCSWKMPXRSAE6","GSON1112070010")</f>
        <v>#NAME?</v>
      </c>
      <c r="J909" s="4" t="e">
        <f ca="1">[1]!BexGetData("DP_1","003N8EMH8GTFRCSWKMPXRSGPQ","GSON1112070010")</f>
        <v>#NAME?</v>
      </c>
      <c r="K909" s="3" t="e">
        <f ca="1">[1]!BexGetData("DP_1","003N8EMH8GTFRIVNUPY288VJH","GSON1112070010")</f>
        <v>#NAME?</v>
      </c>
      <c r="L909" s="3" t="e">
        <f ca="1">[1]!BexGetData("DP_1","003N8EMH8GTFRIVNUPY2891V1","GSON1112070010")</f>
        <v>#NAME?</v>
      </c>
      <c r="M909" s="8" t="e">
        <f ca="1">[1]!BexGetData("DP_1","003N8EMH8GTFRIVOG7KG9IQXA","GSON1112070010")</f>
        <v>#NAME?</v>
      </c>
      <c r="N909" s="3" t="e">
        <f ca="1">[1]!BexGetData("DP_1","003N8EMH8GTFRIVOG7KG9IX8U","GSON1112070010")</f>
        <v>#NAME?</v>
      </c>
      <c r="O909" s="8" t="e">
        <f ca="1">[1]!BexGetData("DP_1","003N8EMH8GTFRIVOG7KG9J3KE","GSON1112070010")</f>
        <v>#NAME?</v>
      </c>
      <c r="P909" s="3" t="e">
        <f ca="1">[1]!BexGetData("DP_1","003N8EMH8GTFRIVOG7KG9J9VY","GSON1112070010")</f>
        <v>#NAME?</v>
      </c>
      <c r="Q909" s="4" t="e">
        <f ca="1">[1]!BexGetData("DP_1","00O2TNJGODT0G5Z4TTKYMM5MT","GSON1112070010")</f>
        <v>#NAME?</v>
      </c>
      <c r="R909" s="3" t="e">
        <f ca="1">[1]!BexGetData("DP_1","00O2TNJGODT0G5Z4TTKYMMBYD","GSON1112070010")</f>
        <v>#NAME?</v>
      </c>
      <c r="S909" s="3" t="e">
        <f ca="1">[1]!BexGetData("DP_1","00O2TNJGODT0G5Z4TTKYMMI9X","GSON1112070010")</f>
        <v>#NAME?</v>
      </c>
      <c r="T909" s="8" t="e">
        <f ca="1">[1]!BexGetData("DP_1","00O2TNJGODT0G5Z4TTKYMMOLH","GSON1112070010")</f>
        <v>#NAME?</v>
      </c>
      <c r="U909" s="3" t="e">
        <f ca="1">[1]!BexGetData("DP_1","00O2TNJGODT0G5Z4TTKYMMUX1","GSON1112070010")</f>
        <v>#NAME?</v>
      </c>
      <c r="V909" s="8" t="e">
        <f ca="1">[1]!BexGetData("DP_1","00O2TNJGODT0G5Z4TTKYMN18L","GSON1112070010")</f>
        <v>#NAME?</v>
      </c>
      <c r="W909" s="3" t="e">
        <f ca="1">[1]!BexGetData("DP_1","00O2TNJGODT0G5Z4TTKYMN7K5","GSON1112070010")</f>
        <v>#NAME?</v>
      </c>
    </row>
    <row r="910" spans="1:23" x14ac:dyDescent="0.2">
      <c r="A910" s="16" t="s">
        <v>982</v>
      </c>
      <c r="B910" s="7" t="s">
        <v>983</v>
      </c>
      <c r="C910" s="3" t="e">
        <f ca="1">[1]!BexGetData("DP_1","003N8EMH8GTFRCSWKMPXRR8GU","GSON1112070011")</f>
        <v>#NAME?</v>
      </c>
      <c r="D910" s="3" t="e">
        <f ca="1">[1]!BexGetData("DP_1","003N8EMH8GTFRCSWKMPXRRESE","GSON1112070011")</f>
        <v>#NAME?</v>
      </c>
      <c r="E910" s="8" t="e">
        <f ca="1">[1]!BexGetData("DP_1","003N8EMH8GTFRCSWKMPXRRL3Y","GSON1112070011")</f>
        <v>#NAME?</v>
      </c>
      <c r="F910" s="4" t="e">
        <f ca="1">[1]!BexGetData("DP_1","003N8EMH8GTFRCSWKMPXRRRFI","GSON1112070011")</f>
        <v>#NAME?</v>
      </c>
      <c r="G910" s="4" t="e">
        <f ca="1">[1]!BexGetData("DP_1","003N8EMH8GTFRCSWKMPXRRXR2","GSON1112070011")</f>
        <v>#NAME?</v>
      </c>
      <c r="H910" s="4" t="e">
        <f ca="1">[1]!BexGetData("DP_1","003N8EMH8GTFRCSWKMPXRS42M","GSON1112070011")</f>
        <v>#NAME?</v>
      </c>
      <c r="I910" s="4" t="e">
        <f ca="1">[1]!BexGetData("DP_1","003N8EMH8GTFRCSWKMPXRSAE6","GSON1112070011")</f>
        <v>#NAME?</v>
      </c>
      <c r="J910" s="4" t="e">
        <f ca="1">[1]!BexGetData("DP_1","003N8EMH8GTFRCSWKMPXRSGPQ","GSON1112070011")</f>
        <v>#NAME?</v>
      </c>
      <c r="K910" s="8" t="e">
        <f ca="1">[1]!BexGetData("DP_1","003N8EMH8GTFRIVNUPY288VJH","GSON1112070011")</f>
        <v>#NAME?</v>
      </c>
      <c r="L910" s="8" t="e">
        <f ca="1">[1]!BexGetData("DP_1","003N8EMH8GTFRIVNUPY2891V1","GSON1112070011")</f>
        <v>#NAME?</v>
      </c>
      <c r="M910" s="8" t="e">
        <f ca="1">[1]!BexGetData("DP_1","003N8EMH8GTFRIVOG7KG9IQXA","GSON1112070011")</f>
        <v>#NAME?</v>
      </c>
      <c r="N910" s="8" t="e">
        <f ca="1">[1]!BexGetData("DP_1","003N8EMH8GTFRIVOG7KG9IX8U","GSON1112070011")</f>
        <v>#NAME?</v>
      </c>
      <c r="O910" s="8" t="e">
        <f ca="1">[1]!BexGetData("DP_1","003N8EMH8GTFRIVOG7KG9J3KE","GSON1112070011")</f>
        <v>#NAME?</v>
      </c>
      <c r="P910" s="8" t="e">
        <f ca="1">[1]!BexGetData("DP_1","003N8EMH8GTFRIVOG7KG9J9VY","GSON1112070011")</f>
        <v>#NAME?</v>
      </c>
      <c r="Q910" s="4" t="e">
        <f ca="1">[1]!BexGetData("DP_1","00O2TNJGODT0G5Z4TTKYMM5MT","GSON1112070011")</f>
        <v>#NAME?</v>
      </c>
      <c r="R910" s="4" t="e">
        <f ca="1">[1]!BexGetData("DP_1","00O2TNJGODT0G5Z4TTKYMMBYD","GSON1112070011")</f>
        <v>#NAME?</v>
      </c>
      <c r="S910" s="4" t="e">
        <f ca="1">[1]!BexGetData("DP_1","00O2TNJGODT0G5Z4TTKYMMI9X","GSON1112070011")</f>
        <v>#NAME?</v>
      </c>
      <c r="T910" s="4" t="e">
        <f ca="1">[1]!BexGetData("DP_1","00O2TNJGODT0G5Z4TTKYMMOLH","GSON1112070011")</f>
        <v>#NAME?</v>
      </c>
      <c r="U910" s="4" t="e">
        <f ca="1">[1]!BexGetData("DP_1","00O2TNJGODT0G5Z4TTKYMMUX1","GSON1112070011")</f>
        <v>#NAME?</v>
      </c>
      <c r="V910" s="4" t="e">
        <f ca="1">[1]!BexGetData("DP_1","00O2TNJGODT0G5Z4TTKYMN18L","GSON1112070011")</f>
        <v>#NAME?</v>
      </c>
      <c r="W910" s="4" t="e">
        <f ca="1">[1]!BexGetData("DP_1","00O2TNJGODT0G5Z4TTKYMN7K5","GSON1112070011")</f>
        <v>#NAME?</v>
      </c>
    </row>
    <row r="911" spans="1:23" x14ac:dyDescent="0.2">
      <c r="A911" s="16" t="s">
        <v>3139</v>
      </c>
      <c r="B911" s="7" t="s">
        <v>661</v>
      </c>
      <c r="C911" s="3" t="e">
        <f ca="1">[1]!BexGetData("DP_1","003N8EMH8GTFRCSWKMPXRR8GU","GSON1112070012")</f>
        <v>#NAME?</v>
      </c>
      <c r="D911" s="3" t="e">
        <f ca="1">[1]!BexGetData("DP_1","003N8EMH8GTFRCSWKMPXRRESE","GSON1112070012")</f>
        <v>#NAME?</v>
      </c>
      <c r="E911" s="8" t="e">
        <f ca="1">[1]!BexGetData("DP_1","003N8EMH8GTFRCSWKMPXRRL3Y","GSON1112070012")</f>
        <v>#NAME?</v>
      </c>
      <c r="F911" s="3" t="e">
        <f ca="1">[1]!BexGetData("DP_1","003N8EMH8GTFRCSWKMPXRRRFI","GSON1112070012")</f>
        <v>#NAME?</v>
      </c>
      <c r="G911" s="8" t="e">
        <f ca="1">[1]!BexGetData("DP_1","003N8EMH8GTFRCSWKMPXRRXR2","GSON1112070012")</f>
        <v>#NAME?</v>
      </c>
      <c r="H911" s="3" t="e">
        <f ca="1">[1]!BexGetData("DP_1","003N8EMH8GTFRCSWKMPXRS42M","GSON1112070012")</f>
        <v>#NAME?</v>
      </c>
      <c r="I911" s="3" t="e">
        <f ca="1">[1]!BexGetData("DP_1","003N8EMH8GTFRCSWKMPXRSAE6","GSON1112070012")</f>
        <v>#NAME?</v>
      </c>
      <c r="J911" s="4" t="e">
        <f ca="1">[1]!BexGetData("DP_1","003N8EMH8GTFRCSWKMPXRSGPQ","GSON1112070012")</f>
        <v>#NAME?</v>
      </c>
      <c r="K911" s="3" t="e">
        <f ca="1">[1]!BexGetData("DP_1","003N8EMH8GTFRIVNUPY288VJH","GSON1112070012")</f>
        <v>#NAME?</v>
      </c>
      <c r="L911" s="3" t="e">
        <f ca="1">[1]!BexGetData("DP_1","003N8EMH8GTFRIVNUPY2891V1","GSON1112070012")</f>
        <v>#NAME?</v>
      </c>
      <c r="M911" s="8" t="e">
        <f ca="1">[1]!BexGetData("DP_1","003N8EMH8GTFRIVOG7KG9IQXA","GSON1112070012")</f>
        <v>#NAME?</v>
      </c>
      <c r="N911" s="3" t="e">
        <f ca="1">[1]!BexGetData("DP_1","003N8EMH8GTFRIVOG7KG9IX8U","GSON1112070012")</f>
        <v>#NAME?</v>
      </c>
      <c r="O911" s="8" t="e">
        <f ca="1">[1]!BexGetData("DP_1","003N8EMH8GTFRIVOG7KG9J3KE","GSON1112070012")</f>
        <v>#NAME?</v>
      </c>
      <c r="P911" s="3" t="e">
        <f ca="1">[1]!BexGetData("DP_1","003N8EMH8GTFRIVOG7KG9J9VY","GSON1112070012")</f>
        <v>#NAME?</v>
      </c>
      <c r="Q911" s="4" t="e">
        <f ca="1">[1]!BexGetData("DP_1","00O2TNJGODT0G5Z4TTKYMM5MT","GSON1112070012")</f>
        <v>#NAME?</v>
      </c>
      <c r="R911" s="3" t="e">
        <f ca="1">[1]!BexGetData("DP_1","00O2TNJGODT0G5Z4TTKYMMBYD","GSON1112070012")</f>
        <v>#NAME?</v>
      </c>
      <c r="S911" s="3" t="e">
        <f ca="1">[1]!BexGetData("DP_1","00O2TNJGODT0G5Z4TTKYMMI9X","GSON1112070012")</f>
        <v>#NAME?</v>
      </c>
      <c r="T911" s="3" t="e">
        <f ca="1">[1]!BexGetData("DP_1","00O2TNJGODT0G5Z4TTKYMMOLH","GSON1112070012")</f>
        <v>#NAME?</v>
      </c>
      <c r="U911" s="8" t="e">
        <f ca="1">[1]!BexGetData("DP_1","00O2TNJGODT0G5Z4TTKYMMUX1","GSON1112070012")</f>
        <v>#NAME?</v>
      </c>
      <c r="V911" s="3" t="e">
        <f ca="1">[1]!BexGetData("DP_1","00O2TNJGODT0G5Z4TTKYMN18L","GSON1112070012")</f>
        <v>#NAME?</v>
      </c>
      <c r="W911" s="8" t="e">
        <f ca="1">[1]!BexGetData("DP_1","00O2TNJGODT0G5Z4TTKYMN7K5","GSON1112070012")</f>
        <v>#NAME?</v>
      </c>
    </row>
    <row r="912" spans="1:23" x14ac:dyDescent="0.2">
      <c r="A912" s="16" t="s">
        <v>218</v>
      </c>
      <c r="B912" s="7" t="s">
        <v>219</v>
      </c>
      <c r="C912" s="3" t="e">
        <f ca="1">[1]!BexGetData("DP_1","003N8EMH8GTFRCSWKMPXRR8GU","GSON1112070013")</f>
        <v>#NAME?</v>
      </c>
      <c r="D912" s="3" t="e">
        <f ca="1">[1]!BexGetData("DP_1","003N8EMH8GTFRCSWKMPXRRESE","GSON1112070013")</f>
        <v>#NAME?</v>
      </c>
      <c r="E912" s="8" t="e">
        <f ca="1">[1]!BexGetData("DP_1","003N8EMH8GTFRCSWKMPXRRL3Y","GSON1112070013")</f>
        <v>#NAME?</v>
      </c>
      <c r="F912" s="4" t="e">
        <f ca="1">[1]!BexGetData("DP_1","003N8EMH8GTFRCSWKMPXRRRFI","GSON1112070013")</f>
        <v>#NAME?</v>
      </c>
      <c r="G912" s="4" t="e">
        <f ca="1">[1]!BexGetData("DP_1","003N8EMH8GTFRCSWKMPXRRXR2","GSON1112070013")</f>
        <v>#NAME?</v>
      </c>
      <c r="H912" s="4" t="e">
        <f ca="1">[1]!BexGetData("DP_1","003N8EMH8GTFRCSWKMPXRS42M","GSON1112070013")</f>
        <v>#NAME?</v>
      </c>
      <c r="I912" s="4" t="e">
        <f ca="1">[1]!BexGetData("DP_1","003N8EMH8GTFRCSWKMPXRSAE6","GSON1112070013")</f>
        <v>#NAME?</v>
      </c>
      <c r="J912" s="4" t="e">
        <f ca="1">[1]!BexGetData("DP_1","003N8EMH8GTFRCSWKMPXRSGPQ","GSON1112070013")</f>
        <v>#NAME?</v>
      </c>
      <c r="K912" s="8" t="e">
        <f ca="1">[1]!BexGetData("DP_1","003N8EMH8GTFRIVNUPY288VJH","GSON1112070013")</f>
        <v>#NAME?</v>
      </c>
      <c r="L912" s="8" t="e">
        <f ca="1">[1]!BexGetData("DP_1","003N8EMH8GTFRIVNUPY2891V1","GSON1112070013")</f>
        <v>#NAME?</v>
      </c>
      <c r="M912" s="8" t="e">
        <f ca="1">[1]!BexGetData("DP_1","003N8EMH8GTFRIVOG7KG9IQXA","GSON1112070013")</f>
        <v>#NAME?</v>
      </c>
      <c r="N912" s="8" t="e">
        <f ca="1">[1]!BexGetData("DP_1","003N8EMH8GTFRIVOG7KG9IX8U","GSON1112070013")</f>
        <v>#NAME?</v>
      </c>
      <c r="O912" s="8" t="e">
        <f ca="1">[1]!BexGetData("DP_1","003N8EMH8GTFRIVOG7KG9J3KE","GSON1112070013")</f>
        <v>#NAME?</v>
      </c>
      <c r="P912" s="8" t="e">
        <f ca="1">[1]!BexGetData("DP_1","003N8EMH8GTFRIVOG7KG9J9VY","GSON1112070013")</f>
        <v>#NAME?</v>
      </c>
      <c r="Q912" s="4" t="e">
        <f ca="1">[1]!BexGetData("DP_1","00O2TNJGODT0G5Z4TTKYMM5MT","GSON1112070013")</f>
        <v>#NAME?</v>
      </c>
      <c r="R912" s="4" t="e">
        <f ca="1">[1]!BexGetData("DP_1","00O2TNJGODT0G5Z4TTKYMMBYD","GSON1112070013")</f>
        <v>#NAME?</v>
      </c>
      <c r="S912" s="4" t="e">
        <f ca="1">[1]!BexGetData("DP_1","00O2TNJGODT0G5Z4TTKYMMI9X","GSON1112070013")</f>
        <v>#NAME?</v>
      </c>
      <c r="T912" s="4" t="e">
        <f ca="1">[1]!BexGetData("DP_1","00O2TNJGODT0G5Z4TTKYMMOLH","GSON1112070013")</f>
        <v>#NAME?</v>
      </c>
      <c r="U912" s="4" t="e">
        <f ca="1">[1]!BexGetData("DP_1","00O2TNJGODT0G5Z4TTKYMMUX1","GSON1112070013")</f>
        <v>#NAME?</v>
      </c>
      <c r="V912" s="4" t="e">
        <f ca="1">[1]!BexGetData("DP_1","00O2TNJGODT0G5Z4TTKYMN18L","GSON1112070013")</f>
        <v>#NAME?</v>
      </c>
      <c r="W912" s="4" t="e">
        <f ca="1">[1]!BexGetData("DP_1","00O2TNJGODT0G5Z4TTKYMN7K5","GSON1112070013")</f>
        <v>#NAME?</v>
      </c>
    </row>
    <row r="913" spans="1:23" x14ac:dyDescent="0.2">
      <c r="A913" s="16" t="s">
        <v>3140</v>
      </c>
      <c r="B913" s="7" t="s">
        <v>1651</v>
      </c>
      <c r="C913" s="3" t="e">
        <f ca="1">[1]!BexGetData("DP_1","003N8EMH8GTFRCSWKMPXRR8GU","GSON1112070014")</f>
        <v>#NAME?</v>
      </c>
      <c r="D913" s="3" t="e">
        <f ca="1">[1]!BexGetData("DP_1","003N8EMH8GTFRCSWKMPXRRESE","GSON1112070014")</f>
        <v>#NAME?</v>
      </c>
      <c r="E913" s="8" t="e">
        <f ca="1">[1]!BexGetData("DP_1","003N8EMH8GTFRCSWKMPXRRL3Y","GSON1112070014")</f>
        <v>#NAME?</v>
      </c>
      <c r="F913" s="4" t="e">
        <f ca="1">[1]!BexGetData("DP_1","003N8EMH8GTFRCSWKMPXRRRFI","GSON1112070014")</f>
        <v>#NAME?</v>
      </c>
      <c r="G913" s="4" t="e">
        <f ca="1">[1]!BexGetData("DP_1","003N8EMH8GTFRCSWKMPXRRXR2","GSON1112070014")</f>
        <v>#NAME?</v>
      </c>
      <c r="H913" s="4" t="e">
        <f ca="1">[1]!BexGetData("DP_1","003N8EMH8GTFRCSWKMPXRS42M","GSON1112070014")</f>
        <v>#NAME?</v>
      </c>
      <c r="I913" s="4" t="e">
        <f ca="1">[1]!BexGetData("DP_1","003N8EMH8GTFRCSWKMPXRSAE6","GSON1112070014")</f>
        <v>#NAME?</v>
      </c>
      <c r="J913" s="4" t="e">
        <f ca="1">[1]!BexGetData("DP_1","003N8EMH8GTFRCSWKMPXRSGPQ","GSON1112070014")</f>
        <v>#NAME?</v>
      </c>
      <c r="K913" s="8" t="e">
        <f ca="1">[1]!BexGetData("DP_1","003N8EMH8GTFRIVNUPY288VJH","GSON1112070014")</f>
        <v>#NAME?</v>
      </c>
      <c r="L913" s="8" t="e">
        <f ca="1">[1]!BexGetData("DP_1","003N8EMH8GTFRIVNUPY2891V1","GSON1112070014")</f>
        <v>#NAME?</v>
      </c>
      <c r="M913" s="8" t="e">
        <f ca="1">[1]!BexGetData("DP_1","003N8EMH8GTFRIVOG7KG9IQXA","GSON1112070014")</f>
        <v>#NAME?</v>
      </c>
      <c r="N913" s="8" t="e">
        <f ca="1">[1]!BexGetData("DP_1","003N8EMH8GTFRIVOG7KG9IX8U","GSON1112070014")</f>
        <v>#NAME?</v>
      </c>
      <c r="O913" s="8" t="e">
        <f ca="1">[1]!BexGetData("DP_1","003N8EMH8GTFRIVOG7KG9J3KE","GSON1112070014")</f>
        <v>#NAME?</v>
      </c>
      <c r="P913" s="8" t="e">
        <f ca="1">[1]!BexGetData("DP_1","003N8EMH8GTFRIVOG7KG9J9VY","GSON1112070014")</f>
        <v>#NAME?</v>
      </c>
      <c r="Q913" s="4" t="e">
        <f ca="1">[1]!BexGetData("DP_1","00O2TNJGODT0G5Z4TTKYMM5MT","GSON1112070014")</f>
        <v>#NAME?</v>
      </c>
      <c r="R913" s="4" t="e">
        <f ca="1">[1]!BexGetData("DP_1","00O2TNJGODT0G5Z4TTKYMMBYD","GSON1112070014")</f>
        <v>#NAME?</v>
      </c>
      <c r="S913" s="4" t="e">
        <f ca="1">[1]!BexGetData("DP_1","00O2TNJGODT0G5Z4TTKYMMI9X","GSON1112070014")</f>
        <v>#NAME?</v>
      </c>
      <c r="T913" s="4" t="e">
        <f ca="1">[1]!BexGetData("DP_1","00O2TNJGODT0G5Z4TTKYMMOLH","GSON1112070014")</f>
        <v>#NAME?</v>
      </c>
      <c r="U913" s="4" t="e">
        <f ca="1">[1]!BexGetData("DP_1","00O2TNJGODT0G5Z4TTKYMMUX1","GSON1112070014")</f>
        <v>#NAME?</v>
      </c>
      <c r="V913" s="4" t="e">
        <f ca="1">[1]!BexGetData("DP_1","00O2TNJGODT0G5Z4TTKYMN18L","GSON1112070014")</f>
        <v>#NAME?</v>
      </c>
      <c r="W913" s="4" t="e">
        <f ca="1">[1]!BexGetData("DP_1","00O2TNJGODT0G5Z4TTKYMN7K5","GSON1112070014")</f>
        <v>#NAME?</v>
      </c>
    </row>
    <row r="914" spans="1:23" x14ac:dyDescent="0.2">
      <c r="A914" s="16" t="s">
        <v>984</v>
      </c>
      <c r="B914" s="7" t="s">
        <v>985</v>
      </c>
      <c r="C914" s="3" t="e">
        <f ca="1">[1]!BexGetData("DP_1","003N8EMH8GTFRCSWKMPXRR8GU","GSON1112070015")</f>
        <v>#NAME?</v>
      </c>
      <c r="D914" s="3" t="e">
        <f ca="1">[1]!BexGetData("DP_1","003N8EMH8GTFRCSWKMPXRRESE","GSON1112070015")</f>
        <v>#NAME?</v>
      </c>
      <c r="E914" s="8" t="e">
        <f ca="1">[1]!BexGetData("DP_1","003N8EMH8GTFRCSWKMPXRRL3Y","GSON1112070015")</f>
        <v>#NAME?</v>
      </c>
      <c r="F914" s="4" t="e">
        <f ca="1">[1]!BexGetData("DP_1","003N8EMH8GTFRCSWKMPXRRRFI","GSON1112070015")</f>
        <v>#NAME?</v>
      </c>
      <c r="G914" s="4" t="e">
        <f ca="1">[1]!BexGetData("DP_1","003N8EMH8GTFRCSWKMPXRRXR2","GSON1112070015")</f>
        <v>#NAME?</v>
      </c>
      <c r="H914" s="4" t="e">
        <f ca="1">[1]!BexGetData("DP_1","003N8EMH8GTFRCSWKMPXRS42M","GSON1112070015")</f>
        <v>#NAME?</v>
      </c>
      <c r="I914" s="4" t="e">
        <f ca="1">[1]!BexGetData("DP_1","003N8EMH8GTFRCSWKMPXRSAE6","GSON1112070015")</f>
        <v>#NAME?</v>
      </c>
      <c r="J914" s="4" t="e">
        <f ca="1">[1]!BexGetData("DP_1","003N8EMH8GTFRCSWKMPXRSGPQ","GSON1112070015")</f>
        <v>#NAME?</v>
      </c>
      <c r="K914" s="8" t="e">
        <f ca="1">[1]!BexGetData("DP_1","003N8EMH8GTFRIVNUPY288VJH","GSON1112070015")</f>
        <v>#NAME?</v>
      </c>
      <c r="L914" s="8" t="e">
        <f ca="1">[1]!BexGetData("DP_1","003N8EMH8GTFRIVNUPY2891V1","GSON1112070015")</f>
        <v>#NAME?</v>
      </c>
      <c r="M914" s="8" t="e">
        <f ca="1">[1]!BexGetData("DP_1","003N8EMH8GTFRIVOG7KG9IQXA","GSON1112070015")</f>
        <v>#NAME?</v>
      </c>
      <c r="N914" s="8" t="e">
        <f ca="1">[1]!BexGetData("DP_1","003N8EMH8GTFRIVOG7KG9IX8U","GSON1112070015")</f>
        <v>#NAME?</v>
      </c>
      <c r="O914" s="8" t="e">
        <f ca="1">[1]!BexGetData("DP_1","003N8EMH8GTFRIVOG7KG9J3KE","GSON1112070015")</f>
        <v>#NAME?</v>
      </c>
      <c r="P914" s="8" t="e">
        <f ca="1">[1]!BexGetData("DP_1","003N8EMH8GTFRIVOG7KG9J9VY","GSON1112070015")</f>
        <v>#NAME?</v>
      </c>
      <c r="Q914" s="4" t="e">
        <f ca="1">[1]!BexGetData("DP_1","00O2TNJGODT0G5Z4TTKYMM5MT","GSON1112070015")</f>
        <v>#NAME?</v>
      </c>
      <c r="R914" s="4" t="e">
        <f ca="1">[1]!BexGetData("DP_1","00O2TNJGODT0G5Z4TTKYMMBYD","GSON1112070015")</f>
        <v>#NAME?</v>
      </c>
      <c r="S914" s="4" t="e">
        <f ca="1">[1]!BexGetData("DP_1","00O2TNJGODT0G5Z4TTKYMMI9X","GSON1112070015")</f>
        <v>#NAME?</v>
      </c>
      <c r="T914" s="4" t="e">
        <f ca="1">[1]!BexGetData("DP_1","00O2TNJGODT0G5Z4TTKYMMOLH","GSON1112070015")</f>
        <v>#NAME?</v>
      </c>
      <c r="U914" s="4" t="e">
        <f ca="1">[1]!BexGetData("DP_1","00O2TNJGODT0G5Z4TTKYMMUX1","GSON1112070015")</f>
        <v>#NAME?</v>
      </c>
      <c r="V914" s="4" t="e">
        <f ca="1">[1]!BexGetData("DP_1","00O2TNJGODT0G5Z4TTKYMN18L","GSON1112070015")</f>
        <v>#NAME?</v>
      </c>
      <c r="W914" s="4" t="e">
        <f ca="1">[1]!BexGetData("DP_1","00O2TNJGODT0G5Z4TTKYMN7K5","GSON1112070015")</f>
        <v>#NAME?</v>
      </c>
    </row>
    <row r="915" spans="1:23" x14ac:dyDescent="0.2">
      <c r="A915" s="16" t="s">
        <v>986</v>
      </c>
      <c r="B915" s="7" t="s">
        <v>987</v>
      </c>
      <c r="C915" s="3" t="e">
        <f ca="1">[1]!BexGetData("DP_1","003N8EMH8GTFRCSWKMPXRR8GU","GSON1112070020")</f>
        <v>#NAME?</v>
      </c>
      <c r="D915" s="3" t="e">
        <f ca="1">[1]!BexGetData("DP_1","003N8EMH8GTFRCSWKMPXRRESE","GSON1112070020")</f>
        <v>#NAME?</v>
      </c>
      <c r="E915" s="3" t="e">
        <f ca="1">[1]!BexGetData("DP_1","003N8EMH8GTFRCSWKMPXRRL3Y","GSON1112070020")</f>
        <v>#NAME?</v>
      </c>
      <c r="F915" s="3" t="e">
        <f ca="1">[1]!BexGetData("DP_1","003N8EMH8GTFRCSWKMPXRRRFI","GSON1112070020")</f>
        <v>#NAME?</v>
      </c>
      <c r="G915" s="3" t="e">
        <f ca="1">[1]!BexGetData("DP_1","003N8EMH8GTFRCSWKMPXRRXR2","GSON1112070020")</f>
        <v>#NAME?</v>
      </c>
      <c r="H915" s="8" t="e">
        <f ca="1">[1]!BexGetData("DP_1","003N8EMH8GTFRCSWKMPXRS42M","GSON1112070020")</f>
        <v>#NAME?</v>
      </c>
      <c r="I915" s="3" t="e">
        <f ca="1">[1]!BexGetData("DP_1","003N8EMH8GTFRCSWKMPXRSAE6","GSON1112070020")</f>
        <v>#NAME?</v>
      </c>
      <c r="J915" s="4" t="e">
        <f ca="1">[1]!BexGetData("DP_1","003N8EMH8GTFRCSWKMPXRSGPQ","GSON1112070020")</f>
        <v>#NAME?</v>
      </c>
      <c r="K915" s="3" t="e">
        <f ca="1">[1]!BexGetData("DP_1","003N8EMH8GTFRIVNUPY288VJH","GSON1112070020")</f>
        <v>#NAME?</v>
      </c>
      <c r="L915" s="3" t="e">
        <f ca="1">[1]!BexGetData("DP_1","003N8EMH8GTFRIVNUPY2891V1","GSON1112070020")</f>
        <v>#NAME?</v>
      </c>
      <c r="M915" s="8" t="e">
        <f ca="1">[1]!BexGetData("DP_1","003N8EMH8GTFRIVOG7KG9IQXA","GSON1112070020")</f>
        <v>#NAME?</v>
      </c>
      <c r="N915" s="3" t="e">
        <f ca="1">[1]!BexGetData("DP_1","003N8EMH8GTFRIVOG7KG9IX8U","GSON1112070020")</f>
        <v>#NAME?</v>
      </c>
      <c r="O915" s="8" t="e">
        <f ca="1">[1]!BexGetData("DP_1","003N8EMH8GTFRIVOG7KG9J3KE","GSON1112070020")</f>
        <v>#NAME?</v>
      </c>
      <c r="P915" s="3" t="e">
        <f ca="1">[1]!BexGetData("DP_1","003N8EMH8GTFRIVOG7KG9J9VY","GSON1112070020")</f>
        <v>#NAME?</v>
      </c>
      <c r="Q915" s="4" t="e">
        <f ca="1">[1]!BexGetData("DP_1","00O2TNJGODT0G5Z4TTKYMM5MT","GSON1112070020")</f>
        <v>#NAME?</v>
      </c>
      <c r="R915" s="3" t="e">
        <f ca="1">[1]!BexGetData("DP_1","00O2TNJGODT0G5Z4TTKYMMBYD","GSON1112070020")</f>
        <v>#NAME?</v>
      </c>
      <c r="S915" s="3" t="e">
        <f ca="1">[1]!BexGetData("DP_1","00O2TNJGODT0G5Z4TTKYMMI9X","GSON1112070020")</f>
        <v>#NAME?</v>
      </c>
      <c r="T915" s="8" t="e">
        <f ca="1">[1]!BexGetData("DP_1","00O2TNJGODT0G5Z4TTKYMMOLH","GSON1112070020")</f>
        <v>#NAME?</v>
      </c>
      <c r="U915" s="3" t="e">
        <f ca="1">[1]!BexGetData("DP_1","00O2TNJGODT0G5Z4TTKYMMUX1","GSON1112070020")</f>
        <v>#NAME?</v>
      </c>
      <c r="V915" s="8" t="e">
        <f ca="1">[1]!BexGetData("DP_1","00O2TNJGODT0G5Z4TTKYMN18L","GSON1112070020")</f>
        <v>#NAME?</v>
      </c>
      <c r="W915" s="3" t="e">
        <f ca="1">[1]!BexGetData("DP_1","00O2TNJGODT0G5Z4TTKYMN7K5","GSON1112070020")</f>
        <v>#NAME?</v>
      </c>
    </row>
    <row r="916" spans="1:23" x14ac:dyDescent="0.2">
      <c r="A916" s="16" t="s">
        <v>3141</v>
      </c>
      <c r="B916" s="7" t="s">
        <v>3142</v>
      </c>
      <c r="C916" s="3" t="e">
        <f ca="1">[1]!BexGetData("DP_1","003N8EMH8GTFRCSWKMPXRR8GU","GSON1112070021")</f>
        <v>#NAME?</v>
      </c>
      <c r="D916" s="3" t="e">
        <f ca="1">[1]!BexGetData("DP_1","003N8EMH8GTFRCSWKMPXRRESE","GSON1112070021")</f>
        <v>#NAME?</v>
      </c>
      <c r="E916" s="8" t="e">
        <f ca="1">[1]!BexGetData("DP_1","003N8EMH8GTFRCSWKMPXRRL3Y","GSON1112070021")</f>
        <v>#NAME?</v>
      </c>
      <c r="F916" s="4" t="e">
        <f ca="1">[1]!BexGetData("DP_1","003N8EMH8GTFRCSWKMPXRRRFI","GSON1112070021")</f>
        <v>#NAME?</v>
      </c>
      <c r="G916" s="4" t="e">
        <f ca="1">[1]!BexGetData("DP_1","003N8EMH8GTFRCSWKMPXRRXR2","GSON1112070021")</f>
        <v>#NAME?</v>
      </c>
      <c r="H916" s="4" t="e">
        <f ca="1">[1]!BexGetData("DP_1","003N8EMH8GTFRCSWKMPXRS42M","GSON1112070021")</f>
        <v>#NAME?</v>
      </c>
      <c r="I916" s="4" t="e">
        <f ca="1">[1]!BexGetData("DP_1","003N8EMH8GTFRCSWKMPXRSAE6","GSON1112070021")</f>
        <v>#NAME?</v>
      </c>
      <c r="J916" s="4" t="e">
        <f ca="1">[1]!BexGetData("DP_1","003N8EMH8GTFRCSWKMPXRSGPQ","GSON1112070021")</f>
        <v>#NAME?</v>
      </c>
      <c r="K916" s="8" t="e">
        <f ca="1">[1]!BexGetData("DP_1","003N8EMH8GTFRIVNUPY288VJH","GSON1112070021")</f>
        <v>#NAME?</v>
      </c>
      <c r="L916" s="8" t="e">
        <f ca="1">[1]!BexGetData("DP_1","003N8EMH8GTFRIVNUPY2891V1","GSON1112070021")</f>
        <v>#NAME?</v>
      </c>
      <c r="M916" s="8" t="e">
        <f ca="1">[1]!BexGetData("DP_1","003N8EMH8GTFRIVOG7KG9IQXA","GSON1112070021")</f>
        <v>#NAME?</v>
      </c>
      <c r="N916" s="8" t="e">
        <f ca="1">[1]!BexGetData("DP_1","003N8EMH8GTFRIVOG7KG9IX8U","GSON1112070021")</f>
        <v>#NAME?</v>
      </c>
      <c r="O916" s="8" t="e">
        <f ca="1">[1]!BexGetData("DP_1","003N8EMH8GTFRIVOG7KG9J3KE","GSON1112070021")</f>
        <v>#NAME?</v>
      </c>
      <c r="P916" s="8" t="e">
        <f ca="1">[1]!BexGetData("DP_1","003N8EMH8GTFRIVOG7KG9J9VY","GSON1112070021")</f>
        <v>#NAME?</v>
      </c>
      <c r="Q916" s="4" t="e">
        <f ca="1">[1]!BexGetData("DP_1","00O2TNJGODT0G5Z4TTKYMM5MT","GSON1112070021")</f>
        <v>#NAME?</v>
      </c>
      <c r="R916" s="4" t="e">
        <f ca="1">[1]!BexGetData("DP_1","00O2TNJGODT0G5Z4TTKYMMBYD","GSON1112070021")</f>
        <v>#NAME?</v>
      </c>
      <c r="S916" s="4" t="e">
        <f ca="1">[1]!BexGetData("DP_1","00O2TNJGODT0G5Z4TTKYMMI9X","GSON1112070021")</f>
        <v>#NAME?</v>
      </c>
      <c r="T916" s="4" t="e">
        <f ca="1">[1]!BexGetData("DP_1","00O2TNJGODT0G5Z4TTKYMMOLH","GSON1112070021")</f>
        <v>#NAME?</v>
      </c>
      <c r="U916" s="4" t="e">
        <f ca="1">[1]!BexGetData("DP_1","00O2TNJGODT0G5Z4TTKYMMUX1","GSON1112070021")</f>
        <v>#NAME?</v>
      </c>
      <c r="V916" s="4" t="e">
        <f ca="1">[1]!BexGetData("DP_1","00O2TNJGODT0G5Z4TTKYMN18L","GSON1112070021")</f>
        <v>#NAME?</v>
      </c>
      <c r="W916" s="4" t="e">
        <f ca="1">[1]!BexGetData("DP_1","00O2TNJGODT0G5Z4TTKYMN7K5","GSON1112070021")</f>
        <v>#NAME?</v>
      </c>
    </row>
    <row r="917" spans="1:23" x14ac:dyDescent="0.2">
      <c r="A917" s="16" t="s">
        <v>3143</v>
      </c>
      <c r="B917" s="7" t="s">
        <v>3144</v>
      </c>
      <c r="C917" s="3" t="e">
        <f ca="1">[1]!BexGetData("DP_1","003N8EMH8GTFRCSWKMPXRR8GU","GSON1112070022")</f>
        <v>#NAME?</v>
      </c>
      <c r="D917" s="3" t="e">
        <f ca="1">[1]!BexGetData("DP_1","003N8EMH8GTFRCSWKMPXRRESE","GSON1112070022")</f>
        <v>#NAME?</v>
      </c>
      <c r="E917" s="8" t="e">
        <f ca="1">[1]!BexGetData("DP_1","003N8EMH8GTFRCSWKMPXRRL3Y","GSON1112070022")</f>
        <v>#NAME?</v>
      </c>
      <c r="F917" s="4" t="e">
        <f ca="1">[1]!BexGetData("DP_1","003N8EMH8GTFRCSWKMPXRRRFI","GSON1112070022")</f>
        <v>#NAME?</v>
      </c>
      <c r="G917" s="4" t="e">
        <f ca="1">[1]!BexGetData("DP_1","003N8EMH8GTFRCSWKMPXRRXR2","GSON1112070022")</f>
        <v>#NAME?</v>
      </c>
      <c r="H917" s="4" t="e">
        <f ca="1">[1]!BexGetData("DP_1","003N8EMH8GTFRCSWKMPXRS42M","GSON1112070022")</f>
        <v>#NAME?</v>
      </c>
      <c r="I917" s="4" t="e">
        <f ca="1">[1]!BexGetData("DP_1","003N8EMH8GTFRCSWKMPXRSAE6","GSON1112070022")</f>
        <v>#NAME?</v>
      </c>
      <c r="J917" s="4" t="e">
        <f ca="1">[1]!BexGetData("DP_1","003N8EMH8GTFRCSWKMPXRSGPQ","GSON1112070022")</f>
        <v>#NAME?</v>
      </c>
      <c r="K917" s="8" t="e">
        <f ca="1">[1]!BexGetData("DP_1","003N8EMH8GTFRIVNUPY288VJH","GSON1112070022")</f>
        <v>#NAME?</v>
      </c>
      <c r="L917" s="8" t="e">
        <f ca="1">[1]!BexGetData("DP_1","003N8EMH8GTFRIVNUPY2891V1","GSON1112070022")</f>
        <v>#NAME?</v>
      </c>
      <c r="M917" s="8" t="e">
        <f ca="1">[1]!BexGetData("DP_1","003N8EMH8GTFRIVOG7KG9IQXA","GSON1112070022")</f>
        <v>#NAME?</v>
      </c>
      <c r="N917" s="8" t="e">
        <f ca="1">[1]!BexGetData("DP_1","003N8EMH8GTFRIVOG7KG9IX8U","GSON1112070022")</f>
        <v>#NAME?</v>
      </c>
      <c r="O917" s="8" t="e">
        <f ca="1">[1]!BexGetData("DP_1","003N8EMH8GTFRIVOG7KG9J3KE","GSON1112070022")</f>
        <v>#NAME?</v>
      </c>
      <c r="P917" s="8" t="e">
        <f ca="1">[1]!BexGetData("DP_1","003N8EMH8GTFRIVOG7KG9J9VY","GSON1112070022")</f>
        <v>#NAME?</v>
      </c>
      <c r="Q917" s="4" t="e">
        <f ca="1">[1]!BexGetData("DP_1","00O2TNJGODT0G5Z4TTKYMM5MT","GSON1112070022")</f>
        <v>#NAME?</v>
      </c>
      <c r="R917" s="4" t="e">
        <f ca="1">[1]!BexGetData("DP_1","00O2TNJGODT0G5Z4TTKYMMBYD","GSON1112070022")</f>
        <v>#NAME?</v>
      </c>
      <c r="S917" s="4" t="e">
        <f ca="1">[1]!BexGetData("DP_1","00O2TNJGODT0G5Z4TTKYMMI9X","GSON1112070022")</f>
        <v>#NAME?</v>
      </c>
      <c r="T917" s="4" t="e">
        <f ca="1">[1]!BexGetData("DP_1","00O2TNJGODT0G5Z4TTKYMMOLH","GSON1112070022")</f>
        <v>#NAME?</v>
      </c>
      <c r="U917" s="4" t="e">
        <f ca="1">[1]!BexGetData("DP_1","00O2TNJGODT0G5Z4TTKYMMUX1","GSON1112070022")</f>
        <v>#NAME?</v>
      </c>
      <c r="V917" s="4" t="e">
        <f ca="1">[1]!BexGetData("DP_1","00O2TNJGODT0G5Z4TTKYMN18L","GSON1112070022")</f>
        <v>#NAME?</v>
      </c>
      <c r="W917" s="4" t="e">
        <f ca="1">[1]!BexGetData("DP_1","00O2TNJGODT0G5Z4TTKYMN7K5","GSON1112070022")</f>
        <v>#NAME?</v>
      </c>
    </row>
    <row r="918" spans="1:23" x14ac:dyDescent="0.2">
      <c r="A918" s="16" t="s">
        <v>3145</v>
      </c>
      <c r="B918" s="7" t="s">
        <v>3146</v>
      </c>
      <c r="C918" s="3" t="e">
        <f ca="1">[1]!BexGetData("DP_1","003N8EMH8GTFRCSWKMPXRR8GU","GSON1112070023")</f>
        <v>#NAME?</v>
      </c>
      <c r="D918" s="3" t="e">
        <f ca="1">[1]!BexGetData("DP_1","003N8EMH8GTFRCSWKMPXRRESE","GSON1112070023")</f>
        <v>#NAME?</v>
      </c>
      <c r="E918" s="8" t="e">
        <f ca="1">[1]!BexGetData("DP_1","003N8EMH8GTFRCSWKMPXRRL3Y","GSON1112070023")</f>
        <v>#NAME?</v>
      </c>
      <c r="F918" s="4" t="e">
        <f ca="1">[1]!BexGetData("DP_1","003N8EMH8GTFRCSWKMPXRRRFI","GSON1112070023")</f>
        <v>#NAME?</v>
      </c>
      <c r="G918" s="4" t="e">
        <f ca="1">[1]!BexGetData("DP_1","003N8EMH8GTFRCSWKMPXRRXR2","GSON1112070023")</f>
        <v>#NAME?</v>
      </c>
      <c r="H918" s="4" t="e">
        <f ca="1">[1]!BexGetData("DP_1","003N8EMH8GTFRCSWKMPXRS42M","GSON1112070023")</f>
        <v>#NAME?</v>
      </c>
      <c r="I918" s="4" t="e">
        <f ca="1">[1]!BexGetData("DP_1","003N8EMH8GTFRCSWKMPXRSAE6","GSON1112070023")</f>
        <v>#NAME?</v>
      </c>
      <c r="J918" s="4" t="e">
        <f ca="1">[1]!BexGetData("DP_1","003N8EMH8GTFRCSWKMPXRSGPQ","GSON1112070023")</f>
        <v>#NAME?</v>
      </c>
      <c r="K918" s="8" t="e">
        <f ca="1">[1]!BexGetData("DP_1","003N8EMH8GTFRIVNUPY288VJH","GSON1112070023")</f>
        <v>#NAME?</v>
      </c>
      <c r="L918" s="8" t="e">
        <f ca="1">[1]!BexGetData("DP_1","003N8EMH8GTFRIVNUPY2891V1","GSON1112070023")</f>
        <v>#NAME?</v>
      </c>
      <c r="M918" s="8" t="e">
        <f ca="1">[1]!BexGetData("DP_1","003N8EMH8GTFRIVOG7KG9IQXA","GSON1112070023")</f>
        <v>#NAME?</v>
      </c>
      <c r="N918" s="8" t="e">
        <f ca="1">[1]!BexGetData("DP_1","003N8EMH8GTFRIVOG7KG9IX8U","GSON1112070023")</f>
        <v>#NAME?</v>
      </c>
      <c r="O918" s="8" t="e">
        <f ca="1">[1]!BexGetData("DP_1","003N8EMH8GTFRIVOG7KG9J3KE","GSON1112070023")</f>
        <v>#NAME?</v>
      </c>
      <c r="P918" s="8" t="e">
        <f ca="1">[1]!BexGetData("DP_1","003N8EMH8GTFRIVOG7KG9J9VY","GSON1112070023")</f>
        <v>#NAME?</v>
      </c>
      <c r="Q918" s="4" t="e">
        <f ca="1">[1]!BexGetData("DP_1","00O2TNJGODT0G5Z4TTKYMM5MT","GSON1112070023")</f>
        <v>#NAME?</v>
      </c>
      <c r="R918" s="4" t="e">
        <f ca="1">[1]!BexGetData("DP_1","00O2TNJGODT0G5Z4TTKYMMBYD","GSON1112070023")</f>
        <v>#NAME?</v>
      </c>
      <c r="S918" s="4" t="e">
        <f ca="1">[1]!BexGetData("DP_1","00O2TNJGODT0G5Z4TTKYMMI9X","GSON1112070023")</f>
        <v>#NAME?</v>
      </c>
      <c r="T918" s="4" t="e">
        <f ca="1">[1]!BexGetData("DP_1","00O2TNJGODT0G5Z4TTKYMMOLH","GSON1112070023")</f>
        <v>#NAME?</v>
      </c>
      <c r="U918" s="4" t="e">
        <f ca="1">[1]!BexGetData("DP_1","00O2TNJGODT0G5Z4TTKYMMUX1","GSON1112070023")</f>
        <v>#NAME?</v>
      </c>
      <c r="V918" s="4" t="e">
        <f ca="1">[1]!BexGetData("DP_1","00O2TNJGODT0G5Z4TTKYMN18L","GSON1112070023")</f>
        <v>#NAME?</v>
      </c>
      <c r="W918" s="4" t="e">
        <f ca="1">[1]!BexGetData("DP_1","00O2TNJGODT0G5Z4TTKYMN7K5","GSON1112070023")</f>
        <v>#NAME?</v>
      </c>
    </row>
    <row r="919" spans="1:23" x14ac:dyDescent="0.2">
      <c r="A919" s="16" t="s">
        <v>3147</v>
      </c>
      <c r="B919" s="7" t="s">
        <v>3148</v>
      </c>
      <c r="C919" s="3" t="e">
        <f ca="1">[1]!BexGetData("DP_1","003N8EMH8GTFRCSWKMPXRR8GU","GSON1112070024")</f>
        <v>#NAME?</v>
      </c>
      <c r="D919" s="3" t="e">
        <f ca="1">[1]!BexGetData("DP_1","003N8EMH8GTFRCSWKMPXRRESE","GSON1112070024")</f>
        <v>#NAME?</v>
      </c>
      <c r="E919" s="8" t="e">
        <f ca="1">[1]!BexGetData("DP_1","003N8EMH8GTFRCSWKMPXRRL3Y","GSON1112070024")</f>
        <v>#NAME?</v>
      </c>
      <c r="F919" s="4" t="e">
        <f ca="1">[1]!BexGetData("DP_1","003N8EMH8GTFRCSWKMPXRRRFI","GSON1112070024")</f>
        <v>#NAME?</v>
      </c>
      <c r="G919" s="4" t="e">
        <f ca="1">[1]!BexGetData("DP_1","003N8EMH8GTFRCSWKMPXRRXR2","GSON1112070024")</f>
        <v>#NAME?</v>
      </c>
      <c r="H919" s="4" t="e">
        <f ca="1">[1]!BexGetData("DP_1","003N8EMH8GTFRCSWKMPXRS42M","GSON1112070024")</f>
        <v>#NAME?</v>
      </c>
      <c r="I919" s="4" t="e">
        <f ca="1">[1]!BexGetData("DP_1","003N8EMH8GTFRCSWKMPXRSAE6","GSON1112070024")</f>
        <v>#NAME?</v>
      </c>
      <c r="J919" s="4" t="e">
        <f ca="1">[1]!BexGetData("DP_1","003N8EMH8GTFRCSWKMPXRSGPQ","GSON1112070024")</f>
        <v>#NAME?</v>
      </c>
      <c r="K919" s="8" t="e">
        <f ca="1">[1]!BexGetData("DP_1","003N8EMH8GTFRIVNUPY288VJH","GSON1112070024")</f>
        <v>#NAME?</v>
      </c>
      <c r="L919" s="8" t="e">
        <f ca="1">[1]!BexGetData("DP_1","003N8EMH8GTFRIVNUPY2891V1","GSON1112070024")</f>
        <v>#NAME?</v>
      </c>
      <c r="M919" s="8" t="e">
        <f ca="1">[1]!BexGetData("DP_1","003N8EMH8GTFRIVOG7KG9IQXA","GSON1112070024")</f>
        <v>#NAME?</v>
      </c>
      <c r="N919" s="8" t="e">
        <f ca="1">[1]!BexGetData("DP_1","003N8EMH8GTFRIVOG7KG9IX8U","GSON1112070024")</f>
        <v>#NAME?</v>
      </c>
      <c r="O919" s="8" t="e">
        <f ca="1">[1]!BexGetData("DP_1","003N8EMH8GTFRIVOG7KG9J3KE","GSON1112070024")</f>
        <v>#NAME?</v>
      </c>
      <c r="P919" s="8" t="e">
        <f ca="1">[1]!BexGetData("DP_1","003N8EMH8GTFRIVOG7KG9J9VY","GSON1112070024")</f>
        <v>#NAME?</v>
      </c>
      <c r="Q919" s="4" t="e">
        <f ca="1">[1]!BexGetData("DP_1","00O2TNJGODT0G5Z4TTKYMM5MT","GSON1112070024")</f>
        <v>#NAME?</v>
      </c>
      <c r="R919" s="4" t="e">
        <f ca="1">[1]!BexGetData("DP_1","00O2TNJGODT0G5Z4TTKYMMBYD","GSON1112070024")</f>
        <v>#NAME?</v>
      </c>
      <c r="S919" s="4" t="e">
        <f ca="1">[1]!BexGetData("DP_1","00O2TNJGODT0G5Z4TTKYMMI9X","GSON1112070024")</f>
        <v>#NAME?</v>
      </c>
      <c r="T919" s="4" t="e">
        <f ca="1">[1]!BexGetData("DP_1","00O2TNJGODT0G5Z4TTKYMMOLH","GSON1112070024")</f>
        <v>#NAME?</v>
      </c>
      <c r="U919" s="4" t="e">
        <f ca="1">[1]!BexGetData("DP_1","00O2TNJGODT0G5Z4TTKYMMUX1","GSON1112070024")</f>
        <v>#NAME?</v>
      </c>
      <c r="V919" s="4" t="e">
        <f ca="1">[1]!BexGetData("DP_1","00O2TNJGODT0G5Z4TTKYMN18L","GSON1112070024")</f>
        <v>#NAME?</v>
      </c>
      <c r="W919" s="4" t="e">
        <f ca="1">[1]!BexGetData("DP_1","00O2TNJGODT0G5Z4TTKYMN7K5","GSON1112070024")</f>
        <v>#NAME?</v>
      </c>
    </row>
    <row r="920" spans="1:23" x14ac:dyDescent="0.2">
      <c r="A920" s="16" t="s">
        <v>988</v>
      </c>
      <c r="B920" s="7" t="s">
        <v>989</v>
      </c>
      <c r="C920" s="3" t="e">
        <f ca="1">[1]!BexGetData("DP_1","003N8EMH8GTFRCSWKMPXRR8GU","GSON1112070025")</f>
        <v>#NAME?</v>
      </c>
      <c r="D920" s="3" t="e">
        <f ca="1">[1]!BexGetData("DP_1","003N8EMH8GTFRCSWKMPXRRESE","GSON1112070025")</f>
        <v>#NAME?</v>
      </c>
      <c r="E920" s="8" t="e">
        <f ca="1">[1]!BexGetData("DP_1","003N8EMH8GTFRCSWKMPXRRL3Y","GSON1112070025")</f>
        <v>#NAME?</v>
      </c>
      <c r="F920" s="4" t="e">
        <f ca="1">[1]!BexGetData("DP_1","003N8EMH8GTFRCSWKMPXRRRFI","GSON1112070025")</f>
        <v>#NAME?</v>
      </c>
      <c r="G920" s="4" t="e">
        <f ca="1">[1]!BexGetData("DP_1","003N8EMH8GTFRCSWKMPXRRXR2","GSON1112070025")</f>
        <v>#NAME?</v>
      </c>
      <c r="H920" s="4" t="e">
        <f ca="1">[1]!BexGetData("DP_1","003N8EMH8GTFRCSWKMPXRS42M","GSON1112070025")</f>
        <v>#NAME?</v>
      </c>
      <c r="I920" s="4" t="e">
        <f ca="1">[1]!BexGetData("DP_1","003N8EMH8GTFRCSWKMPXRSAE6","GSON1112070025")</f>
        <v>#NAME?</v>
      </c>
      <c r="J920" s="4" t="e">
        <f ca="1">[1]!BexGetData("DP_1","003N8EMH8GTFRCSWKMPXRSGPQ","GSON1112070025")</f>
        <v>#NAME?</v>
      </c>
      <c r="K920" s="8" t="e">
        <f ca="1">[1]!BexGetData("DP_1","003N8EMH8GTFRIVNUPY288VJH","GSON1112070025")</f>
        <v>#NAME?</v>
      </c>
      <c r="L920" s="8" t="e">
        <f ca="1">[1]!BexGetData("DP_1","003N8EMH8GTFRIVNUPY2891V1","GSON1112070025")</f>
        <v>#NAME?</v>
      </c>
      <c r="M920" s="8" t="e">
        <f ca="1">[1]!BexGetData("DP_1","003N8EMH8GTFRIVOG7KG9IQXA","GSON1112070025")</f>
        <v>#NAME?</v>
      </c>
      <c r="N920" s="8" t="e">
        <f ca="1">[1]!BexGetData("DP_1","003N8EMH8GTFRIVOG7KG9IX8U","GSON1112070025")</f>
        <v>#NAME?</v>
      </c>
      <c r="O920" s="8" t="e">
        <f ca="1">[1]!BexGetData("DP_1","003N8EMH8GTFRIVOG7KG9J3KE","GSON1112070025")</f>
        <v>#NAME?</v>
      </c>
      <c r="P920" s="8" t="e">
        <f ca="1">[1]!BexGetData("DP_1","003N8EMH8GTFRIVOG7KG9J9VY","GSON1112070025")</f>
        <v>#NAME?</v>
      </c>
      <c r="Q920" s="4" t="e">
        <f ca="1">[1]!BexGetData("DP_1","00O2TNJGODT0G5Z4TTKYMM5MT","GSON1112070025")</f>
        <v>#NAME?</v>
      </c>
      <c r="R920" s="4" t="e">
        <f ca="1">[1]!BexGetData("DP_1","00O2TNJGODT0G5Z4TTKYMMBYD","GSON1112070025")</f>
        <v>#NAME?</v>
      </c>
      <c r="S920" s="4" t="e">
        <f ca="1">[1]!BexGetData("DP_1","00O2TNJGODT0G5Z4TTKYMMI9X","GSON1112070025")</f>
        <v>#NAME?</v>
      </c>
      <c r="T920" s="4" t="e">
        <f ca="1">[1]!BexGetData("DP_1","00O2TNJGODT0G5Z4TTKYMMOLH","GSON1112070025")</f>
        <v>#NAME?</v>
      </c>
      <c r="U920" s="4" t="e">
        <f ca="1">[1]!BexGetData("DP_1","00O2TNJGODT0G5Z4TTKYMMUX1","GSON1112070025")</f>
        <v>#NAME?</v>
      </c>
      <c r="V920" s="4" t="e">
        <f ca="1">[1]!BexGetData("DP_1","00O2TNJGODT0G5Z4TTKYMN18L","GSON1112070025")</f>
        <v>#NAME?</v>
      </c>
      <c r="W920" s="4" t="e">
        <f ca="1">[1]!BexGetData("DP_1","00O2TNJGODT0G5Z4TTKYMN7K5","GSON1112070025")</f>
        <v>#NAME?</v>
      </c>
    </row>
    <row r="921" spans="1:23" x14ac:dyDescent="0.2">
      <c r="A921" s="16" t="s">
        <v>990</v>
      </c>
      <c r="B921" s="7" t="s">
        <v>991</v>
      </c>
      <c r="C921" s="3" t="e">
        <f ca="1">[1]!BexGetData("DP_1","003N8EMH8GTFRCSWKMPXRR8GU","GSON1112070030")</f>
        <v>#NAME?</v>
      </c>
      <c r="D921" s="8" t="e">
        <f ca="1">[1]!BexGetData("DP_1","003N8EMH8GTFRCSWKMPXRRESE","GSON1112070030")</f>
        <v>#NAME?</v>
      </c>
      <c r="E921" s="3" t="e">
        <f ca="1">[1]!BexGetData("DP_1","003N8EMH8GTFRCSWKMPXRRL3Y","GSON1112070030")</f>
        <v>#NAME?</v>
      </c>
      <c r="F921" s="3" t="e">
        <f ca="1">[1]!BexGetData("DP_1","003N8EMH8GTFRCSWKMPXRRRFI","GSON1112070030")</f>
        <v>#NAME?</v>
      </c>
      <c r="G921" s="3" t="e">
        <f ca="1">[1]!BexGetData("DP_1","003N8EMH8GTFRCSWKMPXRRXR2","GSON1112070030")</f>
        <v>#NAME?</v>
      </c>
      <c r="H921" s="8" t="e">
        <f ca="1">[1]!BexGetData("DP_1","003N8EMH8GTFRCSWKMPXRS42M","GSON1112070030")</f>
        <v>#NAME?</v>
      </c>
      <c r="I921" s="3" t="e">
        <f ca="1">[1]!BexGetData("DP_1","003N8EMH8GTFRCSWKMPXRSAE6","GSON1112070030")</f>
        <v>#NAME?</v>
      </c>
      <c r="J921" s="4" t="e">
        <f ca="1">[1]!BexGetData("DP_1","003N8EMH8GTFRCSWKMPXRSGPQ","GSON1112070030")</f>
        <v>#NAME?</v>
      </c>
      <c r="K921" s="3" t="e">
        <f ca="1">[1]!BexGetData("DP_1","003N8EMH8GTFRIVNUPY288VJH","GSON1112070030")</f>
        <v>#NAME?</v>
      </c>
      <c r="L921" s="3" t="e">
        <f ca="1">[1]!BexGetData("DP_1","003N8EMH8GTFRIVNUPY2891V1","GSON1112070030")</f>
        <v>#NAME?</v>
      </c>
      <c r="M921" s="8" t="e">
        <f ca="1">[1]!BexGetData("DP_1","003N8EMH8GTFRIVOG7KG9IQXA","GSON1112070030")</f>
        <v>#NAME?</v>
      </c>
      <c r="N921" s="3" t="e">
        <f ca="1">[1]!BexGetData("DP_1","003N8EMH8GTFRIVOG7KG9IX8U","GSON1112070030")</f>
        <v>#NAME?</v>
      </c>
      <c r="O921" s="8" t="e">
        <f ca="1">[1]!BexGetData("DP_1","003N8EMH8GTFRIVOG7KG9J3KE","GSON1112070030")</f>
        <v>#NAME?</v>
      </c>
      <c r="P921" s="3" t="e">
        <f ca="1">[1]!BexGetData("DP_1","003N8EMH8GTFRIVOG7KG9J9VY","GSON1112070030")</f>
        <v>#NAME?</v>
      </c>
      <c r="Q921" s="4" t="e">
        <f ca="1">[1]!BexGetData("DP_1","00O2TNJGODT0G5Z4TTKYMM5MT","GSON1112070030")</f>
        <v>#NAME?</v>
      </c>
      <c r="R921" s="3" t="e">
        <f ca="1">[1]!BexGetData("DP_1","00O2TNJGODT0G5Z4TTKYMMBYD","GSON1112070030")</f>
        <v>#NAME?</v>
      </c>
      <c r="S921" s="3" t="e">
        <f ca="1">[1]!BexGetData("DP_1","00O2TNJGODT0G5Z4TTKYMMI9X","GSON1112070030")</f>
        <v>#NAME?</v>
      </c>
      <c r="T921" s="8" t="e">
        <f ca="1">[1]!BexGetData("DP_1","00O2TNJGODT0G5Z4TTKYMMOLH","GSON1112070030")</f>
        <v>#NAME?</v>
      </c>
      <c r="U921" s="3" t="e">
        <f ca="1">[1]!BexGetData("DP_1","00O2TNJGODT0G5Z4TTKYMMUX1","GSON1112070030")</f>
        <v>#NAME?</v>
      </c>
      <c r="V921" s="8" t="e">
        <f ca="1">[1]!BexGetData("DP_1","00O2TNJGODT0G5Z4TTKYMN18L","GSON1112070030")</f>
        <v>#NAME?</v>
      </c>
      <c r="W921" s="3" t="e">
        <f ca="1">[1]!BexGetData("DP_1","00O2TNJGODT0G5Z4TTKYMN7K5","GSON1112070030")</f>
        <v>#NAME?</v>
      </c>
    </row>
    <row r="922" spans="1:23" x14ac:dyDescent="0.2">
      <c r="A922" s="16" t="s">
        <v>3149</v>
      </c>
      <c r="B922" s="7" t="s">
        <v>3150</v>
      </c>
      <c r="C922" s="3" t="e">
        <f ca="1">[1]!BexGetData("DP_1","003N8EMH8GTFRCSWKMPXRR8GU","GSON1112070031")</f>
        <v>#NAME?</v>
      </c>
      <c r="D922" s="3" t="e">
        <f ca="1">[1]!BexGetData("DP_1","003N8EMH8GTFRCSWKMPXRRESE","GSON1112070031")</f>
        <v>#NAME?</v>
      </c>
      <c r="E922" s="8" t="e">
        <f ca="1">[1]!BexGetData("DP_1","003N8EMH8GTFRCSWKMPXRRL3Y","GSON1112070031")</f>
        <v>#NAME?</v>
      </c>
      <c r="F922" s="4" t="e">
        <f ca="1">[1]!BexGetData("DP_1","003N8EMH8GTFRCSWKMPXRRRFI","GSON1112070031")</f>
        <v>#NAME?</v>
      </c>
      <c r="G922" s="4" t="e">
        <f ca="1">[1]!BexGetData("DP_1","003N8EMH8GTFRCSWKMPXRRXR2","GSON1112070031")</f>
        <v>#NAME?</v>
      </c>
      <c r="H922" s="4" t="e">
        <f ca="1">[1]!BexGetData("DP_1","003N8EMH8GTFRCSWKMPXRS42M","GSON1112070031")</f>
        <v>#NAME?</v>
      </c>
      <c r="I922" s="4" t="e">
        <f ca="1">[1]!BexGetData("DP_1","003N8EMH8GTFRCSWKMPXRSAE6","GSON1112070031")</f>
        <v>#NAME?</v>
      </c>
      <c r="J922" s="4" t="e">
        <f ca="1">[1]!BexGetData("DP_1","003N8EMH8GTFRCSWKMPXRSGPQ","GSON1112070031")</f>
        <v>#NAME?</v>
      </c>
      <c r="K922" s="8" t="e">
        <f ca="1">[1]!BexGetData("DP_1","003N8EMH8GTFRIVNUPY288VJH","GSON1112070031")</f>
        <v>#NAME?</v>
      </c>
      <c r="L922" s="8" t="e">
        <f ca="1">[1]!BexGetData("DP_1","003N8EMH8GTFRIVNUPY2891V1","GSON1112070031")</f>
        <v>#NAME?</v>
      </c>
      <c r="M922" s="8" t="e">
        <f ca="1">[1]!BexGetData("DP_1","003N8EMH8GTFRIVOG7KG9IQXA","GSON1112070031")</f>
        <v>#NAME?</v>
      </c>
      <c r="N922" s="8" t="e">
        <f ca="1">[1]!BexGetData("DP_1","003N8EMH8GTFRIVOG7KG9IX8U","GSON1112070031")</f>
        <v>#NAME?</v>
      </c>
      <c r="O922" s="8" t="e">
        <f ca="1">[1]!BexGetData("DP_1","003N8EMH8GTFRIVOG7KG9J3KE","GSON1112070031")</f>
        <v>#NAME?</v>
      </c>
      <c r="P922" s="8" t="e">
        <f ca="1">[1]!BexGetData("DP_1","003N8EMH8GTFRIVOG7KG9J9VY","GSON1112070031")</f>
        <v>#NAME?</v>
      </c>
      <c r="Q922" s="4" t="e">
        <f ca="1">[1]!BexGetData("DP_1","00O2TNJGODT0G5Z4TTKYMM5MT","GSON1112070031")</f>
        <v>#NAME?</v>
      </c>
      <c r="R922" s="4" t="e">
        <f ca="1">[1]!BexGetData("DP_1","00O2TNJGODT0G5Z4TTKYMMBYD","GSON1112070031")</f>
        <v>#NAME?</v>
      </c>
      <c r="S922" s="4" t="e">
        <f ca="1">[1]!BexGetData("DP_1","00O2TNJGODT0G5Z4TTKYMMI9X","GSON1112070031")</f>
        <v>#NAME?</v>
      </c>
      <c r="T922" s="4" t="e">
        <f ca="1">[1]!BexGetData("DP_1","00O2TNJGODT0G5Z4TTKYMMOLH","GSON1112070031")</f>
        <v>#NAME?</v>
      </c>
      <c r="U922" s="4" t="e">
        <f ca="1">[1]!BexGetData("DP_1","00O2TNJGODT0G5Z4TTKYMMUX1","GSON1112070031")</f>
        <v>#NAME?</v>
      </c>
      <c r="V922" s="4" t="e">
        <f ca="1">[1]!BexGetData("DP_1","00O2TNJGODT0G5Z4TTKYMN18L","GSON1112070031")</f>
        <v>#NAME?</v>
      </c>
      <c r="W922" s="4" t="e">
        <f ca="1">[1]!BexGetData("DP_1","00O2TNJGODT0G5Z4TTKYMN7K5","GSON1112070031")</f>
        <v>#NAME?</v>
      </c>
    </row>
    <row r="923" spans="1:23" x14ac:dyDescent="0.2">
      <c r="A923" s="16" t="s">
        <v>992</v>
      </c>
      <c r="B923" s="7" t="s">
        <v>993</v>
      </c>
      <c r="C923" s="3" t="e">
        <f ca="1">[1]!BexGetData("DP_1","003N8EMH8GTFRCSWKMPXRR8GU","GSON1112070035")</f>
        <v>#NAME?</v>
      </c>
      <c r="D923" s="3" t="e">
        <f ca="1">[1]!BexGetData("DP_1","003N8EMH8GTFRCSWKMPXRRESE","GSON1112070035")</f>
        <v>#NAME?</v>
      </c>
      <c r="E923" s="8" t="e">
        <f ca="1">[1]!BexGetData("DP_1","003N8EMH8GTFRCSWKMPXRRL3Y","GSON1112070035")</f>
        <v>#NAME?</v>
      </c>
      <c r="F923" s="4" t="e">
        <f ca="1">[1]!BexGetData("DP_1","003N8EMH8GTFRCSWKMPXRRRFI","GSON1112070035")</f>
        <v>#NAME?</v>
      </c>
      <c r="G923" s="4" t="e">
        <f ca="1">[1]!BexGetData("DP_1","003N8EMH8GTFRCSWKMPXRRXR2","GSON1112070035")</f>
        <v>#NAME?</v>
      </c>
      <c r="H923" s="4" t="e">
        <f ca="1">[1]!BexGetData("DP_1","003N8EMH8GTFRCSWKMPXRS42M","GSON1112070035")</f>
        <v>#NAME?</v>
      </c>
      <c r="I923" s="4" t="e">
        <f ca="1">[1]!BexGetData("DP_1","003N8EMH8GTFRCSWKMPXRSAE6","GSON1112070035")</f>
        <v>#NAME?</v>
      </c>
      <c r="J923" s="4" t="e">
        <f ca="1">[1]!BexGetData("DP_1","003N8EMH8GTFRCSWKMPXRSGPQ","GSON1112070035")</f>
        <v>#NAME?</v>
      </c>
      <c r="K923" s="8" t="e">
        <f ca="1">[1]!BexGetData("DP_1","003N8EMH8GTFRIVNUPY288VJH","GSON1112070035")</f>
        <v>#NAME?</v>
      </c>
      <c r="L923" s="8" t="e">
        <f ca="1">[1]!BexGetData("DP_1","003N8EMH8GTFRIVNUPY2891V1","GSON1112070035")</f>
        <v>#NAME?</v>
      </c>
      <c r="M923" s="8" t="e">
        <f ca="1">[1]!BexGetData("DP_1","003N8EMH8GTFRIVOG7KG9IQXA","GSON1112070035")</f>
        <v>#NAME?</v>
      </c>
      <c r="N923" s="8" t="e">
        <f ca="1">[1]!BexGetData("DP_1","003N8EMH8GTFRIVOG7KG9IX8U","GSON1112070035")</f>
        <v>#NAME?</v>
      </c>
      <c r="O923" s="8" t="e">
        <f ca="1">[1]!BexGetData("DP_1","003N8EMH8GTFRIVOG7KG9J3KE","GSON1112070035")</f>
        <v>#NAME?</v>
      </c>
      <c r="P923" s="8" t="e">
        <f ca="1">[1]!BexGetData("DP_1","003N8EMH8GTFRIVOG7KG9J9VY","GSON1112070035")</f>
        <v>#NAME?</v>
      </c>
      <c r="Q923" s="4" t="e">
        <f ca="1">[1]!BexGetData("DP_1","00O2TNJGODT0G5Z4TTKYMM5MT","GSON1112070035")</f>
        <v>#NAME?</v>
      </c>
      <c r="R923" s="4" t="e">
        <f ca="1">[1]!BexGetData("DP_1","00O2TNJGODT0G5Z4TTKYMMBYD","GSON1112070035")</f>
        <v>#NAME?</v>
      </c>
      <c r="S923" s="4" t="e">
        <f ca="1">[1]!BexGetData("DP_1","00O2TNJGODT0G5Z4TTKYMMI9X","GSON1112070035")</f>
        <v>#NAME?</v>
      </c>
      <c r="T923" s="4" t="e">
        <f ca="1">[1]!BexGetData("DP_1","00O2TNJGODT0G5Z4TTKYMMOLH","GSON1112070035")</f>
        <v>#NAME?</v>
      </c>
      <c r="U923" s="4" t="e">
        <f ca="1">[1]!BexGetData("DP_1","00O2TNJGODT0G5Z4TTKYMMUX1","GSON1112070035")</f>
        <v>#NAME?</v>
      </c>
      <c r="V923" s="4" t="e">
        <f ca="1">[1]!BexGetData("DP_1","00O2TNJGODT0G5Z4TTKYMN18L","GSON1112070035")</f>
        <v>#NAME?</v>
      </c>
      <c r="W923" s="4" t="e">
        <f ca="1">[1]!BexGetData("DP_1","00O2TNJGODT0G5Z4TTKYMN7K5","GSON1112070035")</f>
        <v>#NAME?</v>
      </c>
    </row>
    <row r="924" spans="1:23" x14ac:dyDescent="0.2">
      <c r="A924" s="16" t="s">
        <v>994</v>
      </c>
      <c r="B924" s="7" t="s">
        <v>995</v>
      </c>
      <c r="C924" s="3" t="e">
        <f ca="1">[1]!BexGetData("DP_1","003N8EMH8GTFRCSWKMPXRR8GU","GSON1112070040")</f>
        <v>#NAME?</v>
      </c>
      <c r="D924" s="8" t="e">
        <f ca="1">[1]!BexGetData("DP_1","003N8EMH8GTFRCSWKMPXRRESE","GSON1112070040")</f>
        <v>#NAME?</v>
      </c>
      <c r="E924" s="3" t="e">
        <f ca="1">[1]!BexGetData("DP_1","003N8EMH8GTFRCSWKMPXRRL3Y","GSON1112070040")</f>
        <v>#NAME?</v>
      </c>
      <c r="F924" s="3" t="e">
        <f ca="1">[1]!BexGetData("DP_1","003N8EMH8GTFRCSWKMPXRRRFI","GSON1112070040")</f>
        <v>#NAME?</v>
      </c>
      <c r="G924" s="3" t="e">
        <f ca="1">[1]!BexGetData("DP_1","003N8EMH8GTFRCSWKMPXRRXR2","GSON1112070040")</f>
        <v>#NAME?</v>
      </c>
      <c r="H924" s="8" t="e">
        <f ca="1">[1]!BexGetData("DP_1","003N8EMH8GTFRCSWKMPXRS42M","GSON1112070040")</f>
        <v>#NAME?</v>
      </c>
      <c r="I924" s="3" t="e">
        <f ca="1">[1]!BexGetData("DP_1","003N8EMH8GTFRCSWKMPXRSAE6","GSON1112070040")</f>
        <v>#NAME?</v>
      </c>
      <c r="J924" s="4" t="e">
        <f ca="1">[1]!BexGetData("DP_1","003N8EMH8GTFRCSWKMPXRSGPQ","GSON1112070040")</f>
        <v>#NAME?</v>
      </c>
      <c r="K924" s="3" t="e">
        <f ca="1">[1]!BexGetData("DP_1","003N8EMH8GTFRIVNUPY288VJH","GSON1112070040")</f>
        <v>#NAME?</v>
      </c>
      <c r="L924" s="3" t="e">
        <f ca="1">[1]!BexGetData("DP_1","003N8EMH8GTFRIVNUPY2891V1","GSON1112070040")</f>
        <v>#NAME?</v>
      </c>
      <c r="M924" s="8" t="e">
        <f ca="1">[1]!BexGetData("DP_1","003N8EMH8GTFRIVOG7KG9IQXA","GSON1112070040")</f>
        <v>#NAME?</v>
      </c>
      <c r="N924" s="3" t="e">
        <f ca="1">[1]!BexGetData("DP_1","003N8EMH8GTFRIVOG7KG9IX8U","GSON1112070040")</f>
        <v>#NAME?</v>
      </c>
      <c r="O924" s="8" t="e">
        <f ca="1">[1]!BexGetData("DP_1","003N8EMH8GTFRIVOG7KG9J3KE","GSON1112070040")</f>
        <v>#NAME?</v>
      </c>
      <c r="P924" s="3" t="e">
        <f ca="1">[1]!BexGetData("DP_1","003N8EMH8GTFRIVOG7KG9J9VY","GSON1112070040")</f>
        <v>#NAME?</v>
      </c>
      <c r="Q924" s="4" t="e">
        <f ca="1">[1]!BexGetData("DP_1","00O2TNJGODT0G5Z4TTKYMM5MT","GSON1112070040")</f>
        <v>#NAME?</v>
      </c>
      <c r="R924" s="3" t="e">
        <f ca="1">[1]!BexGetData("DP_1","00O2TNJGODT0G5Z4TTKYMMBYD","GSON1112070040")</f>
        <v>#NAME?</v>
      </c>
      <c r="S924" s="3" t="e">
        <f ca="1">[1]!BexGetData("DP_1","00O2TNJGODT0G5Z4TTKYMMI9X","GSON1112070040")</f>
        <v>#NAME?</v>
      </c>
      <c r="T924" s="8" t="e">
        <f ca="1">[1]!BexGetData("DP_1","00O2TNJGODT0G5Z4TTKYMMOLH","GSON1112070040")</f>
        <v>#NAME?</v>
      </c>
      <c r="U924" s="3" t="e">
        <f ca="1">[1]!BexGetData("DP_1","00O2TNJGODT0G5Z4TTKYMMUX1","GSON1112070040")</f>
        <v>#NAME?</v>
      </c>
      <c r="V924" s="8" t="e">
        <f ca="1">[1]!BexGetData("DP_1","00O2TNJGODT0G5Z4TTKYMN18L","GSON1112070040")</f>
        <v>#NAME?</v>
      </c>
      <c r="W924" s="3" t="e">
        <f ca="1">[1]!BexGetData("DP_1","00O2TNJGODT0G5Z4TTKYMN7K5","GSON1112070040")</f>
        <v>#NAME?</v>
      </c>
    </row>
    <row r="925" spans="1:23" x14ac:dyDescent="0.2">
      <c r="A925" s="16" t="s">
        <v>996</v>
      </c>
      <c r="B925" s="7" t="s">
        <v>997</v>
      </c>
      <c r="C925" s="3" t="e">
        <f ca="1">[1]!BexGetData("DP_1","003N8EMH8GTFRCSWKMPXRR8GU","GSON1112070045")</f>
        <v>#NAME?</v>
      </c>
      <c r="D925" s="3" t="e">
        <f ca="1">[1]!BexGetData("DP_1","003N8EMH8GTFRCSWKMPXRRESE","GSON1112070045")</f>
        <v>#NAME?</v>
      </c>
      <c r="E925" s="8" t="e">
        <f ca="1">[1]!BexGetData("DP_1","003N8EMH8GTFRCSWKMPXRRL3Y","GSON1112070045")</f>
        <v>#NAME?</v>
      </c>
      <c r="F925" s="4" t="e">
        <f ca="1">[1]!BexGetData("DP_1","003N8EMH8GTFRCSWKMPXRRRFI","GSON1112070045")</f>
        <v>#NAME?</v>
      </c>
      <c r="G925" s="4" t="e">
        <f ca="1">[1]!BexGetData("DP_1","003N8EMH8GTFRCSWKMPXRRXR2","GSON1112070045")</f>
        <v>#NAME?</v>
      </c>
      <c r="H925" s="4" t="e">
        <f ca="1">[1]!BexGetData("DP_1","003N8EMH8GTFRCSWKMPXRS42M","GSON1112070045")</f>
        <v>#NAME?</v>
      </c>
      <c r="I925" s="4" t="e">
        <f ca="1">[1]!BexGetData("DP_1","003N8EMH8GTFRCSWKMPXRSAE6","GSON1112070045")</f>
        <v>#NAME?</v>
      </c>
      <c r="J925" s="4" t="e">
        <f ca="1">[1]!BexGetData("DP_1","003N8EMH8GTFRCSWKMPXRSGPQ","GSON1112070045")</f>
        <v>#NAME?</v>
      </c>
      <c r="K925" s="8" t="e">
        <f ca="1">[1]!BexGetData("DP_1","003N8EMH8GTFRIVNUPY288VJH","GSON1112070045")</f>
        <v>#NAME?</v>
      </c>
      <c r="L925" s="8" t="e">
        <f ca="1">[1]!BexGetData("DP_1","003N8EMH8GTFRIVNUPY2891V1","GSON1112070045")</f>
        <v>#NAME?</v>
      </c>
      <c r="M925" s="8" t="e">
        <f ca="1">[1]!BexGetData("DP_1","003N8EMH8GTFRIVOG7KG9IQXA","GSON1112070045")</f>
        <v>#NAME?</v>
      </c>
      <c r="N925" s="8" t="e">
        <f ca="1">[1]!BexGetData("DP_1","003N8EMH8GTFRIVOG7KG9IX8U","GSON1112070045")</f>
        <v>#NAME?</v>
      </c>
      <c r="O925" s="8" t="e">
        <f ca="1">[1]!BexGetData("DP_1","003N8EMH8GTFRIVOG7KG9J3KE","GSON1112070045")</f>
        <v>#NAME?</v>
      </c>
      <c r="P925" s="8" t="e">
        <f ca="1">[1]!BexGetData("DP_1","003N8EMH8GTFRIVOG7KG9J9VY","GSON1112070045")</f>
        <v>#NAME?</v>
      </c>
      <c r="Q925" s="4" t="e">
        <f ca="1">[1]!BexGetData("DP_1","00O2TNJGODT0G5Z4TTKYMM5MT","GSON1112070045")</f>
        <v>#NAME?</v>
      </c>
      <c r="R925" s="4" t="e">
        <f ca="1">[1]!BexGetData("DP_1","00O2TNJGODT0G5Z4TTKYMMBYD","GSON1112070045")</f>
        <v>#NAME?</v>
      </c>
      <c r="S925" s="4" t="e">
        <f ca="1">[1]!BexGetData("DP_1","00O2TNJGODT0G5Z4TTKYMMI9X","GSON1112070045")</f>
        <v>#NAME?</v>
      </c>
      <c r="T925" s="4" t="e">
        <f ca="1">[1]!BexGetData("DP_1","00O2TNJGODT0G5Z4TTKYMMOLH","GSON1112070045")</f>
        <v>#NAME?</v>
      </c>
      <c r="U925" s="4" t="e">
        <f ca="1">[1]!BexGetData("DP_1","00O2TNJGODT0G5Z4TTKYMMUX1","GSON1112070045")</f>
        <v>#NAME?</v>
      </c>
      <c r="V925" s="4" t="e">
        <f ca="1">[1]!BexGetData("DP_1","00O2TNJGODT0G5Z4TTKYMN18L","GSON1112070045")</f>
        <v>#NAME?</v>
      </c>
      <c r="W925" s="4" t="e">
        <f ca="1">[1]!BexGetData("DP_1","00O2TNJGODT0G5Z4TTKYMN7K5","GSON1112070045")</f>
        <v>#NAME?</v>
      </c>
    </row>
    <row r="926" spans="1:23" x14ac:dyDescent="0.2">
      <c r="A926" s="16" t="s">
        <v>998</v>
      </c>
      <c r="B926" s="7" t="s">
        <v>999</v>
      </c>
      <c r="C926" s="3" t="e">
        <f ca="1">[1]!BexGetData("DP_1","003N8EMH8GTFRCSWKMPXRR8GU","GSON1112070050")</f>
        <v>#NAME?</v>
      </c>
      <c r="D926" s="8" t="e">
        <f ca="1">[1]!BexGetData("DP_1","003N8EMH8GTFRCSWKMPXRRESE","GSON1112070050")</f>
        <v>#NAME?</v>
      </c>
      <c r="E926" s="3" t="e">
        <f ca="1">[1]!BexGetData("DP_1","003N8EMH8GTFRCSWKMPXRRL3Y","GSON1112070050")</f>
        <v>#NAME?</v>
      </c>
      <c r="F926" s="3" t="e">
        <f ca="1">[1]!BexGetData("DP_1","003N8EMH8GTFRCSWKMPXRRRFI","GSON1112070050")</f>
        <v>#NAME?</v>
      </c>
      <c r="G926" s="3" t="e">
        <f ca="1">[1]!BexGetData("DP_1","003N8EMH8GTFRCSWKMPXRRXR2","GSON1112070050")</f>
        <v>#NAME?</v>
      </c>
      <c r="H926" s="8" t="e">
        <f ca="1">[1]!BexGetData("DP_1","003N8EMH8GTFRCSWKMPXRS42M","GSON1112070050")</f>
        <v>#NAME?</v>
      </c>
      <c r="I926" s="3" t="e">
        <f ca="1">[1]!BexGetData("DP_1","003N8EMH8GTFRCSWKMPXRSAE6","GSON1112070050")</f>
        <v>#NAME?</v>
      </c>
      <c r="J926" s="4" t="e">
        <f ca="1">[1]!BexGetData("DP_1","003N8EMH8GTFRCSWKMPXRSGPQ","GSON1112070050")</f>
        <v>#NAME?</v>
      </c>
      <c r="K926" s="3" t="e">
        <f ca="1">[1]!BexGetData("DP_1","003N8EMH8GTFRIVNUPY288VJH","GSON1112070050")</f>
        <v>#NAME?</v>
      </c>
      <c r="L926" s="3" t="e">
        <f ca="1">[1]!BexGetData("DP_1","003N8EMH8GTFRIVNUPY2891V1","GSON1112070050")</f>
        <v>#NAME?</v>
      </c>
      <c r="M926" s="8" t="e">
        <f ca="1">[1]!BexGetData("DP_1","003N8EMH8GTFRIVOG7KG9IQXA","GSON1112070050")</f>
        <v>#NAME?</v>
      </c>
      <c r="N926" s="3" t="e">
        <f ca="1">[1]!BexGetData("DP_1","003N8EMH8GTFRIVOG7KG9IX8U","GSON1112070050")</f>
        <v>#NAME?</v>
      </c>
      <c r="O926" s="8" t="e">
        <f ca="1">[1]!BexGetData("DP_1","003N8EMH8GTFRIVOG7KG9J3KE","GSON1112070050")</f>
        <v>#NAME?</v>
      </c>
      <c r="P926" s="3" t="e">
        <f ca="1">[1]!BexGetData("DP_1","003N8EMH8GTFRIVOG7KG9J9VY","GSON1112070050")</f>
        <v>#NAME?</v>
      </c>
      <c r="Q926" s="4" t="e">
        <f ca="1">[1]!BexGetData("DP_1","00O2TNJGODT0G5Z4TTKYMM5MT","GSON1112070050")</f>
        <v>#NAME?</v>
      </c>
      <c r="R926" s="3" t="e">
        <f ca="1">[1]!BexGetData("DP_1","00O2TNJGODT0G5Z4TTKYMMBYD","GSON1112070050")</f>
        <v>#NAME?</v>
      </c>
      <c r="S926" s="3" t="e">
        <f ca="1">[1]!BexGetData("DP_1","00O2TNJGODT0G5Z4TTKYMMI9X","GSON1112070050")</f>
        <v>#NAME?</v>
      </c>
      <c r="T926" s="8" t="e">
        <f ca="1">[1]!BexGetData("DP_1","00O2TNJGODT0G5Z4TTKYMMOLH","GSON1112070050")</f>
        <v>#NAME?</v>
      </c>
      <c r="U926" s="3" t="e">
        <f ca="1">[1]!BexGetData("DP_1","00O2TNJGODT0G5Z4TTKYMMUX1","GSON1112070050")</f>
        <v>#NAME?</v>
      </c>
      <c r="V926" s="8" t="e">
        <f ca="1">[1]!BexGetData("DP_1","00O2TNJGODT0G5Z4TTKYMN18L","GSON1112070050")</f>
        <v>#NAME?</v>
      </c>
      <c r="W926" s="3" t="e">
        <f ca="1">[1]!BexGetData("DP_1","00O2TNJGODT0G5Z4TTKYMN7K5","GSON1112070050")</f>
        <v>#NAME?</v>
      </c>
    </row>
    <row r="927" spans="1:23" x14ac:dyDescent="0.2">
      <c r="A927" s="16" t="s">
        <v>1000</v>
      </c>
      <c r="B927" s="7" t="s">
        <v>1001</v>
      </c>
      <c r="C927" s="3" t="e">
        <f ca="1">[1]!BexGetData("DP_1","003N8EMH8GTFRCSWKMPXRR8GU","GSON1112070055")</f>
        <v>#NAME?</v>
      </c>
      <c r="D927" s="3" t="e">
        <f ca="1">[1]!BexGetData("DP_1","003N8EMH8GTFRCSWKMPXRRESE","GSON1112070055")</f>
        <v>#NAME?</v>
      </c>
      <c r="E927" s="8" t="e">
        <f ca="1">[1]!BexGetData("DP_1","003N8EMH8GTFRCSWKMPXRRL3Y","GSON1112070055")</f>
        <v>#NAME?</v>
      </c>
      <c r="F927" s="4" t="e">
        <f ca="1">[1]!BexGetData("DP_1","003N8EMH8GTFRCSWKMPXRRRFI","GSON1112070055")</f>
        <v>#NAME?</v>
      </c>
      <c r="G927" s="4" t="e">
        <f ca="1">[1]!BexGetData("DP_1","003N8EMH8GTFRCSWKMPXRRXR2","GSON1112070055")</f>
        <v>#NAME?</v>
      </c>
      <c r="H927" s="4" t="e">
        <f ca="1">[1]!BexGetData("DP_1","003N8EMH8GTFRCSWKMPXRS42M","GSON1112070055")</f>
        <v>#NAME?</v>
      </c>
      <c r="I927" s="4" t="e">
        <f ca="1">[1]!BexGetData("DP_1","003N8EMH8GTFRCSWKMPXRSAE6","GSON1112070055")</f>
        <v>#NAME?</v>
      </c>
      <c r="J927" s="4" t="e">
        <f ca="1">[1]!BexGetData("DP_1","003N8EMH8GTFRCSWKMPXRSGPQ","GSON1112070055")</f>
        <v>#NAME?</v>
      </c>
      <c r="K927" s="8" t="e">
        <f ca="1">[1]!BexGetData("DP_1","003N8EMH8GTFRIVNUPY288VJH","GSON1112070055")</f>
        <v>#NAME?</v>
      </c>
      <c r="L927" s="8" t="e">
        <f ca="1">[1]!BexGetData("DP_1","003N8EMH8GTFRIVNUPY2891V1","GSON1112070055")</f>
        <v>#NAME?</v>
      </c>
      <c r="M927" s="8" t="e">
        <f ca="1">[1]!BexGetData("DP_1","003N8EMH8GTFRIVOG7KG9IQXA","GSON1112070055")</f>
        <v>#NAME?</v>
      </c>
      <c r="N927" s="8" t="e">
        <f ca="1">[1]!BexGetData("DP_1","003N8EMH8GTFRIVOG7KG9IX8U","GSON1112070055")</f>
        <v>#NAME?</v>
      </c>
      <c r="O927" s="8" t="e">
        <f ca="1">[1]!BexGetData("DP_1","003N8EMH8GTFRIVOG7KG9J3KE","GSON1112070055")</f>
        <v>#NAME?</v>
      </c>
      <c r="P927" s="8" t="e">
        <f ca="1">[1]!BexGetData("DP_1","003N8EMH8GTFRIVOG7KG9J9VY","GSON1112070055")</f>
        <v>#NAME?</v>
      </c>
      <c r="Q927" s="4" t="e">
        <f ca="1">[1]!BexGetData("DP_1","00O2TNJGODT0G5Z4TTKYMM5MT","GSON1112070055")</f>
        <v>#NAME?</v>
      </c>
      <c r="R927" s="4" t="e">
        <f ca="1">[1]!BexGetData("DP_1","00O2TNJGODT0G5Z4TTKYMMBYD","GSON1112070055")</f>
        <v>#NAME?</v>
      </c>
      <c r="S927" s="4" t="e">
        <f ca="1">[1]!BexGetData("DP_1","00O2TNJGODT0G5Z4TTKYMMI9X","GSON1112070055")</f>
        <v>#NAME?</v>
      </c>
      <c r="T927" s="4" t="e">
        <f ca="1">[1]!BexGetData("DP_1","00O2TNJGODT0G5Z4TTKYMMOLH","GSON1112070055")</f>
        <v>#NAME?</v>
      </c>
      <c r="U927" s="4" t="e">
        <f ca="1">[1]!BexGetData("DP_1","00O2TNJGODT0G5Z4TTKYMMUX1","GSON1112070055")</f>
        <v>#NAME?</v>
      </c>
      <c r="V927" s="4" t="e">
        <f ca="1">[1]!BexGetData("DP_1","00O2TNJGODT0G5Z4TTKYMN18L","GSON1112070055")</f>
        <v>#NAME?</v>
      </c>
      <c r="W927" s="4" t="e">
        <f ca="1">[1]!BexGetData("DP_1","00O2TNJGODT0G5Z4TTKYMN7K5","GSON1112070055")</f>
        <v>#NAME?</v>
      </c>
    </row>
    <row r="928" spans="1:23" x14ac:dyDescent="0.2">
      <c r="A928" s="16" t="s">
        <v>1002</v>
      </c>
      <c r="B928" s="7" t="s">
        <v>1003</v>
      </c>
      <c r="C928" s="3" t="e">
        <f ca="1">[1]!BexGetData("DP_1","003N8EMH8GTFRCSWKMPXRR8GU","GSON1112070060")</f>
        <v>#NAME?</v>
      </c>
      <c r="D928" s="8" t="e">
        <f ca="1">[1]!BexGetData("DP_1","003N8EMH8GTFRCSWKMPXRRESE","GSON1112070060")</f>
        <v>#NAME?</v>
      </c>
      <c r="E928" s="3" t="e">
        <f ca="1">[1]!BexGetData("DP_1","003N8EMH8GTFRCSWKMPXRRL3Y","GSON1112070060")</f>
        <v>#NAME?</v>
      </c>
      <c r="F928" s="3" t="e">
        <f ca="1">[1]!BexGetData("DP_1","003N8EMH8GTFRCSWKMPXRRRFI","GSON1112070060")</f>
        <v>#NAME?</v>
      </c>
      <c r="G928" s="3" t="e">
        <f ca="1">[1]!BexGetData("DP_1","003N8EMH8GTFRCSWKMPXRRXR2","GSON1112070060")</f>
        <v>#NAME?</v>
      </c>
      <c r="H928" s="8" t="e">
        <f ca="1">[1]!BexGetData("DP_1","003N8EMH8GTFRCSWKMPXRS42M","GSON1112070060")</f>
        <v>#NAME?</v>
      </c>
      <c r="I928" s="3" t="e">
        <f ca="1">[1]!BexGetData("DP_1","003N8EMH8GTFRCSWKMPXRSAE6","GSON1112070060")</f>
        <v>#NAME?</v>
      </c>
      <c r="J928" s="4" t="e">
        <f ca="1">[1]!BexGetData("DP_1","003N8EMH8GTFRCSWKMPXRSGPQ","GSON1112070060")</f>
        <v>#NAME?</v>
      </c>
      <c r="K928" s="3" t="e">
        <f ca="1">[1]!BexGetData("DP_1","003N8EMH8GTFRIVNUPY288VJH","GSON1112070060")</f>
        <v>#NAME?</v>
      </c>
      <c r="L928" s="3" t="e">
        <f ca="1">[1]!BexGetData("DP_1","003N8EMH8GTFRIVNUPY2891V1","GSON1112070060")</f>
        <v>#NAME?</v>
      </c>
      <c r="M928" s="8" t="e">
        <f ca="1">[1]!BexGetData("DP_1","003N8EMH8GTFRIVOG7KG9IQXA","GSON1112070060")</f>
        <v>#NAME?</v>
      </c>
      <c r="N928" s="3" t="e">
        <f ca="1">[1]!BexGetData("DP_1","003N8EMH8GTFRIVOG7KG9IX8U","GSON1112070060")</f>
        <v>#NAME?</v>
      </c>
      <c r="O928" s="8" t="e">
        <f ca="1">[1]!BexGetData("DP_1","003N8EMH8GTFRIVOG7KG9J3KE","GSON1112070060")</f>
        <v>#NAME?</v>
      </c>
      <c r="P928" s="3" t="e">
        <f ca="1">[1]!BexGetData("DP_1","003N8EMH8GTFRIVOG7KG9J9VY","GSON1112070060")</f>
        <v>#NAME?</v>
      </c>
      <c r="Q928" s="4" t="e">
        <f ca="1">[1]!BexGetData("DP_1","00O2TNJGODT0G5Z4TTKYMM5MT","GSON1112070060")</f>
        <v>#NAME?</v>
      </c>
      <c r="R928" s="3" t="e">
        <f ca="1">[1]!BexGetData("DP_1","00O2TNJGODT0G5Z4TTKYMMBYD","GSON1112070060")</f>
        <v>#NAME?</v>
      </c>
      <c r="S928" s="3" t="e">
        <f ca="1">[1]!BexGetData("DP_1","00O2TNJGODT0G5Z4TTKYMMI9X","GSON1112070060")</f>
        <v>#NAME?</v>
      </c>
      <c r="T928" s="8" t="e">
        <f ca="1">[1]!BexGetData("DP_1","00O2TNJGODT0G5Z4TTKYMMOLH","GSON1112070060")</f>
        <v>#NAME?</v>
      </c>
      <c r="U928" s="3" t="e">
        <f ca="1">[1]!BexGetData("DP_1","00O2TNJGODT0G5Z4TTKYMMUX1","GSON1112070060")</f>
        <v>#NAME?</v>
      </c>
      <c r="V928" s="8" t="e">
        <f ca="1">[1]!BexGetData("DP_1","00O2TNJGODT0G5Z4TTKYMN18L","GSON1112070060")</f>
        <v>#NAME?</v>
      </c>
      <c r="W928" s="3" t="e">
        <f ca="1">[1]!BexGetData("DP_1","00O2TNJGODT0G5Z4TTKYMN7K5","GSON1112070060")</f>
        <v>#NAME?</v>
      </c>
    </row>
    <row r="929" spans="1:23" x14ac:dyDescent="0.2">
      <c r="A929" s="16" t="s">
        <v>1004</v>
      </c>
      <c r="B929" s="7" t="s">
        <v>1005</v>
      </c>
      <c r="C929" s="3" t="e">
        <f ca="1">[1]!BexGetData("DP_1","003N8EMH8GTFRCSWKMPXRR8GU","GSON1112070065")</f>
        <v>#NAME?</v>
      </c>
      <c r="D929" s="3" t="e">
        <f ca="1">[1]!BexGetData("DP_1","003N8EMH8GTFRCSWKMPXRRESE","GSON1112070065")</f>
        <v>#NAME?</v>
      </c>
      <c r="E929" s="8" t="e">
        <f ca="1">[1]!BexGetData("DP_1","003N8EMH8GTFRCSWKMPXRRL3Y","GSON1112070065")</f>
        <v>#NAME?</v>
      </c>
      <c r="F929" s="4" t="e">
        <f ca="1">[1]!BexGetData("DP_1","003N8EMH8GTFRCSWKMPXRRRFI","GSON1112070065")</f>
        <v>#NAME?</v>
      </c>
      <c r="G929" s="4" t="e">
        <f ca="1">[1]!BexGetData("DP_1","003N8EMH8GTFRCSWKMPXRRXR2","GSON1112070065")</f>
        <v>#NAME?</v>
      </c>
      <c r="H929" s="4" t="e">
        <f ca="1">[1]!BexGetData("DP_1","003N8EMH8GTFRCSWKMPXRS42M","GSON1112070065")</f>
        <v>#NAME?</v>
      </c>
      <c r="I929" s="4" t="e">
        <f ca="1">[1]!BexGetData("DP_1","003N8EMH8GTFRCSWKMPXRSAE6","GSON1112070065")</f>
        <v>#NAME?</v>
      </c>
      <c r="J929" s="4" t="e">
        <f ca="1">[1]!BexGetData("DP_1","003N8EMH8GTFRCSWKMPXRSGPQ","GSON1112070065")</f>
        <v>#NAME?</v>
      </c>
      <c r="K929" s="8" t="e">
        <f ca="1">[1]!BexGetData("DP_1","003N8EMH8GTFRIVNUPY288VJH","GSON1112070065")</f>
        <v>#NAME?</v>
      </c>
      <c r="L929" s="8" t="e">
        <f ca="1">[1]!BexGetData("DP_1","003N8EMH8GTFRIVNUPY2891V1","GSON1112070065")</f>
        <v>#NAME?</v>
      </c>
      <c r="M929" s="8" t="e">
        <f ca="1">[1]!BexGetData("DP_1","003N8EMH8GTFRIVOG7KG9IQXA","GSON1112070065")</f>
        <v>#NAME?</v>
      </c>
      <c r="N929" s="8" t="e">
        <f ca="1">[1]!BexGetData("DP_1","003N8EMH8GTFRIVOG7KG9IX8U","GSON1112070065")</f>
        <v>#NAME?</v>
      </c>
      <c r="O929" s="8" t="e">
        <f ca="1">[1]!BexGetData("DP_1","003N8EMH8GTFRIVOG7KG9J3KE","GSON1112070065")</f>
        <v>#NAME?</v>
      </c>
      <c r="P929" s="8" t="e">
        <f ca="1">[1]!BexGetData("DP_1","003N8EMH8GTFRIVOG7KG9J9VY","GSON1112070065")</f>
        <v>#NAME?</v>
      </c>
      <c r="Q929" s="4" t="e">
        <f ca="1">[1]!BexGetData("DP_1","00O2TNJGODT0G5Z4TTKYMM5MT","GSON1112070065")</f>
        <v>#NAME?</v>
      </c>
      <c r="R929" s="4" t="e">
        <f ca="1">[1]!BexGetData("DP_1","00O2TNJGODT0G5Z4TTKYMMBYD","GSON1112070065")</f>
        <v>#NAME?</v>
      </c>
      <c r="S929" s="4" t="e">
        <f ca="1">[1]!BexGetData("DP_1","00O2TNJGODT0G5Z4TTKYMMI9X","GSON1112070065")</f>
        <v>#NAME?</v>
      </c>
      <c r="T929" s="4" t="e">
        <f ca="1">[1]!BexGetData("DP_1","00O2TNJGODT0G5Z4TTKYMMOLH","GSON1112070065")</f>
        <v>#NAME?</v>
      </c>
      <c r="U929" s="4" t="e">
        <f ca="1">[1]!BexGetData("DP_1","00O2TNJGODT0G5Z4TTKYMMUX1","GSON1112070065")</f>
        <v>#NAME?</v>
      </c>
      <c r="V929" s="4" t="e">
        <f ca="1">[1]!BexGetData("DP_1","00O2TNJGODT0G5Z4TTKYMN18L","GSON1112070065")</f>
        <v>#NAME?</v>
      </c>
      <c r="W929" s="4" t="e">
        <f ca="1">[1]!BexGetData("DP_1","00O2TNJGODT0G5Z4TTKYMN7K5","GSON1112070065")</f>
        <v>#NAME?</v>
      </c>
    </row>
    <row r="930" spans="1:23" x14ac:dyDescent="0.2">
      <c r="A930" s="16" t="s">
        <v>1006</v>
      </c>
      <c r="B930" s="7" t="s">
        <v>1007</v>
      </c>
      <c r="C930" s="3" t="e">
        <f ca="1">[1]!BexGetData("DP_1","003N8EMH8GTFRCSWKMPXRR8GU","GSON1112070070")</f>
        <v>#NAME?</v>
      </c>
      <c r="D930" s="8" t="e">
        <f ca="1">[1]!BexGetData("DP_1","003N8EMH8GTFRCSWKMPXRRESE","GSON1112070070")</f>
        <v>#NAME?</v>
      </c>
      <c r="E930" s="3" t="e">
        <f ca="1">[1]!BexGetData("DP_1","003N8EMH8GTFRCSWKMPXRRL3Y","GSON1112070070")</f>
        <v>#NAME?</v>
      </c>
      <c r="F930" s="3" t="e">
        <f ca="1">[1]!BexGetData("DP_1","003N8EMH8GTFRCSWKMPXRRRFI","GSON1112070070")</f>
        <v>#NAME?</v>
      </c>
      <c r="G930" s="3" t="e">
        <f ca="1">[1]!BexGetData("DP_1","003N8EMH8GTFRCSWKMPXRRXR2","GSON1112070070")</f>
        <v>#NAME?</v>
      </c>
      <c r="H930" s="8" t="e">
        <f ca="1">[1]!BexGetData("DP_1","003N8EMH8GTFRCSWKMPXRS42M","GSON1112070070")</f>
        <v>#NAME?</v>
      </c>
      <c r="I930" s="3" t="e">
        <f ca="1">[1]!BexGetData("DP_1","003N8EMH8GTFRCSWKMPXRSAE6","GSON1112070070")</f>
        <v>#NAME?</v>
      </c>
      <c r="J930" s="4" t="e">
        <f ca="1">[1]!BexGetData("DP_1","003N8EMH8GTFRCSWKMPXRSGPQ","GSON1112070070")</f>
        <v>#NAME?</v>
      </c>
      <c r="K930" s="3" t="e">
        <f ca="1">[1]!BexGetData("DP_1","003N8EMH8GTFRIVNUPY288VJH","GSON1112070070")</f>
        <v>#NAME?</v>
      </c>
      <c r="L930" s="3" t="e">
        <f ca="1">[1]!BexGetData("DP_1","003N8EMH8GTFRIVNUPY2891V1","GSON1112070070")</f>
        <v>#NAME?</v>
      </c>
      <c r="M930" s="8" t="e">
        <f ca="1">[1]!BexGetData("DP_1","003N8EMH8GTFRIVOG7KG9IQXA","GSON1112070070")</f>
        <v>#NAME?</v>
      </c>
      <c r="N930" s="3" t="e">
        <f ca="1">[1]!BexGetData("DP_1","003N8EMH8GTFRIVOG7KG9IX8U","GSON1112070070")</f>
        <v>#NAME?</v>
      </c>
      <c r="O930" s="8" t="e">
        <f ca="1">[1]!BexGetData("DP_1","003N8EMH8GTFRIVOG7KG9J3KE","GSON1112070070")</f>
        <v>#NAME?</v>
      </c>
      <c r="P930" s="3" t="e">
        <f ca="1">[1]!BexGetData("DP_1","003N8EMH8GTFRIVOG7KG9J9VY","GSON1112070070")</f>
        <v>#NAME?</v>
      </c>
      <c r="Q930" s="4" t="e">
        <f ca="1">[1]!BexGetData("DP_1","00O2TNJGODT0G5Z4TTKYMM5MT","GSON1112070070")</f>
        <v>#NAME?</v>
      </c>
      <c r="R930" s="3" t="e">
        <f ca="1">[1]!BexGetData("DP_1","00O2TNJGODT0G5Z4TTKYMMBYD","GSON1112070070")</f>
        <v>#NAME?</v>
      </c>
      <c r="S930" s="3" t="e">
        <f ca="1">[1]!BexGetData("DP_1","00O2TNJGODT0G5Z4TTKYMMI9X","GSON1112070070")</f>
        <v>#NAME?</v>
      </c>
      <c r="T930" s="8" t="e">
        <f ca="1">[1]!BexGetData("DP_1","00O2TNJGODT0G5Z4TTKYMMOLH","GSON1112070070")</f>
        <v>#NAME?</v>
      </c>
      <c r="U930" s="3" t="e">
        <f ca="1">[1]!BexGetData("DP_1","00O2TNJGODT0G5Z4TTKYMMUX1","GSON1112070070")</f>
        <v>#NAME?</v>
      </c>
      <c r="V930" s="8" t="e">
        <f ca="1">[1]!BexGetData("DP_1","00O2TNJGODT0G5Z4TTKYMN18L","GSON1112070070")</f>
        <v>#NAME?</v>
      </c>
      <c r="W930" s="3" t="e">
        <f ca="1">[1]!BexGetData("DP_1","00O2TNJGODT0G5Z4TTKYMN7K5","GSON1112070070")</f>
        <v>#NAME?</v>
      </c>
    </row>
    <row r="931" spans="1:23" x14ac:dyDescent="0.2">
      <c r="A931" s="16" t="s">
        <v>3151</v>
      </c>
      <c r="B931" s="7" t="s">
        <v>3152</v>
      </c>
      <c r="C931" s="3" t="e">
        <f ca="1">[1]!BexGetData("DP_1","003N8EMH8GTFRCSWKMPXRR8GU","GSON1112070071")</f>
        <v>#NAME?</v>
      </c>
      <c r="D931" s="3" t="e">
        <f ca="1">[1]!BexGetData("DP_1","003N8EMH8GTFRCSWKMPXRRESE","GSON1112070071")</f>
        <v>#NAME?</v>
      </c>
      <c r="E931" s="8" t="e">
        <f ca="1">[1]!BexGetData("DP_1","003N8EMH8GTFRCSWKMPXRRL3Y","GSON1112070071")</f>
        <v>#NAME?</v>
      </c>
      <c r="F931" s="4" t="e">
        <f ca="1">[1]!BexGetData("DP_1","003N8EMH8GTFRCSWKMPXRRRFI","GSON1112070071")</f>
        <v>#NAME?</v>
      </c>
      <c r="G931" s="4" t="e">
        <f ca="1">[1]!BexGetData("DP_1","003N8EMH8GTFRCSWKMPXRRXR2","GSON1112070071")</f>
        <v>#NAME?</v>
      </c>
      <c r="H931" s="4" t="e">
        <f ca="1">[1]!BexGetData("DP_1","003N8EMH8GTFRCSWKMPXRS42M","GSON1112070071")</f>
        <v>#NAME?</v>
      </c>
      <c r="I931" s="4" t="e">
        <f ca="1">[1]!BexGetData("DP_1","003N8EMH8GTFRCSWKMPXRSAE6","GSON1112070071")</f>
        <v>#NAME?</v>
      </c>
      <c r="J931" s="4" t="e">
        <f ca="1">[1]!BexGetData("DP_1","003N8EMH8GTFRCSWKMPXRSGPQ","GSON1112070071")</f>
        <v>#NAME?</v>
      </c>
      <c r="K931" s="8" t="e">
        <f ca="1">[1]!BexGetData("DP_1","003N8EMH8GTFRIVNUPY288VJH","GSON1112070071")</f>
        <v>#NAME?</v>
      </c>
      <c r="L931" s="8" t="e">
        <f ca="1">[1]!BexGetData("DP_1","003N8EMH8GTFRIVNUPY2891V1","GSON1112070071")</f>
        <v>#NAME?</v>
      </c>
      <c r="M931" s="8" t="e">
        <f ca="1">[1]!BexGetData("DP_1","003N8EMH8GTFRIVOG7KG9IQXA","GSON1112070071")</f>
        <v>#NAME?</v>
      </c>
      <c r="N931" s="8" t="e">
        <f ca="1">[1]!BexGetData("DP_1","003N8EMH8GTFRIVOG7KG9IX8U","GSON1112070071")</f>
        <v>#NAME?</v>
      </c>
      <c r="O931" s="8" t="e">
        <f ca="1">[1]!BexGetData("DP_1","003N8EMH8GTFRIVOG7KG9J3KE","GSON1112070071")</f>
        <v>#NAME?</v>
      </c>
      <c r="P931" s="8" t="e">
        <f ca="1">[1]!BexGetData("DP_1","003N8EMH8GTFRIVOG7KG9J9VY","GSON1112070071")</f>
        <v>#NAME?</v>
      </c>
      <c r="Q931" s="4" t="e">
        <f ca="1">[1]!BexGetData("DP_1","00O2TNJGODT0G5Z4TTKYMM5MT","GSON1112070071")</f>
        <v>#NAME?</v>
      </c>
      <c r="R931" s="4" t="e">
        <f ca="1">[1]!BexGetData("DP_1","00O2TNJGODT0G5Z4TTKYMMBYD","GSON1112070071")</f>
        <v>#NAME?</v>
      </c>
      <c r="S931" s="4" t="e">
        <f ca="1">[1]!BexGetData("DP_1","00O2TNJGODT0G5Z4TTKYMMI9X","GSON1112070071")</f>
        <v>#NAME?</v>
      </c>
      <c r="T931" s="4" t="e">
        <f ca="1">[1]!BexGetData("DP_1","00O2TNJGODT0G5Z4TTKYMMOLH","GSON1112070071")</f>
        <v>#NAME?</v>
      </c>
      <c r="U931" s="4" t="e">
        <f ca="1">[1]!BexGetData("DP_1","00O2TNJGODT0G5Z4TTKYMMUX1","GSON1112070071")</f>
        <v>#NAME?</v>
      </c>
      <c r="V931" s="4" t="e">
        <f ca="1">[1]!BexGetData("DP_1","00O2TNJGODT0G5Z4TTKYMN18L","GSON1112070071")</f>
        <v>#NAME?</v>
      </c>
      <c r="W931" s="4" t="e">
        <f ca="1">[1]!BexGetData("DP_1","00O2TNJGODT0G5Z4TTKYMN7K5","GSON1112070071")</f>
        <v>#NAME?</v>
      </c>
    </row>
    <row r="932" spans="1:23" x14ac:dyDescent="0.2">
      <c r="A932" s="16" t="s">
        <v>1008</v>
      </c>
      <c r="B932" s="7" t="s">
        <v>1009</v>
      </c>
      <c r="C932" s="3" t="e">
        <f ca="1">[1]!BexGetData("DP_1","003N8EMH8GTFRCSWKMPXRR8GU","GSON1112070075")</f>
        <v>#NAME?</v>
      </c>
      <c r="D932" s="3" t="e">
        <f ca="1">[1]!BexGetData("DP_1","003N8EMH8GTFRCSWKMPXRRESE","GSON1112070075")</f>
        <v>#NAME?</v>
      </c>
      <c r="E932" s="8" t="e">
        <f ca="1">[1]!BexGetData("DP_1","003N8EMH8GTFRCSWKMPXRRL3Y","GSON1112070075")</f>
        <v>#NAME?</v>
      </c>
      <c r="F932" s="4" t="e">
        <f ca="1">[1]!BexGetData("DP_1","003N8EMH8GTFRCSWKMPXRRRFI","GSON1112070075")</f>
        <v>#NAME?</v>
      </c>
      <c r="G932" s="4" t="e">
        <f ca="1">[1]!BexGetData("DP_1","003N8EMH8GTFRCSWKMPXRRXR2","GSON1112070075")</f>
        <v>#NAME?</v>
      </c>
      <c r="H932" s="4" t="e">
        <f ca="1">[1]!BexGetData("DP_1","003N8EMH8GTFRCSWKMPXRS42M","GSON1112070075")</f>
        <v>#NAME?</v>
      </c>
      <c r="I932" s="4" t="e">
        <f ca="1">[1]!BexGetData("DP_1","003N8EMH8GTFRCSWKMPXRSAE6","GSON1112070075")</f>
        <v>#NAME?</v>
      </c>
      <c r="J932" s="4" t="e">
        <f ca="1">[1]!BexGetData("DP_1","003N8EMH8GTFRCSWKMPXRSGPQ","GSON1112070075")</f>
        <v>#NAME?</v>
      </c>
      <c r="K932" s="8" t="e">
        <f ca="1">[1]!BexGetData("DP_1","003N8EMH8GTFRIVNUPY288VJH","GSON1112070075")</f>
        <v>#NAME?</v>
      </c>
      <c r="L932" s="8" t="e">
        <f ca="1">[1]!BexGetData("DP_1","003N8EMH8GTFRIVNUPY2891V1","GSON1112070075")</f>
        <v>#NAME?</v>
      </c>
      <c r="M932" s="8" t="e">
        <f ca="1">[1]!BexGetData("DP_1","003N8EMH8GTFRIVOG7KG9IQXA","GSON1112070075")</f>
        <v>#NAME?</v>
      </c>
      <c r="N932" s="8" t="e">
        <f ca="1">[1]!BexGetData("DP_1","003N8EMH8GTFRIVOG7KG9IX8U","GSON1112070075")</f>
        <v>#NAME?</v>
      </c>
      <c r="O932" s="8" t="e">
        <f ca="1">[1]!BexGetData("DP_1","003N8EMH8GTFRIVOG7KG9J3KE","GSON1112070075")</f>
        <v>#NAME?</v>
      </c>
      <c r="P932" s="8" t="e">
        <f ca="1">[1]!BexGetData("DP_1","003N8EMH8GTFRIVOG7KG9J9VY","GSON1112070075")</f>
        <v>#NAME?</v>
      </c>
      <c r="Q932" s="4" t="e">
        <f ca="1">[1]!BexGetData("DP_1","00O2TNJGODT0G5Z4TTKYMM5MT","GSON1112070075")</f>
        <v>#NAME?</v>
      </c>
      <c r="R932" s="4" t="e">
        <f ca="1">[1]!BexGetData("DP_1","00O2TNJGODT0G5Z4TTKYMMBYD","GSON1112070075")</f>
        <v>#NAME?</v>
      </c>
      <c r="S932" s="4" t="e">
        <f ca="1">[1]!BexGetData("DP_1","00O2TNJGODT0G5Z4TTKYMMI9X","GSON1112070075")</f>
        <v>#NAME?</v>
      </c>
      <c r="T932" s="4" t="e">
        <f ca="1">[1]!BexGetData("DP_1","00O2TNJGODT0G5Z4TTKYMMOLH","GSON1112070075")</f>
        <v>#NAME?</v>
      </c>
      <c r="U932" s="4" t="e">
        <f ca="1">[1]!BexGetData("DP_1","00O2TNJGODT0G5Z4TTKYMMUX1","GSON1112070075")</f>
        <v>#NAME?</v>
      </c>
      <c r="V932" s="4" t="e">
        <f ca="1">[1]!BexGetData("DP_1","00O2TNJGODT0G5Z4TTKYMN18L","GSON1112070075")</f>
        <v>#NAME?</v>
      </c>
      <c r="W932" s="4" t="e">
        <f ca="1">[1]!BexGetData("DP_1","00O2TNJGODT0G5Z4TTKYMN7K5","GSON1112070075")</f>
        <v>#NAME?</v>
      </c>
    </row>
    <row r="933" spans="1:23" x14ac:dyDescent="0.2">
      <c r="A933" s="16" t="s">
        <v>1010</v>
      </c>
      <c r="B933" s="7" t="s">
        <v>1011</v>
      </c>
      <c r="C933" s="3" t="e">
        <f ca="1">[1]!BexGetData("DP_1","003N8EMH8GTFRCSWKMPXRR8GU","GSON1112070080")</f>
        <v>#NAME?</v>
      </c>
      <c r="D933" s="3" t="e">
        <f ca="1">[1]!BexGetData("DP_1","003N8EMH8GTFRCSWKMPXRRESE","GSON1112070080")</f>
        <v>#NAME?</v>
      </c>
      <c r="E933" s="3" t="e">
        <f ca="1">[1]!BexGetData("DP_1","003N8EMH8GTFRCSWKMPXRRL3Y","GSON1112070080")</f>
        <v>#NAME?</v>
      </c>
      <c r="F933" s="3" t="e">
        <f ca="1">[1]!BexGetData("DP_1","003N8EMH8GTFRCSWKMPXRRRFI","GSON1112070080")</f>
        <v>#NAME?</v>
      </c>
      <c r="G933" s="3" t="e">
        <f ca="1">[1]!BexGetData("DP_1","003N8EMH8GTFRCSWKMPXRRXR2","GSON1112070080")</f>
        <v>#NAME?</v>
      </c>
      <c r="H933" s="8" t="e">
        <f ca="1">[1]!BexGetData("DP_1","003N8EMH8GTFRCSWKMPXRS42M","GSON1112070080")</f>
        <v>#NAME?</v>
      </c>
      <c r="I933" s="3" t="e">
        <f ca="1">[1]!BexGetData("DP_1","003N8EMH8GTFRCSWKMPXRSAE6","GSON1112070080")</f>
        <v>#NAME?</v>
      </c>
      <c r="J933" s="4" t="e">
        <f ca="1">[1]!BexGetData("DP_1","003N8EMH8GTFRCSWKMPXRSGPQ","GSON1112070080")</f>
        <v>#NAME?</v>
      </c>
      <c r="K933" s="3" t="e">
        <f ca="1">[1]!BexGetData("DP_1","003N8EMH8GTFRIVNUPY288VJH","GSON1112070080")</f>
        <v>#NAME?</v>
      </c>
      <c r="L933" s="3" t="e">
        <f ca="1">[1]!BexGetData("DP_1","003N8EMH8GTFRIVNUPY2891V1","GSON1112070080")</f>
        <v>#NAME?</v>
      </c>
      <c r="M933" s="3" t="e">
        <f ca="1">[1]!BexGetData("DP_1","003N8EMH8GTFRIVOG7KG9IQXA","GSON1112070080")</f>
        <v>#NAME?</v>
      </c>
      <c r="N933" s="8" t="e">
        <f ca="1">[1]!BexGetData("DP_1","003N8EMH8GTFRIVOG7KG9IX8U","GSON1112070080")</f>
        <v>#NAME?</v>
      </c>
      <c r="O933" s="3" t="e">
        <f ca="1">[1]!BexGetData("DP_1","003N8EMH8GTFRIVOG7KG9J3KE","GSON1112070080")</f>
        <v>#NAME?</v>
      </c>
      <c r="P933" s="8" t="e">
        <f ca="1">[1]!BexGetData("DP_1","003N8EMH8GTFRIVOG7KG9J9VY","GSON1112070080")</f>
        <v>#NAME?</v>
      </c>
      <c r="Q933" s="4" t="e">
        <f ca="1">[1]!BexGetData("DP_1","00O2TNJGODT0G5Z4TTKYMM5MT","GSON1112070080")</f>
        <v>#NAME?</v>
      </c>
      <c r="R933" s="3" t="e">
        <f ca="1">[1]!BexGetData("DP_1","00O2TNJGODT0G5Z4TTKYMMBYD","GSON1112070080")</f>
        <v>#NAME?</v>
      </c>
      <c r="S933" s="3" t="e">
        <f ca="1">[1]!BexGetData("DP_1","00O2TNJGODT0G5Z4TTKYMMI9X","GSON1112070080")</f>
        <v>#NAME?</v>
      </c>
      <c r="T933" s="8" t="e">
        <f ca="1">[1]!BexGetData("DP_1","00O2TNJGODT0G5Z4TTKYMMOLH","GSON1112070080")</f>
        <v>#NAME?</v>
      </c>
      <c r="U933" s="3" t="e">
        <f ca="1">[1]!BexGetData("DP_1","00O2TNJGODT0G5Z4TTKYMMUX1","GSON1112070080")</f>
        <v>#NAME?</v>
      </c>
      <c r="V933" s="8" t="e">
        <f ca="1">[1]!BexGetData("DP_1","00O2TNJGODT0G5Z4TTKYMN18L","GSON1112070080")</f>
        <v>#NAME?</v>
      </c>
      <c r="W933" s="3" t="e">
        <f ca="1">[1]!BexGetData("DP_1","00O2TNJGODT0G5Z4TTKYMN7K5","GSON1112070080")</f>
        <v>#NAME?</v>
      </c>
    </row>
    <row r="934" spans="1:23" x14ac:dyDescent="0.2">
      <c r="A934" s="16" t="s">
        <v>3153</v>
      </c>
      <c r="B934" s="7" t="s">
        <v>3154</v>
      </c>
      <c r="C934" s="3" t="e">
        <f ca="1">[1]!BexGetData("DP_1","003N8EMH8GTFRCSWKMPXRR8GU","GSON1112070083")</f>
        <v>#NAME?</v>
      </c>
      <c r="D934" s="3" t="e">
        <f ca="1">[1]!BexGetData("DP_1","003N8EMH8GTFRCSWKMPXRRESE","GSON1112070083")</f>
        <v>#NAME?</v>
      </c>
      <c r="E934" s="8" t="e">
        <f ca="1">[1]!BexGetData("DP_1","003N8EMH8GTFRCSWKMPXRRL3Y","GSON1112070083")</f>
        <v>#NAME?</v>
      </c>
      <c r="F934" s="4" t="e">
        <f ca="1">[1]!BexGetData("DP_1","003N8EMH8GTFRCSWKMPXRRRFI","GSON1112070083")</f>
        <v>#NAME?</v>
      </c>
      <c r="G934" s="4" t="e">
        <f ca="1">[1]!BexGetData("DP_1","003N8EMH8GTFRCSWKMPXRRXR2","GSON1112070083")</f>
        <v>#NAME?</v>
      </c>
      <c r="H934" s="4" t="e">
        <f ca="1">[1]!BexGetData("DP_1","003N8EMH8GTFRCSWKMPXRS42M","GSON1112070083")</f>
        <v>#NAME?</v>
      </c>
      <c r="I934" s="4" t="e">
        <f ca="1">[1]!BexGetData("DP_1","003N8EMH8GTFRCSWKMPXRSAE6","GSON1112070083")</f>
        <v>#NAME?</v>
      </c>
      <c r="J934" s="4" t="e">
        <f ca="1">[1]!BexGetData("DP_1","003N8EMH8GTFRCSWKMPXRSGPQ","GSON1112070083")</f>
        <v>#NAME?</v>
      </c>
      <c r="K934" s="8" t="e">
        <f ca="1">[1]!BexGetData("DP_1","003N8EMH8GTFRIVNUPY288VJH","GSON1112070083")</f>
        <v>#NAME?</v>
      </c>
      <c r="L934" s="8" t="e">
        <f ca="1">[1]!BexGetData("DP_1","003N8EMH8GTFRIVNUPY2891V1","GSON1112070083")</f>
        <v>#NAME?</v>
      </c>
      <c r="M934" s="8" t="e">
        <f ca="1">[1]!BexGetData("DP_1","003N8EMH8GTFRIVOG7KG9IQXA","GSON1112070083")</f>
        <v>#NAME?</v>
      </c>
      <c r="N934" s="8" t="e">
        <f ca="1">[1]!BexGetData("DP_1","003N8EMH8GTFRIVOG7KG9IX8U","GSON1112070083")</f>
        <v>#NAME?</v>
      </c>
      <c r="O934" s="8" t="e">
        <f ca="1">[1]!BexGetData("DP_1","003N8EMH8GTFRIVOG7KG9J3KE","GSON1112070083")</f>
        <v>#NAME?</v>
      </c>
      <c r="P934" s="8" t="e">
        <f ca="1">[1]!BexGetData("DP_1","003N8EMH8GTFRIVOG7KG9J9VY","GSON1112070083")</f>
        <v>#NAME?</v>
      </c>
      <c r="Q934" s="4" t="e">
        <f ca="1">[1]!BexGetData("DP_1","00O2TNJGODT0G5Z4TTKYMM5MT","GSON1112070083")</f>
        <v>#NAME?</v>
      </c>
      <c r="R934" s="4" t="e">
        <f ca="1">[1]!BexGetData("DP_1","00O2TNJGODT0G5Z4TTKYMMBYD","GSON1112070083")</f>
        <v>#NAME?</v>
      </c>
      <c r="S934" s="4" t="e">
        <f ca="1">[1]!BexGetData("DP_1","00O2TNJGODT0G5Z4TTKYMMI9X","GSON1112070083")</f>
        <v>#NAME?</v>
      </c>
      <c r="T934" s="4" t="e">
        <f ca="1">[1]!BexGetData("DP_1","00O2TNJGODT0G5Z4TTKYMMOLH","GSON1112070083")</f>
        <v>#NAME?</v>
      </c>
      <c r="U934" s="4" t="e">
        <f ca="1">[1]!BexGetData("DP_1","00O2TNJGODT0G5Z4TTKYMMUX1","GSON1112070083")</f>
        <v>#NAME?</v>
      </c>
      <c r="V934" s="4" t="e">
        <f ca="1">[1]!BexGetData("DP_1","00O2TNJGODT0G5Z4TTKYMN18L","GSON1112070083")</f>
        <v>#NAME?</v>
      </c>
      <c r="W934" s="4" t="e">
        <f ca="1">[1]!BexGetData("DP_1","00O2TNJGODT0G5Z4TTKYMN7K5","GSON1112070083")</f>
        <v>#NAME?</v>
      </c>
    </row>
    <row r="935" spans="1:23" x14ac:dyDescent="0.2">
      <c r="A935" s="16" t="s">
        <v>1012</v>
      </c>
      <c r="B935" s="7" t="s">
        <v>1013</v>
      </c>
      <c r="C935" s="3" t="e">
        <f ca="1">[1]!BexGetData("DP_1","003N8EMH8GTFRCSWKMPXRR8GU","GSON1112070085")</f>
        <v>#NAME?</v>
      </c>
      <c r="D935" s="3" t="e">
        <f ca="1">[1]!BexGetData("DP_1","003N8EMH8GTFRCSWKMPXRRESE","GSON1112070085")</f>
        <v>#NAME?</v>
      </c>
      <c r="E935" s="8" t="e">
        <f ca="1">[1]!BexGetData("DP_1","003N8EMH8GTFRCSWKMPXRRL3Y","GSON1112070085")</f>
        <v>#NAME?</v>
      </c>
      <c r="F935" s="4" t="e">
        <f ca="1">[1]!BexGetData("DP_1","003N8EMH8GTFRCSWKMPXRRRFI","GSON1112070085")</f>
        <v>#NAME?</v>
      </c>
      <c r="G935" s="4" t="e">
        <f ca="1">[1]!BexGetData("DP_1","003N8EMH8GTFRCSWKMPXRRXR2","GSON1112070085")</f>
        <v>#NAME?</v>
      </c>
      <c r="H935" s="4" t="e">
        <f ca="1">[1]!BexGetData("DP_1","003N8EMH8GTFRCSWKMPXRS42M","GSON1112070085")</f>
        <v>#NAME?</v>
      </c>
      <c r="I935" s="4" t="e">
        <f ca="1">[1]!BexGetData("DP_1","003N8EMH8GTFRCSWKMPXRSAE6","GSON1112070085")</f>
        <v>#NAME?</v>
      </c>
      <c r="J935" s="4" t="e">
        <f ca="1">[1]!BexGetData("DP_1","003N8EMH8GTFRCSWKMPXRSGPQ","GSON1112070085")</f>
        <v>#NAME?</v>
      </c>
      <c r="K935" s="8" t="e">
        <f ca="1">[1]!BexGetData("DP_1","003N8EMH8GTFRIVNUPY288VJH","GSON1112070085")</f>
        <v>#NAME?</v>
      </c>
      <c r="L935" s="8" t="e">
        <f ca="1">[1]!BexGetData("DP_1","003N8EMH8GTFRIVNUPY2891V1","GSON1112070085")</f>
        <v>#NAME?</v>
      </c>
      <c r="M935" s="8" t="e">
        <f ca="1">[1]!BexGetData("DP_1","003N8EMH8GTFRIVOG7KG9IQXA","GSON1112070085")</f>
        <v>#NAME?</v>
      </c>
      <c r="N935" s="8" t="e">
        <f ca="1">[1]!BexGetData("DP_1","003N8EMH8GTFRIVOG7KG9IX8U","GSON1112070085")</f>
        <v>#NAME?</v>
      </c>
      <c r="O935" s="8" t="e">
        <f ca="1">[1]!BexGetData("DP_1","003N8EMH8GTFRIVOG7KG9J3KE","GSON1112070085")</f>
        <v>#NAME?</v>
      </c>
      <c r="P935" s="8" t="e">
        <f ca="1">[1]!BexGetData("DP_1","003N8EMH8GTFRIVOG7KG9J9VY","GSON1112070085")</f>
        <v>#NAME?</v>
      </c>
      <c r="Q935" s="4" t="e">
        <f ca="1">[1]!BexGetData("DP_1","00O2TNJGODT0G5Z4TTKYMM5MT","GSON1112070085")</f>
        <v>#NAME?</v>
      </c>
      <c r="R935" s="4" t="e">
        <f ca="1">[1]!BexGetData("DP_1","00O2TNJGODT0G5Z4TTKYMMBYD","GSON1112070085")</f>
        <v>#NAME?</v>
      </c>
      <c r="S935" s="4" t="e">
        <f ca="1">[1]!BexGetData("DP_1","00O2TNJGODT0G5Z4TTKYMMI9X","GSON1112070085")</f>
        <v>#NAME?</v>
      </c>
      <c r="T935" s="4" t="e">
        <f ca="1">[1]!BexGetData("DP_1","00O2TNJGODT0G5Z4TTKYMMOLH","GSON1112070085")</f>
        <v>#NAME?</v>
      </c>
      <c r="U935" s="4" t="e">
        <f ca="1">[1]!BexGetData("DP_1","00O2TNJGODT0G5Z4TTKYMMUX1","GSON1112070085")</f>
        <v>#NAME?</v>
      </c>
      <c r="V935" s="4" t="e">
        <f ca="1">[1]!BexGetData("DP_1","00O2TNJGODT0G5Z4TTKYMN18L","GSON1112070085")</f>
        <v>#NAME?</v>
      </c>
      <c r="W935" s="4" t="e">
        <f ca="1">[1]!BexGetData("DP_1","00O2TNJGODT0G5Z4TTKYMN7K5","GSON1112070085")</f>
        <v>#NAME?</v>
      </c>
    </row>
    <row r="936" spans="1:23" x14ac:dyDescent="0.2">
      <c r="A936" s="16" t="s">
        <v>1014</v>
      </c>
      <c r="B936" s="7" t="s">
        <v>1015</v>
      </c>
      <c r="C936" s="3" t="e">
        <f ca="1">[1]!BexGetData("DP_1","003N8EMH8GTFRCSWKMPXRR8GU","GSON1112070090")</f>
        <v>#NAME?</v>
      </c>
      <c r="D936" s="3" t="e">
        <f ca="1">[1]!BexGetData("DP_1","003N8EMH8GTFRCSWKMPXRRESE","GSON1112070090")</f>
        <v>#NAME?</v>
      </c>
      <c r="E936" s="8" t="e">
        <f ca="1">[1]!BexGetData("DP_1","003N8EMH8GTFRCSWKMPXRRL3Y","GSON1112070090")</f>
        <v>#NAME?</v>
      </c>
      <c r="F936" s="3" t="e">
        <f ca="1">[1]!BexGetData("DP_1","003N8EMH8GTFRCSWKMPXRRRFI","GSON1112070090")</f>
        <v>#NAME?</v>
      </c>
      <c r="G936" s="3" t="e">
        <f ca="1">[1]!BexGetData("DP_1","003N8EMH8GTFRCSWKMPXRRXR2","GSON1112070090")</f>
        <v>#NAME?</v>
      </c>
      <c r="H936" s="8" t="e">
        <f ca="1">[1]!BexGetData("DP_1","003N8EMH8GTFRCSWKMPXRS42M","GSON1112070090")</f>
        <v>#NAME?</v>
      </c>
      <c r="I936" s="3" t="e">
        <f ca="1">[1]!BexGetData("DP_1","003N8EMH8GTFRCSWKMPXRSAE6","GSON1112070090")</f>
        <v>#NAME?</v>
      </c>
      <c r="J936" s="4" t="e">
        <f ca="1">[1]!BexGetData("DP_1","003N8EMH8GTFRCSWKMPXRSGPQ","GSON1112070090")</f>
        <v>#NAME?</v>
      </c>
      <c r="K936" s="3" t="e">
        <f ca="1">[1]!BexGetData("DP_1","003N8EMH8GTFRIVNUPY288VJH","GSON1112070090")</f>
        <v>#NAME?</v>
      </c>
      <c r="L936" s="3" t="e">
        <f ca="1">[1]!BexGetData("DP_1","003N8EMH8GTFRIVNUPY2891V1","GSON1112070090")</f>
        <v>#NAME?</v>
      </c>
      <c r="M936" s="3" t="e">
        <f ca="1">[1]!BexGetData("DP_1","003N8EMH8GTFRIVOG7KG9IQXA","GSON1112070090")</f>
        <v>#NAME?</v>
      </c>
      <c r="N936" s="8" t="e">
        <f ca="1">[1]!BexGetData("DP_1","003N8EMH8GTFRIVOG7KG9IX8U","GSON1112070090")</f>
        <v>#NAME?</v>
      </c>
      <c r="O936" s="3" t="e">
        <f ca="1">[1]!BexGetData("DP_1","003N8EMH8GTFRIVOG7KG9J3KE","GSON1112070090")</f>
        <v>#NAME?</v>
      </c>
      <c r="P936" s="8" t="e">
        <f ca="1">[1]!BexGetData("DP_1","003N8EMH8GTFRIVOG7KG9J9VY","GSON1112070090")</f>
        <v>#NAME?</v>
      </c>
      <c r="Q936" s="4" t="e">
        <f ca="1">[1]!BexGetData("DP_1","00O2TNJGODT0G5Z4TTKYMM5MT","GSON1112070090")</f>
        <v>#NAME?</v>
      </c>
      <c r="R936" s="3" t="e">
        <f ca="1">[1]!BexGetData("DP_1","00O2TNJGODT0G5Z4TTKYMMBYD","GSON1112070090")</f>
        <v>#NAME?</v>
      </c>
      <c r="S936" s="3" t="e">
        <f ca="1">[1]!BexGetData("DP_1","00O2TNJGODT0G5Z4TTKYMMI9X","GSON1112070090")</f>
        <v>#NAME?</v>
      </c>
      <c r="T936" s="8" t="e">
        <f ca="1">[1]!BexGetData("DP_1","00O2TNJGODT0G5Z4TTKYMMOLH","GSON1112070090")</f>
        <v>#NAME?</v>
      </c>
      <c r="U936" s="3" t="e">
        <f ca="1">[1]!BexGetData("DP_1","00O2TNJGODT0G5Z4TTKYMMUX1","GSON1112070090")</f>
        <v>#NAME?</v>
      </c>
      <c r="V936" s="8" t="e">
        <f ca="1">[1]!BexGetData("DP_1","00O2TNJGODT0G5Z4TTKYMN18L","GSON1112070090")</f>
        <v>#NAME?</v>
      </c>
      <c r="W936" s="3" t="e">
        <f ca="1">[1]!BexGetData("DP_1","00O2TNJGODT0G5Z4TTKYMN7K5","GSON1112070090")</f>
        <v>#NAME?</v>
      </c>
    </row>
    <row r="937" spans="1:23" x14ac:dyDescent="0.2">
      <c r="A937" s="16" t="s">
        <v>3155</v>
      </c>
      <c r="B937" s="7" t="s">
        <v>3156</v>
      </c>
      <c r="C937" s="3" t="e">
        <f ca="1">[1]!BexGetData("DP_1","003N8EMH8GTFRCSWKMPXRR8GU","GSON1112070091")</f>
        <v>#NAME?</v>
      </c>
      <c r="D937" s="3" t="e">
        <f ca="1">[1]!BexGetData("DP_1","003N8EMH8GTFRCSWKMPXRRESE","GSON1112070091")</f>
        <v>#NAME?</v>
      </c>
      <c r="E937" s="8" t="e">
        <f ca="1">[1]!BexGetData("DP_1","003N8EMH8GTFRCSWKMPXRRL3Y","GSON1112070091")</f>
        <v>#NAME?</v>
      </c>
      <c r="F937" s="4" t="e">
        <f ca="1">[1]!BexGetData("DP_1","003N8EMH8GTFRCSWKMPXRRRFI","GSON1112070091")</f>
        <v>#NAME?</v>
      </c>
      <c r="G937" s="4" t="e">
        <f ca="1">[1]!BexGetData("DP_1","003N8EMH8GTFRCSWKMPXRRXR2","GSON1112070091")</f>
        <v>#NAME?</v>
      </c>
      <c r="H937" s="4" t="e">
        <f ca="1">[1]!BexGetData("DP_1","003N8EMH8GTFRCSWKMPXRS42M","GSON1112070091")</f>
        <v>#NAME?</v>
      </c>
      <c r="I937" s="4" t="e">
        <f ca="1">[1]!BexGetData("DP_1","003N8EMH8GTFRCSWKMPXRSAE6","GSON1112070091")</f>
        <v>#NAME?</v>
      </c>
      <c r="J937" s="4" t="e">
        <f ca="1">[1]!BexGetData("DP_1","003N8EMH8GTFRCSWKMPXRSGPQ","GSON1112070091")</f>
        <v>#NAME?</v>
      </c>
      <c r="K937" s="8" t="e">
        <f ca="1">[1]!BexGetData("DP_1","003N8EMH8GTFRIVNUPY288VJH","GSON1112070091")</f>
        <v>#NAME?</v>
      </c>
      <c r="L937" s="8" t="e">
        <f ca="1">[1]!BexGetData("DP_1","003N8EMH8GTFRIVNUPY2891V1","GSON1112070091")</f>
        <v>#NAME?</v>
      </c>
      <c r="M937" s="8" t="e">
        <f ca="1">[1]!BexGetData("DP_1","003N8EMH8GTFRIVOG7KG9IQXA","GSON1112070091")</f>
        <v>#NAME?</v>
      </c>
      <c r="N937" s="8" t="e">
        <f ca="1">[1]!BexGetData("DP_1","003N8EMH8GTFRIVOG7KG9IX8U","GSON1112070091")</f>
        <v>#NAME?</v>
      </c>
      <c r="O937" s="8" t="e">
        <f ca="1">[1]!BexGetData("DP_1","003N8EMH8GTFRIVOG7KG9J3KE","GSON1112070091")</f>
        <v>#NAME?</v>
      </c>
      <c r="P937" s="8" t="e">
        <f ca="1">[1]!BexGetData("DP_1","003N8EMH8GTFRIVOG7KG9J9VY","GSON1112070091")</f>
        <v>#NAME?</v>
      </c>
      <c r="Q937" s="4" t="e">
        <f ca="1">[1]!BexGetData("DP_1","00O2TNJGODT0G5Z4TTKYMM5MT","GSON1112070091")</f>
        <v>#NAME?</v>
      </c>
      <c r="R937" s="4" t="e">
        <f ca="1">[1]!BexGetData("DP_1","00O2TNJGODT0G5Z4TTKYMMBYD","GSON1112070091")</f>
        <v>#NAME?</v>
      </c>
      <c r="S937" s="4" t="e">
        <f ca="1">[1]!BexGetData("DP_1","00O2TNJGODT0G5Z4TTKYMMI9X","GSON1112070091")</f>
        <v>#NAME?</v>
      </c>
      <c r="T937" s="4" t="e">
        <f ca="1">[1]!BexGetData("DP_1","00O2TNJGODT0G5Z4TTKYMMOLH","GSON1112070091")</f>
        <v>#NAME?</v>
      </c>
      <c r="U937" s="4" t="e">
        <f ca="1">[1]!BexGetData("DP_1","00O2TNJGODT0G5Z4TTKYMMUX1","GSON1112070091")</f>
        <v>#NAME?</v>
      </c>
      <c r="V937" s="4" t="e">
        <f ca="1">[1]!BexGetData("DP_1","00O2TNJGODT0G5Z4TTKYMN18L","GSON1112070091")</f>
        <v>#NAME?</v>
      </c>
      <c r="W937" s="4" t="e">
        <f ca="1">[1]!BexGetData("DP_1","00O2TNJGODT0G5Z4TTKYMN7K5","GSON1112070091")</f>
        <v>#NAME?</v>
      </c>
    </row>
    <row r="938" spans="1:23" x14ac:dyDescent="0.2">
      <c r="A938" s="16" t="s">
        <v>3157</v>
      </c>
      <c r="B938" s="7" t="s">
        <v>3158</v>
      </c>
      <c r="C938" s="3" t="e">
        <f ca="1">[1]!BexGetData("DP_1","003N8EMH8GTFRCSWKMPXRR8GU","GSON1112070093")</f>
        <v>#NAME?</v>
      </c>
      <c r="D938" s="3" t="e">
        <f ca="1">[1]!BexGetData("DP_1","003N8EMH8GTFRCSWKMPXRRESE","GSON1112070093")</f>
        <v>#NAME?</v>
      </c>
      <c r="E938" s="8" t="e">
        <f ca="1">[1]!BexGetData("DP_1","003N8EMH8GTFRCSWKMPXRRL3Y","GSON1112070093")</f>
        <v>#NAME?</v>
      </c>
      <c r="F938" s="4" t="e">
        <f ca="1">[1]!BexGetData("DP_1","003N8EMH8GTFRCSWKMPXRRRFI","GSON1112070093")</f>
        <v>#NAME?</v>
      </c>
      <c r="G938" s="4" t="e">
        <f ca="1">[1]!BexGetData("DP_1","003N8EMH8GTFRCSWKMPXRRXR2","GSON1112070093")</f>
        <v>#NAME?</v>
      </c>
      <c r="H938" s="4" t="e">
        <f ca="1">[1]!BexGetData("DP_1","003N8EMH8GTFRCSWKMPXRS42M","GSON1112070093")</f>
        <v>#NAME?</v>
      </c>
      <c r="I938" s="4" t="e">
        <f ca="1">[1]!BexGetData("DP_1","003N8EMH8GTFRCSWKMPXRSAE6","GSON1112070093")</f>
        <v>#NAME?</v>
      </c>
      <c r="J938" s="4" t="e">
        <f ca="1">[1]!BexGetData("DP_1","003N8EMH8GTFRCSWKMPXRSGPQ","GSON1112070093")</f>
        <v>#NAME?</v>
      </c>
      <c r="K938" s="8" t="e">
        <f ca="1">[1]!BexGetData("DP_1","003N8EMH8GTFRIVNUPY288VJH","GSON1112070093")</f>
        <v>#NAME?</v>
      </c>
      <c r="L938" s="8" t="e">
        <f ca="1">[1]!BexGetData("DP_1","003N8EMH8GTFRIVNUPY2891V1","GSON1112070093")</f>
        <v>#NAME?</v>
      </c>
      <c r="M938" s="8" t="e">
        <f ca="1">[1]!BexGetData("DP_1","003N8EMH8GTFRIVOG7KG9IQXA","GSON1112070093")</f>
        <v>#NAME?</v>
      </c>
      <c r="N938" s="8" t="e">
        <f ca="1">[1]!BexGetData("DP_1","003N8EMH8GTFRIVOG7KG9IX8U","GSON1112070093")</f>
        <v>#NAME?</v>
      </c>
      <c r="O938" s="8" t="e">
        <f ca="1">[1]!BexGetData("DP_1","003N8EMH8GTFRIVOG7KG9J3KE","GSON1112070093")</f>
        <v>#NAME?</v>
      </c>
      <c r="P938" s="8" t="e">
        <f ca="1">[1]!BexGetData("DP_1","003N8EMH8GTFRIVOG7KG9J9VY","GSON1112070093")</f>
        <v>#NAME?</v>
      </c>
      <c r="Q938" s="4" t="e">
        <f ca="1">[1]!BexGetData("DP_1","00O2TNJGODT0G5Z4TTKYMM5MT","GSON1112070093")</f>
        <v>#NAME?</v>
      </c>
      <c r="R938" s="4" t="e">
        <f ca="1">[1]!BexGetData("DP_1","00O2TNJGODT0G5Z4TTKYMMBYD","GSON1112070093")</f>
        <v>#NAME?</v>
      </c>
      <c r="S938" s="4" t="e">
        <f ca="1">[1]!BexGetData("DP_1","00O2TNJGODT0G5Z4TTKYMMI9X","GSON1112070093")</f>
        <v>#NAME?</v>
      </c>
      <c r="T938" s="4" t="e">
        <f ca="1">[1]!BexGetData("DP_1","00O2TNJGODT0G5Z4TTKYMMOLH","GSON1112070093")</f>
        <v>#NAME?</v>
      </c>
      <c r="U938" s="4" t="e">
        <f ca="1">[1]!BexGetData("DP_1","00O2TNJGODT0G5Z4TTKYMMUX1","GSON1112070093")</f>
        <v>#NAME?</v>
      </c>
      <c r="V938" s="4" t="e">
        <f ca="1">[1]!BexGetData("DP_1","00O2TNJGODT0G5Z4TTKYMN18L","GSON1112070093")</f>
        <v>#NAME?</v>
      </c>
      <c r="W938" s="4" t="e">
        <f ca="1">[1]!BexGetData("DP_1","00O2TNJGODT0G5Z4TTKYMN7K5","GSON1112070093")</f>
        <v>#NAME?</v>
      </c>
    </row>
    <row r="939" spans="1:23" x14ac:dyDescent="0.2">
      <c r="A939" s="16" t="s">
        <v>1016</v>
      </c>
      <c r="B939" s="7" t="s">
        <v>1017</v>
      </c>
      <c r="C939" s="3" t="e">
        <f ca="1">[1]!BexGetData("DP_1","003N8EMH8GTFRCSWKMPXRR8GU","GSON1112070095")</f>
        <v>#NAME?</v>
      </c>
      <c r="D939" s="3" t="e">
        <f ca="1">[1]!BexGetData("DP_1","003N8EMH8GTFRCSWKMPXRRESE","GSON1112070095")</f>
        <v>#NAME?</v>
      </c>
      <c r="E939" s="8" t="e">
        <f ca="1">[1]!BexGetData("DP_1","003N8EMH8GTFRCSWKMPXRRL3Y","GSON1112070095")</f>
        <v>#NAME?</v>
      </c>
      <c r="F939" s="4" t="e">
        <f ca="1">[1]!BexGetData("DP_1","003N8EMH8GTFRCSWKMPXRRRFI","GSON1112070095")</f>
        <v>#NAME?</v>
      </c>
      <c r="G939" s="4" t="e">
        <f ca="1">[1]!BexGetData("DP_1","003N8EMH8GTFRCSWKMPXRRXR2","GSON1112070095")</f>
        <v>#NAME?</v>
      </c>
      <c r="H939" s="4" t="e">
        <f ca="1">[1]!BexGetData("DP_1","003N8EMH8GTFRCSWKMPXRS42M","GSON1112070095")</f>
        <v>#NAME?</v>
      </c>
      <c r="I939" s="4" t="e">
        <f ca="1">[1]!BexGetData("DP_1","003N8EMH8GTFRCSWKMPXRSAE6","GSON1112070095")</f>
        <v>#NAME?</v>
      </c>
      <c r="J939" s="4" t="e">
        <f ca="1">[1]!BexGetData("DP_1","003N8EMH8GTFRCSWKMPXRSGPQ","GSON1112070095")</f>
        <v>#NAME?</v>
      </c>
      <c r="K939" s="8" t="e">
        <f ca="1">[1]!BexGetData("DP_1","003N8EMH8GTFRIVNUPY288VJH","GSON1112070095")</f>
        <v>#NAME?</v>
      </c>
      <c r="L939" s="8" t="e">
        <f ca="1">[1]!BexGetData("DP_1","003N8EMH8GTFRIVNUPY2891V1","GSON1112070095")</f>
        <v>#NAME?</v>
      </c>
      <c r="M939" s="8" t="e">
        <f ca="1">[1]!BexGetData("DP_1","003N8EMH8GTFRIVOG7KG9IQXA","GSON1112070095")</f>
        <v>#NAME?</v>
      </c>
      <c r="N939" s="8" t="e">
        <f ca="1">[1]!BexGetData("DP_1","003N8EMH8GTFRIVOG7KG9IX8U","GSON1112070095")</f>
        <v>#NAME?</v>
      </c>
      <c r="O939" s="8" t="e">
        <f ca="1">[1]!BexGetData("DP_1","003N8EMH8GTFRIVOG7KG9J3KE","GSON1112070095")</f>
        <v>#NAME?</v>
      </c>
      <c r="P939" s="8" t="e">
        <f ca="1">[1]!BexGetData("DP_1","003N8EMH8GTFRIVOG7KG9J9VY","GSON1112070095")</f>
        <v>#NAME?</v>
      </c>
      <c r="Q939" s="4" t="e">
        <f ca="1">[1]!BexGetData("DP_1","00O2TNJGODT0G5Z4TTKYMM5MT","GSON1112070095")</f>
        <v>#NAME?</v>
      </c>
      <c r="R939" s="4" t="e">
        <f ca="1">[1]!BexGetData("DP_1","00O2TNJGODT0G5Z4TTKYMMBYD","GSON1112070095")</f>
        <v>#NAME?</v>
      </c>
      <c r="S939" s="4" t="e">
        <f ca="1">[1]!BexGetData("DP_1","00O2TNJGODT0G5Z4TTKYMMI9X","GSON1112070095")</f>
        <v>#NAME?</v>
      </c>
      <c r="T939" s="4" t="e">
        <f ca="1">[1]!BexGetData("DP_1","00O2TNJGODT0G5Z4TTKYMMOLH","GSON1112070095")</f>
        <v>#NAME?</v>
      </c>
      <c r="U939" s="4" t="e">
        <f ca="1">[1]!BexGetData("DP_1","00O2TNJGODT0G5Z4TTKYMMUX1","GSON1112070095")</f>
        <v>#NAME?</v>
      </c>
      <c r="V939" s="4" t="e">
        <f ca="1">[1]!BexGetData("DP_1","00O2TNJGODT0G5Z4TTKYMN18L","GSON1112070095")</f>
        <v>#NAME?</v>
      </c>
      <c r="W939" s="4" t="e">
        <f ca="1">[1]!BexGetData("DP_1","00O2TNJGODT0G5Z4TTKYMN7K5","GSON1112070095")</f>
        <v>#NAME?</v>
      </c>
    </row>
    <row r="940" spans="1:23" x14ac:dyDescent="0.2">
      <c r="A940" s="16" t="s">
        <v>1018</v>
      </c>
      <c r="B940" s="7" t="s">
        <v>1019</v>
      </c>
      <c r="C940" s="3" t="e">
        <f ca="1">[1]!BexGetData("DP_1","003N8EMH8GTFRCSWKMPXRR8GU","GSON1112070100")</f>
        <v>#NAME?</v>
      </c>
      <c r="D940" s="8" t="e">
        <f ca="1">[1]!BexGetData("DP_1","003N8EMH8GTFRCSWKMPXRRESE","GSON1112070100")</f>
        <v>#NAME?</v>
      </c>
      <c r="E940" s="3" t="e">
        <f ca="1">[1]!BexGetData("DP_1","003N8EMH8GTFRCSWKMPXRRL3Y","GSON1112070100")</f>
        <v>#NAME?</v>
      </c>
      <c r="F940" s="3" t="e">
        <f ca="1">[1]!BexGetData("DP_1","003N8EMH8GTFRCSWKMPXRRRFI","GSON1112070100")</f>
        <v>#NAME?</v>
      </c>
      <c r="G940" s="3" t="e">
        <f ca="1">[1]!BexGetData("DP_1","003N8EMH8GTFRCSWKMPXRRXR2","GSON1112070100")</f>
        <v>#NAME?</v>
      </c>
      <c r="H940" s="8" t="e">
        <f ca="1">[1]!BexGetData("DP_1","003N8EMH8GTFRCSWKMPXRS42M","GSON1112070100")</f>
        <v>#NAME?</v>
      </c>
      <c r="I940" s="3" t="e">
        <f ca="1">[1]!BexGetData("DP_1","003N8EMH8GTFRCSWKMPXRSAE6","GSON1112070100")</f>
        <v>#NAME?</v>
      </c>
      <c r="J940" s="4" t="e">
        <f ca="1">[1]!BexGetData("DP_1","003N8EMH8GTFRCSWKMPXRSGPQ","GSON1112070100")</f>
        <v>#NAME?</v>
      </c>
      <c r="K940" s="3" t="e">
        <f ca="1">[1]!BexGetData("DP_1","003N8EMH8GTFRIVNUPY288VJH","GSON1112070100")</f>
        <v>#NAME?</v>
      </c>
      <c r="L940" s="3" t="e">
        <f ca="1">[1]!BexGetData("DP_1","003N8EMH8GTFRIVNUPY2891V1","GSON1112070100")</f>
        <v>#NAME?</v>
      </c>
      <c r="M940" s="8" t="e">
        <f ca="1">[1]!BexGetData("DP_1","003N8EMH8GTFRIVOG7KG9IQXA","GSON1112070100")</f>
        <v>#NAME?</v>
      </c>
      <c r="N940" s="3" t="e">
        <f ca="1">[1]!BexGetData("DP_1","003N8EMH8GTFRIVOG7KG9IX8U","GSON1112070100")</f>
        <v>#NAME?</v>
      </c>
      <c r="O940" s="8" t="e">
        <f ca="1">[1]!BexGetData("DP_1","003N8EMH8GTFRIVOG7KG9J3KE","GSON1112070100")</f>
        <v>#NAME?</v>
      </c>
      <c r="P940" s="3" t="e">
        <f ca="1">[1]!BexGetData("DP_1","003N8EMH8GTFRIVOG7KG9J9VY","GSON1112070100")</f>
        <v>#NAME?</v>
      </c>
      <c r="Q940" s="4" t="e">
        <f ca="1">[1]!BexGetData("DP_1","00O2TNJGODT0G5Z4TTKYMM5MT","GSON1112070100")</f>
        <v>#NAME?</v>
      </c>
      <c r="R940" s="3" t="e">
        <f ca="1">[1]!BexGetData("DP_1","00O2TNJGODT0G5Z4TTKYMMBYD","GSON1112070100")</f>
        <v>#NAME?</v>
      </c>
      <c r="S940" s="3" t="e">
        <f ca="1">[1]!BexGetData("DP_1","00O2TNJGODT0G5Z4TTKYMMI9X","GSON1112070100")</f>
        <v>#NAME?</v>
      </c>
      <c r="T940" s="8" t="e">
        <f ca="1">[1]!BexGetData("DP_1","00O2TNJGODT0G5Z4TTKYMMOLH","GSON1112070100")</f>
        <v>#NAME?</v>
      </c>
      <c r="U940" s="3" t="e">
        <f ca="1">[1]!BexGetData("DP_1","00O2TNJGODT0G5Z4TTKYMMUX1","GSON1112070100")</f>
        <v>#NAME?</v>
      </c>
      <c r="V940" s="8" t="e">
        <f ca="1">[1]!BexGetData("DP_1","00O2TNJGODT0G5Z4TTKYMN18L","GSON1112070100")</f>
        <v>#NAME?</v>
      </c>
      <c r="W940" s="3" t="e">
        <f ca="1">[1]!BexGetData("DP_1","00O2TNJGODT0G5Z4TTKYMN7K5","GSON1112070100")</f>
        <v>#NAME?</v>
      </c>
    </row>
    <row r="941" spans="1:23" x14ac:dyDescent="0.2">
      <c r="A941" s="16" t="s">
        <v>1020</v>
      </c>
      <c r="B941" s="7" t="s">
        <v>1021</v>
      </c>
      <c r="C941" s="3" t="e">
        <f ca="1">[1]!BexGetData("DP_1","003N8EMH8GTFRCSWKMPXRR8GU","GSON1112070105")</f>
        <v>#NAME?</v>
      </c>
      <c r="D941" s="3" t="e">
        <f ca="1">[1]!BexGetData("DP_1","003N8EMH8GTFRCSWKMPXRRESE","GSON1112070105")</f>
        <v>#NAME?</v>
      </c>
      <c r="E941" s="8" t="e">
        <f ca="1">[1]!BexGetData("DP_1","003N8EMH8GTFRCSWKMPXRRL3Y","GSON1112070105")</f>
        <v>#NAME?</v>
      </c>
      <c r="F941" s="4" t="e">
        <f ca="1">[1]!BexGetData("DP_1","003N8EMH8GTFRCSWKMPXRRRFI","GSON1112070105")</f>
        <v>#NAME?</v>
      </c>
      <c r="G941" s="4" t="e">
        <f ca="1">[1]!BexGetData("DP_1","003N8EMH8GTFRCSWKMPXRRXR2","GSON1112070105")</f>
        <v>#NAME?</v>
      </c>
      <c r="H941" s="4" t="e">
        <f ca="1">[1]!BexGetData("DP_1","003N8EMH8GTFRCSWKMPXRS42M","GSON1112070105")</f>
        <v>#NAME?</v>
      </c>
      <c r="I941" s="4" t="e">
        <f ca="1">[1]!BexGetData("DP_1","003N8EMH8GTFRCSWKMPXRSAE6","GSON1112070105")</f>
        <v>#NAME?</v>
      </c>
      <c r="J941" s="4" t="e">
        <f ca="1">[1]!BexGetData("DP_1","003N8EMH8GTFRCSWKMPXRSGPQ","GSON1112070105")</f>
        <v>#NAME?</v>
      </c>
      <c r="K941" s="8" t="e">
        <f ca="1">[1]!BexGetData("DP_1","003N8EMH8GTFRIVNUPY288VJH","GSON1112070105")</f>
        <v>#NAME?</v>
      </c>
      <c r="L941" s="8" t="e">
        <f ca="1">[1]!BexGetData("DP_1","003N8EMH8GTFRIVNUPY2891V1","GSON1112070105")</f>
        <v>#NAME?</v>
      </c>
      <c r="M941" s="8" t="e">
        <f ca="1">[1]!BexGetData("DP_1","003N8EMH8GTFRIVOG7KG9IQXA","GSON1112070105")</f>
        <v>#NAME?</v>
      </c>
      <c r="N941" s="8" t="e">
        <f ca="1">[1]!BexGetData("DP_1","003N8EMH8GTFRIVOG7KG9IX8U","GSON1112070105")</f>
        <v>#NAME?</v>
      </c>
      <c r="O941" s="8" t="e">
        <f ca="1">[1]!BexGetData("DP_1","003N8EMH8GTFRIVOG7KG9J3KE","GSON1112070105")</f>
        <v>#NAME?</v>
      </c>
      <c r="P941" s="8" t="e">
        <f ca="1">[1]!BexGetData("DP_1","003N8EMH8GTFRIVOG7KG9J9VY","GSON1112070105")</f>
        <v>#NAME?</v>
      </c>
      <c r="Q941" s="4" t="e">
        <f ca="1">[1]!BexGetData("DP_1","00O2TNJGODT0G5Z4TTKYMM5MT","GSON1112070105")</f>
        <v>#NAME?</v>
      </c>
      <c r="R941" s="4" t="e">
        <f ca="1">[1]!BexGetData("DP_1","00O2TNJGODT0G5Z4TTKYMMBYD","GSON1112070105")</f>
        <v>#NAME?</v>
      </c>
      <c r="S941" s="4" t="e">
        <f ca="1">[1]!BexGetData("DP_1","00O2TNJGODT0G5Z4TTKYMMI9X","GSON1112070105")</f>
        <v>#NAME?</v>
      </c>
      <c r="T941" s="4" t="e">
        <f ca="1">[1]!BexGetData("DP_1","00O2TNJGODT0G5Z4TTKYMMOLH","GSON1112070105")</f>
        <v>#NAME?</v>
      </c>
      <c r="U941" s="4" t="e">
        <f ca="1">[1]!BexGetData("DP_1","00O2TNJGODT0G5Z4TTKYMMUX1","GSON1112070105")</f>
        <v>#NAME?</v>
      </c>
      <c r="V941" s="4" t="e">
        <f ca="1">[1]!BexGetData("DP_1","00O2TNJGODT0G5Z4TTKYMN18L","GSON1112070105")</f>
        <v>#NAME?</v>
      </c>
      <c r="W941" s="4" t="e">
        <f ca="1">[1]!BexGetData("DP_1","00O2TNJGODT0G5Z4TTKYMN7K5","GSON1112070105")</f>
        <v>#NAME?</v>
      </c>
    </row>
    <row r="942" spans="1:23" x14ac:dyDescent="0.2">
      <c r="A942" s="16" t="s">
        <v>1022</v>
      </c>
      <c r="B942" s="7" t="s">
        <v>1023</v>
      </c>
      <c r="C942" s="3" t="e">
        <f ca="1">[1]!BexGetData("DP_1","003N8EMH8GTFRCSWKMPXRR8GU","GSON1112070110")</f>
        <v>#NAME?</v>
      </c>
      <c r="D942" s="3" t="e">
        <f ca="1">[1]!BexGetData("DP_1","003N8EMH8GTFRCSWKMPXRRESE","GSON1112070110")</f>
        <v>#NAME?</v>
      </c>
      <c r="E942" s="3" t="e">
        <f ca="1">[1]!BexGetData("DP_1","003N8EMH8GTFRCSWKMPXRRL3Y","GSON1112070110")</f>
        <v>#NAME?</v>
      </c>
      <c r="F942" s="3" t="e">
        <f ca="1">[1]!BexGetData("DP_1","003N8EMH8GTFRCSWKMPXRRRFI","GSON1112070110")</f>
        <v>#NAME?</v>
      </c>
      <c r="G942" s="3" t="e">
        <f ca="1">[1]!BexGetData("DP_1","003N8EMH8GTFRCSWKMPXRRXR2","GSON1112070110")</f>
        <v>#NAME?</v>
      </c>
      <c r="H942" s="8" t="e">
        <f ca="1">[1]!BexGetData("DP_1","003N8EMH8GTFRCSWKMPXRS42M","GSON1112070110")</f>
        <v>#NAME?</v>
      </c>
      <c r="I942" s="3" t="e">
        <f ca="1">[1]!BexGetData("DP_1","003N8EMH8GTFRCSWKMPXRSAE6","GSON1112070110")</f>
        <v>#NAME?</v>
      </c>
      <c r="J942" s="4" t="e">
        <f ca="1">[1]!BexGetData("DP_1","003N8EMH8GTFRCSWKMPXRSGPQ","GSON1112070110")</f>
        <v>#NAME?</v>
      </c>
      <c r="K942" s="3" t="e">
        <f ca="1">[1]!BexGetData("DP_1","003N8EMH8GTFRIVNUPY288VJH","GSON1112070110")</f>
        <v>#NAME?</v>
      </c>
      <c r="L942" s="3" t="e">
        <f ca="1">[1]!BexGetData("DP_1","003N8EMH8GTFRIVNUPY2891V1","GSON1112070110")</f>
        <v>#NAME?</v>
      </c>
      <c r="M942" s="3" t="e">
        <f ca="1">[1]!BexGetData("DP_1","003N8EMH8GTFRIVOG7KG9IQXA","GSON1112070110")</f>
        <v>#NAME?</v>
      </c>
      <c r="N942" s="8" t="e">
        <f ca="1">[1]!BexGetData("DP_1","003N8EMH8GTFRIVOG7KG9IX8U","GSON1112070110")</f>
        <v>#NAME?</v>
      </c>
      <c r="O942" s="3" t="e">
        <f ca="1">[1]!BexGetData("DP_1","003N8EMH8GTFRIVOG7KG9J3KE","GSON1112070110")</f>
        <v>#NAME?</v>
      </c>
      <c r="P942" s="8" t="e">
        <f ca="1">[1]!BexGetData("DP_1","003N8EMH8GTFRIVOG7KG9J9VY","GSON1112070110")</f>
        <v>#NAME?</v>
      </c>
      <c r="Q942" s="4" t="e">
        <f ca="1">[1]!BexGetData("DP_1","00O2TNJGODT0G5Z4TTKYMM5MT","GSON1112070110")</f>
        <v>#NAME?</v>
      </c>
      <c r="R942" s="3" t="e">
        <f ca="1">[1]!BexGetData("DP_1","00O2TNJGODT0G5Z4TTKYMMBYD","GSON1112070110")</f>
        <v>#NAME?</v>
      </c>
      <c r="S942" s="3" t="e">
        <f ca="1">[1]!BexGetData("DP_1","00O2TNJGODT0G5Z4TTKYMMI9X","GSON1112070110")</f>
        <v>#NAME?</v>
      </c>
      <c r="T942" s="8" t="e">
        <f ca="1">[1]!BexGetData("DP_1","00O2TNJGODT0G5Z4TTKYMMOLH","GSON1112070110")</f>
        <v>#NAME?</v>
      </c>
      <c r="U942" s="3" t="e">
        <f ca="1">[1]!BexGetData("DP_1","00O2TNJGODT0G5Z4TTKYMMUX1","GSON1112070110")</f>
        <v>#NAME?</v>
      </c>
      <c r="V942" s="8" t="e">
        <f ca="1">[1]!BexGetData("DP_1","00O2TNJGODT0G5Z4TTKYMN18L","GSON1112070110")</f>
        <v>#NAME?</v>
      </c>
      <c r="W942" s="3" t="e">
        <f ca="1">[1]!BexGetData("DP_1","00O2TNJGODT0G5Z4TTKYMN7K5","GSON1112070110")</f>
        <v>#NAME?</v>
      </c>
    </row>
    <row r="943" spans="1:23" x14ac:dyDescent="0.2">
      <c r="A943" s="16" t="s">
        <v>3159</v>
      </c>
      <c r="B943" s="7" t="s">
        <v>3160</v>
      </c>
      <c r="C943" s="3" t="e">
        <f ca="1">[1]!BexGetData("DP_1","003N8EMH8GTFRCSWKMPXRR8GU","GSON1112070111")</f>
        <v>#NAME?</v>
      </c>
      <c r="D943" s="3" t="e">
        <f ca="1">[1]!BexGetData("DP_1","003N8EMH8GTFRCSWKMPXRRESE","GSON1112070111")</f>
        <v>#NAME?</v>
      </c>
      <c r="E943" s="8" t="e">
        <f ca="1">[1]!BexGetData("DP_1","003N8EMH8GTFRCSWKMPXRRL3Y","GSON1112070111")</f>
        <v>#NAME?</v>
      </c>
      <c r="F943" s="4" t="e">
        <f ca="1">[1]!BexGetData("DP_1","003N8EMH8GTFRCSWKMPXRRRFI","GSON1112070111")</f>
        <v>#NAME?</v>
      </c>
      <c r="G943" s="4" t="e">
        <f ca="1">[1]!BexGetData("DP_1","003N8EMH8GTFRCSWKMPXRRXR2","GSON1112070111")</f>
        <v>#NAME?</v>
      </c>
      <c r="H943" s="4" t="e">
        <f ca="1">[1]!BexGetData("DP_1","003N8EMH8GTFRCSWKMPXRS42M","GSON1112070111")</f>
        <v>#NAME?</v>
      </c>
      <c r="I943" s="4" t="e">
        <f ca="1">[1]!BexGetData("DP_1","003N8EMH8GTFRCSWKMPXRSAE6","GSON1112070111")</f>
        <v>#NAME?</v>
      </c>
      <c r="J943" s="4" t="e">
        <f ca="1">[1]!BexGetData("DP_1","003N8EMH8GTFRCSWKMPXRSGPQ","GSON1112070111")</f>
        <v>#NAME?</v>
      </c>
      <c r="K943" s="8" t="e">
        <f ca="1">[1]!BexGetData("DP_1","003N8EMH8GTFRIVNUPY288VJH","GSON1112070111")</f>
        <v>#NAME?</v>
      </c>
      <c r="L943" s="8" t="e">
        <f ca="1">[1]!BexGetData("DP_1","003N8EMH8GTFRIVNUPY2891V1","GSON1112070111")</f>
        <v>#NAME?</v>
      </c>
      <c r="M943" s="8" t="e">
        <f ca="1">[1]!BexGetData("DP_1","003N8EMH8GTFRIVOG7KG9IQXA","GSON1112070111")</f>
        <v>#NAME?</v>
      </c>
      <c r="N943" s="8" t="e">
        <f ca="1">[1]!BexGetData("DP_1","003N8EMH8GTFRIVOG7KG9IX8U","GSON1112070111")</f>
        <v>#NAME?</v>
      </c>
      <c r="O943" s="8" t="e">
        <f ca="1">[1]!BexGetData("DP_1","003N8EMH8GTFRIVOG7KG9J3KE","GSON1112070111")</f>
        <v>#NAME?</v>
      </c>
      <c r="P943" s="8" t="e">
        <f ca="1">[1]!BexGetData("DP_1","003N8EMH8GTFRIVOG7KG9J9VY","GSON1112070111")</f>
        <v>#NAME?</v>
      </c>
      <c r="Q943" s="4" t="e">
        <f ca="1">[1]!BexGetData("DP_1","00O2TNJGODT0G5Z4TTKYMM5MT","GSON1112070111")</f>
        <v>#NAME?</v>
      </c>
      <c r="R943" s="4" t="e">
        <f ca="1">[1]!BexGetData("DP_1","00O2TNJGODT0G5Z4TTKYMMBYD","GSON1112070111")</f>
        <v>#NAME?</v>
      </c>
      <c r="S943" s="4" t="e">
        <f ca="1">[1]!BexGetData("DP_1","00O2TNJGODT0G5Z4TTKYMMI9X","GSON1112070111")</f>
        <v>#NAME?</v>
      </c>
      <c r="T943" s="4" t="e">
        <f ca="1">[1]!BexGetData("DP_1","00O2TNJGODT0G5Z4TTKYMMOLH","GSON1112070111")</f>
        <v>#NAME?</v>
      </c>
      <c r="U943" s="4" t="e">
        <f ca="1">[1]!BexGetData("DP_1","00O2TNJGODT0G5Z4TTKYMMUX1","GSON1112070111")</f>
        <v>#NAME?</v>
      </c>
      <c r="V943" s="4" t="e">
        <f ca="1">[1]!BexGetData("DP_1","00O2TNJGODT0G5Z4TTKYMN18L","GSON1112070111")</f>
        <v>#NAME?</v>
      </c>
      <c r="W943" s="4" t="e">
        <f ca="1">[1]!BexGetData("DP_1","00O2TNJGODT0G5Z4TTKYMN7K5","GSON1112070111")</f>
        <v>#NAME?</v>
      </c>
    </row>
    <row r="944" spans="1:23" x14ac:dyDescent="0.2">
      <c r="A944" s="16" t="s">
        <v>3161</v>
      </c>
      <c r="B944" s="7" t="s">
        <v>3162</v>
      </c>
      <c r="C944" s="3" t="e">
        <f ca="1">[1]!BexGetData("DP_1","003N8EMH8GTFRCSWKMPXRR8GU","GSON1112070112")</f>
        <v>#NAME?</v>
      </c>
      <c r="D944" s="3" t="e">
        <f ca="1">[1]!BexGetData("DP_1","003N8EMH8GTFRCSWKMPXRRESE","GSON1112070112")</f>
        <v>#NAME?</v>
      </c>
      <c r="E944" s="8" t="e">
        <f ca="1">[1]!BexGetData("DP_1","003N8EMH8GTFRCSWKMPXRRL3Y","GSON1112070112")</f>
        <v>#NAME?</v>
      </c>
      <c r="F944" s="3" t="e">
        <f ca="1">[1]!BexGetData("DP_1","003N8EMH8GTFRCSWKMPXRRRFI","GSON1112070112")</f>
        <v>#NAME?</v>
      </c>
      <c r="G944" s="8" t="e">
        <f ca="1">[1]!BexGetData("DP_1","003N8EMH8GTFRCSWKMPXRRXR2","GSON1112070112")</f>
        <v>#NAME?</v>
      </c>
      <c r="H944" s="3" t="e">
        <f ca="1">[1]!BexGetData("DP_1","003N8EMH8GTFRCSWKMPXRS42M","GSON1112070112")</f>
        <v>#NAME?</v>
      </c>
      <c r="I944" s="3" t="e">
        <f ca="1">[1]!BexGetData("DP_1","003N8EMH8GTFRCSWKMPXRSAE6","GSON1112070112")</f>
        <v>#NAME?</v>
      </c>
      <c r="J944" s="4" t="e">
        <f ca="1">[1]!BexGetData("DP_1","003N8EMH8GTFRCSWKMPXRSGPQ","GSON1112070112")</f>
        <v>#NAME?</v>
      </c>
      <c r="K944" s="3" t="e">
        <f ca="1">[1]!BexGetData("DP_1","003N8EMH8GTFRIVNUPY288VJH","GSON1112070112")</f>
        <v>#NAME?</v>
      </c>
      <c r="L944" s="3" t="e">
        <f ca="1">[1]!BexGetData("DP_1","003N8EMH8GTFRIVNUPY2891V1","GSON1112070112")</f>
        <v>#NAME?</v>
      </c>
      <c r="M944" s="8" t="e">
        <f ca="1">[1]!BexGetData("DP_1","003N8EMH8GTFRIVOG7KG9IQXA","GSON1112070112")</f>
        <v>#NAME?</v>
      </c>
      <c r="N944" s="3" t="e">
        <f ca="1">[1]!BexGetData("DP_1","003N8EMH8GTFRIVOG7KG9IX8U","GSON1112070112")</f>
        <v>#NAME?</v>
      </c>
      <c r="O944" s="8" t="e">
        <f ca="1">[1]!BexGetData("DP_1","003N8EMH8GTFRIVOG7KG9J3KE","GSON1112070112")</f>
        <v>#NAME?</v>
      </c>
      <c r="P944" s="3" t="e">
        <f ca="1">[1]!BexGetData("DP_1","003N8EMH8GTFRIVOG7KG9J9VY","GSON1112070112")</f>
        <v>#NAME?</v>
      </c>
      <c r="Q944" s="4" t="e">
        <f ca="1">[1]!BexGetData("DP_1","00O2TNJGODT0G5Z4TTKYMM5MT","GSON1112070112")</f>
        <v>#NAME?</v>
      </c>
      <c r="R944" s="3" t="e">
        <f ca="1">[1]!BexGetData("DP_1","00O2TNJGODT0G5Z4TTKYMMBYD","GSON1112070112")</f>
        <v>#NAME?</v>
      </c>
      <c r="S944" s="3" t="e">
        <f ca="1">[1]!BexGetData("DP_1","00O2TNJGODT0G5Z4TTKYMMI9X","GSON1112070112")</f>
        <v>#NAME?</v>
      </c>
      <c r="T944" s="3" t="e">
        <f ca="1">[1]!BexGetData("DP_1","00O2TNJGODT0G5Z4TTKYMMOLH","GSON1112070112")</f>
        <v>#NAME?</v>
      </c>
      <c r="U944" s="8" t="e">
        <f ca="1">[1]!BexGetData("DP_1","00O2TNJGODT0G5Z4TTKYMMUX1","GSON1112070112")</f>
        <v>#NAME?</v>
      </c>
      <c r="V944" s="3" t="e">
        <f ca="1">[1]!BexGetData("DP_1","00O2TNJGODT0G5Z4TTKYMN18L","GSON1112070112")</f>
        <v>#NAME?</v>
      </c>
      <c r="W944" s="8" t="e">
        <f ca="1">[1]!BexGetData("DP_1","00O2TNJGODT0G5Z4TTKYMN7K5","GSON1112070112")</f>
        <v>#NAME?</v>
      </c>
    </row>
    <row r="945" spans="1:23" x14ac:dyDescent="0.2">
      <c r="A945" s="16" t="s">
        <v>3163</v>
      </c>
      <c r="B945" s="7" t="s">
        <v>3164</v>
      </c>
      <c r="C945" s="3" t="e">
        <f ca="1">[1]!BexGetData("DP_1","003N8EMH8GTFRCSWKMPXRR8GU","GSON1112070113")</f>
        <v>#NAME?</v>
      </c>
      <c r="D945" s="3" t="e">
        <f ca="1">[1]!BexGetData("DP_1","003N8EMH8GTFRCSWKMPXRRESE","GSON1112070113")</f>
        <v>#NAME?</v>
      </c>
      <c r="E945" s="8" t="e">
        <f ca="1">[1]!BexGetData("DP_1","003N8EMH8GTFRCSWKMPXRRL3Y","GSON1112070113")</f>
        <v>#NAME?</v>
      </c>
      <c r="F945" s="4" t="e">
        <f ca="1">[1]!BexGetData("DP_1","003N8EMH8GTFRCSWKMPXRRRFI","GSON1112070113")</f>
        <v>#NAME?</v>
      </c>
      <c r="G945" s="4" t="e">
        <f ca="1">[1]!BexGetData("DP_1","003N8EMH8GTFRCSWKMPXRRXR2","GSON1112070113")</f>
        <v>#NAME?</v>
      </c>
      <c r="H945" s="4" t="e">
        <f ca="1">[1]!BexGetData("DP_1","003N8EMH8GTFRCSWKMPXRS42M","GSON1112070113")</f>
        <v>#NAME?</v>
      </c>
      <c r="I945" s="4" t="e">
        <f ca="1">[1]!BexGetData("DP_1","003N8EMH8GTFRCSWKMPXRSAE6","GSON1112070113")</f>
        <v>#NAME?</v>
      </c>
      <c r="J945" s="4" t="e">
        <f ca="1">[1]!BexGetData("DP_1","003N8EMH8GTFRCSWKMPXRSGPQ","GSON1112070113")</f>
        <v>#NAME?</v>
      </c>
      <c r="K945" s="8" t="e">
        <f ca="1">[1]!BexGetData("DP_1","003N8EMH8GTFRIVNUPY288VJH","GSON1112070113")</f>
        <v>#NAME?</v>
      </c>
      <c r="L945" s="8" t="e">
        <f ca="1">[1]!BexGetData("DP_1","003N8EMH8GTFRIVNUPY2891V1","GSON1112070113")</f>
        <v>#NAME?</v>
      </c>
      <c r="M945" s="8" t="e">
        <f ca="1">[1]!BexGetData("DP_1","003N8EMH8GTFRIVOG7KG9IQXA","GSON1112070113")</f>
        <v>#NAME?</v>
      </c>
      <c r="N945" s="8" t="e">
        <f ca="1">[1]!BexGetData("DP_1","003N8EMH8GTFRIVOG7KG9IX8U","GSON1112070113")</f>
        <v>#NAME?</v>
      </c>
      <c r="O945" s="8" t="e">
        <f ca="1">[1]!BexGetData("DP_1","003N8EMH8GTFRIVOG7KG9J3KE","GSON1112070113")</f>
        <v>#NAME?</v>
      </c>
      <c r="P945" s="8" t="e">
        <f ca="1">[1]!BexGetData("DP_1","003N8EMH8GTFRIVOG7KG9J9VY","GSON1112070113")</f>
        <v>#NAME?</v>
      </c>
      <c r="Q945" s="4" t="e">
        <f ca="1">[1]!BexGetData("DP_1","00O2TNJGODT0G5Z4TTKYMM5MT","GSON1112070113")</f>
        <v>#NAME?</v>
      </c>
      <c r="R945" s="4" t="e">
        <f ca="1">[1]!BexGetData("DP_1","00O2TNJGODT0G5Z4TTKYMMBYD","GSON1112070113")</f>
        <v>#NAME?</v>
      </c>
      <c r="S945" s="4" t="e">
        <f ca="1">[1]!BexGetData("DP_1","00O2TNJGODT0G5Z4TTKYMMI9X","GSON1112070113")</f>
        <v>#NAME?</v>
      </c>
      <c r="T945" s="4" t="e">
        <f ca="1">[1]!BexGetData("DP_1","00O2TNJGODT0G5Z4TTKYMMOLH","GSON1112070113")</f>
        <v>#NAME?</v>
      </c>
      <c r="U945" s="4" t="e">
        <f ca="1">[1]!BexGetData("DP_1","00O2TNJGODT0G5Z4TTKYMMUX1","GSON1112070113")</f>
        <v>#NAME?</v>
      </c>
      <c r="V945" s="4" t="e">
        <f ca="1">[1]!BexGetData("DP_1","00O2TNJGODT0G5Z4TTKYMN18L","GSON1112070113")</f>
        <v>#NAME?</v>
      </c>
      <c r="W945" s="4" t="e">
        <f ca="1">[1]!BexGetData("DP_1","00O2TNJGODT0G5Z4TTKYMN7K5","GSON1112070113")</f>
        <v>#NAME?</v>
      </c>
    </row>
    <row r="946" spans="1:23" x14ac:dyDescent="0.2">
      <c r="A946" s="16" t="s">
        <v>3165</v>
      </c>
      <c r="B946" s="7" t="s">
        <v>3166</v>
      </c>
      <c r="C946" s="3" t="e">
        <f ca="1">[1]!BexGetData("DP_1","003N8EMH8GTFRCSWKMPXRR8GU","GSON1112070114")</f>
        <v>#NAME?</v>
      </c>
      <c r="D946" s="3" t="e">
        <f ca="1">[1]!BexGetData("DP_1","003N8EMH8GTFRCSWKMPXRRESE","GSON1112070114")</f>
        <v>#NAME?</v>
      </c>
      <c r="E946" s="8" t="e">
        <f ca="1">[1]!BexGetData("DP_1","003N8EMH8GTFRCSWKMPXRRL3Y","GSON1112070114")</f>
        <v>#NAME?</v>
      </c>
      <c r="F946" s="4" t="e">
        <f ca="1">[1]!BexGetData("DP_1","003N8EMH8GTFRCSWKMPXRRRFI","GSON1112070114")</f>
        <v>#NAME?</v>
      </c>
      <c r="G946" s="4" t="e">
        <f ca="1">[1]!BexGetData("DP_1","003N8EMH8GTFRCSWKMPXRRXR2","GSON1112070114")</f>
        <v>#NAME?</v>
      </c>
      <c r="H946" s="4" t="e">
        <f ca="1">[1]!BexGetData("DP_1","003N8EMH8GTFRCSWKMPXRS42M","GSON1112070114")</f>
        <v>#NAME?</v>
      </c>
      <c r="I946" s="4" t="e">
        <f ca="1">[1]!BexGetData("DP_1","003N8EMH8GTFRCSWKMPXRSAE6","GSON1112070114")</f>
        <v>#NAME?</v>
      </c>
      <c r="J946" s="4" t="e">
        <f ca="1">[1]!BexGetData("DP_1","003N8EMH8GTFRCSWKMPXRSGPQ","GSON1112070114")</f>
        <v>#NAME?</v>
      </c>
      <c r="K946" s="8" t="e">
        <f ca="1">[1]!BexGetData("DP_1","003N8EMH8GTFRIVNUPY288VJH","GSON1112070114")</f>
        <v>#NAME?</v>
      </c>
      <c r="L946" s="8" t="e">
        <f ca="1">[1]!BexGetData("DP_1","003N8EMH8GTFRIVNUPY2891V1","GSON1112070114")</f>
        <v>#NAME?</v>
      </c>
      <c r="M946" s="8" t="e">
        <f ca="1">[1]!BexGetData("DP_1","003N8EMH8GTFRIVOG7KG9IQXA","GSON1112070114")</f>
        <v>#NAME?</v>
      </c>
      <c r="N946" s="8" t="e">
        <f ca="1">[1]!BexGetData("DP_1","003N8EMH8GTFRIVOG7KG9IX8U","GSON1112070114")</f>
        <v>#NAME?</v>
      </c>
      <c r="O946" s="8" t="e">
        <f ca="1">[1]!BexGetData("DP_1","003N8EMH8GTFRIVOG7KG9J3KE","GSON1112070114")</f>
        <v>#NAME?</v>
      </c>
      <c r="P946" s="8" t="e">
        <f ca="1">[1]!BexGetData("DP_1","003N8EMH8GTFRIVOG7KG9J9VY","GSON1112070114")</f>
        <v>#NAME?</v>
      </c>
      <c r="Q946" s="4" t="e">
        <f ca="1">[1]!BexGetData("DP_1","00O2TNJGODT0G5Z4TTKYMM5MT","GSON1112070114")</f>
        <v>#NAME?</v>
      </c>
      <c r="R946" s="4" t="e">
        <f ca="1">[1]!BexGetData("DP_1","00O2TNJGODT0G5Z4TTKYMMBYD","GSON1112070114")</f>
        <v>#NAME?</v>
      </c>
      <c r="S946" s="4" t="e">
        <f ca="1">[1]!BexGetData("DP_1","00O2TNJGODT0G5Z4TTKYMMI9X","GSON1112070114")</f>
        <v>#NAME?</v>
      </c>
      <c r="T946" s="4" t="e">
        <f ca="1">[1]!BexGetData("DP_1","00O2TNJGODT0G5Z4TTKYMMOLH","GSON1112070114")</f>
        <v>#NAME?</v>
      </c>
      <c r="U946" s="4" t="e">
        <f ca="1">[1]!BexGetData("DP_1","00O2TNJGODT0G5Z4TTKYMMUX1","GSON1112070114")</f>
        <v>#NAME?</v>
      </c>
      <c r="V946" s="4" t="e">
        <f ca="1">[1]!BexGetData("DP_1","00O2TNJGODT0G5Z4TTKYMN18L","GSON1112070114")</f>
        <v>#NAME?</v>
      </c>
      <c r="W946" s="4" t="e">
        <f ca="1">[1]!BexGetData("DP_1","00O2TNJGODT0G5Z4TTKYMN7K5","GSON1112070114")</f>
        <v>#NAME?</v>
      </c>
    </row>
    <row r="947" spans="1:23" x14ac:dyDescent="0.2">
      <c r="A947" s="16" t="s">
        <v>1024</v>
      </c>
      <c r="B947" s="7" t="s">
        <v>1025</v>
      </c>
      <c r="C947" s="3" t="e">
        <f ca="1">[1]!BexGetData("DP_1","003N8EMH8GTFRCSWKMPXRR8GU","GSON1112070115")</f>
        <v>#NAME?</v>
      </c>
      <c r="D947" s="3" t="e">
        <f ca="1">[1]!BexGetData("DP_1","003N8EMH8GTFRCSWKMPXRRESE","GSON1112070115")</f>
        <v>#NAME?</v>
      </c>
      <c r="E947" s="8" t="e">
        <f ca="1">[1]!BexGetData("DP_1","003N8EMH8GTFRCSWKMPXRRL3Y","GSON1112070115")</f>
        <v>#NAME?</v>
      </c>
      <c r="F947" s="4" t="e">
        <f ca="1">[1]!BexGetData("DP_1","003N8EMH8GTFRCSWKMPXRRRFI","GSON1112070115")</f>
        <v>#NAME?</v>
      </c>
      <c r="G947" s="4" t="e">
        <f ca="1">[1]!BexGetData("DP_1","003N8EMH8GTFRCSWKMPXRRXR2","GSON1112070115")</f>
        <v>#NAME?</v>
      </c>
      <c r="H947" s="4" t="e">
        <f ca="1">[1]!BexGetData("DP_1","003N8EMH8GTFRCSWKMPXRS42M","GSON1112070115")</f>
        <v>#NAME?</v>
      </c>
      <c r="I947" s="4" t="e">
        <f ca="1">[1]!BexGetData("DP_1","003N8EMH8GTFRCSWKMPXRSAE6","GSON1112070115")</f>
        <v>#NAME?</v>
      </c>
      <c r="J947" s="4" t="e">
        <f ca="1">[1]!BexGetData("DP_1","003N8EMH8GTFRCSWKMPXRSGPQ","GSON1112070115")</f>
        <v>#NAME?</v>
      </c>
      <c r="K947" s="8" t="e">
        <f ca="1">[1]!BexGetData("DP_1","003N8EMH8GTFRIVNUPY288VJH","GSON1112070115")</f>
        <v>#NAME?</v>
      </c>
      <c r="L947" s="8" t="e">
        <f ca="1">[1]!BexGetData("DP_1","003N8EMH8GTFRIVNUPY2891V1","GSON1112070115")</f>
        <v>#NAME?</v>
      </c>
      <c r="M947" s="8" t="e">
        <f ca="1">[1]!BexGetData("DP_1","003N8EMH8GTFRIVOG7KG9IQXA","GSON1112070115")</f>
        <v>#NAME?</v>
      </c>
      <c r="N947" s="8" t="e">
        <f ca="1">[1]!BexGetData("DP_1","003N8EMH8GTFRIVOG7KG9IX8U","GSON1112070115")</f>
        <v>#NAME?</v>
      </c>
      <c r="O947" s="8" t="e">
        <f ca="1">[1]!BexGetData("DP_1","003N8EMH8GTFRIVOG7KG9J3KE","GSON1112070115")</f>
        <v>#NAME?</v>
      </c>
      <c r="P947" s="8" t="e">
        <f ca="1">[1]!BexGetData("DP_1","003N8EMH8GTFRIVOG7KG9J9VY","GSON1112070115")</f>
        <v>#NAME?</v>
      </c>
      <c r="Q947" s="4" t="e">
        <f ca="1">[1]!BexGetData("DP_1","00O2TNJGODT0G5Z4TTKYMM5MT","GSON1112070115")</f>
        <v>#NAME?</v>
      </c>
      <c r="R947" s="4" t="e">
        <f ca="1">[1]!BexGetData("DP_1","00O2TNJGODT0G5Z4TTKYMMBYD","GSON1112070115")</f>
        <v>#NAME?</v>
      </c>
      <c r="S947" s="4" t="e">
        <f ca="1">[1]!BexGetData("DP_1","00O2TNJGODT0G5Z4TTKYMMI9X","GSON1112070115")</f>
        <v>#NAME?</v>
      </c>
      <c r="T947" s="4" t="e">
        <f ca="1">[1]!BexGetData("DP_1","00O2TNJGODT0G5Z4TTKYMMOLH","GSON1112070115")</f>
        <v>#NAME?</v>
      </c>
      <c r="U947" s="4" t="e">
        <f ca="1">[1]!BexGetData("DP_1","00O2TNJGODT0G5Z4TTKYMMUX1","GSON1112070115")</f>
        <v>#NAME?</v>
      </c>
      <c r="V947" s="4" t="e">
        <f ca="1">[1]!BexGetData("DP_1","00O2TNJGODT0G5Z4TTKYMN18L","GSON1112070115")</f>
        <v>#NAME?</v>
      </c>
      <c r="W947" s="4" t="e">
        <f ca="1">[1]!BexGetData("DP_1","00O2TNJGODT0G5Z4TTKYMN7K5","GSON1112070115")</f>
        <v>#NAME?</v>
      </c>
    </row>
    <row r="948" spans="1:23" x14ac:dyDescent="0.2">
      <c r="A948" s="16" t="s">
        <v>1026</v>
      </c>
      <c r="B948" s="7" t="s">
        <v>1027</v>
      </c>
      <c r="C948" s="3" t="e">
        <f ca="1">[1]!BexGetData("DP_1","003N8EMH8GTFRCSWKMPXRR8GU","GSON1112070120")</f>
        <v>#NAME?</v>
      </c>
      <c r="D948" s="8" t="e">
        <f ca="1">[1]!BexGetData("DP_1","003N8EMH8GTFRCSWKMPXRRESE","GSON1112070120")</f>
        <v>#NAME?</v>
      </c>
      <c r="E948" s="3" t="e">
        <f ca="1">[1]!BexGetData("DP_1","003N8EMH8GTFRCSWKMPXRRL3Y","GSON1112070120")</f>
        <v>#NAME?</v>
      </c>
      <c r="F948" s="3" t="e">
        <f ca="1">[1]!BexGetData("DP_1","003N8EMH8GTFRCSWKMPXRRRFI","GSON1112070120")</f>
        <v>#NAME?</v>
      </c>
      <c r="G948" s="3" t="e">
        <f ca="1">[1]!BexGetData("DP_1","003N8EMH8GTFRCSWKMPXRRXR2","GSON1112070120")</f>
        <v>#NAME?</v>
      </c>
      <c r="H948" s="8" t="e">
        <f ca="1">[1]!BexGetData("DP_1","003N8EMH8GTFRCSWKMPXRS42M","GSON1112070120")</f>
        <v>#NAME?</v>
      </c>
      <c r="I948" s="3" t="e">
        <f ca="1">[1]!BexGetData("DP_1","003N8EMH8GTFRCSWKMPXRSAE6","GSON1112070120")</f>
        <v>#NAME?</v>
      </c>
      <c r="J948" s="4" t="e">
        <f ca="1">[1]!BexGetData("DP_1","003N8EMH8GTFRCSWKMPXRSGPQ","GSON1112070120")</f>
        <v>#NAME?</v>
      </c>
      <c r="K948" s="3" t="e">
        <f ca="1">[1]!BexGetData("DP_1","003N8EMH8GTFRIVNUPY288VJH","GSON1112070120")</f>
        <v>#NAME?</v>
      </c>
      <c r="L948" s="3" t="e">
        <f ca="1">[1]!BexGetData("DP_1","003N8EMH8GTFRIVNUPY2891V1","GSON1112070120")</f>
        <v>#NAME?</v>
      </c>
      <c r="M948" s="8" t="e">
        <f ca="1">[1]!BexGetData("DP_1","003N8EMH8GTFRIVOG7KG9IQXA","GSON1112070120")</f>
        <v>#NAME?</v>
      </c>
      <c r="N948" s="3" t="e">
        <f ca="1">[1]!BexGetData("DP_1","003N8EMH8GTFRIVOG7KG9IX8U","GSON1112070120")</f>
        <v>#NAME?</v>
      </c>
      <c r="O948" s="8" t="e">
        <f ca="1">[1]!BexGetData("DP_1","003N8EMH8GTFRIVOG7KG9J3KE","GSON1112070120")</f>
        <v>#NAME?</v>
      </c>
      <c r="P948" s="3" t="e">
        <f ca="1">[1]!BexGetData("DP_1","003N8EMH8GTFRIVOG7KG9J9VY","GSON1112070120")</f>
        <v>#NAME?</v>
      </c>
      <c r="Q948" s="4" t="e">
        <f ca="1">[1]!BexGetData("DP_1","00O2TNJGODT0G5Z4TTKYMM5MT","GSON1112070120")</f>
        <v>#NAME?</v>
      </c>
      <c r="R948" s="3" t="e">
        <f ca="1">[1]!BexGetData("DP_1","00O2TNJGODT0G5Z4TTKYMMBYD","GSON1112070120")</f>
        <v>#NAME?</v>
      </c>
      <c r="S948" s="3" t="e">
        <f ca="1">[1]!BexGetData("DP_1","00O2TNJGODT0G5Z4TTKYMMI9X","GSON1112070120")</f>
        <v>#NAME?</v>
      </c>
      <c r="T948" s="8" t="e">
        <f ca="1">[1]!BexGetData("DP_1","00O2TNJGODT0G5Z4TTKYMMOLH","GSON1112070120")</f>
        <v>#NAME?</v>
      </c>
      <c r="U948" s="3" t="e">
        <f ca="1">[1]!BexGetData("DP_1","00O2TNJGODT0G5Z4TTKYMMUX1","GSON1112070120")</f>
        <v>#NAME?</v>
      </c>
      <c r="V948" s="8" t="e">
        <f ca="1">[1]!BexGetData("DP_1","00O2TNJGODT0G5Z4TTKYMN18L","GSON1112070120")</f>
        <v>#NAME?</v>
      </c>
      <c r="W948" s="3" t="e">
        <f ca="1">[1]!BexGetData("DP_1","00O2TNJGODT0G5Z4TTKYMN7K5","GSON1112070120")</f>
        <v>#NAME?</v>
      </c>
    </row>
    <row r="949" spans="1:23" x14ac:dyDescent="0.2">
      <c r="A949" s="16" t="s">
        <v>1028</v>
      </c>
      <c r="B949" s="7" t="s">
        <v>1029</v>
      </c>
      <c r="C949" s="3" t="e">
        <f ca="1">[1]!BexGetData("DP_1","003N8EMH8GTFRCSWKMPXRR8GU","GSON1112070125")</f>
        <v>#NAME?</v>
      </c>
      <c r="D949" s="3" t="e">
        <f ca="1">[1]!BexGetData("DP_1","003N8EMH8GTFRCSWKMPXRRESE","GSON1112070125")</f>
        <v>#NAME?</v>
      </c>
      <c r="E949" s="8" t="e">
        <f ca="1">[1]!BexGetData("DP_1","003N8EMH8GTFRCSWKMPXRRL3Y","GSON1112070125")</f>
        <v>#NAME?</v>
      </c>
      <c r="F949" s="4" t="e">
        <f ca="1">[1]!BexGetData("DP_1","003N8EMH8GTFRCSWKMPXRRRFI","GSON1112070125")</f>
        <v>#NAME?</v>
      </c>
      <c r="G949" s="4" t="e">
        <f ca="1">[1]!BexGetData("DP_1","003N8EMH8GTFRCSWKMPXRRXR2","GSON1112070125")</f>
        <v>#NAME?</v>
      </c>
      <c r="H949" s="4" t="e">
        <f ca="1">[1]!BexGetData("DP_1","003N8EMH8GTFRCSWKMPXRS42M","GSON1112070125")</f>
        <v>#NAME?</v>
      </c>
      <c r="I949" s="4" t="e">
        <f ca="1">[1]!BexGetData("DP_1","003N8EMH8GTFRCSWKMPXRSAE6","GSON1112070125")</f>
        <v>#NAME?</v>
      </c>
      <c r="J949" s="4" t="e">
        <f ca="1">[1]!BexGetData("DP_1","003N8EMH8GTFRCSWKMPXRSGPQ","GSON1112070125")</f>
        <v>#NAME?</v>
      </c>
      <c r="K949" s="8" t="e">
        <f ca="1">[1]!BexGetData("DP_1","003N8EMH8GTFRIVNUPY288VJH","GSON1112070125")</f>
        <v>#NAME?</v>
      </c>
      <c r="L949" s="8" t="e">
        <f ca="1">[1]!BexGetData("DP_1","003N8EMH8GTFRIVNUPY2891V1","GSON1112070125")</f>
        <v>#NAME?</v>
      </c>
      <c r="M949" s="8" t="e">
        <f ca="1">[1]!BexGetData("DP_1","003N8EMH8GTFRIVOG7KG9IQXA","GSON1112070125")</f>
        <v>#NAME?</v>
      </c>
      <c r="N949" s="8" t="e">
        <f ca="1">[1]!BexGetData("DP_1","003N8EMH8GTFRIVOG7KG9IX8U","GSON1112070125")</f>
        <v>#NAME?</v>
      </c>
      <c r="O949" s="8" t="e">
        <f ca="1">[1]!BexGetData("DP_1","003N8EMH8GTFRIVOG7KG9J3KE","GSON1112070125")</f>
        <v>#NAME?</v>
      </c>
      <c r="P949" s="8" t="e">
        <f ca="1">[1]!BexGetData("DP_1","003N8EMH8GTFRIVOG7KG9J9VY","GSON1112070125")</f>
        <v>#NAME?</v>
      </c>
      <c r="Q949" s="4" t="e">
        <f ca="1">[1]!BexGetData("DP_1","00O2TNJGODT0G5Z4TTKYMM5MT","GSON1112070125")</f>
        <v>#NAME?</v>
      </c>
      <c r="R949" s="4" t="e">
        <f ca="1">[1]!BexGetData("DP_1","00O2TNJGODT0G5Z4TTKYMMBYD","GSON1112070125")</f>
        <v>#NAME?</v>
      </c>
      <c r="S949" s="4" t="e">
        <f ca="1">[1]!BexGetData("DP_1","00O2TNJGODT0G5Z4TTKYMMI9X","GSON1112070125")</f>
        <v>#NAME?</v>
      </c>
      <c r="T949" s="4" t="e">
        <f ca="1">[1]!BexGetData("DP_1","00O2TNJGODT0G5Z4TTKYMMOLH","GSON1112070125")</f>
        <v>#NAME?</v>
      </c>
      <c r="U949" s="4" t="e">
        <f ca="1">[1]!BexGetData("DP_1","00O2TNJGODT0G5Z4TTKYMMUX1","GSON1112070125")</f>
        <v>#NAME?</v>
      </c>
      <c r="V949" s="4" t="e">
        <f ca="1">[1]!BexGetData("DP_1","00O2TNJGODT0G5Z4TTKYMN18L","GSON1112070125")</f>
        <v>#NAME?</v>
      </c>
      <c r="W949" s="4" t="e">
        <f ca="1">[1]!BexGetData("DP_1","00O2TNJGODT0G5Z4TTKYMN7K5","GSON1112070125")</f>
        <v>#NAME?</v>
      </c>
    </row>
    <row r="950" spans="1:23" x14ac:dyDescent="0.2">
      <c r="A950" s="16" t="s">
        <v>1030</v>
      </c>
      <c r="B950" s="7" t="s">
        <v>1031</v>
      </c>
      <c r="C950" s="3" t="e">
        <f ca="1">[1]!BexGetData("DP_1","003N8EMH8GTFRCSWKMPXRR8GU","GSON1112070130")</f>
        <v>#NAME?</v>
      </c>
      <c r="D950" s="8" t="e">
        <f ca="1">[1]!BexGetData("DP_1","003N8EMH8GTFRCSWKMPXRRESE","GSON1112070130")</f>
        <v>#NAME?</v>
      </c>
      <c r="E950" s="3" t="e">
        <f ca="1">[1]!BexGetData("DP_1","003N8EMH8GTFRCSWKMPXRRL3Y","GSON1112070130")</f>
        <v>#NAME?</v>
      </c>
      <c r="F950" s="3" t="e">
        <f ca="1">[1]!BexGetData("DP_1","003N8EMH8GTFRCSWKMPXRRRFI","GSON1112070130")</f>
        <v>#NAME?</v>
      </c>
      <c r="G950" s="3" t="e">
        <f ca="1">[1]!BexGetData("DP_1","003N8EMH8GTFRCSWKMPXRRXR2","GSON1112070130")</f>
        <v>#NAME?</v>
      </c>
      <c r="H950" s="8" t="e">
        <f ca="1">[1]!BexGetData("DP_1","003N8EMH8GTFRCSWKMPXRS42M","GSON1112070130")</f>
        <v>#NAME?</v>
      </c>
      <c r="I950" s="3" t="e">
        <f ca="1">[1]!BexGetData("DP_1","003N8EMH8GTFRCSWKMPXRSAE6","GSON1112070130")</f>
        <v>#NAME?</v>
      </c>
      <c r="J950" s="4" t="e">
        <f ca="1">[1]!BexGetData("DP_1","003N8EMH8GTFRCSWKMPXRSGPQ","GSON1112070130")</f>
        <v>#NAME?</v>
      </c>
      <c r="K950" s="3" t="e">
        <f ca="1">[1]!BexGetData("DP_1","003N8EMH8GTFRIVNUPY288VJH","GSON1112070130")</f>
        <v>#NAME?</v>
      </c>
      <c r="L950" s="3" t="e">
        <f ca="1">[1]!BexGetData("DP_1","003N8EMH8GTFRIVNUPY2891V1","GSON1112070130")</f>
        <v>#NAME?</v>
      </c>
      <c r="M950" s="8" t="e">
        <f ca="1">[1]!BexGetData("DP_1","003N8EMH8GTFRIVOG7KG9IQXA","GSON1112070130")</f>
        <v>#NAME?</v>
      </c>
      <c r="N950" s="3" t="e">
        <f ca="1">[1]!BexGetData("DP_1","003N8EMH8GTFRIVOG7KG9IX8U","GSON1112070130")</f>
        <v>#NAME?</v>
      </c>
      <c r="O950" s="8" t="e">
        <f ca="1">[1]!BexGetData("DP_1","003N8EMH8GTFRIVOG7KG9J3KE","GSON1112070130")</f>
        <v>#NAME?</v>
      </c>
      <c r="P950" s="3" t="e">
        <f ca="1">[1]!BexGetData("DP_1","003N8EMH8GTFRIVOG7KG9J9VY","GSON1112070130")</f>
        <v>#NAME?</v>
      </c>
      <c r="Q950" s="4" t="e">
        <f ca="1">[1]!BexGetData("DP_1","00O2TNJGODT0G5Z4TTKYMM5MT","GSON1112070130")</f>
        <v>#NAME?</v>
      </c>
      <c r="R950" s="3" t="e">
        <f ca="1">[1]!BexGetData("DP_1","00O2TNJGODT0G5Z4TTKYMMBYD","GSON1112070130")</f>
        <v>#NAME?</v>
      </c>
      <c r="S950" s="3" t="e">
        <f ca="1">[1]!BexGetData("DP_1","00O2TNJGODT0G5Z4TTKYMMI9X","GSON1112070130")</f>
        <v>#NAME?</v>
      </c>
      <c r="T950" s="8" t="e">
        <f ca="1">[1]!BexGetData("DP_1","00O2TNJGODT0G5Z4TTKYMMOLH","GSON1112070130")</f>
        <v>#NAME?</v>
      </c>
      <c r="U950" s="3" t="e">
        <f ca="1">[1]!BexGetData("DP_1","00O2TNJGODT0G5Z4TTKYMMUX1","GSON1112070130")</f>
        <v>#NAME?</v>
      </c>
      <c r="V950" s="8" t="e">
        <f ca="1">[1]!BexGetData("DP_1","00O2TNJGODT0G5Z4TTKYMN18L","GSON1112070130")</f>
        <v>#NAME?</v>
      </c>
      <c r="W950" s="3" t="e">
        <f ca="1">[1]!BexGetData("DP_1","00O2TNJGODT0G5Z4TTKYMN7K5","GSON1112070130")</f>
        <v>#NAME?</v>
      </c>
    </row>
    <row r="951" spans="1:23" x14ac:dyDescent="0.2">
      <c r="A951" s="16" t="s">
        <v>1032</v>
      </c>
      <c r="B951" s="7" t="s">
        <v>1033</v>
      </c>
      <c r="C951" s="3" t="e">
        <f ca="1">[1]!BexGetData("DP_1","003N8EMH8GTFRCSWKMPXRR8GU","GSON1112070135")</f>
        <v>#NAME?</v>
      </c>
      <c r="D951" s="3" t="e">
        <f ca="1">[1]!BexGetData("DP_1","003N8EMH8GTFRCSWKMPXRRESE","GSON1112070135")</f>
        <v>#NAME?</v>
      </c>
      <c r="E951" s="8" t="e">
        <f ca="1">[1]!BexGetData("DP_1","003N8EMH8GTFRCSWKMPXRRL3Y","GSON1112070135")</f>
        <v>#NAME?</v>
      </c>
      <c r="F951" s="4" t="e">
        <f ca="1">[1]!BexGetData("DP_1","003N8EMH8GTFRCSWKMPXRRRFI","GSON1112070135")</f>
        <v>#NAME?</v>
      </c>
      <c r="G951" s="4" t="e">
        <f ca="1">[1]!BexGetData("DP_1","003N8EMH8GTFRCSWKMPXRRXR2","GSON1112070135")</f>
        <v>#NAME?</v>
      </c>
      <c r="H951" s="4" t="e">
        <f ca="1">[1]!BexGetData("DP_1","003N8EMH8GTFRCSWKMPXRS42M","GSON1112070135")</f>
        <v>#NAME?</v>
      </c>
      <c r="I951" s="4" t="e">
        <f ca="1">[1]!BexGetData("DP_1","003N8EMH8GTFRCSWKMPXRSAE6","GSON1112070135")</f>
        <v>#NAME?</v>
      </c>
      <c r="J951" s="4" t="e">
        <f ca="1">[1]!BexGetData("DP_1","003N8EMH8GTFRCSWKMPXRSGPQ","GSON1112070135")</f>
        <v>#NAME?</v>
      </c>
      <c r="K951" s="8" t="e">
        <f ca="1">[1]!BexGetData("DP_1","003N8EMH8GTFRIVNUPY288VJH","GSON1112070135")</f>
        <v>#NAME?</v>
      </c>
      <c r="L951" s="8" t="e">
        <f ca="1">[1]!BexGetData("DP_1","003N8EMH8GTFRIVNUPY2891V1","GSON1112070135")</f>
        <v>#NAME?</v>
      </c>
      <c r="M951" s="8" t="e">
        <f ca="1">[1]!BexGetData("DP_1","003N8EMH8GTFRIVOG7KG9IQXA","GSON1112070135")</f>
        <v>#NAME?</v>
      </c>
      <c r="N951" s="8" t="e">
        <f ca="1">[1]!BexGetData("DP_1","003N8EMH8GTFRIVOG7KG9IX8U","GSON1112070135")</f>
        <v>#NAME?</v>
      </c>
      <c r="O951" s="8" t="e">
        <f ca="1">[1]!BexGetData("DP_1","003N8EMH8GTFRIVOG7KG9J3KE","GSON1112070135")</f>
        <v>#NAME?</v>
      </c>
      <c r="P951" s="8" t="e">
        <f ca="1">[1]!BexGetData("DP_1","003N8EMH8GTFRIVOG7KG9J9VY","GSON1112070135")</f>
        <v>#NAME?</v>
      </c>
      <c r="Q951" s="4" t="e">
        <f ca="1">[1]!BexGetData("DP_1","00O2TNJGODT0G5Z4TTKYMM5MT","GSON1112070135")</f>
        <v>#NAME?</v>
      </c>
      <c r="R951" s="4" t="e">
        <f ca="1">[1]!BexGetData("DP_1","00O2TNJGODT0G5Z4TTKYMMBYD","GSON1112070135")</f>
        <v>#NAME?</v>
      </c>
      <c r="S951" s="4" t="e">
        <f ca="1">[1]!BexGetData("DP_1","00O2TNJGODT0G5Z4TTKYMMI9X","GSON1112070135")</f>
        <v>#NAME?</v>
      </c>
      <c r="T951" s="4" t="e">
        <f ca="1">[1]!BexGetData("DP_1","00O2TNJGODT0G5Z4TTKYMMOLH","GSON1112070135")</f>
        <v>#NAME?</v>
      </c>
      <c r="U951" s="4" t="e">
        <f ca="1">[1]!BexGetData("DP_1","00O2TNJGODT0G5Z4TTKYMMUX1","GSON1112070135")</f>
        <v>#NAME?</v>
      </c>
      <c r="V951" s="4" t="e">
        <f ca="1">[1]!BexGetData("DP_1","00O2TNJGODT0G5Z4TTKYMN18L","GSON1112070135")</f>
        <v>#NAME?</v>
      </c>
      <c r="W951" s="4" t="e">
        <f ca="1">[1]!BexGetData("DP_1","00O2TNJGODT0G5Z4TTKYMN7K5","GSON1112070135")</f>
        <v>#NAME?</v>
      </c>
    </row>
    <row r="952" spans="1:23" x14ac:dyDescent="0.2">
      <c r="A952" s="16" t="s">
        <v>1034</v>
      </c>
      <c r="B952" s="7" t="s">
        <v>1035</v>
      </c>
      <c r="C952" s="3" t="e">
        <f ca="1">[1]!BexGetData("DP_1","003N8EMH8GTFRCSWKMPXRR8GU","GSON1112070140")</f>
        <v>#NAME?</v>
      </c>
      <c r="D952" s="3" t="e">
        <f ca="1">[1]!BexGetData("DP_1","003N8EMH8GTFRCSWKMPXRRESE","GSON1112070140")</f>
        <v>#NAME?</v>
      </c>
      <c r="E952" s="3" t="e">
        <f ca="1">[1]!BexGetData("DP_1","003N8EMH8GTFRCSWKMPXRRL3Y","GSON1112070140")</f>
        <v>#NAME?</v>
      </c>
      <c r="F952" s="3" t="e">
        <f ca="1">[1]!BexGetData("DP_1","003N8EMH8GTFRCSWKMPXRRRFI","GSON1112070140")</f>
        <v>#NAME?</v>
      </c>
      <c r="G952" s="3" t="e">
        <f ca="1">[1]!BexGetData("DP_1","003N8EMH8GTFRCSWKMPXRRXR2","GSON1112070140")</f>
        <v>#NAME?</v>
      </c>
      <c r="H952" s="8" t="e">
        <f ca="1">[1]!BexGetData("DP_1","003N8EMH8GTFRCSWKMPXRS42M","GSON1112070140")</f>
        <v>#NAME?</v>
      </c>
      <c r="I952" s="3" t="e">
        <f ca="1">[1]!BexGetData("DP_1","003N8EMH8GTFRCSWKMPXRSAE6","GSON1112070140")</f>
        <v>#NAME?</v>
      </c>
      <c r="J952" s="4" t="e">
        <f ca="1">[1]!BexGetData("DP_1","003N8EMH8GTFRCSWKMPXRSGPQ","GSON1112070140")</f>
        <v>#NAME?</v>
      </c>
      <c r="K952" s="3" t="e">
        <f ca="1">[1]!BexGetData("DP_1","003N8EMH8GTFRIVNUPY288VJH","GSON1112070140")</f>
        <v>#NAME?</v>
      </c>
      <c r="L952" s="3" t="e">
        <f ca="1">[1]!BexGetData("DP_1","003N8EMH8GTFRIVNUPY2891V1","GSON1112070140")</f>
        <v>#NAME?</v>
      </c>
      <c r="M952" s="3" t="e">
        <f ca="1">[1]!BexGetData("DP_1","003N8EMH8GTFRIVOG7KG9IQXA","GSON1112070140")</f>
        <v>#NAME?</v>
      </c>
      <c r="N952" s="8" t="e">
        <f ca="1">[1]!BexGetData("DP_1","003N8EMH8GTFRIVOG7KG9IX8U","GSON1112070140")</f>
        <v>#NAME?</v>
      </c>
      <c r="O952" s="3" t="e">
        <f ca="1">[1]!BexGetData("DP_1","003N8EMH8GTFRIVOG7KG9J3KE","GSON1112070140")</f>
        <v>#NAME?</v>
      </c>
      <c r="P952" s="8" t="e">
        <f ca="1">[1]!BexGetData("DP_1","003N8EMH8GTFRIVOG7KG9J9VY","GSON1112070140")</f>
        <v>#NAME?</v>
      </c>
      <c r="Q952" s="4" t="e">
        <f ca="1">[1]!BexGetData("DP_1","00O2TNJGODT0G5Z4TTKYMM5MT","GSON1112070140")</f>
        <v>#NAME?</v>
      </c>
      <c r="R952" s="3" t="e">
        <f ca="1">[1]!BexGetData("DP_1","00O2TNJGODT0G5Z4TTKYMMBYD","GSON1112070140")</f>
        <v>#NAME?</v>
      </c>
      <c r="S952" s="3" t="e">
        <f ca="1">[1]!BexGetData("DP_1","00O2TNJGODT0G5Z4TTKYMMI9X","GSON1112070140")</f>
        <v>#NAME?</v>
      </c>
      <c r="T952" s="8" t="e">
        <f ca="1">[1]!BexGetData("DP_1","00O2TNJGODT0G5Z4TTKYMMOLH","GSON1112070140")</f>
        <v>#NAME?</v>
      </c>
      <c r="U952" s="3" t="e">
        <f ca="1">[1]!BexGetData("DP_1","00O2TNJGODT0G5Z4TTKYMMUX1","GSON1112070140")</f>
        <v>#NAME?</v>
      </c>
      <c r="V952" s="8" t="e">
        <f ca="1">[1]!BexGetData("DP_1","00O2TNJGODT0G5Z4TTKYMN18L","GSON1112070140")</f>
        <v>#NAME?</v>
      </c>
      <c r="W952" s="3" t="e">
        <f ca="1">[1]!BexGetData("DP_1","00O2TNJGODT0G5Z4TTKYMN7K5","GSON1112070140")</f>
        <v>#NAME?</v>
      </c>
    </row>
    <row r="953" spans="1:23" x14ac:dyDescent="0.2">
      <c r="A953" s="16" t="s">
        <v>1652</v>
      </c>
      <c r="B953" s="7" t="s">
        <v>1653</v>
      </c>
      <c r="C953" s="3" t="e">
        <f ca="1">[1]!BexGetData("DP_1","003N8EMH8GTFRCSWKMPXRR8GU","GSON1112070141")</f>
        <v>#NAME?</v>
      </c>
      <c r="D953" s="3" t="e">
        <f ca="1">[1]!BexGetData("DP_1","003N8EMH8GTFRCSWKMPXRRESE","GSON1112070141")</f>
        <v>#NAME?</v>
      </c>
      <c r="E953" s="8" t="e">
        <f ca="1">[1]!BexGetData("DP_1","003N8EMH8GTFRCSWKMPXRRL3Y","GSON1112070141")</f>
        <v>#NAME?</v>
      </c>
      <c r="F953" s="4" t="e">
        <f ca="1">[1]!BexGetData("DP_1","003N8EMH8GTFRCSWKMPXRRRFI","GSON1112070141")</f>
        <v>#NAME?</v>
      </c>
      <c r="G953" s="4" t="e">
        <f ca="1">[1]!BexGetData("DP_1","003N8EMH8GTFRCSWKMPXRRXR2","GSON1112070141")</f>
        <v>#NAME?</v>
      </c>
      <c r="H953" s="4" t="e">
        <f ca="1">[1]!BexGetData("DP_1","003N8EMH8GTFRCSWKMPXRS42M","GSON1112070141")</f>
        <v>#NAME?</v>
      </c>
      <c r="I953" s="4" t="e">
        <f ca="1">[1]!BexGetData("DP_1","003N8EMH8GTFRCSWKMPXRSAE6","GSON1112070141")</f>
        <v>#NAME?</v>
      </c>
      <c r="J953" s="4" t="e">
        <f ca="1">[1]!BexGetData("DP_1","003N8EMH8GTFRCSWKMPXRSGPQ","GSON1112070141")</f>
        <v>#NAME?</v>
      </c>
      <c r="K953" s="8" t="e">
        <f ca="1">[1]!BexGetData("DP_1","003N8EMH8GTFRIVNUPY288VJH","GSON1112070141")</f>
        <v>#NAME?</v>
      </c>
      <c r="L953" s="8" t="e">
        <f ca="1">[1]!BexGetData("DP_1","003N8EMH8GTFRIVNUPY2891V1","GSON1112070141")</f>
        <v>#NAME?</v>
      </c>
      <c r="M953" s="8" t="e">
        <f ca="1">[1]!BexGetData("DP_1","003N8EMH8GTFRIVOG7KG9IQXA","GSON1112070141")</f>
        <v>#NAME?</v>
      </c>
      <c r="N953" s="8" t="e">
        <f ca="1">[1]!BexGetData("DP_1","003N8EMH8GTFRIVOG7KG9IX8U","GSON1112070141")</f>
        <v>#NAME?</v>
      </c>
      <c r="O953" s="8" t="e">
        <f ca="1">[1]!BexGetData("DP_1","003N8EMH8GTFRIVOG7KG9J3KE","GSON1112070141")</f>
        <v>#NAME?</v>
      </c>
      <c r="P953" s="8" t="e">
        <f ca="1">[1]!BexGetData("DP_1","003N8EMH8GTFRIVOG7KG9J9VY","GSON1112070141")</f>
        <v>#NAME?</v>
      </c>
      <c r="Q953" s="4" t="e">
        <f ca="1">[1]!BexGetData("DP_1","00O2TNJGODT0G5Z4TTKYMM5MT","GSON1112070141")</f>
        <v>#NAME?</v>
      </c>
      <c r="R953" s="4" t="e">
        <f ca="1">[1]!BexGetData("DP_1","00O2TNJGODT0G5Z4TTKYMMBYD","GSON1112070141")</f>
        <v>#NAME?</v>
      </c>
      <c r="S953" s="4" t="e">
        <f ca="1">[1]!BexGetData("DP_1","00O2TNJGODT0G5Z4TTKYMMI9X","GSON1112070141")</f>
        <v>#NAME?</v>
      </c>
      <c r="T953" s="4" t="e">
        <f ca="1">[1]!BexGetData("DP_1","00O2TNJGODT0G5Z4TTKYMMOLH","GSON1112070141")</f>
        <v>#NAME?</v>
      </c>
      <c r="U953" s="4" t="e">
        <f ca="1">[1]!BexGetData("DP_1","00O2TNJGODT0G5Z4TTKYMMUX1","GSON1112070141")</f>
        <v>#NAME?</v>
      </c>
      <c r="V953" s="4" t="e">
        <f ca="1">[1]!BexGetData("DP_1","00O2TNJGODT0G5Z4TTKYMN18L","GSON1112070141")</f>
        <v>#NAME?</v>
      </c>
      <c r="W953" s="4" t="e">
        <f ca="1">[1]!BexGetData("DP_1","00O2TNJGODT0G5Z4TTKYMN7K5","GSON1112070141")</f>
        <v>#NAME?</v>
      </c>
    </row>
    <row r="954" spans="1:23" x14ac:dyDescent="0.2">
      <c r="A954" s="16" t="s">
        <v>3167</v>
      </c>
      <c r="B954" s="7" t="s">
        <v>1036</v>
      </c>
      <c r="C954" s="3" t="e">
        <f ca="1">[1]!BexGetData("DP_1","003N8EMH8GTFRCSWKMPXRR8GU","GSON1112070142")</f>
        <v>#NAME?</v>
      </c>
      <c r="D954" s="3" t="e">
        <f ca="1">[1]!BexGetData("DP_1","003N8EMH8GTFRCSWKMPXRRESE","GSON1112070142")</f>
        <v>#NAME?</v>
      </c>
      <c r="E954" s="8" t="e">
        <f ca="1">[1]!BexGetData("DP_1","003N8EMH8GTFRCSWKMPXRRL3Y","GSON1112070142")</f>
        <v>#NAME?</v>
      </c>
      <c r="F954" s="3" t="e">
        <f ca="1">[1]!BexGetData("DP_1","003N8EMH8GTFRCSWKMPXRRRFI","GSON1112070142")</f>
        <v>#NAME?</v>
      </c>
      <c r="G954" s="8" t="e">
        <f ca="1">[1]!BexGetData("DP_1","003N8EMH8GTFRCSWKMPXRRXR2","GSON1112070142")</f>
        <v>#NAME?</v>
      </c>
      <c r="H954" s="3" t="e">
        <f ca="1">[1]!BexGetData("DP_1","003N8EMH8GTFRCSWKMPXRS42M","GSON1112070142")</f>
        <v>#NAME?</v>
      </c>
      <c r="I954" s="3" t="e">
        <f ca="1">[1]!BexGetData("DP_1","003N8EMH8GTFRCSWKMPXRSAE6","GSON1112070142")</f>
        <v>#NAME?</v>
      </c>
      <c r="J954" s="4" t="e">
        <f ca="1">[1]!BexGetData("DP_1","003N8EMH8GTFRCSWKMPXRSGPQ","GSON1112070142")</f>
        <v>#NAME?</v>
      </c>
      <c r="K954" s="3" t="e">
        <f ca="1">[1]!BexGetData("DP_1","003N8EMH8GTFRIVNUPY288VJH","GSON1112070142")</f>
        <v>#NAME?</v>
      </c>
      <c r="L954" s="3" t="e">
        <f ca="1">[1]!BexGetData("DP_1","003N8EMH8GTFRIVNUPY2891V1","GSON1112070142")</f>
        <v>#NAME?</v>
      </c>
      <c r="M954" s="8" t="e">
        <f ca="1">[1]!BexGetData("DP_1","003N8EMH8GTFRIVOG7KG9IQXA","GSON1112070142")</f>
        <v>#NAME?</v>
      </c>
      <c r="N954" s="3" t="e">
        <f ca="1">[1]!BexGetData("DP_1","003N8EMH8GTFRIVOG7KG9IX8U","GSON1112070142")</f>
        <v>#NAME?</v>
      </c>
      <c r="O954" s="8" t="e">
        <f ca="1">[1]!BexGetData("DP_1","003N8EMH8GTFRIVOG7KG9J3KE","GSON1112070142")</f>
        <v>#NAME?</v>
      </c>
      <c r="P954" s="3" t="e">
        <f ca="1">[1]!BexGetData("DP_1","003N8EMH8GTFRIVOG7KG9J9VY","GSON1112070142")</f>
        <v>#NAME?</v>
      </c>
      <c r="Q954" s="4" t="e">
        <f ca="1">[1]!BexGetData("DP_1","00O2TNJGODT0G5Z4TTKYMM5MT","GSON1112070142")</f>
        <v>#NAME?</v>
      </c>
      <c r="R954" s="3" t="e">
        <f ca="1">[1]!BexGetData("DP_1","00O2TNJGODT0G5Z4TTKYMMBYD","GSON1112070142")</f>
        <v>#NAME?</v>
      </c>
      <c r="S954" s="3" t="e">
        <f ca="1">[1]!BexGetData("DP_1","00O2TNJGODT0G5Z4TTKYMMI9X","GSON1112070142")</f>
        <v>#NAME?</v>
      </c>
      <c r="T954" s="3" t="e">
        <f ca="1">[1]!BexGetData("DP_1","00O2TNJGODT0G5Z4TTKYMMOLH","GSON1112070142")</f>
        <v>#NAME?</v>
      </c>
      <c r="U954" s="8" t="e">
        <f ca="1">[1]!BexGetData("DP_1","00O2TNJGODT0G5Z4TTKYMMUX1","GSON1112070142")</f>
        <v>#NAME?</v>
      </c>
      <c r="V954" s="3" t="e">
        <f ca="1">[1]!BexGetData("DP_1","00O2TNJGODT0G5Z4TTKYMN18L","GSON1112070142")</f>
        <v>#NAME?</v>
      </c>
      <c r="W954" s="8" t="e">
        <f ca="1">[1]!BexGetData("DP_1","00O2TNJGODT0G5Z4TTKYMN7K5","GSON1112070142")</f>
        <v>#NAME?</v>
      </c>
    </row>
    <row r="955" spans="1:23" x14ac:dyDescent="0.2">
      <c r="A955" s="16" t="s">
        <v>1654</v>
      </c>
      <c r="B955" s="7" t="s">
        <v>1655</v>
      </c>
      <c r="C955" s="3" t="e">
        <f ca="1">[1]!BexGetData("DP_1","003N8EMH8GTFRCSWKMPXRR8GU","GSON1112070143")</f>
        <v>#NAME?</v>
      </c>
      <c r="D955" s="3" t="e">
        <f ca="1">[1]!BexGetData("DP_1","003N8EMH8GTFRCSWKMPXRRESE","GSON1112070143")</f>
        <v>#NAME?</v>
      </c>
      <c r="E955" s="8" t="e">
        <f ca="1">[1]!BexGetData("DP_1","003N8EMH8GTFRCSWKMPXRRL3Y","GSON1112070143")</f>
        <v>#NAME?</v>
      </c>
      <c r="F955" s="4" t="e">
        <f ca="1">[1]!BexGetData("DP_1","003N8EMH8GTFRCSWKMPXRRRFI","GSON1112070143")</f>
        <v>#NAME?</v>
      </c>
      <c r="G955" s="4" t="e">
        <f ca="1">[1]!BexGetData("DP_1","003N8EMH8GTFRCSWKMPXRRXR2","GSON1112070143")</f>
        <v>#NAME?</v>
      </c>
      <c r="H955" s="4" t="e">
        <f ca="1">[1]!BexGetData("DP_1","003N8EMH8GTFRCSWKMPXRS42M","GSON1112070143")</f>
        <v>#NAME?</v>
      </c>
      <c r="I955" s="4" t="e">
        <f ca="1">[1]!BexGetData("DP_1","003N8EMH8GTFRCSWKMPXRSAE6","GSON1112070143")</f>
        <v>#NAME?</v>
      </c>
      <c r="J955" s="4" t="e">
        <f ca="1">[1]!BexGetData("DP_1","003N8EMH8GTFRCSWKMPXRSGPQ","GSON1112070143")</f>
        <v>#NAME?</v>
      </c>
      <c r="K955" s="8" t="e">
        <f ca="1">[1]!BexGetData("DP_1","003N8EMH8GTFRIVNUPY288VJH","GSON1112070143")</f>
        <v>#NAME?</v>
      </c>
      <c r="L955" s="8" t="e">
        <f ca="1">[1]!BexGetData("DP_1","003N8EMH8GTFRIVNUPY2891V1","GSON1112070143")</f>
        <v>#NAME?</v>
      </c>
      <c r="M955" s="8" t="e">
        <f ca="1">[1]!BexGetData("DP_1","003N8EMH8GTFRIVOG7KG9IQXA","GSON1112070143")</f>
        <v>#NAME?</v>
      </c>
      <c r="N955" s="8" t="e">
        <f ca="1">[1]!BexGetData("DP_1","003N8EMH8GTFRIVOG7KG9IX8U","GSON1112070143")</f>
        <v>#NAME?</v>
      </c>
      <c r="O955" s="8" t="e">
        <f ca="1">[1]!BexGetData("DP_1","003N8EMH8GTFRIVOG7KG9J3KE","GSON1112070143")</f>
        <v>#NAME?</v>
      </c>
      <c r="P955" s="8" t="e">
        <f ca="1">[1]!BexGetData("DP_1","003N8EMH8GTFRIVOG7KG9J9VY","GSON1112070143")</f>
        <v>#NAME?</v>
      </c>
      <c r="Q955" s="4" t="e">
        <f ca="1">[1]!BexGetData("DP_1","00O2TNJGODT0G5Z4TTKYMM5MT","GSON1112070143")</f>
        <v>#NAME?</v>
      </c>
      <c r="R955" s="4" t="e">
        <f ca="1">[1]!BexGetData("DP_1","00O2TNJGODT0G5Z4TTKYMMBYD","GSON1112070143")</f>
        <v>#NAME?</v>
      </c>
      <c r="S955" s="4" t="e">
        <f ca="1">[1]!BexGetData("DP_1","00O2TNJGODT0G5Z4TTKYMMI9X","GSON1112070143")</f>
        <v>#NAME?</v>
      </c>
      <c r="T955" s="4" t="e">
        <f ca="1">[1]!BexGetData("DP_1","00O2TNJGODT0G5Z4TTKYMMOLH","GSON1112070143")</f>
        <v>#NAME?</v>
      </c>
      <c r="U955" s="4" t="e">
        <f ca="1">[1]!BexGetData("DP_1","00O2TNJGODT0G5Z4TTKYMMUX1","GSON1112070143")</f>
        <v>#NAME?</v>
      </c>
      <c r="V955" s="4" t="e">
        <f ca="1">[1]!BexGetData("DP_1","00O2TNJGODT0G5Z4TTKYMN18L","GSON1112070143")</f>
        <v>#NAME?</v>
      </c>
      <c r="W955" s="4" t="e">
        <f ca="1">[1]!BexGetData("DP_1","00O2TNJGODT0G5Z4TTKYMN7K5","GSON1112070143")</f>
        <v>#NAME?</v>
      </c>
    </row>
    <row r="956" spans="1:23" x14ac:dyDescent="0.2">
      <c r="A956" s="16" t="s">
        <v>3168</v>
      </c>
      <c r="B956" s="7" t="s">
        <v>3169</v>
      </c>
      <c r="C956" s="3" t="e">
        <f ca="1">[1]!BexGetData("DP_1","003N8EMH8GTFRCSWKMPXRR8GU","GSON1112070144")</f>
        <v>#NAME?</v>
      </c>
      <c r="D956" s="3" t="e">
        <f ca="1">[1]!BexGetData("DP_1","003N8EMH8GTFRCSWKMPXRRESE","GSON1112070144")</f>
        <v>#NAME?</v>
      </c>
      <c r="E956" s="8" t="e">
        <f ca="1">[1]!BexGetData("DP_1","003N8EMH8GTFRCSWKMPXRRL3Y","GSON1112070144")</f>
        <v>#NAME?</v>
      </c>
      <c r="F956" s="4" t="e">
        <f ca="1">[1]!BexGetData("DP_1","003N8EMH8GTFRCSWKMPXRRRFI","GSON1112070144")</f>
        <v>#NAME?</v>
      </c>
      <c r="G956" s="4" t="e">
        <f ca="1">[1]!BexGetData("DP_1","003N8EMH8GTFRCSWKMPXRRXR2","GSON1112070144")</f>
        <v>#NAME?</v>
      </c>
      <c r="H956" s="4" t="e">
        <f ca="1">[1]!BexGetData("DP_1","003N8EMH8GTFRCSWKMPXRS42M","GSON1112070144")</f>
        <v>#NAME?</v>
      </c>
      <c r="I956" s="4" t="e">
        <f ca="1">[1]!BexGetData("DP_1","003N8EMH8GTFRCSWKMPXRSAE6","GSON1112070144")</f>
        <v>#NAME?</v>
      </c>
      <c r="J956" s="4" t="e">
        <f ca="1">[1]!BexGetData("DP_1","003N8EMH8GTFRCSWKMPXRSGPQ","GSON1112070144")</f>
        <v>#NAME?</v>
      </c>
      <c r="K956" s="8" t="e">
        <f ca="1">[1]!BexGetData("DP_1","003N8EMH8GTFRIVNUPY288VJH","GSON1112070144")</f>
        <v>#NAME?</v>
      </c>
      <c r="L956" s="8" t="e">
        <f ca="1">[1]!BexGetData("DP_1","003N8EMH8GTFRIVNUPY2891V1","GSON1112070144")</f>
        <v>#NAME?</v>
      </c>
      <c r="M956" s="8" t="e">
        <f ca="1">[1]!BexGetData("DP_1","003N8EMH8GTFRIVOG7KG9IQXA","GSON1112070144")</f>
        <v>#NAME?</v>
      </c>
      <c r="N956" s="8" t="e">
        <f ca="1">[1]!BexGetData("DP_1","003N8EMH8GTFRIVOG7KG9IX8U","GSON1112070144")</f>
        <v>#NAME?</v>
      </c>
      <c r="O956" s="8" t="e">
        <f ca="1">[1]!BexGetData("DP_1","003N8EMH8GTFRIVOG7KG9J3KE","GSON1112070144")</f>
        <v>#NAME?</v>
      </c>
      <c r="P956" s="8" t="e">
        <f ca="1">[1]!BexGetData("DP_1","003N8EMH8GTFRIVOG7KG9J9VY","GSON1112070144")</f>
        <v>#NAME?</v>
      </c>
      <c r="Q956" s="4" t="e">
        <f ca="1">[1]!BexGetData("DP_1","00O2TNJGODT0G5Z4TTKYMM5MT","GSON1112070144")</f>
        <v>#NAME?</v>
      </c>
      <c r="R956" s="4" t="e">
        <f ca="1">[1]!BexGetData("DP_1","00O2TNJGODT0G5Z4TTKYMMBYD","GSON1112070144")</f>
        <v>#NAME?</v>
      </c>
      <c r="S956" s="4" t="e">
        <f ca="1">[1]!BexGetData("DP_1","00O2TNJGODT0G5Z4TTKYMMI9X","GSON1112070144")</f>
        <v>#NAME?</v>
      </c>
      <c r="T956" s="4" t="e">
        <f ca="1">[1]!BexGetData("DP_1","00O2TNJGODT0G5Z4TTKYMMOLH","GSON1112070144")</f>
        <v>#NAME?</v>
      </c>
      <c r="U956" s="4" t="e">
        <f ca="1">[1]!BexGetData("DP_1","00O2TNJGODT0G5Z4TTKYMMUX1","GSON1112070144")</f>
        <v>#NAME?</v>
      </c>
      <c r="V956" s="4" t="e">
        <f ca="1">[1]!BexGetData("DP_1","00O2TNJGODT0G5Z4TTKYMN18L","GSON1112070144")</f>
        <v>#NAME?</v>
      </c>
      <c r="W956" s="4" t="e">
        <f ca="1">[1]!BexGetData("DP_1","00O2TNJGODT0G5Z4TTKYMN7K5","GSON1112070144")</f>
        <v>#NAME?</v>
      </c>
    </row>
    <row r="957" spans="1:23" x14ac:dyDescent="0.2">
      <c r="A957" s="16" t="s">
        <v>1037</v>
      </c>
      <c r="B957" s="7" t="s">
        <v>1038</v>
      </c>
      <c r="C957" s="3" t="e">
        <f ca="1">[1]!BexGetData("DP_1","003N8EMH8GTFRCSWKMPXRR8GU","GSON1112070145")</f>
        <v>#NAME?</v>
      </c>
      <c r="D957" s="3" t="e">
        <f ca="1">[1]!BexGetData("DP_1","003N8EMH8GTFRCSWKMPXRRESE","GSON1112070145")</f>
        <v>#NAME?</v>
      </c>
      <c r="E957" s="8" t="e">
        <f ca="1">[1]!BexGetData("DP_1","003N8EMH8GTFRCSWKMPXRRL3Y","GSON1112070145")</f>
        <v>#NAME?</v>
      </c>
      <c r="F957" s="4" t="e">
        <f ca="1">[1]!BexGetData("DP_1","003N8EMH8GTFRCSWKMPXRRRFI","GSON1112070145")</f>
        <v>#NAME?</v>
      </c>
      <c r="G957" s="4" t="e">
        <f ca="1">[1]!BexGetData("DP_1","003N8EMH8GTFRCSWKMPXRRXR2","GSON1112070145")</f>
        <v>#NAME?</v>
      </c>
      <c r="H957" s="4" t="e">
        <f ca="1">[1]!BexGetData("DP_1","003N8EMH8GTFRCSWKMPXRS42M","GSON1112070145")</f>
        <v>#NAME?</v>
      </c>
      <c r="I957" s="4" t="e">
        <f ca="1">[1]!BexGetData("DP_1","003N8EMH8GTFRCSWKMPXRSAE6","GSON1112070145")</f>
        <v>#NAME?</v>
      </c>
      <c r="J957" s="4" t="e">
        <f ca="1">[1]!BexGetData("DP_1","003N8EMH8GTFRCSWKMPXRSGPQ","GSON1112070145")</f>
        <v>#NAME?</v>
      </c>
      <c r="K957" s="8" t="e">
        <f ca="1">[1]!BexGetData("DP_1","003N8EMH8GTFRIVNUPY288VJH","GSON1112070145")</f>
        <v>#NAME?</v>
      </c>
      <c r="L957" s="8" t="e">
        <f ca="1">[1]!BexGetData("DP_1","003N8EMH8GTFRIVNUPY2891V1","GSON1112070145")</f>
        <v>#NAME?</v>
      </c>
      <c r="M957" s="8" t="e">
        <f ca="1">[1]!BexGetData("DP_1","003N8EMH8GTFRIVOG7KG9IQXA","GSON1112070145")</f>
        <v>#NAME?</v>
      </c>
      <c r="N957" s="8" t="e">
        <f ca="1">[1]!BexGetData("DP_1","003N8EMH8GTFRIVOG7KG9IX8U","GSON1112070145")</f>
        <v>#NAME?</v>
      </c>
      <c r="O957" s="8" t="e">
        <f ca="1">[1]!BexGetData("DP_1","003N8EMH8GTFRIVOG7KG9J3KE","GSON1112070145")</f>
        <v>#NAME?</v>
      </c>
      <c r="P957" s="8" t="e">
        <f ca="1">[1]!BexGetData("DP_1","003N8EMH8GTFRIVOG7KG9J9VY","GSON1112070145")</f>
        <v>#NAME?</v>
      </c>
      <c r="Q957" s="4" t="e">
        <f ca="1">[1]!BexGetData("DP_1","00O2TNJGODT0G5Z4TTKYMM5MT","GSON1112070145")</f>
        <v>#NAME?</v>
      </c>
      <c r="R957" s="4" t="e">
        <f ca="1">[1]!BexGetData("DP_1","00O2TNJGODT0G5Z4TTKYMMBYD","GSON1112070145")</f>
        <v>#NAME?</v>
      </c>
      <c r="S957" s="4" t="e">
        <f ca="1">[1]!BexGetData("DP_1","00O2TNJGODT0G5Z4TTKYMMI9X","GSON1112070145")</f>
        <v>#NAME?</v>
      </c>
      <c r="T957" s="4" t="e">
        <f ca="1">[1]!BexGetData("DP_1","00O2TNJGODT0G5Z4TTKYMMOLH","GSON1112070145")</f>
        <v>#NAME?</v>
      </c>
      <c r="U957" s="4" t="e">
        <f ca="1">[1]!BexGetData("DP_1","00O2TNJGODT0G5Z4TTKYMMUX1","GSON1112070145")</f>
        <v>#NAME?</v>
      </c>
      <c r="V957" s="4" t="e">
        <f ca="1">[1]!BexGetData("DP_1","00O2TNJGODT0G5Z4TTKYMN18L","GSON1112070145")</f>
        <v>#NAME?</v>
      </c>
      <c r="W957" s="4" t="e">
        <f ca="1">[1]!BexGetData("DP_1","00O2TNJGODT0G5Z4TTKYMN7K5","GSON1112070145")</f>
        <v>#NAME?</v>
      </c>
    </row>
    <row r="958" spans="1:23" x14ac:dyDescent="0.2">
      <c r="A958" s="16" t="s">
        <v>3170</v>
      </c>
      <c r="B958" s="7" t="s">
        <v>3171</v>
      </c>
      <c r="C958" s="3" t="e">
        <f ca="1">[1]!BexGetData("DP_1","003N8EMH8GTFRCSWKMPXRR8GU","GSON1112070151")</f>
        <v>#NAME?</v>
      </c>
      <c r="D958" s="3" t="e">
        <f ca="1">[1]!BexGetData("DP_1","003N8EMH8GTFRCSWKMPXRRESE","GSON1112070151")</f>
        <v>#NAME?</v>
      </c>
      <c r="E958" s="8" t="e">
        <f ca="1">[1]!BexGetData("DP_1","003N8EMH8GTFRCSWKMPXRRL3Y","GSON1112070151")</f>
        <v>#NAME?</v>
      </c>
      <c r="F958" s="4" t="e">
        <f ca="1">[1]!BexGetData("DP_1","003N8EMH8GTFRCSWKMPXRRRFI","GSON1112070151")</f>
        <v>#NAME?</v>
      </c>
      <c r="G958" s="4" t="e">
        <f ca="1">[1]!BexGetData("DP_1","003N8EMH8GTFRCSWKMPXRRXR2","GSON1112070151")</f>
        <v>#NAME?</v>
      </c>
      <c r="H958" s="4" t="e">
        <f ca="1">[1]!BexGetData("DP_1","003N8EMH8GTFRCSWKMPXRS42M","GSON1112070151")</f>
        <v>#NAME?</v>
      </c>
      <c r="I958" s="4" t="e">
        <f ca="1">[1]!BexGetData("DP_1","003N8EMH8GTFRCSWKMPXRSAE6","GSON1112070151")</f>
        <v>#NAME?</v>
      </c>
      <c r="J958" s="4" t="e">
        <f ca="1">[1]!BexGetData("DP_1","003N8EMH8GTFRCSWKMPXRSGPQ","GSON1112070151")</f>
        <v>#NAME?</v>
      </c>
      <c r="K958" s="8" t="e">
        <f ca="1">[1]!BexGetData("DP_1","003N8EMH8GTFRIVNUPY288VJH","GSON1112070151")</f>
        <v>#NAME?</v>
      </c>
      <c r="L958" s="8" t="e">
        <f ca="1">[1]!BexGetData("DP_1","003N8EMH8GTFRIVNUPY2891V1","GSON1112070151")</f>
        <v>#NAME?</v>
      </c>
      <c r="M958" s="8" t="e">
        <f ca="1">[1]!BexGetData("DP_1","003N8EMH8GTFRIVOG7KG9IQXA","GSON1112070151")</f>
        <v>#NAME?</v>
      </c>
      <c r="N958" s="8" t="e">
        <f ca="1">[1]!BexGetData("DP_1","003N8EMH8GTFRIVOG7KG9IX8U","GSON1112070151")</f>
        <v>#NAME?</v>
      </c>
      <c r="O958" s="8" t="e">
        <f ca="1">[1]!BexGetData("DP_1","003N8EMH8GTFRIVOG7KG9J3KE","GSON1112070151")</f>
        <v>#NAME?</v>
      </c>
      <c r="P958" s="8" t="e">
        <f ca="1">[1]!BexGetData("DP_1","003N8EMH8GTFRIVOG7KG9J9VY","GSON1112070151")</f>
        <v>#NAME?</v>
      </c>
      <c r="Q958" s="4" t="e">
        <f ca="1">[1]!BexGetData("DP_1","00O2TNJGODT0G5Z4TTKYMM5MT","GSON1112070151")</f>
        <v>#NAME?</v>
      </c>
      <c r="R958" s="4" t="e">
        <f ca="1">[1]!BexGetData("DP_1","00O2TNJGODT0G5Z4TTKYMMBYD","GSON1112070151")</f>
        <v>#NAME?</v>
      </c>
      <c r="S958" s="4" t="e">
        <f ca="1">[1]!BexGetData("DP_1","00O2TNJGODT0G5Z4TTKYMMI9X","GSON1112070151")</f>
        <v>#NAME?</v>
      </c>
      <c r="T958" s="4" t="e">
        <f ca="1">[1]!BexGetData("DP_1","00O2TNJGODT0G5Z4TTKYMMOLH","GSON1112070151")</f>
        <v>#NAME?</v>
      </c>
      <c r="U958" s="4" t="e">
        <f ca="1">[1]!BexGetData("DP_1","00O2TNJGODT0G5Z4TTKYMMUX1","GSON1112070151")</f>
        <v>#NAME?</v>
      </c>
      <c r="V958" s="4" t="e">
        <f ca="1">[1]!BexGetData("DP_1","00O2TNJGODT0G5Z4TTKYMN18L","GSON1112070151")</f>
        <v>#NAME?</v>
      </c>
      <c r="W958" s="4" t="e">
        <f ca="1">[1]!BexGetData("DP_1","00O2TNJGODT0G5Z4TTKYMN7K5","GSON1112070151")</f>
        <v>#NAME?</v>
      </c>
    </row>
    <row r="959" spans="1:23" x14ac:dyDescent="0.2">
      <c r="A959" s="16" t="s">
        <v>1039</v>
      </c>
      <c r="B959" s="7" t="s">
        <v>1040</v>
      </c>
      <c r="C959" s="3" t="e">
        <f ca="1">[1]!BexGetData("DP_1","003N8EMH8GTFRCSWKMPXRR8GU","GSON1112070160")</f>
        <v>#NAME?</v>
      </c>
      <c r="D959" s="8" t="e">
        <f ca="1">[1]!BexGetData("DP_1","003N8EMH8GTFRCSWKMPXRRESE","GSON1112070160")</f>
        <v>#NAME?</v>
      </c>
      <c r="E959" s="3" t="e">
        <f ca="1">[1]!BexGetData("DP_1","003N8EMH8GTFRCSWKMPXRRL3Y","GSON1112070160")</f>
        <v>#NAME?</v>
      </c>
      <c r="F959" s="3" t="e">
        <f ca="1">[1]!BexGetData("DP_1","003N8EMH8GTFRCSWKMPXRRRFI","GSON1112070160")</f>
        <v>#NAME?</v>
      </c>
      <c r="G959" s="3" t="e">
        <f ca="1">[1]!BexGetData("DP_1","003N8EMH8GTFRCSWKMPXRRXR2","GSON1112070160")</f>
        <v>#NAME?</v>
      </c>
      <c r="H959" s="8" t="e">
        <f ca="1">[1]!BexGetData("DP_1","003N8EMH8GTFRCSWKMPXRS42M","GSON1112070160")</f>
        <v>#NAME?</v>
      </c>
      <c r="I959" s="3" t="e">
        <f ca="1">[1]!BexGetData("DP_1","003N8EMH8GTFRCSWKMPXRSAE6","GSON1112070160")</f>
        <v>#NAME?</v>
      </c>
      <c r="J959" s="4" t="e">
        <f ca="1">[1]!BexGetData("DP_1","003N8EMH8GTFRCSWKMPXRSGPQ","GSON1112070160")</f>
        <v>#NAME?</v>
      </c>
      <c r="K959" s="3" t="e">
        <f ca="1">[1]!BexGetData("DP_1","003N8EMH8GTFRIVNUPY288VJH","GSON1112070160")</f>
        <v>#NAME?</v>
      </c>
      <c r="L959" s="3" t="e">
        <f ca="1">[1]!BexGetData("DP_1","003N8EMH8GTFRIVNUPY2891V1","GSON1112070160")</f>
        <v>#NAME?</v>
      </c>
      <c r="M959" s="8" t="e">
        <f ca="1">[1]!BexGetData("DP_1","003N8EMH8GTFRIVOG7KG9IQXA","GSON1112070160")</f>
        <v>#NAME?</v>
      </c>
      <c r="N959" s="3" t="e">
        <f ca="1">[1]!BexGetData("DP_1","003N8EMH8GTFRIVOG7KG9IX8U","GSON1112070160")</f>
        <v>#NAME?</v>
      </c>
      <c r="O959" s="8" t="e">
        <f ca="1">[1]!BexGetData("DP_1","003N8EMH8GTFRIVOG7KG9J3KE","GSON1112070160")</f>
        <v>#NAME?</v>
      </c>
      <c r="P959" s="3" t="e">
        <f ca="1">[1]!BexGetData("DP_1","003N8EMH8GTFRIVOG7KG9J9VY","GSON1112070160")</f>
        <v>#NAME?</v>
      </c>
      <c r="Q959" s="4" t="e">
        <f ca="1">[1]!BexGetData("DP_1","00O2TNJGODT0G5Z4TTKYMM5MT","GSON1112070160")</f>
        <v>#NAME?</v>
      </c>
      <c r="R959" s="3" t="e">
        <f ca="1">[1]!BexGetData("DP_1","00O2TNJGODT0G5Z4TTKYMMBYD","GSON1112070160")</f>
        <v>#NAME?</v>
      </c>
      <c r="S959" s="3" t="e">
        <f ca="1">[1]!BexGetData("DP_1","00O2TNJGODT0G5Z4TTKYMMI9X","GSON1112070160")</f>
        <v>#NAME?</v>
      </c>
      <c r="T959" s="8" t="e">
        <f ca="1">[1]!BexGetData("DP_1","00O2TNJGODT0G5Z4TTKYMMOLH","GSON1112070160")</f>
        <v>#NAME?</v>
      </c>
      <c r="U959" s="3" t="e">
        <f ca="1">[1]!BexGetData("DP_1","00O2TNJGODT0G5Z4TTKYMMUX1","GSON1112070160")</f>
        <v>#NAME?</v>
      </c>
      <c r="V959" s="8" t="e">
        <f ca="1">[1]!BexGetData("DP_1","00O2TNJGODT0G5Z4TTKYMN18L","GSON1112070160")</f>
        <v>#NAME?</v>
      </c>
      <c r="W959" s="3" t="e">
        <f ca="1">[1]!BexGetData("DP_1","00O2TNJGODT0G5Z4TTKYMN7K5","GSON1112070160")</f>
        <v>#NAME?</v>
      </c>
    </row>
    <row r="960" spans="1:23" x14ac:dyDescent="0.2">
      <c r="A960" s="16" t="s">
        <v>1041</v>
      </c>
      <c r="B960" s="7" t="s">
        <v>1042</v>
      </c>
      <c r="C960" s="3" t="e">
        <f ca="1">[1]!BexGetData("DP_1","003N8EMH8GTFRCSWKMPXRR8GU","GSON1112070165")</f>
        <v>#NAME?</v>
      </c>
      <c r="D960" s="3" t="e">
        <f ca="1">[1]!BexGetData("DP_1","003N8EMH8GTFRCSWKMPXRRESE","GSON1112070165")</f>
        <v>#NAME?</v>
      </c>
      <c r="E960" s="8" t="e">
        <f ca="1">[1]!BexGetData("DP_1","003N8EMH8GTFRCSWKMPXRRL3Y","GSON1112070165")</f>
        <v>#NAME?</v>
      </c>
      <c r="F960" s="4" t="e">
        <f ca="1">[1]!BexGetData("DP_1","003N8EMH8GTFRCSWKMPXRRRFI","GSON1112070165")</f>
        <v>#NAME?</v>
      </c>
      <c r="G960" s="4" t="e">
        <f ca="1">[1]!BexGetData("DP_1","003N8EMH8GTFRCSWKMPXRRXR2","GSON1112070165")</f>
        <v>#NAME?</v>
      </c>
      <c r="H960" s="4" t="e">
        <f ca="1">[1]!BexGetData("DP_1","003N8EMH8GTFRCSWKMPXRS42M","GSON1112070165")</f>
        <v>#NAME?</v>
      </c>
      <c r="I960" s="4" t="e">
        <f ca="1">[1]!BexGetData("DP_1","003N8EMH8GTFRCSWKMPXRSAE6","GSON1112070165")</f>
        <v>#NAME?</v>
      </c>
      <c r="J960" s="4" t="e">
        <f ca="1">[1]!BexGetData("DP_1","003N8EMH8GTFRCSWKMPXRSGPQ","GSON1112070165")</f>
        <v>#NAME?</v>
      </c>
      <c r="K960" s="8" t="e">
        <f ca="1">[1]!BexGetData("DP_1","003N8EMH8GTFRIVNUPY288VJH","GSON1112070165")</f>
        <v>#NAME?</v>
      </c>
      <c r="L960" s="8" t="e">
        <f ca="1">[1]!BexGetData("DP_1","003N8EMH8GTFRIVNUPY2891V1","GSON1112070165")</f>
        <v>#NAME?</v>
      </c>
      <c r="M960" s="8" t="e">
        <f ca="1">[1]!BexGetData("DP_1","003N8EMH8GTFRIVOG7KG9IQXA","GSON1112070165")</f>
        <v>#NAME?</v>
      </c>
      <c r="N960" s="8" t="e">
        <f ca="1">[1]!BexGetData("DP_1","003N8EMH8GTFRIVOG7KG9IX8U","GSON1112070165")</f>
        <v>#NAME?</v>
      </c>
      <c r="O960" s="8" t="e">
        <f ca="1">[1]!BexGetData("DP_1","003N8EMH8GTFRIVOG7KG9J3KE","GSON1112070165")</f>
        <v>#NAME?</v>
      </c>
      <c r="P960" s="8" t="e">
        <f ca="1">[1]!BexGetData("DP_1","003N8EMH8GTFRIVOG7KG9J9VY","GSON1112070165")</f>
        <v>#NAME?</v>
      </c>
      <c r="Q960" s="4" t="e">
        <f ca="1">[1]!BexGetData("DP_1","00O2TNJGODT0G5Z4TTKYMM5MT","GSON1112070165")</f>
        <v>#NAME?</v>
      </c>
      <c r="R960" s="4" t="e">
        <f ca="1">[1]!BexGetData("DP_1","00O2TNJGODT0G5Z4TTKYMMBYD","GSON1112070165")</f>
        <v>#NAME?</v>
      </c>
      <c r="S960" s="4" t="e">
        <f ca="1">[1]!BexGetData("DP_1","00O2TNJGODT0G5Z4TTKYMMI9X","GSON1112070165")</f>
        <v>#NAME?</v>
      </c>
      <c r="T960" s="4" t="e">
        <f ca="1">[1]!BexGetData("DP_1","00O2TNJGODT0G5Z4TTKYMMOLH","GSON1112070165")</f>
        <v>#NAME?</v>
      </c>
      <c r="U960" s="4" t="e">
        <f ca="1">[1]!BexGetData("DP_1","00O2TNJGODT0G5Z4TTKYMMUX1","GSON1112070165")</f>
        <v>#NAME?</v>
      </c>
      <c r="V960" s="4" t="e">
        <f ca="1">[1]!BexGetData("DP_1","00O2TNJGODT0G5Z4TTKYMN18L","GSON1112070165")</f>
        <v>#NAME?</v>
      </c>
      <c r="W960" s="4" t="e">
        <f ca="1">[1]!BexGetData("DP_1","00O2TNJGODT0G5Z4TTKYMN7K5","GSON1112070165")</f>
        <v>#NAME?</v>
      </c>
    </row>
    <row r="961" spans="1:23" x14ac:dyDescent="0.2">
      <c r="A961" s="16" t="s">
        <v>1043</v>
      </c>
      <c r="B961" s="7" t="s">
        <v>1044</v>
      </c>
      <c r="C961" s="3" t="e">
        <f ca="1">[1]!BexGetData("DP_1","003N8EMH8GTFRCSWKMPXRR8GU","GSON1112070170")</f>
        <v>#NAME?</v>
      </c>
      <c r="D961" s="3" t="e">
        <f ca="1">[1]!BexGetData("DP_1","003N8EMH8GTFRCSWKMPXRRESE","GSON1112070170")</f>
        <v>#NAME?</v>
      </c>
      <c r="E961" s="8" t="e">
        <f ca="1">[1]!BexGetData("DP_1","003N8EMH8GTFRCSWKMPXRRL3Y","GSON1112070170")</f>
        <v>#NAME?</v>
      </c>
      <c r="F961" s="3" t="e">
        <f ca="1">[1]!BexGetData("DP_1","003N8EMH8GTFRCSWKMPXRRRFI","GSON1112070170")</f>
        <v>#NAME?</v>
      </c>
      <c r="G961" s="3" t="e">
        <f ca="1">[1]!BexGetData("DP_1","003N8EMH8GTFRCSWKMPXRRXR2","GSON1112070170")</f>
        <v>#NAME?</v>
      </c>
      <c r="H961" s="8" t="e">
        <f ca="1">[1]!BexGetData("DP_1","003N8EMH8GTFRCSWKMPXRS42M","GSON1112070170")</f>
        <v>#NAME?</v>
      </c>
      <c r="I961" s="3" t="e">
        <f ca="1">[1]!BexGetData("DP_1","003N8EMH8GTFRCSWKMPXRSAE6","GSON1112070170")</f>
        <v>#NAME?</v>
      </c>
      <c r="J961" s="4" t="e">
        <f ca="1">[1]!BexGetData("DP_1","003N8EMH8GTFRCSWKMPXRSGPQ","GSON1112070170")</f>
        <v>#NAME?</v>
      </c>
      <c r="K961" s="3" t="e">
        <f ca="1">[1]!BexGetData("DP_1","003N8EMH8GTFRIVNUPY288VJH","GSON1112070170")</f>
        <v>#NAME?</v>
      </c>
      <c r="L961" s="3" t="e">
        <f ca="1">[1]!BexGetData("DP_1","003N8EMH8GTFRIVNUPY2891V1","GSON1112070170")</f>
        <v>#NAME?</v>
      </c>
      <c r="M961" s="3" t="e">
        <f ca="1">[1]!BexGetData("DP_1","003N8EMH8GTFRIVOG7KG9IQXA","GSON1112070170")</f>
        <v>#NAME?</v>
      </c>
      <c r="N961" s="8" t="e">
        <f ca="1">[1]!BexGetData("DP_1","003N8EMH8GTFRIVOG7KG9IX8U","GSON1112070170")</f>
        <v>#NAME?</v>
      </c>
      <c r="O961" s="3" t="e">
        <f ca="1">[1]!BexGetData("DP_1","003N8EMH8GTFRIVOG7KG9J3KE","GSON1112070170")</f>
        <v>#NAME?</v>
      </c>
      <c r="P961" s="8" t="e">
        <f ca="1">[1]!BexGetData("DP_1","003N8EMH8GTFRIVOG7KG9J9VY","GSON1112070170")</f>
        <v>#NAME?</v>
      </c>
      <c r="Q961" s="4" t="e">
        <f ca="1">[1]!BexGetData("DP_1","00O2TNJGODT0G5Z4TTKYMM5MT","GSON1112070170")</f>
        <v>#NAME?</v>
      </c>
      <c r="R961" s="3" t="e">
        <f ca="1">[1]!BexGetData("DP_1","00O2TNJGODT0G5Z4TTKYMMBYD","GSON1112070170")</f>
        <v>#NAME?</v>
      </c>
      <c r="S961" s="3" t="e">
        <f ca="1">[1]!BexGetData("DP_1","00O2TNJGODT0G5Z4TTKYMMI9X","GSON1112070170")</f>
        <v>#NAME?</v>
      </c>
      <c r="T961" s="8" t="e">
        <f ca="1">[1]!BexGetData("DP_1","00O2TNJGODT0G5Z4TTKYMMOLH","GSON1112070170")</f>
        <v>#NAME?</v>
      </c>
      <c r="U961" s="3" t="e">
        <f ca="1">[1]!BexGetData("DP_1","00O2TNJGODT0G5Z4TTKYMMUX1","GSON1112070170")</f>
        <v>#NAME?</v>
      </c>
      <c r="V961" s="8" t="e">
        <f ca="1">[1]!BexGetData("DP_1","00O2TNJGODT0G5Z4TTKYMN18L","GSON1112070170")</f>
        <v>#NAME?</v>
      </c>
      <c r="W961" s="3" t="e">
        <f ca="1">[1]!BexGetData("DP_1","00O2TNJGODT0G5Z4TTKYMN7K5","GSON1112070170")</f>
        <v>#NAME?</v>
      </c>
    </row>
    <row r="962" spans="1:23" x14ac:dyDescent="0.2">
      <c r="A962" s="16" t="s">
        <v>3172</v>
      </c>
      <c r="B962" s="7" t="s">
        <v>3173</v>
      </c>
      <c r="C962" s="3" t="e">
        <f ca="1">[1]!BexGetData("DP_1","003N8EMH8GTFRCSWKMPXRR8GU","GSON1112070171")</f>
        <v>#NAME?</v>
      </c>
      <c r="D962" s="3" t="e">
        <f ca="1">[1]!BexGetData("DP_1","003N8EMH8GTFRCSWKMPXRRESE","GSON1112070171")</f>
        <v>#NAME?</v>
      </c>
      <c r="E962" s="8" t="e">
        <f ca="1">[1]!BexGetData("DP_1","003N8EMH8GTFRCSWKMPXRRL3Y","GSON1112070171")</f>
        <v>#NAME?</v>
      </c>
      <c r="F962" s="4" t="e">
        <f ca="1">[1]!BexGetData("DP_1","003N8EMH8GTFRCSWKMPXRRRFI","GSON1112070171")</f>
        <v>#NAME?</v>
      </c>
      <c r="G962" s="4" t="e">
        <f ca="1">[1]!BexGetData("DP_1","003N8EMH8GTFRCSWKMPXRRXR2","GSON1112070171")</f>
        <v>#NAME?</v>
      </c>
      <c r="H962" s="4" t="e">
        <f ca="1">[1]!BexGetData("DP_1","003N8EMH8GTFRCSWKMPXRS42M","GSON1112070171")</f>
        <v>#NAME?</v>
      </c>
      <c r="I962" s="4" t="e">
        <f ca="1">[1]!BexGetData("DP_1","003N8EMH8GTFRCSWKMPXRSAE6","GSON1112070171")</f>
        <v>#NAME?</v>
      </c>
      <c r="J962" s="4" t="e">
        <f ca="1">[1]!BexGetData("DP_1","003N8EMH8GTFRCSWKMPXRSGPQ","GSON1112070171")</f>
        <v>#NAME?</v>
      </c>
      <c r="K962" s="8" t="e">
        <f ca="1">[1]!BexGetData("DP_1","003N8EMH8GTFRIVNUPY288VJH","GSON1112070171")</f>
        <v>#NAME?</v>
      </c>
      <c r="L962" s="8" t="e">
        <f ca="1">[1]!BexGetData("DP_1","003N8EMH8GTFRIVNUPY2891V1","GSON1112070171")</f>
        <v>#NAME?</v>
      </c>
      <c r="M962" s="8" t="e">
        <f ca="1">[1]!BexGetData("DP_1","003N8EMH8GTFRIVOG7KG9IQXA","GSON1112070171")</f>
        <v>#NAME?</v>
      </c>
      <c r="N962" s="8" t="e">
        <f ca="1">[1]!BexGetData("DP_1","003N8EMH8GTFRIVOG7KG9IX8U","GSON1112070171")</f>
        <v>#NAME?</v>
      </c>
      <c r="O962" s="8" t="e">
        <f ca="1">[1]!BexGetData("DP_1","003N8EMH8GTFRIVOG7KG9J3KE","GSON1112070171")</f>
        <v>#NAME?</v>
      </c>
      <c r="P962" s="8" t="e">
        <f ca="1">[1]!BexGetData("DP_1","003N8EMH8GTFRIVOG7KG9J9VY","GSON1112070171")</f>
        <v>#NAME?</v>
      </c>
      <c r="Q962" s="4" t="e">
        <f ca="1">[1]!BexGetData("DP_1","00O2TNJGODT0G5Z4TTKYMM5MT","GSON1112070171")</f>
        <v>#NAME?</v>
      </c>
      <c r="R962" s="4" t="e">
        <f ca="1">[1]!BexGetData("DP_1","00O2TNJGODT0G5Z4TTKYMMBYD","GSON1112070171")</f>
        <v>#NAME?</v>
      </c>
      <c r="S962" s="4" t="e">
        <f ca="1">[1]!BexGetData("DP_1","00O2TNJGODT0G5Z4TTKYMMI9X","GSON1112070171")</f>
        <v>#NAME?</v>
      </c>
      <c r="T962" s="4" t="e">
        <f ca="1">[1]!BexGetData("DP_1","00O2TNJGODT0G5Z4TTKYMMOLH","GSON1112070171")</f>
        <v>#NAME?</v>
      </c>
      <c r="U962" s="4" t="e">
        <f ca="1">[1]!BexGetData("DP_1","00O2TNJGODT0G5Z4TTKYMMUX1","GSON1112070171")</f>
        <v>#NAME?</v>
      </c>
      <c r="V962" s="4" t="e">
        <f ca="1">[1]!BexGetData("DP_1","00O2TNJGODT0G5Z4TTKYMN18L","GSON1112070171")</f>
        <v>#NAME?</v>
      </c>
      <c r="W962" s="4" t="e">
        <f ca="1">[1]!BexGetData("DP_1","00O2TNJGODT0G5Z4TTKYMN7K5","GSON1112070171")</f>
        <v>#NAME?</v>
      </c>
    </row>
    <row r="963" spans="1:23" x14ac:dyDescent="0.2">
      <c r="A963" s="16" t="s">
        <v>3174</v>
      </c>
      <c r="B963" s="7" t="s">
        <v>3175</v>
      </c>
      <c r="C963" s="3" t="e">
        <f ca="1">[1]!BexGetData("DP_1","003N8EMH8GTFRCSWKMPXRR8GU","GSON1112070173")</f>
        <v>#NAME?</v>
      </c>
      <c r="D963" s="3" t="e">
        <f ca="1">[1]!BexGetData("DP_1","003N8EMH8GTFRCSWKMPXRRESE","GSON1112070173")</f>
        <v>#NAME?</v>
      </c>
      <c r="E963" s="8" t="e">
        <f ca="1">[1]!BexGetData("DP_1","003N8EMH8GTFRCSWKMPXRRL3Y","GSON1112070173")</f>
        <v>#NAME?</v>
      </c>
      <c r="F963" s="4" t="e">
        <f ca="1">[1]!BexGetData("DP_1","003N8EMH8GTFRCSWKMPXRRRFI","GSON1112070173")</f>
        <v>#NAME?</v>
      </c>
      <c r="G963" s="4" t="e">
        <f ca="1">[1]!BexGetData("DP_1","003N8EMH8GTFRCSWKMPXRRXR2","GSON1112070173")</f>
        <v>#NAME?</v>
      </c>
      <c r="H963" s="4" t="e">
        <f ca="1">[1]!BexGetData("DP_1","003N8EMH8GTFRCSWKMPXRS42M","GSON1112070173")</f>
        <v>#NAME?</v>
      </c>
      <c r="I963" s="4" t="e">
        <f ca="1">[1]!BexGetData("DP_1","003N8EMH8GTFRCSWKMPXRSAE6","GSON1112070173")</f>
        <v>#NAME?</v>
      </c>
      <c r="J963" s="4" t="e">
        <f ca="1">[1]!BexGetData("DP_1","003N8EMH8GTFRCSWKMPXRSGPQ","GSON1112070173")</f>
        <v>#NAME?</v>
      </c>
      <c r="K963" s="8" t="e">
        <f ca="1">[1]!BexGetData("DP_1","003N8EMH8GTFRIVNUPY288VJH","GSON1112070173")</f>
        <v>#NAME?</v>
      </c>
      <c r="L963" s="8" t="e">
        <f ca="1">[1]!BexGetData("DP_1","003N8EMH8GTFRIVNUPY2891V1","GSON1112070173")</f>
        <v>#NAME?</v>
      </c>
      <c r="M963" s="8" t="e">
        <f ca="1">[1]!BexGetData("DP_1","003N8EMH8GTFRIVOG7KG9IQXA","GSON1112070173")</f>
        <v>#NAME?</v>
      </c>
      <c r="N963" s="8" t="e">
        <f ca="1">[1]!BexGetData("DP_1","003N8EMH8GTFRIVOG7KG9IX8U","GSON1112070173")</f>
        <v>#NAME?</v>
      </c>
      <c r="O963" s="8" t="e">
        <f ca="1">[1]!BexGetData("DP_1","003N8EMH8GTFRIVOG7KG9J3KE","GSON1112070173")</f>
        <v>#NAME?</v>
      </c>
      <c r="P963" s="8" t="e">
        <f ca="1">[1]!BexGetData("DP_1","003N8EMH8GTFRIVOG7KG9J9VY","GSON1112070173")</f>
        <v>#NAME?</v>
      </c>
      <c r="Q963" s="4" t="e">
        <f ca="1">[1]!BexGetData("DP_1","00O2TNJGODT0G5Z4TTKYMM5MT","GSON1112070173")</f>
        <v>#NAME?</v>
      </c>
      <c r="R963" s="4" t="e">
        <f ca="1">[1]!BexGetData("DP_1","00O2TNJGODT0G5Z4TTKYMMBYD","GSON1112070173")</f>
        <v>#NAME?</v>
      </c>
      <c r="S963" s="4" t="e">
        <f ca="1">[1]!BexGetData("DP_1","00O2TNJGODT0G5Z4TTKYMMI9X","GSON1112070173")</f>
        <v>#NAME?</v>
      </c>
      <c r="T963" s="4" t="e">
        <f ca="1">[1]!BexGetData("DP_1","00O2TNJGODT0G5Z4TTKYMMOLH","GSON1112070173")</f>
        <v>#NAME?</v>
      </c>
      <c r="U963" s="4" t="e">
        <f ca="1">[1]!BexGetData("DP_1","00O2TNJGODT0G5Z4TTKYMMUX1","GSON1112070173")</f>
        <v>#NAME?</v>
      </c>
      <c r="V963" s="4" t="e">
        <f ca="1">[1]!BexGetData("DP_1","00O2TNJGODT0G5Z4TTKYMN18L","GSON1112070173")</f>
        <v>#NAME?</v>
      </c>
      <c r="W963" s="4" t="e">
        <f ca="1">[1]!BexGetData("DP_1","00O2TNJGODT0G5Z4TTKYMN7K5","GSON1112070173")</f>
        <v>#NAME?</v>
      </c>
    </row>
    <row r="964" spans="1:23" x14ac:dyDescent="0.2">
      <c r="A964" s="16" t="s">
        <v>3176</v>
      </c>
      <c r="B964" s="7" t="s">
        <v>1045</v>
      </c>
      <c r="C964" s="3" t="e">
        <f ca="1">[1]!BexGetData("DP_1","003N8EMH8GTFRCSWKMPXRR8GU","GSON1112070174")</f>
        <v>#NAME?</v>
      </c>
      <c r="D964" s="3" t="e">
        <f ca="1">[1]!BexGetData("DP_1","003N8EMH8GTFRCSWKMPXRRESE","GSON1112070174")</f>
        <v>#NAME?</v>
      </c>
      <c r="E964" s="8" t="e">
        <f ca="1">[1]!BexGetData("DP_1","003N8EMH8GTFRCSWKMPXRRL3Y","GSON1112070174")</f>
        <v>#NAME?</v>
      </c>
      <c r="F964" s="4" t="e">
        <f ca="1">[1]!BexGetData("DP_1","003N8EMH8GTFRCSWKMPXRRRFI","GSON1112070174")</f>
        <v>#NAME?</v>
      </c>
      <c r="G964" s="4" t="e">
        <f ca="1">[1]!BexGetData("DP_1","003N8EMH8GTFRCSWKMPXRRXR2","GSON1112070174")</f>
        <v>#NAME?</v>
      </c>
      <c r="H964" s="4" t="e">
        <f ca="1">[1]!BexGetData("DP_1","003N8EMH8GTFRCSWKMPXRS42M","GSON1112070174")</f>
        <v>#NAME?</v>
      </c>
      <c r="I964" s="4" t="e">
        <f ca="1">[1]!BexGetData("DP_1","003N8EMH8GTFRCSWKMPXRSAE6","GSON1112070174")</f>
        <v>#NAME?</v>
      </c>
      <c r="J964" s="4" t="e">
        <f ca="1">[1]!BexGetData("DP_1","003N8EMH8GTFRCSWKMPXRSGPQ","GSON1112070174")</f>
        <v>#NAME?</v>
      </c>
      <c r="K964" s="8" t="e">
        <f ca="1">[1]!BexGetData("DP_1","003N8EMH8GTFRIVNUPY288VJH","GSON1112070174")</f>
        <v>#NAME?</v>
      </c>
      <c r="L964" s="8" t="e">
        <f ca="1">[1]!BexGetData("DP_1","003N8EMH8GTFRIVNUPY2891V1","GSON1112070174")</f>
        <v>#NAME?</v>
      </c>
      <c r="M964" s="8" t="e">
        <f ca="1">[1]!BexGetData("DP_1","003N8EMH8GTFRIVOG7KG9IQXA","GSON1112070174")</f>
        <v>#NAME?</v>
      </c>
      <c r="N964" s="8" t="e">
        <f ca="1">[1]!BexGetData("DP_1","003N8EMH8GTFRIVOG7KG9IX8U","GSON1112070174")</f>
        <v>#NAME?</v>
      </c>
      <c r="O964" s="8" t="e">
        <f ca="1">[1]!BexGetData("DP_1","003N8EMH8GTFRIVOG7KG9J3KE","GSON1112070174")</f>
        <v>#NAME?</v>
      </c>
      <c r="P964" s="8" t="e">
        <f ca="1">[1]!BexGetData("DP_1","003N8EMH8GTFRIVOG7KG9J9VY","GSON1112070174")</f>
        <v>#NAME?</v>
      </c>
      <c r="Q964" s="4" t="e">
        <f ca="1">[1]!BexGetData("DP_1","00O2TNJGODT0G5Z4TTKYMM5MT","GSON1112070174")</f>
        <v>#NAME?</v>
      </c>
      <c r="R964" s="4" t="e">
        <f ca="1">[1]!BexGetData("DP_1","00O2TNJGODT0G5Z4TTKYMMBYD","GSON1112070174")</f>
        <v>#NAME?</v>
      </c>
      <c r="S964" s="4" t="e">
        <f ca="1">[1]!BexGetData("DP_1","00O2TNJGODT0G5Z4TTKYMMI9X","GSON1112070174")</f>
        <v>#NAME?</v>
      </c>
      <c r="T964" s="4" t="e">
        <f ca="1">[1]!BexGetData("DP_1","00O2TNJGODT0G5Z4TTKYMMOLH","GSON1112070174")</f>
        <v>#NAME?</v>
      </c>
      <c r="U964" s="4" t="e">
        <f ca="1">[1]!BexGetData("DP_1","00O2TNJGODT0G5Z4TTKYMMUX1","GSON1112070174")</f>
        <v>#NAME?</v>
      </c>
      <c r="V964" s="4" t="e">
        <f ca="1">[1]!BexGetData("DP_1","00O2TNJGODT0G5Z4TTKYMN18L","GSON1112070174")</f>
        <v>#NAME?</v>
      </c>
      <c r="W964" s="4" t="e">
        <f ca="1">[1]!BexGetData("DP_1","00O2TNJGODT0G5Z4TTKYMN7K5","GSON1112070174")</f>
        <v>#NAME?</v>
      </c>
    </row>
    <row r="965" spans="1:23" x14ac:dyDescent="0.2">
      <c r="A965" s="16" t="s">
        <v>1046</v>
      </c>
      <c r="B965" s="7" t="s">
        <v>1047</v>
      </c>
      <c r="C965" s="3" t="e">
        <f ca="1">[1]!BexGetData("DP_1","003N8EMH8GTFRCSWKMPXRR8GU","GSON1112070175")</f>
        <v>#NAME?</v>
      </c>
      <c r="D965" s="3" t="e">
        <f ca="1">[1]!BexGetData("DP_1","003N8EMH8GTFRCSWKMPXRRESE","GSON1112070175")</f>
        <v>#NAME?</v>
      </c>
      <c r="E965" s="8" t="e">
        <f ca="1">[1]!BexGetData("DP_1","003N8EMH8GTFRCSWKMPXRRL3Y","GSON1112070175")</f>
        <v>#NAME?</v>
      </c>
      <c r="F965" s="4" t="e">
        <f ca="1">[1]!BexGetData("DP_1","003N8EMH8GTFRCSWKMPXRRRFI","GSON1112070175")</f>
        <v>#NAME?</v>
      </c>
      <c r="G965" s="4" t="e">
        <f ca="1">[1]!BexGetData("DP_1","003N8EMH8GTFRCSWKMPXRRXR2","GSON1112070175")</f>
        <v>#NAME?</v>
      </c>
      <c r="H965" s="4" t="e">
        <f ca="1">[1]!BexGetData("DP_1","003N8EMH8GTFRCSWKMPXRS42M","GSON1112070175")</f>
        <v>#NAME?</v>
      </c>
      <c r="I965" s="4" t="e">
        <f ca="1">[1]!BexGetData("DP_1","003N8EMH8GTFRCSWKMPXRSAE6","GSON1112070175")</f>
        <v>#NAME?</v>
      </c>
      <c r="J965" s="4" t="e">
        <f ca="1">[1]!BexGetData("DP_1","003N8EMH8GTFRCSWKMPXRSGPQ","GSON1112070175")</f>
        <v>#NAME?</v>
      </c>
      <c r="K965" s="8" t="e">
        <f ca="1">[1]!BexGetData("DP_1","003N8EMH8GTFRIVNUPY288VJH","GSON1112070175")</f>
        <v>#NAME?</v>
      </c>
      <c r="L965" s="8" t="e">
        <f ca="1">[1]!BexGetData("DP_1","003N8EMH8GTFRIVNUPY2891V1","GSON1112070175")</f>
        <v>#NAME?</v>
      </c>
      <c r="M965" s="8" t="e">
        <f ca="1">[1]!BexGetData("DP_1","003N8EMH8GTFRIVOG7KG9IQXA","GSON1112070175")</f>
        <v>#NAME?</v>
      </c>
      <c r="N965" s="8" t="e">
        <f ca="1">[1]!BexGetData("DP_1","003N8EMH8GTFRIVOG7KG9IX8U","GSON1112070175")</f>
        <v>#NAME?</v>
      </c>
      <c r="O965" s="8" t="e">
        <f ca="1">[1]!BexGetData("DP_1","003N8EMH8GTFRIVOG7KG9J3KE","GSON1112070175")</f>
        <v>#NAME?</v>
      </c>
      <c r="P965" s="8" t="e">
        <f ca="1">[1]!BexGetData("DP_1","003N8EMH8GTFRIVOG7KG9J9VY","GSON1112070175")</f>
        <v>#NAME?</v>
      </c>
      <c r="Q965" s="4" t="e">
        <f ca="1">[1]!BexGetData("DP_1","00O2TNJGODT0G5Z4TTKYMM5MT","GSON1112070175")</f>
        <v>#NAME?</v>
      </c>
      <c r="R965" s="4" t="e">
        <f ca="1">[1]!BexGetData("DP_1","00O2TNJGODT0G5Z4TTKYMMBYD","GSON1112070175")</f>
        <v>#NAME?</v>
      </c>
      <c r="S965" s="4" t="e">
        <f ca="1">[1]!BexGetData("DP_1","00O2TNJGODT0G5Z4TTKYMMI9X","GSON1112070175")</f>
        <v>#NAME?</v>
      </c>
      <c r="T965" s="4" t="e">
        <f ca="1">[1]!BexGetData("DP_1","00O2TNJGODT0G5Z4TTKYMMOLH","GSON1112070175")</f>
        <v>#NAME?</v>
      </c>
      <c r="U965" s="4" t="e">
        <f ca="1">[1]!BexGetData("DP_1","00O2TNJGODT0G5Z4TTKYMMUX1","GSON1112070175")</f>
        <v>#NAME?</v>
      </c>
      <c r="V965" s="4" t="e">
        <f ca="1">[1]!BexGetData("DP_1","00O2TNJGODT0G5Z4TTKYMN18L","GSON1112070175")</f>
        <v>#NAME?</v>
      </c>
      <c r="W965" s="4" t="e">
        <f ca="1">[1]!BexGetData("DP_1","00O2TNJGODT0G5Z4TTKYMN7K5","GSON1112070175")</f>
        <v>#NAME?</v>
      </c>
    </row>
    <row r="966" spans="1:23" x14ac:dyDescent="0.2">
      <c r="A966" s="16" t="s">
        <v>1048</v>
      </c>
      <c r="B966" s="7" t="s">
        <v>1049</v>
      </c>
      <c r="C966" s="3" t="e">
        <f ca="1">[1]!BexGetData("DP_1","003N8EMH8GTFRCSWKMPXRR8GU","GSON1112070180")</f>
        <v>#NAME?</v>
      </c>
      <c r="D966" s="3" t="e">
        <f ca="1">[1]!BexGetData("DP_1","003N8EMH8GTFRCSWKMPXRRESE","GSON1112070180")</f>
        <v>#NAME?</v>
      </c>
      <c r="E966" s="3" t="e">
        <f ca="1">[1]!BexGetData("DP_1","003N8EMH8GTFRCSWKMPXRRL3Y","GSON1112070180")</f>
        <v>#NAME?</v>
      </c>
      <c r="F966" s="3" t="e">
        <f ca="1">[1]!BexGetData("DP_1","003N8EMH8GTFRCSWKMPXRRRFI","GSON1112070180")</f>
        <v>#NAME?</v>
      </c>
      <c r="G966" s="3" t="e">
        <f ca="1">[1]!BexGetData("DP_1","003N8EMH8GTFRCSWKMPXRRXR2","GSON1112070180")</f>
        <v>#NAME?</v>
      </c>
      <c r="H966" s="8" t="e">
        <f ca="1">[1]!BexGetData("DP_1","003N8EMH8GTFRCSWKMPXRS42M","GSON1112070180")</f>
        <v>#NAME?</v>
      </c>
      <c r="I966" s="3" t="e">
        <f ca="1">[1]!BexGetData("DP_1","003N8EMH8GTFRCSWKMPXRSAE6","GSON1112070180")</f>
        <v>#NAME?</v>
      </c>
      <c r="J966" s="4" t="e">
        <f ca="1">[1]!BexGetData("DP_1","003N8EMH8GTFRCSWKMPXRSGPQ","GSON1112070180")</f>
        <v>#NAME?</v>
      </c>
      <c r="K966" s="3" t="e">
        <f ca="1">[1]!BexGetData("DP_1","003N8EMH8GTFRIVNUPY288VJH","GSON1112070180")</f>
        <v>#NAME?</v>
      </c>
      <c r="L966" s="3" t="e">
        <f ca="1">[1]!BexGetData("DP_1","003N8EMH8GTFRIVNUPY2891V1","GSON1112070180")</f>
        <v>#NAME?</v>
      </c>
      <c r="M966" s="8" t="e">
        <f ca="1">[1]!BexGetData("DP_1","003N8EMH8GTFRIVOG7KG9IQXA","GSON1112070180")</f>
        <v>#NAME?</v>
      </c>
      <c r="N966" s="3" t="e">
        <f ca="1">[1]!BexGetData("DP_1","003N8EMH8GTFRIVOG7KG9IX8U","GSON1112070180")</f>
        <v>#NAME?</v>
      </c>
      <c r="O966" s="8" t="e">
        <f ca="1">[1]!BexGetData("DP_1","003N8EMH8GTFRIVOG7KG9J3KE","GSON1112070180")</f>
        <v>#NAME?</v>
      </c>
      <c r="P966" s="3" t="e">
        <f ca="1">[1]!BexGetData("DP_1","003N8EMH8GTFRIVOG7KG9J9VY","GSON1112070180")</f>
        <v>#NAME?</v>
      </c>
      <c r="Q966" s="4" t="e">
        <f ca="1">[1]!BexGetData("DP_1","00O2TNJGODT0G5Z4TTKYMM5MT","GSON1112070180")</f>
        <v>#NAME?</v>
      </c>
      <c r="R966" s="3" t="e">
        <f ca="1">[1]!BexGetData("DP_1","00O2TNJGODT0G5Z4TTKYMMBYD","GSON1112070180")</f>
        <v>#NAME?</v>
      </c>
      <c r="S966" s="3" t="e">
        <f ca="1">[1]!BexGetData("DP_1","00O2TNJGODT0G5Z4TTKYMMI9X","GSON1112070180")</f>
        <v>#NAME?</v>
      </c>
      <c r="T966" s="8" t="e">
        <f ca="1">[1]!BexGetData("DP_1","00O2TNJGODT0G5Z4TTKYMMOLH","GSON1112070180")</f>
        <v>#NAME?</v>
      </c>
      <c r="U966" s="3" t="e">
        <f ca="1">[1]!BexGetData("DP_1","00O2TNJGODT0G5Z4TTKYMMUX1","GSON1112070180")</f>
        <v>#NAME?</v>
      </c>
      <c r="V966" s="8" t="e">
        <f ca="1">[1]!BexGetData("DP_1","00O2TNJGODT0G5Z4TTKYMN18L","GSON1112070180")</f>
        <v>#NAME?</v>
      </c>
      <c r="W966" s="3" t="e">
        <f ca="1">[1]!BexGetData("DP_1","00O2TNJGODT0G5Z4TTKYMN7K5","GSON1112070180")</f>
        <v>#NAME?</v>
      </c>
    </row>
    <row r="967" spans="1:23" x14ac:dyDescent="0.2">
      <c r="A967" s="16" t="s">
        <v>1050</v>
      </c>
      <c r="B967" s="7" t="s">
        <v>1051</v>
      </c>
      <c r="C967" s="3" t="e">
        <f ca="1">[1]!BexGetData("DP_1","003N8EMH8GTFRCSWKMPXRR8GU","GSON1112070185")</f>
        <v>#NAME?</v>
      </c>
      <c r="D967" s="3" t="e">
        <f ca="1">[1]!BexGetData("DP_1","003N8EMH8GTFRCSWKMPXRRESE","GSON1112070185")</f>
        <v>#NAME?</v>
      </c>
      <c r="E967" s="8" t="e">
        <f ca="1">[1]!BexGetData("DP_1","003N8EMH8GTFRCSWKMPXRRL3Y","GSON1112070185")</f>
        <v>#NAME?</v>
      </c>
      <c r="F967" s="4" t="e">
        <f ca="1">[1]!BexGetData("DP_1","003N8EMH8GTFRCSWKMPXRRRFI","GSON1112070185")</f>
        <v>#NAME?</v>
      </c>
      <c r="G967" s="4" t="e">
        <f ca="1">[1]!BexGetData("DP_1","003N8EMH8GTFRCSWKMPXRRXR2","GSON1112070185")</f>
        <v>#NAME?</v>
      </c>
      <c r="H967" s="4" t="e">
        <f ca="1">[1]!BexGetData("DP_1","003N8EMH8GTFRCSWKMPXRS42M","GSON1112070185")</f>
        <v>#NAME?</v>
      </c>
      <c r="I967" s="4" t="e">
        <f ca="1">[1]!BexGetData("DP_1","003N8EMH8GTFRCSWKMPXRSAE6","GSON1112070185")</f>
        <v>#NAME?</v>
      </c>
      <c r="J967" s="4" t="e">
        <f ca="1">[1]!BexGetData("DP_1","003N8EMH8GTFRCSWKMPXRSGPQ","GSON1112070185")</f>
        <v>#NAME?</v>
      </c>
      <c r="K967" s="8" t="e">
        <f ca="1">[1]!BexGetData("DP_1","003N8EMH8GTFRIVNUPY288VJH","GSON1112070185")</f>
        <v>#NAME?</v>
      </c>
      <c r="L967" s="8" t="e">
        <f ca="1">[1]!BexGetData("DP_1","003N8EMH8GTFRIVNUPY2891V1","GSON1112070185")</f>
        <v>#NAME?</v>
      </c>
      <c r="M967" s="8" t="e">
        <f ca="1">[1]!BexGetData("DP_1","003N8EMH8GTFRIVOG7KG9IQXA","GSON1112070185")</f>
        <v>#NAME?</v>
      </c>
      <c r="N967" s="8" t="e">
        <f ca="1">[1]!BexGetData("DP_1","003N8EMH8GTFRIVOG7KG9IX8U","GSON1112070185")</f>
        <v>#NAME?</v>
      </c>
      <c r="O967" s="8" t="e">
        <f ca="1">[1]!BexGetData("DP_1","003N8EMH8GTFRIVOG7KG9J3KE","GSON1112070185")</f>
        <v>#NAME?</v>
      </c>
      <c r="P967" s="8" t="e">
        <f ca="1">[1]!BexGetData("DP_1","003N8EMH8GTFRIVOG7KG9J9VY","GSON1112070185")</f>
        <v>#NAME?</v>
      </c>
      <c r="Q967" s="4" t="e">
        <f ca="1">[1]!BexGetData("DP_1","00O2TNJGODT0G5Z4TTKYMM5MT","GSON1112070185")</f>
        <v>#NAME?</v>
      </c>
      <c r="R967" s="4" t="e">
        <f ca="1">[1]!BexGetData("DP_1","00O2TNJGODT0G5Z4TTKYMMBYD","GSON1112070185")</f>
        <v>#NAME?</v>
      </c>
      <c r="S967" s="4" t="e">
        <f ca="1">[1]!BexGetData("DP_1","00O2TNJGODT0G5Z4TTKYMMI9X","GSON1112070185")</f>
        <v>#NAME?</v>
      </c>
      <c r="T967" s="4" t="e">
        <f ca="1">[1]!BexGetData("DP_1","00O2TNJGODT0G5Z4TTKYMMOLH","GSON1112070185")</f>
        <v>#NAME?</v>
      </c>
      <c r="U967" s="4" t="e">
        <f ca="1">[1]!BexGetData("DP_1","00O2TNJGODT0G5Z4TTKYMMUX1","GSON1112070185")</f>
        <v>#NAME?</v>
      </c>
      <c r="V967" s="4" t="e">
        <f ca="1">[1]!BexGetData("DP_1","00O2TNJGODT0G5Z4TTKYMN18L","GSON1112070185")</f>
        <v>#NAME?</v>
      </c>
      <c r="W967" s="4" t="e">
        <f ca="1">[1]!BexGetData("DP_1","00O2TNJGODT0G5Z4TTKYMN7K5","GSON1112070185")</f>
        <v>#NAME?</v>
      </c>
    </row>
    <row r="968" spans="1:23" x14ac:dyDescent="0.2">
      <c r="A968" s="16" t="s">
        <v>1052</v>
      </c>
      <c r="B968" s="7" t="s">
        <v>1053</v>
      </c>
      <c r="C968" s="3" t="e">
        <f ca="1">[1]!BexGetData("DP_1","003N8EMH8GTFRCSWKMPXRR8GU","GSON1112070190")</f>
        <v>#NAME?</v>
      </c>
      <c r="D968" s="3" t="e">
        <f ca="1">[1]!BexGetData("DP_1","003N8EMH8GTFRCSWKMPXRRESE","GSON1112070190")</f>
        <v>#NAME?</v>
      </c>
      <c r="E968" s="3" t="e">
        <f ca="1">[1]!BexGetData("DP_1","003N8EMH8GTFRCSWKMPXRRL3Y","GSON1112070190")</f>
        <v>#NAME?</v>
      </c>
      <c r="F968" s="3" t="e">
        <f ca="1">[1]!BexGetData("DP_1","003N8EMH8GTFRCSWKMPXRRRFI","GSON1112070190")</f>
        <v>#NAME?</v>
      </c>
      <c r="G968" s="3" t="e">
        <f ca="1">[1]!BexGetData("DP_1","003N8EMH8GTFRCSWKMPXRRXR2","GSON1112070190")</f>
        <v>#NAME?</v>
      </c>
      <c r="H968" s="8" t="e">
        <f ca="1">[1]!BexGetData("DP_1","003N8EMH8GTFRCSWKMPXRS42M","GSON1112070190")</f>
        <v>#NAME?</v>
      </c>
      <c r="I968" s="3" t="e">
        <f ca="1">[1]!BexGetData("DP_1","003N8EMH8GTFRCSWKMPXRSAE6","GSON1112070190")</f>
        <v>#NAME?</v>
      </c>
      <c r="J968" s="4" t="e">
        <f ca="1">[1]!BexGetData("DP_1","003N8EMH8GTFRCSWKMPXRSGPQ","GSON1112070190")</f>
        <v>#NAME?</v>
      </c>
      <c r="K968" s="3" t="e">
        <f ca="1">[1]!BexGetData("DP_1","003N8EMH8GTFRIVNUPY288VJH","GSON1112070190")</f>
        <v>#NAME?</v>
      </c>
      <c r="L968" s="3" t="e">
        <f ca="1">[1]!BexGetData("DP_1","003N8EMH8GTFRIVNUPY2891V1","GSON1112070190")</f>
        <v>#NAME?</v>
      </c>
      <c r="M968" s="3" t="e">
        <f ca="1">[1]!BexGetData("DP_1","003N8EMH8GTFRIVOG7KG9IQXA","GSON1112070190")</f>
        <v>#NAME?</v>
      </c>
      <c r="N968" s="8" t="e">
        <f ca="1">[1]!BexGetData("DP_1","003N8EMH8GTFRIVOG7KG9IX8U","GSON1112070190")</f>
        <v>#NAME?</v>
      </c>
      <c r="O968" s="3" t="e">
        <f ca="1">[1]!BexGetData("DP_1","003N8EMH8GTFRIVOG7KG9J3KE","GSON1112070190")</f>
        <v>#NAME?</v>
      </c>
      <c r="P968" s="8" t="e">
        <f ca="1">[1]!BexGetData("DP_1","003N8EMH8GTFRIVOG7KG9J9VY","GSON1112070190")</f>
        <v>#NAME?</v>
      </c>
      <c r="Q968" s="4" t="e">
        <f ca="1">[1]!BexGetData("DP_1","00O2TNJGODT0G5Z4TTKYMM5MT","GSON1112070190")</f>
        <v>#NAME?</v>
      </c>
      <c r="R968" s="3" t="e">
        <f ca="1">[1]!BexGetData("DP_1","00O2TNJGODT0G5Z4TTKYMMBYD","GSON1112070190")</f>
        <v>#NAME?</v>
      </c>
      <c r="S968" s="3" t="e">
        <f ca="1">[1]!BexGetData("DP_1","00O2TNJGODT0G5Z4TTKYMMI9X","GSON1112070190")</f>
        <v>#NAME?</v>
      </c>
      <c r="T968" s="8" t="e">
        <f ca="1">[1]!BexGetData("DP_1","00O2TNJGODT0G5Z4TTKYMMOLH","GSON1112070190")</f>
        <v>#NAME?</v>
      </c>
      <c r="U968" s="3" t="e">
        <f ca="1">[1]!BexGetData("DP_1","00O2TNJGODT0G5Z4TTKYMMUX1","GSON1112070190")</f>
        <v>#NAME?</v>
      </c>
      <c r="V968" s="8" t="e">
        <f ca="1">[1]!BexGetData("DP_1","00O2TNJGODT0G5Z4TTKYMN18L","GSON1112070190")</f>
        <v>#NAME?</v>
      </c>
      <c r="W968" s="3" t="e">
        <f ca="1">[1]!BexGetData("DP_1","00O2TNJGODT0G5Z4TTKYMN7K5","GSON1112070190")</f>
        <v>#NAME?</v>
      </c>
    </row>
    <row r="969" spans="1:23" x14ac:dyDescent="0.2">
      <c r="A969" s="16" t="s">
        <v>3177</v>
      </c>
      <c r="B969" s="7" t="s">
        <v>3178</v>
      </c>
      <c r="C969" s="3" t="e">
        <f ca="1">[1]!BexGetData("DP_1","003N8EMH8GTFRCSWKMPXRR8GU","GSON1112070191")</f>
        <v>#NAME?</v>
      </c>
      <c r="D969" s="3" t="e">
        <f ca="1">[1]!BexGetData("DP_1","003N8EMH8GTFRCSWKMPXRRESE","GSON1112070191")</f>
        <v>#NAME?</v>
      </c>
      <c r="E969" s="8" t="e">
        <f ca="1">[1]!BexGetData("DP_1","003N8EMH8GTFRCSWKMPXRRL3Y","GSON1112070191")</f>
        <v>#NAME?</v>
      </c>
      <c r="F969" s="4" t="e">
        <f ca="1">[1]!BexGetData("DP_1","003N8EMH8GTFRCSWKMPXRRRFI","GSON1112070191")</f>
        <v>#NAME?</v>
      </c>
      <c r="G969" s="4" t="e">
        <f ca="1">[1]!BexGetData("DP_1","003N8EMH8GTFRCSWKMPXRRXR2","GSON1112070191")</f>
        <v>#NAME?</v>
      </c>
      <c r="H969" s="4" t="e">
        <f ca="1">[1]!BexGetData("DP_1","003N8EMH8GTFRCSWKMPXRS42M","GSON1112070191")</f>
        <v>#NAME?</v>
      </c>
      <c r="I969" s="4" t="e">
        <f ca="1">[1]!BexGetData("DP_1","003N8EMH8GTFRCSWKMPXRSAE6","GSON1112070191")</f>
        <v>#NAME?</v>
      </c>
      <c r="J969" s="4" t="e">
        <f ca="1">[1]!BexGetData("DP_1","003N8EMH8GTFRCSWKMPXRSGPQ","GSON1112070191")</f>
        <v>#NAME?</v>
      </c>
      <c r="K969" s="8" t="e">
        <f ca="1">[1]!BexGetData("DP_1","003N8EMH8GTFRIVNUPY288VJH","GSON1112070191")</f>
        <v>#NAME?</v>
      </c>
      <c r="L969" s="8" t="e">
        <f ca="1">[1]!BexGetData("DP_1","003N8EMH8GTFRIVNUPY2891V1","GSON1112070191")</f>
        <v>#NAME?</v>
      </c>
      <c r="M969" s="8" t="e">
        <f ca="1">[1]!BexGetData("DP_1","003N8EMH8GTFRIVOG7KG9IQXA","GSON1112070191")</f>
        <v>#NAME?</v>
      </c>
      <c r="N969" s="8" t="e">
        <f ca="1">[1]!BexGetData("DP_1","003N8EMH8GTFRIVOG7KG9IX8U","GSON1112070191")</f>
        <v>#NAME?</v>
      </c>
      <c r="O969" s="8" t="e">
        <f ca="1">[1]!BexGetData("DP_1","003N8EMH8GTFRIVOG7KG9J3KE","GSON1112070191")</f>
        <v>#NAME?</v>
      </c>
      <c r="P969" s="8" t="e">
        <f ca="1">[1]!BexGetData("DP_1","003N8EMH8GTFRIVOG7KG9J9VY","GSON1112070191")</f>
        <v>#NAME?</v>
      </c>
      <c r="Q969" s="4" t="e">
        <f ca="1">[1]!BexGetData("DP_1","00O2TNJGODT0G5Z4TTKYMM5MT","GSON1112070191")</f>
        <v>#NAME?</v>
      </c>
      <c r="R969" s="4" t="e">
        <f ca="1">[1]!BexGetData("DP_1","00O2TNJGODT0G5Z4TTKYMMBYD","GSON1112070191")</f>
        <v>#NAME?</v>
      </c>
      <c r="S969" s="4" t="e">
        <f ca="1">[1]!BexGetData("DP_1","00O2TNJGODT0G5Z4TTKYMMI9X","GSON1112070191")</f>
        <v>#NAME?</v>
      </c>
      <c r="T969" s="4" t="e">
        <f ca="1">[1]!BexGetData("DP_1","00O2TNJGODT0G5Z4TTKYMMOLH","GSON1112070191")</f>
        <v>#NAME?</v>
      </c>
      <c r="U969" s="4" t="e">
        <f ca="1">[1]!BexGetData("DP_1","00O2TNJGODT0G5Z4TTKYMMUX1","GSON1112070191")</f>
        <v>#NAME?</v>
      </c>
      <c r="V969" s="4" t="e">
        <f ca="1">[1]!BexGetData("DP_1","00O2TNJGODT0G5Z4TTKYMN18L","GSON1112070191")</f>
        <v>#NAME?</v>
      </c>
      <c r="W969" s="4" t="e">
        <f ca="1">[1]!BexGetData("DP_1","00O2TNJGODT0G5Z4TTKYMN7K5","GSON1112070191")</f>
        <v>#NAME?</v>
      </c>
    </row>
    <row r="970" spans="1:23" x14ac:dyDescent="0.2">
      <c r="A970" s="16" t="s">
        <v>3179</v>
      </c>
      <c r="B970" s="7" t="s">
        <v>3180</v>
      </c>
      <c r="C970" s="3" t="e">
        <f ca="1">[1]!BexGetData("DP_1","003N8EMH8GTFRCSWKMPXRR8GU","GSON1112070193")</f>
        <v>#NAME?</v>
      </c>
      <c r="D970" s="3" t="e">
        <f ca="1">[1]!BexGetData("DP_1","003N8EMH8GTFRCSWKMPXRRESE","GSON1112070193")</f>
        <v>#NAME?</v>
      </c>
      <c r="E970" s="8" t="e">
        <f ca="1">[1]!BexGetData("DP_1","003N8EMH8GTFRCSWKMPXRRL3Y","GSON1112070193")</f>
        <v>#NAME?</v>
      </c>
      <c r="F970" s="4" t="e">
        <f ca="1">[1]!BexGetData("DP_1","003N8EMH8GTFRCSWKMPXRRRFI","GSON1112070193")</f>
        <v>#NAME?</v>
      </c>
      <c r="G970" s="4" t="e">
        <f ca="1">[1]!BexGetData("DP_1","003N8EMH8GTFRCSWKMPXRRXR2","GSON1112070193")</f>
        <v>#NAME?</v>
      </c>
      <c r="H970" s="4" t="e">
        <f ca="1">[1]!BexGetData("DP_1","003N8EMH8GTFRCSWKMPXRS42M","GSON1112070193")</f>
        <v>#NAME?</v>
      </c>
      <c r="I970" s="4" t="e">
        <f ca="1">[1]!BexGetData("DP_1","003N8EMH8GTFRCSWKMPXRSAE6","GSON1112070193")</f>
        <v>#NAME?</v>
      </c>
      <c r="J970" s="4" t="e">
        <f ca="1">[1]!BexGetData("DP_1","003N8EMH8GTFRCSWKMPXRSGPQ","GSON1112070193")</f>
        <v>#NAME?</v>
      </c>
      <c r="K970" s="8" t="e">
        <f ca="1">[1]!BexGetData("DP_1","003N8EMH8GTFRIVNUPY288VJH","GSON1112070193")</f>
        <v>#NAME?</v>
      </c>
      <c r="L970" s="8" t="e">
        <f ca="1">[1]!BexGetData("DP_1","003N8EMH8GTFRIVNUPY2891V1","GSON1112070193")</f>
        <v>#NAME?</v>
      </c>
      <c r="M970" s="8" t="e">
        <f ca="1">[1]!BexGetData("DP_1","003N8EMH8GTFRIVOG7KG9IQXA","GSON1112070193")</f>
        <v>#NAME?</v>
      </c>
      <c r="N970" s="8" t="e">
        <f ca="1">[1]!BexGetData("DP_1","003N8EMH8GTFRIVOG7KG9IX8U","GSON1112070193")</f>
        <v>#NAME?</v>
      </c>
      <c r="O970" s="8" t="e">
        <f ca="1">[1]!BexGetData("DP_1","003N8EMH8GTFRIVOG7KG9J3KE","GSON1112070193")</f>
        <v>#NAME?</v>
      </c>
      <c r="P970" s="8" t="e">
        <f ca="1">[1]!BexGetData("DP_1","003N8EMH8GTFRIVOG7KG9J9VY","GSON1112070193")</f>
        <v>#NAME?</v>
      </c>
      <c r="Q970" s="4" t="e">
        <f ca="1">[1]!BexGetData("DP_1","00O2TNJGODT0G5Z4TTKYMM5MT","GSON1112070193")</f>
        <v>#NAME?</v>
      </c>
      <c r="R970" s="4" t="e">
        <f ca="1">[1]!BexGetData("DP_1","00O2TNJGODT0G5Z4TTKYMMBYD","GSON1112070193")</f>
        <v>#NAME?</v>
      </c>
      <c r="S970" s="4" t="e">
        <f ca="1">[1]!BexGetData("DP_1","00O2TNJGODT0G5Z4TTKYMMI9X","GSON1112070193")</f>
        <v>#NAME?</v>
      </c>
      <c r="T970" s="4" t="e">
        <f ca="1">[1]!BexGetData("DP_1","00O2TNJGODT0G5Z4TTKYMMOLH","GSON1112070193")</f>
        <v>#NAME?</v>
      </c>
      <c r="U970" s="4" t="e">
        <f ca="1">[1]!BexGetData("DP_1","00O2TNJGODT0G5Z4TTKYMMUX1","GSON1112070193")</f>
        <v>#NAME?</v>
      </c>
      <c r="V970" s="4" t="e">
        <f ca="1">[1]!BexGetData("DP_1","00O2TNJGODT0G5Z4TTKYMN18L","GSON1112070193")</f>
        <v>#NAME?</v>
      </c>
      <c r="W970" s="4" t="e">
        <f ca="1">[1]!BexGetData("DP_1","00O2TNJGODT0G5Z4TTKYMN7K5","GSON1112070193")</f>
        <v>#NAME?</v>
      </c>
    </row>
    <row r="971" spans="1:23" x14ac:dyDescent="0.2">
      <c r="A971" s="16" t="s">
        <v>3181</v>
      </c>
      <c r="B971" s="7" t="s">
        <v>1054</v>
      </c>
      <c r="C971" s="3" t="e">
        <f ca="1">[1]!BexGetData("DP_1","003N8EMH8GTFRCSWKMPXRR8GU","GSON1112070194")</f>
        <v>#NAME?</v>
      </c>
      <c r="D971" s="3" t="e">
        <f ca="1">[1]!BexGetData("DP_1","003N8EMH8GTFRCSWKMPXRRESE","GSON1112070194")</f>
        <v>#NAME?</v>
      </c>
      <c r="E971" s="8" t="e">
        <f ca="1">[1]!BexGetData("DP_1","003N8EMH8GTFRCSWKMPXRRL3Y","GSON1112070194")</f>
        <v>#NAME?</v>
      </c>
      <c r="F971" s="4" t="e">
        <f ca="1">[1]!BexGetData("DP_1","003N8EMH8GTFRCSWKMPXRRRFI","GSON1112070194")</f>
        <v>#NAME?</v>
      </c>
      <c r="G971" s="4" t="e">
        <f ca="1">[1]!BexGetData("DP_1","003N8EMH8GTFRCSWKMPXRRXR2","GSON1112070194")</f>
        <v>#NAME?</v>
      </c>
      <c r="H971" s="4" t="e">
        <f ca="1">[1]!BexGetData("DP_1","003N8EMH8GTFRCSWKMPXRS42M","GSON1112070194")</f>
        <v>#NAME?</v>
      </c>
      <c r="I971" s="4" t="e">
        <f ca="1">[1]!BexGetData("DP_1","003N8EMH8GTFRCSWKMPXRSAE6","GSON1112070194")</f>
        <v>#NAME?</v>
      </c>
      <c r="J971" s="4" t="e">
        <f ca="1">[1]!BexGetData("DP_1","003N8EMH8GTFRCSWKMPXRSGPQ","GSON1112070194")</f>
        <v>#NAME?</v>
      </c>
      <c r="K971" s="8" t="e">
        <f ca="1">[1]!BexGetData("DP_1","003N8EMH8GTFRIVNUPY288VJH","GSON1112070194")</f>
        <v>#NAME?</v>
      </c>
      <c r="L971" s="8" t="e">
        <f ca="1">[1]!BexGetData("DP_1","003N8EMH8GTFRIVNUPY2891V1","GSON1112070194")</f>
        <v>#NAME?</v>
      </c>
      <c r="M971" s="8" t="e">
        <f ca="1">[1]!BexGetData("DP_1","003N8EMH8GTFRIVOG7KG9IQXA","GSON1112070194")</f>
        <v>#NAME?</v>
      </c>
      <c r="N971" s="8" t="e">
        <f ca="1">[1]!BexGetData("DP_1","003N8EMH8GTFRIVOG7KG9IX8U","GSON1112070194")</f>
        <v>#NAME?</v>
      </c>
      <c r="O971" s="8" t="e">
        <f ca="1">[1]!BexGetData("DP_1","003N8EMH8GTFRIVOG7KG9J3KE","GSON1112070194")</f>
        <v>#NAME?</v>
      </c>
      <c r="P971" s="8" t="e">
        <f ca="1">[1]!BexGetData("DP_1","003N8EMH8GTFRIVOG7KG9J9VY","GSON1112070194")</f>
        <v>#NAME?</v>
      </c>
      <c r="Q971" s="4" t="e">
        <f ca="1">[1]!BexGetData("DP_1","00O2TNJGODT0G5Z4TTKYMM5MT","GSON1112070194")</f>
        <v>#NAME?</v>
      </c>
      <c r="R971" s="4" t="e">
        <f ca="1">[1]!BexGetData("DP_1","00O2TNJGODT0G5Z4TTKYMMBYD","GSON1112070194")</f>
        <v>#NAME?</v>
      </c>
      <c r="S971" s="4" t="e">
        <f ca="1">[1]!BexGetData("DP_1","00O2TNJGODT0G5Z4TTKYMMI9X","GSON1112070194")</f>
        <v>#NAME?</v>
      </c>
      <c r="T971" s="4" t="e">
        <f ca="1">[1]!BexGetData("DP_1","00O2TNJGODT0G5Z4TTKYMMOLH","GSON1112070194")</f>
        <v>#NAME?</v>
      </c>
      <c r="U971" s="4" t="e">
        <f ca="1">[1]!BexGetData("DP_1","00O2TNJGODT0G5Z4TTKYMMUX1","GSON1112070194")</f>
        <v>#NAME?</v>
      </c>
      <c r="V971" s="4" t="e">
        <f ca="1">[1]!BexGetData("DP_1","00O2TNJGODT0G5Z4TTKYMN18L","GSON1112070194")</f>
        <v>#NAME?</v>
      </c>
      <c r="W971" s="4" t="e">
        <f ca="1">[1]!BexGetData("DP_1","00O2TNJGODT0G5Z4TTKYMN7K5","GSON1112070194")</f>
        <v>#NAME?</v>
      </c>
    </row>
    <row r="972" spans="1:23" x14ac:dyDescent="0.2">
      <c r="A972" s="16" t="s">
        <v>1055</v>
      </c>
      <c r="B972" s="7" t="s">
        <v>1056</v>
      </c>
      <c r="C972" s="3" t="e">
        <f ca="1">[1]!BexGetData("DP_1","003N8EMH8GTFRCSWKMPXRR8GU","GSON1112070195")</f>
        <v>#NAME?</v>
      </c>
      <c r="D972" s="3" t="e">
        <f ca="1">[1]!BexGetData("DP_1","003N8EMH8GTFRCSWKMPXRRESE","GSON1112070195")</f>
        <v>#NAME?</v>
      </c>
      <c r="E972" s="8" t="e">
        <f ca="1">[1]!BexGetData("DP_1","003N8EMH8GTFRCSWKMPXRRL3Y","GSON1112070195")</f>
        <v>#NAME?</v>
      </c>
      <c r="F972" s="4" t="e">
        <f ca="1">[1]!BexGetData("DP_1","003N8EMH8GTFRCSWKMPXRRRFI","GSON1112070195")</f>
        <v>#NAME?</v>
      </c>
      <c r="G972" s="4" t="e">
        <f ca="1">[1]!BexGetData("DP_1","003N8EMH8GTFRCSWKMPXRRXR2","GSON1112070195")</f>
        <v>#NAME?</v>
      </c>
      <c r="H972" s="4" t="e">
        <f ca="1">[1]!BexGetData("DP_1","003N8EMH8GTFRCSWKMPXRS42M","GSON1112070195")</f>
        <v>#NAME?</v>
      </c>
      <c r="I972" s="4" t="e">
        <f ca="1">[1]!BexGetData("DP_1","003N8EMH8GTFRCSWKMPXRSAE6","GSON1112070195")</f>
        <v>#NAME?</v>
      </c>
      <c r="J972" s="4" t="e">
        <f ca="1">[1]!BexGetData("DP_1","003N8EMH8GTFRCSWKMPXRSGPQ","GSON1112070195")</f>
        <v>#NAME?</v>
      </c>
      <c r="K972" s="8" t="e">
        <f ca="1">[1]!BexGetData("DP_1","003N8EMH8GTFRIVNUPY288VJH","GSON1112070195")</f>
        <v>#NAME?</v>
      </c>
      <c r="L972" s="8" t="e">
        <f ca="1">[1]!BexGetData("DP_1","003N8EMH8GTFRIVNUPY2891V1","GSON1112070195")</f>
        <v>#NAME?</v>
      </c>
      <c r="M972" s="8" t="e">
        <f ca="1">[1]!BexGetData("DP_1","003N8EMH8GTFRIVOG7KG9IQXA","GSON1112070195")</f>
        <v>#NAME?</v>
      </c>
      <c r="N972" s="8" t="e">
        <f ca="1">[1]!BexGetData("DP_1","003N8EMH8GTFRIVOG7KG9IX8U","GSON1112070195")</f>
        <v>#NAME?</v>
      </c>
      <c r="O972" s="8" t="e">
        <f ca="1">[1]!BexGetData("DP_1","003N8EMH8GTFRIVOG7KG9J3KE","GSON1112070195")</f>
        <v>#NAME?</v>
      </c>
      <c r="P972" s="8" t="e">
        <f ca="1">[1]!BexGetData("DP_1","003N8EMH8GTFRIVOG7KG9J9VY","GSON1112070195")</f>
        <v>#NAME?</v>
      </c>
      <c r="Q972" s="4" t="e">
        <f ca="1">[1]!BexGetData("DP_1","00O2TNJGODT0G5Z4TTKYMM5MT","GSON1112070195")</f>
        <v>#NAME?</v>
      </c>
      <c r="R972" s="4" t="e">
        <f ca="1">[1]!BexGetData("DP_1","00O2TNJGODT0G5Z4TTKYMMBYD","GSON1112070195")</f>
        <v>#NAME?</v>
      </c>
      <c r="S972" s="4" t="e">
        <f ca="1">[1]!BexGetData("DP_1","00O2TNJGODT0G5Z4TTKYMMI9X","GSON1112070195")</f>
        <v>#NAME?</v>
      </c>
      <c r="T972" s="4" t="e">
        <f ca="1">[1]!BexGetData("DP_1","00O2TNJGODT0G5Z4TTKYMMOLH","GSON1112070195")</f>
        <v>#NAME?</v>
      </c>
      <c r="U972" s="4" t="e">
        <f ca="1">[1]!BexGetData("DP_1","00O2TNJGODT0G5Z4TTKYMMUX1","GSON1112070195")</f>
        <v>#NAME?</v>
      </c>
      <c r="V972" s="4" t="e">
        <f ca="1">[1]!BexGetData("DP_1","00O2TNJGODT0G5Z4TTKYMN18L","GSON1112070195")</f>
        <v>#NAME?</v>
      </c>
      <c r="W972" s="4" t="e">
        <f ca="1">[1]!BexGetData("DP_1","00O2TNJGODT0G5Z4TTKYMN7K5","GSON1112070195")</f>
        <v>#NAME?</v>
      </c>
    </row>
    <row r="973" spans="1:23" x14ac:dyDescent="0.2">
      <c r="A973" s="16" t="s">
        <v>1057</v>
      </c>
      <c r="B973" s="7" t="s">
        <v>1058</v>
      </c>
      <c r="C973" s="3" t="e">
        <f ca="1">[1]!BexGetData("DP_1","003N8EMH8GTFRCSWKMPXRR8GU","GSON1112070200")</f>
        <v>#NAME?</v>
      </c>
      <c r="D973" s="3" t="e">
        <f ca="1">[1]!BexGetData("DP_1","003N8EMH8GTFRCSWKMPXRRESE","GSON1112070200")</f>
        <v>#NAME?</v>
      </c>
      <c r="E973" s="3" t="e">
        <f ca="1">[1]!BexGetData("DP_1","003N8EMH8GTFRCSWKMPXRRL3Y","GSON1112070200")</f>
        <v>#NAME?</v>
      </c>
      <c r="F973" s="3" t="e">
        <f ca="1">[1]!BexGetData("DP_1","003N8EMH8GTFRCSWKMPXRRRFI","GSON1112070200")</f>
        <v>#NAME?</v>
      </c>
      <c r="G973" s="3" t="e">
        <f ca="1">[1]!BexGetData("DP_1","003N8EMH8GTFRCSWKMPXRRXR2","GSON1112070200")</f>
        <v>#NAME?</v>
      </c>
      <c r="H973" s="8" t="e">
        <f ca="1">[1]!BexGetData("DP_1","003N8EMH8GTFRCSWKMPXRS42M","GSON1112070200")</f>
        <v>#NAME?</v>
      </c>
      <c r="I973" s="3" t="e">
        <f ca="1">[1]!BexGetData("DP_1","003N8EMH8GTFRCSWKMPXRSAE6","GSON1112070200")</f>
        <v>#NAME?</v>
      </c>
      <c r="J973" s="4" t="e">
        <f ca="1">[1]!BexGetData("DP_1","003N8EMH8GTFRCSWKMPXRSGPQ","GSON1112070200")</f>
        <v>#NAME?</v>
      </c>
      <c r="K973" s="3" t="e">
        <f ca="1">[1]!BexGetData("DP_1","003N8EMH8GTFRIVNUPY288VJH","GSON1112070200")</f>
        <v>#NAME?</v>
      </c>
      <c r="L973" s="3" t="e">
        <f ca="1">[1]!BexGetData("DP_1","003N8EMH8GTFRIVNUPY2891V1","GSON1112070200")</f>
        <v>#NAME?</v>
      </c>
      <c r="M973" s="3" t="e">
        <f ca="1">[1]!BexGetData("DP_1","003N8EMH8GTFRIVOG7KG9IQXA","GSON1112070200")</f>
        <v>#NAME?</v>
      </c>
      <c r="N973" s="8" t="e">
        <f ca="1">[1]!BexGetData("DP_1","003N8EMH8GTFRIVOG7KG9IX8U","GSON1112070200")</f>
        <v>#NAME?</v>
      </c>
      <c r="O973" s="3" t="e">
        <f ca="1">[1]!BexGetData("DP_1","003N8EMH8GTFRIVOG7KG9J3KE","GSON1112070200")</f>
        <v>#NAME?</v>
      </c>
      <c r="P973" s="8" t="e">
        <f ca="1">[1]!BexGetData("DP_1","003N8EMH8GTFRIVOG7KG9J9VY","GSON1112070200")</f>
        <v>#NAME?</v>
      </c>
      <c r="Q973" s="4" t="e">
        <f ca="1">[1]!BexGetData("DP_1","00O2TNJGODT0G5Z4TTKYMM5MT","GSON1112070200")</f>
        <v>#NAME?</v>
      </c>
      <c r="R973" s="3" t="e">
        <f ca="1">[1]!BexGetData("DP_1","00O2TNJGODT0G5Z4TTKYMMBYD","GSON1112070200")</f>
        <v>#NAME?</v>
      </c>
      <c r="S973" s="3" t="e">
        <f ca="1">[1]!BexGetData("DP_1","00O2TNJGODT0G5Z4TTKYMMI9X","GSON1112070200")</f>
        <v>#NAME?</v>
      </c>
      <c r="T973" s="8" t="e">
        <f ca="1">[1]!BexGetData("DP_1","00O2TNJGODT0G5Z4TTKYMMOLH","GSON1112070200")</f>
        <v>#NAME?</v>
      </c>
      <c r="U973" s="3" t="e">
        <f ca="1">[1]!BexGetData("DP_1","00O2TNJGODT0G5Z4TTKYMMUX1","GSON1112070200")</f>
        <v>#NAME?</v>
      </c>
      <c r="V973" s="8" t="e">
        <f ca="1">[1]!BexGetData("DP_1","00O2TNJGODT0G5Z4TTKYMN18L","GSON1112070200")</f>
        <v>#NAME?</v>
      </c>
      <c r="W973" s="3" t="e">
        <f ca="1">[1]!BexGetData("DP_1","00O2TNJGODT0G5Z4TTKYMN7K5","GSON1112070200")</f>
        <v>#NAME?</v>
      </c>
    </row>
    <row r="974" spans="1:23" x14ac:dyDescent="0.2">
      <c r="A974" s="16" t="s">
        <v>3182</v>
      </c>
      <c r="B974" s="7" t="s">
        <v>3183</v>
      </c>
      <c r="C974" s="3" t="e">
        <f ca="1">[1]!BexGetData("DP_1","003N8EMH8GTFRCSWKMPXRR8GU","GSON1112070201")</f>
        <v>#NAME?</v>
      </c>
      <c r="D974" s="3" t="e">
        <f ca="1">[1]!BexGetData("DP_1","003N8EMH8GTFRCSWKMPXRRESE","GSON1112070201")</f>
        <v>#NAME?</v>
      </c>
      <c r="E974" s="8" t="e">
        <f ca="1">[1]!BexGetData("DP_1","003N8EMH8GTFRCSWKMPXRRL3Y","GSON1112070201")</f>
        <v>#NAME?</v>
      </c>
      <c r="F974" s="4" t="e">
        <f ca="1">[1]!BexGetData("DP_1","003N8EMH8GTFRCSWKMPXRRRFI","GSON1112070201")</f>
        <v>#NAME?</v>
      </c>
      <c r="G974" s="4" t="e">
        <f ca="1">[1]!BexGetData("DP_1","003N8EMH8GTFRCSWKMPXRRXR2","GSON1112070201")</f>
        <v>#NAME?</v>
      </c>
      <c r="H974" s="4" t="e">
        <f ca="1">[1]!BexGetData("DP_1","003N8EMH8GTFRCSWKMPXRS42M","GSON1112070201")</f>
        <v>#NAME?</v>
      </c>
      <c r="I974" s="4" t="e">
        <f ca="1">[1]!BexGetData("DP_1","003N8EMH8GTFRCSWKMPXRSAE6","GSON1112070201")</f>
        <v>#NAME?</v>
      </c>
      <c r="J974" s="4" t="e">
        <f ca="1">[1]!BexGetData("DP_1","003N8EMH8GTFRCSWKMPXRSGPQ","GSON1112070201")</f>
        <v>#NAME?</v>
      </c>
      <c r="K974" s="8" t="e">
        <f ca="1">[1]!BexGetData("DP_1","003N8EMH8GTFRIVNUPY288VJH","GSON1112070201")</f>
        <v>#NAME?</v>
      </c>
      <c r="L974" s="8" t="e">
        <f ca="1">[1]!BexGetData("DP_1","003N8EMH8GTFRIVNUPY2891V1","GSON1112070201")</f>
        <v>#NAME?</v>
      </c>
      <c r="M974" s="8" t="e">
        <f ca="1">[1]!BexGetData("DP_1","003N8EMH8GTFRIVOG7KG9IQXA","GSON1112070201")</f>
        <v>#NAME?</v>
      </c>
      <c r="N974" s="8" t="e">
        <f ca="1">[1]!BexGetData("DP_1","003N8EMH8GTFRIVOG7KG9IX8U","GSON1112070201")</f>
        <v>#NAME?</v>
      </c>
      <c r="O974" s="8" t="e">
        <f ca="1">[1]!BexGetData("DP_1","003N8EMH8GTFRIVOG7KG9J3KE","GSON1112070201")</f>
        <v>#NAME?</v>
      </c>
      <c r="P974" s="8" t="e">
        <f ca="1">[1]!BexGetData("DP_1","003N8EMH8GTFRIVOG7KG9J9VY","GSON1112070201")</f>
        <v>#NAME?</v>
      </c>
      <c r="Q974" s="4" t="e">
        <f ca="1">[1]!BexGetData("DP_1","00O2TNJGODT0G5Z4TTKYMM5MT","GSON1112070201")</f>
        <v>#NAME?</v>
      </c>
      <c r="R974" s="4" t="e">
        <f ca="1">[1]!BexGetData("DP_1","00O2TNJGODT0G5Z4TTKYMMBYD","GSON1112070201")</f>
        <v>#NAME?</v>
      </c>
      <c r="S974" s="4" t="e">
        <f ca="1">[1]!BexGetData("DP_1","00O2TNJGODT0G5Z4TTKYMMI9X","GSON1112070201")</f>
        <v>#NAME?</v>
      </c>
      <c r="T974" s="4" t="e">
        <f ca="1">[1]!BexGetData("DP_1","00O2TNJGODT0G5Z4TTKYMMOLH","GSON1112070201")</f>
        <v>#NAME?</v>
      </c>
      <c r="U974" s="4" t="e">
        <f ca="1">[1]!BexGetData("DP_1","00O2TNJGODT0G5Z4TTKYMMUX1","GSON1112070201")</f>
        <v>#NAME?</v>
      </c>
      <c r="V974" s="4" t="e">
        <f ca="1">[1]!BexGetData("DP_1","00O2TNJGODT0G5Z4TTKYMN18L","GSON1112070201")</f>
        <v>#NAME?</v>
      </c>
      <c r="W974" s="4" t="e">
        <f ca="1">[1]!BexGetData("DP_1","00O2TNJGODT0G5Z4TTKYMN7K5","GSON1112070201")</f>
        <v>#NAME?</v>
      </c>
    </row>
    <row r="975" spans="1:23" x14ac:dyDescent="0.2">
      <c r="A975" s="16" t="s">
        <v>3184</v>
      </c>
      <c r="B975" s="7" t="s">
        <v>3185</v>
      </c>
      <c r="C975" s="3" t="e">
        <f ca="1">[1]!BexGetData("DP_1","003N8EMH8GTFRCSWKMPXRR8GU","GSON1112070202")</f>
        <v>#NAME?</v>
      </c>
      <c r="D975" s="3" t="e">
        <f ca="1">[1]!BexGetData("DP_1","003N8EMH8GTFRCSWKMPXRRESE","GSON1112070202")</f>
        <v>#NAME?</v>
      </c>
      <c r="E975" s="8" t="e">
        <f ca="1">[1]!BexGetData("DP_1","003N8EMH8GTFRCSWKMPXRRL3Y","GSON1112070202")</f>
        <v>#NAME?</v>
      </c>
      <c r="F975" s="3" t="e">
        <f ca="1">[1]!BexGetData("DP_1","003N8EMH8GTFRCSWKMPXRRRFI","GSON1112070202")</f>
        <v>#NAME?</v>
      </c>
      <c r="G975" s="8" t="e">
        <f ca="1">[1]!BexGetData("DP_1","003N8EMH8GTFRCSWKMPXRRXR2","GSON1112070202")</f>
        <v>#NAME?</v>
      </c>
      <c r="H975" s="3" t="e">
        <f ca="1">[1]!BexGetData("DP_1","003N8EMH8GTFRCSWKMPXRS42M","GSON1112070202")</f>
        <v>#NAME?</v>
      </c>
      <c r="I975" s="3" t="e">
        <f ca="1">[1]!BexGetData("DP_1","003N8EMH8GTFRCSWKMPXRSAE6","GSON1112070202")</f>
        <v>#NAME?</v>
      </c>
      <c r="J975" s="4" t="e">
        <f ca="1">[1]!BexGetData("DP_1","003N8EMH8GTFRCSWKMPXRSGPQ","GSON1112070202")</f>
        <v>#NAME?</v>
      </c>
      <c r="K975" s="3" t="e">
        <f ca="1">[1]!BexGetData("DP_1","003N8EMH8GTFRIVNUPY288VJH","GSON1112070202")</f>
        <v>#NAME?</v>
      </c>
      <c r="L975" s="3" t="e">
        <f ca="1">[1]!BexGetData("DP_1","003N8EMH8GTFRIVNUPY2891V1","GSON1112070202")</f>
        <v>#NAME?</v>
      </c>
      <c r="M975" s="8" t="e">
        <f ca="1">[1]!BexGetData("DP_1","003N8EMH8GTFRIVOG7KG9IQXA","GSON1112070202")</f>
        <v>#NAME?</v>
      </c>
      <c r="N975" s="3" t="e">
        <f ca="1">[1]!BexGetData("DP_1","003N8EMH8GTFRIVOG7KG9IX8U","GSON1112070202")</f>
        <v>#NAME?</v>
      </c>
      <c r="O975" s="8" t="e">
        <f ca="1">[1]!BexGetData("DP_1","003N8EMH8GTFRIVOG7KG9J3KE","GSON1112070202")</f>
        <v>#NAME?</v>
      </c>
      <c r="P975" s="3" t="e">
        <f ca="1">[1]!BexGetData("DP_1","003N8EMH8GTFRIVOG7KG9J9VY","GSON1112070202")</f>
        <v>#NAME?</v>
      </c>
      <c r="Q975" s="4" t="e">
        <f ca="1">[1]!BexGetData("DP_1","00O2TNJGODT0G5Z4TTKYMM5MT","GSON1112070202")</f>
        <v>#NAME?</v>
      </c>
      <c r="R975" s="3" t="e">
        <f ca="1">[1]!BexGetData("DP_1","00O2TNJGODT0G5Z4TTKYMMBYD","GSON1112070202")</f>
        <v>#NAME?</v>
      </c>
      <c r="S975" s="3" t="e">
        <f ca="1">[1]!BexGetData("DP_1","00O2TNJGODT0G5Z4TTKYMMI9X","GSON1112070202")</f>
        <v>#NAME?</v>
      </c>
      <c r="T975" s="3" t="e">
        <f ca="1">[1]!BexGetData("DP_1","00O2TNJGODT0G5Z4TTKYMMOLH","GSON1112070202")</f>
        <v>#NAME?</v>
      </c>
      <c r="U975" s="8" t="e">
        <f ca="1">[1]!BexGetData("DP_1","00O2TNJGODT0G5Z4TTKYMMUX1","GSON1112070202")</f>
        <v>#NAME?</v>
      </c>
      <c r="V975" s="3" t="e">
        <f ca="1">[1]!BexGetData("DP_1","00O2TNJGODT0G5Z4TTKYMN18L","GSON1112070202")</f>
        <v>#NAME?</v>
      </c>
      <c r="W975" s="8" t="e">
        <f ca="1">[1]!BexGetData("DP_1","00O2TNJGODT0G5Z4TTKYMN7K5","GSON1112070202")</f>
        <v>#NAME?</v>
      </c>
    </row>
    <row r="976" spans="1:23" x14ac:dyDescent="0.2">
      <c r="A976" s="16" t="s">
        <v>1656</v>
      </c>
      <c r="B976" s="7" t="s">
        <v>1657</v>
      </c>
      <c r="C976" s="3" t="e">
        <f ca="1">[1]!BexGetData("DP_1","003N8EMH8GTFRCSWKMPXRR8GU","GSON1112070203")</f>
        <v>#NAME?</v>
      </c>
      <c r="D976" s="3" t="e">
        <f ca="1">[1]!BexGetData("DP_1","003N8EMH8GTFRCSWKMPXRRESE","GSON1112070203")</f>
        <v>#NAME?</v>
      </c>
      <c r="E976" s="8" t="e">
        <f ca="1">[1]!BexGetData("DP_1","003N8EMH8GTFRCSWKMPXRRL3Y","GSON1112070203")</f>
        <v>#NAME?</v>
      </c>
      <c r="F976" s="4" t="e">
        <f ca="1">[1]!BexGetData("DP_1","003N8EMH8GTFRCSWKMPXRRRFI","GSON1112070203")</f>
        <v>#NAME?</v>
      </c>
      <c r="G976" s="4" t="e">
        <f ca="1">[1]!BexGetData("DP_1","003N8EMH8GTFRCSWKMPXRRXR2","GSON1112070203")</f>
        <v>#NAME?</v>
      </c>
      <c r="H976" s="4" t="e">
        <f ca="1">[1]!BexGetData("DP_1","003N8EMH8GTFRCSWKMPXRS42M","GSON1112070203")</f>
        <v>#NAME?</v>
      </c>
      <c r="I976" s="4" t="e">
        <f ca="1">[1]!BexGetData("DP_1","003N8EMH8GTFRCSWKMPXRSAE6","GSON1112070203")</f>
        <v>#NAME?</v>
      </c>
      <c r="J976" s="4" t="e">
        <f ca="1">[1]!BexGetData("DP_1","003N8EMH8GTFRCSWKMPXRSGPQ","GSON1112070203")</f>
        <v>#NAME?</v>
      </c>
      <c r="K976" s="8" t="e">
        <f ca="1">[1]!BexGetData("DP_1","003N8EMH8GTFRIVNUPY288VJH","GSON1112070203")</f>
        <v>#NAME?</v>
      </c>
      <c r="L976" s="8" t="e">
        <f ca="1">[1]!BexGetData("DP_1","003N8EMH8GTFRIVNUPY2891V1","GSON1112070203")</f>
        <v>#NAME?</v>
      </c>
      <c r="M976" s="8" t="e">
        <f ca="1">[1]!BexGetData("DP_1","003N8EMH8GTFRIVOG7KG9IQXA","GSON1112070203")</f>
        <v>#NAME?</v>
      </c>
      <c r="N976" s="8" t="e">
        <f ca="1">[1]!BexGetData("DP_1","003N8EMH8GTFRIVOG7KG9IX8U","GSON1112070203")</f>
        <v>#NAME?</v>
      </c>
      <c r="O976" s="8" t="e">
        <f ca="1">[1]!BexGetData("DP_1","003N8EMH8GTFRIVOG7KG9J3KE","GSON1112070203")</f>
        <v>#NAME?</v>
      </c>
      <c r="P976" s="8" t="e">
        <f ca="1">[1]!BexGetData("DP_1","003N8EMH8GTFRIVOG7KG9J9VY","GSON1112070203")</f>
        <v>#NAME?</v>
      </c>
      <c r="Q976" s="4" t="e">
        <f ca="1">[1]!BexGetData("DP_1","00O2TNJGODT0G5Z4TTKYMM5MT","GSON1112070203")</f>
        <v>#NAME?</v>
      </c>
      <c r="R976" s="4" t="e">
        <f ca="1">[1]!BexGetData("DP_1","00O2TNJGODT0G5Z4TTKYMMBYD","GSON1112070203")</f>
        <v>#NAME?</v>
      </c>
      <c r="S976" s="4" t="e">
        <f ca="1">[1]!BexGetData("DP_1","00O2TNJGODT0G5Z4TTKYMMI9X","GSON1112070203")</f>
        <v>#NAME?</v>
      </c>
      <c r="T976" s="4" t="e">
        <f ca="1">[1]!BexGetData("DP_1","00O2TNJGODT0G5Z4TTKYMMOLH","GSON1112070203")</f>
        <v>#NAME?</v>
      </c>
      <c r="U976" s="4" t="e">
        <f ca="1">[1]!BexGetData("DP_1","00O2TNJGODT0G5Z4TTKYMMUX1","GSON1112070203")</f>
        <v>#NAME?</v>
      </c>
      <c r="V976" s="4" t="e">
        <f ca="1">[1]!BexGetData("DP_1","00O2TNJGODT0G5Z4TTKYMN18L","GSON1112070203")</f>
        <v>#NAME?</v>
      </c>
      <c r="W976" s="4" t="e">
        <f ca="1">[1]!BexGetData("DP_1","00O2TNJGODT0G5Z4TTKYMN7K5","GSON1112070203")</f>
        <v>#NAME?</v>
      </c>
    </row>
    <row r="977" spans="1:23" x14ac:dyDescent="0.2">
      <c r="A977" s="16" t="s">
        <v>3186</v>
      </c>
      <c r="B977" s="7" t="s">
        <v>1658</v>
      </c>
      <c r="C977" s="3" t="e">
        <f ca="1">[1]!BexGetData("DP_1","003N8EMH8GTFRCSWKMPXRR8GU","GSON1112070204")</f>
        <v>#NAME?</v>
      </c>
      <c r="D977" s="3" t="e">
        <f ca="1">[1]!BexGetData("DP_1","003N8EMH8GTFRCSWKMPXRRESE","GSON1112070204")</f>
        <v>#NAME?</v>
      </c>
      <c r="E977" s="8" t="e">
        <f ca="1">[1]!BexGetData("DP_1","003N8EMH8GTFRCSWKMPXRRL3Y","GSON1112070204")</f>
        <v>#NAME?</v>
      </c>
      <c r="F977" s="4" t="e">
        <f ca="1">[1]!BexGetData("DP_1","003N8EMH8GTFRCSWKMPXRRRFI","GSON1112070204")</f>
        <v>#NAME?</v>
      </c>
      <c r="G977" s="4" t="e">
        <f ca="1">[1]!BexGetData("DP_1","003N8EMH8GTFRCSWKMPXRRXR2","GSON1112070204")</f>
        <v>#NAME?</v>
      </c>
      <c r="H977" s="4" t="e">
        <f ca="1">[1]!BexGetData("DP_1","003N8EMH8GTFRCSWKMPXRS42M","GSON1112070204")</f>
        <v>#NAME?</v>
      </c>
      <c r="I977" s="4" t="e">
        <f ca="1">[1]!BexGetData("DP_1","003N8EMH8GTFRCSWKMPXRSAE6","GSON1112070204")</f>
        <v>#NAME?</v>
      </c>
      <c r="J977" s="4" t="e">
        <f ca="1">[1]!BexGetData("DP_1","003N8EMH8GTFRCSWKMPXRSGPQ","GSON1112070204")</f>
        <v>#NAME?</v>
      </c>
      <c r="K977" s="8" t="e">
        <f ca="1">[1]!BexGetData("DP_1","003N8EMH8GTFRIVNUPY288VJH","GSON1112070204")</f>
        <v>#NAME?</v>
      </c>
      <c r="L977" s="8" t="e">
        <f ca="1">[1]!BexGetData("DP_1","003N8EMH8GTFRIVNUPY2891V1","GSON1112070204")</f>
        <v>#NAME?</v>
      </c>
      <c r="M977" s="8" t="e">
        <f ca="1">[1]!BexGetData("DP_1","003N8EMH8GTFRIVOG7KG9IQXA","GSON1112070204")</f>
        <v>#NAME?</v>
      </c>
      <c r="N977" s="8" t="e">
        <f ca="1">[1]!BexGetData("DP_1","003N8EMH8GTFRIVOG7KG9IX8U","GSON1112070204")</f>
        <v>#NAME?</v>
      </c>
      <c r="O977" s="8" t="e">
        <f ca="1">[1]!BexGetData("DP_1","003N8EMH8GTFRIVOG7KG9J3KE","GSON1112070204")</f>
        <v>#NAME?</v>
      </c>
      <c r="P977" s="8" t="e">
        <f ca="1">[1]!BexGetData("DP_1","003N8EMH8GTFRIVOG7KG9J9VY","GSON1112070204")</f>
        <v>#NAME?</v>
      </c>
      <c r="Q977" s="4" t="e">
        <f ca="1">[1]!BexGetData("DP_1","00O2TNJGODT0G5Z4TTKYMM5MT","GSON1112070204")</f>
        <v>#NAME?</v>
      </c>
      <c r="R977" s="4" t="e">
        <f ca="1">[1]!BexGetData("DP_1","00O2TNJGODT0G5Z4TTKYMMBYD","GSON1112070204")</f>
        <v>#NAME?</v>
      </c>
      <c r="S977" s="4" t="e">
        <f ca="1">[1]!BexGetData("DP_1","00O2TNJGODT0G5Z4TTKYMMI9X","GSON1112070204")</f>
        <v>#NAME?</v>
      </c>
      <c r="T977" s="4" t="e">
        <f ca="1">[1]!BexGetData("DP_1","00O2TNJGODT0G5Z4TTKYMMOLH","GSON1112070204")</f>
        <v>#NAME?</v>
      </c>
      <c r="U977" s="4" t="e">
        <f ca="1">[1]!BexGetData("DP_1","00O2TNJGODT0G5Z4TTKYMMUX1","GSON1112070204")</f>
        <v>#NAME?</v>
      </c>
      <c r="V977" s="4" t="e">
        <f ca="1">[1]!BexGetData("DP_1","00O2TNJGODT0G5Z4TTKYMN18L","GSON1112070204")</f>
        <v>#NAME?</v>
      </c>
      <c r="W977" s="4" t="e">
        <f ca="1">[1]!BexGetData("DP_1","00O2TNJGODT0G5Z4TTKYMN7K5","GSON1112070204")</f>
        <v>#NAME?</v>
      </c>
    </row>
    <row r="978" spans="1:23" x14ac:dyDescent="0.2">
      <c r="A978" s="16" t="s">
        <v>1059</v>
      </c>
      <c r="B978" s="7" t="s">
        <v>1060</v>
      </c>
      <c r="C978" s="3" t="e">
        <f ca="1">[1]!BexGetData("DP_1","003N8EMH8GTFRCSWKMPXRR8GU","GSON1112070205")</f>
        <v>#NAME?</v>
      </c>
      <c r="D978" s="3" t="e">
        <f ca="1">[1]!BexGetData("DP_1","003N8EMH8GTFRCSWKMPXRRESE","GSON1112070205")</f>
        <v>#NAME?</v>
      </c>
      <c r="E978" s="8" t="e">
        <f ca="1">[1]!BexGetData("DP_1","003N8EMH8GTFRCSWKMPXRRL3Y","GSON1112070205")</f>
        <v>#NAME?</v>
      </c>
      <c r="F978" s="4" t="e">
        <f ca="1">[1]!BexGetData("DP_1","003N8EMH8GTFRCSWKMPXRRRFI","GSON1112070205")</f>
        <v>#NAME?</v>
      </c>
      <c r="G978" s="4" t="e">
        <f ca="1">[1]!BexGetData("DP_1","003N8EMH8GTFRCSWKMPXRRXR2","GSON1112070205")</f>
        <v>#NAME?</v>
      </c>
      <c r="H978" s="4" t="e">
        <f ca="1">[1]!BexGetData("DP_1","003N8EMH8GTFRCSWKMPXRS42M","GSON1112070205")</f>
        <v>#NAME?</v>
      </c>
      <c r="I978" s="4" t="e">
        <f ca="1">[1]!BexGetData("DP_1","003N8EMH8GTFRCSWKMPXRSAE6","GSON1112070205")</f>
        <v>#NAME?</v>
      </c>
      <c r="J978" s="4" t="e">
        <f ca="1">[1]!BexGetData("DP_1","003N8EMH8GTFRCSWKMPXRSGPQ","GSON1112070205")</f>
        <v>#NAME?</v>
      </c>
      <c r="K978" s="8" t="e">
        <f ca="1">[1]!BexGetData("DP_1","003N8EMH8GTFRIVNUPY288VJH","GSON1112070205")</f>
        <v>#NAME?</v>
      </c>
      <c r="L978" s="8" t="e">
        <f ca="1">[1]!BexGetData("DP_1","003N8EMH8GTFRIVNUPY2891V1","GSON1112070205")</f>
        <v>#NAME?</v>
      </c>
      <c r="M978" s="8" t="e">
        <f ca="1">[1]!BexGetData("DP_1","003N8EMH8GTFRIVOG7KG9IQXA","GSON1112070205")</f>
        <v>#NAME?</v>
      </c>
      <c r="N978" s="8" t="e">
        <f ca="1">[1]!BexGetData("DP_1","003N8EMH8GTFRIVOG7KG9IX8U","GSON1112070205")</f>
        <v>#NAME?</v>
      </c>
      <c r="O978" s="8" t="e">
        <f ca="1">[1]!BexGetData("DP_1","003N8EMH8GTFRIVOG7KG9J3KE","GSON1112070205")</f>
        <v>#NAME?</v>
      </c>
      <c r="P978" s="8" t="e">
        <f ca="1">[1]!BexGetData("DP_1","003N8EMH8GTFRIVOG7KG9J9VY","GSON1112070205")</f>
        <v>#NAME?</v>
      </c>
      <c r="Q978" s="4" t="e">
        <f ca="1">[1]!BexGetData("DP_1","00O2TNJGODT0G5Z4TTKYMM5MT","GSON1112070205")</f>
        <v>#NAME?</v>
      </c>
      <c r="R978" s="4" t="e">
        <f ca="1">[1]!BexGetData("DP_1","00O2TNJGODT0G5Z4TTKYMMBYD","GSON1112070205")</f>
        <v>#NAME?</v>
      </c>
      <c r="S978" s="4" t="e">
        <f ca="1">[1]!BexGetData("DP_1","00O2TNJGODT0G5Z4TTKYMMI9X","GSON1112070205")</f>
        <v>#NAME?</v>
      </c>
      <c r="T978" s="4" t="e">
        <f ca="1">[1]!BexGetData("DP_1","00O2TNJGODT0G5Z4TTKYMMOLH","GSON1112070205")</f>
        <v>#NAME?</v>
      </c>
      <c r="U978" s="4" t="e">
        <f ca="1">[1]!BexGetData("DP_1","00O2TNJGODT0G5Z4TTKYMMUX1","GSON1112070205")</f>
        <v>#NAME?</v>
      </c>
      <c r="V978" s="4" t="e">
        <f ca="1">[1]!BexGetData("DP_1","00O2TNJGODT0G5Z4TTKYMN18L","GSON1112070205")</f>
        <v>#NAME?</v>
      </c>
      <c r="W978" s="4" t="e">
        <f ca="1">[1]!BexGetData("DP_1","00O2TNJGODT0G5Z4TTKYMN7K5","GSON1112070205")</f>
        <v>#NAME?</v>
      </c>
    </row>
    <row r="979" spans="1:23" x14ac:dyDescent="0.2">
      <c r="A979" s="16" t="s">
        <v>1061</v>
      </c>
      <c r="B979" s="7" t="s">
        <v>1062</v>
      </c>
      <c r="C979" s="3" t="e">
        <f ca="1">[1]!BexGetData("DP_1","003N8EMH8GTFRCSWKMPXRR8GU","GSON1112070210")</f>
        <v>#NAME?</v>
      </c>
      <c r="D979" s="8" t="e">
        <f ca="1">[1]!BexGetData("DP_1","003N8EMH8GTFRCSWKMPXRRESE","GSON1112070210")</f>
        <v>#NAME?</v>
      </c>
      <c r="E979" s="3" t="e">
        <f ca="1">[1]!BexGetData("DP_1","003N8EMH8GTFRCSWKMPXRRL3Y","GSON1112070210")</f>
        <v>#NAME?</v>
      </c>
      <c r="F979" s="3" t="e">
        <f ca="1">[1]!BexGetData("DP_1","003N8EMH8GTFRCSWKMPXRRRFI","GSON1112070210")</f>
        <v>#NAME?</v>
      </c>
      <c r="G979" s="3" t="e">
        <f ca="1">[1]!BexGetData("DP_1","003N8EMH8GTFRCSWKMPXRRXR2","GSON1112070210")</f>
        <v>#NAME?</v>
      </c>
      <c r="H979" s="8" t="e">
        <f ca="1">[1]!BexGetData("DP_1","003N8EMH8GTFRCSWKMPXRS42M","GSON1112070210")</f>
        <v>#NAME?</v>
      </c>
      <c r="I979" s="3" t="e">
        <f ca="1">[1]!BexGetData("DP_1","003N8EMH8GTFRCSWKMPXRSAE6","GSON1112070210")</f>
        <v>#NAME?</v>
      </c>
      <c r="J979" s="4" t="e">
        <f ca="1">[1]!BexGetData("DP_1","003N8EMH8GTFRCSWKMPXRSGPQ","GSON1112070210")</f>
        <v>#NAME?</v>
      </c>
      <c r="K979" s="3" t="e">
        <f ca="1">[1]!BexGetData("DP_1","003N8EMH8GTFRIVNUPY288VJH","GSON1112070210")</f>
        <v>#NAME?</v>
      </c>
      <c r="L979" s="3" t="e">
        <f ca="1">[1]!BexGetData("DP_1","003N8EMH8GTFRIVNUPY2891V1","GSON1112070210")</f>
        <v>#NAME?</v>
      </c>
      <c r="M979" s="8" t="e">
        <f ca="1">[1]!BexGetData("DP_1","003N8EMH8GTFRIVOG7KG9IQXA","GSON1112070210")</f>
        <v>#NAME?</v>
      </c>
      <c r="N979" s="3" t="e">
        <f ca="1">[1]!BexGetData("DP_1","003N8EMH8GTFRIVOG7KG9IX8U","GSON1112070210")</f>
        <v>#NAME?</v>
      </c>
      <c r="O979" s="8" t="e">
        <f ca="1">[1]!BexGetData("DP_1","003N8EMH8GTFRIVOG7KG9J3KE","GSON1112070210")</f>
        <v>#NAME?</v>
      </c>
      <c r="P979" s="3" t="e">
        <f ca="1">[1]!BexGetData("DP_1","003N8EMH8GTFRIVOG7KG9J9VY","GSON1112070210")</f>
        <v>#NAME?</v>
      </c>
      <c r="Q979" s="4" t="e">
        <f ca="1">[1]!BexGetData("DP_1","00O2TNJGODT0G5Z4TTKYMM5MT","GSON1112070210")</f>
        <v>#NAME?</v>
      </c>
      <c r="R979" s="3" t="e">
        <f ca="1">[1]!BexGetData("DP_1","00O2TNJGODT0G5Z4TTKYMMBYD","GSON1112070210")</f>
        <v>#NAME?</v>
      </c>
      <c r="S979" s="3" t="e">
        <f ca="1">[1]!BexGetData("DP_1","00O2TNJGODT0G5Z4TTKYMMI9X","GSON1112070210")</f>
        <v>#NAME?</v>
      </c>
      <c r="T979" s="8" t="e">
        <f ca="1">[1]!BexGetData("DP_1","00O2TNJGODT0G5Z4TTKYMMOLH","GSON1112070210")</f>
        <v>#NAME?</v>
      </c>
      <c r="U979" s="3" t="e">
        <f ca="1">[1]!BexGetData("DP_1","00O2TNJGODT0G5Z4TTKYMMUX1","GSON1112070210")</f>
        <v>#NAME?</v>
      </c>
      <c r="V979" s="8" t="e">
        <f ca="1">[1]!BexGetData("DP_1","00O2TNJGODT0G5Z4TTKYMN18L","GSON1112070210")</f>
        <v>#NAME?</v>
      </c>
      <c r="W979" s="3" t="e">
        <f ca="1">[1]!BexGetData("DP_1","00O2TNJGODT0G5Z4TTKYMN7K5","GSON1112070210")</f>
        <v>#NAME?</v>
      </c>
    </row>
    <row r="980" spans="1:23" x14ac:dyDescent="0.2">
      <c r="A980" s="16" t="s">
        <v>1063</v>
      </c>
      <c r="B980" s="7" t="s">
        <v>1064</v>
      </c>
      <c r="C980" s="3" t="e">
        <f ca="1">[1]!BexGetData("DP_1","003N8EMH8GTFRCSWKMPXRR8GU","GSON1112070215")</f>
        <v>#NAME?</v>
      </c>
      <c r="D980" s="3" t="e">
        <f ca="1">[1]!BexGetData("DP_1","003N8EMH8GTFRCSWKMPXRRESE","GSON1112070215")</f>
        <v>#NAME?</v>
      </c>
      <c r="E980" s="8" t="e">
        <f ca="1">[1]!BexGetData("DP_1","003N8EMH8GTFRCSWKMPXRRL3Y","GSON1112070215")</f>
        <v>#NAME?</v>
      </c>
      <c r="F980" s="4" t="e">
        <f ca="1">[1]!BexGetData("DP_1","003N8EMH8GTFRCSWKMPXRRRFI","GSON1112070215")</f>
        <v>#NAME?</v>
      </c>
      <c r="G980" s="4" t="e">
        <f ca="1">[1]!BexGetData("DP_1","003N8EMH8GTFRCSWKMPXRRXR2","GSON1112070215")</f>
        <v>#NAME?</v>
      </c>
      <c r="H980" s="4" t="e">
        <f ca="1">[1]!BexGetData("DP_1","003N8EMH8GTFRCSWKMPXRS42M","GSON1112070215")</f>
        <v>#NAME?</v>
      </c>
      <c r="I980" s="4" t="e">
        <f ca="1">[1]!BexGetData("DP_1","003N8EMH8GTFRCSWKMPXRSAE6","GSON1112070215")</f>
        <v>#NAME?</v>
      </c>
      <c r="J980" s="4" t="e">
        <f ca="1">[1]!BexGetData("DP_1","003N8EMH8GTFRCSWKMPXRSGPQ","GSON1112070215")</f>
        <v>#NAME?</v>
      </c>
      <c r="K980" s="8" t="e">
        <f ca="1">[1]!BexGetData("DP_1","003N8EMH8GTFRIVNUPY288VJH","GSON1112070215")</f>
        <v>#NAME?</v>
      </c>
      <c r="L980" s="8" t="e">
        <f ca="1">[1]!BexGetData("DP_1","003N8EMH8GTFRIVNUPY2891V1","GSON1112070215")</f>
        <v>#NAME?</v>
      </c>
      <c r="M980" s="8" t="e">
        <f ca="1">[1]!BexGetData("DP_1","003N8EMH8GTFRIVOG7KG9IQXA","GSON1112070215")</f>
        <v>#NAME?</v>
      </c>
      <c r="N980" s="8" t="e">
        <f ca="1">[1]!BexGetData("DP_1","003N8EMH8GTFRIVOG7KG9IX8U","GSON1112070215")</f>
        <v>#NAME?</v>
      </c>
      <c r="O980" s="8" t="e">
        <f ca="1">[1]!BexGetData("DP_1","003N8EMH8GTFRIVOG7KG9J3KE","GSON1112070215")</f>
        <v>#NAME?</v>
      </c>
      <c r="P980" s="8" t="e">
        <f ca="1">[1]!BexGetData("DP_1","003N8EMH8GTFRIVOG7KG9J9VY","GSON1112070215")</f>
        <v>#NAME?</v>
      </c>
      <c r="Q980" s="4" t="e">
        <f ca="1">[1]!BexGetData("DP_1","00O2TNJGODT0G5Z4TTKYMM5MT","GSON1112070215")</f>
        <v>#NAME?</v>
      </c>
      <c r="R980" s="4" t="e">
        <f ca="1">[1]!BexGetData("DP_1","00O2TNJGODT0G5Z4TTKYMMBYD","GSON1112070215")</f>
        <v>#NAME?</v>
      </c>
      <c r="S980" s="4" t="e">
        <f ca="1">[1]!BexGetData("DP_1","00O2TNJGODT0G5Z4TTKYMMI9X","GSON1112070215")</f>
        <v>#NAME?</v>
      </c>
      <c r="T980" s="4" t="e">
        <f ca="1">[1]!BexGetData("DP_1","00O2TNJGODT0G5Z4TTKYMMOLH","GSON1112070215")</f>
        <v>#NAME?</v>
      </c>
      <c r="U980" s="4" t="e">
        <f ca="1">[1]!BexGetData("DP_1","00O2TNJGODT0G5Z4TTKYMMUX1","GSON1112070215")</f>
        <v>#NAME?</v>
      </c>
      <c r="V980" s="4" t="e">
        <f ca="1">[1]!BexGetData("DP_1","00O2TNJGODT0G5Z4TTKYMN18L","GSON1112070215")</f>
        <v>#NAME?</v>
      </c>
      <c r="W980" s="4" t="e">
        <f ca="1">[1]!BexGetData("DP_1","00O2TNJGODT0G5Z4TTKYMN7K5","GSON1112070215")</f>
        <v>#NAME?</v>
      </c>
    </row>
    <row r="981" spans="1:23" x14ac:dyDescent="0.2">
      <c r="A981" s="16" t="s">
        <v>1065</v>
      </c>
      <c r="B981" s="7" t="s">
        <v>1066</v>
      </c>
      <c r="C981" s="3" t="e">
        <f ca="1">[1]!BexGetData("DP_1","003N8EMH8GTFRCSWKMPXRR8GU","GSON1112070250")</f>
        <v>#NAME?</v>
      </c>
      <c r="D981" s="3" t="e">
        <f ca="1">[1]!BexGetData("DP_1","003N8EMH8GTFRCSWKMPXRRESE","GSON1112070250")</f>
        <v>#NAME?</v>
      </c>
      <c r="E981" s="3" t="e">
        <f ca="1">[1]!BexGetData("DP_1","003N8EMH8GTFRCSWKMPXRRL3Y","GSON1112070250")</f>
        <v>#NAME?</v>
      </c>
      <c r="F981" s="3" t="e">
        <f ca="1">[1]!BexGetData("DP_1","003N8EMH8GTFRCSWKMPXRRRFI","GSON1112070250")</f>
        <v>#NAME?</v>
      </c>
      <c r="G981" s="3" t="e">
        <f ca="1">[1]!BexGetData("DP_1","003N8EMH8GTFRCSWKMPXRRXR2","GSON1112070250")</f>
        <v>#NAME?</v>
      </c>
      <c r="H981" s="8" t="e">
        <f ca="1">[1]!BexGetData("DP_1","003N8EMH8GTFRCSWKMPXRS42M","GSON1112070250")</f>
        <v>#NAME?</v>
      </c>
      <c r="I981" s="3" t="e">
        <f ca="1">[1]!BexGetData("DP_1","003N8EMH8GTFRCSWKMPXRSAE6","GSON1112070250")</f>
        <v>#NAME?</v>
      </c>
      <c r="J981" s="4" t="e">
        <f ca="1">[1]!BexGetData("DP_1","003N8EMH8GTFRCSWKMPXRSGPQ","GSON1112070250")</f>
        <v>#NAME?</v>
      </c>
      <c r="K981" s="3" t="e">
        <f ca="1">[1]!BexGetData("DP_1","003N8EMH8GTFRIVNUPY288VJH","GSON1112070250")</f>
        <v>#NAME?</v>
      </c>
      <c r="L981" s="3" t="e">
        <f ca="1">[1]!BexGetData("DP_1","003N8EMH8GTFRIVNUPY2891V1","GSON1112070250")</f>
        <v>#NAME?</v>
      </c>
      <c r="M981" s="8" t="e">
        <f ca="1">[1]!BexGetData("DP_1","003N8EMH8GTFRIVOG7KG9IQXA","GSON1112070250")</f>
        <v>#NAME?</v>
      </c>
      <c r="N981" s="3" t="e">
        <f ca="1">[1]!BexGetData("DP_1","003N8EMH8GTFRIVOG7KG9IX8U","GSON1112070250")</f>
        <v>#NAME?</v>
      </c>
      <c r="O981" s="8" t="e">
        <f ca="1">[1]!BexGetData("DP_1","003N8EMH8GTFRIVOG7KG9J3KE","GSON1112070250")</f>
        <v>#NAME?</v>
      </c>
      <c r="P981" s="3" t="e">
        <f ca="1">[1]!BexGetData("DP_1","003N8EMH8GTFRIVOG7KG9J9VY","GSON1112070250")</f>
        <v>#NAME?</v>
      </c>
      <c r="Q981" s="4" t="e">
        <f ca="1">[1]!BexGetData("DP_1","00O2TNJGODT0G5Z4TTKYMM5MT","GSON1112070250")</f>
        <v>#NAME?</v>
      </c>
      <c r="R981" s="3" t="e">
        <f ca="1">[1]!BexGetData("DP_1","00O2TNJGODT0G5Z4TTKYMMBYD","GSON1112070250")</f>
        <v>#NAME?</v>
      </c>
      <c r="S981" s="3" t="e">
        <f ca="1">[1]!BexGetData("DP_1","00O2TNJGODT0G5Z4TTKYMMI9X","GSON1112070250")</f>
        <v>#NAME?</v>
      </c>
      <c r="T981" s="8" t="e">
        <f ca="1">[1]!BexGetData("DP_1","00O2TNJGODT0G5Z4TTKYMMOLH","GSON1112070250")</f>
        <v>#NAME?</v>
      </c>
      <c r="U981" s="3" t="e">
        <f ca="1">[1]!BexGetData("DP_1","00O2TNJGODT0G5Z4TTKYMMUX1","GSON1112070250")</f>
        <v>#NAME?</v>
      </c>
      <c r="V981" s="8" t="e">
        <f ca="1">[1]!BexGetData("DP_1","00O2TNJGODT0G5Z4TTKYMN18L","GSON1112070250")</f>
        <v>#NAME?</v>
      </c>
      <c r="W981" s="3" t="e">
        <f ca="1">[1]!BexGetData("DP_1","00O2TNJGODT0G5Z4TTKYMN7K5","GSON1112070250")</f>
        <v>#NAME?</v>
      </c>
    </row>
    <row r="982" spans="1:23" x14ac:dyDescent="0.2">
      <c r="A982" s="16" t="s">
        <v>1659</v>
      </c>
      <c r="B982" s="7" t="s">
        <v>1660</v>
      </c>
      <c r="C982" s="3" t="e">
        <f ca="1">[1]!BexGetData("DP_1","003N8EMH8GTFRCSWKMPXRR8GU","GSON1112070251")</f>
        <v>#NAME?</v>
      </c>
      <c r="D982" s="3" t="e">
        <f ca="1">[1]!BexGetData("DP_1","003N8EMH8GTFRCSWKMPXRRESE","GSON1112070251")</f>
        <v>#NAME?</v>
      </c>
      <c r="E982" s="8" t="e">
        <f ca="1">[1]!BexGetData("DP_1","003N8EMH8GTFRCSWKMPXRRL3Y","GSON1112070251")</f>
        <v>#NAME?</v>
      </c>
      <c r="F982" s="4" t="e">
        <f ca="1">[1]!BexGetData("DP_1","003N8EMH8GTFRCSWKMPXRRRFI","GSON1112070251")</f>
        <v>#NAME?</v>
      </c>
      <c r="G982" s="4" t="e">
        <f ca="1">[1]!BexGetData("DP_1","003N8EMH8GTFRCSWKMPXRRXR2","GSON1112070251")</f>
        <v>#NAME?</v>
      </c>
      <c r="H982" s="4" t="e">
        <f ca="1">[1]!BexGetData("DP_1","003N8EMH8GTFRCSWKMPXRS42M","GSON1112070251")</f>
        <v>#NAME?</v>
      </c>
      <c r="I982" s="4" t="e">
        <f ca="1">[1]!BexGetData("DP_1","003N8EMH8GTFRCSWKMPXRSAE6","GSON1112070251")</f>
        <v>#NAME?</v>
      </c>
      <c r="J982" s="4" t="e">
        <f ca="1">[1]!BexGetData("DP_1","003N8EMH8GTFRCSWKMPXRSGPQ","GSON1112070251")</f>
        <v>#NAME?</v>
      </c>
      <c r="K982" s="8" t="e">
        <f ca="1">[1]!BexGetData("DP_1","003N8EMH8GTFRIVNUPY288VJH","GSON1112070251")</f>
        <v>#NAME?</v>
      </c>
      <c r="L982" s="8" t="e">
        <f ca="1">[1]!BexGetData("DP_1","003N8EMH8GTFRIVNUPY2891V1","GSON1112070251")</f>
        <v>#NAME?</v>
      </c>
      <c r="M982" s="8" t="e">
        <f ca="1">[1]!BexGetData("DP_1","003N8EMH8GTFRIVOG7KG9IQXA","GSON1112070251")</f>
        <v>#NAME?</v>
      </c>
      <c r="N982" s="8" t="e">
        <f ca="1">[1]!BexGetData("DP_1","003N8EMH8GTFRIVOG7KG9IX8U","GSON1112070251")</f>
        <v>#NAME?</v>
      </c>
      <c r="O982" s="8" t="e">
        <f ca="1">[1]!BexGetData("DP_1","003N8EMH8GTFRIVOG7KG9J3KE","GSON1112070251")</f>
        <v>#NAME?</v>
      </c>
      <c r="P982" s="8" t="e">
        <f ca="1">[1]!BexGetData("DP_1","003N8EMH8GTFRIVOG7KG9J9VY","GSON1112070251")</f>
        <v>#NAME?</v>
      </c>
      <c r="Q982" s="4" t="e">
        <f ca="1">[1]!BexGetData("DP_1","00O2TNJGODT0G5Z4TTKYMM5MT","GSON1112070251")</f>
        <v>#NAME?</v>
      </c>
      <c r="R982" s="4" t="e">
        <f ca="1">[1]!BexGetData("DP_1","00O2TNJGODT0G5Z4TTKYMMBYD","GSON1112070251")</f>
        <v>#NAME?</v>
      </c>
      <c r="S982" s="4" t="e">
        <f ca="1">[1]!BexGetData("DP_1","00O2TNJGODT0G5Z4TTKYMMI9X","GSON1112070251")</f>
        <v>#NAME?</v>
      </c>
      <c r="T982" s="4" t="e">
        <f ca="1">[1]!BexGetData("DP_1","00O2TNJGODT0G5Z4TTKYMMOLH","GSON1112070251")</f>
        <v>#NAME?</v>
      </c>
      <c r="U982" s="4" t="e">
        <f ca="1">[1]!BexGetData("DP_1","00O2TNJGODT0G5Z4TTKYMMUX1","GSON1112070251")</f>
        <v>#NAME?</v>
      </c>
      <c r="V982" s="4" t="e">
        <f ca="1">[1]!BexGetData("DP_1","00O2TNJGODT0G5Z4TTKYMN18L","GSON1112070251")</f>
        <v>#NAME?</v>
      </c>
      <c r="W982" s="4" t="e">
        <f ca="1">[1]!BexGetData("DP_1","00O2TNJGODT0G5Z4TTKYMN7K5","GSON1112070251")</f>
        <v>#NAME?</v>
      </c>
    </row>
    <row r="983" spans="1:23" x14ac:dyDescent="0.2">
      <c r="A983" s="16" t="s">
        <v>1661</v>
      </c>
      <c r="B983" s="7" t="s">
        <v>1662</v>
      </c>
      <c r="C983" s="3" t="e">
        <f ca="1">[1]!BexGetData("DP_1","003N8EMH8GTFRCSWKMPXRR8GU","GSON1112070253")</f>
        <v>#NAME?</v>
      </c>
      <c r="D983" s="3" t="e">
        <f ca="1">[1]!BexGetData("DP_1","003N8EMH8GTFRCSWKMPXRRESE","GSON1112070253")</f>
        <v>#NAME?</v>
      </c>
      <c r="E983" s="8" t="e">
        <f ca="1">[1]!BexGetData("DP_1","003N8EMH8GTFRCSWKMPXRRL3Y","GSON1112070253")</f>
        <v>#NAME?</v>
      </c>
      <c r="F983" s="4" t="e">
        <f ca="1">[1]!BexGetData("DP_1","003N8EMH8GTFRCSWKMPXRRRFI","GSON1112070253")</f>
        <v>#NAME?</v>
      </c>
      <c r="G983" s="4" t="e">
        <f ca="1">[1]!BexGetData("DP_1","003N8EMH8GTFRCSWKMPXRRXR2","GSON1112070253")</f>
        <v>#NAME?</v>
      </c>
      <c r="H983" s="4" t="e">
        <f ca="1">[1]!BexGetData("DP_1","003N8EMH8GTFRCSWKMPXRS42M","GSON1112070253")</f>
        <v>#NAME?</v>
      </c>
      <c r="I983" s="4" t="e">
        <f ca="1">[1]!BexGetData("DP_1","003N8EMH8GTFRCSWKMPXRSAE6","GSON1112070253")</f>
        <v>#NAME?</v>
      </c>
      <c r="J983" s="4" t="e">
        <f ca="1">[1]!BexGetData("DP_1","003N8EMH8GTFRCSWKMPXRSGPQ","GSON1112070253")</f>
        <v>#NAME?</v>
      </c>
      <c r="K983" s="8" t="e">
        <f ca="1">[1]!BexGetData("DP_1","003N8EMH8GTFRIVNUPY288VJH","GSON1112070253")</f>
        <v>#NAME?</v>
      </c>
      <c r="L983" s="8" t="e">
        <f ca="1">[1]!BexGetData("DP_1","003N8EMH8GTFRIVNUPY2891V1","GSON1112070253")</f>
        <v>#NAME?</v>
      </c>
      <c r="M983" s="8" t="e">
        <f ca="1">[1]!BexGetData("DP_1","003N8EMH8GTFRIVOG7KG9IQXA","GSON1112070253")</f>
        <v>#NAME?</v>
      </c>
      <c r="N983" s="8" t="e">
        <f ca="1">[1]!BexGetData("DP_1","003N8EMH8GTFRIVOG7KG9IX8U","GSON1112070253")</f>
        <v>#NAME?</v>
      </c>
      <c r="O983" s="8" t="e">
        <f ca="1">[1]!BexGetData("DP_1","003N8EMH8GTFRIVOG7KG9J3KE","GSON1112070253")</f>
        <v>#NAME?</v>
      </c>
      <c r="P983" s="8" t="e">
        <f ca="1">[1]!BexGetData("DP_1","003N8EMH8GTFRIVOG7KG9J9VY","GSON1112070253")</f>
        <v>#NAME?</v>
      </c>
      <c r="Q983" s="4" t="e">
        <f ca="1">[1]!BexGetData("DP_1","00O2TNJGODT0G5Z4TTKYMM5MT","GSON1112070253")</f>
        <v>#NAME?</v>
      </c>
      <c r="R983" s="4" t="e">
        <f ca="1">[1]!BexGetData("DP_1","00O2TNJGODT0G5Z4TTKYMMBYD","GSON1112070253")</f>
        <v>#NAME?</v>
      </c>
      <c r="S983" s="4" t="e">
        <f ca="1">[1]!BexGetData("DP_1","00O2TNJGODT0G5Z4TTKYMMI9X","GSON1112070253")</f>
        <v>#NAME?</v>
      </c>
      <c r="T983" s="4" t="e">
        <f ca="1">[1]!BexGetData("DP_1","00O2TNJGODT0G5Z4TTKYMMOLH","GSON1112070253")</f>
        <v>#NAME?</v>
      </c>
      <c r="U983" s="4" t="e">
        <f ca="1">[1]!BexGetData("DP_1","00O2TNJGODT0G5Z4TTKYMMUX1","GSON1112070253")</f>
        <v>#NAME?</v>
      </c>
      <c r="V983" s="4" t="e">
        <f ca="1">[1]!BexGetData("DP_1","00O2TNJGODT0G5Z4TTKYMN18L","GSON1112070253")</f>
        <v>#NAME?</v>
      </c>
      <c r="W983" s="4" t="e">
        <f ca="1">[1]!BexGetData("DP_1","00O2TNJGODT0G5Z4TTKYMN7K5","GSON1112070253")</f>
        <v>#NAME?</v>
      </c>
    </row>
    <row r="984" spans="1:23" x14ac:dyDescent="0.2">
      <c r="A984" s="16" t="s">
        <v>3187</v>
      </c>
      <c r="B984" s="7" t="s">
        <v>3188</v>
      </c>
      <c r="C984" s="3" t="e">
        <f ca="1">[1]!BexGetData("DP_1","003N8EMH8GTFRCSWKMPXRR8GU","GSON1112070254")</f>
        <v>#NAME?</v>
      </c>
      <c r="D984" s="3" t="e">
        <f ca="1">[1]!BexGetData("DP_1","003N8EMH8GTFRCSWKMPXRRESE","GSON1112070254")</f>
        <v>#NAME?</v>
      </c>
      <c r="E984" s="8" t="e">
        <f ca="1">[1]!BexGetData("DP_1","003N8EMH8GTFRCSWKMPXRRL3Y","GSON1112070254")</f>
        <v>#NAME?</v>
      </c>
      <c r="F984" s="4" t="e">
        <f ca="1">[1]!BexGetData("DP_1","003N8EMH8GTFRCSWKMPXRRRFI","GSON1112070254")</f>
        <v>#NAME?</v>
      </c>
      <c r="G984" s="4" t="e">
        <f ca="1">[1]!BexGetData("DP_1","003N8EMH8GTFRCSWKMPXRRXR2","GSON1112070254")</f>
        <v>#NAME?</v>
      </c>
      <c r="H984" s="4" t="e">
        <f ca="1">[1]!BexGetData("DP_1","003N8EMH8GTFRCSWKMPXRS42M","GSON1112070254")</f>
        <v>#NAME?</v>
      </c>
      <c r="I984" s="4" t="e">
        <f ca="1">[1]!BexGetData("DP_1","003N8EMH8GTFRCSWKMPXRSAE6","GSON1112070254")</f>
        <v>#NAME?</v>
      </c>
      <c r="J984" s="4" t="e">
        <f ca="1">[1]!BexGetData("DP_1","003N8EMH8GTFRCSWKMPXRSGPQ","GSON1112070254")</f>
        <v>#NAME?</v>
      </c>
      <c r="K984" s="8" t="e">
        <f ca="1">[1]!BexGetData("DP_1","003N8EMH8GTFRIVNUPY288VJH","GSON1112070254")</f>
        <v>#NAME?</v>
      </c>
      <c r="L984" s="8" t="e">
        <f ca="1">[1]!BexGetData("DP_1","003N8EMH8GTFRIVNUPY2891V1","GSON1112070254")</f>
        <v>#NAME?</v>
      </c>
      <c r="M984" s="8" t="e">
        <f ca="1">[1]!BexGetData("DP_1","003N8EMH8GTFRIVOG7KG9IQXA","GSON1112070254")</f>
        <v>#NAME?</v>
      </c>
      <c r="N984" s="8" t="e">
        <f ca="1">[1]!BexGetData("DP_1","003N8EMH8GTFRIVOG7KG9IX8U","GSON1112070254")</f>
        <v>#NAME?</v>
      </c>
      <c r="O984" s="8" t="e">
        <f ca="1">[1]!BexGetData("DP_1","003N8EMH8GTFRIVOG7KG9J3KE","GSON1112070254")</f>
        <v>#NAME?</v>
      </c>
      <c r="P984" s="8" t="e">
        <f ca="1">[1]!BexGetData("DP_1","003N8EMH8GTFRIVOG7KG9J9VY","GSON1112070254")</f>
        <v>#NAME?</v>
      </c>
      <c r="Q984" s="4" t="e">
        <f ca="1">[1]!BexGetData("DP_1","00O2TNJGODT0G5Z4TTKYMM5MT","GSON1112070254")</f>
        <v>#NAME?</v>
      </c>
      <c r="R984" s="4" t="e">
        <f ca="1">[1]!BexGetData("DP_1","00O2TNJGODT0G5Z4TTKYMMBYD","GSON1112070254")</f>
        <v>#NAME?</v>
      </c>
      <c r="S984" s="4" t="e">
        <f ca="1">[1]!BexGetData("DP_1","00O2TNJGODT0G5Z4TTKYMMI9X","GSON1112070254")</f>
        <v>#NAME?</v>
      </c>
      <c r="T984" s="4" t="e">
        <f ca="1">[1]!BexGetData("DP_1","00O2TNJGODT0G5Z4TTKYMMOLH","GSON1112070254")</f>
        <v>#NAME?</v>
      </c>
      <c r="U984" s="4" t="e">
        <f ca="1">[1]!BexGetData("DP_1","00O2TNJGODT0G5Z4TTKYMMUX1","GSON1112070254")</f>
        <v>#NAME?</v>
      </c>
      <c r="V984" s="4" t="e">
        <f ca="1">[1]!BexGetData("DP_1","00O2TNJGODT0G5Z4TTKYMN18L","GSON1112070254")</f>
        <v>#NAME?</v>
      </c>
      <c r="W984" s="4" t="e">
        <f ca="1">[1]!BexGetData("DP_1","00O2TNJGODT0G5Z4TTKYMN7K5","GSON1112070254")</f>
        <v>#NAME?</v>
      </c>
    </row>
    <row r="985" spans="1:23" x14ac:dyDescent="0.2">
      <c r="A985" s="16" t="s">
        <v>1067</v>
      </c>
      <c r="B985" s="7" t="s">
        <v>1068</v>
      </c>
      <c r="C985" s="3" t="e">
        <f ca="1">[1]!BexGetData("DP_1","003N8EMH8GTFRCSWKMPXRR8GU","GSON1112070255")</f>
        <v>#NAME?</v>
      </c>
      <c r="D985" s="3" t="e">
        <f ca="1">[1]!BexGetData("DP_1","003N8EMH8GTFRCSWKMPXRRESE","GSON1112070255")</f>
        <v>#NAME?</v>
      </c>
      <c r="E985" s="8" t="e">
        <f ca="1">[1]!BexGetData("DP_1","003N8EMH8GTFRCSWKMPXRRL3Y","GSON1112070255")</f>
        <v>#NAME?</v>
      </c>
      <c r="F985" s="4" t="e">
        <f ca="1">[1]!BexGetData("DP_1","003N8EMH8GTFRCSWKMPXRRRFI","GSON1112070255")</f>
        <v>#NAME?</v>
      </c>
      <c r="G985" s="4" t="e">
        <f ca="1">[1]!BexGetData("DP_1","003N8EMH8GTFRCSWKMPXRRXR2","GSON1112070255")</f>
        <v>#NAME?</v>
      </c>
      <c r="H985" s="4" t="e">
        <f ca="1">[1]!BexGetData("DP_1","003N8EMH8GTFRCSWKMPXRS42M","GSON1112070255")</f>
        <v>#NAME?</v>
      </c>
      <c r="I985" s="4" t="e">
        <f ca="1">[1]!BexGetData("DP_1","003N8EMH8GTFRCSWKMPXRSAE6","GSON1112070255")</f>
        <v>#NAME?</v>
      </c>
      <c r="J985" s="4" t="e">
        <f ca="1">[1]!BexGetData("DP_1","003N8EMH8GTFRCSWKMPXRSGPQ","GSON1112070255")</f>
        <v>#NAME?</v>
      </c>
      <c r="K985" s="8" t="e">
        <f ca="1">[1]!BexGetData("DP_1","003N8EMH8GTFRIVNUPY288VJH","GSON1112070255")</f>
        <v>#NAME?</v>
      </c>
      <c r="L985" s="8" t="e">
        <f ca="1">[1]!BexGetData("DP_1","003N8EMH8GTFRIVNUPY2891V1","GSON1112070255")</f>
        <v>#NAME?</v>
      </c>
      <c r="M985" s="8" t="e">
        <f ca="1">[1]!BexGetData("DP_1","003N8EMH8GTFRIVOG7KG9IQXA","GSON1112070255")</f>
        <v>#NAME?</v>
      </c>
      <c r="N985" s="8" t="e">
        <f ca="1">[1]!BexGetData("DP_1","003N8EMH8GTFRIVOG7KG9IX8U","GSON1112070255")</f>
        <v>#NAME?</v>
      </c>
      <c r="O985" s="8" t="e">
        <f ca="1">[1]!BexGetData("DP_1","003N8EMH8GTFRIVOG7KG9J3KE","GSON1112070255")</f>
        <v>#NAME?</v>
      </c>
      <c r="P985" s="8" t="e">
        <f ca="1">[1]!BexGetData("DP_1","003N8EMH8GTFRIVOG7KG9J9VY","GSON1112070255")</f>
        <v>#NAME?</v>
      </c>
      <c r="Q985" s="4" t="e">
        <f ca="1">[1]!BexGetData("DP_1","00O2TNJGODT0G5Z4TTKYMM5MT","GSON1112070255")</f>
        <v>#NAME?</v>
      </c>
      <c r="R985" s="4" t="e">
        <f ca="1">[1]!BexGetData("DP_1","00O2TNJGODT0G5Z4TTKYMMBYD","GSON1112070255")</f>
        <v>#NAME?</v>
      </c>
      <c r="S985" s="4" t="e">
        <f ca="1">[1]!BexGetData("DP_1","00O2TNJGODT0G5Z4TTKYMMI9X","GSON1112070255")</f>
        <v>#NAME?</v>
      </c>
      <c r="T985" s="4" t="e">
        <f ca="1">[1]!BexGetData("DP_1","00O2TNJGODT0G5Z4TTKYMMOLH","GSON1112070255")</f>
        <v>#NAME?</v>
      </c>
      <c r="U985" s="4" t="e">
        <f ca="1">[1]!BexGetData("DP_1","00O2TNJGODT0G5Z4TTKYMMUX1","GSON1112070255")</f>
        <v>#NAME?</v>
      </c>
      <c r="V985" s="4" t="e">
        <f ca="1">[1]!BexGetData("DP_1","00O2TNJGODT0G5Z4TTKYMN18L","GSON1112070255")</f>
        <v>#NAME?</v>
      </c>
      <c r="W985" s="4" t="e">
        <f ca="1">[1]!BexGetData("DP_1","00O2TNJGODT0G5Z4TTKYMN7K5","GSON1112070255")</f>
        <v>#NAME?</v>
      </c>
    </row>
    <row r="986" spans="1:23" x14ac:dyDescent="0.2">
      <c r="A986" s="16" t="s">
        <v>1069</v>
      </c>
      <c r="B986" s="7" t="s">
        <v>1070</v>
      </c>
      <c r="C986" s="3" t="e">
        <f ca="1">[1]!BexGetData("DP_1","003N8EMH8GTFRCSWKMPXRR8GU","GSON1112070260")</f>
        <v>#NAME?</v>
      </c>
      <c r="D986" s="3" t="e">
        <f ca="1">[1]!BexGetData("DP_1","003N8EMH8GTFRCSWKMPXRRESE","GSON1112070260")</f>
        <v>#NAME?</v>
      </c>
      <c r="E986" s="3" t="e">
        <f ca="1">[1]!BexGetData("DP_1","003N8EMH8GTFRCSWKMPXRRL3Y","GSON1112070260")</f>
        <v>#NAME?</v>
      </c>
      <c r="F986" s="3" t="e">
        <f ca="1">[1]!BexGetData("DP_1","003N8EMH8GTFRCSWKMPXRRRFI","GSON1112070260")</f>
        <v>#NAME?</v>
      </c>
      <c r="G986" s="3" t="e">
        <f ca="1">[1]!BexGetData("DP_1","003N8EMH8GTFRCSWKMPXRRXR2","GSON1112070260")</f>
        <v>#NAME?</v>
      </c>
      <c r="H986" s="8" t="e">
        <f ca="1">[1]!BexGetData("DP_1","003N8EMH8GTFRCSWKMPXRS42M","GSON1112070260")</f>
        <v>#NAME?</v>
      </c>
      <c r="I986" s="3" t="e">
        <f ca="1">[1]!BexGetData("DP_1","003N8EMH8GTFRCSWKMPXRSAE6","GSON1112070260")</f>
        <v>#NAME?</v>
      </c>
      <c r="J986" s="4" t="e">
        <f ca="1">[1]!BexGetData("DP_1","003N8EMH8GTFRCSWKMPXRSGPQ","GSON1112070260")</f>
        <v>#NAME?</v>
      </c>
      <c r="K986" s="3" t="e">
        <f ca="1">[1]!BexGetData("DP_1","003N8EMH8GTFRIVNUPY288VJH","GSON1112070260")</f>
        <v>#NAME?</v>
      </c>
      <c r="L986" s="3" t="e">
        <f ca="1">[1]!BexGetData("DP_1","003N8EMH8GTFRIVNUPY2891V1","GSON1112070260")</f>
        <v>#NAME?</v>
      </c>
      <c r="M986" s="3" t="e">
        <f ca="1">[1]!BexGetData("DP_1","003N8EMH8GTFRIVOG7KG9IQXA","GSON1112070260")</f>
        <v>#NAME?</v>
      </c>
      <c r="N986" s="8" t="e">
        <f ca="1">[1]!BexGetData("DP_1","003N8EMH8GTFRIVOG7KG9IX8U","GSON1112070260")</f>
        <v>#NAME?</v>
      </c>
      <c r="O986" s="3" t="e">
        <f ca="1">[1]!BexGetData("DP_1","003N8EMH8GTFRIVOG7KG9J3KE","GSON1112070260")</f>
        <v>#NAME?</v>
      </c>
      <c r="P986" s="8" t="e">
        <f ca="1">[1]!BexGetData("DP_1","003N8EMH8GTFRIVOG7KG9J9VY","GSON1112070260")</f>
        <v>#NAME?</v>
      </c>
      <c r="Q986" s="4" t="e">
        <f ca="1">[1]!BexGetData("DP_1","00O2TNJGODT0G5Z4TTKYMM5MT","GSON1112070260")</f>
        <v>#NAME?</v>
      </c>
      <c r="R986" s="3" t="e">
        <f ca="1">[1]!BexGetData("DP_1","00O2TNJGODT0G5Z4TTKYMMBYD","GSON1112070260")</f>
        <v>#NAME?</v>
      </c>
      <c r="S986" s="3" t="e">
        <f ca="1">[1]!BexGetData("DP_1","00O2TNJGODT0G5Z4TTKYMMI9X","GSON1112070260")</f>
        <v>#NAME?</v>
      </c>
      <c r="T986" s="8" t="e">
        <f ca="1">[1]!BexGetData("DP_1","00O2TNJGODT0G5Z4TTKYMMOLH","GSON1112070260")</f>
        <v>#NAME?</v>
      </c>
      <c r="U986" s="3" t="e">
        <f ca="1">[1]!BexGetData("DP_1","00O2TNJGODT0G5Z4TTKYMMUX1","GSON1112070260")</f>
        <v>#NAME?</v>
      </c>
      <c r="V986" s="8" t="e">
        <f ca="1">[1]!BexGetData("DP_1","00O2TNJGODT0G5Z4TTKYMN18L","GSON1112070260")</f>
        <v>#NAME?</v>
      </c>
      <c r="W986" s="3" t="e">
        <f ca="1">[1]!BexGetData("DP_1","00O2TNJGODT0G5Z4TTKYMN7K5","GSON1112070260")</f>
        <v>#NAME?</v>
      </c>
    </row>
    <row r="987" spans="1:23" x14ac:dyDescent="0.2">
      <c r="A987" s="16" t="s">
        <v>3189</v>
      </c>
      <c r="B987" s="7" t="s">
        <v>3190</v>
      </c>
      <c r="C987" s="3" t="e">
        <f ca="1">[1]!BexGetData("DP_1","003N8EMH8GTFRCSWKMPXRR8GU","GSON1112070261")</f>
        <v>#NAME?</v>
      </c>
      <c r="D987" s="3" t="e">
        <f ca="1">[1]!BexGetData("DP_1","003N8EMH8GTFRCSWKMPXRRESE","GSON1112070261")</f>
        <v>#NAME?</v>
      </c>
      <c r="E987" s="8" t="e">
        <f ca="1">[1]!BexGetData("DP_1","003N8EMH8GTFRCSWKMPXRRL3Y","GSON1112070261")</f>
        <v>#NAME?</v>
      </c>
      <c r="F987" s="4" t="e">
        <f ca="1">[1]!BexGetData("DP_1","003N8EMH8GTFRCSWKMPXRRRFI","GSON1112070261")</f>
        <v>#NAME?</v>
      </c>
      <c r="G987" s="4" t="e">
        <f ca="1">[1]!BexGetData("DP_1","003N8EMH8GTFRCSWKMPXRRXR2","GSON1112070261")</f>
        <v>#NAME?</v>
      </c>
      <c r="H987" s="4" t="e">
        <f ca="1">[1]!BexGetData("DP_1","003N8EMH8GTFRCSWKMPXRS42M","GSON1112070261")</f>
        <v>#NAME?</v>
      </c>
      <c r="I987" s="4" t="e">
        <f ca="1">[1]!BexGetData("DP_1","003N8EMH8GTFRCSWKMPXRSAE6","GSON1112070261")</f>
        <v>#NAME?</v>
      </c>
      <c r="J987" s="4" t="e">
        <f ca="1">[1]!BexGetData("DP_1","003N8EMH8GTFRCSWKMPXRSGPQ","GSON1112070261")</f>
        <v>#NAME?</v>
      </c>
      <c r="K987" s="8" t="e">
        <f ca="1">[1]!BexGetData("DP_1","003N8EMH8GTFRIVNUPY288VJH","GSON1112070261")</f>
        <v>#NAME?</v>
      </c>
      <c r="L987" s="8" t="e">
        <f ca="1">[1]!BexGetData("DP_1","003N8EMH8GTFRIVNUPY2891V1","GSON1112070261")</f>
        <v>#NAME?</v>
      </c>
      <c r="M987" s="8" t="e">
        <f ca="1">[1]!BexGetData("DP_1","003N8EMH8GTFRIVOG7KG9IQXA","GSON1112070261")</f>
        <v>#NAME?</v>
      </c>
      <c r="N987" s="8" t="e">
        <f ca="1">[1]!BexGetData("DP_1","003N8EMH8GTFRIVOG7KG9IX8U","GSON1112070261")</f>
        <v>#NAME?</v>
      </c>
      <c r="O987" s="8" t="e">
        <f ca="1">[1]!BexGetData("DP_1","003N8EMH8GTFRIVOG7KG9J3KE","GSON1112070261")</f>
        <v>#NAME?</v>
      </c>
      <c r="P987" s="8" t="e">
        <f ca="1">[1]!BexGetData("DP_1","003N8EMH8GTFRIVOG7KG9J9VY","GSON1112070261")</f>
        <v>#NAME?</v>
      </c>
      <c r="Q987" s="4" t="e">
        <f ca="1">[1]!BexGetData("DP_1","00O2TNJGODT0G5Z4TTKYMM5MT","GSON1112070261")</f>
        <v>#NAME?</v>
      </c>
      <c r="R987" s="4" t="e">
        <f ca="1">[1]!BexGetData("DP_1","00O2TNJGODT0G5Z4TTKYMMBYD","GSON1112070261")</f>
        <v>#NAME?</v>
      </c>
      <c r="S987" s="4" t="e">
        <f ca="1">[1]!BexGetData("DP_1","00O2TNJGODT0G5Z4TTKYMMI9X","GSON1112070261")</f>
        <v>#NAME?</v>
      </c>
      <c r="T987" s="4" t="e">
        <f ca="1">[1]!BexGetData("DP_1","00O2TNJGODT0G5Z4TTKYMMOLH","GSON1112070261")</f>
        <v>#NAME?</v>
      </c>
      <c r="U987" s="4" t="e">
        <f ca="1">[1]!BexGetData("DP_1","00O2TNJGODT0G5Z4TTKYMMUX1","GSON1112070261")</f>
        <v>#NAME?</v>
      </c>
      <c r="V987" s="4" t="e">
        <f ca="1">[1]!BexGetData("DP_1","00O2TNJGODT0G5Z4TTKYMN18L","GSON1112070261")</f>
        <v>#NAME?</v>
      </c>
      <c r="W987" s="4" t="e">
        <f ca="1">[1]!BexGetData("DP_1","00O2TNJGODT0G5Z4TTKYMN7K5","GSON1112070261")</f>
        <v>#NAME?</v>
      </c>
    </row>
    <row r="988" spans="1:23" x14ac:dyDescent="0.2">
      <c r="A988" s="16" t="s">
        <v>3191</v>
      </c>
      <c r="B988" s="7" t="s">
        <v>3192</v>
      </c>
      <c r="C988" s="3" t="e">
        <f ca="1">[1]!BexGetData("DP_1","003N8EMH8GTFRCSWKMPXRR8GU","GSON1112070262")</f>
        <v>#NAME?</v>
      </c>
      <c r="D988" s="3" t="e">
        <f ca="1">[1]!BexGetData("DP_1","003N8EMH8GTFRCSWKMPXRRESE","GSON1112070262")</f>
        <v>#NAME?</v>
      </c>
      <c r="E988" s="8" t="e">
        <f ca="1">[1]!BexGetData("DP_1","003N8EMH8GTFRCSWKMPXRRL3Y","GSON1112070262")</f>
        <v>#NAME?</v>
      </c>
      <c r="F988" s="3" t="e">
        <f ca="1">[1]!BexGetData("DP_1","003N8EMH8GTFRCSWKMPXRRRFI","GSON1112070262")</f>
        <v>#NAME?</v>
      </c>
      <c r="G988" s="8" t="e">
        <f ca="1">[1]!BexGetData("DP_1","003N8EMH8GTFRCSWKMPXRRXR2","GSON1112070262")</f>
        <v>#NAME?</v>
      </c>
      <c r="H988" s="3" t="e">
        <f ca="1">[1]!BexGetData("DP_1","003N8EMH8GTFRCSWKMPXRS42M","GSON1112070262")</f>
        <v>#NAME?</v>
      </c>
      <c r="I988" s="3" t="e">
        <f ca="1">[1]!BexGetData("DP_1","003N8EMH8GTFRCSWKMPXRSAE6","GSON1112070262")</f>
        <v>#NAME?</v>
      </c>
      <c r="J988" s="4" t="e">
        <f ca="1">[1]!BexGetData("DP_1","003N8EMH8GTFRCSWKMPXRSGPQ","GSON1112070262")</f>
        <v>#NAME?</v>
      </c>
      <c r="K988" s="3" t="e">
        <f ca="1">[1]!BexGetData("DP_1","003N8EMH8GTFRIVNUPY288VJH","GSON1112070262")</f>
        <v>#NAME?</v>
      </c>
      <c r="L988" s="3" t="e">
        <f ca="1">[1]!BexGetData("DP_1","003N8EMH8GTFRIVNUPY2891V1","GSON1112070262")</f>
        <v>#NAME?</v>
      </c>
      <c r="M988" s="8" t="e">
        <f ca="1">[1]!BexGetData("DP_1","003N8EMH8GTFRIVOG7KG9IQXA","GSON1112070262")</f>
        <v>#NAME?</v>
      </c>
      <c r="N988" s="3" t="e">
        <f ca="1">[1]!BexGetData("DP_1","003N8EMH8GTFRIVOG7KG9IX8U","GSON1112070262")</f>
        <v>#NAME?</v>
      </c>
      <c r="O988" s="8" t="e">
        <f ca="1">[1]!BexGetData("DP_1","003N8EMH8GTFRIVOG7KG9J3KE","GSON1112070262")</f>
        <v>#NAME?</v>
      </c>
      <c r="P988" s="3" t="e">
        <f ca="1">[1]!BexGetData("DP_1","003N8EMH8GTFRIVOG7KG9J9VY","GSON1112070262")</f>
        <v>#NAME?</v>
      </c>
      <c r="Q988" s="4" t="e">
        <f ca="1">[1]!BexGetData("DP_1","00O2TNJGODT0G5Z4TTKYMM5MT","GSON1112070262")</f>
        <v>#NAME?</v>
      </c>
      <c r="R988" s="3" t="e">
        <f ca="1">[1]!BexGetData("DP_1","00O2TNJGODT0G5Z4TTKYMMBYD","GSON1112070262")</f>
        <v>#NAME?</v>
      </c>
      <c r="S988" s="3" t="e">
        <f ca="1">[1]!BexGetData("DP_1","00O2TNJGODT0G5Z4TTKYMMI9X","GSON1112070262")</f>
        <v>#NAME?</v>
      </c>
      <c r="T988" s="3" t="e">
        <f ca="1">[1]!BexGetData("DP_1","00O2TNJGODT0G5Z4TTKYMMOLH","GSON1112070262")</f>
        <v>#NAME?</v>
      </c>
      <c r="U988" s="8" t="e">
        <f ca="1">[1]!BexGetData("DP_1","00O2TNJGODT0G5Z4TTKYMMUX1","GSON1112070262")</f>
        <v>#NAME?</v>
      </c>
      <c r="V988" s="3" t="e">
        <f ca="1">[1]!BexGetData("DP_1","00O2TNJGODT0G5Z4TTKYMN18L","GSON1112070262")</f>
        <v>#NAME?</v>
      </c>
      <c r="W988" s="8" t="e">
        <f ca="1">[1]!BexGetData("DP_1","00O2TNJGODT0G5Z4TTKYMN7K5","GSON1112070262")</f>
        <v>#NAME?</v>
      </c>
    </row>
    <row r="989" spans="1:23" x14ac:dyDescent="0.2">
      <c r="A989" s="16" t="s">
        <v>3193</v>
      </c>
      <c r="B989" s="7" t="s">
        <v>3194</v>
      </c>
      <c r="C989" s="3" t="e">
        <f ca="1">[1]!BexGetData("DP_1","003N8EMH8GTFRCSWKMPXRR8GU","GSON1112070263")</f>
        <v>#NAME?</v>
      </c>
      <c r="D989" s="3" t="e">
        <f ca="1">[1]!BexGetData("DP_1","003N8EMH8GTFRCSWKMPXRRESE","GSON1112070263")</f>
        <v>#NAME?</v>
      </c>
      <c r="E989" s="8" t="e">
        <f ca="1">[1]!BexGetData("DP_1","003N8EMH8GTFRCSWKMPXRRL3Y","GSON1112070263")</f>
        <v>#NAME?</v>
      </c>
      <c r="F989" s="4" t="e">
        <f ca="1">[1]!BexGetData("DP_1","003N8EMH8GTFRCSWKMPXRRRFI","GSON1112070263")</f>
        <v>#NAME?</v>
      </c>
      <c r="G989" s="4" t="e">
        <f ca="1">[1]!BexGetData("DP_1","003N8EMH8GTFRCSWKMPXRRXR2","GSON1112070263")</f>
        <v>#NAME?</v>
      </c>
      <c r="H989" s="4" t="e">
        <f ca="1">[1]!BexGetData("DP_1","003N8EMH8GTFRCSWKMPXRS42M","GSON1112070263")</f>
        <v>#NAME?</v>
      </c>
      <c r="I989" s="4" t="e">
        <f ca="1">[1]!BexGetData("DP_1","003N8EMH8GTFRCSWKMPXRSAE6","GSON1112070263")</f>
        <v>#NAME?</v>
      </c>
      <c r="J989" s="4" t="e">
        <f ca="1">[1]!BexGetData("DP_1","003N8EMH8GTFRCSWKMPXRSGPQ","GSON1112070263")</f>
        <v>#NAME?</v>
      </c>
      <c r="K989" s="8" t="e">
        <f ca="1">[1]!BexGetData("DP_1","003N8EMH8GTFRIVNUPY288VJH","GSON1112070263")</f>
        <v>#NAME?</v>
      </c>
      <c r="L989" s="8" t="e">
        <f ca="1">[1]!BexGetData("DP_1","003N8EMH8GTFRIVNUPY2891V1","GSON1112070263")</f>
        <v>#NAME?</v>
      </c>
      <c r="M989" s="8" t="e">
        <f ca="1">[1]!BexGetData("DP_1","003N8EMH8GTFRIVOG7KG9IQXA","GSON1112070263")</f>
        <v>#NAME?</v>
      </c>
      <c r="N989" s="8" t="e">
        <f ca="1">[1]!BexGetData("DP_1","003N8EMH8GTFRIVOG7KG9IX8U","GSON1112070263")</f>
        <v>#NAME?</v>
      </c>
      <c r="O989" s="8" t="e">
        <f ca="1">[1]!BexGetData("DP_1","003N8EMH8GTFRIVOG7KG9J3KE","GSON1112070263")</f>
        <v>#NAME?</v>
      </c>
      <c r="P989" s="8" t="e">
        <f ca="1">[1]!BexGetData("DP_1","003N8EMH8GTFRIVOG7KG9J9VY","GSON1112070263")</f>
        <v>#NAME?</v>
      </c>
      <c r="Q989" s="4" t="e">
        <f ca="1">[1]!BexGetData("DP_1","00O2TNJGODT0G5Z4TTKYMM5MT","GSON1112070263")</f>
        <v>#NAME?</v>
      </c>
      <c r="R989" s="4" t="e">
        <f ca="1">[1]!BexGetData("DP_1","00O2TNJGODT0G5Z4TTKYMMBYD","GSON1112070263")</f>
        <v>#NAME?</v>
      </c>
      <c r="S989" s="4" t="e">
        <f ca="1">[1]!BexGetData("DP_1","00O2TNJGODT0G5Z4TTKYMMI9X","GSON1112070263")</f>
        <v>#NAME?</v>
      </c>
      <c r="T989" s="4" t="e">
        <f ca="1">[1]!BexGetData("DP_1","00O2TNJGODT0G5Z4TTKYMMOLH","GSON1112070263")</f>
        <v>#NAME?</v>
      </c>
      <c r="U989" s="4" t="e">
        <f ca="1">[1]!BexGetData("DP_1","00O2TNJGODT0G5Z4TTKYMMUX1","GSON1112070263")</f>
        <v>#NAME?</v>
      </c>
      <c r="V989" s="4" t="e">
        <f ca="1">[1]!BexGetData("DP_1","00O2TNJGODT0G5Z4TTKYMN18L","GSON1112070263")</f>
        <v>#NAME?</v>
      </c>
      <c r="W989" s="4" t="e">
        <f ca="1">[1]!BexGetData("DP_1","00O2TNJGODT0G5Z4TTKYMN7K5","GSON1112070263")</f>
        <v>#NAME?</v>
      </c>
    </row>
    <row r="990" spans="1:23" x14ac:dyDescent="0.2">
      <c r="A990" s="16" t="s">
        <v>3195</v>
      </c>
      <c r="B990" s="7" t="s">
        <v>3196</v>
      </c>
      <c r="C990" s="3" t="e">
        <f ca="1">[1]!BexGetData("DP_1","003N8EMH8GTFRCSWKMPXRR8GU","GSON1112070264")</f>
        <v>#NAME?</v>
      </c>
      <c r="D990" s="3" t="e">
        <f ca="1">[1]!BexGetData("DP_1","003N8EMH8GTFRCSWKMPXRRESE","GSON1112070264")</f>
        <v>#NAME?</v>
      </c>
      <c r="E990" s="8" t="e">
        <f ca="1">[1]!BexGetData("DP_1","003N8EMH8GTFRCSWKMPXRRL3Y","GSON1112070264")</f>
        <v>#NAME?</v>
      </c>
      <c r="F990" s="4" t="e">
        <f ca="1">[1]!BexGetData("DP_1","003N8EMH8GTFRCSWKMPXRRRFI","GSON1112070264")</f>
        <v>#NAME?</v>
      </c>
      <c r="G990" s="4" t="e">
        <f ca="1">[1]!BexGetData("DP_1","003N8EMH8GTFRCSWKMPXRRXR2","GSON1112070264")</f>
        <v>#NAME?</v>
      </c>
      <c r="H990" s="4" t="e">
        <f ca="1">[1]!BexGetData("DP_1","003N8EMH8GTFRCSWKMPXRS42M","GSON1112070264")</f>
        <v>#NAME?</v>
      </c>
      <c r="I990" s="4" t="e">
        <f ca="1">[1]!BexGetData("DP_1","003N8EMH8GTFRCSWKMPXRSAE6","GSON1112070264")</f>
        <v>#NAME?</v>
      </c>
      <c r="J990" s="4" t="e">
        <f ca="1">[1]!BexGetData("DP_1","003N8EMH8GTFRCSWKMPXRSGPQ","GSON1112070264")</f>
        <v>#NAME?</v>
      </c>
      <c r="K990" s="8" t="e">
        <f ca="1">[1]!BexGetData("DP_1","003N8EMH8GTFRIVNUPY288VJH","GSON1112070264")</f>
        <v>#NAME?</v>
      </c>
      <c r="L990" s="8" t="e">
        <f ca="1">[1]!BexGetData("DP_1","003N8EMH8GTFRIVNUPY2891V1","GSON1112070264")</f>
        <v>#NAME?</v>
      </c>
      <c r="M990" s="8" t="e">
        <f ca="1">[1]!BexGetData("DP_1","003N8EMH8GTFRIVOG7KG9IQXA","GSON1112070264")</f>
        <v>#NAME?</v>
      </c>
      <c r="N990" s="8" t="e">
        <f ca="1">[1]!BexGetData("DP_1","003N8EMH8GTFRIVOG7KG9IX8U","GSON1112070264")</f>
        <v>#NAME?</v>
      </c>
      <c r="O990" s="8" t="e">
        <f ca="1">[1]!BexGetData("DP_1","003N8EMH8GTFRIVOG7KG9J3KE","GSON1112070264")</f>
        <v>#NAME?</v>
      </c>
      <c r="P990" s="8" t="e">
        <f ca="1">[1]!BexGetData("DP_1","003N8EMH8GTFRIVOG7KG9J9VY","GSON1112070264")</f>
        <v>#NAME?</v>
      </c>
      <c r="Q990" s="4" t="e">
        <f ca="1">[1]!BexGetData("DP_1","00O2TNJGODT0G5Z4TTKYMM5MT","GSON1112070264")</f>
        <v>#NAME?</v>
      </c>
      <c r="R990" s="4" t="e">
        <f ca="1">[1]!BexGetData("DP_1","00O2TNJGODT0G5Z4TTKYMMBYD","GSON1112070264")</f>
        <v>#NAME?</v>
      </c>
      <c r="S990" s="4" t="e">
        <f ca="1">[1]!BexGetData("DP_1","00O2TNJGODT0G5Z4TTKYMMI9X","GSON1112070264")</f>
        <v>#NAME?</v>
      </c>
      <c r="T990" s="4" t="e">
        <f ca="1">[1]!BexGetData("DP_1","00O2TNJGODT0G5Z4TTKYMMOLH","GSON1112070264")</f>
        <v>#NAME?</v>
      </c>
      <c r="U990" s="4" t="e">
        <f ca="1">[1]!BexGetData("DP_1","00O2TNJGODT0G5Z4TTKYMMUX1","GSON1112070264")</f>
        <v>#NAME?</v>
      </c>
      <c r="V990" s="4" t="e">
        <f ca="1">[1]!BexGetData("DP_1","00O2TNJGODT0G5Z4TTKYMN18L","GSON1112070264")</f>
        <v>#NAME?</v>
      </c>
      <c r="W990" s="4" t="e">
        <f ca="1">[1]!BexGetData("DP_1","00O2TNJGODT0G5Z4TTKYMN7K5","GSON1112070264")</f>
        <v>#NAME?</v>
      </c>
    </row>
    <row r="991" spans="1:23" x14ac:dyDescent="0.2">
      <c r="A991" s="16" t="s">
        <v>1071</v>
      </c>
      <c r="B991" s="7" t="s">
        <v>1072</v>
      </c>
      <c r="C991" s="3" t="e">
        <f ca="1">[1]!BexGetData("DP_1","003N8EMH8GTFRCSWKMPXRR8GU","GSON1112070265")</f>
        <v>#NAME?</v>
      </c>
      <c r="D991" s="3" t="e">
        <f ca="1">[1]!BexGetData("DP_1","003N8EMH8GTFRCSWKMPXRRESE","GSON1112070265")</f>
        <v>#NAME?</v>
      </c>
      <c r="E991" s="8" t="e">
        <f ca="1">[1]!BexGetData("DP_1","003N8EMH8GTFRCSWKMPXRRL3Y","GSON1112070265")</f>
        <v>#NAME?</v>
      </c>
      <c r="F991" s="4" t="e">
        <f ca="1">[1]!BexGetData("DP_1","003N8EMH8GTFRCSWKMPXRRRFI","GSON1112070265")</f>
        <v>#NAME?</v>
      </c>
      <c r="G991" s="4" t="e">
        <f ca="1">[1]!BexGetData("DP_1","003N8EMH8GTFRCSWKMPXRRXR2","GSON1112070265")</f>
        <v>#NAME?</v>
      </c>
      <c r="H991" s="4" t="e">
        <f ca="1">[1]!BexGetData("DP_1","003N8EMH8GTFRCSWKMPXRS42M","GSON1112070265")</f>
        <v>#NAME?</v>
      </c>
      <c r="I991" s="4" t="e">
        <f ca="1">[1]!BexGetData("DP_1","003N8EMH8GTFRCSWKMPXRSAE6","GSON1112070265")</f>
        <v>#NAME?</v>
      </c>
      <c r="J991" s="4" t="e">
        <f ca="1">[1]!BexGetData("DP_1","003N8EMH8GTFRCSWKMPXRSGPQ","GSON1112070265")</f>
        <v>#NAME?</v>
      </c>
      <c r="K991" s="8" t="e">
        <f ca="1">[1]!BexGetData("DP_1","003N8EMH8GTFRIVNUPY288VJH","GSON1112070265")</f>
        <v>#NAME?</v>
      </c>
      <c r="L991" s="8" t="e">
        <f ca="1">[1]!BexGetData("DP_1","003N8EMH8GTFRIVNUPY2891V1","GSON1112070265")</f>
        <v>#NAME?</v>
      </c>
      <c r="M991" s="8" t="e">
        <f ca="1">[1]!BexGetData("DP_1","003N8EMH8GTFRIVOG7KG9IQXA","GSON1112070265")</f>
        <v>#NAME?</v>
      </c>
      <c r="N991" s="8" t="e">
        <f ca="1">[1]!BexGetData("DP_1","003N8EMH8GTFRIVOG7KG9IX8U","GSON1112070265")</f>
        <v>#NAME?</v>
      </c>
      <c r="O991" s="8" t="e">
        <f ca="1">[1]!BexGetData("DP_1","003N8EMH8GTFRIVOG7KG9J3KE","GSON1112070265")</f>
        <v>#NAME?</v>
      </c>
      <c r="P991" s="8" t="e">
        <f ca="1">[1]!BexGetData("DP_1","003N8EMH8GTFRIVOG7KG9J9VY","GSON1112070265")</f>
        <v>#NAME?</v>
      </c>
      <c r="Q991" s="4" t="e">
        <f ca="1">[1]!BexGetData("DP_1","00O2TNJGODT0G5Z4TTKYMM5MT","GSON1112070265")</f>
        <v>#NAME?</v>
      </c>
      <c r="R991" s="4" t="e">
        <f ca="1">[1]!BexGetData("DP_1","00O2TNJGODT0G5Z4TTKYMMBYD","GSON1112070265")</f>
        <v>#NAME?</v>
      </c>
      <c r="S991" s="4" t="e">
        <f ca="1">[1]!BexGetData("DP_1","00O2TNJGODT0G5Z4TTKYMMI9X","GSON1112070265")</f>
        <v>#NAME?</v>
      </c>
      <c r="T991" s="4" t="e">
        <f ca="1">[1]!BexGetData("DP_1","00O2TNJGODT0G5Z4TTKYMMOLH","GSON1112070265")</f>
        <v>#NAME?</v>
      </c>
      <c r="U991" s="4" t="e">
        <f ca="1">[1]!BexGetData("DP_1","00O2TNJGODT0G5Z4TTKYMMUX1","GSON1112070265")</f>
        <v>#NAME?</v>
      </c>
      <c r="V991" s="4" t="e">
        <f ca="1">[1]!BexGetData("DP_1","00O2TNJGODT0G5Z4TTKYMN18L","GSON1112070265")</f>
        <v>#NAME?</v>
      </c>
      <c r="W991" s="4" t="e">
        <f ca="1">[1]!BexGetData("DP_1","00O2TNJGODT0G5Z4TTKYMN7K5","GSON1112070265")</f>
        <v>#NAME?</v>
      </c>
    </row>
    <row r="992" spans="1:23" x14ac:dyDescent="0.2">
      <c r="A992" s="16" t="s">
        <v>3197</v>
      </c>
      <c r="B992" s="7" t="s">
        <v>3198</v>
      </c>
      <c r="C992" s="3" t="e">
        <f ca="1">[1]!BexGetData("DP_1","003N8EMH8GTFRCSWKMPXRR8GU","GSON1112070270")</f>
        <v>#NAME?</v>
      </c>
      <c r="D992" s="3" t="e">
        <f ca="1">[1]!BexGetData("DP_1","003N8EMH8GTFRCSWKMPXRRESE","GSON1112070270")</f>
        <v>#NAME?</v>
      </c>
      <c r="E992" s="3" t="e">
        <f ca="1">[1]!BexGetData("DP_1","003N8EMH8GTFRCSWKMPXRRL3Y","GSON1112070270")</f>
        <v>#NAME?</v>
      </c>
      <c r="F992" s="4" t="e">
        <f ca="1">[1]!BexGetData("DP_1","003N8EMH8GTFRCSWKMPXRRRFI","GSON1112070270")</f>
        <v>#NAME?</v>
      </c>
      <c r="G992" s="4" t="e">
        <f ca="1">[1]!BexGetData("DP_1","003N8EMH8GTFRCSWKMPXRRXR2","GSON1112070270")</f>
        <v>#NAME?</v>
      </c>
      <c r="H992" s="4" t="e">
        <f ca="1">[1]!BexGetData("DP_1","003N8EMH8GTFRCSWKMPXRS42M","GSON1112070270")</f>
        <v>#NAME?</v>
      </c>
      <c r="I992" s="4" t="e">
        <f ca="1">[1]!BexGetData("DP_1","003N8EMH8GTFRCSWKMPXRSAE6","GSON1112070270")</f>
        <v>#NAME?</v>
      </c>
      <c r="J992" s="4" t="e">
        <f ca="1">[1]!BexGetData("DP_1","003N8EMH8GTFRCSWKMPXRSGPQ","GSON1112070270")</f>
        <v>#NAME?</v>
      </c>
      <c r="K992" s="3" t="e">
        <f ca="1">[1]!BexGetData("DP_1","003N8EMH8GTFRIVNUPY288VJH","GSON1112070270")</f>
        <v>#NAME?</v>
      </c>
      <c r="L992" s="3" t="e">
        <f ca="1">[1]!BexGetData("DP_1","003N8EMH8GTFRIVNUPY2891V1","GSON1112070270")</f>
        <v>#NAME?</v>
      </c>
      <c r="M992" s="8" t="e">
        <f ca="1">[1]!BexGetData("DP_1","003N8EMH8GTFRIVOG7KG9IQXA","GSON1112070270")</f>
        <v>#NAME?</v>
      </c>
      <c r="N992" s="3" t="e">
        <f ca="1">[1]!BexGetData("DP_1","003N8EMH8GTFRIVOG7KG9IX8U","GSON1112070270")</f>
        <v>#NAME?</v>
      </c>
      <c r="O992" s="8" t="e">
        <f ca="1">[1]!BexGetData("DP_1","003N8EMH8GTFRIVOG7KG9J3KE","GSON1112070270")</f>
        <v>#NAME?</v>
      </c>
      <c r="P992" s="3" t="e">
        <f ca="1">[1]!BexGetData("DP_1","003N8EMH8GTFRIVOG7KG9J9VY","GSON1112070270")</f>
        <v>#NAME?</v>
      </c>
      <c r="Q992" s="4" t="e">
        <f ca="1">[1]!BexGetData("DP_1","00O2TNJGODT0G5Z4TTKYMM5MT","GSON1112070270")</f>
        <v>#NAME?</v>
      </c>
      <c r="R992" s="4" t="e">
        <f ca="1">[1]!BexGetData("DP_1","00O2TNJGODT0G5Z4TTKYMMBYD","GSON1112070270")</f>
        <v>#NAME?</v>
      </c>
      <c r="S992" s="4" t="e">
        <f ca="1">[1]!BexGetData("DP_1","00O2TNJGODT0G5Z4TTKYMMI9X","GSON1112070270")</f>
        <v>#NAME?</v>
      </c>
      <c r="T992" s="4" t="e">
        <f ca="1">[1]!BexGetData("DP_1","00O2TNJGODT0G5Z4TTKYMMOLH","GSON1112070270")</f>
        <v>#NAME?</v>
      </c>
      <c r="U992" s="4" t="e">
        <f ca="1">[1]!BexGetData("DP_1","00O2TNJGODT0G5Z4TTKYMMUX1","GSON1112070270")</f>
        <v>#NAME?</v>
      </c>
      <c r="V992" s="4" t="e">
        <f ca="1">[1]!BexGetData("DP_1","00O2TNJGODT0G5Z4TTKYMN18L","GSON1112070270")</f>
        <v>#NAME?</v>
      </c>
      <c r="W992" s="4" t="e">
        <f ca="1">[1]!BexGetData("DP_1","00O2TNJGODT0G5Z4TTKYMN7K5","GSON1112070270")</f>
        <v>#NAME?</v>
      </c>
    </row>
    <row r="993" spans="1:23" x14ac:dyDescent="0.2">
      <c r="A993" s="16" t="s">
        <v>3199</v>
      </c>
      <c r="B993" s="7" t="s">
        <v>3200</v>
      </c>
      <c r="C993" s="3" t="e">
        <f ca="1">[1]!BexGetData("DP_1","003N8EMH8GTFRCSWKMPXRR8GU","GSON1112070271")</f>
        <v>#NAME?</v>
      </c>
      <c r="D993" s="3" t="e">
        <f ca="1">[1]!BexGetData("DP_1","003N8EMH8GTFRCSWKMPXRRESE","GSON1112070271")</f>
        <v>#NAME?</v>
      </c>
      <c r="E993" s="8" t="e">
        <f ca="1">[1]!BexGetData("DP_1","003N8EMH8GTFRCSWKMPXRRL3Y","GSON1112070271")</f>
        <v>#NAME?</v>
      </c>
      <c r="F993" s="4" t="e">
        <f ca="1">[1]!BexGetData("DP_1","003N8EMH8GTFRCSWKMPXRRRFI","GSON1112070271")</f>
        <v>#NAME?</v>
      </c>
      <c r="G993" s="4" t="e">
        <f ca="1">[1]!BexGetData("DP_1","003N8EMH8GTFRCSWKMPXRRXR2","GSON1112070271")</f>
        <v>#NAME?</v>
      </c>
      <c r="H993" s="4" t="e">
        <f ca="1">[1]!BexGetData("DP_1","003N8EMH8GTFRCSWKMPXRS42M","GSON1112070271")</f>
        <v>#NAME?</v>
      </c>
      <c r="I993" s="4" t="e">
        <f ca="1">[1]!BexGetData("DP_1","003N8EMH8GTFRCSWKMPXRSAE6","GSON1112070271")</f>
        <v>#NAME?</v>
      </c>
      <c r="J993" s="4" t="e">
        <f ca="1">[1]!BexGetData("DP_1","003N8EMH8GTFRCSWKMPXRSGPQ","GSON1112070271")</f>
        <v>#NAME?</v>
      </c>
      <c r="K993" s="8" t="e">
        <f ca="1">[1]!BexGetData("DP_1","003N8EMH8GTFRIVNUPY288VJH","GSON1112070271")</f>
        <v>#NAME?</v>
      </c>
      <c r="L993" s="8" t="e">
        <f ca="1">[1]!BexGetData("DP_1","003N8EMH8GTFRIVNUPY2891V1","GSON1112070271")</f>
        <v>#NAME?</v>
      </c>
      <c r="M993" s="8" t="e">
        <f ca="1">[1]!BexGetData("DP_1","003N8EMH8GTFRIVOG7KG9IQXA","GSON1112070271")</f>
        <v>#NAME?</v>
      </c>
      <c r="N993" s="8" t="e">
        <f ca="1">[1]!BexGetData("DP_1","003N8EMH8GTFRIVOG7KG9IX8U","GSON1112070271")</f>
        <v>#NAME?</v>
      </c>
      <c r="O993" s="8" t="e">
        <f ca="1">[1]!BexGetData("DP_1","003N8EMH8GTFRIVOG7KG9J3KE","GSON1112070271")</f>
        <v>#NAME?</v>
      </c>
      <c r="P993" s="8" t="e">
        <f ca="1">[1]!BexGetData("DP_1","003N8EMH8GTFRIVOG7KG9J9VY","GSON1112070271")</f>
        <v>#NAME?</v>
      </c>
      <c r="Q993" s="4" t="e">
        <f ca="1">[1]!BexGetData("DP_1","00O2TNJGODT0G5Z4TTKYMM5MT","GSON1112070271")</f>
        <v>#NAME?</v>
      </c>
      <c r="R993" s="4" t="e">
        <f ca="1">[1]!BexGetData("DP_1","00O2TNJGODT0G5Z4TTKYMMBYD","GSON1112070271")</f>
        <v>#NAME?</v>
      </c>
      <c r="S993" s="4" t="e">
        <f ca="1">[1]!BexGetData("DP_1","00O2TNJGODT0G5Z4TTKYMMI9X","GSON1112070271")</f>
        <v>#NAME?</v>
      </c>
      <c r="T993" s="4" t="e">
        <f ca="1">[1]!BexGetData("DP_1","00O2TNJGODT0G5Z4TTKYMMOLH","GSON1112070271")</f>
        <v>#NAME?</v>
      </c>
      <c r="U993" s="4" t="e">
        <f ca="1">[1]!BexGetData("DP_1","00O2TNJGODT0G5Z4TTKYMMUX1","GSON1112070271")</f>
        <v>#NAME?</v>
      </c>
      <c r="V993" s="4" t="e">
        <f ca="1">[1]!BexGetData("DP_1","00O2TNJGODT0G5Z4TTKYMN18L","GSON1112070271")</f>
        <v>#NAME?</v>
      </c>
      <c r="W993" s="4" t="e">
        <f ca="1">[1]!BexGetData("DP_1","00O2TNJGODT0G5Z4TTKYMN7K5","GSON1112070271")</f>
        <v>#NAME?</v>
      </c>
    </row>
    <row r="994" spans="1:23" x14ac:dyDescent="0.2">
      <c r="A994" s="16" t="s">
        <v>3201</v>
      </c>
      <c r="B994" s="7" t="s">
        <v>3202</v>
      </c>
      <c r="C994" s="3" t="e">
        <f ca="1">[1]!BexGetData("DP_1","003N8EMH8GTFRCSWKMPXRR8GU","GSON1112070273")</f>
        <v>#NAME?</v>
      </c>
      <c r="D994" s="3" t="e">
        <f ca="1">[1]!BexGetData("DP_1","003N8EMH8GTFRCSWKMPXRRESE","GSON1112070273")</f>
        <v>#NAME?</v>
      </c>
      <c r="E994" s="8" t="e">
        <f ca="1">[1]!BexGetData("DP_1","003N8EMH8GTFRCSWKMPXRRL3Y","GSON1112070273")</f>
        <v>#NAME?</v>
      </c>
      <c r="F994" s="4" t="e">
        <f ca="1">[1]!BexGetData("DP_1","003N8EMH8GTFRCSWKMPXRRRFI","GSON1112070273")</f>
        <v>#NAME?</v>
      </c>
      <c r="G994" s="4" t="e">
        <f ca="1">[1]!BexGetData("DP_1","003N8EMH8GTFRCSWKMPXRRXR2","GSON1112070273")</f>
        <v>#NAME?</v>
      </c>
      <c r="H994" s="4" t="e">
        <f ca="1">[1]!BexGetData("DP_1","003N8EMH8GTFRCSWKMPXRS42M","GSON1112070273")</f>
        <v>#NAME?</v>
      </c>
      <c r="I994" s="4" t="e">
        <f ca="1">[1]!BexGetData("DP_1","003N8EMH8GTFRCSWKMPXRSAE6","GSON1112070273")</f>
        <v>#NAME?</v>
      </c>
      <c r="J994" s="4" t="e">
        <f ca="1">[1]!BexGetData("DP_1","003N8EMH8GTFRCSWKMPXRSGPQ","GSON1112070273")</f>
        <v>#NAME?</v>
      </c>
      <c r="K994" s="8" t="e">
        <f ca="1">[1]!BexGetData("DP_1","003N8EMH8GTFRIVNUPY288VJH","GSON1112070273")</f>
        <v>#NAME?</v>
      </c>
      <c r="L994" s="8" t="e">
        <f ca="1">[1]!BexGetData("DP_1","003N8EMH8GTFRIVNUPY2891V1","GSON1112070273")</f>
        <v>#NAME?</v>
      </c>
      <c r="M994" s="8" t="e">
        <f ca="1">[1]!BexGetData("DP_1","003N8EMH8GTFRIVOG7KG9IQXA","GSON1112070273")</f>
        <v>#NAME?</v>
      </c>
      <c r="N994" s="8" t="e">
        <f ca="1">[1]!BexGetData("DP_1","003N8EMH8GTFRIVOG7KG9IX8U","GSON1112070273")</f>
        <v>#NAME?</v>
      </c>
      <c r="O994" s="8" t="e">
        <f ca="1">[1]!BexGetData("DP_1","003N8EMH8GTFRIVOG7KG9J3KE","GSON1112070273")</f>
        <v>#NAME?</v>
      </c>
      <c r="P994" s="8" t="e">
        <f ca="1">[1]!BexGetData("DP_1","003N8EMH8GTFRIVOG7KG9J9VY","GSON1112070273")</f>
        <v>#NAME?</v>
      </c>
      <c r="Q994" s="4" t="e">
        <f ca="1">[1]!BexGetData("DP_1","00O2TNJGODT0G5Z4TTKYMM5MT","GSON1112070273")</f>
        <v>#NAME?</v>
      </c>
      <c r="R994" s="4" t="e">
        <f ca="1">[1]!BexGetData("DP_1","00O2TNJGODT0G5Z4TTKYMMBYD","GSON1112070273")</f>
        <v>#NAME?</v>
      </c>
      <c r="S994" s="4" t="e">
        <f ca="1">[1]!BexGetData("DP_1","00O2TNJGODT0G5Z4TTKYMMI9X","GSON1112070273")</f>
        <v>#NAME?</v>
      </c>
      <c r="T994" s="4" t="e">
        <f ca="1">[1]!BexGetData("DP_1","00O2TNJGODT0G5Z4TTKYMMOLH","GSON1112070273")</f>
        <v>#NAME?</v>
      </c>
      <c r="U994" s="4" t="e">
        <f ca="1">[1]!BexGetData("DP_1","00O2TNJGODT0G5Z4TTKYMMUX1","GSON1112070273")</f>
        <v>#NAME?</v>
      </c>
      <c r="V994" s="4" t="e">
        <f ca="1">[1]!BexGetData("DP_1","00O2TNJGODT0G5Z4TTKYMN18L","GSON1112070273")</f>
        <v>#NAME?</v>
      </c>
      <c r="W994" s="4" t="e">
        <f ca="1">[1]!BexGetData("DP_1","00O2TNJGODT0G5Z4TTKYMN7K5","GSON1112070273")</f>
        <v>#NAME?</v>
      </c>
    </row>
    <row r="995" spans="1:23" x14ac:dyDescent="0.2">
      <c r="A995" s="16" t="s">
        <v>3203</v>
      </c>
      <c r="B995" s="7" t="s">
        <v>3204</v>
      </c>
      <c r="C995" s="3" t="e">
        <f ca="1">[1]!BexGetData("DP_1","003N8EMH8GTFRCSWKMPXRR8GU","GSON1112070274")</f>
        <v>#NAME?</v>
      </c>
      <c r="D995" s="3" t="e">
        <f ca="1">[1]!BexGetData("DP_1","003N8EMH8GTFRCSWKMPXRRESE","GSON1112070274")</f>
        <v>#NAME?</v>
      </c>
      <c r="E995" s="8" t="e">
        <f ca="1">[1]!BexGetData("DP_1","003N8EMH8GTFRCSWKMPXRRL3Y","GSON1112070274")</f>
        <v>#NAME?</v>
      </c>
      <c r="F995" s="4" t="e">
        <f ca="1">[1]!BexGetData("DP_1","003N8EMH8GTFRCSWKMPXRRRFI","GSON1112070274")</f>
        <v>#NAME?</v>
      </c>
      <c r="G995" s="4" t="e">
        <f ca="1">[1]!BexGetData("DP_1","003N8EMH8GTFRCSWKMPXRRXR2","GSON1112070274")</f>
        <v>#NAME?</v>
      </c>
      <c r="H995" s="4" t="e">
        <f ca="1">[1]!BexGetData("DP_1","003N8EMH8GTFRCSWKMPXRS42M","GSON1112070274")</f>
        <v>#NAME?</v>
      </c>
      <c r="I995" s="4" t="e">
        <f ca="1">[1]!BexGetData("DP_1","003N8EMH8GTFRCSWKMPXRSAE6","GSON1112070274")</f>
        <v>#NAME?</v>
      </c>
      <c r="J995" s="4" t="e">
        <f ca="1">[1]!BexGetData("DP_1","003N8EMH8GTFRCSWKMPXRSGPQ","GSON1112070274")</f>
        <v>#NAME?</v>
      </c>
      <c r="K995" s="8" t="e">
        <f ca="1">[1]!BexGetData("DP_1","003N8EMH8GTFRIVNUPY288VJH","GSON1112070274")</f>
        <v>#NAME?</v>
      </c>
      <c r="L995" s="8" t="e">
        <f ca="1">[1]!BexGetData("DP_1","003N8EMH8GTFRIVNUPY2891V1","GSON1112070274")</f>
        <v>#NAME?</v>
      </c>
      <c r="M995" s="8" t="e">
        <f ca="1">[1]!BexGetData("DP_1","003N8EMH8GTFRIVOG7KG9IQXA","GSON1112070274")</f>
        <v>#NAME?</v>
      </c>
      <c r="N995" s="8" t="e">
        <f ca="1">[1]!BexGetData("DP_1","003N8EMH8GTFRIVOG7KG9IX8U","GSON1112070274")</f>
        <v>#NAME?</v>
      </c>
      <c r="O995" s="8" t="e">
        <f ca="1">[1]!BexGetData("DP_1","003N8EMH8GTFRIVOG7KG9J3KE","GSON1112070274")</f>
        <v>#NAME?</v>
      </c>
      <c r="P995" s="8" t="e">
        <f ca="1">[1]!BexGetData("DP_1","003N8EMH8GTFRIVOG7KG9J9VY","GSON1112070274")</f>
        <v>#NAME?</v>
      </c>
      <c r="Q995" s="4" t="e">
        <f ca="1">[1]!BexGetData("DP_1","00O2TNJGODT0G5Z4TTKYMM5MT","GSON1112070274")</f>
        <v>#NAME?</v>
      </c>
      <c r="R995" s="4" t="e">
        <f ca="1">[1]!BexGetData("DP_1","00O2TNJGODT0G5Z4TTKYMMBYD","GSON1112070274")</f>
        <v>#NAME?</v>
      </c>
      <c r="S995" s="4" t="e">
        <f ca="1">[1]!BexGetData("DP_1","00O2TNJGODT0G5Z4TTKYMMI9X","GSON1112070274")</f>
        <v>#NAME?</v>
      </c>
      <c r="T995" s="4" t="e">
        <f ca="1">[1]!BexGetData("DP_1","00O2TNJGODT0G5Z4TTKYMMOLH","GSON1112070274")</f>
        <v>#NAME?</v>
      </c>
      <c r="U995" s="4" t="e">
        <f ca="1">[1]!BexGetData("DP_1","00O2TNJGODT0G5Z4TTKYMMUX1","GSON1112070274")</f>
        <v>#NAME?</v>
      </c>
      <c r="V995" s="4" t="e">
        <f ca="1">[1]!BexGetData("DP_1","00O2TNJGODT0G5Z4TTKYMN18L","GSON1112070274")</f>
        <v>#NAME?</v>
      </c>
      <c r="W995" s="4" t="e">
        <f ca="1">[1]!BexGetData("DP_1","00O2TNJGODT0G5Z4TTKYMN7K5","GSON1112070274")</f>
        <v>#NAME?</v>
      </c>
    </row>
    <row r="996" spans="1:23" x14ac:dyDescent="0.2">
      <c r="A996" s="16" t="s">
        <v>3205</v>
      </c>
      <c r="B996" s="7" t="s">
        <v>3206</v>
      </c>
      <c r="C996" s="3" t="e">
        <f ca="1">[1]!BexGetData("DP_1","003N8EMH8GTFRCSWKMPXRR8GU","GSON1112070275")</f>
        <v>#NAME?</v>
      </c>
      <c r="D996" s="3" t="e">
        <f ca="1">[1]!BexGetData("DP_1","003N8EMH8GTFRCSWKMPXRRESE","GSON1112070275")</f>
        <v>#NAME?</v>
      </c>
      <c r="E996" s="8" t="e">
        <f ca="1">[1]!BexGetData("DP_1","003N8EMH8GTFRCSWKMPXRRL3Y","GSON1112070275")</f>
        <v>#NAME?</v>
      </c>
      <c r="F996" s="4" t="e">
        <f ca="1">[1]!BexGetData("DP_1","003N8EMH8GTFRCSWKMPXRRRFI","GSON1112070275")</f>
        <v>#NAME?</v>
      </c>
      <c r="G996" s="4" t="e">
        <f ca="1">[1]!BexGetData("DP_1","003N8EMH8GTFRCSWKMPXRRXR2","GSON1112070275")</f>
        <v>#NAME?</v>
      </c>
      <c r="H996" s="4" t="e">
        <f ca="1">[1]!BexGetData("DP_1","003N8EMH8GTFRCSWKMPXRS42M","GSON1112070275")</f>
        <v>#NAME?</v>
      </c>
      <c r="I996" s="4" t="e">
        <f ca="1">[1]!BexGetData("DP_1","003N8EMH8GTFRCSWKMPXRSAE6","GSON1112070275")</f>
        <v>#NAME?</v>
      </c>
      <c r="J996" s="4" t="e">
        <f ca="1">[1]!BexGetData("DP_1","003N8EMH8GTFRCSWKMPXRSGPQ","GSON1112070275")</f>
        <v>#NAME?</v>
      </c>
      <c r="K996" s="8" t="e">
        <f ca="1">[1]!BexGetData("DP_1","003N8EMH8GTFRIVNUPY288VJH","GSON1112070275")</f>
        <v>#NAME?</v>
      </c>
      <c r="L996" s="8" t="e">
        <f ca="1">[1]!BexGetData("DP_1","003N8EMH8GTFRIVNUPY2891V1","GSON1112070275")</f>
        <v>#NAME?</v>
      </c>
      <c r="M996" s="8" t="e">
        <f ca="1">[1]!BexGetData("DP_1","003N8EMH8GTFRIVOG7KG9IQXA","GSON1112070275")</f>
        <v>#NAME?</v>
      </c>
      <c r="N996" s="8" t="e">
        <f ca="1">[1]!BexGetData("DP_1","003N8EMH8GTFRIVOG7KG9IX8U","GSON1112070275")</f>
        <v>#NAME?</v>
      </c>
      <c r="O996" s="8" t="e">
        <f ca="1">[1]!BexGetData("DP_1","003N8EMH8GTFRIVOG7KG9J3KE","GSON1112070275")</f>
        <v>#NAME?</v>
      </c>
      <c r="P996" s="8" t="e">
        <f ca="1">[1]!BexGetData("DP_1","003N8EMH8GTFRIVOG7KG9J9VY","GSON1112070275")</f>
        <v>#NAME?</v>
      </c>
      <c r="Q996" s="4" t="e">
        <f ca="1">[1]!BexGetData("DP_1","00O2TNJGODT0G5Z4TTKYMM5MT","GSON1112070275")</f>
        <v>#NAME?</v>
      </c>
      <c r="R996" s="4" t="e">
        <f ca="1">[1]!BexGetData("DP_1","00O2TNJGODT0G5Z4TTKYMMBYD","GSON1112070275")</f>
        <v>#NAME?</v>
      </c>
      <c r="S996" s="4" t="e">
        <f ca="1">[1]!BexGetData("DP_1","00O2TNJGODT0G5Z4TTKYMMI9X","GSON1112070275")</f>
        <v>#NAME?</v>
      </c>
      <c r="T996" s="4" t="e">
        <f ca="1">[1]!BexGetData("DP_1","00O2TNJGODT0G5Z4TTKYMMOLH","GSON1112070275")</f>
        <v>#NAME?</v>
      </c>
      <c r="U996" s="4" t="e">
        <f ca="1">[1]!BexGetData("DP_1","00O2TNJGODT0G5Z4TTKYMMUX1","GSON1112070275")</f>
        <v>#NAME?</v>
      </c>
      <c r="V996" s="4" t="e">
        <f ca="1">[1]!BexGetData("DP_1","00O2TNJGODT0G5Z4TTKYMN18L","GSON1112070275")</f>
        <v>#NAME?</v>
      </c>
      <c r="W996" s="4" t="e">
        <f ca="1">[1]!BexGetData("DP_1","00O2TNJGODT0G5Z4TTKYMN7K5","GSON1112070275")</f>
        <v>#NAME?</v>
      </c>
    </row>
    <row r="997" spans="1:23" x14ac:dyDescent="0.2">
      <c r="A997" s="16" t="s">
        <v>3207</v>
      </c>
      <c r="B997" s="7" t="s">
        <v>3208</v>
      </c>
      <c r="C997" s="3" t="e">
        <f ca="1">[1]!BexGetData("DP_1","003N8EMH8GTFRCSWKMPXRR8GU","GSON1112070280")</f>
        <v>#NAME?</v>
      </c>
      <c r="D997" s="3" t="e">
        <f ca="1">[1]!BexGetData("DP_1","003N8EMH8GTFRCSWKMPXRRESE","GSON1112070280")</f>
        <v>#NAME?</v>
      </c>
      <c r="E997" s="3" t="e">
        <f ca="1">[1]!BexGetData("DP_1","003N8EMH8GTFRCSWKMPXRRL3Y","GSON1112070280")</f>
        <v>#NAME?</v>
      </c>
      <c r="F997" s="4" t="e">
        <f ca="1">[1]!BexGetData("DP_1","003N8EMH8GTFRCSWKMPXRRRFI","GSON1112070280")</f>
        <v>#NAME?</v>
      </c>
      <c r="G997" s="4" t="e">
        <f ca="1">[1]!BexGetData("DP_1","003N8EMH8GTFRCSWKMPXRRXR2","GSON1112070280")</f>
        <v>#NAME?</v>
      </c>
      <c r="H997" s="4" t="e">
        <f ca="1">[1]!BexGetData("DP_1","003N8EMH8GTFRCSWKMPXRS42M","GSON1112070280")</f>
        <v>#NAME?</v>
      </c>
      <c r="I997" s="4" t="e">
        <f ca="1">[1]!BexGetData("DP_1","003N8EMH8GTFRCSWKMPXRSAE6","GSON1112070280")</f>
        <v>#NAME?</v>
      </c>
      <c r="J997" s="4" t="e">
        <f ca="1">[1]!BexGetData("DP_1","003N8EMH8GTFRCSWKMPXRSGPQ","GSON1112070280")</f>
        <v>#NAME?</v>
      </c>
      <c r="K997" s="3" t="e">
        <f ca="1">[1]!BexGetData("DP_1","003N8EMH8GTFRIVNUPY288VJH","GSON1112070280")</f>
        <v>#NAME?</v>
      </c>
      <c r="L997" s="3" t="e">
        <f ca="1">[1]!BexGetData("DP_1","003N8EMH8GTFRIVNUPY2891V1","GSON1112070280")</f>
        <v>#NAME?</v>
      </c>
      <c r="M997" s="8" t="e">
        <f ca="1">[1]!BexGetData("DP_1","003N8EMH8GTFRIVOG7KG9IQXA","GSON1112070280")</f>
        <v>#NAME?</v>
      </c>
      <c r="N997" s="3" t="e">
        <f ca="1">[1]!BexGetData("DP_1","003N8EMH8GTFRIVOG7KG9IX8U","GSON1112070280")</f>
        <v>#NAME?</v>
      </c>
      <c r="O997" s="8" t="e">
        <f ca="1">[1]!BexGetData("DP_1","003N8EMH8GTFRIVOG7KG9J3KE","GSON1112070280")</f>
        <v>#NAME?</v>
      </c>
      <c r="P997" s="3" t="e">
        <f ca="1">[1]!BexGetData("DP_1","003N8EMH8GTFRIVOG7KG9J9VY","GSON1112070280")</f>
        <v>#NAME?</v>
      </c>
      <c r="Q997" s="4" t="e">
        <f ca="1">[1]!BexGetData("DP_1","00O2TNJGODT0G5Z4TTKYMM5MT","GSON1112070280")</f>
        <v>#NAME?</v>
      </c>
      <c r="R997" s="4" t="e">
        <f ca="1">[1]!BexGetData("DP_1","00O2TNJGODT0G5Z4TTKYMMBYD","GSON1112070280")</f>
        <v>#NAME?</v>
      </c>
      <c r="S997" s="4" t="e">
        <f ca="1">[1]!BexGetData("DP_1","00O2TNJGODT0G5Z4TTKYMMI9X","GSON1112070280")</f>
        <v>#NAME?</v>
      </c>
      <c r="T997" s="4" t="e">
        <f ca="1">[1]!BexGetData("DP_1","00O2TNJGODT0G5Z4TTKYMMOLH","GSON1112070280")</f>
        <v>#NAME?</v>
      </c>
      <c r="U997" s="4" t="e">
        <f ca="1">[1]!BexGetData("DP_1","00O2TNJGODT0G5Z4TTKYMMUX1","GSON1112070280")</f>
        <v>#NAME?</v>
      </c>
      <c r="V997" s="4" t="e">
        <f ca="1">[1]!BexGetData("DP_1","00O2TNJGODT0G5Z4TTKYMN18L","GSON1112070280")</f>
        <v>#NAME?</v>
      </c>
      <c r="W997" s="4" t="e">
        <f ca="1">[1]!BexGetData("DP_1","00O2TNJGODT0G5Z4TTKYMN7K5","GSON1112070280")</f>
        <v>#NAME?</v>
      </c>
    </row>
    <row r="998" spans="1:23" x14ac:dyDescent="0.2">
      <c r="A998" s="16" t="s">
        <v>3209</v>
      </c>
      <c r="B998" s="7" t="s">
        <v>3210</v>
      </c>
      <c r="C998" s="3" t="e">
        <f ca="1">[1]!BexGetData("DP_1","003N8EMH8GTFRCSWKMPXRR8GU","GSON1112070281")</f>
        <v>#NAME?</v>
      </c>
      <c r="D998" s="3" t="e">
        <f ca="1">[1]!BexGetData("DP_1","003N8EMH8GTFRCSWKMPXRRESE","GSON1112070281")</f>
        <v>#NAME?</v>
      </c>
      <c r="E998" s="8" t="e">
        <f ca="1">[1]!BexGetData("DP_1","003N8EMH8GTFRCSWKMPXRRL3Y","GSON1112070281")</f>
        <v>#NAME?</v>
      </c>
      <c r="F998" s="4" t="e">
        <f ca="1">[1]!BexGetData("DP_1","003N8EMH8GTFRCSWKMPXRRRFI","GSON1112070281")</f>
        <v>#NAME?</v>
      </c>
      <c r="G998" s="4" t="e">
        <f ca="1">[1]!BexGetData("DP_1","003N8EMH8GTFRCSWKMPXRRXR2","GSON1112070281")</f>
        <v>#NAME?</v>
      </c>
      <c r="H998" s="4" t="e">
        <f ca="1">[1]!BexGetData("DP_1","003N8EMH8GTFRCSWKMPXRS42M","GSON1112070281")</f>
        <v>#NAME?</v>
      </c>
      <c r="I998" s="4" t="e">
        <f ca="1">[1]!BexGetData("DP_1","003N8EMH8GTFRCSWKMPXRSAE6","GSON1112070281")</f>
        <v>#NAME?</v>
      </c>
      <c r="J998" s="4" t="e">
        <f ca="1">[1]!BexGetData("DP_1","003N8EMH8GTFRCSWKMPXRSGPQ","GSON1112070281")</f>
        <v>#NAME?</v>
      </c>
      <c r="K998" s="8" t="e">
        <f ca="1">[1]!BexGetData("DP_1","003N8EMH8GTFRIVNUPY288VJH","GSON1112070281")</f>
        <v>#NAME?</v>
      </c>
      <c r="L998" s="8" t="e">
        <f ca="1">[1]!BexGetData("DP_1","003N8EMH8GTFRIVNUPY2891V1","GSON1112070281")</f>
        <v>#NAME?</v>
      </c>
      <c r="M998" s="8" t="e">
        <f ca="1">[1]!BexGetData("DP_1","003N8EMH8GTFRIVOG7KG9IQXA","GSON1112070281")</f>
        <v>#NAME?</v>
      </c>
      <c r="N998" s="8" t="e">
        <f ca="1">[1]!BexGetData("DP_1","003N8EMH8GTFRIVOG7KG9IX8U","GSON1112070281")</f>
        <v>#NAME?</v>
      </c>
      <c r="O998" s="8" t="e">
        <f ca="1">[1]!BexGetData("DP_1","003N8EMH8GTFRIVOG7KG9J3KE","GSON1112070281")</f>
        <v>#NAME?</v>
      </c>
      <c r="P998" s="8" t="e">
        <f ca="1">[1]!BexGetData("DP_1","003N8EMH8GTFRIVOG7KG9J9VY","GSON1112070281")</f>
        <v>#NAME?</v>
      </c>
      <c r="Q998" s="4" t="e">
        <f ca="1">[1]!BexGetData("DP_1","00O2TNJGODT0G5Z4TTKYMM5MT","GSON1112070281")</f>
        <v>#NAME?</v>
      </c>
      <c r="R998" s="4" t="e">
        <f ca="1">[1]!BexGetData("DP_1","00O2TNJGODT0G5Z4TTKYMMBYD","GSON1112070281")</f>
        <v>#NAME?</v>
      </c>
      <c r="S998" s="4" t="e">
        <f ca="1">[1]!BexGetData("DP_1","00O2TNJGODT0G5Z4TTKYMMI9X","GSON1112070281")</f>
        <v>#NAME?</v>
      </c>
      <c r="T998" s="4" t="e">
        <f ca="1">[1]!BexGetData("DP_1","00O2TNJGODT0G5Z4TTKYMMOLH","GSON1112070281")</f>
        <v>#NAME?</v>
      </c>
      <c r="U998" s="4" t="e">
        <f ca="1">[1]!BexGetData("DP_1","00O2TNJGODT0G5Z4TTKYMMUX1","GSON1112070281")</f>
        <v>#NAME?</v>
      </c>
      <c r="V998" s="4" t="e">
        <f ca="1">[1]!BexGetData("DP_1","00O2TNJGODT0G5Z4TTKYMN18L","GSON1112070281")</f>
        <v>#NAME?</v>
      </c>
      <c r="W998" s="4" t="e">
        <f ca="1">[1]!BexGetData("DP_1","00O2TNJGODT0G5Z4TTKYMN7K5","GSON1112070281")</f>
        <v>#NAME?</v>
      </c>
    </row>
    <row r="999" spans="1:23" x14ac:dyDescent="0.2">
      <c r="A999" s="16" t="s">
        <v>3211</v>
      </c>
      <c r="B999" s="7" t="s">
        <v>3212</v>
      </c>
      <c r="C999" s="3" t="e">
        <f ca="1">[1]!BexGetData("DP_1","003N8EMH8GTFRCSWKMPXRR8GU","GSON1112070283")</f>
        <v>#NAME?</v>
      </c>
      <c r="D999" s="3" t="e">
        <f ca="1">[1]!BexGetData("DP_1","003N8EMH8GTFRCSWKMPXRRESE","GSON1112070283")</f>
        <v>#NAME?</v>
      </c>
      <c r="E999" s="8" t="e">
        <f ca="1">[1]!BexGetData("DP_1","003N8EMH8GTFRCSWKMPXRRL3Y","GSON1112070283")</f>
        <v>#NAME?</v>
      </c>
      <c r="F999" s="4" t="e">
        <f ca="1">[1]!BexGetData("DP_1","003N8EMH8GTFRCSWKMPXRRRFI","GSON1112070283")</f>
        <v>#NAME?</v>
      </c>
      <c r="G999" s="4" t="e">
        <f ca="1">[1]!BexGetData("DP_1","003N8EMH8GTFRCSWKMPXRRXR2","GSON1112070283")</f>
        <v>#NAME?</v>
      </c>
      <c r="H999" s="4" t="e">
        <f ca="1">[1]!BexGetData("DP_1","003N8EMH8GTFRCSWKMPXRS42M","GSON1112070283")</f>
        <v>#NAME?</v>
      </c>
      <c r="I999" s="4" t="e">
        <f ca="1">[1]!BexGetData("DP_1","003N8EMH8GTFRCSWKMPXRSAE6","GSON1112070283")</f>
        <v>#NAME?</v>
      </c>
      <c r="J999" s="4" t="e">
        <f ca="1">[1]!BexGetData("DP_1","003N8EMH8GTFRCSWKMPXRSGPQ","GSON1112070283")</f>
        <v>#NAME?</v>
      </c>
      <c r="K999" s="8" t="e">
        <f ca="1">[1]!BexGetData("DP_1","003N8EMH8GTFRIVNUPY288VJH","GSON1112070283")</f>
        <v>#NAME?</v>
      </c>
      <c r="L999" s="8" t="e">
        <f ca="1">[1]!BexGetData("DP_1","003N8EMH8GTFRIVNUPY2891V1","GSON1112070283")</f>
        <v>#NAME?</v>
      </c>
      <c r="M999" s="8" t="e">
        <f ca="1">[1]!BexGetData("DP_1","003N8EMH8GTFRIVOG7KG9IQXA","GSON1112070283")</f>
        <v>#NAME?</v>
      </c>
      <c r="N999" s="8" t="e">
        <f ca="1">[1]!BexGetData("DP_1","003N8EMH8GTFRIVOG7KG9IX8U","GSON1112070283")</f>
        <v>#NAME?</v>
      </c>
      <c r="O999" s="8" t="e">
        <f ca="1">[1]!BexGetData("DP_1","003N8EMH8GTFRIVOG7KG9J3KE","GSON1112070283")</f>
        <v>#NAME?</v>
      </c>
      <c r="P999" s="8" t="e">
        <f ca="1">[1]!BexGetData("DP_1","003N8EMH8GTFRIVOG7KG9J9VY","GSON1112070283")</f>
        <v>#NAME?</v>
      </c>
      <c r="Q999" s="4" t="e">
        <f ca="1">[1]!BexGetData("DP_1","00O2TNJGODT0G5Z4TTKYMM5MT","GSON1112070283")</f>
        <v>#NAME?</v>
      </c>
      <c r="R999" s="4" t="e">
        <f ca="1">[1]!BexGetData("DP_1","00O2TNJGODT0G5Z4TTKYMMBYD","GSON1112070283")</f>
        <v>#NAME?</v>
      </c>
      <c r="S999" s="4" t="e">
        <f ca="1">[1]!BexGetData("DP_1","00O2TNJGODT0G5Z4TTKYMMI9X","GSON1112070283")</f>
        <v>#NAME?</v>
      </c>
      <c r="T999" s="4" t="e">
        <f ca="1">[1]!BexGetData("DP_1","00O2TNJGODT0G5Z4TTKYMMOLH","GSON1112070283")</f>
        <v>#NAME?</v>
      </c>
      <c r="U999" s="4" t="e">
        <f ca="1">[1]!BexGetData("DP_1","00O2TNJGODT0G5Z4TTKYMMUX1","GSON1112070283")</f>
        <v>#NAME?</v>
      </c>
      <c r="V999" s="4" t="e">
        <f ca="1">[1]!BexGetData("DP_1","00O2TNJGODT0G5Z4TTKYMN18L","GSON1112070283")</f>
        <v>#NAME?</v>
      </c>
      <c r="W999" s="4" t="e">
        <f ca="1">[1]!BexGetData("DP_1","00O2TNJGODT0G5Z4TTKYMN7K5","GSON1112070283")</f>
        <v>#NAME?</v>
      </c>
    </row>
    <row r="1000" spans="1:23" x14ac:dyDescent="0.2">
      <c r="A1000" s="16" t="s">
        <v>3213</v>
      </c>
      <c r="B1000" s="7" t="s">
        <v>3214</v>
      </c>
      <c r="C1000" s="3" t="e">
        <f ca="1">[1]!BexGetData("DP_1","003N8EMH8GTFRCSWKMPXRR8GU","GSON1112070284")</f>
        <v>#NAME?</v>
      </c>
      <c r="D1000" s="3" t="e">
        <f ca="1">[1]!BexGetData("DP_1","003N8EMH8GTFRCSWKMPXRRESE","GSON1112070284")</f>
        <v>#NAME?</v>
      </c>
      <c r="E1000" s="8" t="e">
        <f ca="1">[1]!BexGetData("DP_1","003N8EMH8GTFRCSWKMPXRRL3Y","GSON1112070284")</f>
        <v>#NAME?</v>
      </c>
      <c r="F1000" s="4" t="e">
        <f ca="1">[1]!BexGetData("DP_1","003N8EMH8GTFRCSWKMPXRRRFI","GSON1112070284")</f>
        <v>#NAME?</v>
      </c>
      <c r="G1000" s="4" t="e">
        <f ca="1">[1]!BexGetData("DP_1","003N8EMH8GTFRCSWKMPXRRXR2","GSON1112070284")</f>
        <v>#NAME?</v>
      </c>
      <c r="H1000" s="4" t="e">
        <f ca="1">[1]!BexGetData("DP_1","003N8EMH8GTFRCSWKMPXRS42M","GSON1112070284")</f>
        <v>#NAME?</v>
      </c>
      <c r="I1000" s="4" t="e">
        <f ca="1">[1]!BexGetData("DP_1","003N8EMH8GTFRCSWKMPXRSAE6","GSON1112070284")</f>
        <v>#NAME?</v>
      </c>
      <c r="J1000" s="4" t="e">
        <f ca="1">[1]!BexGetData("DP_1","003N8EMH8GTFRCSWKMPXRSGPQ","GSON1112070284")</f>
        <v>#NAME?</v>
      </c>
      <c r="K1000" s="8" t="e">
        <f ca="1">[1]!BexGetData("DP_1","003N8EMH8GTFRIVNUPY288VJH","GSON1112070284")</f>
        <v>#NAME?</v>
      </c>
      <c r="L1000" s="8" t="e">
        <f ca="1">[1]!BexGetData("DP_1","003N8EMH8GTFRIVNUPY2891V1","GSON1112070284")</f>
        <v>#NAME?</v>
      </c>
      <c r="M1000" s="8" t="e">
        <f ca="1">[1]!BexGetData("DP_1","003N8EMH8GTFRIVOG7KG9IQXA","GSON1112070284")</f>
        <v>#NAME?</v>
      </c>
      <c r="N1000" s="8" t="e">
        <f ca="1">[1]!BexGetData("DP_1","003N8EMH8GTFRIVOG7KG9IX8U","GSON1112070284")</f>
        <v>#NAME?</v>
      </c>
      <c r="O1000" s="8" t="e">
        <f ca="1">[1]!BexGetData("DP_1","003N8EMH8GTFRIVOG7KG9J3KE","GSON1112070284")</f>
        <v>#NAME?</v>
      </c>
      <c r="P1000" s="8" t="e">
        <f ca="1">[1]!BexGetData("DP_1","003N8EMH8GTFRIVOG7KG9J9VY","GSON1112070284")</f>
        <v>#NAME?</v>
      </c>
      <c r="Q1000" s="4" t="e">
        <f ca="1">[1]!BexGetData("DP_1","00O2TNJGODT0G5Z4TTKYMM5MT","GSON1112070284")</f>
        <v>#NAME?</v>
      </c>
      <c r="R1000" s="4" t="e">
        <f ca="1">[1]!BexGetData("DP_1","00O2TNJGODT0G5Z4TTKYMMBYD","GSON1112070284")</f>
        <v>#NAME?</v>
      </c>
      <c r="S1000" s="4" t="e">
        <f ca="1">[1]!BexGetData("DP_1","00O2TNJGODT0G5Z4TTKYMMI9X","GSON1112070284")</f>
        <v>#NAME?</v>
      </c>
      <c r="T1000" s="4" t="e">
        <f ca="1">[1]!BexGetData("DP_1","00O2TNJGODT0G5Z4TTKYMMOLH","GSON1112070284")</f>
        <v>#NAME?</v>
      </c>
      <c r="U1000" s="4" t="e">
        <f ca="1">[1]!BexGetData("DP_1","00O2TNJGODT0G5Z4TTKYMMUX1","GSON1112070284")</f>
        <v>#NAME?</v>
      </c>
      <c r="V1000" s="4" t="e">
        <f ca="1">[1]!BexGetData("DP_1","00O2TNJGODT0G5Z4TTKYMN18L","GSON1112070284")</f>
        <v>#NAME?</v>
      </c>
      <c r="W1000" s="4" t="e">
        <f ca="1">[1]!BexGetData("DP_1","00O2TNJGODT0G5Z4TTKYMN7K5","GSON1112070284")</f>
        <v>#NAME?</v>
      </c>
    </row>
    <row r="1001" spans="1:23" x14ac:dyDescent="0.2">
      <c r="A1001" s="16" t="s">
        <v>3215</v>
      </c>
      <c r="B1001" s="7" t="s">
        <v>3216</v>
      </c>
      <c r="C1001" s="3" t="e">
        <f ca="1">[1]!BexGetData("DP_1","003N8EMH8GTFRCSWKMPXRR8GU","GSON1112070285")</f>
        <v>#NAME?</v>
      </c>
      <c r="D1001" s="3" t="e">
        <f ca="1">[1]!BexGetData("DP_1","003N8EMH8GTFRCSWKMPXRRESE","GSON1112070285")</f>
        <v>#NAME?</v>
      </c>
      <c r="E1001" s="8" t="e">
        <f ca="1">[1]!BexGetData("DP_1","003N8EMH8GTFRCSWKMPXRRL3Y","GSON1112070285")</f>
        <v>#NAME?</v>
      </c>
      <c r="F1001" s="4" t="e">
        <f ca="1">[1]!BexGetData("DP_1","003N8EMH8GTFRCSWKMPXRRRFI","GSON1112070285")</f>
        <v>#NAME?</v>
      </c>
      <c r="G1001" s="4" t="e">
        <f ca="1">[1]!BexGetData("DP_1","003N8EMH8GTFRCSWKMPXRRXR2","GSON1112070285")</f>
        <v>#NAME?</v>
      </c>
      <c r="H1001" s="4" t="e">
        <f ca="1">[1]!BexGetData("DP_1","003N8EMH8GTFRCSWKMPXRS42M","GSON1112070285")</f>
        <v>#NAME?</v>
      </c>
      <c r="I1001" s="4" t="e">
        <f ca="1">[1]!BexGetData("DP_1","003N8EMH8GTFRCSWKMPXRSAE6","GSON1112070285")</f>
        <v>#NAME?</v>
      </c>
      <c r="J1001" s="4" t="e">
        <f ca="1">[1]!BexGetData("DP_1","003N8EMH8GTFRCSWKMPXRSGPQ","GSON1112070285")</f>
        <v>#NAME?</v>
      </c>
      <c r="K1001" s="8" t="e">
        <f ca="1">[1]!BexGetData("DP_1","003N8EMH8GTFRIVNUPY288VJH","GSON1112070285")</f>
        <v>#NAME?</v>
      </c>
      <c r="L1001" s="8" t="e">
        <f ca="1">[1]!BexGetData("DP_1","003N8EMH8GTFRIVNUPY2891V1","GSON1112070285")</f>
        <v>#NAME?</v>
      </c>
      <c r="M1001" s="8" t="e">
        <f ca="1">[1]!BexGetData("DP_1","003N8EMH8GTFRIVOG7KG9IQXA","GSON1112070285")</f>
        <v>#NAME?</v>
      </c>
      <c r="N1001" s="8" t="e">
        <f ca="1">[1]!BexGetData("DP_1","003N8EMH8GTFRIVOG7KG9IX8U","GSON1112070285")</f>
        <v>#NAME?</v>
      </c>
      <c r="O1001" s="8" t="e">
        <f ca="1">[1]!BexGetData("DP_1","003N8EMH8GTFRIVOG7KG9J3KE","GSON1112070285")</f>
        <v>#NAME?</v>
      </c>
      <c r="P1001" s="8" t="e">
        <f ca="1">[1]!BexGetData("DP_1","003N8EMH8GTFRIVOG7KG9J9VY","GSON1112070285")</f>
        <v>#NAME?</v>
      </c>
      <c r="Q1001" s="4" t="e">
        <f ca="1">[1]!BexGetData("DP_1","00O2TNJGODT0G5Z4TTKYMM5MT","GSON1112070285")</f>
        <v>#NAME?</v>
      </c>
      <c r="R1001" s="4" t="e">
        <f ca="1">[1]!BexGetData("DP_1","00O2TNJGODT0G5Z4TTKYMMBYD","GSON1112070285")</f>
        <v>#NAME?</v>
      </c>
      <c r="S1001" s="4" t="e">
        <f ca="1">[1]!BexGetData("DP_1","00O2TNJGODT0G5Z4TTKYMMI9X","GSON1112070285")</f>
        <v>#NAME?</v>
      </c>
      <c r="T1001" s="4" t="e">
        <f ca="1">[1]!BexGetData("DP_1","00O2TNJGODT0G5Z4TTKYMMOLH","GSON1112070285")</f>
        <v>#NAME?</v>
      </c>
      <c r="U1001" s="4" t="e">
        <f ca="1">[1]!BexGetData("DP_1","00O2TNJGODT0G5Z4TTKYMMUX1","GSON1112070285")</f>
        <v>#NAME?</v>
      </c>
      <c r="V1001" s="4" t="e">
        <f ca="1">[1]!BexGetData("DP_1","00O2TNJGODT0G5Z4TTKYMN18L","GSON1112070285")</f>
        <v>#NAME?</v>
      </c>
      <c r="W1001" s="4" t="e">
        <f ca="1">[1]!BexGetData("DP_1","00O2TNJGODT0G5Z4TTKYMN7K5","GSON1112070285")</f>
        <v>#NAME?</v>
      </c>
    </row>
    <row r="1002" spans="1:23" x14ac:dyDescent="0.2">
      <c r="A1002" s="16" t="s">
        <v>3217</v>
      </c>
      <c r="B1002" s="7" t="s">
        <v>3218</v>
      </c>
      <c r="C1002" s="3" t="e">
        <f ca="1">[1]!BexGetData("DP_1","003N8EMH8GTFRCSWKMPXRR8GU","GSON1112070290")</f>
        <v>#NAME?</v>
      </c>
      <c r="D1002" s="3" t="e">
        <f ca="1">[1]!BexGetData("DP_1","003N8EMH8GTFRCSWKMPXRRESE","GSON1112070290")</f>
        <v>#NAME?</v>
      </c>
      <c r="E1002" s="3" t="e">
        <f ca="1">[1]!BexGetData("DP_1","003N8EMH8GTFRCSWKMPXRRL3Y","GSON1112070290")</f>
        <v>#NAME?</v>
      </c>
      <c r="F1002" s="4" t="e">
        <f ca="1">[1]!BexGetData("DP_1","003N8EMH8GTFRCSWKMPXRRRFI","GSON1112070290")</f>
        <v>#NAME?</v>
      </c>
      <c r="G1002" s="4" t="e">
        <f ca="1">[1]!BexGetData("DP_1","003N8EMH8GTFRCSWKMPXRRXR2","GSON1112070290")</f>
        <v>#NAME?</v>
      </c>
      <c r="H1002" s="4" t="e">
        <f ca="1">[1]!BexGetData("DP_1","003N8EMH8GTFRCSWKMPXRS42M","GSON1112070290")</f>
        <v>#NAME?</v>
      </c>
      <c r="I1002" s="4" t="e">
        <f ca="1">[1]!BexGetData("DP_1","003N8EMH8GTFRCSWKMPXRSAE6","GSON1112070290")</f>
        <v>#NAME?</v>
      </c>
      <c r="J1002" s="4" t="e">
        <f ca="1">[1]!BexGetData("DP_1","003N8EMH8GTFRCSWKMPXRSGPQ","GSON1112070290")</f>
        <v>#NAME?</v>
      </c>
      <c r="K1002" s="3" t="e">
        <f ca="1">[1]!BexGetData("DP_1","003N8EMH8GTFRIVNUPY288VJH","GSON1112070290")</f>
        <v>#NAME?</v>
      </c>
      <c r="L1002" s="3" t="e">
        <f ca="1">[1]!BexGetData("DP_1","003N8EMH8GTFRIVNUPY2891V1","GSON1112070290")</f>
        <v>#NAME?</v>
      </c>
      <c r="M1002" s="8" t="e">
        <f ca="1">[1]!BexGetData("DP_1","003N8EMH8GTFRIVOG7KG9IQXA","GSON1112070290")</f>
        <v>#NAME?</v>
      </c>
      <c r="N1002" s="3" t="e">
        <f ca="1">[1]!BexGetData("DP_1","003N8EMH8GTFRIVOG7KG9IX8U","GSON1112070290")</f>
        <v>#NAME?</v>
      </c>
      <c r="O1002" s="8" t="e">
        <f ca="1">[1]!BexGetData("DP_1","003N8EMH8GTFRIVOG7KG9J3KE","GSON1112070290")</f>
        <v>#NAME?</v>
      </c>
      <c r="P1002" s="3" t="e">
        <f ca="1">[1]!BexGetData("DP_1","003N8EMH8GTFRIVOG7KG9J9VY","GSON1112070290")</f>
        <v>#NAME?</v>
      </c>
      <c r="Q1002" s="4" t="e">
        <f ca="1">[1]!BexGetData("DP_1","00O2TNJGODT0G5Z4TTKYMM5MT","GSON1112070290")</f>
        <v>#NAME?</v>
      </c>
      <c r="R1002" s="4" t="e">
        <f ca="1">[1]!BexGetData("DP_1","00O2TNJGODT0G5Z4TTKYMMBYD","GSON1112070290")</f>
        <v>#NAME?</v>
      </c>
      <c r="S1002" s="4" t="e">
        <f ca="1">[1]!BexGetData("DP_1","00O2TNJGODT0G5Z4TTKYMMI9X","GSON1112070290")</f>
        <v>#NAME?</v>
      </c>
      <c r="T1002" s="4" t="e">
        <f ca="1">[1]!BexGetData("DP_1","00O2TNJGODT0G5Z4TTKYMMOLH","GSON1112070290")</f>
        <v>#NAME?</v>
      </c>
      <c r="U1002" s="4" t="e">
        <f ca="1">[1]!BexGetData("DP_1","00O2TNJGODT0G5Z4TTKYMMUX1","GSON1112070290")</f>
        <v>#NAME?</v>
      </c>
      <c r="V1002" s="4" t="e">
        <f ca="1">[1]!BexGetData("DP_1","00O2TNJGODT0G5Z4TTKYMN18L","GSON1112070290")</f>
        <v>#NAME?</v>
      </c>
      <c r="W1002" s="4" t="e">
        <f ca="1">[1]!BexGetData("DP_1","00O2TNJGODT0G5Z4TTKYMN7K5","GSON1112070290")</f>
        <v>#NAME?</v>
      </c>
    </row>
    <row r="1003" spans="1:23" x14ac:dyDescent="0.2">
      <c r="A1003" s="16" t="s">
        <v>3219</v>
      </c>
      <c r="B1003" s="7" t="s">
        <v>3220</v>
      </c>
      <c r="C1003" s="3" t="e">
        <f ca="1">[1]!BexGetData("DP_1","003N8EMH8GTFRCSWKMPXRR8GU","GSON1112070291")</f>
        <v>#NAME?</v>
      </c>
      <c r="D1003" s="3" t="e">
        <f ca="1">[1]!BexGetData("DP_1","003N8EMH8GTFRCSWKMPXRRESE","GSON1112070291")</f>
        <v>#NAME?</v>
      </c>
      <c r="E1003" s="8" t="e">
        <f ca="1">[1]!BexGetData("DP_1","003N8EMH8GTFRCSWKMPXRRL3Y","GSON1112070291")</f>
        <v>#NAME?</v>
      </c>
      <c r="F1003" s="4" t="e">
        <f ca="1">[1]!BexGetData("DP_1","003N8EMH8GTFRCSWKMPXRRRFI","GSON1112070291")</f>
        <v>#NAME?</v>
      </c>
      <c r="G1003" s="4" t="e">
        <f ca="1">[1]!BexGetData("DP_1","003N8EMH8GTFRCSWKMPXRRXR2","GSON1112070291")</f>
        <v>#NAME?</v>
      </c>
      <c r="H1003" s="4" t="e">
        <f ca="1">[1]!BexGetData("DP_1","003N8EMH8GTFRCSWKMPXRS42M","GSON1112070291")</f>
        <v>#NAME?</v>
      </c>
      <c r="I1003" s="4" t="e">
        <f ca="1">[1]!BexGetData("DP_1","003N8EMH8GTFRCSWKMPXRSAE6","GSON1112070291")</f>
        <v>#NAME?</v>
      </c>
      <c r="J1003" s="4" t="e">
        <f ca="1">[1]!BexGetData("DP_1","003N8EMH8GTFRCSWKMPXRSGPQ","GSON1112070291")</f>
        <v>#NAME?</v>
      </c>
      <c r="K1003" s="8" t="e">
        <f ca="1">[1]!BexGetData("DP_1","003N8EMH8GTFRIVNUPY288VJH","GSON1112070291")</f>
        <v>#NAME?</v>
      </c>
      <c r="L1003" s="8" t="e">
        <f ca="1">[1]!BexGetData("DP_1","003N8EMH8GTFRIVNUPY2891V1","GSON1112070291")</f>
        <v>#NAME?</v>
      </c>
      <c r="M1003" s="8" t="e">
        <f ca="1">[1]!BexGetData("DP_1","003N8EMH8GTFRIVOG7KG9IQXA","GSON1112070291")</f>
        <v>#NAME?</v>
      </c>
      <c r="N1003" s="8" t="e">
        <f ca="1">[1]!BexGetData("DP_1","003N8EMH8GTFRIVOG7KG9IX8U","GSON1112070291")</f>
        <v>#NAME?</v>
      </c>
      <c r="O1003" s="8" t="e">
        <f ca="1">[1]!BexGetData("DP_1","003N8EMH8GTFRIVOG7KG9J3KE","GSON1112070291")</f>
        <v>#NAME?</v>
      </c>
      <c r="P1003" s="8" t="e">
        <f ca="1">[1]!BexGetData("DP_1","003N8EMH8GTFRIVOG7KG9J9VY","GSON1112070291")</f>
        <v>#NAME?</v>
      </c>
      <c r="Q1003" s="4" t="e">
        <f ca="1">[1]!BexGetData("DP_1","00O2TNJGODT0G5Z4TTKYMM5MT","GSON1112070291")</f>
        <v>#NAME?</v>
      </c>
      <c r="R1003" s="4" t="e">
        <f ca="1">[1]!BexGetData("DP_1","00O2TNJGODT0G5Z4TTKYMMBYD","GSON1112070291")</f>
        <v>#NAME?</v>
      </c>
      <c r="S1003" s="4" t="e">
        <f ca="1">[1]!BexGetData("DP_1","00O2TNJGODT0G5Z4TTKYMMI9X","GSON1112070291")</f>
        <v>#NAME?</v>
      </c>
      <c r="T1003" s="4" t="e">
        <f ca="1">[1]!BexGetData("DP_1","00O2TNJGODT0G5Z4TTKYMMOLH","GSON1112070291")</f>
        <v>#NAME?</v>
      </c>
      <c r="U1003" s="4" t="e">
        <f ca="1">[1]!BexGetData("DP_1","00O2TNJGODT0G5Z4TTKYMMUX1","GSON1112070291")</f>
        <v>#NAME?</v>
      </c>
      <c r="V1003" s="4" t="e">
        <f ca="1">[1]!BexGetData("DP_1","00O2TNJGODT0G5Z4TTKYMN18L","GSON1112070291")</f>
        <v>#NAME?</v>
      </c>
      <c r="W1003" s="4" t="e">
        <f ca="1">[1]!BexGetData("DP_1","00O2TNJGODT0G5Z4TTKYMN7K5","GSON1112070291")</f>
        <v>#NAME?</v>
      </c>
    </row>
    <row r="1004" spans="1:23" x14ac:dyDescent="0.2">
      <c r="A1004" s="16" t="s">
        <v>3221</v>
      </c>
      <c r="B1004" s="7" t="s">
        <v>3222</v>
      </c>
      <c r="C1004" s="3" t="e">
        <f ca="1">[1]!BexGetData("DP_1","003N8EMH8GTFRCSWKMPXRR8GU","GSON1112070293")</f>
        <v>#NAME?</v>
      </c>
      <c r="D1004" s="3" t="e">
        <f ca="1">[1]!BexGetData("DP_1","003N8EMH8GTFRCSWKMPXRRESE","GSON1112070293")</f>
        <v>#NAME?</v>
      </c>
      <c r="E1004" s="8" t="e">
        <f ca="1">[1]!BexGetData("DP_1","003N8EMH8GTFRCSWKMPXRRL3Y","GSON1112070293")</f>
        <v>#NAME?</v>
      </c>
      <c r="F1004" s="4" t="e">
        <f ca="1">[1]!BexGetData("DP_1","003N8EMH8GTFRCSWKMPXRRRFI","GSON1112070293")</f>
        <v>#NAME?</v>
      </c>
      <c r="G1004" s="4" t="e">
        <f ca="1">[1]!BexGetData("DP_1","003N8EMH8GTFRCSWKMPXRRXR2","GSON1112070293")</f>
        <v>#NAME?</v>
      </c>
      <c r="H1004" s="4" t="e">
        <f ca="1">[1]!BexGetData("DP_1","003N8EMH8GTFRCSWKMPXRS42M","GSON1112070293")</f>
        <v>#NAME?</v>
      </c>
      <c r="I1004" s="4" t="e">
        <f ca="1">[1]!BexGetData("DP_1","003N8EMH8GTFRCSWKMPXRSAE6","GSON1112070293")</f>
        <v>#NAME?</v>
      </c>
      <c r="J1004" s="4" t="e">
        <f ca="1">[1]!BexGetData("DP_1","003N8EMH8GTFRCSWKMPXRSGPQ","GSON1112070293")</f>
        <v>#NAME?</v>
      </c>
      <c r="K1004" s="8" t="e">
        <f ca="1">[1]!BexGetData("DP_1","003N8EMH8GTFRIVNUPY288VJH","GSON1112070293")</f>
        <v>#NAME?</v>
      </c>
      <c r="L1004" s="8" t="e">
        <f ca="1">[1]!BexGetData("DP_1","003N8EMH8GTFRIVNUPY2891V1","GSON1112070293")</f>
        <v>#NAME?</v>
      </c>
      <c r="M1004" s="8" t="e">
        <f ca="1">[1]!BexGetData("DP_1","003N8EMH8GTFRIVOG7KG9IQXA","GSON1112070293")</f>
        <v>#NAME?</v>
      </c>
      <c r="N1004" s="8" t="e">
        <f ca="1">[1]!BexGetData("DP_1","003N8EMH8GTFRIVOG7KG9IX8U","GSON1112070293")</f>
        <v>#NAME?</v>
      </c>
      <c r="O1004" s="8" t="e">
        <f ca="1">[1]!BexGetData("DP_1","003N8EMH8GTFRIVOG7KG9J3KE","GSON1112070293")</f>
        <v>#NAME?</v>
      </c>
      <c r="P1004" s="8" t="e">
        <f ca="1">[1]!BexGetData("DP_1","003N8EMH8GTFRIVOG7KG9J9VY","GSON1112070293")</f>
        <v>#NAME?</v>
      </c>
      <c r="Q1004" s="4" t="e">
        <f ca="1">[1]!BexGetData("DP_1","00O2TNJGODT0G5Z4TTKYMM5MT","GSON1112070293")</f>
        <v>#NAME?</v>
      </c>
      <c r="R1004" s="4" t="e">
        <f ca="1">[1]!BexGetData("DP_1","00O2TNJGODT0G5Z4TTKYMMBYD","GSON1112070293")</f>
        <v>#NAME?</v>
      </c>
      <c r="S1004" s="4" t="e">
        <f ca="1">[1]!BexGetData("DP_1","00O2TNJGODT0G5Z4TTKYMMI9X","GSON1112070293")</f>
        <v>#NAME?</v>
      </c>
      <c r="T1004" s="4" t="e">
        <f ca="1">[1]!BexGetData("DP_1","00O2TNJGODT0G5Z4TTKYMMOLH","GSON1112070293")</f>
        <v>#NAME?</v>
      </c>
      <c r="U1004" s="4" t="e">
        <f ca="1">[1]!BexGetData("DP_1","00O2TNJGODT0G5Z4TTKYMMUX1","GSON1112070293")</f>
        <v>#NAME?</v>
      </c>
      <c r="V1004" s="4" t="e">
        <f ca="1">[1]!BexGetData("DP_1","00O2TNJGODT0G5Z4TTKYMN18L","GSON1112070293")</f>
        <v>#NAME?</v>
      </c>
      <c r="W1004" s="4" t="e">
        <f ca="1">[1]!BexGetData("DP_1","00O2TNJGODT0G5Z4TTKYMN7K5","GSON1112070293")</f>
        <v>#NAME?</v>
      </c>
    </row>
    <row r="1005" spans="1:23" x14ac:dyDescent="0.2">
      <c r="A1005" s="16" t="s">
        <v>3223</v>
      </c>
      <c r="B1005" s="7" t="s">
        <v>3224</v>
      </c>
      <c r="C1005" s="3" t="e">
        <f ca="1">[1]!BexGetData("DP_1","003N8EMH8GTFRCSWKMPXRR8GU","GSON1112070294")</f>
        <v>#NAME?</v>
      </c>
      <c r="D1005" s="3" t="e">
        <f ca="1">[1]!BexGetData("DP_1","003N8EMH8GTFRCSWKMPXRRESE","GSON1112070294")</f>
        <v>#NAME?</v>
      </c>
      <c r="E1005" s="8" t="e">
        <f ca="1">[1]!BexGetData("DP_1","003N8EMH8GTFRCSWKMPXRRL3Y","GSON1112070294")</f>
        <v>#NAME?</v>
      </c>
      <c r="F1005" s="4" t="e">
        <f ca="1">[1]!BexGetData("DP_1","003N8EMH8GTFRCSWKMPXRRRFI","GSON1112070294")</f>
        <v>#NAME?</v>
      </c>
      <c r="G1005" s="4" t="e">
        <f ca="1">[1]!BexGetData("DP_1","003N8EMH8GTFRCSWKMPXRRXR2","GSON1112070294")</f>
        <v>#NAME?</v>
      </c>
      <c r="H1005" s="4" t="e">
        <f ca="1">[1]!BexGetData("DP_1","003N8EMH8GTFRCSWKMPXRS42M","GSON1112070294")</f>
        <v>#NAME?</v>
      </c>
      <c r="I1005" s="4" t="e">
        <f ca="1">[1]!BexGetData("DP_1","003N8EMH8GTFRCSWKMPXRSAE6","GSON1112070294")</f>
        <v>#NAME?</v>
      </c>
      <c r="J1005" s="4" t="e">
        <f ca="1">[1]!BexGetData("DP_1","003N8EMH8GTFRCSWKMPXRSGPQ","GSON1112070294")</f>
        <v>#NAME?</v>
      </c>
      <c r="K1005" s="8" t="e">
        <f ca="1">[1]!BexGetData("DP_1","003N8EMH8GTFRIVNUPY288VJH","GSON1112070294")</f>
        <v>#NAME?</v>
      </c>
      <c r="L1005" s="8" t="e">
        <f ca="1">[1]!BexGetData("DP_1","003N8EMH8GTFRIVNUPY2891V1","GSON1112070294")</f>
        <v>#NAME?</v>
      </c>
      <c r="M1005" s="8" t="e">
        <f ca="1">[1]!BexGetData("DP_1","003N8EMH8GTFRIVOG7KG9IQXA","GSON1112070294")</f>
        <v>#NAME?</v>
      </c>
      <c r="N1005" s="8" t="e">
        <f ca="1">[1]!BexGetData("DP_1","003N8EMH8GTFRIVOG7KG9IX8U","GSON1112070294")</f>
        <v>#NAME?</v>
      </c>
      <c r="O1005" s="8" t="e">
        <f ca="1">[1]!BexGetData("DP_1","003N8EMH8GTFRIVOG7KG9J3KE","GSON1112070294")</f>
        <v>#NAME?</v>
      </c>
      <c r="P1005" s="8" t="e">
        <f ca="1">[1]!BexGetData("DP_1","003N8EMH8GTFRIVOG7KG9J9VY","GSON1112070294")</f>
        <v>#NAME?</v>
      </c>
      <c r="Q1005" s="4" t="e">
        <f ca="1">[1]!BexGetData("DP_1","00O2TNJGODT0G5Z4TTKYMM5MT","GSON1112070294")</f>
        <v>#NAME?</v>
      </c>
      <c r="R1005" s="4" t="e">
        <f ca="1">[1]!BexGetData("DP_1","00O2TNJGODT0G5Z4TTKYMMBYD","GSON1112070294")</f>
        <v>#NAME?</v>
      </c>
      <c r="S1005" s="4" t="e">
        <f ca="1">[1]!BexGetData("DP_1","00O2TNJGODT0G5Z4TTKYMMI9X","GSON1112070294")</f>
        <v>#NAME?</v>
      </c>
      <c r="T1005" s="4" t="e">
        <f ca="1">[1]!BexGetData("DP_1","00O2TNJGODT0G5Z4TTKYMMOLH","GSON1112070294")</f>
        <v>#NAME?</v>
      </c>
      <c r="U1005" s="4" t="e">
        <f ca="1">[1]!BexGetData("DP_1","00O2TNJGODT0G5Z4TTKYMMUX1","GSON1112070294")</f>
        <v>#NAME?</v>
      </c>
      <c r="V1005" s="4" t="e">
        <f ca="1">[1]!BexGetData("DP_1","00O2TNJGODT0G5Z4TTKYMN18L","GSON1112070294")</f>
        <v>#NAME?</v>
      </c>
      <c r="W1005" s="4" t="e">
        <f ca="1">[1]!BexGetData("DP_1","00O2TNJGODT0G5Z4TTKYMN7K5","GSON1112070294")</f>
        <v>#NAME?</v>
      </c>
    </row>
    <row r="1006" spans="1:23" x14ac:dyDescent="0.2">
      <c r="A1006" s="16" t="s">
        <v>3225</v>
      </c>
      <c r="B1006" s="7" t="s">
        <v>3226</v>
      </c>
      <c r="C1006" s="3" t="e">
        <f ca="1">[1]!BexGetData("DP_1","003N8EMH8GTFRCSWKMPXRR8GU","GSON1112070295")</f>
        <v>#NAME?</v>
      </c>
      <c r="D1006" s="3" t="e">
        <f ca="1">[1]!BexGetData("DP_1","003N8EMH8GTFRCSWKMPXRRESE","GSON1112070295")</f>
        <v>#NAME?</v>
      </c>
      <c r="E1006" s="8" t="e">
        <f ca="1">[1]!BexGetData("DP_1","003N8EMH8GTFRCSWKMPXRRL3Y","GSON1112070295")</f>
        <v>#NAME?</v>
      </c>
      <c r="F1006" s="4" t="e">
        <f ca="1">[1]!BexGetData("DP_1","003N8EMH8GTFRCSWKMPXRRRFI","GSON1112070295")</f>
        <v>#NAME?</v>
      </c>
      <c r="G1006" s="4" t="e">
        <f ca="1">[1]!BexGetData("DP_1","003N8EMH8GTFRCSWKMPXRRXR2","GSON1112070295")</f>
        <v>#NAME?</v>
      </c>
      <c r="H1006" s="4" t="e">
        <f ca="1">[1]!BexGetData("DP_1","003N8EMH8GTFRCSWKMPXRS42M","GSON1112070295")</f>
        <v>#NAME?</v>
      </c>
      <c r="I1006" s="4" t="e">
        <f ca="1">[1]!BexGetData("DP_1","003N8EMH8GTFRCSWKMPXRSAE6","GSON1112070295")</f>
        <v>#NAME?</v>
      </c>
      <c r="J1006" s="4" t="e">
        <f ca="1">[1]!BexGetData("DP_1","003N8EMH8GTFRCSWKMPXRSGPQ","GSON1112070295")</f>
        <v>#NAME?</v>
      </c>
      <c r="K1006" s="8" t="e">
        <f ca="1">[1]!BexGetData("DP_1","003N8EMH8GTFRIVNUPY288VJH","GSON1112070295")</f>
        <v>#NAME?</v>
      </c>
      <c r="L1006" s="8" t="e">
        <f ca="1">[1]!BexGetData("DP_1","003N8EMH8GTFRIVNUPY2891V1","GSON1112070295")</f>
        <v>#NAME?</v>
      </c>
      <c r="M1006" s="8" t="e">
        <f ca="1">[1]!BexGetData("DP_1","003N8EMH8GTFRIVOG7KG9IQXA","GSON1112070295")</f>
        <v>#NAME?</v>
      </c>
      <c r="N1006" s="8" t="e">
        <f ca="1">[1]!BexGetData("DP_1","003N8EMH8GTFRIVOG7KG9IX8U","GSON1112070295")</f>
        <v>#NAME?</v>
      </c>
      <c r="O1006" s="8" t="e">
        <f ca="1">[1]!BexGetData("DP_1","003N8EMH8GTFRIVOG7KG9J3KE","GSON1112070295")</f>
        <v>#NAME?</v>
      </c>
      <c r="P1006" s="8" t="e">
        <f ca="1">[1]!BexGetData("DP_1","003N8EMH8GTFRIVOG7KG9J9VY","GSON1112070295")</f>
        <v>#NAME?</v>
      </c>
      <c r="Q1006" s="4" t="e">
        <f ca="1">[1]!BexGetData("DP_1","00O2TNJGODT0G5Z4TTKYMM5MT","GSON1112070295")</f>
        <v>#NAME?</v>
      </c>
      <c r="R1006" s="4" t="e">
        <f ca="1">[1]!BexGetData("DP_1","00O2TNJGODT0G5Z4TTKYMMBYD","GSON1112070295")</f>
        <v>#NAME?</v>
      </c>
      <c r="S1006" s="4" t="e">
        <f ca="1">[1]!BexGetData("DP_1","00O2TNJGODT0G5Z4TTKYMMI9X","GSON1112070295")</f>
        <v>#NAME?</v>
      </c>
      <c r="T1006" s="4" t="e">
        <f ca="1">[1]!BexGetData("DP_1","00O2TNJGODT0G5Z4TTKYMMOLH","GSON1112070295")</f>
        <v>#NAME?</v>
      </c>
      <c r="U1006" s="4" t="e">
        <f ca="1">[1]!BexGetData("DP_1","00O2TNJGODT0G5Z4TTKYMMUX1","GSON1112070295")</f>
        <v>#NAME?</v>
      </c>
      <c r="V1006" s="4" t="e">
        <f ca="1">[1]!BexGetData("DP_1","00O2TNJGODT0G5Z4TTKYMN18L","GSON1112070295")</f>
        <v>#NAME?</v>
      </c>
      <c r="W1006" s="4" t="e">
        <f ca="1">[1]!BexGetData("DP_1","00O2TNJGODT0G5Z4TTKYMN7K5","GSON1112070295")</f>
        <v>#NAME?</v>
      </c>
    </row>
    <row r="1007" spans="1:23" x14ac:dyDescent="0.2">
      <c r="A1007" s="16" t="s">
        <v>3227</v>
      </c>
      <c r="B1007" s="7" t="s">
        <v>3228</v>
      </c>
      <c r="C1007" s="3" t="e">
        <f ca="1">[1]!BexGetData("DP_1","003N8EMH8GTFRCSWKMPXRR8GU","GSON1112070300")</f>
        <v>#NAME?</v>
      </c>
      <c r="D1007" s="3" t="e">
        <f ca="1">[1]!BexGetData("DP_1","003N8EMH8GTFRCSWKMPXRRESE","GSON1112070300")</f>
        <v>#NAME?</v>
      </c>
      <c r="E1007" s="3" t="e">
        <f ca="1">[1]!BexGetData("DP_1","003N8EMH8GTFRCSWKMPXRRL3Y","GSON1112070300")</f>
        <v>#NAME?</v>
      </c>
      <c r="F1007" s="4" t="e">
        <f ca="1">[1]!BexGetData("DP_1","003N8EMH8GTFRCSWKMPXRRRFI","GSON1112070300")</f>
        <v>#NAME?</v>
      </c>
      <c r="G1007" s="4" t="e">
        <f ca="1">[1]!BexGetData("DP_1","003N8EMH8GTFRCSWKMPXRRXR2","GSON1112070300")</f>
        <v>#NAME?</v>
      </c>
      <c r="H1007" s="4" t="e">
        <f ca="1">[1]!BexGetData("DP_1","003N8EMH8GTFRCSWKMPXRS42M","GSON1112070300")</f>
        <v>#NAME?</v>
      </c>
      <c r="I1007" s="4" t="e">
        <f ca="1">[1]!BexGetData("DP_1","003N8EMH8GTFRCSWKMPXRSAE6","GSON1112070300")</f>
        <v>#NAME?</v>
      </c>
      <c r="J1007" s="4" t="e">
        <f ca="1">[1]!BexGetData("DP_1","003N8EMH8GTFRCSWKMPXRSGPQ","GSON1112070300")</f>
        <v>#NAME?</v>
      </c>
      <c r="K1007" s="3" t="e">
        <f ca="1">[1]!BexGetData("DP_1","003N8EMH8GTFRIVNUPY288VJH","GSON1112070300")</f>
        <v>#NAME?</v>
      </c>
      <c r="L1007" s="3" t="e">
        <f ca="1">[1]!BexGetData("DP_1","003N8EMH8GTFRIVNUPY2891V1","GSON1112070300")</f>
        <v>#NAME?</v>
      </c>
      <c r="M1007" s="8" t="e">
        <f ca="1">[1]!BexGetData("DP_1","003N8EMH8GTFRIVOG7KG9IQXA","GSON1112070300")</f>
        <v>#NAME?</v>
      </c>
      <c r="N1007" s="3" t="e">
        <f ca="1">[1]!BexGetData("DP_1","003N8EMH8GTFRIVOG7KG9IX8U","GSON1112070300")</f>
        <v>#NAME?</v>
      </c>
      <c r="O1007" s="8" t="e">
        <f ca="1">[1]!BexGetData("DP_1","003N8EMH8GTFRIVOG7KG9J3KE","GSON1112070300")</f>
        <v>#NAME?</v>
      </c>
      <c r="P1007" s="3" t="e">
        <f ca="1">[1]!BexGetData("DP_1","003N8EMH8GTFRIVOG7KG9J9VY","GSON1112070300")</f>
        <v>#NAME?</v>
      </c>
      <c r="Q1007" s="4" t="e">
        <f ca="1">[1]!BexGetData("DP_1","00O2TNJGODT0G5Z4TTKYMM5MT","GSON1112070300")</f>
        <v>#NAME?</v>
      </c>
      <c r="R1007" s="4" t="e">
        <f ca="1">[1]!BexGetData("DP_1","00O2TNJGODT0G5Z4TTKYMMBYD","GSON1112070300")</f>
        <v>#NAME?</v>
      </c>
      <c r="S1007" s="4" t="e">
        <f ca="1">[1]!BexGetData("DP_1","00O2TNJGODT0G5Z4TTKYMMI9X","GSON1112070300")</f>
        <v>#NAME?</v>
      </c>
      <c r="T1007" s="4" t="e">
        <f ca="1">[1]!BexGetData("DP_1","00O2TNJGODT0G5Z4TTKYMMOLH","GSON1112070300")</f>
        <v>#NAME?</v>
      </c>
      <c r="U1007" s="4" t="e">
        <f ca="1">[1]!BexGetData("DP_1","00O2TNJGODT0G5Z4TTKYMMUX1","GSON1112070300")</f>
        <v>#NAME?</v>
      </c>
      <c r="V1007" s="4" t="e">
        <f ca="1">[1]!BexGetData("DP_1","00O2TNJGODT0G5Z4TTKYMN18L","GSON1112070300")</f>
        <v>#NAME?</v>
      </c>
      <c r="W1007" s="4" t="e">
        <f ca="1">[1]!BexGetData("DP_1","00O2TNJGODT0G5Z4TTKYMN7K5","GSON1112070300")</f>
        <v>#NAME?</v>
      </c>
    </row>
    <row r="1008" spans="1:23" x14ac:dyDescent="0.2">
      <c r="A1008" s="16" t="s">
        <v>3229</v>
      </c>
      <c r="B1008" s="7" t="s">
        <v>3230</v>
      </c>
      <c r="C1008" s="3" t="e">
        <f ca="1">[1]!BexGetData("DP_1","003N8EMH8GTFRCSWKMPXRR8GU","GSON1112070301")</f>
        <v>#NAME?</v>
      </c>
      <c r="D1008" s="3" t="e">
        <f ca="1">[1]!BexGetData("DP_1","003N8EMH8GTFRCSWKMPXRRESE","GSON1112070301")</f>
        <v>#NAME?</v>
      </c>
      <c r="E1008" s="8" t="e">
        <f ca="1">[1]!BexGetData("DP_1","003N8EMH8GTFRCSWKMPXRRL3Y","GSON1112070301")</f>
        <v>#NAME?</v>
      </c>
      <c r="F1008" s="4" t="e">
        <f ca="1">[1]!BexGetData("DP_1","003N8EMH8GTFRCSWKMPXRRRFI","GSON1112070301")</f>
        <v>#NAME?</v>
      </c>
      <c r="G1008" s="4" t="e">
        <f ca="1">[1]!BexGetData("DP_1","003N8EMH8GTFRCSWKMPXRRXR2","GSON1112070301")</f>
        <v>#NAME?</v>
      </c>
      <c r="H1008" s="4" t="e">
        <f ca="1">[1]!BexGetData("DP_1","003N8EMH8GTFRCSWKMPXRS42M","GSON1112070301")</f>
        <v>#NAME?</v>
      </c>
      <c r="I1008" s="4" t="e">
        <f ca="1">[1]!BexGetData("DP_1","003N8EMH8GTFRCSWKMPXRSAE6","GSON1112070301")</f>
        <v>#NAME?</v>
      </c>
      <c r="J1008" s="4" t="e">
        <f ca="1">[1]!BexGetData("DP_1","003N8EMH8GTFRCSWKMPXRSGPQ","GSON1112070301")</f>
        <v>#NAME?</v>
      </c>
      <c r="K1008" s="8" t="e">
        <f ca="1">[1]!BexGetData("DP_1","003N8EMH8GTFRIVNUPY288VJH","GSON1112070301")</f>
        <v>#NAME?</v>
      </c>
      <c r="L1008" s="8" t="e">
        <f ca="1">[1]!BexGetData("DP_1","003N8EMH8GTFRIVNUPY2891V1","GSON1112070301")</f>
        <v>#NAME?</v>
      </c>
      <c r="M1008" s="8" t="e">
        <f ca="1">[1]!BexGetData("DP_1","003N8EMH8GTFRIVOG7KG9IQXA","GSON1112070301")</f>
        <v>#NAME?</v>
      </c>
      <c r="N1008" s="8" t="e">
        <f ca="1">[1]!BexGetData("DP_1","003N8EMH8GTFRIVOG7KG9IX8U","GSON1112070301")</f>
        <v>#NAME?</v>
      </c>
      <c r="O1008" s="8" t="e">
        <f ca="1">[1]!BexGetData("DP_1","003N8EMH8GTFRIVOG7KG9J3KE","GSON1112070301")</f>
        <v>#NAME?</v>
      </c>
      <c r="P1008" s="8" t="e">
        <f ca="1">[1]!BexGetData("DP_1","003N8EMH8GTFRIVOG7KG9J9VY","GSON1112070301")</f>
        <v>#NAME?</v>
      </c>
      <c r="Q1008" s="4" t="e">
        <f ca="1">[1]!BexGetData("DP_1","00O2TNJGODT0G5Z4TTKYMM5MT","GSON1112070301")</f>
        <v>#NAME?</v>
      </c>
      <c r="R1008" s="4" t="e">
        <f ca="1">[1]!BexGetData("DP_1","00O2TNJGODT0G5Z4TTKYMMBYD","GSON1112070301")</f>
        <v>#NAME?</v>
      </c>
      <c r="S1008" s="4" t="e">
        <f ca="1">[1]!BexGetData("DP_1","00O2TNJGODT0G5Z4TTKYMMI9X","GSON1112070301")</f>
        <v>#NAME?</v>
      </c>
      <c r="T1008" s="4" t="e">
        <f ca="1">[1]!BexGetData("DP_1","00O2TNJGODT0G5Z4TTKYMMOLH","GSON1112070301")</f>
        <v>#NAME?</v>
      </c>
      <c r="U1008" s="4" t="e">
        <f ca="1">[1]!BexGetData("DP_1","00O2TNJGODT0G5Z4TTKYMMUX1","GSON1112070301")</f>
        <v>#NAME?</v>
      </c>
      <c r="V1008" s="4" t="e">
        <f ca="1">[1]!BexGetData("DP_1","00O2TNJGODT0G5Z4TTKYMN18L","GSON1112070301")</f>
        <v>#NAME?</v>
      </c>
      <c r="W1008" s="4" t="e">
        <f ca="1">[1]!BexGetData("DP_1","00O2TNJGODT0G5Z4TTKYMN7K5","GSON1112070301")</f>
        <v>#NAME?</v>
      </c>
    </row>
    <row r="1009" spans="1:23" x14ac:dyDescent="0.2">
      <c r="A1009" s="16" t="s">
        <v>3231</v>
      </c>
      <c r="B1009" s="7" t="s">
        <v>3232</v>
      </c>
      <c r="C1009" s="3" t="e">
        <f ca="1">[1]!BexGetData("DP_1","003N8EMH8GTFRCSWKMPXRR8GU","GSON1112070303")</f>
        <v>#NAME?</v>
      </c>
      <c r="D1009" s="3" t="e">
        <f ca="1">[1]!BexGetData("DP_1","003N8EMH8GTFRCSWKMPXRRESE","GSON1112070303")</f>
        <v>#NAME?</v>
      </c>
      <c r="E1009" s="8" t="e">
        <f ca="1">[1]!BexGetData("DP_1","003N8EMH8GTFRCSWKMPXRRL3Y","GSON1112070303")</f>
        <v>#NAME?</v>
      </c>
      <c r="F1009" s="4" t="e">
        <f ca="1">[1]!BexGetData("DP_1","003N8EMH8GTFRCSWKMPXRRRFI","GSON1112070303")</f>
        <v>#NAME?</v>
      </c>
      <c r="G1009" s="4" t="e">
        <f ca="1">[1]!BexGetData("DP_1","003N8EMH8GTFRCSWKMPXRRXR2","GSON1112070303")</f>
        <v>#NAME?</v>
      </c>
      <c r="H1009" s="4" t="e">
        <f ca="1">[1]!BexGetData("DP_1","003N8EMH8GTFRCSWKMPXRS42M","GSON1112070303")</f>
        <v>#NAME?</v>
      </c>
      <c r="I1009" s="4" t="e">
        <f ca="1">[1]!BexGetData("DP_1","003N8EMH8GTFRCSWKMPXRSAE6","GSON1112070303")</f>
        <v>#NAME?</v>
      </c>
      <c r="J1009" s="4" t="e">
        <f ca="1">[1]!BexGetData("DP_1","003N8EMH8GTFRCSWKMPXRSGPQ","GSON1112070303")</f>
        <v>#NAME?</v>
      </c>
      <c r="K1009" s="8" t="e">
        <f ca="1">[1]!BexGetData("DP_1","003N8EMH8GTFRIVNUPY288VJH","GSON1112070303")</f>
        <v>#NAME?</v>
      </c>
      <c r="L1009" s="8" t="e">
        <f ca="1">[1]!BexGetData("DP_1","003N8EMH8GTFRIVNUPY2891V1","GSON1112070303")</f>
        <v>#NAME?</v>
      </c>
      <c r="M1009" s="8" t="e">
        <f ca="1">[1]!BexGetData("DP_1","003N8EMH8GTFRIVOG7KG9IQXA","GSON1112070303")</f>
        <v>#NAME?</v>
      </c>
      <c r="N1009" s="8" t="e">
        <f ca="1">[1]!BexGetData("DP_1","003N8EMH8GTFRIVOG7KG9IX8U","GSON1112070303")</f>
        <v>#NAME?</v>
      </c>
      <c r="O1009" s="8" t="e">
        <f ca="1">[1]!BexGetData("DP_1","003N8EMH8GTFRIVOG7KG9J3KE","GSON1112070303")</f>
        <v>#NAME?</v>
      </c>
      <c r="P1009" s="8" t="e">
        <f ca="1">[1]!BexGetData("DP_1","003N8EMH8GTFRIVOG7KG9J9VY","GSON1112070303")</f>
        <v>#NAME?</v>
      </c>
      <c r="Q1009" s="4" t="e">
        <f ca="1">[1]!BexGetData("DP_1","00O2TNJGODT0G5Z4TTKYMM5MT","GSON1112070303")</f>
        <v>#NAME?</v>
      </c>
      <c r="R1009" s="4" t="e">
        <f ca="1">[1]!BexGetData("DP_1","00O2TNJGODT0G5Z4TTKYMMBYD","GSON1112070303")</f>
        <v>#NAME?</v>
      </c>
      <c r="S1009" s="4" t="e">
        <f ca="1">[1]!BexGetData("DP_1","00O2TNJGODT0G5Z4TTKYMMI9X","GSON1112070303")</f>
        <v>#NAME?</v>
      </c>
      <c r="T1009" s="4" t="e">
        <f ca="1">[1]!BexGetData("DP_1","00O2TNJGODT0G5Z4TTKYMMOLH","GSON1112070303")</f>
        <v>#NAME?</v>
      </c>
      <c r="U1009" s="4" t="e">
        <f ca="1">[1]!BexGetData("DP_1","00O2TNJGODT0G5Z4TTKYMMUX1","GSON1112070303")</f>
        <v>#NAME?</v>
      </c>
      <c r="V1009" s="4" t="e">
        <f ca="1">[1]!BexGetData("DP_1","00O2TNJGODT0G5Z4TTKYMN18L","GSON1112070303")</f>
        <v>#NAME?</v>
      </c>
      <c r="W1009" s="4" t="e">
        <f ca="1">[1]!BexGetData("DP_1","00O2TNJGODT0G5Z4TTKYMN7K5","GSON1112070303")</f>
        <v>#NAME?</v>
      </c>
    </row>
    <row r="1010" spans="1:23" x14ac:dyDescent="0.2">
      <c r="A1010" s="16" t="s">
        <v>3233</v>
      </c>
      <c r="B1010" s="7" t="s">
        <v>3234</v>
      </c>
      <c r="C1010" s="3" t="e">
        <f ca="1">[1]!BexGetData("DP_1","003N8EMH8GTFRCSWKMPXRR8GU","GSON1112070304")</f>
        <v>#NAME?</v>
      </c>
      <c r="D1010" s="3" t="e">
        <f ca="1">[1]!BexGetData("DP_1","003N8EMH8GTFRCSWKMPXRRESE","GSON1112070304")</f>
        <v>#NAME?</v>
      </c>
      <c r="E1010" s="8" t="e">
        <f ca="1">[1]!BexGetData("DP_1","003N8EMH8GTFRCSWKMPXRRL3Y","GSON1112070304")</f>
        <v>#NAME?</v>
      </c>
      <c r="F1010" s="4" t="e">
        <f ca="1">[1]!BexGetData("DP_1","003N8EMH8GTFRCSWKMPXRRRFI","GSON1112070304")</f>
        <v>#NAME?</v>
      </c>
      <c r="G1010" s="4" t="e">
        <f ca="1">[1]!BexGetData("DP_1","003N8EMH8GTFRCSWKMPXRRXR2","GSON1112070304")</f>
        <v>#NAME?</v>
      </c>
      <c r="H1010" s="4" t="e">
        <f ca="1">[1]!BexGetData("DP_1","003N8EMH8GTFRCSWKMPXRS42M","GSON1112070304")</f>
        <v>#NAME?</v>
      </c>
      <c r="I1010" s="4" t="e">
        <f ca="1">[1]!BexGetData("DP_1","003N8EMH8GTFRCSWKMPXRSAE6","GSON1112070304")</f>
        <v>#NAME?</v>
      </c>
      <c r="J1010" s="4" t="e">
        <f ca="1">[1]!BexGetData("DP_1","003N8EMH8GTFRCSWKMPXRSGPQ","GSON1112070304")</f>
        <v>#NAME?</v>
      </c>
      <c r="K1010" s="8" t="e">
        <f ca="1">[1]!BexGetData("DP_1","003N8EMH8GTFRIVNUPY288VJH","GSON1112070304")</f>
        <v>#NAME?</v>
      </c>
      <c r="L1010" s="8" t="e">
        <f ca="1">[1]!BexGetData("DP_1","003N8EMH8GTFRIVNUPY2891V1","GSON1112070304")</f>
        <v>#NAME?</v>
      </c>
      <c r="M1010" s="8" t="e">
        <f ca="1">[1]!BexGetData("DP_1","003N8EMH8GTFRIVOG7KG9IQXA","GSON1112070304")</f>
        <v>#NAME?</v>
      </c>
      <c r="N1010" s="8" t="e">
        <f ca="1">[1]!BexGetData("DP_1","003N8EMH8GTFRIVOG7KG9IX8U","GSON1112070304")</f>
        <v>#NAME?</v>
      </c>
      <c r="O1010" s="8" t="e">
        <f ca="1">[1]!BexGetData("DP_1","003N8EMH8GTFRIVOG7KG9J3KE","GSON1112070304")</f>
        <v>#NAME?</v>
      </c>
      <c r="P1010" s="8" t="e">
        <f ca="1">[1]!BexGetData("DP_1","003N8EMH8GTFRIVOG7KG9J9VY","GSON1112070304")</f>
        <v>#NAME?</v>
      </c>
      <c r="Q1010" s="4" t="e">
        <f ca="1">[1]!BexGetData("DP_1","00O2TNJGODT0G5Z4TTKYMM5MT","GSON1112070304")</f>
        <v>#NAME?</v>
      </c>
      <c r="R1010" s="4" t="e">
        <f ca="1">[1]!BexGetData("DP_1","00O2TNJGODT0G5Z4TTKYMMBYD","GSON1112070304")</f>
        <v>#NAME?</v>
      </c>
      <c r="S1010" s="4" t="e">
        <f ca="1">[1]!BexGetData("DP_1","00O2TNJGODT0G5Z4TTKYMMI9X","GSON1112070304")</f>
        <v>#NAME?</v>
      </c>
      <c r="T1010" s="4" t="e">
        <f ca="1">[1]!BexGetData("DP_1","00O2TNJGODT0G5Z4TTKYMMOLH","GSON1112070304")</f>
        <v>#NAME?</v>
      </c>
      <c r="U1010" s="4" t="e">
        <f ca="1">[1]!BexGetData("DP_1","00O2TNJGODT0G5Z4TTKYMMUX1","GSON1112070304")</f>
        <v>#NAME?</v>
      </c>
      <c r="V1010" s="4" t="e">
        <f ca="1">[1]!BexGetData("DP_1","00O2TNJGODT0G5Z4TTKYMN18L","GSON1112070304")</f>
        <v>#NAME?</v>
      </c>
      <c r="W1010" s="4" t="e">
        <f ca="1">[1]!BexGetData("DP_1","00O2TNJGODT0G5Z4TTKYMN7K5","GSON1112070304")</f>
        <v>#NAME?</v>
      </c>
    </row>
    <row r="1011" spans="1:23" x14ac:dyDescent="0.2">
      <c r="A1011" s="16" t="s">
        <v>3235</v>
      </c>
      <c r="B1011" s="7" t="s">
        <v>3236</v>
      </c>
      <c r="C1011" s="3" t="e">
        <f ca="1">[1]!BexGetData("DP_1","003N8EMH8GTFRCSWKMPXRR8GU","GSON1112070305")</f>
        <v>#NAME?</v>
      </c>
      <c r="D1011" s="3" t="e">
        <f ca="1">[1]!BexGetData("DP_1","003N8EMH8GTFRCSWKMPXRRESE","GSON1112070305")</f>
        <v>#NAME?</v>
      </c>
      <c r="E1011" s="8" t="e">
        <f ca="1">[1]!BexGetData("DP_1","003N8EMH8GTFRCSWKMPXRRL3Y","GSON1112070305")</f>
        <v>#NAME?</v>
      </c>
      <c r="F1011" s="4" t="e">
        <f ca="1">[1]!BexGetData("DP_1","003N8EMH8GTFRCSWKMPXRRRFI","GSON1112070305")</f>
        <v>#NAME?</v>
      </c>
      <c r="G1011" s="4" t="e">
        <f ca="1">[1]!BexGetData("DP_1","003N8EMH8GTFRCSWKMPXRRXR2","GSON1112070305")</f>
        <v>#NAME?</v>
      </c>
      <c r="H1011" s="4" t="e">
        <f ca="1">[1]!BexGetData("DP_1","003N8EMH8GTFRCSWKMPXRS42M","GSON1112070305")</f>
        <v>#NAME?</v>
      </c>
      <c r="I1011" s="4" t="e">
        <f ca="1">[1]!BexGetData("DP_1","003N8EMH8GTFRCSWKMPXRSAE6","GSON1112070305")</f>
        <v>#NAME?</v>
      </c>
      <c r="J1011" s="4" t="e">
        <f ca="1">[1]!BexGetData("DP_1","003N8EMH8GTFRCSWKMPXRSGPQ","GSON1112070305")</f>
        <v>#NAME?</v>
      </c>
      <c r="K1011" s="8" t="e">
        <f ca="1">[1]!BexGetData("DP_1","003N8EMH8GTFRIVNUPY288VJH","GSON1112070305")</f>
        <v>#NAME?</v>
      </c>
      <c r="L1011" s="8" t="e">
        <f ca="1">[1]!BexGetData("DP_1","003N8EMH8GTFRIVNUPY2891V1","GSON1112070305")</f>
        <v>#NAME?</v>
      </c>
      <c r="M1011" s="8" t="e">
        <f ca="1">[1]!BexGetData("DP_1","003N8EMH8GTFRIVOG7KG9IQXA","GSON1112070305")</f>
        <v>#NAME?</v>
      </c>
      <c r="N1011" s="8" t="e">
        <f ca="1">[1]!BexGetData("DP_1","003N8EMH8GTFRIVOG7KG9IX8U","GSON1112070305")</f>
        <v>#NAME?</v>
      </c>
      <c r="O1011" s="8" t="e">
        <f ca="1">[1]!BexGetData("DP_1","003N8EMH8GTFRIVOG7KG9J3KE","GSON1112070305")</f>
        <v>#NAME?</v>
      </c>
      <c r="P1011" s="8" t="e">
        <f ca="1">[1]!BexGetData("DP_1","003N8EMH8GTFRIVOG7KG9J9VY","GSON1112070305")</f>
        <v>#NAME?</v>
      </c>
      <c r="Q1011" s="4" t="e">
        <f ca="1">[1]!BexGetData("DP_1","00O2TNJGODT0G5Z4TTKYMM5MT","GSON1112070305")</f>
        <v>#NAME?</v>
      </c>
      <c r="R1011" s="4" t="e">
        <f ca="1">[1]!BexGetData("DP_1","00O2TNJGODT0G5Z4TTKYMMBYD","GSON1112070305")</f>
        <v>#NAME?</v>
      </c>
      <c r="S1011" s="4" t="e">
        <f ca="1">[1]!BexGetData("DP_1","00O2TNJGODT0G5Z4TTKYMMI9X","GSON1112070305")</f>
        <v>#NAME?</v>
      </c>
      <c r="T1011" s="4" t="e">
        <f ca="1">[1]!BexGetData("DP_1","00O2TNJGODT0G5Z4TTKYMMOLH","GSON1112070305")</f>
        <v>#NAME?</v>
      </c>
      <c r="U1011" s="4" t="e">
        <f ca="1">[1]!BexGetData("DP_1","00O2TNJGODT0G5Z4TTKYMMUX1","GSON1112070305")</f>
        <v>#NAME?</v>
      </c>
      <c r="V1011" s="4" t="e">
        <f ca="1">[1]!BexGetData("DP_1","00O2TNJGODT0G5Z4TTKYMN18L","GSON1112070305")</f>
        <v>#NAME?</v>
      </c>
      <c r="W1011" s="4" t="e">
        <f ca="1">[1]!BexGetData("DP_1","00O2TNJGODT0G5Z4TTKYMN7K5","GSON1112070305")</f>
        <v>#NAME?</v>
      </c>
    </row>
    <row r="1012" spans="1:23" x14ac:dyDescent="0.2">
      <c r="A1012" s="16" t="s">
        <v>3237</v>
      </c>
      <c r="B1012" s="7" t="s">
        <v>66</v>
      </c>
      <c r="C1012" s="3" t="e">
        <f ca="1">[1]!BexGetData("DP_1","003N8EMH8GTFRCSWKMPXRR8GU","GSON1112080010")</f>
        <v>#NAME?</v>
      </c>
      <c r="D1012" s="3" t="e">
        <f ca="1">[1]!BexGetData("DP_1","003N8EMH8GTFRCSWKMPXRRESE","GSON1112080010")</f>
        <v>#NAME?</v>
      </c>
      <c r="E1012" s="3" t="e">
        <f ca="1">[1]!BexGetData("DP_1","003N8EMH8GTFRCSWKMPXRRL3Y","GSON1112080010")</f>
        <v>#NAME?</v>
      </c>
      <c r="F1012" s="3" t="e">
        <f ca="1">[1]!BexGetData("DP_1","003N8EMH8GTFRCSWKMPXRRRFI","GSON1112080010")</f>
        <v>#NAME?</v>
      </c>
      <c r="G1012" s="3" t="e">
        <f ca="1">[1]!BexGetData("DP_1","003N8EMH8GTFRCSWKMPXRRXR2","GSON1112080010")</f>
        <v>#NAME?</v>
      </c>
      <c r="H1012" s="8" t="e">
        <f ca="1">[1]!BexGetData("DP_1","003N8EMH8GTFRCSWKMPXRS42M","GSON1112080010")</f>
        <v>#NAME?</v>
      </c>
      <c r="I1012" s="3" t="e">
        <f ca="1">[1]!BexGetData("DP_1","003N8EMH8GTFRCSWKMPXRSAE6","GSON1112080010")</f>
        <v>#NAME?</v>
      </c>
      <c r="J1012" s="4" t="e">
        <f ca="1">[1]!BexGetData("DP_1","003N8EMH8GTFRCSWKMPXRSGPQ","GSON1112080010")</f>
        <v>#NAME?</v>
      </c>
      <c r="K1012" s="3" t="e">
        <f ca="1">[1]!BexGetData("DP_1","003N8EMH8GTFRIVNUPY288VJH","GSON1112080010")</f>
        <v>#NAME?</v>
      </c>
      <c r="L1012" s="3" t="e">
        <f ca="1">[1]!BexGetData("DP_1","003N8EMH8GTFRIVNUPY2891V1","GSON1112080010")</f>
        <v>#NAME?</v>
      </c>
      <c r="M1012" s="3" t="e">
        <f ca="1">[1]!BexGetData("DP_1","003N8EMH8GTFRIVOG7KG9IQXA","GSON1112080010")</f>
        <v>#NAME?</v>
      </c>
      <c r="N1012" s="8" t="e">
        <f ca="1">[1]!BexGetData("DP_1","003N8EMH8GTFRIVOG7KG9IX8U","GSON1112080010")</f>
        <v>#NAME?</v>
      </c>
      <c r="O1012" s="3" t="e">
        <f ca="1">[1]!BexGetData("DP_1","003N8EMH8GTFRIVOG7KG9J3KE","GSON1112080010")</f>
        <v>#NAME?</v>
      </c>
      <c r="P1012" s="8" t="e">
        <f ca="1">[1]!BexGetData("DP_1","003N8EMH8GTFRIVOG7KG9J9VY","GSON1112080010")</f>
        <v>#NAME?</v>
      </c>
      <c r="Q1012" s="4" t="e">
        <f ca="1">[1]!BexGetData("DP_1","00O2TNJGODT0G5Z4TTKYMM5MT","GSON1112080010")</f>
        <v>#NAME?</v>
      </c>
      <c r="R1012" s="3" t="e">
        <f ca="1">[1]!BexGetData("DP_1","00O2TNJGODT0G5Z4TTKYMMBYD","GSON1112080010")</f>
        <v>#NAME?</v>
      </c>
      <c r="S1012" s="3" t="e">
        <f ca="1">[1]!BexGetData("DP_1","00O2TNJGODT0G5Z4TTKYMMI9X","GSON1112080010")</f>
        <v>#NAME?</v>
      </c>
      <c r="T1012" s="8" t="e">
        <f ca="1">[1]!BexGetData("DP_1","00O2TNJGODT0G5Z4TTKYMMOLH","GSON1112080010")</f>
        <v>#NAME?</v>
      </c>
      <c r="U1012" s="3" t="e">
        <f ca="1">[1]!BexGetData("DP_1","00O2TNJGODT0G5Z4TTKYMMUX1","GSON1112080010")</f>
        <v>#NAME?</v>
      </c>
      <c r="V1012" s="8" t="e">
        <f ca="1">[1]!BexGetData("DP_1","00O2TNJGODT0G5Z4TTKYMN18L","GSON1112080010")</f>
        <v>#NAME?</v>
      </c>
      <c r="W1012" s="3" t="e">
        <f ca="1">[1]!BexGetData("DP_1","00O2TNJGODT0G5Z4TTKYMN7K5","GSON1112080010")</f>
        <v>#NAME?</v>
      </c>
    </row>
    <row r="1013" spans="1:23" x14ac:dyDescent="0.2">
      <c r="A1013" s="16" t="s">
        <v>3238</v>
      </c>
      <c r="B1013" s="7" t="s">
        <v>67</v>
      </c>
      <c r="C1013" s="3" t="e">
        <f ca="1">[1]!BexGetData("DP_1","003N8EMH8GTFRCSWKMPXRR8GU","GSON1112080011")</f>
        <v>#NAME?</v>
      </c>
      <c r="D1013" s="3" t="e">
        <f ca="1">[1]!BexGetData("DP_1","003N8EMH8GTFRCSWKMPXRRESE","GSON1112080011")</f>
        <v>#NAME?</v>
      </c>
      <c r="E1013" s="8" t="e">
        <f ca="1">[1]!BexGetData("DP_1","003N8EMH8GTFRCSWKMPXRRL3Y","GSON1112080011")</f>
        <v>#NAME?</v>
      </c>
      <c r="F1013" s="4" t="e">
        <f ca="1">[1]!BexGetData("DP_1","003N8EMH8GTFRCSWKMPXRRRFI","GSON1112080011")</f>
        <v>#NAME?</v>
      </c>
      <c r="G1013" s="4" t="e">
        <f ca="1">[1]!BexGetData("DP_1","003N8EMH8GTFRCSWKMPXRRXR2","GSON1112080011")</f>
        <v>#NAME?</v>
      </c>
      <c r="H1013" s="4" t="e">
        <f ca="1">[1]!BexGetData("DP_1","003N8EMH8GTFRCSWKMPXRS42M","GSON1112080011")</f>
        <v>#NAME?</v>
      </c>
      <c r="I1013" s="4" t="e">
        <f ca="1">[1]!BexGetData("DP_1","003N8EMH8GTFRCSWKMPXRSAE6","GSON1112080011")</f>
        <v>#NAME?</v>
      </c>
      <c r="J1013" s="4" t="e">
        <f ca="1">[1]!BexGetData("DP_1","003N8EMH8GTFRCSWKMPXRSGPQ","GSON1112080011")</f>
        <v>#NAME?</v>
      </c>
      <c r="K1013" s="8" t="e">
        <f ca="1">[1]!BexGetData("DP_1","003N8EMH8GTFRIVNUPY288VJH","GSON1112080011")</f>
        <v>#NAME?</v>
      </c>
      <c r="L1013" s="8" t="e">
        <f ca="1">[1]!BexGetData("DP_1","003N8EMH8GTFRIVNUPY2891V1","GSON1112080011")</f>
        <v>#NAME?</v>
      </c>
      <c r="M1013" s="8" t="e">
        <f ca="1">[1]!BexGetData("DP_1","003N8EMH8GTFRIVOG7KG9IQXA","GSON1112080011")</f>
        <v>#NAME?</v>
      </c>
      <c r="N1013" s="8" t="e">
        <f ca="1">[1]!BexGetData("DP_1","003N8EMH8GTFRIVOG7KG9IX8U","GSON1112080011")</f>
        <v>#NAME?</v>
      </c>
      <c r="O1013" s="8" t="e">
        <f ca="1">[1]!BexGetData("DP_1","003N8EMH8GTFRIVOG7KG9J3KE","GSON1112080011")</f>
        <v>#NAME?</v>
      </c>
      <c r="P1013" s="8" t="e">
        <f ca="1">[1]!BexGetData("DP_1","003N8EMH8GTFRIVOG7KG9J9VY","GSON1112080011")</f>
        <v>#NAME?</v>
      </c>
      <c r="Q1013" s="4" t="e">
        <f ca="1">[1]!BexGetData("DP_1","00O2TNJGODT0G5Z4TTKYMM5MT","GSON1112080011")</f>
        <v>#NAME?</v>
      </c>
      <c r="R1013" s="4" t="e">
        <f ca="1">[1]!BexGetData("DP_1","00O2TNJGODT0G5Z4TTKYMMBYD","GSON1112080011")</f>
        <v>#NAME?</v>
      </c>
      <c r="S1013" s="4" t="e">
        <f ca="1">[1]!BexGetData("DP_1","00O2TNJGODT0G5Z4TTKYMMI9X","GSON1112080011")</f>
        <v>#NAME?</v>
      </c>
      <c r="T1013" s="4" t="e">
        <f ca="1">[1]!BexGetData("DP_1","00O2TNJGODT0G5Z4TTKYMMOLH","GSON1112080011")</f>
        <v>#NAME?</v>
      </c>
      <c r="U1013" s="4" t="e">
        <f ca="1">[1]!BexGetData("DP_1","00O2TNJGODT0G5Z4TTKYMMUX1","GSON1112080011")</f>
        <v>#NAME?</v>
      </c>
      <c r="V1013" s="4" t="e">
        <f ca="1">[1]!BexGetData("DP_1","00O2TNJGODT0G5Z4TTKYMN18L","GSON1112080011")</f>
        <v>#NAME?</v>
      </c>
      <c r="W1013" s="4" t="e">
        <f ca="1">[1]!BexGetData("DP_1","00O2TNJGODT0G5Z4TTKYMN7K5","GSON1112080011")</f>
        <v>#NAME?</v>
      </c>
    </row>
    <row r="1014" spans="1:23" x14ac:dyDescent="0.2">
      <c r="A1014" s="16" t="s">
        <v>3239</v>
      </c>
      <c r="B1014" s="7" t="s">
        <v>220</v>
      </c>
      <c r="C1014" s="3" t="e">
        <f ca="1">[1]!BexGetData("DP_1","003N8EMH8GTFRCSWKMPXRR8GU","GSON1112080012")</f>
        <v>#NAME?</v>
      </c>
      <c r="D1014" s="3" t="e">
        <f ca="1">[1]!BexGetData("DP_1","003N8EMH8GTFRCSWKMPXRRESE","GSON1112080012")</f>
        <v>#NAME?</v>
      </c>
      <c r="E1014" s="3" t="e">
        <f ca="1">[1]!BexGetData("DP_1","003N8EMH8GTFRCSWKMPXRRL3Y","GSON1112080012")</f>
        <v>#NAME?</v>
      </c>
      <c r="F1014" s="3" t="e">
        <f ca="1">[1]!BexGetData("DP_1","003N8EMH8GTFRCSWKMPXRRRFI","GSON1112080012")</f>
        <v>#NAME?</v>
      </c>
      <c r="G1014" s="8" t="e">
        <f ca="1">[1]!BexGetData("DP_1","003N8EMH8GTFRCSWKMPXRRXR2","GSON1112080012")</f>
        <v>#NAME?</v>
      </c>
      <c r="H1014" s="3" t="e">
        <f ca="1">[1]!BexGetData("DP_1","003N8EMH8GTFRCSWKMPXRS42M","GSON1112080012")</f>
        <v>#NAME?</v>
      </c>
      <c r="I1014" s="3" t="e">
        <f ca="1">[1]!BexGetData("DP_1","003N8EMH8GTFRCSWKMPXRSAE6","GSON1112080012")</f>
        <v>#NAME?</v>
      </c>
      <c r="J1014" s="4" t="e">
        <f ca="1">[1]!BexGetData("DP_1","003N8EMH8GTFRCSWKMPXRSGPQ","GSON1112080012")</f>
        <v>#NAME?</v>
      </c>
      <c r="K1014" s="8" t="e">
        <f ca="1">[1]!BexGetData("DP_1","003N8EMH8GTFRIVNUPY288VJH","GSON1112080012")</f>
        <v>#NAME?</v>
      </c>
      <c r="L1014" s="8" t="e">
        <f ca="1">[1]!BexGetData("DP_1","003N8EMH8GTFRIVNUPY2891V1","GSON1112080012")</f>
        <v>#NAME?</v>
      </c>
      <c r="M1014" s="8" t="e">
        <f ca="1">[1]!BexGetData("DP_1","003N8EMH8GTFRIVOG7KG9IQXA","GSON1112080012")</f>
        <v>#NAME?</v>
      </c>
      <c r="N1014" s="8" t="e">
        <f ca="1">[1]!BexGetData("DP_1","003N8EMH8GTFRIVOG7KG9IX8U","GSON1112080012")</f>
        <v>#NAME?</v>
      </c>
      <c r="O1014" s="8" t="e">
        <f ca="1">[1]!BexGetData("DP_1","003N8EMH8GTFRIVOG7KG9J3KE","GSON1112080012")</f>
        <v>#NAME?</v>
      </c>
      <c r="P1014" s="8" t="e">
        <f ca="1">[1]!BexGetData("DP_1","003N8EMH8GTFRIVOG7KG9J9VY","GSON1112080012")</f>
        <v>#NAME?</v>
      </c>
      <c r="Q1014" s="4" t="e">
        <f ca="1">[1]!BexGetData("DP_1","00O2TNJGODT0G5Z4TTKYMM5MT","GSON1112080012")</f>
        <v>#NAME?</v>
      </c>
      <c r="R1014" s="3" t="e">
        <f ca="1">[1]!BexGetData("DP_1","00O2TNJGODT0G5Z4TTKYMMBYD","GSON1112080012")</f>
        <v>#NAME?</v>
      </c>
      <c r="S1014" s="3" t="e">
        <f ca="1">[1]!BexGetData("DP_1","00O2TNJGODT0G5Z4TTKYMMI9X","GSON1112080012")</f>
        <v>#NAME?</v>
      </c>
      <c r="T1014" s="3" t="e">
        <f ca="1">[1]!BexGetData("DP_1","00O2TNJGODT0G5Z4TTKYMMOLH","GSON1112080012")</f>
        <v>#NAME?</v>
      </c>
      <c r="U1014" s="8" t="e">
        <f ca="1">[1]!BexGetData("DP_1","00O2TNJGODT0G5Z4TTKYMMUX1","GSON1112080012")</f>
        <v>#NAME?</v>
      </c>
      <c r="V1014" s="3" t="e">
        <f ca="1">[1]!BexGetData("DP_1","00O2TNJGODT0G5Z4TTKYMN18L","GSON1112080012")</f>
        <v>#NAME?</v>
      </c>
      <c r="W1014" s="8" t="e">
        <f ca="1">[1]!BexGetData("DP_1","00O2TNJGODT0G5Z4TTKYMN7K5","GSON1112080012")</f>
        <v>#NAME?</v>
      </c>
    </row>
    <row r="1015" spans="1:23" x14ac:dyDescent="0.2">
      <c r="A1015" s="16" t="s">
        <v>3240</v>
      </c>
      <c r="B1015" s="7" t="s">
        <v>68</v>
      </c>
      <c r="C1015" s="3" t="e">
        <f ca="1">[1]!BexGetData("DP_1","003N8EMH8GTFRCSWKMPXRR8GU","GSON1112080013")</f>
        <v>#NAME?</v>
      </c>
      <c r="D1015" s="3" t="e">
        <f ca="1">[1]!BexGetData("DP_1","003N8EMH8GTFRCSWKMPXRRESE","GSON1112080013")</f>
        <v>#NAME?</v>
      </c>
      <c r="E1015" s="8" t="e">
        <f ca="1">[1]!BexGetData("DP_1","003N8EMH8GTFRCSWKMPXRRL3Y","GSON1112080013")</f>
        <v>#NAME?</v>
      </c>
      <c r="F1015" s="4" t="e">
        <f ca="1">[1]!BexGetData("DP_1","003N8EMH8GTFRCSWKMPXRRRFI","GSON1112080013")</f>
        <v>#NAME?</v>
      </c>
      <c r="G1015" s="4" t="e">
        <f ca="1">[1]!BexGetData("DP_1","003N8EMH8GTFRCSWKMPXRRXR2","GSON1112080013")</f>
        <v>#NAME?</v>
      </c>
      <c r="H1015" s="4" t="e">
        <f ca="1">[1]!BexGetData("DP_1","003N8EMH8GTFRCSWKMPXRS42M","GSON1112080013")</f>
        <v>#NAME?</v>
      </c>
      <c r="I1015" s="4" t="e">
        <f ca="1">[1]!BexGetData("DP_1","003N8EMH8GTFRCSWKMPXRSAE6","GSON1112080013")</f>
        <v>#NAME?</v>
      </c>
      <c r="J1015" s="4" t="e">
        <f ca="1">[1]!BexGetData("DP_1","003N8EMH8GTFRCSWKMPXRSGPQ","GSON1112080013")</f>
        <v>#NAME?</v>
      </c>
      <c r="K1015" s="8" t="e">
        <f ca="1">[1]!BexGetData("DP_1","003N8EMH8GTFRIVNUPY288VJH","GSON1112080013")</f>
        <v>#NAME?</v>
      </c>
      <c r="L1015" s="8" t="e">
        <f ca="1">[1]!BexGetData("DP_1","003N8EMH8GTFRIVNUPY2891V1","GSON1112080013")</f>
        <v>#NAME?</v>
      </c>
      <c r="M1015" s="8" t="e">
        <f ca="1">[1]!BexGetData("DP_1","003N8EMH8GTFRIVOG7KG9IQXA","GSON1112080013")</f>
        <v>#NAME?</v>
      </c>
      <c r="N1015" s="8" t="e">
        <f ca="1">[1]!BexGetData("DP_1","003N8EMH8GTFRIVOG7KG9IX8U","GSON1112080013")</f>
        <v>#NAME?</v>
      </c>
      <c r="O1015" s="8" t="e">
        <f ca="1">[1]!BexGetData("DP_1","003N8EMH8GTFRIVOG7KG9J3KE","GSON1112080013")</f>
        <v>#NAME?</v>
      </c>
      <c r="P1015" s="8" t="e">
        <f ca="1">[1]!BexGetData("DP_1","003N8EMH8GTFRIVOG7KG9J9VY","GSON1112080013")</f>
        <v>#NAME?</v>
      </c>
      <c r="Q1015" s="4" t="e">
        <f ca="1">[1]!BexGetData("DP_1","00O2TNJGODT0G5Z4TTKYMM5MT","GSON1112080013")</f>
        <v>#NAME?</v>
      </c>
      <c r="R1015" s="4" t="e">
        <f ca="1">[1]!BexGetData("DP_1","00O2TNJGODT0G5Z4TTKYMMBYD","GSON1112080013")</f>
        <v>#NAME?</v>
      </c>
      <c r="S1015" s="4" t="e">
        <f ca="1">[1]!BexGetData("DP_1","00O2TNJGODT0G5Z4TTKYMMI9X","GSON1112080013")</f>
        <v>#NAME?</v>
      </c>
      <c r="T1015" s="4" t="e">
        <f ca="1">[1]!BexGetData("DP_1","00O2TNJGODT0G5Z4TTKYMMOLH","GSON1112080013")</f>
        <v>#NAME?</v>
      </c>
      <c r="U1015" s="4" t="e">
        <f ca="1">[1]!BexGetData("DP_1","00O2TNJGODT0G5Z4TTKYMMUX1","GSON1112080013")</f>
        <v>#NAME?</v>
      </c>
      <c r="V1015" s="4" t="e">
        <f ca="1">[1]!BexGetData("DP_1","00O2TNJGODT0G5Z4TTKYMN18L","GSON1112080013")</f>
        <v>#NAME?</v>
      </c>
      <c r="W1015" s="4" t="e">
        <f ca="1">[1]!BexGetData("DP_1","00O2TNJGODT0G5Z4TTKYMN7K5","GSON1112080013")</f>
        <v>#NAME?</v>
      </c>
    </row>
    <row r="1016" spans="1:23" x14ac:dyDescent="0.2">
      <c r="A1016" s="16" t="s">
        <v>3241</v>
      </c>
      <c r="B1016" s="7" t="s">
        <v>3242</v>
      </c>
      <c r="C1016" s="3" t="e">
        <f ca="1">[1]!BexGetData("DP_1","003N8EMH8GTFRCSWKMPXRR8GU","GSON1112080014")</f>
        <v>#NAME?</v>
      </c>
      <c r="D1016" s="3" t="e">
        <f ca="1">[1]!BexGetData("DP_1","003N8EMH8GTFRCSWKMPXRRESE","GSON1112080014")</f>
        <v>#NAME?</v>
      </c>
      <c r="E1016" s="8" t="e">
        <f ca="1">[1]!BexGetData("DP_1","003N8EMH8GTFRCSWKMPXRRL3Y","GSON1112080014")</f>
        <v>#NAME?</v>
      </c>
      <c r="F1016" s="4" t="e">
        <f ca="1">[1]!BexGetData("DP_1","003N8EMH8GTFRCSWKMPXRRRFI","GSON1112080014")</f>
        <v>#NAME?</v>
      </c>
      <c r="G1016" s="4" t="e">
        <f ca="1">[1]!BexGetData("DP_1","003N8EMH8GTFRCSWKMPXRRXR2","GSON1112080014")</f>
        <v>#NAME?</v>
      </c>
      <c r="H1016" s="4" t="e">
        <f ca="1">[1]!BexGetData("DP_1","003N8EMH8GTFRCSWKMPXRS42M","GSON1112080014")</f>
        <v>#NAME?</v>
      </c>
      <c r="I1016" s="4" t="e">
        <f ca="1">[1]!BexGetData("DP_1","003N8EMH8GTFRCSWKMPXRSAE6","GSON1112080014")</f>
        <v>#NAME?</v>
      </c>
      <c r="J1016" s="4" t="e">
        <f ca="1">[1]!BexGetData("DP_1","003N8EMH8GTFRCSWKMPXRSGPQ","GSON1112080014")</f>
        <v>#NAME?</v>
      </c>
      <c r="K1016" s="8" t="e">
        <f ca="1">[1]!BexGetData("DP_1","003N8EMH8GTFRIVNUPY288VJH","GSON1112080014")</f>
        <v>#NAME?</v>
      </c>
      <c r="L1016" s="8" t="e">
        <f ca="1">[1]!BexGetData("DP_1","003N8EMH8GTFRIVNUPY2891V1","GSON1112080014")</f>
        <v>#NAME?</v>
      </c>
      <c r="M1016" s="8" t="e">
        <f ca="1">[1]!BexGetData("DP_1","003N8EMH8GTFRIVOG7KG9IQXA","GSON1112080014")</f>
        <v>#NAME?</v>
      </c>
      <c r="N1016" s="8" t="e">
        <f ca="1">[1]!BexGetData("DP_1","003N8EMH8GTFRIVOG7KG9IX8U","GSON1112080014")</f>
        <v>#NAME?</v>
      </c>
      <c r="O1016" s="8" t="e">
        <f ca="1">[1]!BexGetData("DP_1","003N8EMH8GTFRIVOG7KG9J3KE","GSON1112080014")</f>
        <v>#NAME?</v>
      </c>
      <c r="P1016" s="8" t="e">
        <f ca="1">[1]!BexGetData("DP_1","003N8EMH8GTFRIVOG7KG9J9VY","GSON1112080014")</f>
        <v>#NAME?</v>
      </c>
      <c r="Q1016" s="4" t="e">
        <f ca="1">[1]!BexGetData("DP_1","00O2TNJGODT0G5Z4TTKYMM5MT","GSON1112080014")</f>
        <v>#NAME?</v>
      </c>
      <c r="R1016" s="4" t="e">
        <f ca="1">[1]!BexGetData("DP_1","00O2TNJGODT0G5Z4TTKYMMBYD","GSON1112080014")</f>
        <v>#NAME?</v>
      </c>
      <c r="S1016" s="4" t="e">
        <f ca="1">[1]!BexGetData("DP_1","00O2TNJGODT0G5Z4TTKYMMI9X","GSON1112080014")</f>
        <v>#NAME?</v>
      </c>
      <c r="T1016" s="4" t="e">
        <f ca="1">[1]!BexGetData("DP_1","00O2TNJGODT0G5Z4TTKYMMOLH","GSON1112080014")</f>
        <v>#NAME?</v>
      </c>
      <c r="U1016" s="4" t="e">
        <f ca="1">[1]!BexGetData("DP_1","00O2TNJGODT0G5Z4TTKYMMUX1","GSON1112080014")</f>
        <v>#NAME?</v>
      </c>
      <c r="V1016" s="4" t="e">
        <f ca="1">[1]!BexGetData("DP_1","00O2TNJGODT0G5Z4TTKYMN18L","GSON1112080014")</f>
        <v>#NAME?</v>
      </c>
      <c r="W1016" s="4" t="e">
        <f ca="1">[1]!BexGetData("DP_1","00O2TNJGODT0G5Z4TTKYMN7K5","GSON1112080014")</f>
        <v>#NAME?</v>
      </c>
    </row>
    <row r="1017" spans="1:23" x14ac:dyDescent="0.2">
      <c r="A1017" s="16" t="s">
        <v>3243</v>
      </c>
      <c r="B1017" s="7" t="s">
        <v>1073</v>
      </c>
      <c r="C1017" s="3" t="e">
        <f ca="1">[1]!BexGetData("DP_1","003N8EMH8GTFRCSWKMPXRR8GU","GSON1112080015")</f>
        <v>#NAME?</v>
      </c>
      <c r="D1017" s="3" t="e">
        <f ca="1">[1]!BexGetData("DP_1","003N8EMH8GTFRCSWKMPXRRESE","GSON1112080015")</f>
        <v>#NAME?</v>
      </c>
      <c r="E1017" s="8" t="e">
        <f ca="1">[1]!BexGetData("DP_1","003N8EMH8GTFRCSWKMPXRRL3Y","GSON1112080015")</f>
        <v>#NAME?</v>
      </c>
      <c r="F1017" s="4" t="e">
        <f ca="1">[1]!BexGetData("DP_1","003N8EMH8GTFRCSWKMPXRRRFI","GSON1112080015")</f>
        <v>#NAME?</v>
      </c>
      <c r="G1017" s="4" t="e">
        <f ca="1">[1]!BexGetData("DP_1","003N8EMH8GTFRCSWKMPXRRXR2","GSON1112080015")</f>
        <v>#NAME?</v>
      </c>
      <c r="H1017" s="4" t="e">
        <f ca="1">[1]!BexGetData("DP_1","003N8EMH8GTFRCSWKMPXRS42M","GSON1112080015")</f>
        <v>#NAME?</v>
      </c>
      <c r="I1017" s="4" t="e">
        <f ca="1">[1]!BexGetData("DP_1","003N8EMH8GTFRCSWKMPXRSAE6","GSON1112080015")</f>
        <v>#NAME?</v>
      </c>
      <c r="J1017" s="4" t="e">
        <f ca="1">[1]!BexGetData("DP_1","003N8EMH8GTFRCSWKMPXRSGPQ","GSON1112080015")</f>
        <v>#NAME?</v>
      </c>
      <c r="K1017" s="8" t="e">
        <f ca="1">[1]!BexGetData("DP_1","003N8EMH8GTFRIVNUPY288VJH","GSON1112080015")</f>
        <v>#NAME?</v>
      </c>
      <c r="L1017" s="8" t="e">
        <f ca="1">[1]!BexGetData("DP_1","003N8EMH8GTFRIVNUPY2891V1","GSON1112080015")</f>
        <v>#NAME?</v>
      </c>
      <c r="M1017" s="8" t="e">
        <f ca="1">[1]!BexGetData("DP_1","003N8EMH8GTFRIVOG7KG9IQXA","GSON1112080015")</f>
        <v>#NAME?</v>
      </c>
      <c r="N1017" s="8" t="e">
        <f ca="1">[1]!BexGetData("DP_1","003N8EMH8GTFRIVOG7KG9IX8U","GSON1112080015")</f>
        <v>#NAME?</v>
      </c>
      <c r="O1017" s="8" t="e">
        <f ca="1">[1]!BexGetData("DP_1","003N8EMH8GTFRIVOG7KG9J3KE","GSON1112080015")</f>
        <v>#NAME?</v>
      </c>
      <c r="P1017" s="8" t="e">
        <f ca="1">[1]!BexGetData("DP_1","003N8EMH8GTFRIVOG7KG9J9VY","GSON1112080015")</f>
        <v>#NAME?</v>
      </c>
      <c r="Q1017" s="4" t="e">
        <f ca="1">[1]!BexGetData("DP_1","00O2TNJGODT0G5Z4TTKYMM5MT","GSON1112080015")</f>
        <v>#NAME?</v>
      </c>
      <c r="R1017" s="4" t="e">
        <f ca="1">[1]!BexGetData("DP_1","00O2TNJGODT0G5Z4TTKYMMBYD","GSON1112080015")</f>
        <v>#NAME?</v>
      </c>
      <c r="S1017" s="4" t="e">
        <f ca="1">[1]!BexGetData("DP_1","00O2TNJGODT0G5Z4TTKYMMI9X","GSON1112080015")</f>
        <v>#NAME?</v>
      </c>
      <c r="T1017" s="4" t="e">
        <f ca="1">[1]!BexGetData("DP_1","00O2TNJGODT0G5Z4TTKYMMOLH","GSON1112080015")</f>
        <v>#NAME?</v>
      </c>
      <c r="U1017" s="4" t="e">
        <f ca="1">[1]!BexGetData("DP_1","00O2TNJGODT0G5Z4TTKYMMUX1","GSON1112080015")</f>
        <v>#NAME?</v>
      </c>
      <c r="V1017" s="4" t="e">
        <f ca="1">[1]!BexGetData("DP_1","00O2TNJGODT0G5Z4TTKYMN18L","GSON1112080015")</f>
        <v>#NAME?</v>
      </c>
      <c r="W1017" s="4" t="e">
        <f ca="1">[1]!BexGetData("DP_1","00O2TNJGODT0G5Z4TTKYMN7K5","GSON1112080015")</f>
        <v>#NAME?</v>
      </c>
    </row>
    <row r="1018" spans="1:23" x14ac:dyDescent="0.2">
      <c r="A1018" s="16" t="s">
        <v>3244</v>
      </c>
      <c r="B1018" s="7" t="s">
        <v>662</v>
      </c>
      <c r="C1018" s="3" t="e">
        <f ca="1">[1]!BexGetData("DP_1","003N8EMH8GTFRCSWKMPXRR8GU","GSON1112080030")</f>
        <v>#NAME?</v>
      </c>
      <c r="D1018" s="3" t="e">
        <f ca="1">[1]!BexGetData("DP_1","003N8EMH8GTFRCSWKMPXRRESE","GSON1112080030")</f>
        <v>#NAME?</v>
      </c>
      <c r="E1018" s="3" t="e">
        <f ca="1">[1]!BexGetData("DP_1","003N8EMH8GTFRCSWKMPXRRL3Y","GSON1112080030")</f>
        <v>#NAME?</v>
      </c>
      <c r="F1018" s="3" t="e">
        <f ca="1">[1]!BexGetData("DP_1","003N8EMH8GTFRCSWKMPXRRRFI","GSON1112080030")</f>
        <v>#NAME?</v>
      </c>
      <c r="G1018" s="3" t="e">
        <f ca="1">[1]!BexGetData("DP_1","003N8EMH8GTFRCSWKMPXRRXR2","GSON1112080030")</f>
        <v>#NAME?</v>
      </c>
      <c r="H1018" s="8" t="e">
        <f ca="1">[1]!BexGetData("DP_1","003N8EMH8GTFRCSWKMPXRS42M","GSON1112080030")</f>
        <v>#NAME?</v>
      </c>
      <c r="I1018" s="3" t="e">
        <f ca="1">[1]!BexGetData("DP_1","003N8EMH8GTFRCSWKMPXRSAE6","GSON1112080030")</f>
        <v>#NAME?</v>
      </c>
      <c r="J1018" s="4" t="e">
        <f ca="1">[1]!BexGetData("DP_1","003N8EMH8GTFRCSWKMPXRSGPQ","GSON1112080030")</f>
        <v>#NAME?</v>
      </c>
      <c r="K1018" s="3" t="e">
        <f ca="1">[1]!BexGetData("DP_1","003N8EMH8GTFRIVNUPY288VJH","GSON1112080030")</f>
        <v>#NAME?</v>
      </c>
      <c r="L1018" s="3" t="e">
        <f ca="1">[1]!BexGetData("DP_1","003N8EMH8GTFRIVNUPY2891V1","GSON1112080030")</f>
        <v>#NAME?</v>
      </c>
      <c r="M1018" s="3" t="e">
        <f ca="1">[1]!BexGetData("DP_1","003N8EMH8GTFRIVOG7KG9IQXA","GSON1112080030")</f>
        <v>#NAME?</v>
      </c>
      <c r="N1018" s="8" t="e">
        <f ca="1">[1]!BexGetData("DP_1","003N8EMH8GTFRIVOG7KG9IX8U","GSON1112080030")</f>
        <v>#NAME?</v>
      </c>
      <c r="O1018" s="3" t="e">
        <f ca="1">[1]!BexGetData("DP_1","003N8EMH8GTFRIVOG7KG9J3KE","GSON1112080030")</f>
        <v>#NAME?</v>
      </c>
      <c r="P1018" s="8" t="e">
        <f ca="1">[1]!BexGetData("DP_1","003N8EMH8GTFRIVOG7KG9J9VY","GSON1112080030")</f>
        <v>#NAME?</v>
      </c>
      <c r="Q1018" s="4" t="e">
        <f ca="1">[1]!BexGetData("DP_1","00O2TNJGODT0G5Z4TTKYMM5MT","GSON1112080030")</f>
        <v>#NAME?</v>
      </c>
      <c r="R1018" s="3" t="e">
        <f ca="1">[1]!BexGetData("DP_1","00O2TNJGODT0G5Z4TTKYMMBYD","GSON1112080030")</f>
        <v>#NAME?</v>
      </c>
      <c r="S1018" s="3" t="e">
        <f ca="1">[1]!BexGetData("DP_1","00O2TNJGODT0G5Z4TTKYMMI9X","GSON1112080030")</f>
        <v>#NAME?</v>
      </c>
      <c r="T1018" s="8" t="e">
        <f ca="1">[1]!BexGetData("DP_1","00O2TNJGODT0G5Z4TTKYMMOLH","GSON1112080030")</f>
        <v>#NAME?</v>
      </c>
      <c r="U1018" s="3" t="e">
        <f ca="1">[1]!BexGetData("DP_1","00O2TNJGODT0G5Z4TTKYMMUX1","GSON1112080030")</f>
        <v>#NAME?</v>
      </c>
      <c r="V1018" s="8" t="e">
        <f ca="1">[1]!BexGetData("DP_1","00O2TNJGODT0G5Z4TTKYMN18L","GSON1112080030")</f>
        <v>#NAME?</v>
      </c>
      <c r="W1018" s="3" t="e">
        <f ca="1">[1]!BexGetData("DP_1","00O2TNJGODT0G5Z4TTKYMN7K5","GSON1112080030")</f>
        <v>#NAME?</v>
      </c>
    </row>
    <row r="1019" spans="1:23" x14ac:dyDescent="0.2">
      <c r="A1019" s="16" t="s">
        <v>3245</v>
      </c>
      <c r="B1019" s="7" t="s">
        <v>422</v>
      </c>
      <c r="C1019" s="3" t="e">
        <f ca="1">[1]!BexGetData("DP_1","003N8EMH8GTFRCSWKMPXRR8GU","GSON1112080031")</f>
        <v>#NAME?</v>
      </c>
      <c r="D1019" s="3" t="e">
        <f ca="1">[1]!BexGetData("DP_1","003N8EMH8GTFRCSWKMPXRRESE","GSON1112080031")</f>
        <v>#NAME?</v>
      </c>
      <c r="E1019" s="8" t="e">
        <f ca="1">[1]!BexGetData("DP_1","003N8EMH8GTFRCSWKMPXRRL3Y","GSON1112080031")</f>
        <v>#NAME?</v>
      </c>
      <c r="F1019" s="8" t="e">
        <f ca="1">[1]!BexGetData("DP_1","003N8EMH8GTFRCSWKMPXRRRFI","GSON1112080031")</f>
        <v>#NAME?</v>
      </c>
      <c r="G1019" s="3" t="e">
        <f ca="1">[1]!BexGetData("DP_1","003N8EMH8GTFRCSWKMPXRRXR2","GSON1112080031")</f>
        <v>#NAME?</v>
      </c>
      <c r="H1019" s="3" t="e">
        <f ca="1">[1]!BexGetData("DP_1","003N8EMH8GTFRCSWKMPXRS42M","GSON1112080031")</f>
        <v>#NAME?</v>
      </c>
      <c r="I1019" s="8" t="e">
        <f ca="1">[1]!BexGetData("DP_1","003N8EMH8GTFRCSWKMPXRSAE6","GSON1112080031")</f>
        <v>#NAME?</v>
      </c>
      <c r="J1019" s="4" t="e">
        <f ca="1">[1]!BexGetData("DP_1","003N8EMH8GTFRCSWKMPXRSGPQ","GSON1112080031")</f>
        <v>#NAME?</v>
      </c>
      <c r="K1019" s="8" t="e">
        <f ca="1">[1]!BexGetData("DP_1","003N8EMH8GTFRIVNUPY288VJH","GSON1112080031")</f>
        <v>#NAME?</v>
      </c>
      <c r="L1019" s="8" t="e">
        <f ca="1">[1]!BexGetData("DP_1","003N8EMH8GTFRIVNUPY2891V1","GSON1112080031")</f>
        <v>#NAME?</v>
      </c>
      <c r="M1019" s="8" t="e">
        <f ca="1">[1]!BexGetData("DP_1","003N8EMH8GTFRIVOG7KG9IQXA","GSON1112080031")</f>
        <v>#NAME?</v>
      </c>
      <c r="N1019" s="8" t="e">
        <f ca="1">[1]!BexGetData("DP_1","003N8EMH8GTFRIVOG7KG9IX8U","GSON1112080031")</f>
        <v>#NAME?</v>
      </c>
      <c r="O1019" s="8" t="e">
        <f ca="1">[1]!BexGetData("DP_1","003N8EMH8GTFRIVOG7KG9J3KE","GSON1112080031")</f>
        <v>#NAME?</v>
      </c>
      <c r="P1019" s="8" t="e">
        <f ca="1">[1]!BexGetData("DP_1","003N8EMH8GTFRIVOG7KG9J9VY","GSON1112080031")</f>
        <v>#NAME?</v>
      </c>
      <c r="Q1019" s="4" t="e">
        <f ca="1">[1]!BexGetData("DP_1","00O2TNJGODT0G5Z4TTKYMM5MT","GSON1112080031")</f>
        <v>#NAME?</v>
      </c>
      <c r="R1019" s="8" t="e">
        <f ca="1">[1]!BexGetData("DP_1","00O2TNJGODT0G5Z4TTKYMMBYD","GSON1112080031")</f>
        <v>#NAME?</v>
      </c>
      <c r="S1019" s="8" t="e">
        <f ca="1">[1]!BexGetData("DP_1","00O2TNJGODT0G5Z4TTKYMMI9X","GSON1112080031")</f>
        <v>#NAME?</v>
      </c>
      <c r="T1019" s="8" t="e">
        <f ca="1">[1]!BexGetData("DP_1","00O2TNJGODT0G5Z4TTKYMMOLH","GSON1112080031")</f>
        <v>#NAME?</v>
      </c>
      <c r="U1019" s="8" t="e">
        <f ca="1">[1]!BexGetData("DP_1","00O2TNJGODT0G5Z4TTKYMMUX1","GSON1112080031")</f>
        <v>#NAME?</v>
      </c>
      <c r="V1019" s="8" t="e">
        <f ca="1">[1]!BexGetData("DP_1","00O2TNJGODT0G5Z4TTKYMN18L","GSON1112080031")</f>
        <v>#NAME?</v>
      </c>
      <c r="W1019" s="8" t="e">
        <f ca="1">[1]!BexGetData("DP_1","00O2TNJGODT0G5Z4TTKYMN7K5","GSON1112080031")</f>
        <v>#NAME?</v>
      </c>
    </row>
    <row r="1020" spans="1:23" x14ac:dyDescent="0.2">
      <c r="A1020" s="16" t="s">
        <v>3246</v>
      </c>
      <c r="B1020" s="7" t="s">
        <v>423</v>
      </c>
      <c r="C1020" s="3" t="e">
        <f ca="1">[1]!BexGetData("DP_1","003N8EMH8GTFRCSWKMPXRR8GU","GSON1112080033")</f>
        <v>#NAME?</v>
      </c>
      <c r="D1020" s="3" t="e">
        <f ca="1">[1]!BexGetData("DP_1","003N8EMH8GTFRCSWKMPXRRESE","GSON1112080033")</f>
        <v>#NAME?</v>
      </c>
      <c r="E1020" s="8" t="e">
        <f ca="1">[1]!BexGetData("DP_1","003N8EMH8GTFRCSWKMPXRRL3Y","GSON1112080033")</f>
        <v>#NAME?</v>
      </c>
      <c r="F1020" s="4" t="e">
        <f ca="1">[1]!BexGetData("DP_1","003N8EMH8GTFRCSWKMPXRRRFI","GSON1112080033")</f>
        <v>#NAME?</v>
      </c>
      <c r="G1020" s="4" t="e">
        <f ca="1">[1]!BexGetData("DP_1","003N8EMH8GTFRCSWKMPXRRXR2","GSON1112080033")</f>
        <v>#NAME?</v>
      </c>
      <c r="H1020" s="4" t="e">
        <f ca="1">[1]!BexGetData("DP_1","003N8EMH8GTFRCSWKMPXRS42M","GSON1112080033")</f>
        <v>#NAME?</v>
      </c>
      <c r="I1020" s="4" t="e">
        <f ca="1">[1]!BexGetData("DP_1","003N8EMH8GTFRCSWKMPXRSAE6","GSON1112080033")</f>
        <v>#NAME?</v>
      </c>
      <c r="J1020" s="4" t="e">
        <f ca="1">[1]!BexGetData("DP_1","003N8EMH8GTFRCSWKMPXRSGPQ","GSON1112080033")</f>
        <v>#NAME?</v>
      </c>
      <c r="K1020" s="8" t="e">
        <f ca="1">[1]!BexGetData("DP_1","003N8EMH8GTFRIVNUPY288VJH","GSON1112080033")</f>
        <v>#NAME?</v>
      </c>
      <c r="L1020" s="8" t="e">
        <f ca="1">[1]!BexGetData("DP_1","003N8EMH8GTFRIVNUPY2891V1","GSON1112080033")</f>
        <v>#NAME?</v>
      </c>
      <c r="M1020" s="8" t="e">
        <f ca="1">[1]!BexGetData("DP_1","003N8EMH8GTFRIVOG7KG9IQXA","GSON1112080033")</f>
        <v>#NAME?</v>
      </c>
      <c r="N1020" s="8" t="e">
        <f ca="1">[1]!BexGetData("DP_1","003N8EMH8GTFRIVOG7KG9IX8U","GSON1112080033")</f>
        <v>#NAME?</v>
      </c>
      <c r="O1020" s="8" t="e">
        <f ca="1">[1]!BexGetData("DP_1","003N8EMH8GTFRIVOG7KG9J3KE","GSON1112080033")</f>
        <v>#NAME?</v>
      </c>
      <c r="P1020" s="8" t="e">
        <f ca="1">[1]!BexGetData("DP_1","003N8EMH8GTFRIVOG7KG9J9VY","GSON1112080033")</f>
        <v>#NAME?</v>
      </c>
      <c r="Q1020" s="4" t="e">
        <f ca="1">[1]!BexGetData("DP_1","00O2TNJGODT0G5Z4TTKYMM5MT","GSON1112080033")</f>
        <v>#NAME?</v>
      </c>
      <c r="R1020" s="4" t="e">
        <f ca="1">[1]!BexGetData("DP_1","00O2TNJGODT0G5Z4TTKYMMBYD","GSON1112080033")</f>
        <v>#NAME?</v>
      </c>
      <c r="S1020" s="4" t="e">
        <f ca="1">[1]!BexGetData("DP_1","00O2TNJGODT0G5Z4TTKYMMI9X","GSON1112080033")</f>
        <v>#NAME?</v>
      </c>
      <c r="T1020" s="4" t="e">
        <f ca="1">[1]!BexGetData("DP_1","00O2TNJGODT0G5Z4TTKYMMOLH","GSON1112080033")</f>
        <v>#NAME?</v>
      </c>
      <c r="U1020" s="4" t="e">
        <f ca="1">[1]!BexGetData("DP_1","00O2TNJGODT0G5Z4TTKYMMUX1","GSON1112080033")</f>
        <v>#NAME?</v>
      </c>
      <c r="V1020" s="4" t="e">
        <f ca="1">[1]!BexGetData("DP_1","00O2TNJGODT0G5Z4TTKYMN18L","GSON1112080033")</f>
        <v>#NAME?</v>
      </c>
      <c r="W1020" s="4" t="e">
        <f ca="1">[1]!BexGetData("DP_1","00O2TNJGODT0G5Z4TTKYMN7K5","GSON1112080033")</f>
        <v>#NAME?</v>
      </c>
    </row>
    <row r="1021" spans="1:23" x14ac:dyDescent="0.2">
      <c r="A1021" s="16" t="s">
        <v>3247</v>
      </c>
      <c r="B1021" s="7" t="s">
        <v>3248</v>
      </c>
      <c r="C1021" s="3" t="e">
        <f ca="1">[1]!BexGetData("DP_1","003N8EMH8GTFRCSWKMPXRR8GU","GSON1112080035")</f>
        <v>#NAME?</v>
      </c>
      <c r="D1021" s="3" t="e">
        <f ca="1">[1]!BexGetData("DP_1","003N8EMH8GTFRCSWKMPXRRESE","GSON1112080035")</f>
        <v>#NAME?</v>
      </c>
      <c r="E1021" s="8" t="e">
        <f ca="1">[1]!BexGetData("DP_1","003N8EMH8GTFRCSWKMPXRRL3Y","GSON1112080035")</f>
        <v>#NAME?</v>
      </c>
      <c r="F1021" s="4" t="e">
        <f ca="1">[1]!BexGetData("DP_1","003N8EMH8GTFRCSWKMPXRRRFI","GSON1112080035")</f>
        <v>#NAME?</v>
      </c>
      <c r="G1021" s="4" t="e">
        <f ca="1">[1]!BexGetData("DP_1","003N8EMH8GTFRCSWKMPXRRXR2","GSON1112080035")</f>
        <v>#NAME?</v>
      </c>
      <c r="H1021" s="4" t="e">
        <f ca="1">[1]!BexGetData("DP_1","003N8EMH8GTFRCSWKMPXRS42M","GSON1112080035")</f>
        <v>#NAME?</v>
      </c>
      <c r="I1021" s="4" t="e">
        <f ca="1">[1]!BexGetData("DP_1","003N8EMH8GTFRCSWKMPXRSAE6","GSON1112080035")</f>
        <v>#NAME?</v>
      </c>
      <c r="J1021" s="4" t="e">
        <f ca="1">[1]!BexGetData("DP_1","003N8EMH8GTFRCSWKMPXRSGPQ","GSON1112080035")</f>
        <v>#NAME?</v>
      </c>
      <c r="K1021" s="8" t="e">
        <f ca="1">[1]!BexGetData("DP_1","003N8EMH8GTFRIVNUPY288VJH","GSON1112080035")</f>
        <v>#NAME?</v>
      </c>
      <c r="L1021" s="8" t="e">
        <f ca="1">[1]!BexGetData("DP_1","003N8EMH8GTFRIVNUPY2891V1","GSON1112080035")</f>
        <v>#NAME?</v>
      </c>
      <c r="M1021" s="8" t="e">
        <f ca="1">[1]!BexGetData("DP_1","003N8EMH8GTFRIVOG7KG9IQXA","GSON1112080035")</f>
        <v>#NAME?</v>
      </c>
      <c r="N1021" s="8" t="e">
        <f ca="1">[1]!BexGetData("DP_1","003N8EMH8GTFRIVOG7KG9IX8U","GSON1112080035")</f>
        <v>#NAME?</v>
      </c>
      <c r="O1021" s="8" t="e">
        <f ca="1">[1]!BexGetData("DP_1","003N8EMH8GTFRIVOG7KG9J3KE","GSON1112080035")</f>
        <v>#NAME?</v>
      </c>
      <c r="P1021" s="8" t="e">
        <f ca="1">[1]!BexGetData("DP_1","003N8EMH8GTFRIVOG7KG9J9VY","GSON1112080035")</f>
        <v>#NAME?</v>
      </c>
      <c r="Q1021" s="4" t="e">
        <f ca="1">[1]!BexGetData("DP_1","00O2TNJGODT0G5Z4TTKYMM5MT","GSON1112080035")</f>
        <v>#NAME?</v>
      </c>
      <c r="R1021" s="4" t="e">
        <f ca="1">[1]!BexGetData("DP_1","00O2TNJGODT0G5Z4TTKYMMBYD","GSON1112080035")</f>
        <v>#NAME?</v>
      </c>
      <c r="S1021" s="4" t="e">
        <f ca="1">[1]!BexGetData("DP_1","00O2TNJGODT0G5Z4TTKYMMI9X","GSON1112080035")</f>
        <v>#NAME?</v>
      </c>
      <c r="T1021" s="4" t="e">
        <f ca="1">[1]!BexGetData("DP_1","00O2TNJGODT0G5Z4TTKYMMOLH","GSON1112080035")</f>
        <v>#NAME?</v>
      </c>
      <c r="U1021" s="4" t="e">
        <f ca="1">[1]!BexGetData("DP_1","00O2TNJGODT0G5Z4TTKYMMUX1","GSON1112080035")</f>
        <v>#NAME?</v>
      </c>
      <c r="V1021" s="4" t="e">
        <f ca="1">[1]!BexGetData("DP_1","00O2TNJGODT0G5Z4TTKYMN18L","GSON1112080035")</f>
        <v>#NAME?</v>
      </c>
      <c r="W1021" s="4" t="e">
        <f ca="1">[1]!BexGetData("DP_1","00O2TNJGODT0G5Z4TTKYMN7K5","GSON1112080035")</f>
        <v>#NAME?</v>
      </c>
    </row>
    <row r="1022" spans="1:23" x14ac:dyDescent="0.2">
      <c r="A1022" s="16" t="s">
        <v>3249</v>
      </c>
      <c r="B1022" s="7" t="s">
        <v>3250</v>
      </c>
      <c r="C1022" s="3" t="e">
        <f ca="1">[1]!BexGetData("DP_1","003N8EMH8GTFRCSWKMPXRR8GU","GSON1112080040")</f>
        <v>#NAME?</v>
      </c>
      <c r="D1022" s="3" t="e">
        <f ca="1">[1]!BexGetData("DP_1","003N8EMH8GTFRCSWKMPXRRESE","GSON1112080040")</f>
        <v>#NAME?</v>
      </c>
      <c r="E1022" s="8" t="e">
        <f ca="1">[1]!BexGetData("DP_1","003N8EMH8GTFRCSWKMPXRRL3Y","GSON1112080040")</f>
        <v>#NAME?</v>
      </c>
      <c r="F1022" s="3" t="e">
        <f ca="1">[1]!BexGetData("DP_1","003N8EMH8GTFRCSWKMPXRRRFI","GSON1112080040")</f>
        <v>#NAME?</v>
      </c>
      <c r="G1022" s="3" t="e">
        <f ca="1">[1]!BexGetData("DP_1","003N8EMH8GTFRCSWKMPXRRXR2","GSON1112080040")</f>
        <v>#NAME?</v>
      </c>
      <c r="H1022" s="8" t="e">
        <f ca="1">[1]!BexGetData("DP_1","003N8EMH8GTFRCSWKMPXRS42M","GSON1112080040")</f>
        <v>#NAME?</v>
      </c>
      <c r="I1022" s="3" t="e">
        <f ca="1">[1]!BexGetData("DP_1","003N8EMH8GTFRCSWKMPXRSAE6","GSON1112080040")</f>
        <v>#NAME?</v>
      </c>
      <c r="J1022" s="4" t="e">
        <f ca="1">[1]!BexGetData("DP_1","003N8EMH8GTFRCSWKMPXRSGPQ","GSON1112080040")</f>
        <v>#NAME?</v>
      </c>
      <c r="K1022" s="3" t="e">
        <f ca="1">[1]!BexGetData("DP_1","003N8EMH8GTFRIVNUPY288VJH","GSON1112080040")</f>
        <v>#NAME?</v>
      </c>
      <c r="L1022" s="3" t="e">
        <f ca="1">[1]!BexGetData("DP_1","003N8EMH8GTFRIVNUPY2891V1","GSON1112080040")</f>
        <v>#NAME?</v>
      </c>
      <c r="M1022" s="3" t="e">
        <f ca="1">[1]!BexGetData("DP_1","003N8EMH8GTFRIVOG7KG9IQXA","GSON1112080040")</f>
        <v>#NAME?</v>
      </c>
      <c r="N1022" s="8" t="e">
        <f ca="1">[1]!BexGetData("DP_1","003N8EMH8GTFRIVOG7KG9IX8U","GSON1112080040")</f>
        <v>#NAME?</v>
      </c>
      <c r="O1022" s="3" t="e">
        <f ca="1">[1]!BexGetData("DP_1","003N8EMH8GTFRIVOG7KG9J3KE","GSON1112080040")</f>
        <v>#NAME?</v>
      </c>
      <c r="P1022" s="8" t="e">
        <f ca="1">[1]!BexGetData("DP_1","003N8EMH8GTFRIVOG7KG9J9VY","GSON1112080040")</f>
        <v>#NAME?</v>
      </c>
      <c r="Q1022" s="4" t="e">
        <f ca="1">[1]!BexGetData("DP_1","00O2TNJGODT0G5Z4TTKYMM5MT","GSON1112080040")</f>
        <v>#NAME?</v>
      </c>
      <c r="R1022" s="3" t="e">
        <f ca="1">[1]!BexGetData("DP_1","00O2TNJGODT0G5Z4TTKYMMBYD","GSON1112080040")</f>
        <v>#NAME?</v>
      </c>
      <c r="S1022" s="3" t="e">
        <f ca="1">[1]!BexGetData("DP_1","00O2TNJGODT0G5Z4TTKYMMI9X","GSON1112080040")</f>
        <v>#NAME?</v>
      </c>
      <c r="T1022" s="8" t="e">
        <f ca="1">[1]!BexGetData("DP_1","00O2TNJGODT0G5Z4TTKYMMOLH","GSON1112080040")</f>
        <v>#NAME?</v>
      </c>
      <c r="U1022" s="3" t="e">
        <f ca="1">[1]!BexGetData("DP_1","00O2TNJGODT0G5Z4TTKYMMUX1","GSON1112080040")</f>
        <v>#NAME?</v>
      </c>
      <c r="V1022" s="8" t="e">
        <f ca="1">[1]!BexGetData("DP_1","00O2TNJGODT0G5Z4TTKYMN18L","GSON1112080040")</f>
        <v>#NAME?</v>
      </c>
      <c r="W1022" s="3" t="e">
        <f ca="1">[1]!BexGetData("DP_1","00O2TNJGODT0G5Z4TTKYMN7K5","GSON1112080040")</f>
        <v>#NAME?</v>
      </c>
    </row>
    <row r="1023" spans="1:23" x14ac:dyDescent="0.2">
      <c r="A1023" s="16" t="s">
        <v>3251</v>
      </c>
      <c r="B1023" s="7" t="s">
        <v>3252</v>
      </c>
      <c r="C1023" s="3" t="e">
        <f ca="1">[1]!BexGetData("DP_1","003N8EMH8GTFRCSWKMPXRR8GU","GSON1112080043")</f>
        <v>#NAME?</v>
      </c>
      <c r="D1023" s="3" t="e">
        <f ca="1">[1]!BexGetData("DP_1","003N8EMH8GTFRCSWKMPXRRESE","GSON1112080043")</f>
        <v>#NAME?</v>
      </c>
      <c r="E1023" s="8" t="e">
        <f ca="1">[1]!BexGetData("DP_1","003N8EMH8GTFRCSWKMPXRRL3Y","GSON1112080043")</f>
        <v>#NAME?</v>
      </c>
      <c r="F1023" s="4" t="e">
        <f ca="1">[1]!BexGetData("DP_1","003N8EMH8GTFRCSWKMPXRRRFI","GSON1112080043")</f>
        <v>#NAME?</v>
      </c>
      <c r="G1023" s="4" t="e">
        <f ca="1">[1]!BexGetData("DP_1","003N8EMH8GTFRCSWKMPXRRXR2","GSON1112080043")</f>
        <v>#NAME?</v>
      </c>
      <c r="H1023" s="4" t="e">
        <f ca="1">[1]!BexGetData("DP_1","003N8EMH8GTFRCSWKMPXRS42M","GSON1112080043")</f>
        <v>#NAME?</v>
      </c>
      <c r="I1023" s="4" t="e">
        <f ca="1">[1]!BexGetData("DP_1","003N8EMH8GTFRCSWKMPXRSAE6","GSON1112080043")</f>
        <v>#NAME?</v>
      </c>
      <c r="J1023" s="4" t="e">
        <f ca="1">[1]!BexGetData("DP_1","003N8EMH8GTFRCSWKMPXRSGPQ","GSON1112080043")</f>
        <v>#NAME?</v>
      </c>
      <c r="K1023" s="8" t="e">
        <f ca="1">[1]!BexGetData("DP_1","003N8EMH8GTFRIVNUPY288VJH","GSON1112080043")</f>
        <v>#NAME?</v>
      </c>
      <c r="L1023" s="8" t="e">
        <f ca="1">[1]!BexGetData("DP_1","003N8EMH8GTFRIVNUPY2891V1","GSON1112080043")</f>
        <v>#NAME?</v>
      </c>
      <c r="M1023" s="8" t="e">
        <f ca="1">[1]!BexGetData("DP_1","003N8EMH8GTFRIVOG7KG9IQXA","GSON1112080043")</f>
        <v>#NAME?</v>
      </c>
      <c r="N1023" s="8" t="e">
        <f ca="1">[1]!BexGetData("DP_1","003N8EMH8GTFRIVOG7KG9IX8U","GSON1112080043")</f>
        <v>#NAME?</v>
      </c>
      <c r="O1023" s="8" t="e">
        <f ca="1">[1]!BexGetData("DP_1","003N8EMH8GTFRIVOG7KG9J3KE","GSON1112080043")</f>
        <v>#NAME?</v>
      </c>
      <c r="P1023" s="8" t="e">
        <f ca="1">[1]!BexGetData("DP_1","003N8EMH8GTFRIVOG7KG9J9VY","GSON1112080043")</f>
        <v>#NAME?</v>
      </c>
      <c r="Q1023" s="4" t="e">
        <f ca="1">[1]!BexGetData("DP_1","00O2TNJGODT0G5Z4TTKYMM5MT","GSON1112080043")</f>
        <v>#NAME?</v>
      </c>
      <c r="R1023" s="4" t="e">
        <f ca="1">[1]!BexGetData("DP_1","00O2TNJGODT0G5Z4TTKYMMBYD","GSON1112080043")</f>
        <v>#NAME?</v>
      </c>
      <c r="S1023" s="4" t="e">
        <f ca="1">[1]!BexGetData("DP_1","00O2TNJGODT0G5Z4TTKYMMI9X","GSON1112080043")</f>
        <v>#NAME?</v>
      </c>
      <c r="T1023" s="4" t="e">
        <f ca="1">[1]!BexGetData("DP_1","00O2TNJGODT0G5Z4TTKYMMOLH","GSON1112080043")</f>
        <v>#NAME?</v>
      </c>
      <c r="U1023" s="4" t="e">
        <f ca="1">[1]!BexGetData("DP_1","00O2TNJGODT0G5Z4TTKYMMUX1","GSON1112080043")</f>
        <v>#NAME?</v>
      </c>
      <c r="V1023" s="4" t="e">
        <f ca="1">[1]!BexGetData("DP_1","00O2TNJGODT0G5Z4TTKYMN18L","GSON1112080043")</f>
        <v>#NAME?</v>
      </c>
      <c r="W1023" s="4" t="e">
        <f ca="1">[1]!BexGetData("DP_1","00O2TNJGODT0G5Z4TTKYMN7K5","GSON1112080043")</f>
        <v>#NAME?</v>
      </c>
    </row>
    <row r="1024" spans="1:23" x14ac:dyDescent="0.2">
      <c r="A1024" s="16" t="s">
        <v>3253</v>
      </c>
      <c r="B1024" s="7" t="s">
        <v>3254</v>
      </c>
      <c r="C1024" s="3" t="e">
        <f ca="1">[1]!BexGetData("DP_1","003N8EMH8GTFRCSWKMPXRR8GU","GSON1112080044")</f>
        <v>#NAME?</v>
      </c>
      <c r="D1024" s="3" t="e">
        <f ca="1">[1]!BexGetData("DP_1","003N8EMH8GTFRCSWKMPXRRESE","GSON1112080044")</f>
        <v>#NAME?</v>
      </c>
      <c r="E1024" s="8" t="e">
        <f ca="1">[1]!BexGetData("DP_1","003N8EMH8GTFRCSWKMPXRRL3Y","GSON1112080044")</f>
        <v>#NAME?</v>
      </c>
      <c r="F1024" s="4" t="e">
        <f ca="1">[1]!BexGetData("DP_1","003N8EMH8GTFRCSWKMPXRRRFI","GSON1112080044")</f>
        <v>#NAME?</v>
      </c>
      <c r="G1024" s="4" t="e">
        <f ca="1">[1]!BexGetData("DP_1","003N8EMH8GTFRCSWKMPXRRXR2","GSON1112080044")</f>
        <v>#NAME?</v>
      </c>
      <c r="H1024" s="4" t="e">
        <f ca="1">[1]!BexGetData("DP_1","003N8EMH8GTFRCSWKMPXRS42M","GSON1112080044")</f>
        <v>#NAME?</v>
      </c>
      <c r="I1024" s="4" t="e">
        <f ca="1">[1]!BexGetData("DP_1","003N8EMH8GTFRCSWKMPXRSAE6","GSON1112080044")</f>
        <v>#NAME?</v>
      </c>
      <c r="J1024" s="4" t="e">
        <f ca="1">[1]!BexGetData("DP_1","003N8EMH8GTFRCSWKMPXRSGPQ","GSON1112080044")</f>
        <v>#NAME?</v>
      </c>
      <c r="K1024" s="8" t="e">
        <f ca="1">[1]!BexGetData("DP_1","003N8EMH8GTFRIVNUPY288VJH","GSON1112080044")</f>
        <v>#NAME?</v>
      </c>
      <c r="L1024" s="8" t="e">
        <f ca="1">[1]!BexGetData("DP_1","003N8EMH8GTFRIVNUPY2891V1","GSON1112080044")</f>
        <v>#NAME?</v>
      </c>
      <c r="M1024" s="8" t="e">
        <f ca="1">[1]!BexGetData("DP_1","003N8EMH8GTFRIVOG7KG9IQXA","GSON1112080044")</f>
        <v>#NAME?</v>
      </c>
      <c r="N1024" s="8" t="e">
        <f ca="1">[1]!BexGetData("DP_1","003N8EMH8GTFRIVOG7KG9IX8U","GSON1112080044")</f>
        <v>#NAME?</v>
      </c>
      <c r="O1024" s="8" t="e">
        <f ca="1">[1]!BexGetData("DP_1","003N8EMH8GTFRIVOG7KG9J3KE","GSON1112080044")</f>
        <v>#NAME?</v>
      </c>
      <c r="P1024" s="8" t="e">
        <f ca="1">[1]!BexGetData("DP_1","003N8EMH8GTFRIVOG7KG9J9VY","GSON1112080044")</f>
        <v>#NAME?</v>
      </c>
      <c r="Q1024" s="4" t="e">
        <f ca="1">[1]!BexGetData("DP_1","00O2TNJGODT0G5Z4TTKYMM5MT","GSON1112080044")</f>
        <v>#NAME?</v>
      </c>
      <c r="R1024" s="4" t="e">
        <f ca="1">[1]!BexGetData("DP_1","00O2TNJGODT0G5Z4TTKYMMBYD","GSON1112080044")</f>
        <v>#NAME?</v>
      </c>
      <c r="S1024" s="4" t="e">
        <f ca="1">[1]!BexGetData("DP_1","00O2TNJGODT0G5Z4TTKYMMI9X","GSON1112080044")</f>
        <v>#NAME?</v>
      </c>
      <c r="T1024" s="4" t="e">
        <f ca="1">[1]!BexGetData("DP_1","00O2TNJGODT0G5Z4TTKYMMOLH","GSON1112080044")</f>
        <v>#NAME?</v>
      </c>
      <c r="U1024" s="4" t="e">
        <f ca="1">[1]!BexGetData("DP_1","00O2TNJGODT0G5Z4TTKYMMUX1","GSON1112080044")</f>
        <v>#NAME?</v>
      </c>
      <c r="V1024" s="4" t="e">
        <f ca="1">[1]!BexGetData("DP_1","00O2TNJGODT0G5Z4TTKYMN18L","GSON1112080044")</f>
        <v>#NAME?</v>
      </c>
      <c r="W1024" s="4" t="e">
        <f ca="1">[1]!BexGetData("DP_1","00O2TNJGODT0G5Z4TTKYMN7K5","GSON1112080044")</f>
        <v>#NAME?</v>
      </c>
    </row>
    <row r="1025" spans="1:23" x14ac:dyDescent="0.2">
      <c r="A1025" s="16" t="s">
        <v>3255</v>
      </c>
      <c r="B1025" s="7" t="s">
        <v>424</v>
      </c>
      <c r="C1025" s="3" t="e">
        <f ca="1">[1]!BexGetData("DP_1","003N8EMH8GTFRCSWKMPXRR8GU","GSON1112080050")</f>
        <v>#NAME?</v>
      </c>
      <c r="D1025" s="3" t="e">
        <f ca="1">[1]!BexGetData("DP_1","003N8EMH8GTFRCSWKMPXRRESE","GSON1112080050")</f>
        <v>#NAME?</v>
      </c>
      <c r="E1025" s="8" t="e">
        <f ca="1">[1]!BexGetData("DP_1","003N8EMH8GTFRCSWKMPXRRL3Y","GSON1112080050")</f>
        <v>#NAME?</v>
      </c>
      <c r="F1025" s="3" t="e">
        <f ca="1">[1]!BexGetData("DP_1","003N8EMH8GTFRCSWKMPXRRRFI","GSON1112080050")</f>
        <v>#NAME?</v>
      </c>
      <c r="G1025" s="3" t="e">
        <f ca="1">[1]!BexGetData("DP_1","003N8EMH8GTFRCSWKMPXRRXR2","GSON1112080050")</f>
        <v>#NAME?</v>
      </c>
      <c r="H1025" s="8" t="e">
        <f ca="1">[1]!BexGetData("DP_1","003N8EMH8GTFRCSWKMPXRS42M","GSON1112080050")</f>
        <v>#NAME?</v>
      </c>
      <c r="I1025" s="3" t="e">
        <f ca="1">[1]!BexGetData("DP_1","003N8EMH8GTFRCSWKMPXRSAE6","GSON1112080050")</f>
        <v>#NAME?</v>
      </c>
      <c r="J1025" s="4" t="e">
        <f ca="1">[1]!BexGetData("DP_1","003N8EMH8GTFRCSWKMPXRSGPQ","GSON1112080050")</f>
        <v>#NAME?</v>
      </c>
      <c r="K1025" s="3" t="e">
        <f ca="1">[1]!BexGetData("DP_1","003N8EMH8GTFRIVNUPY288VJH","GSON1112080050")</f>
        <v>#NAME?</v>
      </c>
      <c r="L1025" s="3" t="e">
        <f ca="1">[1]!BexGetData("DP_1","003N8EMH8GTFRIVNUPY2891V1","GSON1112080050")</f>
        <v>#NAME?</v>
      </c>
      <c r="M1025" s="3" t="e">
        <f ca="1">[1]!BexGetData("DP_1","003N8EMH8GTFRIVOG7KG9IQXA","GSON1112080050")</f>
        <v>#NAME?</v>
      </c>
      <c r="N1025" s="8" t="e">
        <f ca="1">[1]!BexGetData("DP_1","003N8EMH8GTFRIVOG7KG9IX8U","GSON1112080050")</f>
        <v>#NAME?</v>
      </c>
      <c r="O1025" s="3" t="e">
        <f ca="1">[1]!BexGetData("DP_1","003N8EMH8GTFRIVOG7KG9J3KE","GSON1112080050")</f>
        <v>#NAME?</v>
      </c>
      <c r="P1025" s="8" t="e">
        <f ca="1">[1]!BexGetData("DP_1","003N8EMH8GTFRIVOG7KG9J9VY","GSON1112080050")</f>
        <v>#NAME?</v>
      </c>
      <c r="Q1025" s="4" t="e">
        <f ca="1">[1]!BexGetData("DP_1","00O2TNJGODT0G5Z4TTKYMM5MT","GSON1112080050")</f>
        <v>#NAME?</v>
      </c>
      <c r="R1025" s="3" t="e">
        <f ca="1">[1]!BexGetData("DP_1","00O2TNJGODT0G5Z4TTKYMMBYD","GSON1112080050")</f>
        <v>#NAME?</v>
      </c>
      <c r="S1025" s="3" t="e">
        <f ca="1">[1]!BexGetData("DP_1","00O2TNJGODT0G5Z4TTKYMMI9X","GSON1112080050")</f>
        <v>#NAME?</v>
      </c>
      <c r="T1025" s="8" t="e">
        <f ca="1">[1]!BexGetData("DP_1","00O2TNJGODT0G5Z4TTKYMMOLH","GSON1112080050")</f>
        <v>#NAME?</v>
      </c>
      <c r="U1025" s="3" t="e">
        <f ca="1">[1]!BexGetData("DP_1","00O2TNJGODT0G5Z4TTKYMMUX1","GSON1112080050")</f>
        <v>#NAME?</v>
      </c>
      <c r="V1025" s="8" t="e">
        <f ca="1">[1]!BexGetData("DP_1","00O2TNJGODT0G5Z4TTKYMN18L","GSON1112080050")</f>
        <v>#NAME?</v>
      </c>
      <c r="W1025" s="3" t="e">
        <f ca="1">[1]!BexGetData("DP_1","00O2TNJGODT0G5Z4TTKYMN7K5","GSON1112080050")</f>
        <v>#NAME?</v>
      </c>
    </row>
    <row r="1026" spans="1:23" x14ac:dyDescent="0.2">
      <c r="A1026" s="16" t="s">
        <v>3256</v>
      </c>
      <c r="B1026" s="7" t="s">
        <v>425</v>
      </c>
      <c r="C1026" s="3" t="e">
        <f ca="1">[1]!BexGetData("DP_1","003N8EMH8GTFRCSWKMPXRR8GU","GSON1112080051")</f>
        <v>#NAME?</v>
      </c>
      <c r="D1026" s="3" t="e">
        <f ca="1">[1]!BexGetData("DP_1","003N8EMH8GTFRCSWKMPXRRESE","GSON1112080051")</f>
        <v>#NAME?</v>
      </c>
      <c r="E1026" s="8" t="e">
        <f ca="1">[1]!BexGetData("DP_1","003N8EMH8GTFRCSWKMPXRRL3Y","GSON1112080051")</f>
        <v>#NAME?</v>
      </c>
      <c r="F1026" s="4" t="e">
        <f ca="1">[1]!BexGetData("DP_1","003N8EMH8GTFRCSWKMPXRRRFI","GSON1112080051")</f>
        <v>#NAME?</v>
      </c>
      <c r="G1026" s="4" t="e">
        <f ca="1">[1]!BexGetData("DP_1","003N8EMH8GTFRCSWKMPXRRXR2","GSON1112080051")</f>
        <v>#NAME?</v>
      </c>
      <c r="H1026" s="4" t="e">
        <f ca="1">[1]!BexGetData("DP_1","003N8EMH8GTFRCSWKMPXRS42M","GSON1112080051")</f>
        <v>#NAME?</v>
      </c>
      <c r="I1026" s="4" t="e">
        <f ca="1">[1]!BexGetData("DP_1","003N8EMH8GTFRCSWKMPXRSAE6","GSON1112080051")</f>
        <v>#NAME?</v>
      </c>
      <c r="J1026" s="4" t="e">
        <f ca="1">[1]!BexGetData("DP_1","003N8EMH8GTFRCSWKMPXRSGPQ","GSON1112080051")</f>
        <v>#NAME?</v>
      </c>
      <c r="K1026" s="8" t="e">
        <f ca="1">[1]!BexGetData("DP_1","003N8EMH8GTFRIVNUPY288VJH","GSON1112080051")</f>
        <v>#NAME?</v>
      </c>
      <c r="L1026" s="8" t="e">
        <f ca="1">[1]!BexGetData("DP_1","003N8EMH8GTFRIVNUPY2891V1","GSON1112080051")</f>
        <v>#NAME?</v>
      </c>
      <c r="M1026" s="8" t="e">
        <f ca="1">[1]!BexGetData("DP_1","003N8EMH8GTFRIVOG7KG9IQXA","GSON1112080051")</f>
        <v>#NAME?</v>
      </c>
      <c r="N1026" s="8" t="e">
        <f ca="1">[1]!BexGetData("DP_1","003N8EMH8GTFRIVOG7KG9IX8U","GSON1112080051")</f>
        <v>#NAME?</v>
      </c>
      <c r="O1026" s="8" t="e">
        <f ca="1">[1]!BexGetData("DP_1","003N8EMH8GTFRIVOG7KG9J3KE","GSON1112080051")</f>
        <v>#NAME?</v>
      </c>
      <c r="P1026" s="8" t="e">
        <f ca="1">[1]!BexGetData("DP_1","003N8EMH8GTFRIVOG7KG9J9VY","GSON1112080051")</f>
        <v>#NAME?</v>
      </c>
      <c r="Q1026" s="4" t="e">
        <f ca="1">[1]!BexGetData("DP_1","00O2TNJGODT0G5Z4TTKYMM5MT","GSON1112080051")</f>
        <v>#NAME?</v>
      </c>
      <c r="R1026" s="4" t="e">
        <f ca="1">[1]!BexGetData("DP_1","00O2TNJGODT0G5Z4TTKYMMBYD","GSON1112080051")</f>
        <v>#NAME?</v>
      </c>
      <c r="S1026" s="4" t="e">
        <f ca="1">[1]!BexGetData("DP_1","00O2TNJGODT0G5Z4TTKYMMI9X","GSON1112080051")</f>
        <v>#NAME?</v>
      </c>
      <c r="T1026" s="4" t="e">
        <f ca="1">[1]!BexGetData("DP_1","00O2TNJGODT0G5Z4TTKYMMOLH","GSON1112080051")</f>
        <v>#NAME?</v>
      </c>
      <c r="U1026" s="4" t="e">
        <f ca="1">[1]!BexGetData("DP_1","00O2TNJGODT0G5Z4TTKYMMUX1","GSON1112080051")</f>
        <v>#NAME?</v>
      </c>
      <c r="V1026" s="4" t="e">
        <f ca="1">[1]!BexGetData("DP_1","00O2TNJGODT0G5Z4TTKYMN18L","GSON1112080051")</f>
        <v>#NAME?</v>
      </c>
      <c r="W1026" s="4" t="e">
        <f ca="1">[1]!BexGetData("DP_1","00O2TNJGODT0G5Z4TTKYMN7K5","GSON1112080051")</f>
        <v>#NAME?</v>
      </c>
    </row>
    <row r="1027" spans="1:23" x14ac:dyDescent="0.2">
      <c r="A1027" s="16" t="s">
        <v>3257</v>
      </c>
      <c r="B1027" s="7" t="s">
        <v>1074</v>
      </c>
      <c r="C1027" s="3" t="e">
        <f ca="1">[1]!BexGetData("DP_1","003N8EMH8GTFRCSWKMPXRR8GU","GSON1112080053")</f>
        <v>#NAME?</v>
      </c>
      <c r="D1027" s="3" t="e">
        <f ca="1">[1]!BexGetData("DP_1","003N8EMH8GTFRCSWKMPXRRESE","GSON1112080053")</f>
        <v>#NAME?</v>
      </c>
      <c r="E1027" s="8" t="e">
        <f ca="1">[1]!BexGetData("DP_1","003N8EMH8GTFRCSWKMPXRRL3Y","GSON1112080053")</f>
        <v>#NAME?</v>
      </c>
      <c r="F1027" s="4" t="e">
        <f ca="1">[1]!BexGetData("DP_1","003N8EMH8GTFRCSWKMPXRRRFI","GSON1112080053")</f>
        <v>#NAME?</v>
      </c>
      <c r="G1027" s="4" t="e">
        <f ca="1">[1]!BexGetData("DP_1","003N8EMH8GTFRCSWKMPXRRXR2","GSON1112080053")</f>
        <v>#NAME?</v>
      </c>
      <c r="H1027" s="4" t="e">
        <f ca="1">[1]!BexGetData("DP_1","003N8EMH8GTFRCSWKMPXRS42M","GSON1112080053")</f>
        <v>#NAME?</v>
      </c>
      <c r="I1027" s="4" t="e">
        <f ca="1">[1]!BexGetData("DP_1","003N8EMH8GTFRCSWKMPXRSAE6","GSON1112080053")</f>
        <v>#NAME?</v>
      </c>
      <c r="J1027" s="4" t="e">
        <f ca="1">[1]!BexGetData("DP_1","003N8EMH8GTFRCSWKMPXRSGPQ","GSON1112080053")</f>
        <v>#NAME?</v>
      </c>
      <c r="K1027" s="8" t="e">
        <f ca="1">[1]!BexGetData("DP_1","003N8EMH8GTFRIVNUPY288VJH","GSON1112080053")</f>
        <v>#NAME?</v>
      </c>
      <c r="L1027" s="8" t="e">
        <f ca="1">[1]!BexGetData("DP_1","003N8EMH8GTFRIVNUPY2891V1","GSON1112080053")</f>
        <v>#NAME?</v>
      </c>
      <c r="M1027" s="8" t="e">
        <f ca="1">[1]!BexGetData("DP_1","003N8EMH8GTFRIVOG7KG9IQXA","GSON1112080053")</f>
        <v>#NAME?</v>
      </c>
      <c r="N1027" s="8" t="e">
        <f ca="1">[1]!BexGetData("DP_1","003N8EMH8GTFRIVOG7KG9IX8U","GSON1112080053")</f>
        <v>#NAME?</v>
      </c>
      <c r="O1027" s="8" t="e">
        <f ca="1">[1]!BexGetData("DP_1","003N8EMH8GTFRIVOG7KG9J3KE","GSON1112080053")</f>
        <v>#NAME?</v>
      </c>
      <c r="P1027" s="8" t="e">
        <f ca="1">[1]!BexGetData("DP_1","003N8EMH8GTFRIVOG7KG9J9VY","GSON1112080053")</f>
        <v>#NAME?</v>
      </c>
      <c r="Q1027" s="4" t="e">
        <f ca="1">[1]!BexGetData("DP_1","00O2TNJGODT0G5Z4TTKYMM5MT","GSON1112080053")</f>
        <v>#NAME?</v>
      </c>
      <c r="R1027" s="4" t="e">
        <f ca="1">[1]!BexGetData("DP_1","00O2TNJGODT0G5Z4TTKYMMBYD","GSON1112080053")</f>
        <v>#NAME?</v>
      </c>
      <c r="S1027" s="4" t="e">
        <f ca="1">[1]!BexGetData("DP_1","00O2TNJGODT0G5Z4TTKYMMI9X","GSON1112080053")</f>
        <v>#NAME?</v>
      </c>
      <c r="T1027" s="4" t="e">
        <f ca="1">[1]!BexGetData("DP_1","00O2TNJGODT0G5Z4TTKYMMOLH","GSON1112080053")</f>
        <v>#NAME?</v>
      </c>
      <c r="U1027" s="4" t="e">
        <f ca="1">[1]!BexGetData("DP_1","00O2TNJGODT0G5Z4TTKYMMUX1","GSON1112080053")</f>
        <v>#NAME?</v>
      </c>
      <c r="V1027" s="4" t="e">
        <f ca="1">[1]!BexGetData("DP_1","00O2TNJGODT0G5Z4TTKYMN18L","GSON1112080053")</f>
        <v>#NAME?</v>
      </c>
      <c r="W1027" s="4" t="e">
        <f ca="1">[1]!BexGetData("DP_1","00O2TNJGODT0G5Z4TTKYMN7K5","GSON1112080053")</f>
        <v>#NAME?</v>
      </c>
    </row>
    <row r="1028" spans="1:23" x14ac:dyDescent="0.2">
      <c r="A1028" s="16" t="s">
        <v>3258</v>
      </c>
      <c r="B1028" s="7" t="s">
        <v>1075</v>
      </c>
      <c r="C1028" s="3" t="e">
        <f ca="1">[1]!BexGetData("DP_1","003N8EMH8GTFRCSWKMPXRR8GU","GSON1112080055")</f>
        <v>#NAME?</v>
      </c>
      <c r="D1028" s="3" t="e">
        <f ca="1">[1]!BexGetData("DP_1","003N8EMH8GTFRCSWKMPXRRESE","GSON1112080055")</f>
        <v>#NAME?</v>
      </c>
      <c r="E1028" s="8" t="e">
        <f ca="1">[1]!BexGetData("DP_1","003N8EMH8GTFRCSWKMPXRRL3Y","GSON1112080055")</f>
        <v>#NAME?</v>
      </c>
      <c r="F1028" s="4" t="e">
        <f ca="1">[1]!BexGetData("DP_1","003N8EMH8GTFRCSWKMPXRRRFI","GSON1112080055")</f>
        <v>#NAME?</v>
      </c>
      <c r="G1028" s="4" t="e">
        <f ca="1">[1]!BexGetData("DP_1","003N8EMH8GTFRCSWKMPXRRXR2","GSON1112080055")</f>
        <v>#NAME?</v>
      </c>
      <c r="H1028" s="4" t="e">
        <f ca="1">[1]!BexGetData("DP_1","003N8EMH8GTFRCSWKMPXRS42M","GSON1112080055")</f>
        <v>#NAME?</v>
      </c>
      <c r="I1028" s="4" t="e">
        <f ca="1">[1]!BexGetData("DP_1","003N8EMH8GTFRCSWKMPXRSAE6","GSON1112080055")</f>
        <v>#NAME?</v>
      </c>
      <c r="J1028" s="4" t="e">
        <f ca="1">[1]!BexGetData("DP_1","003N8EMH8GTFRCSWKMPXRSGPQ","GSON1112080055")</f>
        <v>#NAME?</v>
      </c>
      <c r="K1028" s="8" t="e">
        <f ca="1">[1]!BexGetData("DP_1","003N8EMH8GTFRIVNUPY288VJH","GSON1112080055")</f>
        <v>#NAME?</v>
      </c>
      <c r="L1028" s="8" t="e">
        <f ca="1">[1]!BexGetData("DP_1","003N8EMH8GTFRIVNUPY2891V1","GSON1112080055")</f>
        <v>#NAME?</v>
      </c>
      <c r="M1028" s="8" t="e">
        <f ca="1">[1]!BexGetData("DP_1","003N8EMH8GTFRIVOG7KG9IQXA","GSON1112080055")</f>
        <v>#NAME?</v>
      </c>
      <c r="N1028" s="8" t="e">
        <f ca="1">[1]!BexGetData("DP_1","003N8EMH8GTFRIVOG7KG9IX8U","GSON1112080055")</f>
        <v>#NAME?</v>
      </c>
      <c r="O1028" s="8" t="e">
        <f ca="1">[1]!BexGetData("DP_1","003N8EMH8GTFRIVOG7KG9J3KE","GSON1112080055")</f>
        <v>#NAME?</v>
      </c>
      <c r="P1028" s="8" t="e">
        <f ca="1">[1]!BexGetData("DP_1","003N8EMH8GTFRIVOG7KG9J9VY","GSON1112080055")</f>
        <v>#NAME?</v>
      </c>
      <c r="Q1028" s="4" t="e">
        <f ca="1">[1]!BexGetData("DP_1","00O2TNJGODT0G5Z4TTKYMM5MT","GSON1112080055")</f>
        <v>#NAME?</v>
      </c>
      <c r="R1028" s="4" t="e">
        <f ca="1">[1]!BexGetData("DP_1","00O2TNJGODT0G5Z4TTKYMMBYD","GSON1112080055")</f>
        <v>#NAME?</v>
      </c>
      <c r="S1028" s="4" t="e">
        <f ca="1">[1]!BexGetData("DP_1","00O2TNJGODT0G5Z4TTKYMMI9X","GSON1112080055")</f>
        <v>#NAME?</v>
      </c>
      <c r="T1028" s="4" t="e">
        <f ca="1">[1]!BexGetData("DP_1","00O2TNJGODT0G5Z4TTKYMMOLH","GSON1112080055")</f>
        <v>#NAME?</v>
      </c>
      <c r="U1028" s="4" t="e">
        <f ca="1">[1]!BexGetData("DP_1","00O2TNJGODT0G5Z4TTKYMMUX1","GSON1112080055")</f>
        <v>#NAME?</v>
      </c>
      <c r="V1028" s="4" t="e">
        <f ca="1">[1]!BexGetData("DP_1","00O2TNJGODT0G5Z4TTKYMN18L","GSON1112080055")</f>
        <v>#NAME?</v>
      </c>
      <c r="W1028" s="4" t="e">
        <f ca="1">[1]!BexGetData("DP_1","00O2TNJGODT0G5Z4TTKYMN7K5","GSON1112080055")</f>
        <v>#NAME?</v>
      </c>
    </row>
    <row r="1029" spans="1:23" x14ac:dyDescent="0.2">
      <c r="A1029" s="16" t="s">
        <v>3259</v>
      </c>
      <c r="B1029" s="7" t="s">
        <v>221</v>
      </c>
      <c r="C1029" s="3" t="e">
        <f ca="1">[1]!BexGetData("DP_1","003N8EMH8GTFRCSWKMPXRR8GU","GSON1112080060")</f>
        <v>#NAME?</v>
      </c>
      <c r="D1029" s="8" t="e">
        <f ca="1">[1]!BexGetData("DP_1","003N8EMH8GTFRCSWKMPXRRESE","GSON1112080060")</f>
        <v>#NAME?</v>
      </c>
      <c r="E1029" s="3" t="e">
        <f ca="1">[1]!BexGetData("DP_1","003N8EMH8GTFRCSWKMPXRRL3Y","GSON1112080060")</f>
        <v>#NAME?</v>
      </c>
      <c r="F1029" s="3" t="e">
        <f ca="1">[1]!BexGetData("DP_1","003N8EMH8GTFRCSWKMPXRRRFI","GSON1112080060")</f>
        <v>#NAME?</v>
      </c>
      <c r="G1029" s="3" t="e">
        <f ca="1">[1]!BexGetData("DP_1","003N8EMH8GTFRCSWKMPXRRXR2","GSON1112080060")</f>
        <v>#NAME?</v>
      </c>
      <c r="H1029" s="8" t="e">
        <f ca="1">[1]!BexGetData("DP_1","003N8EMH8GTFRCSWKMPXRS42M","GSON1112080060")</f>
        <v>#NAME?</v>
      </c>
      <c r="I1029" s="3" t="e">
        <f ca="1">[1]!BexGetData("DP_1","003N8EMH8GTFRCSWKMPXRSAE6","GSON1112080060")</f>
        <v>#NAME?</v>
      </c>
      <c r="J1029" s="4" t="e">
        <f ca="1">[1]!BexGetData("DP_1","003N8EMH8GTFRCSWKMPXRSGPQ","GSON1112080060")</f>
        <v>#NAME?</v>
      </c>
      <c r="K1029" s="3" t="e">
        <f ca="1">[1]!BexGetData("DP_1","003N8EMH8GTFRIVNUPY288VJH","GSON1112080060")</f>
        <v>#NAME?</v>
      </c>
      <c r="L1029" s="3" t="e">
        <f ca="1">[1]!BexGetData("DP_1","003N8EMH8GTFRIVNUPY2891V1","GSON1112080060")</f>
        <v>#NAME?</v>
      </c>
      <c r="M1029" s="8" t="e">
        <f ca="1">[1]!BexGetData("DP_1","003N8EMH8GTFRIVOG7KG9IQXA","GSON1112080060")</f>
        <v>#NAME?</v>
      </c>
      <c r="N1029" s="3" t="e">
        <f ca="1">[1]!BexGetData("DP_1","003N8EMH8GTFRIVOG7KG9IX8U","GSON1112080060")</f>
        <v>#NAME?</v>
      </c>
      <c r="O1029" s="8" t="e">
        <f ca="1">[1]!BexGetData("DP_1","003N8EMH8GTFRIVOG7KG9J3KE","GSON1112080060")</f>
        <v>#NAME?</v>
      </c>
      <c r="P1029" s="3" t="e">
        <f ca="1">[1]!BexGetData("DP_1","003N8EMH8GTFRIVOG7KG9J9VY","GSON1112080060")</f>
        <v>#NAME?</v>
      </c>
      <c r="Q1029" s="4" t="e">
        <f ca="1">[1]!BexGetData("DP_1","00O2TNJGODT0G5Z4TTKYMM5MT","GSON1112080060")</f>
        <v>#NAME?</v>
      </c>
      <c r="R1029" s="3" t="e">
        <f ca="1">[1]!BexGetData("DP_1","00O2TNJGODT0G5Z4TTKYMMBYD","GSON1112080060")</f>
        <v>#NAME?</v>
      </c>
      <c r="S1029" s="3" t="e">
        <f ca="1">[1]!BexGetData("DP_1","00O2TNJGODT0G5Z4TTKYMMI9X","GSON1112080060")</f>
        <v>#NAME?</v>
      </c>
      <c r="T1029" s="8" t="e">
        <f ca="1">[1]!BexGetData("DP_1","00O2TNJGODT0G5Z4TTKYMMOLH","GSON1112080060")</f>
        <v>#NAME?</v>
      </c>
      <c r="U1029" s="3" t="e">
        <f ca="1">[1]!BexGetData("DP_1","00O2TNJGODT0G5Z4TTKYMMUX1","GSON1112080060")</f>
        <v>#NAME?</v>
      </c>
      <c r="V1029" s="8" t="e">
        <f ca="1">[1]!BexGetData("DP_1","00O2TNJGODT0G5Z4TTKYMN18L","GSON1112080060")</f>
        <v>#NAME?</v>
      </c>
      <c r="W1029" s="3" t="e">
        <f ca="1">[1]!BexGetData("DP_1","00O2TNJGODT0G5Z4TTKYMN7K5","GSON1112080060")</f>
        <v>#NAME?</v>
      </c>
    </row>
    <row r="1030" spans="1:23" x14ac:dyDescent="0.2">
      <c r="A1030" s="16" t="s">
        <v>3260</v>
      </c>
      <c r="B1030" s="7" t="s">
        <v>222</v>
      </c>
      <c r="C1030" s="3" t="e">
        <f ca="1">[1]!BexGetData("DP_1","003N8EMH8GTFRCSWKMPXRR8GU","GSON1112080061")</f>
        <v>#NAME?</v>
      </c>
      <c r="D1030" s="3" t="e">
        <f ca="1">[1]!BexGetData("DP_1","003N8EMH8GTFRCSWKMPXRRESE","GSON1112080061")</f>
        <v>#NAME?</v>
      </c>
      <c r="E1030" s="8" t="e">
        <f ca="1">[1]!BexGetData("DP_1","003N8EMH8GTFRCSWKMPXRRL3Y","GSON1112080061")</f>
        <v>#NAME?</v>
      </c>
      <c r="F1030" s="4" t="e">
        <f ca="1">[1]!BexGetData("DP_1","003N8EMH8GTFRCSWKMPXRRRFI","GSON1112080061")</f>
        <v>#NAME?</v>
      </c>
      <c r="G1030" s="4" t="e">
        <f ca="1">[1]!BexGetData("DP_1","003N8EMH8GTFRCSWKMPXRRXR2","GSON1112080061")</f>
        <v>#NAME?</v>
      </c>
      <c r="H1030" s="4" t="e">
        <f ca="1">[1]!BexGetData("DP_1","003N8EMH8GTFRCSWKMPXRS42M","GSON1112080061")</f>
        <v>#NAME?</v>
      </c>
      <c r="I1030" s="4" t="e">
        <f ca="1">[1]!BexGetData("DP_1","003N8EMH8GTFRCSWKMPXRSAE6","GSON1112080061")</f>
        <v>#NAME?</v>
      </c>
      <c r="J1030" s="4" t="e">
        <f ca="1">[1]!BexGetData("DP_1","003N8EMH8GTFRCSWKMPXRSGPQ","GSON1112080061")</f>
        <v>#NAME?</v>
      </c>
      <c r="K1030" s="8" t="e">
        <f ca="1">[1]!BexGetData("DP_1","003N8EMH8GTFRIVNUPY288VJH","GSON1112080061")</f>
        <v>#NAME?</v>
      </c>
      <c r="L1030" s="8" t="e">
        <f ca="1">[1]!BexGetData("DP_1","003N8EMH8GTFRIVNUPY2891V1","GSON1112080061")</f>
        <v>#NAME?</v>
      </c>
      <c r="M1030" s="8" t="e">
        <f ca="1">[1]!BexGetData("DP_1","003N8EMH8GTFRIVOG7KG9IQXA","GSON1112080061")</f>
        <v>#NAME?</v>
      </c>
      <c r="N1030" s="8" t="e">
        <f ca="1">[1]!BexGetData("DP_1","003N8EMH8GTFRIVOG7KG9IX8U","GSON1112080061")</f>
        <v>#NAME?</v>
      </c>
      <c r="O1030" s="8" t="e">
        <f ca="1">[1]!BexGetData("DP_1","003N8EMH8GTFRIVOG7KG9J3KE","GSON1112080061")</f>
        <v>#NAME?</v>
      </c>
      <c r="P1030" s="8" t="e">
        <f ca="1">[1]!BexGetData("DP_1","003N8EMH8GTFRIVOG7KG9J9VY","GSON1112080061")</f>
        <v>#NAME?</v>
      </c>
      <c r="Q1030" s="4" t="e">
        <f ca="1">[1]!BexGetData("DP_1","00O2TNJGODT0G5Z4TTKYMM5MT","GSON1112080061")</f>
        <v>#NAME?</v>
      </c>
      <c r="R1030" s="4" t="e">
        <f ca="1">[1]!BexGetData("DP_1","00O2TNJGODT0G5Z4TTKYMMBYD","GSON1112080061")</f>
        <v>#NAME?</v>
      </c>
      <c r="S1030" s="4" t="e">
        <f ca="1">[1]!BexGetData("DP_1","00O2TNJGODT0G5Z4TTKYMMI9X","GSON1112080061")</f>
        <v>#NAME?</v>
      </c>
      <c r="T1030" s="4" t="e">
        <f ca="1">[1]!BexGetData("DP_1","00O2TNJGODT0G5Z4TTKYMMOLH","GSON1112080061")</f>
        <v>#NAME?</v>
      </c>
      <c r="U1030" s="4" t="e">
        <f ca="1">[1]!BexGetData("DP_1","00O2TNJGODT0G5Z4TTKYMMUX1","GSON1112080061")</f>
        <v>#NAME?</v>
      </c>
      <c r="V1030" s="4" t="e">
        <f ca="1">[1]!BexGetData("DP_1","00O2TNJGODT0G5Z4TTKYMN18L","GSON1112080061")</f>
        <v>#NAME?</v>
      </c>
      <c r="W1030" s="4" t="e">
        <f ca="1">[1]!BexGetData("DP_1","00O2TNJGODT0G5Z4TTKYMN7K5","GSON1112080061")</f>
        <v>#NAME?</v>
      </c>
    </row>
    <row r="1031" spans="1:23" x14ac:dyDescent="0.2">
      <c r="A1031" s="16" t="s">
        <v>3261</v>
      </c>
      <c r="B1031" s="7" t="s">
        <v>3262</v>
      </c>
      <c r="C1031" s="3" t="e">
        <f ca="1">[1]!BexGetData("DP_1","003N8EMH8GTFRCSWKMPXRR8GU","GSON1112080065")</f>
        <v>#NAME?</v>
      </c>
      <c r="D1031" s="3" t="e">
        <f ca="1">[1]!BexGetData("DP_1","003N8EMH8GTFRCSWKMPXRRESE","GSON1112080065")</f>
        <v>#NAME?</v>
      </c>
      <c r="E1031" s="8" t="e">
        <f ca="1">[1]!BexGetData("DP_1","003N8EMH8GTFRCSWKMPXRRL3Y","GSON1112080065")</f>
        <v>#NAME?</v>
      </c>
      <c r="F1031" s="4" t="e">
        <f ca="1">[1]!BexGetData("DP_1","003N8EMH8GTFRCSWKMPXRRRFI","GSON1112080065")</f>
        <v>#NAME?</v>
      </c>
      <c r="G1031" s="4" t="e">
        <f ca="1">[1]!BexGetData("DP_1","003N8EMH8GTFRCSWKMPXRRXR2","GSON1112080065")</f>
        <v>#NAME?</v>
      </c>
      <c r="H1031" s="4" t="e">
        <f ca="1">[1]!BexGetData("DP_1","003N8EMH8GTFRCSWKMPXRS42M","GSON1112080065")</f>
        <v>#NAME?</v>
      </c>
      <c r="I1031" s="4" t="e">
        <f ca="1">[1]!BexGetData("DP_1","003N8EMH8GTFRCSWKMPXRSAE6","GSON1112080065")</f>
        <v>#NAME?</v>
      </c>
      <c r="J1031" s="4" t="e">
        <f ca="1">[1]!BexGetData("DP_1","003N8EMH8GTFRCSWKMPXRSGPQ","GSON1112080065")</f>
        <v>#NAME?</v>
      </c>
      <c r="K1031" s="8" t="e">
        <f ca="1">[1]!BexGetData("DP_1","003N8EMH8GTFRIVNUPY288VJH","GSON1112080065")</f>
        <v>#NAME?</v>
      </c>
      <c r="L1031" s="8" t="e">
        <f ca="1">[1]!BexGetData("DP_1","003N8EMH8GTFRIVNUPY2891V1","GSON1112080065")</f>
        <v>#NAME?</v>
      </c>
      <c r="M1031" s="8" t="e">
        <f ca="1">[1]!BexGetData("DP_1","003N8EMH8GTFRIVOG7KG9IQXA","GSON1112080065")</f>
        <v>#NAME?</v>
      </c>
      <c r="N1031" s="8" t="e">
        <f ca="1">[1]!BexGetData("DP_1","003N8EMH8GTFRIVOG7KG9IX8U","GSON1112080065")</f>
        <v>#NAME?</v>
      </c>
      <c r="O1031" s="8" t="e">
        <f ca="1">[1]!BexGetData("DP_1","003N8EMH8GTFRIVOG7KG9J3KE","GSON1112080065")</f>
        <v>#NAME?</v>
      </c>
      <c r="P1031" s="8" t="e">
        <f ca="1">[1]!BexGetData("DP_1","003N8EMH8GTFRIVOG7KG9J9VY","GSON1112080065")</f>
        <v>#NAME?</v>
      </c>
      <c r="Q1031" s="4" t="e">
        <f ca="1">[1]!BexGetData("DP_1","00O2TNJGODT0G5Z4TTKYMM5MT","GSON1112080065")</f>
        <v>#NAME?</v>
      </c>
      <c r="R1031" s="4" t="e">
        <f ca="1">[1]!BexGetData("DP_1","00O2TNJGODT0G5Z4TTKYMMBYD","GSON1112080065")</f>
        <v>#NAME?</v>
      </c>
      <c r="S1031" s="4" t="e">
        <f ca="1">[1]!BexGetData("DP_1","00O2TNJGODT0G5Z4TTKYMMI9X","GSON1112080065")</f>
        <v>#NAME?</v>
      </c>
      <c r="T1031" s="4" t="e">
        <f ca="1">[1]!BexGetData("DP_1","00O2TNJGODT0G5Z4TTKYMMOLH","GSON1112080065")</f>
        <v>#NAME?</v>
      </c>
      <c r="U1031" s="4" t="e">
        <f ca="1">[1]!BexGetData("DP_1","00O2TNJGODT0G5Z4TTKYMMUX1","GSON1112080065")</f>
        <v>#NAME?</v>
      </c>
      <c r="V1031" s="4" t="e">
        <f ca="1">[1]!BexGetData("DP_1","00O2TNJGODT0G5Z4TTKYMN18L","GSON1112080065")</f>
        <v>#NAME?</v>
      </c>
      <c r="W1031" s="4" t="e">
        <f ca="1">[1]!BexGetData("DP_1","00O2TNJGODT0G5Z4TTKYMN7K5","GSON1112080065")</f>
        <v>#NAME?</v>
      </c>
    </row>
    <row r="1032" spans="1:23" x14ac:dyDescent="0.2">
      <c r="A1032" s="16" t="s">
        <v>3263</v>
      </c>
      <c r="B1032" s="7" t="s">
        <v>3264</v>
      </c>
      <c r="C1032" s="3" t="e">
        <f ca="1">[1]!BexGetData("DP_1","003N8EMH8GTFRCSWKMPXRR8GU","GSON1112080070")</f>
        <v>#NAME?</v>
      </c>
      <c r="D1032" s="3" t="e">
        <f ca="1">[1]!BexGetData("DP_1","003N8EMH8GTFRCSWKMPXRRESE","GSON1112080070")</f>
        <v>#NAME?</v>
      </c>
      <c r="E1032" s="8" t="e">
        <f ca="1">[1]!BexGetData("DP_1","003N8EMH8GTFRCSWKMPXRRL3Y","GSON1112080070")</f>
        <v>#NAME?</v>
      </c>
      <c r="F1032" s="3" t="e">
        <f ca="1">[1]!BexGetData("DP_1","003N8EMH8GTFRCSWKMPXRRRFI","GSON1112080070")</f>
        <v>#NAME?</v>
      </c>
      <c r="G1032" s="3" t="e">
        <f ca="1">[1]!BexGetData("DP_1","003N8EMH8GTFRCSWKMPXRRXR2","GSON1112080070")</f>
        <v>#NAME?</v>
      </c>
      <c r="H1032" s="8" t="e">
        <f ca="1">[1]!BexGetData("DP_1","003N8EMH8GTFRCSWKMPXRS42M","GSON1112080070")</f>
        <v>#NAME?</v>
      </c>
      <c r="I1032" s="3" t="e">
        <f ca="1">[1]!BexGetData("DP_1","003N8EMH8GTFRCSWKMPXRSAE6","GSON1112080070")</f>
        <v>#NAME?</v>
      </c>
      <c r="J1032" s="4" t="e">
        <f ca="1">[1]!BexGetData("DP_1","003N8EMH8GTFRCSWKMPXRSGPQ","GSON1112080070")</f>
        <v>#NAME?</v>
      </c>
      <c r="K1032" s="3" t="e">
        <f ca="1">[1]!BexGetData("DP_1","003N8EMH8GTFRIVNUPY288VJH","GSON1112080070")</f>
        <v>#NAME?</v>
      </c>
      <c r="L1032" s="3" t="e">
        <f ca="1">[1]!BexGetData("DP_1","003N8EMH8GTFRIVNUPY2891V1","GSON1112080070")</f>
        <v>#NAME?</v>
      </c>
      <c r="M1032" s="3" t="e">
        <f ca="1">[1]!BexGetData("DP_1","003N8EMH8GTFRIVOG7KG9IQXA","GSON1112080070")</f>
        <v>#NAME?</v>
      </c>
      <c r="N1032" s="8" t="e">
        <f ca="1">[1]!BexGetData("DP_1","003N8EMH8GTFRIVOG7KG9IX8U","GSON1112080070")</f>
        <v>#NAME?</v>
      </c>
      <c r="O1032" s="3" t="e">
        <f ca="1">[1]!BexGetData("DP_1","003N8EMH8GTFRIVOG7KG9J3KE","GSON1112080070")</f>
        <v>#NAME?</v>
      </c>
      <c r="P1032" s="8" t="e">
        <f ca="1">[1]!BexGetData("DP_1","003N8EMH8GTFRIVOG7KG9J9VY","GSON1112080070")</f>
        <v>#NAME?</v>
      </c>
      <c r="Q1032" s="4" t="e">
        <f ca="1">[1]!BexGetData("DP_1","00O2TNJGODT0G5Z4TTKYMM5MT","GSON1112080070")</f>
        <v>#NAME?</v>
      </c>
      <c r="R1032" s="3" t="e">
        <f ca="1">[1]!BexGetData("DP_1","00O2TNJGODT0G5Z4TTKYMMBYD","GSON1112080070")</f>
        <v>#NAME?</v>
      </c>
      <c r="S1032" s="3" t="e">
        <f ca="1">[1]!BexGetData("DP_1","00O2TNJGODT0G5Z4TTKYMMI9X","GSON1112080070")</f>
        <v>#NAME?</v>
      </c>
      <c r="T1032" s="8" t="e">
        <f ca="1">[1]!BexGetData("DP_1","00O2TNJGODT0G5Z4TTKYMMOLH","GSON1112080070")</f>
        <v>#NAME?</v>
      </c>
      <c r="U1032" s="3" t="e">
        <f ca="1">[1]!BexGetData("DP_1","00O2TNJGODT0G5Z4TTKYMMUX1","GSON1112080070")</f>
        <v>#NAME?</v>
      </c>
      <c r="V1032" s="8" t="e">
        <f ca="1">[1]!BexGetData("DP_1","00O2TNJGODT0G5Z4TTKYMN18L","GSON1112080070")</f>
        <v>#NAME?</v>
      </c>
      <c r="W1032" s="3" t="e">
        <f ca="1">[1]!BexGetData("DP_1","00O2TNJGODT0G5Z4TTKYMN7K5","GSON1112080070")</f>
        <v>#NAME?</v>
      </c>
    </row>
    <row r="1033" spans="1:23" x14ac:dyDescent="0.2">
      <c r="A1033" s="16" t="s">
        <v>3265</v>
      </c>
      <c r="B1033" s="7" t="s">
        <v>3266</v>
      </c>
      <c r="C1033" s="3" t="e">
        <f ca="1">[1]!BexGetData("DP_1","003N8EMH8GTFRCSWKMPXRR8GU","GSON1112080073")</f>
        <v>#NAME?</v>
      </c>
      <c r="D1033" s="3" t="e">
        <f ca="1">[1]!BexGetData("DP_1","003N8EMH8GTFRCSWKMPXRRESE","GSON1112080073")</f>
        <v>#NAME?</v>
      </c>
      <c r="E1033" s="8" t="e">
        <f ca="1">[1]!BexGetData("DP_1","003N8EMH8GTFRCSWKMPXRRL3Y","GSON1112080073")</f>
        <v>#NAME?</v>
      </c>
      <c r="F1033" s="4" t="e">
        <f ca="1">[1]!BexGetData("DP_1","003N8EMH8GTFRCSWKMPXRRRFI","GSON1112080073")</f>
        <v>#NAME?</v>
      </c>
      <c r="G1033" s="4" t="e">
        <f ca="1">[1]!BexGetData("DP_1","003N8EMH8GTFRCSWKMPXRRXR2","GSON1112080073")</f>
        <v>#NAME?</v>
      </c>
      <c r="H1033" s="4" t="e">
        <f ca="1">[1]!BexGetData("DP_1","003N8EMH8GTFRCSWKMPXRS42M","GSON1112080073")</f>
        <v>#NAME?</v>
      </c>
      <c r="I1033" s="4" t="e">
        <f ca="1">[1]!BexGetData("DP_1","003N8EMH8GTFRCSWKMPXRSAE6","GSON1112080073")</f>
        <v>#NAME?</v>
      </c>
      <c r="J1033" s="4" t="e">
        <f ca="1">[1]!BexGetData("DP_1","003N8EMH8GTFRCSWKMPXRSGPQ","GSON1112080073")</f>
        <v>#NAME?</v>
      </c>
      <c r="K1033" s="8" t="e">
        <f ca="1">[1]!BexGetData("DP_1","003N8EMH8GTFRIVNUPY288VJH","GSON1112080073")</f>
        <v>#NAME?</v>
      </c>
      <c r="L1033" s="8" t="e">
        <f ca="1">[1]!BexGetData("DP_1","003N8EMH8GTFRIVNUPY2891V1","GSON1112080073")</f>
        <v>#NAME?</v>
      </c>
      <c r="M1033" s="8" t="e">
        <f ca="1">[1]!BexGetData("DP_1","003N8EMH8GTFRIVOG7KG9IQXA","GSON1112080073")</f>
        <v>#NAME?</v>
      </c>
      <c r="N1033" s="8" t="e">
        <f ca="1">[1]!BexGetData("DP_1","003N8EMH8GTFRIVOG7KG9IX8U","GSON1112080073")</f>
        <v>#NAME?</v>
      </c>
      <c r="O1033" s="8" t="e">
        <f ca="1">[1]!BexGetData("DP_1","003N8EMH8GTFRIVOG7KG9J3KE","GSON1112080073")</f>
        <v>#NAME?</v>
      </c>
      <c r="P1033" s="8" t="e">
        <f ca="1">[1]!BexGetData("DP_1","003N8EMH8GTFRIVOG7KG9J9VY","GSON1112080073")</f>
        <v>#NAME?</v>
      </c>
      <c r="Q1033" s="4" t="e">
        <f ca="1">[1]!BexGetData("DP_1","00O2TNJGODT0G5Z4TTKYMM5MT","GSON1112080073")</f>
        <v>#NAME?</v>
      </c>
      <c r="R1033" s="4" t="e">
        <f ca="1">[1]!BexGetData("DP_1","00O2TNJGODT0G5Z4TTKYMMBYD","GSON1112080073")</f>
        <v>#NAME?</v>
      </c>
      <c r="S1033" s="4" t="e">
        <f ca="1">[1]!BexGetData("DP_1","00O2TNJGODT0G5Z4TTKYMMI9X","GSON1112080073")</f>
        <v>#NAME?</v>
      </c>
      <c r="T1033" s="4" t="e">
        <f ca="1">[1]!BexGetData("DP_1","00O2TNJGODT0G5Z4TTKYMMOLH","GSON1112080073")</f>
        <v>#NAME?</v>
      </c>
      <c r="U1033" s="4" t="e">
        <f ca="1">[1]!BexGetData("DP_1","00O2TNJGODT0G5Z4TTKYMMUX1","GSON1112080073")</f>
        <v>#NAME?</v>
      </c>
      <c r="V1033" s="4" t="e">
        <f ca="1">[1]!BexGetData("DP_1","00O2TNJGODT0G5Z4TTKYMN18L","GSON1112080073")</f>
        <v>#NAME?</v>
      </c>
      <c r="W1033" s="4" t="e">
        <f ca="1">[1]!BexGetData("DP_1","00O2TNJGODT0G5Z4TTKYMN7K5","GSON1112080073")</f>
        <v>#NAME?</v>
      </c>
    </row>
    <row r="1034" spans="1:23" x14ac:dyDescent="0.2">
      <c r="A1034" s="16" t="s">
        <v>3267</v>
      </c>
      <c r="B1034" s="7" t="s">
        <v>3268</v>
      </c>
      <c r="C1034" s="3" t="e">
        <f ca="1">[1]!BexGetData("DP_1","003N8EMH8GTFRCSWKMPXRR8GU","GSON1112080074")</f>
        <v>#NAME?</v>
      </c>
      <c r="D1034" s="3" t="e">
        <f ca="1">[1]!BexGetData("DP_1","003N8EMH8GTFRCSWKMPXRRESE","GSON1112080074")</f>
        <v>#NAME?</v>
      </c>
      <c r="E1034" s="8" t="e">
        <f ca="1">[1]!BexGetData("DP_1","003N8EMH8GTFRCSWKMPXRRL3Y","GSON1112080074")</f>
        <v>#NAME?</v>
      </c>
      <c r="F1034" s="4" t="e">
        <f ca="1">[1]!BexGetData("DP_1","003N8EMH8GTFRCSWKMPXRRRFI","GSON1112080074")</f>
        <v>#NAME?</v>
      </c>
      <c r="G1034" s="4" t="e">
        <f ca="1">[1]!BexGetData("DP_1","003N8EMH8GTFRCSWKMPXRRXR2","GSON1112080074")</f>
        <v>#NAME?</v>
      </c>
      <c r="H1034" s="4" t="e">
        <f ca="1">[1]!BexGetData("DP_1","003N8EMH8GTFRCSWKMPXRS42M","GSON1112080074")</f>
        <v>#NAME?</v>
      </c>
      <c r="I1034" s="4" t="e">
        <f ca="1">[1]!BexGetData("DP_1","003N8EMH8GTFRCSWKMPXRSAE6","GSON1112080074")</f>
        <v>#NAME?</v>
      </c>
      <c r="J1034" s="4" t="e">
        <f ca="1">[1]!BexGetData("DP_1","003N8EMH8GTFRCSWKMPXRSGPQ","GSON1112080074")</f>
        <v>#NAME?</v>
      </c>
      <c r="K1034" s="8" t="e">
        <f ca="1">[1]!BexGetData("DP_1","003N8EMH8GTFRIVNUPY288VJH","GSON1112080074")</f>
        <v>#NAME?</v>
      </c>
      <c r="L1034" s="8" t="e">
        <f ca="1">[1]!BexGetData("DP_1","003N8EMH8GTFRIVNUPY2891V1","GSON1112080074")</f>
        <v>#NAME?</v>
      </c>
      <c r="M1034" s="8" t="e">
        <f ca="1">[1]!BexGetData("DP_1","003N8EMH8GTFRIVOG7KG9IQXA","GSON1112080074")</f>
        <v>#NAME?</v>
      </c>
      <c r="N1034" s="8" t="e">
        <f ca="1">[1]!BexGetData("DP_1","003N8EMH8GTFRIVOG7KG9IX8U","GSON1112080074")</f>
        <v>#NAME?</v>
      </c>
      <c r="O1034" s="8" t="e">
        <f ca="1">[1]!BexGetData("DP_1","003N8EMH8GTFRIVOG7KG9J3KE","GSON1112080074")</f>
        <v>#NAME?</v>
      </c>
      <c r="P1034" s="8" t="e">
        <f ca="1">[1]!BexGetData("DP_1","003N8EMH8GTFRIVOG7KG9J9VY","GSON1112080074")</f>
        <v>#NAME?</v>
      </c>
      <c r="Q1034" s="4" t="e">
        <f ca="1">[1]!BexGetData("DP_1","00O2TNJGODT0G5Z4TTKYMM5MT","GSON1112080074")</f>
        <v>#NAME?</v>
      </c>
      <c r="R1034" s="4" t="e">
        <f ca="1">[1]!BexGetData("DP_1","00O2TNJGODT0G5Z4TTKYMMBYD","GSON1112080074")</f>
        <v>#NAME?</v>
      </c>
      <c r="S1034" s="4" t="e">
        <f ca="1">[1]!BexGetData("DP_1","00O2TNJGODT0G5Z4TTKYMMI9X","GSON1112080074")</f>
        <v>#NAME?</v>
      </c>
      <c r="T1034" s="4" t="e">
        <f ca="1">[1]!BexGetData("DP_1","00O2TNJGODT0G5Z4TTKYMMOLH","GSON1112080074")</f>
        <v>#NAME?</v>
      </c>
      <c r="U1034" s="4" t="e">
        <f ca="1">[1]!BexGetData("DP_1","00O2TNJGODT0G5Z4TTKYMMUX1","GSON1112080074")</f>
        <v>#NAME?</v>
      </c>
      <c r="V1034" s="4" t="e">
        <f ca="1">[1]!BexGetData("DP_1","00O2TNJGODT0G5Z4TTKYMN18L","GSON1112080074")</f>
        <v>#NAME?</v>
      </c>
      <c r="W1034" s="4" t="e">
        <f ca="1">[1]!BexGetData("DP_1","00O2TNJGODT0G5Z4TTKYMN7K5","GSON1112080074")</f>
        <v>#NAME?</v>
      </c>
    </row>
    <row r="1035" spans="1:23" x14ac:dyDescent="0.2">
      <c r="A1035" s="16" t="s">
        <v>3269</v>
      </c>
      <c r="B1035" s="7" t="s">
        <v>3270</v>
      </c>
      <c r="C1035" s="3" t="e">
        <f ca="1">[1]!BexGetData("DP_1","003N8EMH8GTFRCSWKMPXRR8GU","GSON1112080075")</f>
        <v>#NAME?</v>
      </c>
      <c r="D1035" s="3" t="e">
        <f ca="1">[1]!BexGetData("DP_1","003N8EMH8GTFRCSWKMPXRRESE","GSON1112080075")</f>
        <v>#NAME?</v>
      </c>
      <c r="E1035" s="8" t="e">
        <f ca="1">[1]!BexGetData("DP_1","003N8EMH8GTFRCSWKMPXRRL3Y","GSON1112080075")</f>
        <v>#NAME?</v>
      </c>
      <c r="F1035" s="4" t="e">
        <f ca="1">[1]!BexGetData("DP_1","003N8EMH8GTFRCSWKMPXRRRFI","GSON1112080075")</f>
        <v>#NAME?</v>
      </c>
      <c r="G1035" s="4" t="e">
        <f ca="1">[1]!BexGetData("DP_1","003N8EMH8GTFRCSWKMPXRRXR2","GSON1112080075")</f>
        <v>#NAME?</v>
      </c>
      <c r="H1035" s="4" t="e">
        <f ca="1">[1]!BexGetData("DP_1","003N8EMH8GTFRCSWKMPXRS42M","GSON1112080075")</f>
        <v>#NAME?</v>
      </c>
      <c r="I1035" s="4" t="e">
        <f ca="1">[1]!BexGetData("DP_1","003N8EMH8GTFRCSWKMPXRSAE6","GSON1112080075")</f>
        <v>#NAME?</v>
      </c>
      <c r="J1035" s="4" t="e">
        <f ca="1">[1]!BexGetData("DP_1","003N8EMH8GTFRCSWKMPXRSGPQ","GSON1112080075")</f>
        <v>#NAME?</v>
      </c>
      <c r="K1035" s="8" t="e">
        <f ca="1">[1]!BexGetData("DP_1","003N8EMH8GTFRIVNUPY288VJH","GSON1112080075")</f>
        <v>#NAME?</v>
      </c>
      <c r="L1035" s="8" t="e">
        <f ca="1">[1]!BexGetData("DP_1","003N8EMH8GTFRIVNUPY2891V1","GSON1112080075")</f>
        <v>#NAME?</v>
      </c>
      <c r="M1035" s="8" t="e">
        <f ca="1">[1]!BexGetData("DP_1","003N8EMH8GTFRIVOG7KG9IQXA","GSON1112080075")</f>
        <v>#NAME?</v>
      </c>
      <c r="N1035" s="8" t="e">
        <f ca="1">[1]!BexGetData("DP_1","003N8EMH8GTFRIVOG7KG9IX8U","GSON1112080075")</f>
        <v>#NAME?</v>
      </c>
      <c r="O1035" s="8" t="e">
        <f ca="1">[1]!BexGetData("DP_1","003N8EMH8GTFRIVOG7KG9J3KE","GSON1112080075")</f>
        <v>#NAME?</v>
      </c>
      <c r="P1035" s="8" t="e">
        <f ca="1">[1]!BexGetData("DP_1","003N8EMH8GTFRIVOG7KG9J9VY","GSON1112080075")</f>
        <v>#NAME?</v>
      </c>
      <c r="Q1035" s="4" t="e">
        <f ca="1">[1]!BexGetData("DP_1","00O2TNJGODT0G5Z4TTKYMM5MT","GSON1112080075")</f>
        <v>#NAME?</v>
      </c>
      <c r="R1035" s="4" t="e">
        <f ca="1">[1]!BexGetData("DP_1","00O2TNJGODT0G5Z4TTKYMMBYD","GSON1112080075")</f>
        <v>#NAME?</v>
      </c>
      <c r="S1035" s="4" t="e">
        <f ca="1">[1]!BexGetData("DP_1","00O2TNJGODT0G5Z4TTKYMMI9X","GSON1112080075")</f>
        <v>#NAME?</v>
      </c>
      <c r="T1035" s="4" t="e">
        <f ca="1">[1]!BexGetData("DP_1","00O2TNJGODT0G5Z4TTKYMMOLH","GSON1112080075")</f>
        <v>#NAME?</v>
      </c>
      <c r="U1035" s="4" t="e">
        <f ca="1">[1]!BexGetData("DP_1","00O2TNJGODT0G5Z4TTKYMMUX1","GSON1112080075")</f>
        <v>#NAME?</v>
      </c>
      <c r="V1035" s="4" t="e">
        <f ca="1">[1]!BexGetData("DP_1","00O2TNJGODT0G5Z4TTKYMN18L","GSON1112080075")</f>
        <v>#NAME?</v>
      </c>
      <c r="W1035" s="4" t="e">
        <f ca="1">[1]!BexGetData("DP_1","00O2TNJGODT0G5Z4TTKYMN7K5","GSON1112080075")</f>
        <v>#NAME?</v>
      </c>
    </row>
    <row r="1036" spans="1:23" x14ac:dyDescent="0.2">
      <c r="A1036" s="16" t="s">
        <v>3271</v>
      </c>
      <c r="B1036" s="7" t="s">
        <v>3272</v>
      </c>
      <c r="C1036" s="3" t="e">
        <f ca="1">[1]!BexGetData("DP_1","003N8EMH8GTFRCSWKMPXRR8GU","GSON1112080080")</f>
        <v>#NAME?</v>
      </c>
      <c r="D1036" s="3" t="e">
        <f ca="1">[1]!BexGetData("DP_1","003N8EMH8GTFRCSWKMPXRRESE","GSON1112080080")</f>
        <v>#NAME?</v>
      </c>
      <c r="E1036" s="3" t="e">
        <f ca="1">[1]!BexGetData("DP_1","003N8EMH8GTFRCSWKMPXRRL3Y","GSON1112080080")</f>
        <v>#NAME?</v>
      </c>
      <c r="F1036" s="3" t="e">
        <f ca="1">[1]!BexGetData("DP_1","003N8EMH8GTFRCSWKMPXRRRFI","GSON1112080080")</f>
        <v>#NAME?</v>
      </c>
      <c r="G1036" s="3" t="e">
        <f ca="1">[1]!BexGetData("DP_1","003N8EMH8GTFRCSWKMPXRRXR2","GSON1112080080")</f>
        <v>#NAME?</v>
      </c>
      <c r="H1036" s="8" t="e">
        <f ca="1">[1]!BexGetData("DP_1","003N8EMH8GTFRCSWKMPXRS42M","GSON1112080080")</f>
        <v>#NAME?</v>
      </c>
      <c r="I1036" s="3" t="e">
        <f ca="1">[1]!BexGetData("DP_1","003N8EMH8GTFRCSWKMPXRSAE6","GSON1112080080")</f>
        <v>#NAME?</v>
      </c>
      <c r="J1036" s="4" t="e">
        <f ca="1">[1]!BexGetData("DP_1","003N8EMH8GTFRCSWKMPXRSGPQ","GSON1112080080")</f>
        <v>#NAME?</v>
      </c>
      <c r="K1036" s="3" t="e">
        <f ca="1">[1]!BexGetData("DP_1","003N8EMH8GTFRIVNUPY288VJH","GSON1112080080")</f>
        <v>#NAME?</v>
      </c>
      <c r="L1036" s="3" t="e">
        <f ca="1">[1]!BexGetData("DP_1","003N8EMH8GTFRIVNUPY2891V1","GSON1112080080")</f>
        <v>#NAME?</v>
      </c>
      <c r="M1036" s="8" t="e">
        <f ca="1">[1]!BexGetData("DP_1","003N8EMH8GTFRIVOG7KG9IQXA","GSON1112080080")</f>
        <v>#NAME?</v>
      </c>
      <c r="N1036" s="3" t="e">
        <f ca="1">[1]!BexGetData("DP_1","003N8EMH8GTFRIVOG7KG9IX8U","GSON1112080080")</f>
        <v>#NAME?</v>
      </c>
      <c r="O1036" s="8" t="e">
        <f ca="1">[1]!BexGetData("DP_1","003N8EMH8GTFRIVOG7KG9J3KE","GSON1112080080")</f>
        <v>#NAME?</v>
      </c>
      <c r="P1036" s="3" t="e">
        <f ca="1">[1]!BexGetData("DP_1","003N8EMH8GTFRIVOG7KG9J9VY","GSON1112080080")</f>
        <v>#NAME?</v>
      </c>
      <c r="Q1036" s="4" t="e">
        <f ca="1">[1]!BexGetData("DP_1","00O2TNJGODT0G5Z4TTKYMM5MT","GSON1112080080")</f>
        <v>#NAME?</v>
      </c>
      <c r="R1036" s="3" t="e">
        <f ca="1">[1]!BexGetData("DP_1","00O2TNJGODT0G5Z4TTKYMMBYD","GSON1112080080")</f>
        <v>#NAME?</v>
      </c>
      <c r="S1036" s="3" t="e">
        <f ca="1">[1]!BexGetData("DP_1","00O2TNJGODT0G5Z4TTKYMMI9X","GSON1112080080")</f>
        <v>#NAME?</v>
      </c>
      <c r="T1036" s="8" t="e">
        <f ca="1">[1]!BexGetData("DP_1","00O2TNJGODT0G5Z4TTKYMMOLH","GSON1112080080")</f>
        <v>#NAME?</v>
      </c>
      <c r="U1036" s="3" t="e">
        <f ca="1">[1]!BexGetData("DP_1","00O2TNJGODT0G5Z4TTKYMMUX1","GSON1112080080")</f>
        <v>#NAME?</v>
      </c>
      <c r="V1036" s="8" t="e">
        <f ca="1">[1]!BexGetData("DP_1","00O2TNJGODT0G5Z4TTKYMN18L","GSON1112080080")</f>
        <v>#NAME?</v>
      </c>
      <c r="W1036" s="3" t="e">
        <f ca="1">[1]!BexGetData("DP_1","00O2TNJGODT0G5Z4TTKYMN7K5","GSON1112080080")</f>
        <v>#NAME?</v>
      </c>
    </row>
    <row r="1037" spans="1:23" x14ac:dyDescent="0.2">
      <c r="A1037" s="16" t="s">
        <v>3273</v>
      </c>
      <c r="B1037" s="7" t="s">
        <v>663</v>
      </c>
      <c r="C1037" s="3" t="e">
        <f ca="1">[1]!BexGetData("DP_1","003N8EMH8GTFRCSWKMPXRR8GU","GSON1112080081")</f>
        <v>#NAME?</v>
      </c>
      <c r="D1037" s="3" t="e">
        <f ca="1">[1]!BexGetData("DP_1","003N8EMH8GTFRCSWKMPXRRESE","GSON1112080081")</f>
        <v>#NAME?</v>
      </c>
      <c r="E1037" s="8" t="e">
        <f ca="1">[1]!BexGetData("DP_1","003N8EMH8GTFRCSWKMPXRRL3Y","GSON1112080081")</f>
        <v>#NAME?</v>
      </c>
      <c r="F1037" s="4" t="e">
        <f ca="1">[1]!BexGetData("DP_1","003N8EMH8GTFRCSWKMPXRRRFI","GSON1112080081")</f>
        <v>#NAME?</v>
      </c>
      <c r="G1037" s="4" t="e">
        <f ca="1">[1]!BexGetData("DP_1","003N8EMH8GTFRCSWKMPXRRXR2","GSON1112080081")</f>
        <v>#NAME?</v>
      </c>
      <c r="H1037" s="4" t="e">
        <f ca="1">[1]!BexGetData("DP_1","003N8EMH8GTFRCSWKMPXRS42M","GSON1112080081")</f>
        <v>#NAME?</v>
      </c>
      <c r="I1037" s="4" t="e">
        <f ca="1">[1]!BexGetData("DP_1","003N8EMH8GTFRCSWKMPXRSAE6","GSON1112080081")</f>
        <v>#NAME?</v>
      </c>
      <c r="J1037" s="4" t="e">
        <f ca="1">[1]!BexGetData("DP_1","003N8EMH8GTFRCSWKMPXRSGPQ","GSON1112080081")</f>
        <v>#NAME?</v>
      </c>
      <c r="K1037" s="8" t="e">
        <f ca="1">[1]!BexGetData("DP_1","003N8EMH8GTFRIVNUPY288VJH","GSON1112080081")</f>
        <v>#NAME?</v>
      </c>
      <c r="L1037" s="8" t="e">
        <f ca="1">[1]!BexGetData("DP_1","003N8EMH8GTFRIVNUPY2891V1","GSON1112080081")</f>
        <v>#NAME?</v>
      </c>
      <c r="M1037" s="8" t="e">
        <f ca="1">[1]!BexGetData("DP_1","003N8EMH8GTFRIVOG7KG9IQXA","GSON1112080081")</f>
        <v>#NAME?</v>
      </c>
      <c r="N1037" s="8" t="e">
        <f ca="1">[1]!BexGetData("DP_1","003N8EMH8GTFRIVOG7KG9IX8U","GSON1112080081")</f>
        <v>#NAME?</v>
      </c>
      <c r="O1037" s="8" t="e">
        <f ca="1">[1]!BexGetData("DP_1","003N8EMH8GTFRIVOG7KG9J3KE","GSON1112080081")</f>
        <v>#NAME?</v>
      </c>
      <c r="P1037" s="8" t="e">
        <f ca="1">[1]!BexGetData("DP_1","003N8EMH8GTFRIVOG7KG9J9VY","GSON1112080081")</f>
        <v>#NAME?</v>
      </c>
      <c r="Q1037" s="4" t="e">
        <f ca="1">[1]!BexGetData("DP_1","00O2TNJGODT0G5Z4TTKYMM5MT","GSON1112080081")</f>
        <v>#NAME?</v>
      </c>
      <c r="R1037" s="4" t="e">
        <f ca="1">[1]!BexGetData("DP_1","00O2TNJGODT0G5Z4TTKYMMBYD","GSON1112080081")</f>
        <v>#NAME?</v>
      </c>
      <c r="S1037" s="4" t="e">
        <f ca="1">[1]!BexGetData("DP_1","00O2TNJGODT0G5Z4TTKYMMI9X","GSON1112080081")</f>
        <v>#NAME?</v>
      </c>
      <c r="T1037" s="4" t="e">
        <f ca="1">[1]!BexGetData("DP_1","00O2TNJGODT0G5Z4TTKYMMOLH","GSON1112080081")</f>
        <v>#NAME?</v>
      </c>
      <c r="U1037" s="4" t="e">
        <f ca="1">[1]!BexGetData("DP_1","00O2TNJGODT0G5Z4TTKYMMUX1","GSON1112080081")</f>
        <v>#NAME?</v>
      </c>
      <c r="V1037" s="4" t="e">
        <f ca="1">[1]!BexGetData("DP_1","00O2TNJGODT0G5Z4TTKYMN18L","GSON1112080081")</f>
        <v>#NAME?</v>
      </c>
      <c r="W1037" s="4" t="e">
        <f ca="1">[1]!BexGetData("DP_1","00O2TNJGODT0G5Z4TTKYMN7K5","GSON1112080081")</f>
        <v>#NAME?</v>
      </c>
    </row>
    <row r="1038" spans="1:23" x14ac:dyDescent="0.2">
      <c r="A1038" s="16" t="s">
        <v>3274</v>
      </c>
      <c r="B1038" s="7" t="s">
        <v>3275</v>
      </c>
      <c r="C1038" s="3" t="e">
        <f ca="1">[1]!BexGetData("DP_1","003N8EMH8GTFRCSWKMPXRR8GU","GSON1112080083")</f>
        <v>#NAME?</v>
      </c>
      <c r="D1038" s="3" t="e">
        <f ca="1">[1]!BexGetData("DP_1","003N8EMH8GTFRCSWKMPXRRESE","GSON1112080083")</f>
        <v>#NAME?</v>
      </c>
      <c r="E1038" s="8" t="e">
        <f ca="1">[1]!BexGetData("DP_1","003N8EMH8GTFRCSWKMPXRRL3Y","GSON1112080083")</f>
        <v>#NAME?</v>
      </c>
      <c r="F1038" s="4" t="e">
        <f ca="1">[1]!BexGetData("DP_1","003N8EMH8GTFRCSWKMPXRRRFI","GSON1112080083")</f>
        <v>#NAME?</v>
      </c>
      <c r="G1038" s="4" t="e">
        <f ca="1">[1]!BexGetData("DP_1","003N8EMH8GTFRCSWKMPXRRXR2","GSON1112080083")</f>
        <v>#NAME?</v>
      </c>
      <c r="H1038" s="4" t="e">
        <f ca="1">[1]!BexGetData("DP_1","003N8EMH8GTFRCSWKMPXRS42M","GSON1112080083")</f>
        <v>#NAME?</v>
      </c>
      <c r="I1038" s="4" t="e">
        <f ca="1">[1]!BexGetData("DP_1","003N8EMH8GTFRCSWKMPXRSAE6","GSON1112080083")</f>
        <v>#NAME?</v>
      </c>
      <c r="J1038" s="4" t="e">
        <f ca="1">[1]!BexGetData("DP_1","003N8EMH8GTFRCSWKMPXRSGPQ","GSON1112080083")</f>
        <v>#NAME?</v>
      </c>
      <c r="K1038" s="8" t="e">
        <f ca="1">[1]!BexGetData("DP_1","003N8EMH8GTFRIVNUPY288VJH","GSON1112080083")</f>
        <v>#NAME?</v>
      </c>
      <c r="L1038" s="8" t="e">
        <f ca="1">[1]!BexGetData("DP_1","003N8EMH8GTFRIVNUPY2891V1","GSON1112080083")</f>
        <v>#NAME?</v>
      </c>
      <c r="M1038" s="8" t="e">
        <f ca="1">[1]!BexGetData("DP_1","003N8EMH8GTFRIVOG7KG9IQXA","GSON1112080083")</f>
        <v>#NAME?</v>
      </c>
      <c r="N1038" s="8" t="e">
        <f ca="1">[1]!BexGetData("DP_1","003N8EMH8GTFRIVOG7KG9IX8U","GSON1112080083")</f>
        <v>#NAME?</v>
      </c>
      <c r="O1038" s="8" t="e">
        <f ca="1">[1]!BexGetData("DP_1","003N8EMH8GTFRIVOG7KG9J3KE","GSON1112080083")</f>
        <v>#NAME?</v>
      </c>
      <c r="P1038" s="8" t="e">
        <f ca="1">[1]!BexGetData("DP_1","003N8EMH8GTFRIVOG7KG9J9VY","GSON1112080083")</f>
        <v>#NAME?</v>
      </c>
      <c r="Q1038" s="4" t="e">
        <f ca="1">[1]!BexGetData("DP_1","00O2TNJGODT0G5Z4TTKYMM5MT","GSON1112080083")</f>
        <v>#NAME?</v>
      </c>
      <c r="R1038" s="4" t="e">
        <f ca="1">[1]!BexGetData("DP_1","00O2TNJGODT0G5Z4TTKYMMBYD","GSON1112080083")</f>
        <v>#NAME?</v>
      </c>
      <c r="S1038" s="4" t="e">
        <f ca="1">[1]!BexGetData("DP_1","00O2TNJGODT0G5Z4TTKYMMI9X","GSON1112080083")</f>
        <v>#NAME?</v>
      </c>
      <c r="T1038" s="4" t="e">
        <f ca="1">[1]!BexGetData("DP_1","00O2TNJGODT0G5Z4TTKYMMOLH","GSON1112080083")</f>
        <v>#NAME?</v>
      </c>
      <c r="U1038" s="4" t="e">
        <f ca="1">[1]!BexGetData("DP_1","00O2TNJGODT0G5Z4TTKYMMUX1","GSON1112080083")</f>
        <v>#NAME?</v>
      </c>
      <c r="V1038" s="4" t="e">
        <f ca="1">[1]!BexGetData("DP_1","00O2TNJGODT0G5Z4TTKYMN18L","GSON1112080083")</f>
        <v>#NAME?</v>
      </c>
      <c r="W1038" s="4" t="e">
        <f ca="1">[1]!BexGetData("DP_1","00O2TNJGODT0G5Z4TTKYMN7K5","GSON1112080083")</f>
        <v>#NAME?</v>
      </c>
    </row>
    <row r="1039" spans="1:23" x14ac:dyDescent="0.2">
      <c r="A1039" s="16" t="s">
        <v>3276</v>
      </c>
      <c r="B1039" s="7" t="s">
        <v>3277</v>
      </c>
      <c r="C1039" s="3" t="e">
        <f ca="1">[1]!BexGetData("DP_1","003N8EMH8GTFRCSWKMPXRR8GU","GSON1112080084")</f>
        <v>#NAME?</v>
      </c>
      <c r="D1039" s="3" t="e">
        <f ca="1">[1]!BexGetData("DP_1","003N8EMH8GTFRCSWKMPXRRESE","GSON1112080084")</f>
        <v>#NAME?</v>
      </c>
      <c r="E1039" s="8" t="e">
        <f ca="1">[1]!BexGetData("DP_1","003N8EMH8GTFRCSWKMPXRRL3Y","GSON1112080084")</f>
        <v>#NAME?</v>
      </c>
      <c r="F1039" s="4" t="e">
        <f ca="1">[1]!BexGetData("DP_1","003N8EMH8GTFRCSWKMPXRRRFI","GSON1112080084")</f>
        <v>#NAME?</v>
      </c>
      <c r="G1039" s="4" t="e">
        <f ca="1">[1]!BexGetData("DP_1","003N8EMH8GTFRCSWKMPXRRXR2","GSON1112080084")</f>
        <v>#NAME?</v>
      </c>
      <c r="H1039" s="4" t="e">
        <f ca="1">[1]!BexGetData("DP_1","003N8EMH8GTFRCSWKMPXRS42M","GSON1112080084")</f>
        <v>#NAME?</v>
      </c>
      <c r="I1039" s="4" t="e">
        <f ca="1">[1]!BexGetData("DP_1","003N8EMH8GTFRCSWKMPXRSAE6","GSON1112080084")</f>
        <v>#NAME?</v>
      </c>
      <c r="J1039" s="4" t="e">
        <f ca="1">[1]!BexGetData("DP_1","003N8EMH8GTFRCSWKMPXRSGPQ","GSON1112080084")</f>
        <v>#NAME?</v>
      </c>
      <c r="K1039" s="8" t="e">
        <f ca="1">[1]!BexGetData("DP_1","003N8EMH8GTFRIVNUPY288VJH","GSON1112080084")</f>
        <v>#NAME?</v>
      </c>
      <c r="L1039" s="8" t="e">
        <f ca="1">[1]!BexGetData("DP_1","003N8EMH8GTFRIVNUPY2891V1","GSON1112080084")</f>
        <v>#NAME?</v>
      </c>
      <c r="M1039" s="8" t="e">
        <f ca="1">[1]!BexGetData("DP_1","003N8EMH8GTFRIVOG7KG9IQXA","GSON1112080084")</f>
        <v>#NAME?</v>
      </c>
      <c r="N1039" s="8" t="e">
        <f ca="1">[1]!BexGetData("DP_1","003N8EMH8GTFRIVOG7KG9IX8U","GSON1112080084")</f>
        <v>#NAME?</v>
      </c>
      <c r="O1039" s="8" t="e">
        <f ca="1">[1]!BexGetData("DP_1","003N8EMH8GTFRIVOG7KG9J3KE","GSON1112080084")</f>
        <v>#NAME?</v>
      </c>
      <c r="P1039" s="8" t="e">
        <f ca="1">[1]!BexGetData("DP_1","003N8EMH8GTFRIVOG7KG9J9VY","GSON1112080084")</f>
        <v>#NAME?</v>
      </c>
      <c r="Q1039" s="4" t="e">
        <f ca="1">[1]!BexGetData("DP_1","00O2TNJGODT0G5Z4TTKYMM5MT","GSON1112080084")</f>
        <v>#NAME?</v>
      </c>
      <c r="R1039" s="4" t="e">
        <f ca="1">[1]!BexGetData("DP_1","00O2TNJGODT0G5Z4TTKYMMBYD","GSON1112080084")</f>
        <v>#NAME?</v>
      </c>
      <c r="S1039" s="4" t="e">
        <f ca="1">[1]!BexGetData("DP_1","00O2TNJGODT0G5Z4TTKYMMI9X","GSON1112080084")</f>
        <v>#NAME?</v>
      </c>
      <c r="T1039" s="4" t="e">
        <f ca="1">[1]!BexGetData("DP_1","00O2TNJGODT0G5Z4TTKYMMOLH","GSON1112080084")</f>
        <v>#NAME?</v>
      </c>
      <c r="U1039" s="4" t="e">
        <f ca="1">[1]!BexGetData("DP_1","00O2TNJGODT0G5Z4TTKYMMUX1","GSON1112080084")</f>
        <v>#NAME?</v>
      </c>
      <c r="V1039" s="4" t="e">
        <f ca="1">[1]!BexGetData("DP_1","00O2TNJGODT0G5Z4TTKYMN18L","GSON1112080084")</f>
        <v>#NAME?</v>
      </c>
      <c r="W1039" s="4" t="e">
        <f ca="1">[1]!BexGetData("DP_1","00O2TNJGODT0G5Z4TTKYMN7K5","GSON1112080084")</f>
        <v>#NAME?</v>
      </c>
    </row>
    <row r="1040" spans="1:23" x14ac:dyDescent="0.2">
      <c r="A1040" s="16" t="s">
        <v>3278</v>
      </c>
      <c r="B1040" s="7" t="s">
        <v>3279</v>
      </c>
      <c r="C1040" s="3" t="e">
        <f ca="1">[1]!BexGetData("DP_1","003N8EMH8GTFRCSWKMPXRR8GU","GSON1112080085")</f>
        <v>#NAME?</v>
      </c>
      <c r="D1040" s="3" t="e">
        <f ca="1">[1]!BexGetData("DP_1","003N8EMH8GTFRCSWKMPXRRESE","GSON1112080085")</f>
        <v>#NAME?</v>
      </c>
      <c r="E1040" s="8" t="e">
        <f ca="1">[1]!BexGetData("DP_1","003N8EMH8GTFRCSWKMPXRRL3Y","GSON1112080085")</f>
        <v>#NAME?</v>
      </c>
      <c r="F1040" s="4" t="e">
        <f ca="1">[1]!BexGetData("DP_1","003N8EMH8GTFRCSWKMPXRRRFI","GSON1112080085")</f>
        <v>#NAME?</v>
      </c>
      <c r="G1040" s="4" t="e">
        <f ca="1">[1]!BexGetData("DP_1","003N8EMH8GTFRCSWKMPXRRXR2","GSON1112080085")</f>
        <v>#NAME?</v>
      </c>
      <c r="H1040" s="4" t="e">
        <f ca="1">[1]!BexGetData("DP_1","003N8EMH8GTFRCSWKMPXRS42M","GSON1112080085")</f>
        <v>#NAME?</v>
      </c>
      <c r="I1040" s="4" t="e">
        <f ca="1">[1]!BexGetData("DP_1","003N8EMH8GTFRCSWKMPXRSAE6","GSON1112080085")</f>
        <v>#NAME?</v>
      </c>
      <c r="J1040" s="4" t="e">
        <f ca="1">[1]!BexGetData("DP_1","003N8EMH8GTFRCSWKMPXRSGPQ","GSON1112080085")</f>
        <v>#NAME?</v>
      </c>
      <c r="K1040" s="8" t="e">
        <f ca="1">[1]!BexGetData("DP_1","003N8EMH8GTFRIVNUPY288VJH","GSON1112080085")</f>
        <v>#NAME?</v>
      </c>
      <c r="L1040" s="8" t="e">
        <f ca="1">[1]!BexGetData("DP_1","003N8EMH8GTFRIVNUPY2891V1","GSON1112080085")</f>
        <v>#NAME?</v>
      </c>
      <c r="M1040" s="8" t="e">
        <f ca="1">[1]!BexGetData("DP_1","003N8EMH8GTFRIVOG7KG9IQXA","GSON1112080085")</f>
        <v>#NAME?</v>
      </c>
      <c r="N1040" s="8" t="e">
        <f ca="1">[1]!BexGetData("DP_1","003N8EMH8GTFRIVOG7KG9IX8U","GSON1112080085")</f>
        <v>#NAME?</v>
      </c>
      <c r="O1040" s="8" t="e">
        <f ca="1">[1]!BexGetData("DP_1","003N8EMH8GTFRIVOG7KG9J3KE","GSON1112080085")</f>
        <v>#NAME?</v>
      </c>
      <c r="P1040" s="8" t="e">
        <f ca="1">[1]!BexGetData("DP_1","003N8EMH8GTFRIVOG7KG9J9VY","GSON1112080085")</f>
        <v>#NAME?</v>
      </c>
      <c r="Q1040" s="4" t="e">
        <f ca="1">[1]!BexGetData("DP_1","00O2TNJGODT0G5Z4TTKYMM5MT","GSON1112080085")</f>
        <v>#NAME?</v>
      </c>
      <c r="R1040" s="4" t="e">
        <f ca="1">[1]!BexGetData("DP_1","00O2TNJGODT0G5Z4TTKYMMBYD","GSON1112080085")</f>
        <v>#NAME?</v>
      </c>
      <c r="S1040" s="4" t="e">
        <f ca="1">[1]!BexGetData("DP_1","00O2TNJGODT0G5Z4TTKYMMI9X","GSON1112080085")</f>
        <v>#NAME?</v>
      </c>
      <c r="T1040" s="4" t="e">
        <f ca="1">[1]!BexGetData("DP_1","00O2TNJGODT0G5Z4TTKYMMOLH","GSON1112080085")</f>
        <v>#NAME?</v>
      </c>
      <c r="U1040" s="4" t="e">
        <f ca="1">[1]!BexGetData("DP_1","00O2TNJGODT0G5Z4TTKYMMUX1","GSON1112080085")</f>
        <v>#NAME?</v>
      </c>
      <c r="V1040" s="4" t="e">
        <f ca="1">[1]!BexGetData("DP_1","00O2TNJGODT0G5Z4TTKYMN18L","GSON1112080085")</f>
        <v>#NAME?</v>
      </c>
      <c r="W1040" s="4" t="e">
        <f ca="1">[1]!BexGetData("DP_1","00O2TNJGODT0G5Z4TTKYMN7K5","GSON1112080085")</f>
        <v>#NAME?</v>
      </c>
    </row>
    <row r="1041" spans="1:23" x14ac:dyDescent="0.2">
      <c r="A1041" s="16" t="s">
        <v>3280</v>
      </c>
      <c r="B1041" s="7" t="s">
        <v>3281</v>
      </c>
      <c r="C1041" s="3" t="e">
        <f ca="1">[1]!BexGetData("DP_1","003N8EMH8GTFRCSWKMPXRR8GU","GSON1112080100")</f>
        <v>#NAME?</v>
      </c>
      <c r="D1041" s="3" t="e">
        <f ca="1">[1]!BexGetData("DP_1","003N8EMH8GTFRCSWKMPXRRESE","GSON1112080100")</f>
        <v>#NAME?</v>
      </c>
      <c r="E1041" s="8" t="e">
        <f ca="1">[1]!BexGetData("DP_1","003N8EMH8GTFRCSWKMPXRRL3Y","GSON1112080100")</f>
        <v>#NAME?</v>
      </c>
      <c r="F1041" s="4" t="e">
        <f ca="1">[1]!BexGetData("DP_1","003N8EMH8GTFRCSWKMPXRRRFI","GSON1112080100")</f>
        <v>#NAME?</v>
      </c>
      <c r="G1041" s="4" t="e">
        <f ca="1">[1]!BexGetData("DP_1","003N8EMH8GTFRCSWKMPXRRXR2","GSON1112080100")</f>
        <v>#NAME?</v>
      </c>
      <c r="H1041" s="4" t="e">
        <f ca="1">[1]!BexGetData("DP_1","003N8EMH8GTFRCSWKMPXRS42M","GSON1112080100")</f>
        <v>#NAME?</v>
      </c>
      <c r="I1041" s="4" t="e">
        <f ca="1">[1]!BexGetData("DP_1","003N8EMH8GTFRCSWKMPXRSAE6","GSON1112080100")</f>
        <v>#NAME?</v>
      </c>
      <c r="J1041" s="4" t="e">
        <f ca="1">[1]!BexGetData("DP_1","003N8EMH8GTFRCSWKMPXRSGPQ","GSON1112080100")</f>
        <v>#NAME?</v>
      </c>
      <c r="K1041" s="8" t="e">
        <f ca="1">[1]!BexGetData("DP_1","003N8EMH8GTFRIVNUPY288VJH","GSON1112080100")</f>
        <v>#NAME?</v>
      </c>
      <c r="L1041" s="8" t="e">
        <f ca="1">[1]!BexGetData("DP_1","003N8EMH8GTFRIVNUPY2891V1","GSON1112080100")</f>
        <v>#NAME?</v>
      </c>
      <c r="M1041" s="8" t="e">
        <f ca="1">[1]!BexGetData("DP_1","003N8EMH8GTFRIVOG7KG9IQXA","GSON1112080100")</f>
        <v>#NAME?</v>
      </c>
      <c r="N1041" s="8" t="e">
        <f ca="1">[1]!BexGetData("DP_1","003N8EMH8GTFRIVOG7KG9IX8U","GSON1112080100")</f>
        <v>#NAME?</v>
      </c>
      <c r="O1041" s="8" t="e">
        <f ca="1">[1]!BexGetData("DP_1","003N8EMH8GTFRIVOG7KG9J3KE","GSON1112080100")</f>
        <v>#NAME?</v>
      </c>
      <c r="P1041" s="8" t="e">
        <f ca="1">[1]!BexGetData("DP_1","003N8EMH8GTFRIVOG7KG9J9VY","GSON1112080100")</f>
        <v>#NAME?</v>
      </c>
      <c r="Q1041" s="4" t="e">
        <f ca="1">[1]!BexGetData("DP_1","00O2TNJGODT0G5Z4TTKYMM5MT","GSON1112080100")</f>
        <v>#NAME?</v>
      </c>
      <c r="R1041" s="4" t="e">
        <f ca="1">[1]!BexGetData("DP_1","00O2TNJGODT0G5Z4TTKYMMBYD","GSON1112080100")</f>
        <v>#NAME?</v>
      </c>
      <c r="S1041" s="4" t="e">
        <f ca="1">[1]!BexGetData("DP_1","00O2TNJGODT0G5Z4TTKYMMI9X","GSON1112080100")</f>
        <v>#NAME?</v>
      </c>
      <c r="T1041" s="4" t="e">
        <f ca="1">[1]!BexGetData("DP_1","00O2TNJGODT0G5Z4TTKYMMOLH","GSON1112080100")</f>
        <v>#NAME?</v>
      </c>
      <c r="U1041" s="4" t="e">
        <f ca="1">[1]!BexGetData("DP_1","00O2TNJGODT0G5Z4TTKYMMUX1","GSON1112080100")</f>
        <v>#NAME?</v>
      </c>
      <c r="V1041" s="4" t="e">
        <f ca="1">[1]!BexGetData("DP_1","00O2TNJGODT0G5Z4TTKYMN18L","GSON1112080100")</f>
        <v>#NAME?</v>
      </c>
      <c r="W1041" s="4" t="e">
        <f ca="1">[1]!BexGetData("DP_1","00O2TNJGODT0G5Z4TTKYMN7K5","GSON1112080100")</f>
        <v>#NAME?</v>
      </c>
    </row>
    <row r="1042" spans="1:23" x14ac:dyDescent="0.2">
      <c r="A1042" s="16" t="s">
        <v>3282</v>
      </c>
      <c r="B1042" s="7" t="s">
        <v>3283</v>
      </c>
      <c r="C1042" s="3" t="e">
        <f ca="1">[1]!BexGetData("DP_1","003N8EMH8GTFRCSWKMPXRR8GU","GSON1112080101")</f>
        <v>#NAME?</v>
      </c>
      <c r="D1042" s="3" t="e">
        <f ca="1">[1]!BexGetData("DP_1","003N8EMH8GTFRCSWKMPXRRESE","GSON1112080101")</f>
        <v>#NAME?</v>
      </c>
      <c r="E1042" s="8" t="e">
        <f ca="1">[1]!BexGetData("DP_1","003N8EMH8GTFRCSWKMPXRRL3Y","GSON1112080101")</f>
        <v>#NAME?</v>
      </c>
      <c r="F1042" s="4" t="e">
        <f ca="1">[1]!BexGetData("DP_1","003N8EMH8GTFRCSWKMPXRRRFI","GSON1112080101")</f>
        <v>#NAME?</v>
      </c>
      <c r="G1042" s="4" t="e">
        <f ca="1">[1]!BexGetData("DP_1","003N8EMH8GTFRCSWKMPXRRXR2","GSON1112080101")</f>
        <v>#NAME?</v>
      </c>
      <c r="H1042" s="4" t="e">
        <f ca="1">[1]!BexGetData("DP_1","003N8EMH8GTFRCSWKMPXRS42M","GSON1112080101")</f>
        <v>#NAME?</v>
      </c>
      <c r="I1042" s="4" t="e">
        <f ca="1">[1]!BexGetData("DP_1","003N8EMH8GTFRCSWKMPXRSAE6","GSON1112080101")</f>
        <v>#NAME?</v>
      </c>
      <c r="J1042" s="4" t="e">
        <f ca="1">[1]!BexGetData("DP_1","003N8EMH8GTFRCSWKMPXRSGPQ","GSON1112080101")</f>
        <v>#NAME?</v>
      </c>
      <c r="K1042" s="8" t="e">
        <f ca="1">[1]!BexGetData("DP_1","003N8EMH8GTFRIVNUPY288VJH","GSON1112080101")</f>
        <v>#NAME?</v>
      </c>
      <c r="L1042" s="8" t="e">
        <f ca="1">[1]!BexGetData("DP_1","003N8EMH8GTFRIVNUPY2891V1","GSON1112080101")</f>
        <v>#NAME?</v>
      </c>
      <c r="M1042" s="8" t="e">
        <f ca="1">[1]!BexGetData("DP_1","003N8EMH8GTFRIVOG7KG9IQXA","GSON1112080101")</f>
        <v>#NAME?</v>
      </c>
      <c r="N1042" s="8" t="e">
        <f ca="1">[1]!BexGetData("DP_1","003N8EMH8GTFRIVOG7KG9IX8U","GSON1112080101")</f>
        <v>#NAME?</v>
      </c>
      <c r="O1042" s="8" t="e">
        <f ca="1">[1]!BexGetData("DP_1","003N8EMH8GTFRIVOG7KG9J3KE","GSON1112080101")</f>
        <v>#NAME?</v>
      </c>
      <c r="P1042" s="8" t="e">
        <f ca="1">[1]!BexGetData("DP_1","003N8EMH8GTFRIVOG7KG9J9VY","GSON1112080101")</f>
        <v>#NAME?</v>
      </c>
      <c r="Q1042" s="4" t="e">
        <f ca="1">[1]!BexGetData("DP_1","00O2TNJGODT0G5Z4TTKYMM5MT","GSON1112080101")</f>
        <v>#NAME?</v>
      </c>
      <c r="R1042" s="4" t="e">
        <f ca="1">[1]!BexGetData("DP_1","00O2TNJGODT0G5Z4TTKYMMBYD","GSON1112080101")</f>
        <v>#NAME?</v>
      </c>
      <c r="S1042" s="4" t="e">
        <f ca="1">[1]!BexGetData("DP_1","00O2TNJGODT0G5Z4TTKYMMI9X","GSON1112080101")</f>
        <v>#NAME?</v>
      </c>
      <c r="T1042" s="4" t="e">
        <f ca="1">[1]!BexGetData("DP_1","00O2TNJGODT0G5Z4TTKYMMOLH","GSON1112080101")</f>
        <v>#NAME?</v>
      </c>
      <c r="U1042" s="4" t="e">
        <f ca="1">[1]!BexGetData("DP_1","00O2TNJGODT0G5Z4TTKYMMUX1","GSON1112080101")</f>
        <v>#NAME?</v>
      </c>
      <c r="V1042" s="4" t="e">
        <f ca="1">[1]!BexGetData("DP_1","00O2TNJGODT0G5Z4TTKYMN18L","GSON1112080101")</f>
        <v>#NAME?</v>
      </c>
      <c r="W1042" s="4" t="e">
        <f ca="1">[1]!BexGetData("DP_1","00O2TNJGODT0G5Z4TTKYMN7K5","GSON1112080101")</f>
        <v>#NAME?</v>
      </c>
    </row>
    <row r="1043" spans="1:23" x14ac:dyDescent="0.2">
      <c r="A1043" s="16" t="s">
        <v>3284</v>
      </c>
      <c r="B1043" s="7" t="s">
        <v>3285</v>
      </c>
      <c r="C1043" s="3" t="e">
        <f ca="1">[1]!BexGetData("DP_1","003N8EMH8GTFRCSWKMPXRR8GU","GSON1112080103")</f>
        <v>#NAME?</v>
      </c>
      <c r="D1043" s="3" t="e">
        <f ca="1">[1]!BexGetData("DP_1","003N8EMH8GTFRCSWKMPXRRESE","GSON1112080103")</f>
        <v>#NAME?</v>
      </c>
      <c r="E1043" s="8" t="e">
        <f ca="1">[1]!BexGetData("DP_1","003N8EMH8GTFRCSWKMPXRRL3Y","GSON1112080103")</f>
        <v>#NAME?</v>
      </c>
      <c r="F1043" s="4" t="e">
        <f ca="1">[1]!BexGetData("DP_1","003N8EMH8GTFRCSWKMPXRRRFI","GSON1112080103")</f>
        <v>#NAME?</v>
      </c>
      <c r="G1043" s="4" t="e">
        <f ca="1">[1]!BexGetData("DP_1","003N8EMH8GTFRCSWKMPXRRXR2","GSON1112080103")</f>
        <v>#NAME?</v>
      </c>
      <c r="H1043" s="4" t="e">
        <f ca="1">[1]!BexGetData("DP_1","003N8EMH8GTFRCSWKMPXRS42M","GSON1112080103")</f>
        <v>#NAME?</v>
      </c>
      <c r="I1043" s="4" t="e">
        <f ca="1">[1]!BexGetData("DP_1","003N8EMH8GTFRCSWKMPXRSAE6","GSON1112080103")</f>
        <v>#NAME?</v>
      </c>
      <c r="J1043" s="4" t="e">
        <f ca="1">[1]!BexGetData("DP_1","003N8EMH8GTFRCSWKMPXRSGPQ","GSON1112080103")</f>
        <v>#NAME?</v>
      </c>
      <c r="K1043" s="8" t="e">
        <f ca="1">[1]!BexGetData("DP_1","003N8EMH8GTFRIVNUPY288VJH","GSON1112080103")</f>
        <v>#NAME?</v>
      </c>
      <c r="L1043" s="8" t="e">
        <f ca="1">[1]!BexGetData("DP_1","003N8EMH8GTFRIVNUPY2891V1","GSON1112080103")</f>
        <v>#NAME?</v>
      </c>
      <c r="M1043" s="8" t="e">
        <f ca="1">[1]!BexGetData("DP_1","003N8EMH8GTFRIVOG7KG9IQXA","GSON1112080103")</f>
        <v>#NAME?</v>
      </c>
      <c r="N1043" s="8" t="e">
        <f ca="1">[1]!BexGetData("DP_1","003N8EMH8GTFRIVOG7KG9IX8U","GSON1112080103")</f>
        <v>#NAME?</v>
      </c>
      <c r="O1043" s="8" t="e">
        <f ca="1">[1]!BexGetData("DP_1","003N8EMH8GTFRIVOG7KG9J3KE","GSON1112080103")</f>
        <v>#NAME?</v>
      </c>
      <c r="P1043" s="8" t="e">
        <f ca="1">[1]!BexGetData("DP_1","003N8EMH8GTFRIVOG7KG9J9VY","GSON1112080103")</f>
        <v>#NAME?</v>
      </c>
      <c r="Q1043" s="4" t="e">
        <f ca="1">[1]!BexGetData("DP_1","00O2TNJGODT0G5Z4TTKYMM5MT","GSON1112080103")</f>
        <v>#NAME?</v>
      </c>
      <c r="R1043" s="4" t="e">
        <f ca="1">[1]!BexGetData("DP_1","00O2TNJGODT0G5Z4TTKYMMBYD","GSON1112080103")</f>
        <v>#NAME?</v>
      </c>
      <c r="S1043" s="4" t="e">
        <f ca="1">[1]!BexGetData("DP_1","00O2TNJGODT0G5Z4TTKYMMI9X","GSON1112080103")</f>
        <v>#NAME?</v>
      </c>
      <c r="T1043" s="4" t="e">
        <f ca="1">[1]!BexGetData("DP_1","00O2TNJGODT0G5Z4TTKYMMOLH","GSON1112080103")</f>
        <v>#NAME?</v>
      </c>
      <c r="U1043" s="4" t="e">
        <f ca="1">[1]!BexGetData("DP_1","00O2TNJGODT0G5Z4TTKYMMUX1","GSON1112080103")</f>
        <v>#NAME?</v>
      </c>
      <c r="V1043" s="4" t="e">
        <f ca="1">[1]!BexGetData("DP_1","00O2TNJGODT0G5Z4TTKYMN18L","GSON1112080103")</f>
        <v>#NAME?</v>
      </c>
      <c r="W1043" s="4" t="e">
        <f ca="1">[1]!BexGetData("DP_1","00O2TNJGODT0G5Z4TTKYMN7K5","GSON1112080103")</f>
        <v>#NAME?</v>
      </c>
    </row>
    <row r="1044" spans="1:23" x14ac:dyDescent="0.2">
      <c r="A1044" s="16" t="s">
        <v>3286</v>
      </c>
      <c r="B1044" s="7" t="s">
        <v>3287</v>
      </c>
      <c r="C1044" s="3" t="e">
        <f ca="1">[1]!BexGetData("DP_1","003N8EMH8GTFRCSWKMPXRR8GU","GSON1112080125")</f>
        <v>#NAME?</v>
      </c>
      <c r="D1044" s="3" t="e">
        <f ca="1">[1]!BexGetData("DP_1","003N8EMH8GTFRCSWKMPXRRESE","GSON1112080125")</f>
        <v>#NAME?</v>
      </c>
      <c r="E1044" s="8" t="e">
        <f ca="1">[1]!BexGetData("DP_1","003N8EMH8GTFRCSWKMPXRRL3Y","GSON1112080125")</f>
        <v>#NAME?</v>
      </c>
      <c r="F1044" s="4" t="e">
        <f ca="1">[1]!BexGetData("DP_1","003N8EMH8GTFRCSWKMPXRRRFI","GSON1112080125")</f>
        <v>#NAME?</v>
      </c>
      <c r="G1044" s="4" t="e">
        <f ca="1">[1]!BexGetData("DP_1","003N8EMH8GTFRCSWKMPXRRXR2","GSON1112080125")</f>
        <v>#NAME?</v>
      </c>
      <c r="H1044" s="4" t="e">
        <f ca="1">[1]!BexGetData("DP_1","003N8EMH8GTFRCSWKMPXRS42M","GSON1112080125")</f>
        <v>#NAME?</v>
      </c>
      <c r="I1044" s="4" t="e">
        <f ca="1">[1]!BexGetData("DP_1","003N8EMH8GTFRCSWKMPXRSAE6","GSON1112080125")</f>
        <v>#NAME?</v>
      </c>
      <c r="J1044" s="4" t="e">
        <f ca="1">[1]!BexGetData("DP_1","003N8EMH8GTFRCSWKMPXRSGPQ","GSON1112080125")</f>
        <v>#NAME?</v>
      </c>
      <c r="K1044" s="8" t="e">
        <f ca="1">[1]!BexGetData("DP_1","003N8EMH8GTFRIVNUPY288VJH","GSON1112080125")</f>
        <v>#NAME?</v>
      </c>
      <c r="L1044" s="8" t="e">
        <f ca="1">[1]!BexGetData("DP_1","003N8EMH8GTFRIVNUPY2891V1","GSON1112080125")</f>
        <v>#NAME?</v>
      </c>
      <c r="M1044" s="8" t="e">
        <f ca="1">[1]!BexGetData("DP_1","003N8EMH8GTFRIVOG7KG9IQXA","GSON1112080125")</f>
        <v>#NAME?</v>
      </c>
      <c r="N1044" s="8" t="e">
        <f ca="1">[1]!BexGetData("DP_1","003N8EMH8GTFRIVOG7KG9IX8U","GSON1112080125")</f>
        <v>#NAME?</v>
      </c>
      <c r="O1044" s="8" t="e">
        <f ca="1">[1]!BexGetData("DP_1","003N8EMH8GTFRIVOG7KG9J3KE","GSON1112080125")</f>
        <v>#NAME?</v>
      </c>
      <c r="P1044" s="8" t="e">
        <f ca="1">[1]!BexGetData("DP_1","003N8EMH8GTFRIVOG7KG9J9VY","GSON1112080125")</f>
        <v>#NAME?</v>
      </c>
      <c r="Q1044" s="4" t="e">
        <f ca="1">[1]!BexGetData("DP_1","00O2TNJGODT0G5Z4TTKYMM5MT","GSON1112080125")</f>
        <v>#NAME?</v>
      </c>
      <c r="R1044" s="4" t="e">
        <f ca="1">[1]!BexGetData("DP_1","00O2TNJGODT0G5Z4TTKYMMBYD","GSON1112080125")</f>
        <v>#NAME?</v>
      </c>
      <c r="S1044" s="4" t="e">
        <f ca="1">[1]!BexGetData("DP_1","00O2TNJGODT0G5Z4TTKYMMI9X","GSON1112080125")</f>
        <v>#NAME?</v>
      </c>
      <c r="T1044" s="4" t="e">
        <f ca="1">[1]!BexGetData("DP_1","00O2TNJGODT0G5Z4TTKYMMOLH","GSON1112080125")</f>
        <v>#NAME?</v>
      </c>
      <c r="U1044" s="4" t="e">
        <f ca="1">[1]!BexGetData("DP_1","00O2TNJGODT0G5Z4TTKYMMUX1","GSON1112080125")</f>
        <v>#NAME?</v>
      </c>
      <c r="V1044" s="4" t="e">
        <f ca="1">[1]!BexGetData("DP_1","00O2TNJGODT0G5Z4TTKYMN18L","GSON1112080125")</f>
        <v>#NAME?</v>
      </c>
      <c r="W1044" s="4" t="e">
        <f ca="1">[1]!BexGetData("DP_1","00O2TNJGODT0G5Z4TTKYMN7K5","GSON1112080125")</f>
        <v>#NAME?</v>
      </c>
    </row>
    <row r="1045" spans="1:23" x14ac:dyDescent="0.2">
      <c r="A1045" s="16" t="s">
        <v>3288</v>
      </c>
      <c r="B1045" s="7" t="s">
        <v>3289</v>
      </c>
      <c r="C1045" s="3" t="e">
        <f ca="1">[1]!BexGetData("DP_1","003N8EMH8GTFRCSWKMPXRR8GU","GSON1112080131")</f>
        <v>#NAME?</v>
      </c>
      <c r="D1045" s="3" t="e">
        <f ca="1">[1]!BexGetData("DP_1","003N8EMH8GTFRCSWKMPXRRESE","GSON1112080131")</f>
        <v>#NAME?</v>
      </c>
      <c r="E1045" s="8" t="e">
        <f ca="1">[1]!BexGetData("DP_1","003N8EMH8GTFRCSWKMPXRRL3Y","GSON1112080131")</f>
        <v>#NAME?</v>
      </c>
      <c r="F1045" s="4" t="e">
        <f ca="1">[1]!BexGetData("DP_1","003N8EMH8GTFRCSWKMPXRRRFI","GSON1112080131")</f>
        <v>#NAME?</v>
      </c>
      <c r="G1045" s="4" t="e">
        <f ca="1">[1]!BexGetData("DP_1","003N8EMH8GTFRCSWKMPXRRXR2","GSON1112080131")</f>
        <v>#NAME?</v>
      </c>
      <c r="H1045" s="4" t="e">
        <f ca="1">[1]!BexGetData("DP_1","003N8EMH8GTFRCSWKMPXRS42M","GSON1112080131")</f>
        <v>#NAME?</v>
      </c>
      <c r="I1045" s="4" t="e">
        <f ca="1">[1]!BexGetData("DP_1","003N8EMH8GTFRCSWKMPXRSAE6","GSON1112080131")</f>
        <v>#NAME?</v>
      </c>
      <c r="J1045" s="4" t="e">
        <f ca="1">[1]!BexGetData("DP_1","003N8EMH8GTFRCSWKMPXRSGPQ","GSON1112080131")</f>
        <v>#NAME?</v>
      </c>
      <c r="K1045" s="8" t="e">
        <f ca="1">[1]!BexGetData("DP_1","003N8EMH8GTFRIVNUPY288VJH","GSON1112080131")</f>
        <v>#NAME?</v>
      </c>
      <c r="L1045" s="8" t="e">
        <f ca="1">[1]!BexGetData("DP_1","003N8EMH8GTFRIVNUPY2891V1","GSON1112080131")</f>
        <v>#NAME?</v>
      </c>
      <c r="M1045" s="8" t="e">
        <f ca="1">[1]!BexGetData("DP_1","003N8EMH8GTFRIVOG7KG9IQXA","GSON1112080131")</f>
        <v>#NAME?</v>
      </c>
      <c r="N1045" s="8" t="e">
        <f ca="1">[1]!BexGetData("DP_1","003N8EMH8GTFRIVOG7KG9IX8U","GSON1112080131")</f>
        <v>#NAME?</v>
      </c>
      <c r="O1045" s="8" t="e">
        <f ca="1">[1]!BexGetData("DP_1","003N8EMH8GTFRIVOG7KG9J3KE","GSON1112080131")</f>
        <v>#NAME?</v>
      </c>
      <c r="P1045" s="8" t="e">
        <f ca="1">[1]!BexGetData("DP_1","003N8EMH8GTFRIVOG7KG9J9VY","GSON1112080131")</f>
        <v>#NAME?</v>
      </c>
      <c r="Q1045" s="4" t="e">
        <f ca="1">[1]!BexGetData("DP_1","00O2TNJGODT0G5Z4TTKYMM5MT","GSON1112080131")</f>
        <v>#NAME?</v>
      </c>
      <c r="R1045" s="4" t="e">
        <f ca="1">[1]!BexGetData("DP_1","00O2TNJGODT0G5Z4TTKYMMBYD","GSON1112080131")</f>
        <v>#NAME?</v>
      </c>
      <c r="S1045" s="4" t="e">
        <f ca="1">[1]!BexGetData("DP_1","00O2TNJGODT0G5Z4TTKYMMI9X","GSON1112080131")</f>
        <v>#NAME?</v>
      </c>
      <c r="T1045" s="4" t="e">
        <f ca="1">[1]!BexGetData("DP_1","00O2TNJGODT0G5Z4TTKYMMOLH","GSON1112080131")</f>
        <v>#NAME?</v>
      </c>
      <c r="U1045" s="4" t="e">
        <f ca="1">[1]!BexGetData("DP_1","00O2TNJGODT0G5Z4TTKYMMUX1","GSON1112080131")</f>
        <v>#NAME?</v>
      </c>
      <c r="V1045" s="4" t="e">
        <f ca="1">[1]!BexGetData("DP_1","00O2TNJGODT0G5Z4TTKYMN18L","GSON1112080131")</f>
        <v>#NAME?</v>
      </c>
      <c r="W1045" s="4" t="e">
        <f ca="1">[1]!BexGetData("DP_1","00O2TNJGODT0G5Z4TTKYMN7K5","GSON1112080131")</f>
        <v>#NAME?</v>
      </c>
    </row>
    <row r="1046" spans="1:23" x14ac:dyDescent="0.2">
      <c r="A1046" s="16" t="s">
        <v>223</v>
      </c>
      <c r="B1046" s="7" t="s">
        <v>224</v>
      </c>
      <c r="C1046" s="3" t="e">
        <f ca="1">[1]!BexGetData("DP_1","003N8EMH8GTFRCSWKMPXRR8GU","GSON1112080170")</f>
        <v>#NAME?</v>
      </c>
      <c r="D1046" s="3" t="e">
        <f ca="1">[1]!BexGetData("DP_1","003N8EMH8GTFRCSWKMPXRRESE","GSON1112080170")</f>
        <v>#NAME?</v>
      </c>
      <c r="E1046" s="3" t="e">
        <f ca="1">[1]!BexGetData("DP_1","003N8EMH8GTFRCSWKMPXRRL3Y","GSON1112080170")</f>
        <v>#NAME?</v>
      </c>
      <c r="F1046" s="3" t="e">
        <f ca="1">[1]!BexGetData("DP_1","003N8EMH8GTFRCSWKMPXRRRFI","GSON1112080170")</f>
        <v>#NAME?</v>
      </c>
      <c r="G1046" s="3" t="e">
        <f ca="1">[1]!BexGetData("DP_1","003N8EMH8GTFRCSWKMPXRRXR2","GSON1112080170")</f>
        <v>#NAME?</v>
      </c>
      <c r="H1046" s="8" t="e">
        <f ca="1">[1]!BexGetData("DP_1","003N8EMH8GTFRCSWKMPXRS42M","GSON1112080170")</f>
        <v>#NAME?</v>
      </c>
      <c r="I1046" s="3" t="e">
        <f ca="1">[1]!BexGetData("DP_1","003N8EMH8GTFRCSWKMPXRSAE6","GSON1112080170")</f>
        <v>#NAME?</v>
      </c>
      <c r="J1046" s="4" t="e">
        <f ca="1">[1]!BexGetData("DP_1","003N8EMH8GTFRCSWKMPXRSGPQ","GSON1112080170")</f>
        <v>#NAME?</v>
      </c>
      <c r="K1046" s="3" t="e">
        <f ca="1">[1]!BexGetData("DP_1","003N8EMH8GTFRIVNUPY288VJH","GSON1112080170")</f>
        <v>#NAME?</v>
      </c>
      <c r="L1046" s="3" t="e">
        <f ca="1">[1]!BexGetData("DP_1","003N8EMH8GTFRIVNUPY2891V1","GSON1112080170")</f>
        <v>#NAME?</v>
      </c>
      <c r="M1046" s="8" t="e">
        <f ca="1">[1]!BexGetData("DP_1","003N8EMH8GTFRIVOG7KG9IQXA","GSON1112080170")</f>
        <v>#NAME?</v>
      </c>
      <c r="N1046" s="3" t="e">
        <f ca="1">[1]!BexGetData("DP_1","003N8EMH8GTFRIVOG7KG9IX8U","GSON1112080170")</f>
        <v>#NAME?</v>
      </c>
      <c r="O1046" s="8" t="e">
        <f ca="1">[1]!BexGetData("DP_1","003N8EMH8GTFRIVOG7KG9J3KE","GSON1112080170")</f>
        <v>#NAME?</v>
      </c>
      <c r="P1046" s="3" t="e">
        <f ca="1">[1]!BexGetData("DP_1","003N8EMH8GTFRIVOG7KG9J9VY","GSON1112080170")</f>
        <v>#NAME?</v>
      </c>
      <c r="Q1046" s="4" t="e">
        <f ca="1">[1]!BexGetData("DP_1","00O2TNJGODT0G5Z4TTKYMM5MT","GSON1112080170")</f>
        <v>#NAME?</v>
      </c>
      <c r="R1046" s="3" t="e">
        <f ca="1">[1]!BexGetData("DP_1","00O2TNJGODT0G5Z4TTKYMMBYD","GSON1112080170")</f>
        <v>#NAME?</v>
      </c>
      <c r="S1046" s="3" t="e">
        <f ca="1">[1]!BexGetData("DP_1","00O2TNJGODT0G5Z4TTKYMMI9X","GSON1112080170")</f>
        <v>#NAME?</v>
      </c>
      <c r="T1046" s="8" t="e">
        <f ca="1">[1]!BexGetData("DP_1","00O2TNJGODT0G5Z4TTKYMMOLH","GSON1112080170")</f>
        <v>#NAME?</v>
      </c>
      <c r="U1046" s="3" t="e">
        <f ca="1">[1]!BexGetData("DP_1","00O2TNJGODT0G5Z4TTKYMMUX1","GSON1112080170")</f>
        <v>#NAME?</v>
      </c>
      <c r="V1046" s="8" t="e">
        <f ca="1">[1]!BexGetData("DP_1","00O2TNJGODT0G5Z4TTKYMN18L","GSON1112080170")</f>
        <v>#NAME?</v>
      </c>
      <c r="W1046" s="3" t="e">
        <f ca="1">[1]!BexGetData("DP_1","00O2TNJGODT0G5Z4TTKYMN7K5","GSON1112080170")</f>
        <v>#NAME?</v>
      </c>
    </row>
    <row r="1047" spans="1:23" x14ac:dyDescent="0.2">
      <c r="A1047" s="16" t="s">
        <v>225</v>
      </c>
      <c r="B1047" s="7" t="s">
        <v>226</v>
      </c>
      <c r="C1047" s="3" t="e">
        <f ca="1">[1]!BexGetData("DP_1","003N8EMH8GTFRCSWKMPXRR8GU","GSON1112080171")</f>
        <v>#NAME?</v>
      </c>
      <c r="D1047" s="3" t="e">
        <f ca="1">[1]!BexGetData("DP_1","003N8EMH8GTFRCSWKMPXRRESE","GSON1112080171")</f>
        <v>#NAME?</v>
      </c>
      <c r="E1047" s="3" t="e">
        <f ca="1">[1]!BexGetData("DP_1","003N8EMH8GTFRCSWKMPXRRL3Y","GSON1112080171")</f>
        <v>#NAME?</v>
      </c>
      <c r="F1047" s="3" t="e">
        <f ca="1">[1]!BexGetData("DP_1","003N8EMH8GTFRCSWKMPXRRRFI","GSON1112080171")</f>
        <v>#NAME?</v>
      </c>
      <c r="G1047" s="3" t="e">
        <f ca="1">[1]!BexGetData("DP_1","003N8EMH8GTFRCSWKMPXRRXR2","GSON1112080171")</f>
        <v>#NAME?</v>
      </c>
      <c r="H1047" s="8" t="e">
        <f ca="1">[1]!BexGetData("DP_1","003N8EMH8GTFRCSWKMPXRS42M","GSON1112080171")</f>
        <v>#NAME?</v>
      </c>
      <c r="I1047" s="3" t="e">
        <f ca="1">[1]!BexGetData("DP_1","003N8EMH8GTFRCSWKMPXRSAE6","GSON1112080171")</f>
        <v>#NAME?</v>
      </c>
      <c r="J1047" s="4" t="e">
        <f ca="1">[1]!BexGetData("DP_1","003N8EMH8GTFRCSWKMPXRSGPQ","GSON1112080171")</f>
        <v>#NAME?</v>
      </c>
      <c r="K1047" s="3" t="e">
        <f ca="1">[1]!BexGetData("DP_1","003N8EMH8GTFRIVNUPY288VJH","GSON1112080171")</f>
        <v>#NAME?</v>
      </c>
      <c r="L1047" s="3" t="e">
        <f ca="1">[1]!BexGetData("DP_1","003N8EMH8GTFRIVNUPY2891V1","GSON1112080171")</f>
        <v>#NAME?</v>
      </c>
      <c r="M1047" s="3" t="e">
        <f ca="1">[1]!BexGetData("DP_1","003N8EMH8GTFRIVOG7KG9IQXA","GSON1112080171")</f>
        <v>#NAME?</v>
      </c>
      <c r="N1047" s="8" t="e">
        <f ca="1">[1]!BexGetData("DP_1","003N8EMH8GTFRIVOG7KG9IX8U","GSON1112080171")</f>
        <v>#NAME?</v>
      </c>
      <c r="O1047" s="3" t="e">
        <f ca="1">[1]!BexGetData("DP_1","003N8EMH8GTFRIVOG7KG9J3KE","GSON1112080171")</f>
        <v>#NAME?</v>
      </c>
      <c r="P1047" s="8" t="e">
        <f ca="1">[1]!BexGetData("DP_1","003N8EMH8GTFRIVOG7KG9J9VY","GSON1112080171")</f>
        <v>#NAME?</v>
      </c>
      <c r="Q1047" s="4" t="e">
        <f ca="1">[1]!BexGetData("DP_1","00O2TNJGODT0G5Z4TTKYMM5MT","GSON1112080171")</f>
        <v>#NAME?</v>
      </c>
      <c r="R1047" s="3" t="e">
        <f ca="1">[1]!BexGetData("DP_1","00O2TNJGODT0G5Z4TTKYMMBYD","GSON1112080171")</f>
        <v>#NAME?</v>
      </c>
      <c r="S1047" s="3" t="e">
        <f ca="1">[1]!BexGetData("DP_1","00O2TNJGODT0G5Z4TTKYMMI9X","GSON1112080171")</f>
        <v>#NAME?</v>
      </c>
      <c r="T1047" s="8" t="e">
        <f ca="1">[1]!BexGetData("DP_1","00O2TNJGODT0G5Z4TTKYMMOLH","GSON1112080171")</f>
        <v>#NAME?</v>
      </c>
      <c r="U1047" s="3" t="e">
        <f ca="1">[1]!BexGetData("DP_1","00O2TNJGODT0G5Z4TTKYMMUX1","GSON1112080171")</f>
        <v>#NAME?</v>
      </c>
      <c r="V1047" s="8" t="e">
        <f ca="1">[1]!BexGetData("DP_1","00O2TNJGODT0G5Z4TTKYMN18L","GSON1112080171")</f>
        <v>#NAME?</v>
      </c>
      <c r="W1047" s="3" t="e">
        <f ca="1">[1]!BexGetData("DP_1","00O2TNJGODT0G5Z4TTKYMN7K5","GSON1112080171")</f>
        <v>#NAME?</v>
      </c>
    </row>
    <row r="1048" spans="1:23" x14ac:dyDescent="0.2">
      <c r="A1048" s="16" t="s">
        <v>227</v>
      </c>
      <c r="B1048" s="7" t="s">
        <v>228</v>
      </c>
      <c r="C1048" s="3" t="e">
        <f ca="1">[1]!BexGetData("DP_1","003N8EMH8GTFRCSWKMPXRR8GU","GSON1112080173")</f>
        <v>#NAME?</v>
      </c>
      <c r="D1048" s="3" t="e">
        <f ca="1">[1]!BexGetData("DP_1","003N8EMH8GTFRCSWKMPXRRESE","GSON1112080173")</f>
        <v>#NAME?</v>
      </c>
      <c r="E1048" s="3" t="e">
        <f ca="1">[1]!BexGetData("DP_1","003N8EMH8GTFRCSWKMPXRRL3Y","GSON1112080173")</f>
        <v>#NAME?</v>
      </c>
      <c r="F1048" s="4" t="e">
        <f ca="1">[1]!BexGetData("DP_1","003N8EMH8GTFRCSWKMPXRRRFI","GSON1112080173")</f>
        <v>#NAME?</v>
      </c>
      <c r="G1048" s="4" t="e">
        <f ca="1">[1]!BexGetData("DP_1","003N8EMH8GTFRCSWKMPXRRXR2","GSON1112080173")</f>
        <v>#NAME?</v>
      </c>
      <c r="H1048" s="4" t="e">
        <f ca="1">[1]!BexGetData("DP_1","003N8EMH8GTFRCSWKMPXRS42M","GSON1112080173")</f>
        <v>#NAME?</v>
      </c>
      <c r="I1048" s="4" t="e">
        <f ca="1">[1]!BexGetData("DP_1","003N8EMH8GTFRCSWKMPXRSAE6","GSON1112080173")</f>
        <v>#NAME?</v>
      </c>
      <c r="J1048" s="4" t="e">
        <f ca="1">[1]!BexGetData("DP_1","003N8EMH8GTFRCSWKMPXRSGPQ","GSON1112080173")</f>
        <v>#NAME?</v>
      </c>
      <c r="K1048" s="3" t="e">
        <f ca="1">[1]!BexGetData("DP_1","003N8EMH8GTFRIVNUPY288VJH","GSON1112080173")</f>
        <v>#NAME?</v>
      </c>
      <c r="L1048" s="3" t="e">
        <f ca="1">[1]!BexGetData("DP_1","003N8EMH8GTFRIVNUPY2891V1","GSON1112080173")</f>
        <v>#NAME?</v>
      </c>
      <c r="M1048" s="8" t="e">
        <f ca="1">[1]!BexGetData("DP_1","003N8EMH8GTFRIVOG7KG9IQXA","GSON1112080173")</f>
        <v>#NAME?</v>
      </c>
      <c r="N1048" s="3" t="e">
        <f ca="1">[1]!BexGetData("DP_1","003N8EMH8GTFRIVOG7KG9IX8U","GSON1112080173")</f>
        <v>#NAME?</v>
      </c>
      <c r="O1048" s="8" t="e">
        <f ca="1">[1]!BexGetData("DP_1","003N8EMH8GTFRIVOG7KG9J3KE","GSON1112080173")</f>
        <v>#NAME?</v>
      </c>
      <c r="P1048" s="3" t="e">
        <f ca="1">[1]!BexGetData("DP_1","003N8EMH8GTFRIVOG7KG9J9VY","GSON1112080173")</f>
        <v>#NAME?</v>
      </c>
      <c r="Q1048" s="4" t="e">
        <f ca="1">[1]!BexGetData("DP_1","00O2TNJGODT0G5Z4TTKYMM5MT","GSON1112080173")</f>
        <v>#NAME?</v>
      </c>
      <c r="R1048" s="4" t="e">
        <f ca="1">[1]!BexGetData("DP_1","00O2TNJGODT0G5Z4TTKYMMBYD","GSON1112080173")</f>
        <v>#NAME?</v>
      </c>
      <c r="S1048" s="4" t="e">
        <f ca="1">[1]!BexGetData("DP_1","00O2TNJGODT0G5Z4TTKYMMI9X","GSON1112080173")</f>
        <v>#NAME?</v>
      </c>
      <c r="T1048" s="4" t="e">
        <f ca="1">[1]!BexGetData("DP_1","00O2TNJGODT0G5Z4TTKYMMOLH","GSON1112080173")</f>
        <v>#NAME?</v>
      </c>
      <c r="U1048" s="4" t="e">
        <f ca="1">[1]!BexGetData("DP_1","00O2TNJGODT0G5Z4TTKYMMUX1","GSON1112080173")</f>
        <v>#NAME?</v>
      </c>
      <c r="V1048" s="4" t="e">
        <f ca="1">[1]!BexGetData("DP_1","00O2TNJGODT0G5Z4TTKYMN18L","GSON1112080173")</f>
        <v>#NAME?</v>
      </c>
      <c r="W1048" s="4" t="e">
        <f ca="1">[1]!BexGetData("DP_1","00O2TNJGODT0G5Z4TTKYMN7K5","GSON1112080173")</f>
        <v>#NAME?</v>
      </c>
    </row>
    <row r="1049" spans="1:23" x14ac:dyDescent="0.2">
      <c r="A1049" s="16" t="s">
        <v>3290</v>
      </c>
      <c r="B1049" s="7" t="s">
        <v>229</v>
      </c>
      <c r="C1049" s="3" t="e">
        <f ca="1">[1]!BexGetData("DP_1","003N8EMH8GTFRCSWKMPXRR8GU","GSON1112080174")</f>
        <v>#NAME?</v>
      </c>
      <c r="D1049" s="3" t="e">
        <f ca="1">[1]!BexGetData("DP_1","003N8EMH8GTFRCSWKMPXRRESE","GSON1112080174")</f>
        <v>#NAME?</v>
      </c>
      <c r="E1049" s="3" t="e">
        <f ca="1">[1]!BexGetData("DP_1","003N8EMH8GTFRCSWKMPXRRL3Y","GSON1112080174")</f>
        <v>#NAME?</v>
      </c>
      <c r="F1049" s="4" t="e">
        <f ca="1">[1]!BexGetData("DP_1","003N8EMH8GTFRCSWKMPXRRRFI","GSON1112080174")</f>
        <v>#NAME?</v>
      </c>
      <c r="G1049" s="4" t="e">
        <f ca="1">[1]!BexGetData("DP_1","003N8EMH8GTFRCSWKMPXRRXR2","GSON1112080174")</f>
        <v>#NAME?</v>
      </c>
      <c r="H1049" s="4" t="e">
        <f ca="1">[1]!BexGetData("DP_1","003N8EMH8GTFRCSWKMPXRS42M","GSON1112080174")</f>
        <v>#NAME?</v>
      </c>
      <c r="I1049" s="4" t="e">
        <f ca="1">[1]!BexGetData("DP_1","003N8EMH8GTFRCSWKMPXRSAE6","GSON1112080174")</f>
        <v>#NAME?</v>
      </c>
      <c r="J1049" s="4" t="e">
        <f ca="1">[1]!BexGetData("DP_1","003N8EMH8GTFRCSWKMPXRSGPQ","GSON1112080174")</f>
        <v>#NAME?</v>
      </c>
      <c r="K1049" s="3" t="e">
        <f ca="1">[1]!BexGetData("DP_1","003N8EMH8GTFRIVNUPY288VJH","GSON1112080174")</f>
        <v>#NAME?</v>
      </c>
      <c r="L1049" s="3" t="e">
        <f ca="1">[1]!BexGetData("DP_1","003N8EMH8GTFRIVNUPY2891V1","GSON1112080174")</f>
        <v>#NAME?</v>
      </c>
      <c r="M1049" s="8" t="e">
        <f ca="1">[1]!BexGetData("DP_1","003N8EMH8GTFRIVOG7KG9IQXA","GSON1112080174")</f>
        <v>#NAME?</v>
      </c>
      <c r="N1049" s="3" t="e">
        <f ca="1">[1]!BexGetData("DP_1","003N8EMH8GTFRIVOG7KG9IX8U","GSON1112080174")</f>
        <v>#NAME?</v>
      </c>
      <c r="O1049" s="8" t="e">
        <f ca="1">[1]!BexGetData("DP_1","003N8EMH8GTFRIVOG7KG9J3KE","GSON1112080174")</f>
        <v>#NAME?</v>
      </c>
      <c r="P1049" s="3" t="e">
        <f ca="1">[1]!BexGetData("DP_1","003N8EMH8GTFRIVOG7KG9J9VY","GSON1112080174")</f>
        <v>#NAME?</v>
      </c>
      <c r="Q1049" s="4" t="e">
        <f ca="1">[1]!BexGetData("DP_1","00O2TNJGODT0G5Z4TTKYMM5MT","GSON1112080174")</f>
        <v>#NAME?</v>
      </c>
      <c r="R1049" s="4" t="e">
        <f ca="1">[1]!BexGetData("DP_1","00O2TNJGODT0G5Z4TTKYMMBYD","GSON1112080174")</f>
        <v>#NAME?</v>
      </c>
      <c r="S1049" s="4" t="e">
        <f ca="1">[1]!BexGetData("DP_1","00O2TNJGODT0G5Z4TTKYMMI9X","GSON1112080174")</f>
        <v>#NAME?</v>
      </c>
      <c r="T1049" s="4" t="e">
        <f ca="1">[1]!BexGetData("DP_1","00O2TNJGODT0G5Z4TTKYMMOLH","GSON1112080174")</f>
        <v>#NAME?</v>
      </c>
      <c r="U1049" s="4" t="e">
        <f ca="1">[1]!BexGetData("DP_1","00O2TNJGODT0G5Z4TTKYMMUX1","GSON1112080174")</f>
        <v>#NAME?</v>
      </c>
      <c r="V1049" s="4" t="e">
        <f ca="1">[1]!BexGetData("DP_1","00O2TNJGODT0G5Z4TTKYMN18L","GSON1112080174")</f>
        <v>#NAME?</v>
      </c>
      <c r="W1049" s="4" t="e">
        <f ca="1">[1]!BexGetData("DP_1","00O2TNJGODT0G5Z4TTKYMN7K5","GSON1112080174")</f>
        <v>#NAME?</v>
      </c>
    </row>
    <row r="1050" spans="1:23" x14ac:dyDescent="0.2">
      <c r="A1050" s="16" t="s">
        <v>230</v>
      </c>
      <c r="B1050" s="7" t="s">
        <v>231</v>
      </c>
      <c r="C1050" s="3" t="e">
        <f ca="1">[1]!BexGetData("DP_1","003N8EMH8GTFRCSWKMPXRR8GU","GSON1112080180")</f>
        <v>#NAME?</v>
      </c>
      <c r="D1050" s="3" t="e">
        <f ca="1">[1]!BexGetData("DP_1","003N8EMH8GTFRCSWKMPXRRESE","GSON1112080180")</f>
        <v>#NAME?</v>
      </c>
      <c r="E1050" s="3" t="e">
        <f ca="1">[1]!BexGetData("DP_1","003N8EMH8GTFRCSWKMPXRRL3Y","GSON1112080180")</f>
        <v>#NAME?</v>
      </c>
      <c r="F1050" s="3" t="e">
        <f ca="1">[1]!BexGetData("DP_1","003N8EMH8GTFRCSWKMPXRRRFI","GSON1112080180")</f>
        <v>#NAME?</v>
      </c>
      <c r="G1050" s="3" t="e">
        <f ca="1">[1]!BexGetData("DP_1","003N8EMH8GTFRCSWKMPXRRXR2","GSON1112080180")</f>
        <v>#NAME?</v>
      </c>
      <c r="H1050" s="8" t="e">
        <f ca="1">[1]!BexGetData("DP_1","003N8EMH8GTFRCSWKMPXRS42M","GSON1112080180")</f>
        <v>#NAME?</v>
      </c>
      <c r="I1050" s="3" t="e">
        <f ca="1">[1]!BexGetData("DP_1","003N8EMH8GTFRCSWKMPXRSAE6","GSON1112080180")</f>
        <v>#NAME?</v>
      </c>
      <c r="J1050" s="4" t="e">
        <f ca="1">[1]!BexGetData("DP_1","003N8EMH8GTFRCSWKMPXRSGPQ","GSON1112080180")</f>
        <v>#NAME?</v>
      </c>
      <c r="K1050" s="3" t="e">
        <f ca="1">[1]!BexGetData("DP_1","003N8EMH8GTFRIVNUPY288VJH","GSON1112080180")</f>
        <v>#NAME?</v>
      </c>
      <c r="L1050" s="3" t="e">
        <f ca="1">[1]!BexGetData("DP_1","003N8EMH8GTFRIVNUPY2891V1","GSON1112080180")</f>
        <v>#NAME?</v>
      </c>
      <c r="M1050" s="3" t="e">
        <f ca="1">[1]!BexGetData("DP_1","003N8EMH8GTFRIVOG7KG9IQXA","GSON1112080180")</f>
        <v>#NAME?</v>
      </c>
      <c r="N1050" s="8" t="e">
        <f ca="1">[1]!BexGetData("DP_1","003N8EMH8GTFRIVOG7KG9IX8U","GSON1112080180")</f>
        <v>#NAME?</v>
      </c>
      <c r="O1050" s="3" t="e">
        <f ca="1">[1]!BexGetData("DP_1","003N8EMH8GTFRIVOG7KG9J3KE","GSON1112080180")</f>
        <v>#NAME?</v>
      </c>
      <c r="P1050" s="8" t="e">
        <f ca="1">[1]!BexGetData("DP_1","003N8EMH8GTFRIVOG7KG9J9VY","GSON1112080180")</f>
        <v>#NAME?</v>
      </c>
      <c r="Q1050" s="4" t="e">
        <f ca="1">[1]!BexGetData("DP_1","00O2TNJGODT0G5Z4TTKYMM5MT","GSON1112080180")</f>
        <v>#NAME?</v>
      </c>
      <c r="R1050" s="3" t="e">
        <f ca="1">[1]!BexGetData("DP_1","00O2TNJGODT0G5Z4TTKYMMBYD","GSON1112080180")</f>
        <v>#NAME?</v>
      </c>
      <c r="S1050" s="3" t="e">
        <f ca="1">[1]!BexGetData("DP_1","00O2TNJGODT0G5Z4TTKYMMI9X","GSON1112080180")</f>
        <v>#NAME?</v>
      </c>
      <c r="T1050" s="8" t="e">
        <f ca="1">[1]!BexGetData("DP_1","00O2TNJGODT0G5Z4TTKYMMOLH","GSON1112080180")</f>
        <v>#NAME?</v>
      </c>
      <c r="U1050" s="3" t="e">
        <f ca="1">[1]!BexGetData("DP_1","00O2TNJGODT0G5Z4TTKYMMUX1","GSON1112080180")</f>
        <v>#NAME?</v>
      </c>
      <c r="V1050" s="8" t="e">
        <f ca="1">[1]!BexGetData("DP_1","00O2TNJGODT0G5Z4TTKYMN18L","GSON1112080180")</f>
        <v>#NAME?</v>
      </c>
      <c r="W1050" s="3" t="e">
        <f ca="1">[1]!BexGetData("DP_1","00O2TNJGODT0G5Z4TTKYMN7K5","GSON1112080180")</f>
        <v>#NAME?</v>
      </c>
    </row>
    <row r="1051" spans="1:23" x14ac:dyDescent="0.2">
      <c r="A1051" s="16" t="s">
        <v>232</v>
      </c>
      <c r="B1051" s="7" t="s">
        <v>233</v>
      </c>
      <c r="C1051" s="3" t="e">
        <f ca="1">[1]!BexGetData("DP_1","003N8EMH8GTFRCSWKMPXRR8GU","GSON1112080181")</f>
        <v>#NAME?</v>
      </c>
      <c r="D1051" s="3" t="e">
        <f ca="1">[1]!BexGetData("DP_1","003N8EMH8GTFRCSWKMPXRRESE","GSON1112080181")</f>
        <v>#NAME?</v>
      </c>
      <c r="E1051" s="3" t="e">
        <f ca="1">[1]!BexGetData("DP_1","003N8EMH8GTFRCSWKMPXRRL3Y","GSON1112080181")</f>
        <v>#NAME?</v>
      </c>
      <c r="F1051" s="3" t="e">
        <f ca="1">[1]!BexGetData("DP_1","003N8EMH8GTFRCSWKMPXRRRFI","GSON1112080181")</f>
        <v>#NAME?</v>
      </c>
      <c r="G1051" s="3" t="e">
        <f ca="1">[1]!BexGetData("DP_1","003N8EMH8GTFRCSWKMPXRRXR2","GSON1112080181")</f>
        <v>#NAME?</v>
      </c>
      <c r="H1051" s="8" t="e">
        <f ca="1">[1]!BexGetData("DP_1","003N8EMH8GTFRCSWKMPXRS42M","GSON1112080181")</f>
        <v>#NAME?</v>
      </c>
      <c r="I1051" s="3" t="e">
        <f ca="1">[1]!BexGetData("DP_1","003N8EMH8GTFRCSWKMPXRSAE6","GSON1112080181")</f>
        <v>#NAME?</v>
      </c>
      <c r="J1051" s="4" t="e">
        <f ca="1">[1]!BexGetData("DP_1","003N8EMH8GTFRCSWKMPXRSGPQ","GSON1112080181")</f>
        <v>#NAME?</v>
      </c>
      <c r="K1051" s="3" t="e">
        <f ca="1">[1]!BexGetData("DP_1","003N8EMH8GTFRIVNUPY288VJH","GSON1112080181")</f>
        <v>#NAME?</v>
      </c>
      <c r="L1051" s="3" t="e">
        <f ca="1">[1]!BexGetData("DP_1","003N8EMH8GTFRIVNUPY2891V1","GSON1112080181")</f>
        <v>#NAME?</v>
      </c>
      <c r="M1051" s="8" t="e">
        <f ca="1">[1]!BexGetData("DP_1","003N8EMH8GTFRIVOG7KG9IQXA","GSON1112080181")</f>
        <v>#NAME?</v>
      </c>
      <c r="N1051" s="3" t="e">
        <f ca="1">[1]!BexGetData("DP_1","003N8EMH8GTFRIVOG7KG9IX8U","GSON1112080181")</f>
        <v>#NAME?</v>
      </c>
      <c r="O1051" s="8" t="e">
        <f ca="1">[1]!BexGetData("DP_1","003N8EMH8GTFRIVOG7KG9J3KE","GSON1112080181")</f>
        <v>#NAME?</v>
      </c>
      <c r="P1051" s="3" t="e">
        <f ca="1">[1]!BexGetData("DP_1","003N8EMH8GTFRIVOG7KG9J9VY","GSON1112080181")</f>
        <v>#NAME?</v>
      </c>
      <c r="Q1051" s="4" t="e">
        <f ca="1">[1]!BexGetData("DP_1","00O2TNJGODT0G5Z4TTKYMM5MT","GSON1112080181")</f>
        <v>#NAME?</v>
      </c>
      <c r="R1051" s="3" t="e">
        <f ca="1">[1]!BexGetData("DP_1","00O2TNJGODT0G5Z4TTKYMMBYD","GSON1112080181")</f>
        <v>#NAME?</v>
      </c>
      <c r="S1051" s="3" t="e">
        <f ca="1">[1]!BexGetData("DP_1","00O2TNJGODT0G5Z4TTKYMMI9X","GSON1112080181")</f>
        <v>#NAME?</v>
      </c>
      <c r="T1051" s="8" t="e">
        <f ca="1">[1]!BexGetData("DP_1","00O2TNJGODT0G5Z4TTKYMMOLH","GSON1112080181")</f>
        <v>#NAME?</v>
      </c>
      <c r="U1051" s="3" t="e">
        <f ca="1">[1]!BexGetData("DP_1","00O2TNJGODT0G5Z4TTKYMMUX1","GSON1112080181")</f>
        <v>#NAME?</v>
      </c>
      <c r="V1051" s="8" t="e">
        <f ca="1">[1]!BexGetData("DP_1","00O2TNJGODT0G5Z4TTKYMN18L","GSON1112080181")</f>
        <v>#NAME?</v>
      </c>
      <c r="W1051" s="3" t="e">
        <f ca="1">[1]!BexGetData("DP_1","00O2TNJGODT0G5Z4TTKYMN7K5","GSON1112080181")</f>
        <v>#NAME?</v>
      </c>
    </row>
    <row r="1052" spans="1:23" x14ac:dyDescent="0.2">
      <c r="A1052" s="16" t="s">
        <v>234</v>
      </c>
      <c r="B1052" s="7" t="s">
        <v>235</v>
      </c>
      <c r="C1052" s="3" t="e">
        <f ca="1">[1]!BexGetData("DP_1","003N8EMH8GTFRCSWKMPXRR8GU","GSON1112080183")</f>
        <v>#NAME?</v>
      </c>
      <c r="D1052" s="3" t="e">
        <f ca="1">[1]!BexGetData("DP_1","003N8EMH8GTFRCSWKMPXRRESE","GSON1112080183")</f>
        <v>#NAME?</v>
      </c>
      <c r="E1052" s="8" t="e">
        <f ca="1">[1]!BexGetData("DP_1","003N8EMH8GTFRCSWKMPXRRL3Y","GSON1112080183")</f>
        <v>#NAME?</v>
      </c>
      <c r="F1052" s="4" t="e">
        <f ca="1">[1]!BexGetData("DP_1","003N8EMH8GTFRCSWKMPXRRRFI","GSON1112080183")</f>
        <v>#NAME?</v>
      </c>
      <c r="G1052" s="4" t="e">
        <f ca="1">[1]!BexGetData("DP_1","003N8EMH8GTFRCSWKMPXRRXR2","GSON1112080183")</f>
        <v>#NAME?</v>
      </c>
      <c r="H1052" s="4" t="e">
        <f ca="1">[1]!BexGetData("DP_1","003N8EMH8GTFRCSWKMPXRS42M","GSON1112080183")</f>
        <v>#NAME?</v>
      </c>
      <c r="I1052" s="4" t="e">
        <f ca="1">[1]!BexGetData("DP_1","003N8EMH8GTFRCSWKMPXRSAE6","GSON1112080183")</f>
        <v>#NAME?</v>
      </c>
      <c r="J1052" s="4" t="e">
        <f ca="1">[1]!BexGetData("DP_1","003N8EMH8GTFRCSWKMPXRSGPQ","GSON1112080183")</f>
        <v>#NAME?</v>
      </c>
      <c r="K1052" s="8" t="e">
        <f ca="1">[1]!BexGetData("DP_1","003N8EMH8GTFRIVNUPY288VJH","GSON1112080183")</f>
        <v>#NAME?</v>
      </c>
      <c r="L1052" s="8" t="e">
        <f ca="1">[1]!BexGetData("DP_1","003N8EMH8GTFRIVNUPY2891V1","GSON1112080183")</f>
        <v>#NAME?</v>
      </c>
      <c r="M1052" s="8" t="e">
        <f ca="1">[1]!BexGetData("DP_1","003N8EMH8GTFRIVOG7KG9IQXA","GSON1112080183")</f>
        <v>#NAME?</v>
      </c>
      <c r="N1052" s="8" t="e">
        <f ca="1">[1]!BexGetData("DP_1","003N8EMH8GTFRIVOG7KG9IX8U","GSON1112080183")</f>
        <v>#NAME?</v>
      </c>
      <c r="O1052" s="8" t="e">
        <f ca="1">[1]!BexGetData("DP_1","003N8EMH8GTFRIVOG7KG9J3KE","GSON1112080183")</f>
        <v>#NAME?</v>
      </c>
      <c r="P1052" s="8" t="e">
        <f ca="1">[1]!BexGetData("DP_1","003N8EMH8GTFRIVOG7KG9J9VY","GSON1112080183")</f>
        <v>#NAME?</v>
      </c>
      <c r="Q1052" s="4" t="e">
        <f ca="1">[1]!BexGetData("DP_1","00O2TNJGODT0G5Z4TTKYMM5MT","GSON1112080183")</f>
        <v>#NAME?</v>
      </c>
      <c r="R1052" s="4" t="e">
        <f ca="1">[1]!BexGetData("DP_1","00O2TNJGODT0G5Z4TTKYMMBYD","GSON1112080183")</f>
        <v>#NAME?</v>
      </c>
      <c r="S1052" s="4" t="e">
        <f ca="1">[1]!BexGetData("DP_1","00O2TNJGODT0G5Z4TTKYMMI9X","GSON1112080183")</f>
        <v>#NAME?</v>
      </c>
      <c r="T1052" s="4" t="e">
        <f ca="1">[1]!BexGetData("DP_1","00O2TNJGODT0G5Z4TTKYMMOLH","GSON1112080183")</f>
        <v>#NAME?</v>
      </c>
      <c r="U1052" s="4" t="e">
        <f ca="1">[1]!BexGetData("DP_1","00O2TNJGODT0G5Z4TTKYMMUX1","GSON1112080183")</f>
        <v>#NAME?</v>
      </c>
      <c r="V1052" s="4" t="e">
        <f ca="1">[1]!BexGetData("DP_1","00O2TNJGODT0G5Z4TTKYMN18L","GSON1112080183")</f>
        <v>#NAME?</v>
      </c>
      <c r="W1052" s="4" t="e">
        <f ca="1">[1]!BexGetData("DP_1","00O2TNJGODT0G5Z4TTKYMN7K5","GSON1112080183")</f>
        <v>#NAME?</v>
      </c>
    </row>
    <row r="1053" spans="1:23" x14ac:dyDescent="0.2">
      <c r="A1053" s="16" t="s">
        <v>236</v>
      </c>
      <c r="B1053" s="7" t="s">
        <v>237</v>
      </c>
      <c r="C1053" s="8" t="e">
        <f ca="1">[1]!BexGetData("DP_1","003N8EMH8GTFRCSWKMPXRR8GU","GSON1112080190")</f>
        <v>#NAME?</v>
      </c>
      <c r="D1053" s="3" t="e">
        <f ca="1">[1]!BexGetData("DP_1","003N8EMH8GTFRCSWKMPXRRESE","GSON1112080190")</f>
        <v>#NAME?</v>
      </c>
      <c r="E1053" s="8" t="e">
        <f ca="1">[1]!BexGetData("DP_1","003N8EMH8GTFRCSWKMPXRRL3Y","GSON1112080190")</f>
        <v>#NAME?</v>
      </c>
      <c r="F1053" s="3" t="e">
        <f ca="1">[1]!BexGetData("DP_1","003N8EMH8GTFRCSWKMPXRRRFI","GSON1112080190")</f>
        <v>#NAME?</v>
      </c>
      <c r="G1053" s="3" t="e">
        <f ca="1">[1]!BexGetData("DP_1","003N8EMH8GTFRCSWKMPXRRXR2","GSON1112080190")</f>
        <v>#NAME?</v>
      </c>
      <c r="H1053" s="8" t="e">
        <f ca="1">[1]!BexGetData("DP_1","003N8EMH8GTFRCSWKMPXRS42M","GSON1112080190")</f>
        <v>#NAME?</v>
      </c>
      <c r="I1053" s="3" t="e">
        <f ca="1">[1]!BexGetData("DP_1","003N8EMH8GTFRCSWKMPXRSAE6","GSON1112080190")</f>
        <v>#NAME?</v>
      </c>
      <c r="J1053" s="4" t="e">
        <f ca="1">[1]!BexGetData("DP_1","003N8EMH8GTFRCSWKMPXRSGPQ","GSON1112080190")</f>
        <v>#NAME?</v>
      </c>
      <c r="K1053" s="3" t="e">
        <f ca="1">[1]!BexGetData("DP_1","003N8EMH8GTFRIVNUPY288VJH","GSON1112080190")</f>
        <v>#NAME?</v>
      </c>
      <c r="L1053" s="3" t="e">
        <f ca="1">[1]!BexGetData("DP_1","003N8EMH8GTFRIVNUPY2891V1","GSON1112080190")</f>
        <v>#NAME?</v>
      </c>
      <c r="M1053" s="3" t="e">
        <f ca="1">[1]!BexGetData("DP_1","003N8EMH8GTFRIVOG7KG9IQXA","GSON1112080190")</f>
        <v>#NAME?</v>
      </c>
      <c r="N1053" s="8" t="e">
        <f ca="1">[1]!BexGetData("DP_1","003N8EMH8GTFRIVOG7KG9IX8U","GSON1112080190")</f>
        <v>#NAME?</v>
      </c>
      <c r="O1053" s="3" t="e">
        <f ca="1">[1]!BexGetData("DP_1","003N8EMH8GTFRIVOG7KG9J3KE","GSON1112080190")</f>
        <v>#NAME?</v>
      </c>
      <c r="P1053" s="8" t="e">
        <f ca="1">[1]!BexGetData("DP_1","003N8EMH8GTFRIVOG7KG9J9VY","GSON1112080190")</f>
        <v>#NAME?</v>
      </c>
      <c r="Q1053" s="4" t="e">
        <f ca="1">[1]!BexGetData("DP_1","00O2TNJGODT0G5Z4TTKYMM5MT","GSON1112080190")</f>
        <v>#NAME?</v>
      </c>
      <c r="R1053" s="3" t="e">
        <f ca="1">[1]!BexGetData("DP_1","00O2TNJGODT0G5Z4TTKYMMBYD","GSON1112080190")</f>
        <v>#NAME?</v>
      </c>
      <c r="S1053" s="3" t="e">
        <f ca="1">[1]!BexGetData("DP_1","00O2TNJGODT0G5Z4TTKYMMI9X","GSON1112080190")</f>
        <v>#NAME?</v>
      </c>
      <c r="T1053" s="8" t="e">
        <f ca="1">[1]!BexGetData("DP_1","00O2TNJGODT0G5Z4TTKYMMOLH","GSON1112080190")</f>
        <v>#NAME?</v>
      </c>
      <c r="U1053" s="3" t="e">
        <f ca="1">[1]!BexGetData("DP_1","00O2TNJGODT0G5Z4TTKYMMUX1","GSON1112080190")</f>
        <v>#NAME?</v>
      </c>
      <c r="V1053" s="8" t="e">
        <f ca="1">[1]!BexGetData("DP_1","00O2TNJGODT0G5Z4TTKYMN18L","GSON1112080190")</f>
        <v>#NAME?</v>
      </c>
      <c r="W1053" s="3" t="e">
        <f ca="1">[1]!BexGetData("DP_1","00O2TNJGODT0G5Z4TTKYMN7K5","GSON1112080190")</f>
        <v>#NAME?</v>
      </c>
    </row>
    <row r="1054" spans="1:23" x14ac:dyDescent="0.2">
      <c r="A1054" s="16" t="s">
        <v>238</v>
      </c>
      <c r="B1054" s="7" t="s">
        <v>239</v>
      </c>
      <c r="C1054" s="3" t="e">
        <f ca="1">[1]!BexGetData("DP_1","003N8EMH8GTFRCSWKMPXRR8GU","GSON1112080193")</f>
        <v>#NAME?</v>
      </c>
      <c r="D1054" s="3" t="e">
        <f ca="1">[1]!BexGetData("DP_1","003N8EMH8GTFRCSWKMPXRRESE","GSON1112080193")</f>
        <v>#NAME?</v>
      </c>
      <c r="E1054" s="8" t="e">
        <f ca="1">[1]!BexGetData("DP_1","003N8EMH8GTFRCSWKMPXRRL3Y","GSON1112080193")</f>
        <v>#NAME?</v>
      </c>
      <c r="F1054" s="4" t="e">
        <f ca="1">[1]!BexGetData("DP_1","003N8EMH8GTFRCSWKMPXRRRFI","GSON1112080193")</f>
        <v>#NAME?</v>
      </c>
      <c r="G1054" s="4" t="e">
        <f ca="1">[1]!BexGetData("DP_1","003N8EMH8GTFRCSWKMPXRRXR2","GSON1112080193")</f>
        <v>#NAME?</v>
      </c>
      <c r="H1054" s="4" t="e">
        <f ca="1">[1]!BexGetData("DP_1","003N8EMH8GTFRCSWKMPXRS42M","GSON1112080193")</f>
        <v>#NAME?</v>
      </c>
      <c r="I1054" s="4" t="e">
        <f ca="1">[1]!BexGetData("DP_1","003N8EMH8GTFRCSWKMPXRSAE6","GSON1112080193")</f>
        <v>#NAME?</v>
      </c>
      <c r="J1054" s="4" t="e">
        <f ca="1">[1]!BexGetData("DP_1","003N8EMH8GTFRCSWKMPXRSGPQ","GSON1112080193")</f>
        <v>#NAME?</v>
      </c>
      <c r="K1054" s="8" t="e">
        <f ca="1">[1]!BexGetData("DP_1","003N8EMH8GTFRIVNUPY288VJH","GSON1112080193")</f>
        <v>#NAME?</v>
      </c>
      <c r="L1054" s="8" t="e">
        <f ca="1">[1]!BexGetData("DP_1","003N8EMH8GTFRIVNUPY2891V1","GSON1112080193")</f>
        <v>#NAME?</v>
      </c>
      <c r="M1054" s="8" t="e">
        <f ca="1">[1]!BexGetData("DP_1","003N8EMH8GTFRIVOG7KG9IQXA","GSON1112080193")</f>
        <v>#NAME?</v>
      </c>
      <c r="N1054" s="8" t="e">
        <f ca="1">[1]!BexGetData("DP_1","003N8EMH8GTFRIVOG7KG9IX8U","GSON1112080193")</f>
        <v>#NAME?</v>
      </c>
      <c r="O1054" s="8" t="e">
        <f ca="1">[1]!BexGetData("DP_1","003N8EMH8GTFRIVOG7KG9J3KE","GSON1112080193")</f>
        <v>#NAME?</v>
      </c>
      <c r="P1054" s="8" t="e">
        <f ca="1">[1]!BexGetData("DP_1","003N8EMH8GTFRIVOG7KG9J9VY","GSON1112080193")</f>
        <v>#NAME?</v>
      </c>
      <c r="Q1054" s="4" t="e">
        <f ca="1">[1]!BexGetData("DP_1","00O2TNJGODT0G5Z4TTKYMM5MT","GSON1112080193")</f>
        <v>#NAME?</v>
      </c>
      <c r="R1054" s="4" t="e">
        <f ca="1">[1]!BexGetData("DP_1","00O2TNJGODT0G5Z4TTKYMMBYD","GSON1112080193")</f>
        <v>#NAME?</v>
      </c>
      <c r="S1054" s="4" t="e">
        <f ca="1">[1]!BexGetData("DP_1","00O2TNJGODT0G5Z4TTKYMMI9X","GSON1112080193")</f>
        <v>#NAME?</v>
      </c>
      <c r="T1054" s="4" t="e">
        <f ca="1">[1]!BexGetData("DP_1","00O2TNJGODT0G5Z4TTKYMMOLH","GSON1112080193")</f>
        <v>#NAME?</v>
      </c>
      <c r="U1054" s="4" t="e">
        <f ca="1">[1]!BexGetData("DP_1","00O2TNJGODT0G5Z4TTKYMMUX1","GSON1112080193")</f>
        <v>#NAME?</v>
      </c>
      <c r="V1054" s="4" t="e">
        <f ca="1">[1]!BexGetData("DP_1","00O2TNJGODT0G5Z4TTKYMN18L","GSON1112080193")</f>
        <v>#NAME?</v>
      </c>
      <c r="W1054" s="4" t="e">
        <f ca="1">[1]!BexGetData("DP_1","00O2TNJGODT0G5Z4TTKYMN7K5","GSON1112080193")</f>
        <v>#NAME?</v>
      </c>
    </row>
    <row r="1055" spans="1:23" x14ac:dyDescent="0.2">
      <c r="A1055" s="16" t="s">
        <v>240</v>
      </c>
      <c r="B1055" s="7" t="s">
        <v>241</v>
      </c>
      <c r="C1055" s="8" t="e">
        <f ca="1">[1]!BexGetData("DP_1","003N8EMH8GTFRCSWKMPXRR8GU","GSON1112080200")</f>
        <v>#NAME?</v>
      </c>
      <c r="D1055" s="3" t="e">
        <f ca="1">[1]!BexGetData("DP_1","003N8EMH8GTFRCSWKMPXRRESE","GSON1112080200")</f>
        <v>#NAME?</v>
      </c>
      <c r="E1055" s="8" t="e">
        <f ca="1">[1]!BexGetData("DP_1","003N8EMH8GTFRCSWKMPXRRL3Y","GSON1112080200")</f>
        <v>#NAME?</v>
      </c>
      <c r="F1055" s="3" t="e">
        <f ca="1">[1]!BexGetData("DP_1","003N8EMH8GTFRCSWKMPXRRRFI","GSON1112080200")</f>
        <v>#NAME?</v>
      </c>
      <c r="G1055" s="3" t="e">
        <f ca="1">[1]!BexGetData("DP_1","003N8EMH8GTFRCSWKMPXRRXR2","GSON1112080200")</f>
        <v>#NAME?</v>
      </c>
      <c r="H1055" s="8" t="e">
        <f ca="1">[1]!BexGetData("DP_1","003N8EMH8GTFRCSWKMPXRS42M","GSON1112080200")</f>
        <v>#NAME?</v>
      </c>
      <c r="I1055" s="3" t="e">
        <f ca="1">[1]!BexGetData("DP_1","003N8EMH8GTFRCSWKMPXRSAE6","GSON1112080200")</f>
        <v>#NAME?</v>
      </c>
      <c r="J1055" s="4" t="e">
        <f ca="1">[1]!BexGetData("DP_1","003N8EMH8GTFRCSWKMPXRSGPQ","GSON1112080200")</f>
        <v>#NAME?</v>
      </c>
      <c r="K1055" s="3" t="e">
        <f ca="1">[1]!BexGetData("DP_1","003N8EMH8GTFRIVNUPY288VJH","GSON1112080200")</f>
        <v>#NAME?</v>
      </c>
      <c r="L1055" s="3" t="e">
        <f ca="1">[1]!BexGetData("DP_1","003N8EMH8GTFRIVNUPY2891V1","GSON1112080200")</f>
        <v>#NAME?</v>
      </c>
      <c r="M1055" s="3" t="e">
        <f ca="1">[1]!BexGetData("DP_1","003N8EMH8GTFRIVOG7KG9IQXA","GSON1112080200")</f>
        <v>#NAME?</v>
      </c>
      <c r="N1055" s="8" t="e">
        <f ca="1">[1]!BexGetData("DP_1","003N8EMH8GTFRIVOG7KG9IX8U","GSON1112080200")</f>
        <v>#NAME?</v>
      </c>
      <c r="O1055" s="3" t="e">
        <f ca="1">[1]!BexGetData("DP_1","003N8EMH8GTFRIVOG7KG9J3KE","GSON1112080200")</f>
        <v>#NAME?</v>
      </c>
      <c r="P1055" s="8" t="e">
        <f ca="1">[1]!BexGetData("DP_1","003N8EMH8GTFRIVOG7KG9J9VY","GSON1112080200")</f>
        <v>#NAME?</v>
      </c>
      <c r="Q1055" s="4" t="e">
        <f ca="1">[1]!BexGetData("DP_1","00O2TNJGODT0G5Z4TTKYMM5MT","GSON1112080200")</f>
        <v>#NAME?</v>
      </c>
      <c r="R1055" s="3" t="e">
        <f ca="1">[1]!BexGetData("DP_1","00O2TNJGODT0G5Z4TTKYMMBYD","GSON1112080200")</f>
        <v>#NAME?</v>
      </c>
      <c r="S1055" s="3" t="e">
        <f ca="1">[1]!BexGetData("DP_1","00O2TNJGODT0G5Z4TTKYMMI9X","GSON1112080200")</f>
        <v>#NAME?</v>
      </c>
      <c r="T1055" s="8" t="e">
        <f ca="1">[1]!BexGetData("DP_1","00O2TNJGODT0G5Z4TTKYMMOLH","GSON1112080200")</f>
        <v>#NAME?</v>
      </c>
      <c r="U1055" s="3" t="e">
        <f ca="1">[1]!BexGetData("DP_1","00O2TNJGODT0G5Z4TTKYMMUX1","GSON1112080200")</f>
        <v>#NAME?</v>
      </c>
      <c r="V1055" s="8" t="e">
        <f ca="1">[1]!BexGetData("DP_1","00O2TNJGODT0G5Z4TTKYMN18L","GSON1112080200")</f>
        <v>#NAME?</v>
      </c>
      <c r="W1055" s="3" t="e">
        <f ca="1">[1]!BexGetData("DP_1","00O2TNJGODT0G5Z4TTKYMN7K5","GSON1112080200")</f>
        <v>#NAME?</v>
      </c>
    </row>
    <row r="1056" spans="1:23" x14ac:dyDescent="0.2">
      <c r="A1056" s="16" t="s">
        <v>242</v>
      </c>
      <c r="B1056" s="7" t="s">
        <v>243</v>
      </c>
      <c r="C1056" s="8" t="e">
        <f ca="1">[1]!BexGetData("DP_1","003N8EMH8GTFRCSWKMPXRR8GU","GSON1112080201")</f>
        <v>#NAME?</v>
      </c>
      <c r="D1056" s="8" t="e">
        <f ca="1">[1]!BexGetData("DP_1","003N8EMH8GTFRCSWKMPXRRESE","GSON1112080201")</f>
        <v>#NAME?</v>
      </c>
      <c r="E1056" s="3" t="e">
        <f ca="1">[1]!BexGetData("DP_1","003N8EMH8GTFRCSWKMPXRRL3Y","GSON1112080201")</f>
        <v>#NAME?</v>
      </c>
      <c r="F1056" s="3" t="e">
        <f ca="1">[1]!BexGetData("DP_1","003N8EMH8GTFRCSWKMPXRRRFI","GSON1112080201")</f>
        <v>#NAME?</v>
      </c>
      <c r="G1056" s="3" t="e">
        <f ca="1">[1]!BexGetData("DP_1","003N8EMH8GTFRCSWKMPXRRXR2","GSON1112080201")</f>
        <v>#NAME?</v>
      </c>
      <c r="H1056" s="8" t="e">
        <f ca="1">[1]!BexGetData("DP_1","003N8EMH8GTFRCSWKMPXRS42M","GSON1112080201")</f>
        <v>#NAME?</v>
      </c>
      <c r="I1056" s="3" t="e">
        <f ca="1">[1]!BexGetData("DP_1","003N8EMH8GTFRCSWKMPXRSAE6","GSON1112080201")</f>
        <v>#NAME?</v>
      </c>
      <c r="J1056" s="4" t="e">
        <f ca="1">[1]!BexGetData("DP_1","003N8EMH8GTFRCSWKMPXRSGPQ","GSON1112080201")</f>
        <v>#NAME?</v>
      </c>
      <c r="K1056" s="8" t="e">
        <f ca="1">[1]!BexGetData("DP_1","003N8EMH8GTFRIVNUPY288VJH","GSON1112080201")</f>
        <v>#NAME?</v>
      </c>
      <c r="L1056" s="8" t="e">
        <f ca="1">[1]!BexGetData("DP_1","003N8EMH8GTFRIVNUPY2891V1","GSON1112080201")</f>
        <v>#NAME?</v>
      </c>
      <c r="M1056" s="8" t="e">
        <f ca="1">[1]!BexGetData("DP_1","003N8EMH8GTFRIVOG7KG9IQXA","GSON1112080201")</f>
        <v>#NAME?</v>
      </c>
      <c r="N1056" s="8" t="e">
        <f ca="1">[1]!BexGetData("DP_1","003N8EMH8GTFRIVOG7KG9IX8U","GSON1112080201")</f>
        <v>#NAME?</v>
      </c>
      <c r="O1056" s="8" t="e">
        <f ca="1">[1]!BexGetData("DP_1","003N8EMH8GTFRIVOG7KG9J3KE","GSON1112080201")</f>
        <v>#NAME?</v>
      </c>
      <c r="P1056" s="8" t="e">
        <f ca="1">[1]!BexGetData("DP_1","003N8EMH8GTFRIVOG7KG9J9VY","GSON1112080201")</f>
        <v>#NAME?</v>
      </c>
      <c r="Q1056" s="4" t="e">
        <f ca="1">[1]!BexGetData("DP_1","00O2TNJGODT0G5Z4TTKYMM5MT","GSON1112080201")</f>
        <v>#NAME?</v>
      </c>
      <c r="R1056" s="3" t="e">
        <f ca="1">[1]!BexGetData("DP_1","00O2TNJGODT0G5Z4TTKYMMBYD","GSON1112080201")</f>
        <v>#NAME?</v>
      </c>
      <c r="S1056" s="3" t="e">
        <f ca="1">[1]!BexGetData("DP_1","00O2TNJGODT0G5Z4TTKYMMI9X","GSON1112080201")</f>
        <v>#NAME?</v>
      </c>
      <c r="T1056" s="8" t="e">
        <f ca="1">[1]!BexGetData("DP_1","00O2TNJGODT0G5Z4TTKYMMOLH","GSON1112080201")</f>
        <v>#NAME?</v>
      </c>
      <c r="U1056" s="3" t="e">
        <f ca="1">[1]!BexGetData("DP_1","00O2TNJGODT0G5Z4TTKYMMUX1","GSON1112080201")</f>
        <v>#NAME?</v>
      </c>
      <c r="V1056" s="8" t="e">
        <f ca="1">[1]!BexGetData("DP_1","00O2TNJGODT0G5Z4TTKYMN18L","GSON1112080201")</f>
        <v>#NAME?</v>
      </c>
      <c r="W1056" s="3" t="e">
        <f ca="1">[1]!BexGetData("DP_1","00O2TNJGODT0G5Z4TTKYMN7K5","GSON1112080201")</f>
        <v>#NAME?</v>
      </c>
    </row>
    <row r="1057" spans="1:23" x14ac:dyDescent="0.2">
      <c r="A1057" s="16" t="s">
        <v>244</v>
      </c>
      <c r="B1057" s="7" t="s">
        <v>245</v>
      </c>
      <c r="C1057" s="3" t="e">
        <f ca="1">[1]!BexGetData("DP_1","003N8EMH8GTFRCSWKMPXRR8GU","GSON1112080203")</f>
        <v>#NAME?</v>
      </c>
      <c r="D1057" s="3" t="e">
        <f ca="1">[1]!BexGetData("DP_1","003N8EMH8GTFRCSWKMPXRRESE","GSON1112080203")</f>
        <v>#NAME?</v>
      </c>
      <c r="E1057" s="8" t="e">
        <f ca="1">[1]!BexGetData("DP_1","003N8EMH8GTFRCSWKMPXRRL3Y","GSON1112080203")</f>
        <v>#NAME?</v>
      </c>
      <c r="F1057" s="4" t="e">
        <f ca="1">[1]!BexGetData("DP_1","003N8EMH8GTFRCSWKMPXRRRFI","GSON1112080203")</f>
        <v>#NAME?</v>
      </c>
      <c r="G1057" s="4" t="e">
        <f ca="1">[1]!BexGetData("DP_1","003N8EMH8GTFRCSWKMPXRRXR2","GSON1112080203")</f>
        <v>#NAME?</v>
      </c>
      <c r="H1057" s="4" t="e">
        <f ca="1">[1]!BexGetData("DP_1","003N8EMH8GTFRCSWKMPXRS42M","GSON1112080203")</f>
        <v>#NAME?</v>
      </c>
      <c r="I1057" s="4" t="e">
        <f ca="1">[1]!BexGetData("DP_1","003N8EMH8GTFRCSWKMPXRSAE6","GSON1112080203")</f>
        <v>#NAME?</v>
      </c>
      <c r="J1057" s="4" t="e">
        <f ca="1">[1]!BexGetData("DP_1","003N8EMH8GTFRCSWKMPXRSGPQ","GSON1112080203")</f>
        <v>#NAME?</v>
      </c>
      <c r="K1057" s="8" t="e">
        <f ca="1">[1]!BexGetData("DP_1","003N8EMH8GTFRIVNUPY288VJH","GSON1112080203")</f>
        <v>#NAME?</v>
      </c>
      <c r="L1057" s="8" t="e">
        <f ca="1">[1]!BexGetData("DP_1","003N8EMH8GTFRIVNUPY2891V1","GSON1112080203")</f>
        <v>#NAME?</v>
      </c>
      <c r="M1057" s="8" t="e">
        <f ca="1">[1]!BexGetData("DP_1","003N8EMH8GTFRIVOG7KG9IQXA","GSON1112080203")</f>
        <v>#NAME?</v>
      </c>
      <c r="N1057" s="8" t="e">
        <f ca="1">[1]!BexGetData("DP_1","003N8EMH8GTFRIVOG7KG9IX8U","GSON1112080203")</f>
        <v>#NAME?</v>
      </c>
      <c r="O1057" s="8" t="e">
        <f ca="1">[1]!BexGetData("DP_1","003N8EMH8GTFRIVOG7KG9J3KE","GSON1112080203")</f>
        <v>#NAME?</v>
      </c>
      <c r="P1057" s="8" t="e">
        <f ca="1">[1]!BexGetData("DP_1","003N8EMH8GTFRIVOG7KG9J9VY","GSON1112080203")</f>
        <v>#NAME?</v>
      </c>
      <c r="Q1057" s="4" t="e">
        <f ca="1">[1]!BexGetData("DP_1","00O2TNJGODT0G5Z4TTKYMM5MT","GSON1112080203")</f>
        <v>#NAME?</v>
      </c>
      <c r="R1057" s="4" t="e">
        <f ca="1">[1]!BexGetData("DP_1","00O2TNJGODT0G5Z4TTKYMMBYD","GSON1112080203")</f>
        <v>#NAME?</v>
      </c>
      <c r="S1057" s="4" t="e">
        <f ca="1">[1]!BexGetData("DP_1","00O2TNJGODT0G5Z4TTKYMMI9X","GSON1112080203")</f>
        <v>#NAME?</v>
      </c>
      <c r="T1057" s="4" t="e">
        <f ca="1">[1]!BexGetData("DP_1","00O2TNJGODT0G5Z4TTKYMMOLH","GSON1112080203")</f>
        <v>#NAME?</v>
      </c>
      <c r="U1057" s="4" t="e">
        <f ca="1">[1]!BexGetData("DP_1","00O2TNJGODT0G5Z4TTKYMMUX1","GSON1112080203")</f>
        <v>#NAME?</v>
      </c>
      <c r="V1057" s="4" t="e">
        <f ca="1">[1]!BexGetData("DP_1","00O2TNJGODT0G5Z4TTKYMN18L","GSON1112080203")</f>
        <v>#NAME?</v>
      </c>
      <c r="W1057" s="4" t="e">
        <f ca="1">[1]!BexGetData("DP_1","00O2TNJGODT0G5Z4TTKYMN7K5","GSON1112080203")</f>
        <v>#NAME?</v>
      </c>
    </row>
    <row r="1058" spans="1:23" x14ac:dyDescent="0.2">
      <c r="A1058" s="16" t="s">
        <v>246</v>
      </c>
      <c r="B1058" s="7" t="s">
        <v>247</v>
      </c>
      <c r="C1058" s="3" t="e">
        <f ca="1">[1]!BexGetData("DP_1","003N8EMH8GTFRCSWKMPXRR8GU","GSON1112080210")</f>
        <v>#NAME?</v>
      </c>
      <c r="D1058" s="3" t="e">
        <f ca="1">[1]!BexGetData("DP_1","003N8EMH8GTFRCSWKMPXRRESE","GSON1112080210")</f>
        <v>#NAME?</v>
      </c>
      <c r="E1058" s="8" t="e">
        <f ca="1">[1]!BexGetData("DP_1","003N8EMH8GTFRCSWKMPXRRL3Y","GSON1112080210")</f>
        <v>#NAME?</v>
      </c>
      <c r="F1058" s="3" t="e">
        <f ca="1">[1]!BexGetData("DP_1","003N8EMH8GTFRCSWKMPXRRRFI","GSON1112080210")</f>
        <v>#NAME?</v>
      </c>
      <c r="G1058" s="3" t="e">
        <f ca="1">[1]!BexGetData("DP_1","003N8EMH8GTFRCSWKMPXRRXR2","GSON1112080210")</f>
        <v>#NAME?</v>
      </c>
      <c r="H1058" s="8" t="e">
        <f ca="1">[1]!BexGetData("DP_1","003N8EMH8GTFRCSWKMPXRS42M","GSON1112080210")</f>
        <v>#NAME?</v>
      </c>
      <c r="I1058" s="3" t="e">
        <f ca="1">[1]!BexGetData("DP_1","003N8EMH8GTFRCSWKMPXRSAE6","GSON1112080210")</f>
        <v>#NAME?</v>
      </c>
      <c r="J1058" s="4" t="e">
        <f ca="1">[1]!BexGetData("DP_1","003N8EMH8GTFRCSWKMPXRSGPQ","GSON1112080210")</f>
        <v>#NAME?</v>
      </c>
      <c r="K1058" s="3" t="e">
        <f ca="1">[1]!BexGetData("DP_1","003N8EMH8GTFRIVNUPY288VJH","GSON1112080210")</f>
        <v>#NAME?</v>
      </c>
      <c r="L1058" s="3" t="e">
        <f ca="1">[1]!BexGetData("DP_1","003N8EMH8GTFRIVNUPY2891V1","GSON1112080210")</f>
        <v>#NAME?</v>
      </c>
      <c r="M1058" s="3" t="e">
        <f ca="1">[1]!BexGetData("DP_1","003N8EMH8GTFRIVOG7KG9IQXA","GSON1112080210")</f>
        <v>#NAME?</v>
      </c>
      <c r="N1058" s="8" t="e">
        <f ca="1">[1]!BexGetData("DP_1","003N8EMH8GTFRIVOG7KG9IX8U","GSON1112080210")</f>
        <v>#NAME?</v>
      </c>
      <c r="O1058" s="3" t="e">
        <f ca="1">[1]!BexGetData("DP_1","003N8EMH8GTFRIVOG7KG9J3KE","GSON1112080210")</f>
        <v>#NAME?</v>
      </c>
      <c r="P1058" s="8" t="e">
        <f ca="1">[1]!BexGetData("DP_1","003N8EMH8GTFRIVOG7KG9J9VY","GSON1112080210")</f>
        <v>#NAME?</v>
      </c>
      <c r="Q1058" s="4" t="e">
        <f ca="1">[1]!BexGetData("DP_1","00O2TNJGODT0G5Z4TTKYMM5MT","GSON1112080210")</f>
        <v>#NAME?</v>
      </c>
      <c r="R1058" s="3" t="e">
        <f ca="1">[1]!BexGetData("DP_1","00O2TNJGODT0G5Z4TTKYMMBYD","GSON1112080210")</f>
        <v>#NAME?</v>
      </c>
      <c r="S1058" s="3" t="e">
        <f ca="1">[1]!BexGetData("DP_1","00O2TNJGODT0G5Z4TTKYMMI9X","GSON1112080210")</f>
        <v>#NAME?</v>
      </c>
      <c r="T1058" s="8" t="e">
        <f ca="1">[1]!BexGetData("DP_1","00O2TNJGODT0G5Z4TTKYMMOLH","GSON1112080210")</f>
        <v>#NAME?</v>
      </c>
      <c r="U1058" s="3" t="e">
        <f ca="1">[1]!BexGetData("DP_1","00O2TNJGODT0G5Z4TTKYMMUX1","GSON1112080210")</f>
        <v>#NAME?</v>
      </c>
      <c r="V1058" s="8" t="e">
        <f ca="1">[1]!BexGetData("DP_1","00O2TNJGODT0G5Z4TTKYMN18L","GSON1112080210")</f>
        <v>#NAME?</v>
      </c>
      <c r="W1058" s="3" t="e">
        <f ca="1">[1]!BexGetData("DP_1","00O2TNJGODT0G5Z4TTKYMN7K5","GSON1112080210")</f>
        <v>#NAME?</v>
      </c>
    </row>
    <row r="1059" spans="1:23" x14ac:dyDescent="0.2">
      <c r="A1059" s="16" t="s">
        <v>248</v>
      </c>
      <c r="B1059" s="7" t="s">
        <v>249</v>
      </c>
      <c r="C1059" s="8" t="e">
        <f ca="1">[1]!BexGetData("DP_1","003N8EMH8GTFRCSWKMPXRR8GU","GSON1112080211")</f>
        <v>#NAME?</v>
      </c>
      <c r="D1059" s="3" t="e">
        <f ca="1">[1]!BexGetData("DP_1","003N8EMH8GTFRCSWKMPXRRESE","GSON1112080211")</f>
        <v>#NAME?</v>
      </c>
      <c r="E1059" s="3" t="e">
        <f ca="1">[1]!BexGetData("DP_1","003N8EMH8GTFRCSWKMPXRRL3Y","GSON1112080211")</f>
        <v>#NAME?</v>
      </c>
      <c r="F1059" s="3" t="e">
        <f ca="1">[1]!BexGetData("DP_1","003N8EMH8GTFRCSWKMPXRRRFI","GSON1112080211")</f>
        <v>#NAME?</v>
      </c>
      <c r="G1059" s="3" t="e">
        <f ca="1">[1]!BexGetData("DP_1","003N8EMH8GTFRCSWKMPXRRXR2","GSON1112080211")</f>
        <v>#NAME?</v>
      </c>
      <c r="H1059" s="3" t="e">
        <f ca="1">[1]!BexGetData("DP_1","003N8EMH8GTFRCSWKMPXRS42M","GSON1112080211")</f>
        <v>#NAME?</v>
      </c>
      <c r="I1059" s="3" t="e">
        <f ca="1">[1]!BexGetData("DP_1","003N8EMH8GTFRCSWKMPXRSAE6","GSON1112080211")</f>
        <v>#NAME?</v>
      </c>
      <c r="J1059" s="4" t="e">
        <f ca="1">[1]!BexGetData("DP_1","003N8EMH8GTFRCSWKMPXRSGPQ","GSON1112080211")</f>
        <v>#NAME?</v>
      </c>
      <c r="K1059" s="3" t="e">
        <f ca="1">[1]!BexGetData("DP_1","003N8EMH8GTFRIVNUPY288VJH","GSON1112080211")</f>
        <v>#NAME?</v>
      </c>
      <c r="L1059" s="3" t="e">
        <f ca="1">[1]!BexGetData("DP_1","003N8EMH8GTFRIVNUPY2891V1","GSON1112080211")</f>
        <v>#NAME?</v>
      </c>
      <c r="M1059" s="3" t="e">
        <f ca="1">[1]!BexGetData("DP_1","003N8EMH8GTFRIVOG7KG9IQXA","GSON1112080211")</f>
        <v>#NAME?</v>
      </c>
      <c r="N1059" s="8" t="e">
        <f ca="1">[1]!BexGetData("DP_1","003N8EMH8GTFRIVOG7KG9IX8U","GSON1112080211")</f>
        <v>#NAME?</v>
      </c>
      <c r="O1059" s="3" t="e">
        <f ca="1">[1]!BexGetData("DP_1","003N8EMH8GTFRIVOG7KG9J3KE","GSON1112080211")</f>
        <v>#NAME?</v>
      </c>
      <c r="P1059" s="8" t="e">
        <f ca="1">[1]!BexGetData("DP_1","003N8EMH8GTFRIVOG7KG9J9VY","GSON1112080211")</f>
        <v>#NAME?</v>
      </c>
      <c r="Q1059" s="4" t="e">
        <f ca="1">[1]!BexGetData("DP_1","00O2TNJGODT0G5Z4TTKYMM5MT","GSON1112080211")</f>
        <v>#NAME?</v>
      </c>
      <c r="R1059" s="3" t="e">
        <f ca="1">[1]!BexGetData("DP_1","00O2TNJGODT0G5Z4TTKYMMBYD","GSON1112080211")</f>
        <v>#NAME?</v>
      </c>
      <c r="S1059" s="3" t="e">
        <f ca="1">[1]!BexGetData("DP_1","00O2TNJGODT0G5Z4TTKYMMI9X","GSON1112080211")</f>
        <v>#NAME?</v>
      </c>
      <c r="T1059" s="8" t="e">
        <f ca="1">[1]!BexGetData("DP_1","00O2TNJGODT0G5Z4TTKYMMOLH","GSON1112080211")</f>
        <v>#NAME?</v>
      </c>
      <c r="U1059" s="3" t="e">
        <f ca="1">[1]!BexGetData("DP_1","00O2TNJGODT0G5Z4TTKYMMUX1","GSON1112080211")</f>
        <v>#NAME?</v>
      </c>
      <c r="V1059" s="8" t="e">
        <f ca="1">[1]!BexGetData("DP_1","00O2TNJGODT0G5Z4TTKYMN18L","GSON1112080211")</f>
        <v>#NAME?</v>
      </c>
      <c r="W1059" s="3" t="e">
        <f ca="1">[1]!BexGetData("DP_1","00O2TNJGODT0G5Z4TTKYMN7K5","GSON1112080211")</f>
        <v>#NAME?</v>
      </c>
    </row>
    <row r="1060" spans="1:23" x14ac:dyDescent="0.2">
      <c r="A1060" s="16" t="s">
        <v>1604</v>
      </c>
      <c r="B1060" s="7" t="s">
        <v>1605</v>
      </c>
      <c r="C1060" s="3" t="e">
        <f ca="1">[1]!BexGetData("DP_1","003N8EMH8GTFRCSWKMPXRR8GU","GSON1112080213")</f>
        <v>#NAME?</v>
      </c>
      <c r="D1060" s="8" t="e">
        <f ca="1">[1]!BexGetData("DP_1","003N8EMH8GTFRCSWKMPXRRESE","GSON1112080213")</f>
        <v>#NAME?</v>
      </c>
      <c r="E1060" s="3" t="e">
        <f ca="1">[1]!BexGetData("DP_1","003N8EMH8GTFRCSWKMPXRRL3Y","GSON1112080213")</f>
        <v>#NAME?</v>
      </c>
      <c r="F1060" s="4" t="e">
        <f ca="1">[1]!BexGetData("DP_1","003N8EMH8GTFRCSWKMPXRRRFI","GSON1112080213")</f>
        <v>#NAME?</v>
      </c>
      <c r="G1060" s="4" t="e">
        <f ca="1">[1]!BexGetData("DP_1","003N8EMH8GTFRCSWKMPXRRXR2","GSON1112080213")</f>
        <v>#NAME?</v>
      </c>
      <c r="H1060" s="4" t="e">
        <f ca="1">[1]!BexGetData("DP_1","003N8EMH8GTFRCSWKMPXRS42M","GSON1112080213")</f>
        <v>#NAME?</v>
      </c>
      <c r="I1060" s="4" t="e">
        <f ca="1">[1]!BexGetData("DP_1","003N8EMH8GTFRCSWKMPXRSAE6","GSON1112080213")</f>
        <v>#NAME?</v>
      </c>
      <c r="J1060" s="4" t="e">
        <f ca="1">[1]!BexGetData("DP_1","003N8EMH8GTFRCSWKMPXRSGPQ","GSON1112080213")</f>
        <v>#NAME?</v>
      </c>
      <c r="K1060" s="3" t="e">
        <f ca="1">[1]!BexGetData("DP_1","003N8EMH8GTFRIVNUPY288VJH","GSON1112080213")</f>
        <v>#NAME?</v>
      </c>
      <c r="L1060" s="3" t="e">
        <f ca="1">[1]!BexGetData("DP_1","003N8EMH8GTFRIVNUPY2891V1","GSON1112080213")</f>
        <v>#NAME?</v>
      </c>
      <c r="M1060" s="8" t="e">
        <f ca="1">[1]!BexGetData("DP_1","003N8EMH8GTFRIVOG7KG9IQXA","GSON1112080213")</f>
        <v>#NAME?</v>
      </c>
      <c r="N1060" s="3" t="e">
        <f ca="1">[1]!BexGetData("DP_1","003N8EMH8GTFRIVOG7KG9IX8U","GSON1112080213")</f>
        <v>#NAME?</v>
      </c>
      <c r="O1060" s="8" t="e">
        <f ca="1">[1]!BexGetData("DP_1","003N8EMH8GTFRIVOG7KG9J3KE","GSON1112080213")</f>
        <v>#NAME?</v>
      </c>
      <c r="P1060" s="3" t="e">
        <f ca="1">[1]!BexGetData("DP_1","003N8EMH8GTFRIVOG7KG9J9VY","GSON1112080213")</f>
        <v>#NAME?</v>
      </c>
      <c r="Q1060" s="4" t="e">
        <f ca="1">[1]!BexGetData("DP_1","00O2TNJGODT0G5Z4TTKYMM5MT","GSON1112080213")</f>
        <v>#NAME?</v>
      </c>
      <c r="R1060" s="4" t="e">
        <f ca="1">[1]!BexGetData("DP_1","00O2TNJGODT0G5Z4TTKYMMBYD","GSON1112080213")</f>
        <v>#NAME?</v>
      </c>
      <c r="S1060" s="4" t="e">
        <f ca="1">[1]!BexGetData("DP_1","00O2TNJGODT0G5Z4TTKYMMI9X","GSON1112080213")</f>
        <v>#NAME?</v>
      </c>
      <c r="T1060" s="4" t="e">
        <f ca="1">[1]!BexGetData("DP_1","00O2TNJGODT0G5Z4TTKYMMOLH","GSON1112080213")</f>
        <v>#NAME?</v>
      </c>
      <c r="U1060" s="4" t="e">
        <f ca="1">[1]!BexGetData("DP_1","00O2TNJGODT0G5Z4TTKYMMUX1","GSON1112080213")</f>
        <v>#NAME?</v>
      </c>
      <c r="V1060" s="4" t="e">
        <f ca="1">[1]!BexGetData("DP_1","00O2TNJGODT0G5Z4TTKYMN18L","GSON1112080213")</f>
        <v>#NAME?</v>
      </c>
      <c r="W1060" s="4" t="e">
        <f ca="1">[1]!BexGetData("DP_1","00O2TNJGODT0G5Z4TTKYMN7K5","GSON1112080213")</f>
        <v>#NAME?</v>
      </c>
    </row>
    <row r="1061" spans="1:23" x14ac:dyDescent="0.2">
      <c r="A1061" s="16" t="s">
        <v>250</v>
      </c>
      <c r="B1061" s="7" t="s">
        <v>251</v>
      </c>
      <c r="C1061" s="8" t="e">
        <f ca="1">[1]!BexGetData("DP_1","003N8EMH8GTFRCSWKMPXRR8GU","GSON1112080220")</f>
        <v>#NAME?</v>
      </c>
      <c r="D1061" s="3" t="e">
        <f ca="1">[1]!BexGetData("DP_1","003N8EMH8GTFRCSWKMPXRRESE","GSON1112080220")</f>
        <v>#NAME?</v>
      </c>
      <c r="E1061" s="8" t="e">
        <f ca="1">[1]!BexGetData("DP_1","003N8EMH8GTFRCSWKMPXRRL3Y","GSON1112080220")</f>
        <v>#NAME?</v>
      </c>
      <c r="F1061" s="3" t="e">
        <f ca="1">[1]!BexGetData("DP_1","003N8EMH8GTFRCSWKMPXRRRFI","GSON1112080220")</f>
        <v>#NAME?</v>
      </c>
      <c r="G1061" s="3" t="e">
        <f ca="1">[1]!BexGetData("DP_1","003N8EMH8GTFRCSWKMPXRRXR2","GSON1112080220")</f>
        <v>#NAME?</v>
      </c>
      <c r="H1061" s="8" t="e">
        <f ca="1">[1]!BexGetData("DP_1","003N8EMH8GTFRCSWKMPXRS42M","GSON1112080220")</f>
        <v>#NAME?</v>
      </c>
      <c r="I1061" s="3" t="e">
        <f ca="1">[1]!BexGetData("DP_1","003N8EMH8GTFRCSWKMPXRSAE6","GSON1112080220")</f>
        <v>#NAME?</v>
      </c>
      <c r="J1061" s="4" t="e">
        <f ca="1">[1]!BexGetData("DP_1","003N8EMH8GTFRCSWKMPXRSGPQ","GSON1112080220")</f>
        <v>#NAME?</v>
      </c>
      <c r="K1061" s="3" t="e">
        <f ca="1">[1]!BexGetData("DP_1","003N8EMH8GTFRIVNUPY288VJH","GSON1112080220")</f>
        <v>#NAME?</v>
      </c>
      <c r="L1061" s="3" t="e">
        <f ca="1">[1]!BexGetData("DP_1","003N8EMH8GTFRIVNUPY2891V1","GSON1112080220")</f>
        <v>#NAME?</v>
      </c>
      <c r="M1061" s="3" t="e">
        <f ca="1">[1]!BexGetData("DP_1","003N8EMH8GTFRIVOG7KG9IQXA","GSON1112080220")</f>
        <v>#NAME?</v>
      </c>
      <c r="N1061" s="8" t="e">
        <f ca="1">[1]!BexGetData("DP_1","003N8EMH8GTFRIVOG7KG9IX8U","GSON1112080220")</f>
        <v>#NAME?</v>
      </c>
      <c r="O1061" s="3" t="e">
        <f ca="1">[1]!BexGetData("DP_1","003N8EMH8GTFRIVOG7KG9J3KE","GSON1112080220")</f>
        <v>#NAME?</v>
      </c>
      <c r="P1061" s="8" t="e">
        <f ca="1">[1]!BexGetData("DP_1","003N8EMH8GTFRIVOG7KG9J9VY","GSON1112080220")</f>
        <v>#NAME?</v>
      </c>
      <c r="Q1061" s="4" t="e">
        <f ca="1">[1]!BexGetData("DP_1","00O2TNJGODT0G5Z4TTKYMM5MT","GSON1112080220")</f>
        <v>#NAME?</v>
      </c>
      <c r="R1061" s="3" t="e">
        <f ca="1">[1]!BexGetData("DP_1","00O2TNJGODT0G5Z4TTKYMMBYD","GSON1112080220")</f>
        <v>#NAME?</v>
      </c>
      <c r="S1061" s="3" t="e">
        <f ca="1">[1]!BexGetData("DP_1","00O2TNJGODT0G5Z4TTKYMMI9X","GSON1112080220")</f>
        <v>#NAME?</v>
      </c>
      <c r="T1061" s="8" t="e">
        <f ca="1">[1]!BexGetData("DP_1","00O2TNJGODT0G5Z4TTKYMMOLH","GSON1112080220")</f>
        <v>#NAME?</v>
      </c>
      <c r="U1061" s="3" t="e">
        <f ca="1">[1]!BexGetData("DP_1","00O2TNJGODT0G5Z4TTKYMMUX1","GSON1112080220")</f>
        <v>#NAME?</v>
      </c>
      <c r="V1061" s="8" t="e">
        <f ca="1">[1]!BexGetData("DP_1","00O2TNJGODT0G5Z4TTKYMN18L","GSON1112080220")</f>
        <v>#NAME?</v>
      </c>
      <c r="W1061" s="3" t="e">
        <f ca="1">[1]!BexGetData("DP_1","00O2TNJGODT0G5Z4TTKYMN7K5","GSON1112080220")</f>
        <v>#NAME?</v>
      </c>
    </row>
    <row r="1062" spans="1:23" x14ac:dyDescent="0.2">
      <c r="A1062" s="16" t="s">
        <v>252</v>
      </c>
      <c r="B1062" s="7" t="s">
        <v>253</v>
      </c>
      <c r="C1062" s="3" t="e">
        <f ca="1">[1]!BexGetData("DP_1","003N8EMH8GTFRCSWKMPXRR8GU","GSON1112080223")</f>
        <v>#NAME?</v>
      </c>
      <c r="D1062" s="3" t="e">
        <f ca="1">[1]!BexGetData("DP_1","003N8EMH8GTFRCSWKMPXRRESE","GSON1112080223")</f>
        <v>#NAME?</v>
      </c>
      <c r="E1062" s="8" t="e">
        <f ca="1">[1]!BexGetData("DP_1","003N8EMH8GTFRCSWKMPXRRL3Y","GSON1112080223")</f>
        <v>#NAME?</v>
      </c>
      <c r="F1062" s="4" t="e">
        <f ca="1">[1]!BexGetData("DP_1","003N8EMH8GTFRCSWKMPXRRRFI","GSON1112080223")</f>
        <v>#NAME?</v>
      </c>
      <c r="G1062" s="4" t="e">
        <f ca="1">[1]!BexGetData("DP_1","003N8EMH8GTFRCSWKMPXRRXR2","GSON1112080223")</f>
        <v>#NAME?</v>
      </c>
      <c r="H1062" s="4" t="e">
        <f ca="1">[1]!BexGetData("DP_1","003N8EMH8GTFRCSWKMPXRS42M","GSON1112080223")</f>
        <v>#NAME?</v>
      </c>
      <c r="I1062" s="4" t="e">
        <f ca="1">[1]!BexGetData("DP_1","003N8EMH8GTFRCSWKMPXRSAE6","GSON1112080223")</f>
        <v>#NAME?</v>
      </c>
      <c r="J1062" s="4" t="e">
        <f ca="1">[1]!BexGetData("DP_1","003N8EMH8GTFRCSWKMPXRSGPQ","GSON1112080223")</f>
        <v>#NAME?</v>
      </c>
      <c r="K1062" s="8" t="e">
        <f ca="1">[1]!BexGetData("DP_1","003N8EMH8GTFRIVNUPY288VJH","GSON1112080223")</f>
        <v>#NAME?</v>
      </c>
      <c r="L1062" s="8" t="e">
        <f ca="1">[1]!BexGetData("DP_1","003N8EMH8GTFRIVNUPY2891V1","GSON1112080223")</f>
        <v>#NAME?</v>
      </c>
      <c r="M1062" s="8" t="e">
        <f ca="1">[1]!BexGetData("DP_1","003N8EMH8GTFRIVOG7KG9IQXA","GSON1112080223")</f>
        <v>#NAME?</v>
      </c>
      <c r="N1062" s="8" t="e">
        <f ca="1">[1]!BexGetData("DP_1","003N8EMH8GTFRIVOG7KG9IX8U","GSON1112080223")</f>
        <v>#NAME?</v>
      </c>
      <c r="O1062" s="8" t="e">
        <f ca="1">[1]!BexGetData("DP_1","003N8EMH8GTFRIVOG7KG9J3KE","GSON1112080223")</f>
        <v>#NAME?</v>
      </c>
      <c r="P1062" s="8" t="e">
        <f ca="1">[1]!BexGetData("DP_1","003N8EMH8GTFRIVOG7KG9J9VY","GSON1112080223")</f>
        <v>#NAME?</v>
      </c>
      <c r="Q1062" s="4" t="e">
        <f ca="1">[1]!BexGetData("DP_1","00O2TNJGODT0G5Z4TTKYMM5MT","GSON1112080223")</f>
        <v>#NAME?</v>
      </c>
      <c r="R1062" s="4" t="e">
        <f ca="1">[1]!BexGetData("DP_1","00O2TNJGODT0G5Z4TTKYMMBYD","GSON1112080223")</f>
        <v>#NAME?</v>
      </c>
      <c r="S1062" s="4" t="e">
        <f ca="1">[1]!BexGetData("DP_1","00O2TNJGODT0G5Z4TTKYMMI9X","GSON1112080223")</f>
        <v>#NAME?</v>
      </c>
      <c r="T1062" s="4" t="e">
        <f ca="1">[1]!BexGetData("DP_1","00O2TNJGODT0G5Z4TTKYMMOLH","GSON1112080223")</f>
        <v>#NAME?</v>
      </c>
      <c r="U1062" s="4" t="e">
        <f ca="1">[1]!BexGetData("DP_1","00O2TNJGODT0G5Z4TTKYMMUX1","GSON1112080223")</f>
        <v>#NAME?</v>
      </c>
      <c r="V1062" s="4" t="e">
        <f ca="1">[1]!BexGetData("DP_1","00O2TNJGODT0G5Z4TTKYMN18L","GSON1112080223")</f>
        <v>#NAME?</v>
      </c>
      <c r="W1062" s="4" t="e">
        <f ca="1">[1]!BexGetData("DP_1","00O2TNJGODT0G5Z4TTKYMN7K5","GSON1112080223")</f>
        <v>#NAME?</v>
      </c>
    </row>
    <row r="1063" spans="1:23" x14ac:dyDescent="0.2">
      <c r="A1063" s="16" t="s">
        <v>254</v>
      </c>
      <c r="B1063" s="7" t="s">
        <v>255</v>
      </c>
      <c r="C1063" s="8" t="e">
        <f ca="1">[1]!BexGetData("DP_1","003N8EMH8GTFRCSWKMPXRR8GU","GSON1112080230")</f>
        <v>#NAME?</v>
      </c>
      <c r="D1063" s="3" t="e">
        <f ca="1">[1]!BexGetData("DP_1","003N8EMH8GTFRCSWKMPXRRESE","GSON1112080230")</f>
        <v>#NAME?</v>
      </c>
      <c r="E1063" s="8" t="e">
        <f ca="1">[1]!BexGetData("DP_1","003N8EMH8GTFRCSWKMPXRRL3Y","GSON1112080230")</f>
        <v>#NAME?</v>
      </c>
      <c r="F1063" s="3" t="e">
        <f ca="1">[1]!BexGetData("DP_1","003N8EMH8GTFRCSWKMPXRRRFI","GSON1112080230")</f>
        <v>#NAME?</v>
      </c>
      <c r="G1063" s="3" t="e">
        <f ca="1">[1]!BexGetData("DP_1","003N8EMH8GTFRCSWKMPXRRXR2","GSON1112080230")</f>
        <v>#NAME?</v>
      </c>
      <c r="H1063" s="8" t="e">
        <f ca="1">[1]!BexGetData("DP_1","003N8EMH8GTFRCSWKMPXRS42M","GSON1112080230")</f>
        <v>#NAME?</v>
      </c>
      <c r="I1063" s="3" t="e">
        <f ca="1">[1]!BexGetData("DP_1","003N8EMH8GTFRCSWKMPXRSAE6","GSON1112080230")</f>
        <v>#NAME?</v>
      </c>
      <c r="J1063" s="4" t="e">
        <f ca="1">[1]!BexGetData("DP_1","003N8EMH8GTFRCSWKMPXRSGPQ","GSON1112080230")</f>
        <v>#NAME?</v>
      </c>
      <c r="K1063" s="3" t="e">
        <f ca="1">[1]!BexGetData("DP_1","003N8EMH8GTFRIVNUPY288VJH","GSON1112080230")</f>
        <v>#NAME?</v>
      </c>
      <c r="L1063" s="3" t="e">
        <f ca="1">[1]!BexGetData("DP_1","003N8EMH8GTFRIVNUPY2891V1","GSON1112080230")</f>
        <v>#NAME?</v>
      </c>
      <c r="M1063" s="3" t="e">
        <f ca="1">[1]!BexGetData("DP_1","003N8EMH8GTFRIVOG7KG9IQXA","GSON1112080230")</f>
        <v>#NAME?</v>
      </c>
      <c r="N1063" s="8" t="e">
        <f ca="1">[1]!BexGetData("DP_1","003N8EMH8GTFRIVOG7KG9IX8U","GSON1112080230")</f>
        <v>#NAME?</v>
      </c>
      <c r="O1063" s="3" t="e">
        <f ca="1">[1]!BexGetData("DP_1","003N8EMH8GTFRIVOG7KG9J3KE","GSON1112080230")</f>
        <v>#NAME?</v>
      </c>
      <c r="P1063" s="8" t="e">
        <f ca="1">[1]!BexGetData("DP_1","003N8EMH8GTFRIVOG7KG9J9VY","GSON1112080230")</f>
        <v>#NAME?</v>
      </c>
      <c r="Q1063" s="4" t="e">
        <f ca="1">[1]!BexGetData("DP_1","00O2TNJGODT0G5Z4TTKYMM5MT","GSON1112080230")</f>
        <v>#NAME?</v>
      </c>
      <c r="R1063" s="3" t="e">
        <f ca="1">[1]!BexGetData("DP_1","00O2TNJGODT0G5Z4TTKYMMBYD","GSON1112080230")</f>
        <v>#NAME?</v>
      </c>
      <c r="S1063" s="3" t="e">
        <f ca="1">[1]!BexGetData("DP_1","00O2TNJGODT0G5Z4TTKYMMI9X","GSON1112080230")</f>
        <v>#NAME?</v>
      </c>
      <c r="T1063" s="8" t="e">
        <f ca="1">[1]!BexGetData("DP_1","00O2TNJGODT0G5Z4TTKYMMOLH","GSON1112080230")</f>
        <v>#NAME?</v>
      </c>
      <c r="U1063" s="3" t="e">
        <f ca="1">[1]!BexGetData("DP_1","00O2TNJGODT0G5Z4TTKYMMUX1","GSON1112080230")</f>
        <v>#NAME?</v>
      </c>
      <c r="V1063" s="8" t="e">
        <f ca="1">[1]!BexGetData("DP_1","00O2TNJGODT0G5Z4TTKYMN18L","GSON1112080230")</f>
        <v>#NAME?</v>
      </c>
      <c r="W1063" s="3" t="e">
        <f ca="1">[1]!BexGetData("DP_1","00O2TNJGODT0G5Z4TTKYMN7K5","GSON1112080230")</f>
        <v>#NAME?</v>
      </c>
    </row>
    <row r="1064" spans="1:23" x14ac:dyDescent="0.2">
      <c r="A1064" s="16" t="s">
        <v>256</v>
      </c>
      <c r="B1064" s="7" t="s">
        <v>257</v>
      </c>
      <c r="C1064" s="3" t="e">
        <f ca="1">[1]!BexGetData("DP_1","003N8EMH8GTFRCSWKMPXRR8GU","GSON1112080233")</f>
        <v>#NAME?</v>
      </c>
      <c r="D1064" s="3" t="e">
        <f ca="1">[1]!BexGetData("DP_1","003N8EMH8GTFRCSWKMPXRRESE","GSON1112080233")</f>
        <v>#NAME?</v>
      </c>
      <c r="E1064" s="3" t="e">
        <f ca="1">[1]!BexGetData("DP_1","003N8EMH8GTFRCSWKMPXRRL3Y","GSON1112080233")</f>
        <v>#NAME?</v>
      </c>
      <c r="F1064" s="4" t="e">
        <f ca="1">[1]!BexGetData("DP_1","003N8EMH8GTFRCSWKMPXRRRFI","GSON1112080233")</f>
        <v>#NAME?</v>
      </c>
      <c r="G1064" s="4" t="e">
        <f ca="1">[1]!BexGetData("DP_1","003N8EMH8GTFRCSWKMPXRRXR2","GSON1112080233")</f>
        <v>#NAME?</v>
      </c>
      <c r="H1064" s="4" t="e">
        <f ca="1">[1]!BexGetData("DP_1","003N8EMH8GTFRCSWKMPXRS42M","GSON1112080233")</f>
        <v>#NAME?</v>
      </c>
      <c r="I1064" s="4" t="e">
        <f ca="1">[1]!BexGetData("DP_1","003N8EMH8GTFRCSWKMPXRSAE6","GSON1112080233")</f>
        <v>#NAME?</v>
      </c>
      <c r="J1064" s="4" t="e">
        <f ca="1">[1]!BexGetData("DP_1","003N8EMH8GTFRCSWKMPXRSGPQ","GSON1112080233")</f>
        <v>#NAME?</v>
      </c>
      <c r="K1064" s="3" t="e">
        <f ca="1">[1]!BexGetData("DP_1","003N8EMH8GTFRIVNUPY288VJH","GSON1112080233")</f>
        <v>#NAME?</v>
      </c>
      <c r="L1064" s="3" t="e">
        <f ca="1">[1]!BexGetData("DP_1","003N8EMH8GTFRIVNUPY2891V1","GSON1112080233")</f>
        <v>#NAME?</v>
      </c>
      <c r="M1064" s="3" t="e">
        <f ca="1">[1]!BexGetData("DP_1","003N8EMH8GTFRIVOG7KG9IQXA","GSON1112080233")</f>
        <v>#NAME?</v>
      </c>
      <c r="N1064" s="8" t="e">
        <f ca="1">[1]!BexGetData("DP_1","003N8EMH8GTFRIVOG7KG9IX8U","GSON1112080233")</f>
        <v>#NAME?</v>
      </c>
      <c r="O1064" s="3" t="e">
        <f ca="1">[1]!BexGetData("DP_1","003N8EMH8GTFRIVOG7KG9J3KE","GSON1112080233")</f>
        <v>#NAME?</v>
      </c>
      <c r="P1064" s="8" t="e">
        <f ca="1">[1]!BexGetData("DP_1","003N8EMH8GTFRIVOG7KG9J9VY","GSON1112080233")</f>
        <v>#NAME?</v>
      </c>
      <c r="Q1064" s="4" t="e">
        <f ca="1">[1]!BexGetData("DP_1","00O2TNJGODT0G5Z4TTKYMM5MT","GSON1112080233")</f>
        <v>#NAME?</v>
      </c>
      <c r="R1064" s="4" t="e">
        <f ca="1">[1]!BexGetData("DP_1","00O2TNJGODT0G5Z4TTKYMMBYD","GSON1112080233")</f>
        <v>#NAME?</v>
      </c>
      <c r="S1064" s="4" t="e">
        <f ca="1">[1]!BexGetData("DP_1","00O2TNJGODT0G5Z4TTKYMMI9X","GSON1112080233")</f>
        <v>#NAME?</v>
      </c>
      <c r="T1064" s="4" t="e">
        <f ca="1">[1]!BexGetData("DP_1","00O2TNJGODT0G5Z4TTKYMMOLH","GSON1112080233")</f>
        <v>#NAME?</v>
      </c>
      <c r="U1064" s="4" t="e">
        <f ca="1">[1]!BexGetData("DP_1","00O2TNJGODT0G5Z4TTKYMMUX1","GSON1112080233")</f>
        <v>#NAME?</v>
      </c>
      <c r="V1064" s="4" t="e">
        <f ca="1">[1]!BexGetData("DP_1","00O2TNJGODT0G5Z4TTKYMN18L","GSON1112080233")</f>
        <v>#NAME?</v>
      </c>
      <c r="W1064" s="4" t="e">
        <f ca="1">[1]!BexGetData("DP_1","00O2TNJGODT0G5Z4TTKYMN7K5","GSON1112080233")</f>
        <v>#NAME?</v>
      </c>
    </row>
    <row r="1065" spans="1:23" x14ac:dyDescent="0.2">
      <c r="A1065" s="16" t="s">
        <v>258</v>
      </c>
      <c r="B1065" s="7" t="s">
        <v>259</v>
      </c>
      <c r="C1065" s="8" t="e">
        <f ca="1">[1]!BexGetData("DP_1","003N8EMH8GTFRCSWKMPXRR8GU","GSON1112080240")</f>
        <v>#NAME?</v>
      </c>
      <c r="D1065" s="3" t="e">
        <f ca="1">[1]!BexGetData("DP_1","003N8EMH8GTFRCSWKMPXRRESE","GSON1112080240")</f>
        <v>#NAME?</v>
      </c>
      <c r="E1065" s="8" t="e">
        <f ca="1">[1]!BexGetData("DP_1","003N8EMH8GTFRCSWKMPXRRL3Y","GSON1112080240")</f>
        <v>#NAME?</v>
      </c>
      <c r="F1065" s="3" t="e">
        <f ca="1">[1]!BexGetData("DP_1","003N8EMH8GTFRCSWKMPXRRRFI","GSON1112080240")</f>
        <v>#NAME?</v>
      </c>
      <c r="G1065" s="3" t="e">
        <f ca="1">[1]!BexGetData("DP_1","003N8EMH8GTFRCSWKMPXRRXR2","GSON1112080240")</f>
        <v>#NAME?</v>
      </c>
      <c r="H1065" s="8" t="e">
        <f ca="1">[1]!BexGetData("DP_1","003N8EMH8GTFRCSWKMPXRS42M","GSON1112080240")</f>
        <v>#NAME?</v>
      </c>
      <c r="I1065" s="3" t="e">
        <f ca="1">[1]!BexGetData("DP_1","003N8EMH8GTFRCSWKMPXRSAE6","GSON1112080240")</f>
        <v>#NAME?</v>
      </c>
      <c r="J1065" s="4" t="e">
        <f ca="1">[1]!BexGetData("DP_1","003N8EMH8GTFRCSWKMPXRSGPQ","GSON1112080240")</f>
        <v>#NAME?</v>
      </c>
      <c r="K1065" s="3" t="e">
        <f ca="1">[1]!BexGetData("DP_1","003N8EMH8GTFRIVNUPY288VJH","GSON1112080240")</f>
        <v>#NAME?</v>
      </c>
      <c r="L1065" s="3" t="e">
        <f ca="1">[1]!BexGetData("DP_1","003N8EMH8GTFRIVNUPY2891V1","GSON1112080240")</f>
        <v>#NAME?</v>
      </c>
      <c r="M1065" s="3" t="e">
        <f ca="1">[1]!BexGetData("DP_1","003N8EMH8GTFRIVOG7KG9IQXA","GSON1112080240")</f>
        <v>#NAME?</v>
      </c>
      <c r="N1065" s="8" t="e">
        <f ca="1">[1]!BexGetData("DP_1","003N8EMH8GTFRIVOG7KG9IX8U","GSON1112080240")</f>
        <v>#NAME?</v>
      </c>
      <c r="O1065" s="3" t="e">
        <f ca="1">[1]!BexGetData("DP_1","003N8EMH8GTFRIVOG7KG9J3KE","GSON1112080240")</f>
        <v>#NAME?</v>
      </c>
      <c r="P1065" s="8" t="e">
        <f ca="1">[1]!BexGetData("DP_1","003N8EMH8GTFRIVOG7KG9J9VY","GSON1112080240")</f>
        <v>#NAME?</v>
      </c>
      <c r="Q1065" s="4" t="e">
        <f ca="1">[1]!BexGetData("DP_1","00O2TNJGODT0G5Z4TTKYMM5MT","GSON1112080240")</f>
        <v>#NAME?</v>
      </c>
      <c r="R1065" s="3" t="e">
        <f ca="1">[1]!BexGetData("DP_1","00O2TNJGODT0G5Z4TTKYMMBYD","GSON1112080240")</f>
        <v>#NAME?</v>
      </c>
      <c r="S1065" s="3" t="e">
        <f ca="1">[1]!BexGetData("DP_1","00O2TNJGODT0G5Z4TTKYMMI9X","GSON1112080240")</f>
        <v>#NAME?</v>
      </c>
      <c r="T1065" s="8" t="e">
        <f ca="1">[1]!BexGetData("DP_1","00O2TNJGODT0G5Z4TTKYMMOLH","GSON1112080240")</f>
        <v>#NAME?</v>
      </c>
      <c r="U1065" s="3" t="e">
        <f ca="1">[1]!BexGetData("DP_1","00O2TNJGODT0G5Z4TTKYMMUX1","GSON1112080240")</f>
        <v>#NAME?</v>
      </c>
      <c r="V1065" s="8" t="e">
        <f ca="1">[1]!BexGetData("DP_1","00O2TNJGODT0G5Z4TTKYMN18L","GSON1112080240")</f>
        <v>#NAME?</v>
      </c>
      <c r="W1065" s="3" t="e">
        <f ca="1">[1]!BexGetData("DP_1","00O2TNJGODT0G5Z4TTKYMN7K5","GSON1112080240")</f>
        <v>#NAME?</v>
      </c>
    </row>
    <row r="1066" spans="1:23" x14ac:dyDescent="0.2">
      <c r="A1066" s="16" t="s">
        <v>260</v>
      </c>
      <c r="B1066" s="7" t="s">
        <v>261</v>
      </c>
      <c r="C1066" s="3" t="e">
        <f ca="1">[1]!BexGetData("DP_1","003N8EMH8GTFRCSWKMPXRR8GU","GSON1112080243")</f>
        <v>#NAME?</v>
      </c>
      <c r="D1066" s="3" t="e">
        <f ca="1">[1]!BexGetData("DP_1","003N8EMH8GTFRCSWKMPXRRESE","GSON1112080243")</f>
        <v>#NAME?</v>
      </c>
      <c r="E1066" s="8" t="e">
        <f ca="1">[1]!BexGetData("DP_1","003N8EMH8GTFRCSWKMPXRRL3Y","GSON1112080243")</f>
        <v>#NAME?</v>
      </c>
      <c r="F1066" s="4" t="e">
        <f ca="1">[1]!BexGetData("DP_1","003N8EMH8GTFRCSWKMPXRRRFI","GSON1112080243")</f>
        <v>#NAME?</v>
      </c>
      <c r="G1066" s="4" t="e">
        <f ca="1">[1]!BexGetData("DP_1","003N8EMH8GTFRCSWKMPXRRXR2","GSON1112080243")</f>
        <v>#NAME?</v>
      </c>
      <c r="H1066" s="4" t="e">
        <f ca="1">[1]!BexGetData("DP_1","003N8EMH8GTFRCSWKMPXRS42M","GSON1112080243")</f>
        <v>#NAME?</v>
      </c>
      <c r="I1066" s="4" t="e">
        <f ca="1">[1]!BexGetData("DP_1","003N8EMH8GTFRCSWKMPXRSAE6","GSON1112080243")</f>
        <v>#NAME?</v>
      </c>
      <c r="J1066" s="4" t="e">
        <f ca="1">[1]!BexGetData("DP_1","003N8EMH8GTFRCSWKMPXRSGPQ","GSON1112080243")</f>
        <v>#NAME?</v>
      </c>
      <c r="K1066" s="8" t="e">
        <f ca="1">[1]!BexGetData("DP_1","003N8EMH8GTFRIVNUPY288VJH","GSON1112080243")</f>
        <v>#NAME?</v>
      </c>
      <c r="L1066" s="8" t="e">
        <f ca="1">[1]!BexGetData("DP_1","003N8EMH8GTFRIVNUPY2891V1","GSON1112080243")</f>
        <v>#NAME?</v>
      </c>
      <c r="M1066" s="8" t="e">
        <f ca="1">[1]!BexGetData("DP_1","003N8EMH8GTFRIVOG7KG9IQXA","GSON1112080243")</f>
        <v>#NAME?</v>
      </c>
      <c r="N1066" s="8" t="e">
        <f ca="1">[1]!BexGetData("DP_1","003N8EMH8GTFRIVOG7KG9IX8U","GSON1112080243")</f>
        <v>#NAME?</v>
      </c>
      <c r="O1066" s="8" t="e">
        <f ca="1">[1]!BexGetData("DP_1","003N8EMH8GTFRIVOG7KG9J3KE","GSON1112080243")</f>
        <v>#NAME?</v>
      </c>
      <c r="P1066" s="8" t="e">
        <f ca="1">[1]!BexGetData("DP_1","003N8EMH8GTFRIVOG7KG9J9VY","GSON1112080243")</f>
        <v>#NAME?</v>
      </c>
      <c r="Q1066" s="4" t="e">
        <f ca="1">[1]!BexGetData("DP_1","00O2TNJGODT0G5Z4TTKYMM5MT","GSON1112080243")</f>
        <v>#NAME?</v>
      </c>
      <c r="R1066" s="4" t="e">
        <f ca="1">[1]!BexGetData("DP_1","00O2TNJGODT0G5Z4TTKYMMBYD","GSON1112080243")</f>
        <v>#NAME?</v>
      </c>
      <c r="S1066" s="4" t="e">
        <f ca="1">[1]!BexGetData("DP_1","00O2TNJGODT0G5Z4TTKYMMI9X","GSON1112080243")</f>
        <v>#NAME?</v>
      </c>
      <c r="T1066" s="4" t="e">
        <f ca="1">[1]!BexGetData("DP_1","00O2TNJGODT0G5Z4TTKYMMOLH","GSON1112080243")</f>
        <v>#NAME?</v>
      </c>
      <c r="U1066" s="4" t="e">
        <f ca="1">[1]!BexGetData("DP_1","00O2TNJGODT0G5Z4TTKYMMUX1","GSON1112080243")</f>
        <v>#NAME?</v>
      </c>
      <c r="V1066" s="4" t="e">
        <f ca="1">[1]!BexGetData("DP_1","00O2TNJGODT0G5Z4TTKYMN18L","GSON1112080243")</f>
        <v>#NAME?</v>
      </c>
      <c r="W1066" s="4" t="e">
        <f ca="1">[1]!BexGetData("DP_1","00O2TNJGODT0G5Z4TTKYMN7K5","GSON1112080243")</f>
        <v>#NAME?</v>
      </c>
    </row>
    <row r="1067" spans="1:23" x14ac:dyDescent="0.2">
      <c r="A1067" s="16" t="s">
        <v>262</v>
      </c>
      <c r="B1067" s="7" t="s">
        <v>263</v>
      </c>
      <c r="C1067" s="8" t="e">
        <f ca="1">[1]!BexGetData("DP_1","003N8EMH8GTFRCSWKMPXRR8GU","GSON1112080250")</f>
        <v>#NAME?</v>
      </c>
      <c r="D1067" s="3" t="e">
        <f ca="1">[1]!BexGetData("DP_1","003N8EMH8GTFRCSWKMPXRRESE","GSON1112080250")</f>
        <v>#NAME?</v>
      </c>
      <c r="E1067" s="8" t="e">
        <f ca="1">[1]!BexGetData("DP_1","003N8EMH8GTFRCSWKMPXRRL3Y","GSON1112080250")</f>
        <v>#NAME?</v>
      </c>
      <c r="F1067" s="3" t="e">
        <f ca="1">[1]!BexGetData("DP_1","003N8EMH8GTFRCSWKMPXRRRFI","GSON1112080250")</f>
        <v>#NAME?</v>
      </c>
      <c r="G1067" s="3" t="e">
        <f ca="1">[1]!BexGetData("DP_1","003N8EMH8GTFRCSWKMPXRRXR2","GSON1112080250")</f>
        <v>#NAME?</v>
      </c>
      <c r="H1067" s="8" t="e">
        <f ca="1">[1]!BexGetData("DP_1","003N8EMH8GTFRCSWKMPXRS42M","GSON1112080250")</f>
        <v>#NAME?</v>
      </c>
      <c r="I1067" s="3" t="e">
        <f ca="1">[1]!BexGetData("DP_1","003N8EMH8GTFRCSWKMPXRSAE6","GSON1112080250")</f>
        <v>#NAME?</v>
      </c>
      <c r="J1067" s="4" t="e">
        <f ca="1">[1]!BexGetData("DP_1","003N8EMH8GTFRCSWKMPXRSGPQ","GSON1112080250")</f>
        <v>#NAME?</v>
      </c>
      <c r="K1067" s="3" t="e">
        <f ca="1">[1]!BexGetData("DP_1","003N8EMH8GTFRIVNUPY288VJH","GSON1112080250")</f>
        <v>#NAME?</v>
      </c>
      <c r="L1067" s="3" t="e">
        <f ca="1">[1]!BexGetData("DP_1","003N8EMH8GTFRIVNUPY2891V1","GSON1112080250")</f>
        <v>#NAME?</v>
      </c>
      <c r="M1067" s="3" t="e">
        <f ca="1">[1]!BexGetData("DP_1","003N8EMH8GTFRIVOG7KG9IQXA","GSON1112080250")</f>
        <v>#NAME?</v>
      </c>
      <c r="N1067" s="8" t="e">
        <f ca="1">[1]!BexGetData("DP_1","003N8EMH8GTFRIVOG7KG9IX8U","GSON1112080250")</f>
        <v>#NAME?</v>
      </c>
      <c r="O1067" s="3" t="e">
        <f ca="1">[1]!BexGetData("DP_1","003N8EMH8GTFRIVOG7KG9J3KE","GSON1112080250")</f>
        <v>#NAME?</v>
      </c>
      <c r="P1067" s="8" t="e">
        <f ca="1">[1]!BexGetData("DP_1","003N8EMH8GTFRIVOG7KG9J9VY","GSON1112080250")</f>
        <v>#NAME?</v>
      </c>
      <c r="Q1067" s="4" t="e">
        <f ca="1">[1]!BexGetData("DP_1","00O2TNJGODT0G5Z4TTKYMM5MT","GSON1112080250")</f>
        <v>#NAME?</v>
      </c>
      <c r="R1067" s="3" t="e">
        <f ca="1">[1]!BexGetData("DP_1","00O2TNJGODT0G5Z4TTKYMMBYD","GSON1112080250")</f>
        <v>#NAME?</v>
      </c>
      <c r="S1067" s="3" t="e">
        <f ca="1">[1]!BexGetData("DP_1","00O2TNJGODT0G5Z4TTKYMMI9X","GSON1112080250")</f>
        <v>#NAME?</v>
      </c>
      <c r="T1067" s="8" t="e">
        <f ca="1">[1]!BexGetData("DP_1","00O2TNJGODT0G5Z4TTKYMMOLH","GSON1112080250")</f>
        <v>#NAME?</v>
      </c>
      <c r="U1067" s="3" t="e">
        <f ca="1">[1]!BexGetData("DP_1","00O2TNJGODT0G5Z4TTKYMMUX1","GSON1112080250")</f>
        <v>#NAME?</v>
      </c>
      <c r="V1067" s="8" t="e">
        <f ca="1">[1]!BexGetData("DP_1","00O2TNJGODT0G5Z4TTKYMN18L","GSON1112080250")</f>
        <v>#NAME?</v>
      </c>
      <c r="W1067" s="3" t="e">
        <f ca="1">[1]!BexGetData("DP_1","00O2TNJGODT0G5Z4TTKYMN7K5","GSON1112080250")</f>
        <v>#NAME?</v>
      </c>
    </row>
    <row r="1068" spans="1:23" x14ac:dyDescent="0.2">
      <c r="A1068" s="16" t="s">
        <v>264</v>
      </c>
      <c r="B1068" s="7" t="s">
        <v>265</v>
      </c>
      <c r="C1068" s="8" t="e">
        <f ca="1">[1]!BexGetData("DP_1","003N8EMH8GTFRCSWKMPXRR8GU","GSON1112080251")</f>
        <v>#NAME?</v>
      </c>
      <c r="D1068" s="8" t="e">
        <f ca="1">[1]!BexGetData("DP_1","003N8EMH8GTFRCSWKMPXRRESE","GSON1112080251")</f>
        <v>#NAME?</v>
      </c>
      <c r="E1068" s="3" t="e">
        <f ca="1">[1]!BexGetData("DP_1","003N8EMH8GTFRCSWKMPXRRL3Y","GSON1112080251")</f>
        <v>#NAME?</v>
      </c>
      <c r="F1068" s="3" t="e">
        <f ca="1">[1]!BexGetData("DP_1","003N8EMH8GTFRCSWKMPXRRRFI","GSON1112080251")</f>
        <v>#NAME?</v>
      </c>
      <c r="G1068" s="3" t="e">
        <f ca="1">[1]!BexGetData("DP_1","003N8EMH8GTFRCSWKMPXRRXR2","GSON1112080251")</f>
        <v>#NAME?</v>
      </c>
      <c r="H1068" s="8" t="e">
        <f ca="1">[1]!BexGetData("DP_1","003N8EMH8GTFRCSWKMPXRS42M","GSON1112080251")</f>
        <v>#NAME?</v>
      </c>
      <c r="I1068" s="3" t="e">
        <f ca="1">[1]!BexGetData("DP_1","003N8EMH8GTFRCSWKMPXRSAE6","GSON1112080251")</f>
        <v>#NAME?</v>
      </c>
      <c r="J1068" s="4" t="e">
        <f ca="1">[1]!BexGetData("DP_1","003N8EMH8GTFRCSWKMPXRSGPQ","GSON1112080251")</f>
        <v>#NAME?</v>
      </c>
      <c r="K1068" s="8" t="e">
        <f ca="1">[1]!BexGetData("DP_1","003N8EMH8GTFRIVNUPY288VJH","GSON1112080251")</f>
        <v>#NAME?</v>
      </c>
      <c r="L1068" s="8" t="e">
        <f ca="1">[1]!BexGetData("DP_1","003N8EMH8GTFRIVNUPY2891V1","GSON1112080251")</f>
        <v>#NAME?</v>
      </c>
      <c r="M1068" s="8" t="e">
        <f ca="1">[1]!BexGetData("DP_1","003N8EMH8GTFRIVOG7KG9IQXA","GSON1112080251")</f>
        <v>#NAME?</v>
      </c>
      <c r="N1068" s="8" t="e">
        <f ca="1">[1]!BexGetData("DP_1","003N8EMH8GTFRIVOG7KG9IX8U","GSON1112080251")</f>
        <v>#NAME?</v>
      </c>
      <c r="O1068" s="8" t="e">
        <f ca="1">[1]!BexGetData("DP_1","003N8EMH8GTFRIVOG7KG9J3KE","GSON1112080251")</f>
        <v>#NAME?</v>
      </c>
      <c r="P1068" s="8" t="e">
        <f ca="1">[1]!BexGetData("DP_1","003N8EMH8GTFRIVOG7KG9J9VY","GSON1112080251")</f>
        <v>#NAME?</v>
      </c>
      <c r="Q1068" s="4" t="e">
        <f ca="1">[1]!BexGetData("DP_1","00O2TNJGODT0G5Z4TTKYMM5MT","GSON1112080251")</f>
        <v>#NAME?</v>
      </c>
      <c r="R1068" s="3" t="e">
        <f ca="1">[1]!BexGetData("DP_1","00O2TNJGODT0G5Z4TTKYMMBYD","GSON1112080251")</f>
        <v>#NAME?</v>
      </c>
      <c r="S1068" s="3" t="e">
        <f ca="1">[1]!BexGetData("DP_1","00O2TNJGODT0G5Z4TTKYMMI9X","GSON1112080251")</f>
        <v>#NAME?</v>
      </c>
      <c r="T1068" s="8" t="e">
        <f ca="1">[1]!BexGetData("DP_1","00O2TNJGODT0G5Z4TTKYMMOLH","GSON1112080251")</f>
        <v>#NAME?</v>
      </c>
      <c r="U1068" s="3" t="e">
        <f ca="1">[1]!BexGetData("DP_1","00O2TNJGODT0G5Z4TTKYMMUX1","GSON1112080251")</f>
        <v>#NAME?</v>
      </c>
      <c r="V1068" s="8" t="e">
        <f ca="1">[1]!BexGetData("DP_1","00O2TNJGODT0G5Z4TTKYMN18L","GSON1112080251")</f>
        <v>#NAME?</v>
      </c>
      <c r="W1068" s="3" t="e">
        <f ca="1">[1]!BexGetData("DP_1","00O2TNJGODT0G5Z4TTKYMN7K5","GSON1112080251")</f>
        <v>#NAME?</v>
      </c>
    </row>
    <row r="1069" spans="1:23" x14ac:dyDescent="0.2">
      <c r="A1069" s="16" t="s">
        <v>266</v>
      </c>
      <c r="B1069" s="7" t="s">
        <v>267</v>
      </c>
      <c r="C1069" s="3" t="e">
        <f ca="1">[1]!BexGetData("DP_1","003N8EMH8GTFRCSWKMPXRR8GU","GSON1112080253")</f>
        <v>#NAME?</v>
      </c>
      <c r="D1069" s="3" t="e">
        <f ca="1">[1]!BexGetData("DP_1","003N8EMH8GTFRCSWKMPXRRESE","GSON1112080253")</f>
        <v>#NAME?</v>
      </c>
      <c r="E1069" s="8" t="e">
        <f ca="1">[1]!BexGetData("DP_1","003N8EMH8GTFRCSWKMPXRRL3Y","GSON1112080253")</f>
        <v>#NAME?</v>
      </c>
      <c r="F1069" s="4" t="e">
        <f ca="1">[1]!BexGetData("DP_1","003N8EMH8GTFRCSWKMPXRRRFI","GSON1112080253")</f>
        <v>#NAME?</v>
      </c>
      <c r="G1069" s="4" t="e">
        <f ca="1">[1]!BexGetData("DP_1","003N8EMH8GTFRCSWKMPXRRXR2","GSON1112080253")</f>
        <v>#NAME?</v>
      </c>
      <c r="H1069" s="4" t="e">
        <f ca="1">[1]!BexGetData("DP_1","003N8EMH8GTFRCSWKMPXRS42M","GSON1112080253")</f>
        <v>#NAME?</v>
      </c>
      <c r="I1069" s="4" t="e">
        <f ca="1">[1]!BexGetData("DP_1","003N8EMH8GTFRCSWKMPXRSAE6","GSON1112080253")</f>
        <v>#NAME?</v>
      </c>
      <c r="J1069" s="4" t="e">
        <f ca="1">[1]!BexGetData("DP_1","003N8EMH8GTFRCSWKMPXRSGPQ","GSON1112080253")</f>
        <v>#NAME?</v>
      </c>
      <c r="K1069" s="8" t="e">
        <f ca="1">[1]!BexGetData("DP_1","003N8EMH8GTFRIVNUPY288VJH","GSON1112080253")</f>
        <v>#NAME?</v>
      </c>
      <c r="L1069" s="8" t="e">
        <f ca="1">[1]!BexGetData("DP_1","003N8EMH8GTFRIVNUPY2891V1","GSON1112080253")</f>
        <v>#NAME?</v>
      </c>
      <c r="M1069" s="8" t="e">
        <f ca="1">[1]!BexGetData("DP_1","003N8EMH8GTFRIVOG7KG9IQXA","GSON1112080253")</f>
        <v>#NAME?</v>
      </c>
      <c r="N1069" s="8" t="e">
        <f ca="1">[1]!BexGetData("DP_1","003N8EMH8GTFRIVOG7KG9IX8U","GSON1112080253")</f>
        <v>#NAME?</v>
      </c>
      <c r="O1069" s="8" t="e">
        <f ca="1">[1]!BexGetData("DP_1","003N8EMH8GTFRIVOG7KG9J3KE","GSON1112080253")</f>
        <v>#NAME?</v>
      </c>
      <c r="P1069" s="8" t="e">
        <f ca="1">[1]!BexGetData("DP_1","003N8EMH8GTFRIVOG7KG9J9VY","GSON1112080253")</f>
        <v>#NAME?</v>
      </c>
      <c r="Q1069" s="4" t="e">
        <f ca="1">[1]!BexGetData("DP_1","00O2TNJGODT0G5Z4TTKYMM5MT","GSON1112080253")</f>
        <v>#NAME?</v>
      </c>
      <c r="R1069" s="4" t="e">
        <f ca="1">[1]!BexGetData("DP_1","00O2TNJGODT0G5Z4TTKYMMBYD","GSON1112080253")</f>
        <v>#NAME?</v>
      </c>
      <c r="S1069" s="4" t="e">
        <f ca="1">[1]!BexGetData("DP_1","00O2TNJGODT0G5Z4TTKYMMI9X","GSON1112080253")</f>
        <v>#NAME?</v>
      </c>
      <c r="T1069" s="4" t="e">
        <f ca="1">[1]!BexGetData("DP_1","00O2TNJGODT0G5Z4TTKYMMOLH","GSON1112080253")</f>
        <v>#NAME?</v>
      </c>
      <c r="U1069" s="4" t="e">
        <f ca="1">[1]!BexGetData("DP_1","00O2TNJGODT0G5Z4TTKYMMUX1","GSON1112080253")</f>
        <v>#NAME?</v>
      </c>
      <c r="V1069" s="4" t="e">
        <f ca="1">[1]!BexGetData("DP_1","00O2TNJGODT0G5Z4TTKYMN18L","GSON1112080253")</f>
        <v>#NAME?</v>
      </c>
      <c r="W1069" s="4" t="e">
        <f ca="1">[1]!BexGetData("DP_1","00O2TNJGODT0G5Z4TTKYMN7K5","GSON1112080253")</f>
        <v>#NAME?</v>
      </c>
    </row>
    <row r="1070" spans="1:23" x14ac:dyDescent="0.2">
      <c r="A1070" s="16" t="s">
        <v>268</v>
      </c>
      <c r="B1070" s="7" t="s">
        <v>269</v>
      </c>
      <c r="C1070" s="8" t="e">
        <f ca="1">[1]!BexGetData("DP_1","003N8EMH8GTFRCSWKMPXRR8GU","GSON1112080260")</f>
        <v>#NAME?</v>
      </c>
      <c r="D1070" s="3" t="e">
        <f ca="1">[1]!BexGetData("DP_1","003N8EMH8GTFRCSWKMPXRRESE","GSON1112080260")</f>
        <v>#NAME?</v>
      </c>
      <c r="E1070" s="3" t="e">
        <f ca="1">[1]!BexGetData("DP_1","003N8EMH8GTFRCSWKMPXRRL3Y","GSON1112080260")</f>
        <v>#NAME?</v>
      </c>
      <c r="F1070" s="3" t="e">
        <f ca="1">[1]!BexGetData("DP_1","003N8EMH8GTFRCSWKMPXRRRFI","GSON1112080260")</f>
        <v>#NAME?</v>
      </c>
      <c r="G1070" s="3" t="e">
        <f ca="1">[1]!BexGetData("DP_1","003N8EMH8GTFRCSWKMPXRRXR2","GSON1112080260")</f>
        <v>#NAME?</v>
      </c>
      <c r="H1070" s="8" t="e">
        <f ca="1">[1]!BexGetData("DP_1","003N8EMH8GTFRCSWKMPXRS42M","GSON1112080260")</f>
        <v>#NAME?</v>
      </c>
      <c r="I1070" s="3" t="e">
        <f ca="1">[1]!BexGetData("DP_1","003N8EMH8GTFRCSWKMPXRSAE6","GSON1112080260")</f>
        <v>#NAME?</v>
      </c>
      <c r="J1070" s="4" t="e">
        <f ca="1">[1]!BexGetData("DP_1","003N8EMH8GTFRCSWKMPXRSGPQ","GSON1112080260")</f>
        <v>#NAME?</v>
      </c>
      <c r="K1070" s="3" t="e">
        <f ca="1">[1]!BexGetData("DP_1","003N8EMH8GTFRIVNUPY288VJH","GSON1112080260")</f>
        <v>#NAME?</v>
      </c>
      <c r="L1070" s="3" t="e">
        <f ca="1">[1]!BexGetData("DP_1","003N8EMH8GTFRIVNUPY2891V1","GSON1112080260")</f>
        <v>#NAME?</v>
      </c>
      <c r="M1070" s="3" t="e">
        <f ca="1">[1]!BexGetData("DP_1","003N8EMH8GTFRIVOG7KG9IQXA","GSON1112080260")</f>
        <v>#NAME?</v>
      </c>
      <c r="N1070" s="8" t="e">
        <f ca="1">[1]!BexGetData("DP_1","003N8EMH8GTFRIVOG7KG9IX8U","GSON1112080260")</f>
        <v>#NAME?</v>
      </c>
      <c r="O1070" s="3" t="e">
        <f ca="1">[1]!BexGetData("DP_1","003N8EMH8GTFRIVOG7KG9J3KE","GSON1112080260")</f>
        <v>#NAME?</v>
      </c>
      <c r="P1070" s="8" t="e">
        <f ca="1">[1]!BexGetData("DP_1","003N8EMH8GTFRIVOG7KG9J9VY","GSON1112080260")</f>
        <v>#NAME?</v>
      </c>
      <c r="Q1070" s="4" t="e">
        <f ca="1">[1]!BexGetData("DP_1","00O2TNJGODT0G5Z4TTKYMM5MT","GSON1112080260")</f>
        <v>#NAME?</v>
      </c>
      <c r="R1070" s="3" t="e">
        <f ca="1">[1]!BexGetData("DP_1","00O2TNJGODT0G5Z4TTKYMMBYD","GSON1112080260")</f>
        <v>#NAME?</v>
      </c>
      <c r="S1070" s="3" t="e">
        <f ca="1">[1]!BexGetData("DP_1","00O2TNJGODT0G5Z4TTKYMMI9X","GSON1112080260")</f>
        <v>#NAME?</v>
      </c>
      <c r="T1070" s="8" t="e">
        <f ca="1">[1]!BexGetData("DP_1","00O2TNJGODT0G5Z4TTKYMMOLH","GSON1112080260")</f>
        <v>#NAME?</v>
      </c>
      <c r="U1070" s="3" t="e">
        <f ca="1">[1]!BexGetData("DP_1","00O2TNJGODT0G5Z4TTKYMMUX1","GSON1112080260")</f>
        <v>#NAME?</v>
      </c>
      <c r="V1070" s="8" t="e">
        <f ca="1">[1]!BexGetData("DP_1","00O2TNJGODT0G5Z4TTKYMN18L","GSON1112080260")</f>
        <v>#NAME?</v>
      </c>
      <c r="W1070" s="3" t="e">
        <f ca="1">[1]!BexGetData("DP_1","00O2TNJGODT0G5Z4TTKYMN7K5","GSON1112080260")</f>
        <v>#NAME?</v>
      </c>
    </row>
    <row r="1071" spans="1:23" x14ac:dyDescent="0.2">
      <c r="A1071" s="16" t="s">
        <v>270</v>
      </c>
      <c r="B1071" s="7" t="s">
        <v>271</v>
      </c>
      <c r="C1071" s="8" t="e">
        <f ca="1">[1]!BexGetData("DP_1","003N8EMH8GTFRCSWKMPXRR8GU","GSON1112080261")</f>
        <v>#NAME?</v>
      </c>
      <c r="D1071" s="8" t="e">
        <f ca="1">[1]!BexGetData("DP_1","003N8EMH8GTFRCSWKMPXRRESE","GSON1112080261")</f>
        <v>#NAME?</v>
      </c>
      <c r="E1071" s="3" t="e">
        <f ca="1">[1]!BexGetData("DP_1","003N8EMH8GTFRCSWKMPXRRL3Y","GSON1112080261")</f>
        <v>#NAME?</v>
      </c>
      <c r="F1071" s="3" t="e">
        <f ca="1">[1]!BexGetData("DP_1","003N8EMH8GTFRCSWKMPXRRRFI","GSON1112080261")</f>
        <v>#NAME?</v>
      </c>
      <c r="G1071" s="3" t="e">
        <f ca="1">[1]!BexGetData("DP_1","003N8EMH8GTFRCSWKMPXRRXR2","GSON1112080261")</f>
        <v>#NAME?</v>
      </c>
      <c r="H1071" s="8" t="e">
        <f ca="1">[1]!BexGetData("DP_1","003N8EMH8GTFRCSWKMPXRS42M","GSON1112080261")</f>
        <v>#NAME?</v>
      </c>
      <c r="I1071" s="3" t="e">
        <f ca="1">[1]!BexGetData("DP_1","003N8EMH8GTFRCSWKMPXRSAE6","GSON1112080261")</f>
        <v>#NAME?</v>
      </c>
      <c r="J1071" s="4" t="e">
        <f ca="1">[1]!BexGetData("DP_1","003N8EMH8GTFRCSWKMPXRSGPQ","GSON1112080261")</f>
        <v>#NAME?</v>
      </c>
      <c r="K1071" s="8" t="e">
        <f ca="1">[1]!BexGetData("DP_1","003N8EMH8GTFRIVNUPY288VJH","GSON1112080261")</f>
        <v>#NAME?</v>
      </c>
      <c r="L1071" s="8" t="e">
        <f ca="1">[1]!BexGetData("DP_1","003N8EMH8GTFRIVNUPY2891V1","GSON1112080261")</f>
        <v>#NAME?</v>
      </c>
      <c r="M1071" s="8" t="e">
        <f ca="1">[1]!BexGetData("DP_1","003N8EMH8GTFRIVOG7KG9IQXA","GSON1112080261")</f>
        <v>#NAME?</v>
      </c>
      <c r="N1071" s="8" t="e">
        <f ca="1">[1]!BexGetData("DP_1","003N8EMH8GTFRIVOG7KG9IX8U","GSON1112080261")</f>
        <v>#NAME?</v>
      </c>
      <c r="O1071" s="8" t="e">
        <f ca="1">[1]!BexGetData("DP_1","003N8EMH8GTFRIVOG7KG9J3KE","GSON1112080261")</f>
        <v>#NAME?</v>
      </c>
      <c r="P1071" s="8" t="e">
        <f ca="1">[1]!BexGetData("DP_1","003N8EMH8GTFRIVOG7KG9J9VY","GSON1112080261")</f>
        <v>#NAME?</v>
      </c>
      <c r="Q1071" s="4" t="e">
        <f ca="1">[1]!BexGetData("DP_1","00O2TNJGODT0G5Z4TTKYMM5MT","GSON1112080261")</f>
        <v>#NAME?</v>
      </c>
      <c r="R1071" s="3" t="e">
        <f ca="1">[1]!BexGetData("DP_1","00O2TNJGODT0G5Z4TTKYMMBYD","GSON1112080261")</f>
        <v>#NAME?</v>
      </c>
      <c r="S1071" s="3" t="e">
        <f ca="1">[1]!BexGetData("DP_1","00O2TNJGODT0G5Z4TTKYMMI9X","GSON1112080261")</f>
        <v>#NAME?</v>
      </c>
      <c r="T1071" s="8" t="e">
        <f ca="1">[1]!BexGetData("DP_1","00O2TNJGODT0G5Z4TTKYMMOLH","GSON1112080261")</f>
        <v>#NAME?</v>
      </c>
      <c r="U1071" s="3" t="e">
        <f ca="1">[1]!BexGetData("DP_1","00O2TNJGODT0G5Z4TTKYMMUX1","GSON1112080261")</f>
        <v>#NAME?</v>
      </c>
      <c r="V1071" s="8" t="e">
        <f ca="1">[1]!BexGetData("DP_1","00O2TNJGODT0G5Z4TTKYMN18L","GSON1112080261")</f>
        <v>#NAME?</v>
      </c>
      <c r="W1071" s="3" t="e">
        <f ca="1">[1]!BexGetData("DP_1","00O2TNJGODT0G5Z4TTKYMN7K5","GSON1112080261")</f>
        <v>#NAME?</v>
      </c>
    </row>
    <row r="1072" spans="1:23" x14ac:dyDescent="0.2">
      <c r="A1072" s="16" t="s">
        <v>272</v>
      </c>
      <c r="B1072" s="7" t="s">
        <v>273</v>
      </c>
      <c r="C1072" s="3" t="e">
        <f ca="1">[1]!BexGetData("DP_1","003N8EMH8GTFRCSWKMPXRR8GU","GSON1112080263")</f>
        <v>#NAME?</v>
      </c>
      <c r="D1072" s="3" t="e">
        <f ca="1">[1]!BexGetData("DP_1","003N8EMH8GTFRCSWKMPXRRESE","GSON1112080263")</f>
        <v>#NAME?</v>
      </c>
      <c r="E1072" s="3" t="e">
        <f ca="1">[1]!BexGetData("DP_1","003N8EMH8GTFRCSWKMPXRRL3Y","GSON1112080263")</f>
        <v>#NAME?</v>
      </c>
      <c r="F1072" s="4" t="e">
        <f ca="1">[1]!BexGetData("DP_1","003N8EMH8GTFRCSWKMPXRRRFI","GSON1112080263")</f>
        <v>#NAME?</v>
      </c>
      <c r="G1072" s="4" t="e">
        <f ca="1">[1]!BexGetData("DP_1","003N8EMH8GTFRCSWKMPXRRXR2","GSON1112080263")</f>
        <v>#NAME?</v>
      </c>
      <c r="H1072" s="4" t="e">
        <f ca="1">[1]!BexGetData("DP_1","003N8EMH8GTFRCSWKMPXRS42M","GSON1112080263")</f>
        <v>#NAME?</v>
      </c>
      <c r="I1072" s="4" t="e">
        <f ca="1">[1]!BexGetData("DP_1","003N8EMH8GTFRCSWKMPXRSAE6","GSON1112080263")</f>
        <v>#NAME?</v>
      </c>
      <c r="J1072" s="4" t="e">
        <f ca="1">[1]!BexGetData("DP_1","003N8EMH8GTFRCSWKMPXRSGPQ","GSON1112080263")</f>
        <v>#NAME?</v>
      </c>
      <c r="K1072" s="3" t="e">
        <f ca="1">[1]!BexGetData("DP_1","003N8EMH8GTFRIVNUPY288VJH","GSON1112080263")</f>
        <v>#NAME?</v>
      </c>
      <c r="L1072" s="3" t="e">
        <f ca="1">[1]!BexGetData("DP_1","003N8EMH8GTFRIVNUPY2891V1","GSON1112080263")</f>
        <v>#NAME?</v>
      </c>
      <c r="M1072" s="3" t="e">
        <f ca="1">[1]!BexGetData("DP_1","003N8EMH8GTFRIVOG7KG9IQXA","GSON1112080263")</f>
        <v>#NAME?</v>
      </c>
      <c r="N1072" s="8" t="e">
        <f ca="1">[1]!BexGetData("DP_1","003N8EMH8GTFRIVOG7KG9IX8U","GSON1112080263")</f>
        <v>#NAME?</v>
      </c>
      <c r="O1072" s="3" t="e">
        <f ca="1">[1]!BexGetData("DP_1","003N8EMH8GTFRIVOG7KG9J3KE","GSON1112080263")</f>
        <v>#NAME?</v>
      </c>
      <c r="P1072" s="8" t="e">
        <f ca="1">[1]!BexGetData("DP_1","003N8EMH8GTFRIVOG7KG9J9VY","GSON1112080263")</f>
        <v>#NAME?</v>
      </c>
      <c r="Q1072" s="4" t="e">
        <f ca="1">[1]!BexGetData("DP_1","00O2TNJGODT0G5Z4TTKYMM5MT","GSON1112080263")</f>
        <v>#NAME?</v>
      </c>
      <c r="R1072" s="4" t="e">
        <f ca="1">[1]!BexGetData("DP_1","00O2TNJGODT0G5Z4TTKYMMBYD","GSON1112080263")</f>
        <v>#NAME?</v>
      </c>
      <c r="S1072" s="4" t="e">
        <f ca="1">[1]!BexGetData("DP_1","00O2TNJGODT0G5Z4TTKYMMI9X","GSON1112080263")</f>
        <v>#NAME?</v>
      </c>
      <c r="T1072" s="4" t="e">
        <f ca="1">[1]!BexGetData("DP_1","00O2TNJGODT0G5Z4TTKYMMOLH","GSON1112080263")</f>
        <v>#NAME?</v>
      </c>
      <c r="U1072" s="4" t="e">
        <f ca="1">[1]!BexGetData("DP_1","00O2TNJGODT0G5Z4TTKYMMUX1","GSON1112080263")</f>
        <v>#NAME?</v>
      </c>
      <c r="V1072" s="4" t="e">
        <f ca="1">[1]!BexGetData("DP_1","00O2TNJGODT0G5Z4TTKYMN18L","GSON1112080263")</f>
        <v>#NAME?</v>
      </c>
      <c r="W1072" s="4" t="e">
        <f ca="1">[1]!BexGetData("DP_1","00O2TNJGODT0G5Z4TTKYMN7K5","GSON1112080263")</f>
        <v>#NAME?</v>
      </c>
    </row>
    <row r="1073" spans="1:23" x14ac:dyDescent="0.2">
      <c r="A1073" s="16" t="s">
        <v>274</v>
      </c>
      <c r="B1073" s="7" t="s">
        <v>275</v>
      </c>
      <c r="C1073" s="8" t="e">
        <f ca="1">[1]!BexGetData("DP_1","003N8EMH8GTFRCSWKMPXRR8GU","GSON1112080270")</f>
        <v>#NAME?</v>
      </c>
      <c r="D1073" s="3" t="e">
        <f ca="1">[1]!BexGetData("DP_1","003N8EMH8GTFRCSWKMPXRRESE","GSON1112080270")</f>
        <v>#NAME?</v>
      </c>
      <c r="E1073" s="8" t="e">
        <f ca="1">[1]!BexGetData("DP_1","003N8EMH8GTFRCSWKMPXRRL3Y","GSON1112080270")</f>
        <v>#NAME?</v>
      </c>
      <c r="F1073" s="3" t="e">
        <f ca="1">[1]!BexGetData("DP_1","003N8EMH8GTFRCSWKMPXRRRFI","GSON1112080270")</f>
        <v>#NAME?</v>
      </c>
      <c r="G1073" s="3" t="e">
        <f ca="1">[1]!BexGetData("DP_1","003N8EMH8GTFRCSWKMPXRRXR2","GSON1112080270")</f>
        <v>#NAME?</v>
      </c>
      <c r="H1073" s="8" t="e">
        <f ca="1">[1]!BexGetData("DP_1","003N8EMH8GTFRCSWKMPXRS42M","GSON1112080270")</f>
        <v>#NAME?</v>
      </c>
      <c r="I1073" s="3" t="e">
        <f ca="1">[1]!BexGetData("DP_1","003N8EMH8GTFRCSWKMPXRSAE6","GSON1112080270")</f>
        <v>#NAME?</v>
      </c>
      <c r="J1073" s="4" t="e">
        <f ca="1">[1]!BexGetData("DP_1","003N8EMH8GTFRCSWKMPXRSGPQ","GSON1112080270")</f>
        <v>#NAME?</v>
      </c>
      <c r="K1073" s="3" t="e">
        <f ca="1">[1]!BexGetData("DP_1","003N8EMH8GTFRIVNUPY288VJH","GSON1112080270")</f>
        <v>#NAME?</v>
      </c>
      <c r="L1073" s="3" t="e">
        <f ca="1">[1]!BexGetData("DP_1","003N8EMH8GTFRIVNUPY2891V1","GSON1112080270")</f>
        <v>#NAME?</v>
      </c>
      <c r="M1073" s="3" t="e">
        <f ca="1">[1]!BexGetData("DP_1","003N8EMH8GTFRIVOG7KG9IQXA","GSON1112080270")</f>
        <v>#NAME?</v>
      </c>
      <c r="N1073" s="8" t="e">
        <f ca="1">[1]!BexGetData("DP_1","003N8EMH8GTFRIVOG7KG9IX8U","GSON1112080270")</f>
        <v>#NAME?</v>
      </c>
      <c r="O1073" s="3" t="e">
        <f ca="1">[1]!BexGetData("DP_1","003N8EMH8GTFRIVOG7KG9J3KE","GSON1112080270")</f>
        <v>#NAME?</v>
      </c>
      <c r="P1073" s="8" t="e">
        <f ca="1">[1]!BexGetData("DP_1","003N8EMH8GTFRIVOG7KG9J9VY","GSON1112080270")</f>
        <v>#NAME?</v>
      </c>
      <c r="Q1073" s="4" t="e">
        <f ca="1">[1]!BexGetData("DP_1","00O2TNJGODT0G5Z4TTKYMM5MT","GSON1112080270")</f>
        <v>#NAME?</v>
      </c>
      <c r="R1073" s="3" t="e">
        <f ca="1">[1]!BexGetData("DP_1","00O2TNJGODT0G5Z4TTKYMMBYD","GSON1112080270")</f>
        <v>#NAME?</v>
      </c>
      <c r="S1073" s="3" t="e">
        <f ca="1">[1]!BexGetData("DP_1","00O2TNJGODT0G5Z4TTKYMMI9X","GSON1112080270")</f>
        <v>#NAME?</v>
      </c>
      <c r="T1073" s="8" t="e">
        <f ca="1">[1]!BexGetData("DP_1","00O2TNJGODT0G5Z4TTKYMMOLH","GSON1112080270")</f>
        <v>#NAME?</v>
      </c>
      <c r="U1073" s="3" t="e">
        <f ca="1">[1]!BexGetData("DP_1","00O2TNJGODT0G5Z4TTKYMMUX1","GSON1112080270")</f>
        <v>#NAME?</v>
      </c>
      <c r="V1073" s="8" t="e">
        <f ca="1">[1]!BexGetData("DP_1","00O2TNJGODT0G5Z4TTKYMN18L","GSON1112080270")</f>
        <v>#NAME?</v>
      </c>
      <c r="W1073" s="3" t="e">
        <f ca="1">[1]!BexGetData("DP_1","00O2TNJGODT0G5Z4TTKYMN7K5","GSON1112080270")</f>
        <v>#NAME?</v>
      </c>
    </row>
    <row r="1074" spans="1:23" x14ac:dyDescent="0.2">
      <c r="A1074" s="16" t="s">
        <v>276</v>
      </c>
      <c r="B1074" s="7" t="s">
        <v>277</v>
      </c>
      <c r="C1074" s="3" t="e">
        <f ca="1">[1]!BexGetData("DP_1","003N8EMH8GTFRCSWKMPXRR8GU","GSON1112080273")</f>
        <v>#NAME?</v>
      </c>
      <c r="D1074" s="3" t="e">
        <f ca="1">[1]!BexGetData("DP_1","003N8EMH8GTFRCSWKMPXRRESE","GSON1112080273")</f>
        <v>#NAME?</v>
      </c>
      <c r="E1074" s="8" t="e">
        <f ca="1">[1]!BexGetData("DP_1","003N8EMH8GTFRCSWKMPXRRL3Y","GSON1112080273")</f>
        <v>#NAME?</v>
      </c>
      <c r="F1074" s="4" t="e">
        <f ca="1">[1]!BexGetData("DP_1","003N8EMH8GTFRCSWKMPXRRRFI","GSON1112080273")</f>
        <v>#NAME?</v>
      </c>
      <c r="G1074" s="4" t="e">
        <f ca="1">[1]!BexGetData("DP_1","003N8EMH8GTFRCSWKMPXRRXR2","GSON1112080273")</f>
        <v>#NAME?</v>
      </c>
      <c r="H1074" s="4" t="e">
        <f ca="1">[1]!BexGetData("DP_1","003N8EMH8GTFRCSWKMPXRS42M","GSON1112080273")</f>
        <v>#NAME?</v>
      </c>
      <c r="I1074" s="4" t="e">
        <f ca="1">[1]!BexGetData("DP_1","003N8EMH8GTFRCSWKMPXRSAE6","GSON1112080273")</f>
        <v>#NAME?</v>
      </c>
      <c r="J1074" s="4" t="e">
        <f ca="1">[1]!BexGetData("DP_1","003N8EMH8GTFRCSWKMPXRSGPQ","GSON1112080273")</f>
        <v>#NAME?</v>
      </c>
      <c r="K1074" s="8" t="e">
        <f ca="1">[1]!BexGetData("DP_1","003N8EMH8GTFRIVNUPY288VJH","GSON1112080273")</f>
        <v>#NAME?</v>
      </c>
      <c r="L1074" s="8" t="e">
        <f ca="1">[1]!BexGetData("DP_1","003N8EMH8GTFRIVNUPY2891V1","GSON1112080273")</f>
        <v>#NAME?</v>
      </c>
      <c r="M1074" s="8" t="e">
        <f ca="1">[1]!BexGetData("DP_1","003N8EMH8GTFRIVOG7KG9IQXA","GSON1112080273")</f>
        <v>#NAME?</v>
      </c>
      <c r="N1074" s="8" t="e">
        <f ca="1">[1]!BexGetData("DP_1","003N8EMH8GTFRIVOG7KG9IX8U","GSON1112080273")</f>
        <v>#NAME?</v>
      </c>
      <c r="O1074" s="8" t="e">
        <f ca="1">[1]!BexGetData("DP_1","003N8EMH8GTFRIVOG7KG9J3KE","GSON1112080273")</f>
        <v>#NAME?</v>
      </c>
      <c r="P1074" s="8" t="e">
        <f ca="1">[1]!BexGetData("DP_1","003N8EMH8GTFRIVOG7KG9J9VY","GSON1112080273")</f>
        <v>#NAME?</v>
      </c>
      <c r="Q1074" s="4" t="e">
        <f ca="1">[1]!BexGetData("DP_1","00O2TNJGODT0G5Z4TTKYMM5MT","GSON1112080273")</f>
        <v>#NAME?</v>
      </c>
      <c r="R1074" s="4" t="e">
        <f ca="1">[1]!BexGetData("DP_1","00O2TNJGODT0G5Z4TTKYMMBYD","GSON1112080273")</f>
        <v>#NAME?</v>
      </c>
      <c r="S1074" s="4" t="e">
        <f ca="1">[1]!BexGetData("DP_1","00O2TNJGODT0G5Z4TTKYMMI9X","GSON1112080273")</f>
        <v>#NAME?</v>
      </c>
      <c r="T1074" s="4" t="e">
        <f ca="1">[1]!BexGetData("DP_1","00O2TNJGODT0G5Z4TTKYMMOLH","GSON1112080273")</f>
        <v>#NAME?</v>
      </c>
      <c r="U1074" s="4" t="e">
        <f ca="1">[1]!BexGetData("DP_1","00O2TNJGODT0G5Z4TTKYMMUX1","GSON1112080273")</f>
        <v>#NAME?</v>
      </c>
      <c r="V1074" s="4" t="e">
        <f ca="1">[1]!BexGetData("DP_1","00O2TNJGODT0G5Z4TTKYMN18L","GSON1112080273")</f>
        <v>#NAME?</v>
      </c>
      <c r="W1074" s="4" t="e">
        <f ca="1">[1]!BexGetData("DP_1","00O2TNJGODT0G5Z4TTKYMN7K5","GSON1112080273")</f>
        <v>#NAME?</v>
      </c>
    </row>
    <row r="1075" spans="1:23" x14ac:dyDescent="0.2">
      <c r="A1075" s="16" t="s">
        <v>278</v>
      </c>
      <c r="B1075" s="7" t="s">
        <v>279</v>
      </c>
      <c r="C1075" s="8" t="e">
        <f ca="1">[1]!BexGetData("DP_1","003N8EMH8GTFRCSWKMPXRR8GU","GSON1112080280")</f>
        <v>#NAME?</v>
      </c>
      <c r="D1075" s="3" t="e">
        <f ca="1">[1]!BexGetData("DP_1","003N8EMH8GTFRCSWKMPXRRESE","GSON1112080280")</f>
        <v>#NAME?</v>
      </c>
      <c r="E1075" s="8" t="e">
        <f ca="1">[1]!BexGetData("DP_1","003N8EMH8GTFRCSWKMPXRRL3Y","GSON1112080280")</f>
        <v>#NAME?</v>
      </c>
      <c r="F1075" s="3" t="e">
        <f ca="1">[1]!BexGetData("DP_1","003N8EMH8GTFRCSWKMPXRRRFI","GSON1112080280")</f>
        <v>#NAME?</v>
      </c>
      <c r="G1075" s="3" t="e">
        <f ca="1">[1]!BexGetData("DP_1","003N8EMH8GTFRCSWKMPXRRXR2","GSON1112080280")</f>
        <v>#NAME?</v>
      </c>
      <c r="H1075" s="8" t="e">
        <f ca="1">[1]!BexGetData("DP_1","003N8EMH8GTFRCSWKMPXRS42M","GSON1112080280")</f>
        <v>#NAME?</v>
      </c>
      <c r="I1075" s="3" t="e">
        <f ca="1">[1]!BexGetData("DP_1","003N8EMH8GTFRCSWKMPXRSAE6","GSON1112080280")</f>
        <v>#NAME?</v>
      </c>
      <c r="J1075" s="4" t="e">
        <f ca="1">[1]!BexGetData("DP_1","003N8EMH8GTFRCSWKMPXRSGPQ","GSON1112080280")</f>
        <v>#NAME?</v>
      </c>
      <c r="K1075" s="3" t="e">
        <f ca="1">[1]!BexGetData("DP_1","003N8EMH8GTFRIVNUPY288VJH","GSON1112080280")</f>
        <v>#NAME?</v>
      </c>
      <c r="L1075" s="3" t="e">
        <f ca="1">[1]!BexGetData("DP_1","003N8EMH8GTFRIVNUPY2891V1","GSON1112080280")</f>
        <v>#NAME?</v>
      </c>
      <c r="M1075" s="3" t="e">
        <f ca="1">[1]!BexGetData("DP_1","003N8EMH8GTFRIVOG7KG9IQXA","GSON1112080280")</f>
        <v>#NAME?</v>
      </c>
      <c r="N1075" s="8" t="e">
        <f ca="1">[1]!BexGetData("DP_1","003N8EMH8GTFRIVOG7KG9IX8U","GSON1112080280")</f>
        <v>#NAME?</v>
      </c>
      <c r="O1075" s="3" t="e">
        <f ca="1">[1]!BexGetData("DP_1","003N8EMH8GTFRIVOG7KG9J3KE","GSON1112080280")</f>
        <v>#NAME?</v>
      </c>
      <c r="P1075" s="8" t="e">
        <f ca="1">[1]!BexGetData("DP_1","003N8EMH8GTFRIVOG7KG9J9VY","GSON1112080280")</f>
        <v>#NAME?</v>
      </c>
      <c r="Q1075" s="4" t="e">
        <f ca="1">[1]!BexGetData("DP_1","00O2TNJGODT0G5Z4TTKYMM5MT","GSON1112080280")</f>
        <v>#NAME?</v>
      </c>
      <c r="R1075" s="3" t="e">
        <f ca="1">[1]!BexGetData("DP_1","00O2TNJGODT0G5Z4TTKYMMBYD","GSON1112080280")</f>
        <v>#NAME?</v>
      </c>
      <c r="S1075" s="3" t="e">
        <f ca="1">[1]!BexGetData("DP_1","00O2TNJGODT0G5Z4TTKYMMI9X","GSON1112080280")</f>
        <v>#NAME?</v>
      </c>
      <c r="T1075" s="8" t="e">
        <f ca="1">[1]!BexGetData("DP_1","00O2TNJGODT0G5Z4TTKYMMOLH","GSON1112080280")</f>
        <v>#NAME?</v>
      </c>
      <c r="U1075" s="3" t="e">
        <f ca="1">[1]!BexGetData("DP_1","00O2TNJGODT0G5Z4TTKYMMUX1","GSON1112080280")</f>
        <v>#NAME?</v>
      </c>
      <c r="V1075" s="8" t="e">
        <f ca="1">[1]!BexGetData("DP_1","00O2TNJGODT0G5Z4TTKYMN18L","GSON1112080280")</f>
        <v>#NAME?</v>
      </c>
      <c r="W1075" s="3" t="e">
        <f ca="1">[1]!BexGetData("DP_1","00O2TNJGODT0G5Z4TTKYMN7K5","GSON1112080280")</f>
        <v>#NAME?</v>
      </c>
    </row>
    <row r="1076" spans="1:23" x14ac:dyDescent="0.2">
      <c r="A1076" s="16" t="s">
        <v>280</v>
      </c>
      <c r="B1076" s="7" t="s">
        <v>281</v>
      </c>
      <c r="C1076" s="3" t="e">
        <f ca="1">[1]!BexGetData("DP_1","003N8EMH8GTFRCSWKMPXRR8GU","GSON1112080283")</f>
        <v>#NAME?</v>
      </c>
      <c r="D1076" s="3" t="e">
        <f ca="1">[1]!BexGetData("DP_1","003N8EMH8GTFRCSWKMPXRRESE","GSON1112080283")</f>
        <v>#NAME?</v>
      </c>
      <c r="E1076" s="8" t="e">
        <f ca="1">[1]!BexGetData("DP_1","003N8EMH8GTFRCSWKMPXRRL3Y","GSON1112080283")</f>
        <v>#NAME?</v>
      </c>
      <c r="F1076" s="4" t="e">
        <f ca="1">[1]!BexGetData("DP_1","003N8EMH8GTFRCSWKMPXRRRFI","GSON1112080283")</f>
        <v>#NAME?</v>
      </c>
      <c r="G1076" s="4" t="e">
        <f ca="1">[1]!BexGetData("DP_1","003N8EMH8GTFRCSWKMPXRRXR2","GSON1112080283")</f>
        <v>#NAME?</v>
      </c>
      <c r="H1076" s="4" t="e">
        <f ca="1">[1]!BexGetData("DP_1","003N8EMH8GTFRCSWKMPXRS42M","GSON1112080283")</f>
        <v>#NAME?</v>
      </c>
      <c r="I1076" s="4" t="e">
        <f ca="1">[1]!BexGetData("DP_1","003N8EMH8GTFRCSWKMPXRSAE6","GSON1112080283")</f>
        <v>#NAME?</v>
      </c>
      <c r="J1076" s="4" t="e">
        <f ca="1">[1]!BexGetData("DP_1","003N8EMH8GTFRCSWKMPXRSGPQ","GSON1112080283")</f>
        <v>#NAME?</v>
      </c>
      <c r="K1076" s="8" t="e">
        <f ca="1">[1]!BexGetData("DP_1","003N8EMH8GTFRIVNUPY288VJH","GSON1112080283")</f>
        <v>#NAME?</v>
      </c>
      <c r="L1076" s="8" t="e">
        <f ca="1">[1]!BexGetData("DP_1","003N8EMH8GTFRIVNUPY2891V1","GSON1112080283")</f>
        <v>#NAME?</v>
      </c>
      <c r="M1076" s="8" t="e">
        <f ca="1">[1]!BexGetData("DP_1","003N8EMH8GTFRIVOG7KG9IQXA","GSON1112080283")</f>
        <v>#NAME?</v>
      </c>
      <c r="N1076" s="8" t="e">
        <f ca="1">[1]!BexGetData("DP_1","003N8EMH8GTFRIVOG7KG9IX8U","GSON1112080283")</f>
        <v>#NAME?</v>
      </c>
      <c r="O1076" s="8" t="e">
        <f ca="1">[1]!BexGetData("DP_1","003N8EMH8GTFRIVOG7KG9J3KE","GSON1112080283")</f>
        <v>#NAME?</v>
      </c>
      <c r="P1076" s="8" t="e">
        <f ca="1">[1]!BexGetData("DP_1","003N8EMH8GTFRIVOG7KG9J9VY","GSON1112080283")</f>
        <v>#NAME?</v>
      </c>
      <c r="Q1076" s="4" t="e">
        <f ca="1">[1]!BexGetData("DP_1","00O2TNJGODT0G5Z4TTKYMM5MT","GSON1112080283")</f>
        <v>#NAME?</v>
      </c>
      <c r="R1076" s="4" t="e">
        <f ca="1">[1]!BexGetData("DP_1","00O2TNJGODT0G5Z4TTKYMMBYD","GSON1112080283")</f>
        <v>#NAME?</v>
      </c>
      <c r="S1076" s="4" t="e">
        <f ca="1">[1]!BexGetData("DP_1","00O2TNJGODT0G5Z4TTKYMMI9X","GSON1112080283")</f>
        <v>#NAME?</v>
      </c>
      <c r="T1076" s="4" t="e">
        <f ca="1">[1]!BexGetData("DP_1","00O2TNJGODT0G5Z4TTKYMMOLH","GSON1112080283")</f>
        <v>#NAME?</v>
      </c>
      <c r="U1076" s="4" t="e">
        <f ca="1">[1]!BexGetData("DP_1","00O2TNJGODT0G5Z4TTKYMMUX1","GSON1112080283")</f>
        <v>#NAME?</v>
      </c>
      <c r="V1076" s="4" t="e">
        <f ca="1">[1]!BexGetData("DP_1","00O2TNJGODT0G5Z4TTKYMN18L","GSON1112080283")</f>
        <v>#NAME?</v>
      </c>
      <c r="W1076" s="4" t="e">
        <f ca="1">[1]!BexGetData("DP_1","00O2TNJGODT0G5Z4TTKYMN7K5","GSON1112080283")</f>
        <v>#NAME?</v>
      </c>
    </row>
    <row r="1077" spans="1:23" x14ac:dyDescent="0.2">
      <c r="A1077" s="16" t="s">
        <v>282</v>
      </c>
      <c r="B1077" s="7" t="s">
        <v>283</v>
      </c>
      <c r="C1077" s="8" t="e">
        <f ca="1">[1]!BexGetData("DP_1","003N8EMH8GTFRCSWKMPXRR8GU","GSON1112080290")</f>
        <v>#NAME?</v>
      </c>
      <c r="D1077" s="3" t="e">
        <f ca="1">[1]!BexGetData("DP_1","003N8EMH8GTFRCSWKMPXRRESE","GSON1112080290")</f>
        <v>#NAME?</v>
      </c>
      <c r="E1077" s="8" t="e">
        <f ca="1">[1]!BexGetData("DP_1","003N8EMH8GTFRCSWKMPXRRL3Y","GSON1112080290")</f>
        <v>#NAME?</v>
      </c>
      <c r="F1077" s="3" t="e">
        <f ca="1">[1]!BexGetData("DP_1","003N8EMH8GTFRCSWKMPXRRRFI","GSON1112080290")</f>
        <v>#NAME?</v>
      </c>
      <c r="G1077" s="3" t="e">
        <f ca="1">[1]!BexGetData("DP_1","003N8EMH8GTFRCSWKMPXRRXR2","GSON1112080290")</f>
        <v>#NAME?</v>
      </c>
      <c r="H1077" s="8" t="e">
        <f ca="1">[1]!BexGetData("DP_1","003N8EMH8GTFRCSWKMPXRS42M","GSON1112080290")</f>
        <v>#NAME?</v>
      </c>
      <c r="I1077" s="3" t="e">
        <f ca="1">[1]!BexGetData("DP_1","003N8EMH8GTFRCSWKMPXRSAE6","GSON1112080290")</f>
        <v>#NAME?</v>
      </c>
      <c r="J1077" s="4" t="e">
        <f ca="1">[1]!BexGetData("DP_1","003N8EMH8GTFRCSWKMPXRSGPQ","GSON1112080290")</f>
        <v>#NAME?</v>
      </c>
      <c r="K1077" s="3" t="e">
        <f ca="1">[1]!BexGetData("DP_1","003N8EMH8GTFRIVNUPY288VJH","GSON1112080290")</f>
        <v>#NAME?</v>
      </c>
      <c r="L1077" s="3" t="e">
        <f ca="1">[1]!BexGetData("DP_1","003N8EMH8GTFRIVNUPY2891V1","GSON1112080290")</f>
        <v>#NAME?</v>
      </c>
      <c r="M1077" s="3" t="e">
        <f ca="1">[1]!BexGetData("DP_1","003N8EMH8GTFRIVOG7KG9IQXA","GSON1112080290")</f>
        <v>#NAME?</v>
      </c>
      <c r="N1077" s="8" t="e">
        <f ca="1">[1]!BexGetData("DP_1","003N8EMH8GTFRIVOG7KG9IX8U","GSON1112080290")</f>
        <v>#NAME?</v>
      </c>
      <c r="O1077" s="3" t="e">
        <f ca="1">[1]!BexGetData("DP_1","003N8EMH8GTFRIVOG7KG9J3KE","GSON1112080290")</f>
        <v>#NAME?</v>
      </c>
      <c r="P1077" s="8" t="e">
        <f ca="1">[1]!BexGetData("DP_1","003N8EMH8GTFRIVOG7KG9J9VY","GSON1112080290")</f>
        <v>#NAME?</v>
      </c>
      <c r="Q1077" s="4" t="e">
        <f ca="1">[1]!BexGetData("DP_1","00O2TNJGODT0G5Z4TTKYMM5MT","GSON1112080290")</f>
        <v>#NAME?</v>
      </c>
      <c r="R1077" s="3" t="e">
        <f ca="1">[1]!BexGetData("DP_1","00O2TNJGODT0G5Z4TTKYMMBYD","GSON1112080290")</f>
        <v>#NAME?</v>
      </c>
      <c r="S1077" s="3" t="e">
        <f ca="1">[1]!BexGetData("DP_1","00O2TNJGODT0G5Z4TTKYMMI9X","GSON1112080290")</f>
        <v>#NAME?</v>
      </c>
      <c r="T1077" s="8" t="e">
        <f ca="1">[1]!BexGetData("DP_1","00O2TNJGODT0G5Z4TTKYMMOLH","GSON1112080290")</f>
        <v>#NAME?</v>
      </c>
      <c r="U1077" s="3" t="e">
        <f ca="1">[1]!BexGetData("DP_1","00O2TNJGODT0G5Z4TTKYMMUX1","GSON1112080290")</f>
        <v>#NAME?</v>
      </c>
      <c r="V1077" s="8" t="e">
        <f ca="1">[1]!BexGetData("DP_1","00O2TNJGODT0G5Z4TTKYMN18L","GSON1112080290")</f>
        <v>#NAME?</v>
      </c>
      <c r="W1077" s="3" t="e">
        <f ca="1">[1]!BexGetData("DP_1","00O2TNJGODT0G5Z4TTKYMN7K5","GSON1112080290")</f>
        <v>#NAME?</v>
      </c>
    </row>
    <row r="1078" spans="1:23" x14ac:dyDescent="0.2">
      <c r="A1078" s="16" t="s">
        <v>284</v>
      </c>
      <c r="B1078" s="7" t="s">
        <v>285</v>
      </c>
      <c r="C1078" s="3" t="e">
        <f ca="1">[1]!BexGetData("DP_1","003N8EMH8GTFRCSWKMPXRR8GU","GSON1112080293")</f>
        <v>#NAME?</v>
      </c>
      <c r="D1078" s="3" t="e">
        <f ca="1">[1]!BexGetData("DP_1","003N8EMH8GTFRCSWKMPXRRESE","GSON1112080293")</f>
        <v>#NAME?</v>
      </c>
      <c r="E1078" s="8" t="e">
        <f ca="1">[1]!BexGetData("DP_1","003N8EMH8GTFRCSWKMPXRRL3Y","GSON1112080293")</f>
        <v>#NAME?</v>
      </c>
      <c r="F1078" s="4" t="e">
        <f ca="1">[1]!BexGetData("DP_1","003N8EMH8GTFRCSWKMPXRRRFI","GSON1112080293")</f>
        <v>#NAME?</v>
      </c>
      <c r="G1078" s="4" t="e">
        <f ca="1">[1]!BexGetData("DP_1","003N8EMH8GTFRCSWKMPXRRXR2","GSON1112080293")</f>
        <v>#NAME?</v>
      </c>
      <c r="H1078" s="4" t="e">
        <f ca="1">[1]!BexGetData("DP_1","003N8EMH8GTFRCSWKMPXRS42M","GSON1112080293")</f>
        <v>#NAME?</v>
      </c>
      <c r="I1078" s="4" t="e">
        <f ca="1">[1]!BexGetData("DP_1","003N8EMH8GTFRCSWKMPXRSAE6","GSON1112080293")</f>
        <v>#NAME?</v>
      </c>
      <c r="J1078" s="4" t="e">
        <f ca="1">[1]!BexGetData("DP_1","003N8EMH8GTFRCSWKMPXRSGPQ","GSON1112080293")</f>
        <v>#NAME?</v>
      </c>
      <c r="K1078" s="8" t="e">
        <f ca="1">[1]!BexGetData("DP_1","003N8EMH8GTFRIVNUPY288VJH","GSON1112080293")</f>
        <v>#NAME?</v>
      </c>
      <c r="L1078" s="8" t="e">
        <f ca="1">[1]!BexGetData("DP_1","003N8EMH8GTFRIVNUPY2891V1","GSON1112080293")</f>
        <v>#NAME?</v>
      </c>
      <c r="M1078" s="8" t="e">
        <f ca="1">[1]!BexGetData("DP_1","003N8EMH8GTFRIVOG7KG9IQXA","GSON1112080293")</f>
        <v>#NAME?</v>
      </c>
      <c r="N1078" s="8" t="e">
        <f ca="1">[1]!BexGetData("DP_1","003N8EMH8GTFRIVOG7KG9IX8U","GSON1112080293")</f>
        <v>#NAME?</v>
      </c>
      <c r="O1078" s="8" t="e">
        <f ca="1">[1]!BexGetData("DP_1","003N8EMH8GTFRIVOG7KG9J3KE","GSON1112080293")</f>
        <v>#NAME?</v>
      </c>
      <c r="P1078" s="8" t="e">
        <f ca="1">[1]!BexGetData("DP_1","003N8EMH8GTFRIVOG7KG9J9VY","GSON1112080293")</f>
        <v>#NAME?</v>
      </c>
      <c r="Q1078" s="4" t="e">
        <f ca="1">[1]!BexGetData("DP_1","00O2TNJGODT0G5Z4TTKYMM5MT","GSON1112080293")</f>
        <v>#NAME?</v>
      </c>
      <c r="R1078" s="4" t="e">
        <f ca="1">[1]!BexGetData("DP_1","00O2TNJGODT0G5Z4TTKYMMBYD","GSON1112080293")</f>
        <v>#NAME?</v>
      </c>
      <c r="S1078" s="4" t="e">
        <f ca="1">[1]!BexGetData("DP_1","00O2TNJGODT0G5Z4TTKYMMI9X","GSON1112080293")</f>
        <v>#NAME?</v>
      </c>
      <c r="T1078" s="4" t="e">
        <f ca="1">[1]!BexGetData("DP_1","00O2TNJGODT0G5Z4TTKYMMOLH","GSON1112080293")</f>
        <v>#NAME?</v>
      </c>
      <c r="U1078" s="4" t="e">
        <f ca="1">[1]!BexGetData("DP_1","00O2TNJGODT0G5Z4TTKYMMUX1","GSON1112080293")</f>
        <v>#NAME?</v>
      </c>
      <c r="V1078" s="4" t="e">
        <f ca="1">[1]!BexGetData("DP_1","00O2TNJGODT0G5Z4TTKYMN18L","GSON1112080293")</f>
        <v>#NAME?</v>
      </c>
      <c r="W1078" s="4" t="e">
        <f ca="1">[1]!BexGetData("DP_1","00O2TNJGODT0G5Z4TTKYMN7K5","GSON1112080293")</f>
        <v>#NAME?</v>
      </c>
    </row>
    <row r="1079" spans="1:23" x14ac:dyDescent="0.2">
      <c r="A1079" s="16" t="s">
        <v>286</v>
      </c>
      <c r="B1079" s="7" t="s">
        <v>287</v>
      </c>
      <c r="C1079" s="8" t="e">
        <f ca="1">[1]!BexGetData("DP_1","003N8EMH8GTFRCSWKMPXRR8GU","GSON1112080300")</f>
        <v>#NAME?</v>
      </c>
      <c r="D1079" s="3" t="e">
        <f ca="1">[1]!BexGetData("DP_1","003N8EMH8GTFRCSWKMPXRRESE","GSON1112080300")</f>
        <v>#NAME?</v>
      </c>
      <c r="E1079" s="8" t="e">
        <f ca="1">[1]!BexGetData("DP_1","003N8EMH8GTFRCSWKMPXRRL3Y","GSON1112080300")</f>
        <v>#NAME?</v>
      </c>
      <c r="F1079" s="3" t="e">
        <f ca="1">[1]!BexGetData("DP_1","003N8EMH8GTFRCSWKMPXRRRFI","GSON1112080300")</f>
        <v>#NAME?</v>
      </c>
      <c r="G1079" s="3" t="e">
        <f ca="1">[1]!BexGetData("DP_1","003N8EMH8GTFRCSWKMPXRRXR2","GSON1112080300")</f>
        <v>#NAME?</v>
      </c>
      <c r="H1079" s="8" t="e">
        <f ca="1">[1]!BexGetData("DP_1","003N8EMH8GTFRCSWKMPXRS42M","GSON1112080300")</f>
        <v>#NAME?</v>
      </c>
      <c r="I1079" s="3" t="e">
        <f ca="1">[1]!BexGetData("DP_1","003N8EMH8GTFRCSWKMPXRSAE6","GSON1112080300")</f>
        <v>#NAME?</v>
      </c>
      <c r="J1079" s="4" t="e">
        <f ca="1">[1]!BexGetData("DP_1","003N8EMH8GTFRCSWKMPXRSGPQ","GSON1112080300")</f>
        <v>#NAME?</v>
      </c>
      <c r="K1079" s="3" t="e">
        <f ca="1">[1]!BexGetData("DP_1","003N8EMH8GTFRIVNUPY288VJH","GSON1112080300")</f>
        <v>#NAME?</v>
      </c>
      <c r="L1079" s="3" t="e">
        <f ca="1">[1]!BexGetData("DP_1","003N8EMH8GTFRIVNUPY2891V1","GSON1112080300")</f>
        <v>#NAME?</v>
      </c>
      <c r="M1079" s="3" t="e">
        <f ca="1">[1]!BexGetData("DP_1","003N8EMH8GTFRIVOG7KG9IQXA","GSON1112080300")</f>
        <v>#NAME?</v>
      </c>
      <c r="N1079" s="8" t="e">
        <f ca="1">[1]!BexGetData("DP_1","003N8EMH8GTFRIVOG7KG9IX8U","GSON1112080300")</f>
        <v>#NAME?</v>
      </c>
      <c r="O1079" s="3" t="e">
        <f ca="1">[1]!BexGetData("DP_1","003N8EMH8GTFRIVOG7KG9J3KE","GSON1112080300")</f>
        <v>#NAME?</v>
      </c>
      <c r="P1079" s="8" t="e">
        <f ca="1">[1]!BexGetData("DP_1","003N8EMH8GTFRIVOG7KG9J9VY","GSON1112080300")</f>
        <v>#NAME?</v>
      </c>
      <c r="Q1079" s="4" t="e">
        <f ca="1">[1]!BexGetData("DP_1","00O2TNJGODT0G5Z4TTKYMM5MT","GSON1112080300")</f>
        <v>#NAME?</v>
      </c>
      <c r="R1079" s="3" t="e">
        <f ca="1">[1]!BexGetData("DP_1","00O2TNJGODT0G5Z4TTKYMMBYD","GSON1112080300")</f>
        <v>#NAME?</v>
      </c>
      <c r="S1079" s="3" t="e">
        <f ca="1">[1]!BexGetData("DP_1","00O2TNJGODT0G5Z4TTKYMMI9X","GSON1112080300")</f>
        <v>#NAME?</v>
      </c>
      <c r="T1079" s="8" t="e">
        <f ca="1">[1]!BexGetData("DP_1","00O2TNJGODT0G5Z4TTKYMMOLH","GSON1112080300")</f>
        <v>#NAME?</v>
      </c>
      <c r="U1079" s="3" t="e">
        <f ca="1">[1]!BexGetData("DP_1","00O2TNJGODT0G5Z4TTKYMMUX1","GSON1112080300")</f>
        <v>#NAME?</v>
      </c>
      <c r="V1079" s="8" t="e">
        <f ca="1">[1]!BexGetData("DP_1","00O2TNJGODT0G5Z4TTKYMN18L","GSON1112080300")</f>
        <v>#NAME?</v>
      </c>
      <c r="W1079" s="3" t="e">
        <f ca="1">[1]!BexGetData("DP_1","00O2TNJGODT0G5Z4TTKYMN7K5","GSON1112080300")</f>
        <v>#NAME?</v>
      </c>
    </row>
    <row r="1080" spans="1:23" x14ac:dyDescent="0.2">
      <c r="A1080" s="16" t="s">
        <v>288</v>
      </c>
      <c r="B1080" s="7" t="s">
        <v>289</v>
      </c>
      <c r="C1080" s="8" t="e">
        <f ca="1">[1]!BexGetData("DP_1","003N8EMH8GTFRCSWKMPXRR8GU","GSON1112080301")</f>
        <v>#NAME?</v>
      </c>
      <c r="D1080" s="8" t="e">
        <f ca="1">[1]!BexGetData("DP_1","003N8EMH8GTFRCSWKMPXRRESE","GSON1112080301")</f>
        <v>#NAME?</v>
      </c>
      <c r="E1080" s="3" t="e">
        <f ca="1">[1]!BexGetData("DP_1","003N8EMH8GTFRCSWKMPXRRL3Y","GSON1112080301")</f>
        <v>#NAME?</v>
      </c>
      <c r="F1080" s="3" t="e">
        <f ca="1">[1]!BexGetData("DP_1","003N8EMH8GTFRCSWKMPXRRRFI","GSON1112080301")</f>
        <v>#NAME?</v>
      </c>
      <c r="G1080" s="3" t="e">
        <f ca="1">[1]!BexGetData("DP_1","003N8EMH8GTFRCSWKMPXRRXR2","GSON1112080301")</f>
        <v>#NAME?</v>
      </c>
      <c r="H1080" s="8" t="e">
        <f ca="1">[1]!BexGetData("DP_1","003N8EMH8GTFRCSWKMPXRS42M","GSON1112080301")</f>
        <v>#NAME?</v>
      </c>
      <c r="I1080" s="3" t="e">
        <f ca="1">[1]!BexGetData("DP_1","003N8EMH8GTFRCSWKMPXRSAE6","GSON1112080301")</f>
        <v>#NAME?</v>
      </c>
      <c r="J1080" s="4" t="e">
        <f ca="1">[1]!BexGetData("DP_1","003N8EMH8GTFRCSWKMPXRSGPQ","GSON1112080301")</f>
        <v>#NAME?</v>
      </c>
      <c r="K1080" s="8" t="e">
        <f ca="1">[1]!BexGetData("DP_1","003N8EMH8GTFRIVNUPY288VJH","GSON1112080301")</f>
        <v>#NAME?</v>
      </c>
      <c r="L1080" s="8" t="e">
        <f ca="1">[1]!BexGetData("DP_1","003N8EMH8GTFRIVNUPY2891V1","GSON1112080301")</f>
        <v>#NAME?</v>
      </c>
      <c r="M1080" s="8" t="e">
        <f ca="1">[1]!BexGetData("DP_1","003N8EMH8GTFRIVOG7KG9IQXA","GSON1112080301")</f>
        <v>#NAME?</v>
      </c>
      <c r="N1080" s="8" t="e">
        <f ca="1">[1]!BexGetData("DP_1","003N8EMH8GTFRIVOG7KG9IX8U","GSON1112080301")</f>
        <v>#NAME?</v>
      </c>
      <c r="O1080" s="8" t="e">
        <f ca="1">[1]!BexGetData("DP_1","003N8EMH8GTFRIVOG7KG9J3KE","GSON1112080301")</f>
        <v>#NAME?</v>
      </c>
      <c r="P1080" s="8" t="e">
        <f ca="1">[1]!BexGetData("DP_1","003N8EMH8GTFRIVOG7KG9J9VY","GSON1112080301")</f>
        <v>#NAME?</v>
      </c>
      <c r="Q1080" s="4" t="e">
        <f ca="1">[1]!BexGetData("DP_1","00O2TNJGODT0G5Z4TTKYMM5MT","GSON1112080301")</f>
        <v>#NAME?</v>
      </c>
      <c r="R1080" s="3" t="e">
        <f ca="1">[1]!BexGetData("DP_1","00O2TNJGODT0G5Z4TTKYMMBYD","GSON1112080301")</f>
        <v>#NAME?</v>
      </c>
      <c r="S1080" s="3" t="e">
        <f ca="1">[1]!BexGetData("DP_1","00O2TNJGODT0G5Z4TTKYMMI9X","GSON1112080301")</f>
        <v>#NAME?</v>
      </c>
      <c r="T1080" s="8" t="e">
        <f ca="1">[1]!BexGetData("DP_1","00O2TNJGODT0G5Z4TTKYMMOLH","GSON1112080301")</f>
        <v>#NAME?</v>
      </c>
      <c r="U1080" s="3" t="e">
        <f ca="1">[1]!BexGetData("DP_1","00O2TNJGODT0G5Z4TTKYMMUX1","GSON1112080301")</f>
        <v>#NAME?</v>
      </c>
      <c r="V1080" s="8" t="e">
        <f ca="1">[1]!BexGetData("DP_1","00O2TNJGODT0G5Z4TTKYMN18L","GSON1112080301")</f>
        <v>#NAME?</v>
      </c>
      <c r="W1080" s="3" t="e">
        <f ca="1">[1]!BexGetData("DP_1","00O2TNJGODT0G5Z4TTKYMN7K5","GSON1112080301")</f>
        <v>#NAME?</v>
      </c>
    </row>
    <row r="1081" spans="1:23" x14ac:dyDescent="0.2">
      <c r="A1081" s="16" t="s">
        <v>290</v>
      </c>
      <c r="B1081" s="7" t="s">
        <v>291</v>
      </c>
      <c r="C1081" s="3" t="e">
        <f ca="1">[1]!BexGetData("DP_1","003N8EMH8GTFRCSWKMPXRR8GU","GSON1112080303")</f>
        <v>#NAME?</v>
      </c>
      <c r="D1081" s="3" t="e">
        <f ca="1">[1]!BexGetData("DP_1","003N8EMH8GTFRCSWKMPXRRESE","GSON1112080303")</f>
        <v>#NAME?</v>
      </c>
      <c r="E1081" s="8" t="e">
        <f ca="1">[1]!BexGetData("DP_1","003N8EMH8GTFRCSWKMPXRRL3Y","GSON1112080303")</f>
        <v>#NAME?</v>
      </c>
      <c r="F1081" s="4" t="e">
        <f ca="1">[1]!BexGetData("DP_1","003N8EMH8GTFRCSWKMPXRRRFI","GSON1112080303")</f>
        <v>#NAME?</v>
      </c>
      <c r="G1081" s="4" t="e">
        <f ca="1">[1]!BexGetData("DP_1","003N8EMH8GTFRCSWKMPXRRXR2","GSON1112080303")</f>
        <v>#NAME?</v>
      </c>
      <c r="H1081" s="4" t="e">
        <f ca="1">[1]!BexGetData("DP_1","003N8EMH8GTFRCSWKMPXRS42M","GSON1112080303")</f>
        <v>#NAME?</v>
      </c>
      <c r="I1081" s="4" t="e">
        <f ca="1">[1]!BexGetData("DP_1","003N8EMH8GTFRCSWKMPXRSAE6","GSON1112080303")</f>
        <v>#NAME?</v>
      </c>
      <c r="J1081" s="4" t="e">
        <f ca="1">[1]!BexGetData("DP_1","003N8EMH8GTFRCSWKMPXRSGPQ","GSON1112080303")</f>
        <v>#NAME?</v>
      </c>
      <c r="K1081" s="8" t="e">
        <f ca="1">[1]!BexGetData("DP_1","003N8EMH8GTFRIVNUPY288VJH","GSON1112080303")</f>
        <v>#NAME?</v>
      </c>
      <c r="L1081" s="8" t="e">
        <f ca="1">[1]!BexGetData("DP_1","003N8EMH8GTFRIVNUPY2891V1","GSON1112080303")</f>
        <v>#NAME?</v>
      </c>
      <c r="M1081" s="8" t="e">
        <f ca="1">[1]!BexGetData("DP_1","003N8EMH8GTFRIVOG7KG9IQXA","GSON1112080303")</f>
        <v>#NAME?</v>
      </c>
      <c r="N1081" s="8" t="e">
        <f ca="1">[1]!BexGetData("DP_1","003N8EMH8GTFRIVOG7KG9IX8U","GSON1112080303")</f>
        <v>#NAME?</v>
      </c>
      <c r="O1081" s="8" t="e">
        <f ca="1">[1]!BexGetData("DP_1","003N8EMH8GTFRIVOG7KG9J3KE","GSON1112080303")</f>
        <v>#NAME?</v>
      </c>
      <c r="P1081" s="8" t="e">
        <f ca="1">[1]!BexGetData("DP_1","003N8EMH8GTFRIVOG7KG9J9VY","GSON1112080303")</f>
        <v>#NAME?</v>
      </c>
      <c r="Q1081" s="4" t="e">
        <f ca="1">[1]!BexGetData("DP_1","00O2TNJGODT0G5Z4TTKYMM5MT","GSON1112080303")</f>
        <v>#NAME?</v>
      </c>
      <c r="R1081" s="4" t="e">
        <f ca="1">[1]!BexGetData("DP_1","00O2TNJGODT0G5Z4TTKYMMBYD","GSON1112080303")</f>
        <v>#NAME?</v>
      </c>
      <c r="S1081" s="4" t="e">
        <f ca="1">[1]!BexGetData("DP_1","00O2TNJGODT0G5Z4TTKYMMI9X","GSON1112080303")</f>
        <v>#NAME?</v>
      </c>
      <c r="T1081" s="4" t="e">
        <f ca="1">[1]!BexGetData("DP_1","00O2TNJGODT0G5Z4TTKYMMOLH","GSON1112080303")</f>
        <v>#NAME?</v>
      </c>
      <c r="U1081" s="4" t="e">
        <f ca="1">[1]!BexGetData("DP_1","00O2TNJGODT0G5Z4TTKYMMUX1","GSON1112080303")</f>
        <v>#NAME?</v>
      </c>
      <c r="V1081" s="4" t="e">
        <f ca="1">[1]!BexGetData("DP_1","00O2TNJGODT0G5Z4TTKYMN18L","GSON1112080303")</f>
        <v>#NAME?</v>
      </c>
      <c r="W1081" s="4" t="e">
        <f ca="1">[1]!BexGetData("DP_1","00O2TNJGODT0G5Z4TTKYMN7K5","GSON1112080303")</f>
        <v>#NAME?</v>
      </c>
    </row>
    <row r="1082" spans="1:23" x14ac:dyDescent="0.2">
      <c r="A1082" s="16" t="s">
        <v>3291</v>
      </c>
      <c r="B1082" s="7" t="s">
        <v>3292</v>
      </c>
      <c r="C1082" s="3" t="e">
        <f ca="1">[1]!BexGetData("DP_1","003N8EMH8GTFRCSWKMPXRR8GU","GSON1112080310")</f>
        <v>#NAME?</v>
      </c>
      <c r="D1082" s="3" t="e">
        <f ca="1">[1]!BexGetData("DP_1","003N8EMH8GTFRCSWKMPXRRESE","GSON1112080310")</f>
        <v>#NAME?</v>
      </c>
      <c r="E1082" s="3" t="e">
        <f ca="1">[1]!BexGetData("DP_1","003N8EMH8GTFRCSWKMPXRRL3Y","GSON1112080310")</f>
        <v>#NAME?</v>
      </c>
      <c r="F1082" s="3" t="e">
        <f ca="1">[1]!BexGetData("DP_1","003N8EMH8GTFRCSWKMPXRRRFI","GSON1112080310")</f>
        <v>#NAME?</v>
      </c>
      <c r="G1082" s="3" t="e">
        <f ca="1">[1]!BexGetData("DP_1","003N8EMH8GTFRCSWKMPXRRXR2","GSON1112080310")</f>
        <v>#NAME?</v>
      </c>
      <c r="H1082" s="8" t="e">
        <f ca="1">[1]!BexGetData("DP_1","003N8EMH8GTFRCSWKMPXRS42M","GSON1112080310")</f>
        <v>#NAME?</v>
      </c>
      <c r="I1082" s="3" t="e">
        <f ca="1">[1]!BexGetData("DP_1","003N8EMH8GTFRCSWKMPXRSAE6","GSON1112080310")</f>
        <v>#NAME?</v>
      </c>
      <c r="J1082" s="4" t="e">
        <f ca="1">[1]!BexGetData("DP_1","003N8EMH8GTFRCSWKMPXRSGPQ","GSON1112080310")</f>
        <v>#NAME?</v>
      </c>
      <c r="K1082" s="3" t="e">
        <f ca="1">[1]!BexGetData("DP_1","003N8EMH8GTFRIVNUPY288VJH","GSON1112080310")</f>
        <v>#NAME?</v>
      </c>
      <c r="L1082" s="3" t="e">
        <f ca="1">[1]!BexGetData("DP_1","003N8EMH8GTFRIVNUPY2891V1","GSON1112080310")</f>
        <v>#NAME?</v>
      </c>
      <c r="M1082" s="8" t="e">
        <f ca="1">[1]!BexGetData("DP_1","003N8EMH8GTFRIVOG7KG9IQXA","GSON1112080310")</f>
        <v>#NAME?</v>
      </c>
      <c r="N1082" s="3" t="e">
        <f ca="1">[1]!BexGetData("DP_1","003N8EMH8GTFRIVOG7KG9IX8U","GSON1112080310")</f>
        <v>#NAME?</v>
      </c>
      <c r="O1082" s="8" t="e">
        <f ca="1">[1]!BexGetData("DP_1","003N8EMH8GTFRIVOG7KG9J3KE","GSON1112080310")</f>
        <v>#NAME?</v>
      </c>
      <c r="P1082" s="3" t="e">
        <f ca="1">[1]!BexGetData("DP_1","003N8EMH8GTFRIVOG7KG9J9VY","GSON1112080310")</f>
        <v>#NAME?</v>
      </c>
      <c r="Q1082" s="4" t="e">
        <f ca="1">[1]!BexGetData("DP_1","00O2TNJGODT0G5Z4TTKYMM5MT","GSON1112080310")</f>
        <v>#NAME?</v>
      </c>
      <c r="R1082" s="3" t="e">
        <f ca="1">[1]!BexGetData("DP_1","00O2TNJGODT0G5Z4TTKYMMBYD","GSON1112080310")</f>
        <v>#NAME?</v>
      </c>
      <c r="S1082" s="3" t="e">
        <f ca="1">[1]!BexGetData("DP_1","00O2TNJGODT0G5Z4TTKYMMI9X","GSON1112080310")</f>
        <v>#NAME?</v>
      </c>
      <c r="T1082" s="8" t="e">
        <f ca="1">[1]!BexGetData("DP_1","00O2TNJGODT0G5Z4TTKYMMOLH","GSON1112080310")</f>
        <v>#NAME?</v>
      </c>
      <c r="U1082" s="3" t="e">
        <f ca="1">[1]!BexGetData("DP_1","00O2TNJGODT0G5Z4TTKYMMUX1","GSON1112080310")</f>
        <v>#NAME?</v>
      </c>
      <c r="V1082" s="8" t="e">
        <f ca="1">[1]!BexGetData("DP_1","00O2TNJGODT0G5Z4TTKYMN18L","GSON1112080310")</f>
        <v>#NAME?</v>
      </c>
      <c r="W1082" s="3" t="e">
        <f ca="1">[1]!BexGetData("DP_1","00O2TNJGODT0G5Z4TTKYMN7K5","GSON1112080310")</f>
        <v>#NAME?</v>
      </c>
    </row>
    <row r="1083" spans="1:23" x14ac:dyDescent="0.2">
      <c r="A1083" s="16" t="s">
        <v>3293</v>
      </c>
      <c r="B1083" s="7" t="s">
        <v>3294</v>
      </c>
      <c r="C1083" s="3" t="e">
        <f ca="1">[1]!BexGetData("DP_1","003N8EMH8GTFRCSWKMPXRR8GU","GSON1112080311")</f>
        <v>#NAME?</v>
      </c>
      <c r="D1083" s="3" t="e">
        <f ca="1">[1]!BexGetData("DP_1","003N8EMH8GTFRCSWKMPXRRESE","GSON1112080311")</f>
        <v>#NAME?</v>
      </c>
      <c r="E1083" s="8" t="e">
        <f ca="1">[1]!BexGetData("DP_1","003N8EMH8GTFRCSWKMPXRRL3Y","GSON1112080311")</f>
        <v>#NAME?</v>
      </c>
      <c r="F1083" s="4" t="e">
        <f ca="1">[1]!BexGetData("DP_1","003N8EMH8GTFRCSWKMPXRRRFI","GSON1112080311")</f>
        <v>#NAME?</v>
      </c>
      <c r="G1083" s="4" t="e">
        <f ca="1">[1]!BexGetData("DP_1","003N8EMH8GTFRCSWKMPXRRXR2","GSON1112080311")</f>
        <v>#NAME?</v>
      </c>
      <c r="H1083" s="4" t="e">
        <f ca="1">[1]!BexGetData("DP_1","003N8EMH8GTFRCSWKMPXRS42M","GSON1112080311")</f>
        <v>#NAME?</v>
      </c>
      <c r="I1083" s="4" t="e">
        <f ca="1">[1]!BexGetData("DP_1","003N8EMH8GTFRCSWKMPXRSAE6","GSON1112080311")</f>
        <v>#NAME?</v>
      </c>
      <c r="J1083" s="4" t="e">
        <f ca="1">[1]!BexGetData("DP_1","003N8EMH8GTFRCSWKMPXRSGPQ","GSON1112080311")</f>
        <v>#NAME?</v>
      </c>
      <c r="K1083" s="8" t="e">
        <f ca="1">[1]!BexGetData("DP_1","003N8EMH8GTFRIVNUPY288VJH","GSON1112080311")</f>
        <v>#NAME?</v>
      </c>
      <c r="L1083" s="8" t="e">
        <f ca="1">[1]!BexGetData("DP_1","003N8EMH8GTFRIVNUPY2891V1","GSON1112080311")</f>
        <v>#NAME?</v>
      </c>
      <c r="M1083" s="8" t="e">
        <f ca="1">[1]!BexGetData("DP_1","003N8EMH8GTFRIVOG7KG9IQXA","GSON1112080311")</f>
        <v>#NAME?</v>
      </c>
      <c r="N1083" s="8" t="e">
        <f ca="1">[1]!BexGetData("DP_1","003N8EMH8GTFRIVOG7KG9IX8U","GSON1112080311")</f>
        <v>#NAME?</v>
      </c>
      <c r="O1083" s="8" t="e">
        <f ca="1">[1]!BexGetData("DP_1","003N8EMH8GTFRIVOG7KG9J3KE","GSON1112080311")</f>
        <v>#NAME?</v>
      </c>
      <c r="P1083" s="8" t="e">
        <f ca="1">[1]!BexGetData("DP_1","003N8EMH8GTFRIVOG7KG9J9VY","GSON1112080311")</f>
        <v>#NAME?</v>
      </c>
      <c r="Q1083" s="4" t="e">
        <f ca="1">[1]!BexGetData("DP_1","00O2TNJGODT0G5Z4TTKYMM5MT","GSON1112080311")</f>
        <v>#NAME?</v>
      </c>
      <c r="R1083" s="4" t="e">
        <f ca="1">[1]!BexGetData("DP_1","00O2TNJGODT0G5Z4TTKYMMBYD","GSON1112080311")</f>
        <v>#NAME?</v>
      </c>
      <c r="S1083" s="4" t="e">
        <f ca="1">[1]!BexGetData("DP_1","00O2TNJGODT0G5Z4TTKYMMI9X","GSON1112080311")</f>
        <v>#NAME?</v>
      </c>
      <c r="T1083" s="4" t="e">
        <f ca="1">[1]!BexGetData("DP_1","00O2TNJGODT0G5Z4TTKYMMOLH","GSON1112080311")</f>
        <v>#NAME?</v>
      </c>
      <c r="U1083" s="4" t="e">
        <f ca="1">[1]!BexGetData("DP_1","00O2TNJGODT0G5Z4TTKYMMUX1","GSON1112080311")</f>
        <v>#NAME?</v>
      </c>
      <c r="V1083" s="4" t="e">
        <f ca="1">[1]!BexGetData("DP_1","00O2TNJGODT0G5Z4TTKYMN18L","GSON1112080311")</f>
        <v>#NAME?</v>
      </c>
      <c r="W1083" s="4" t="e">
        <f ca="1">[1]!BexGetData("DP_1","00O2TNJGODT0G5Z4TTKYMN7K5","GSON1112080311")</f>
        <v>#NAME?</v>
      </c>
    </row>
    <row r="1084" spans="1:23" x14ac:dyDescent="0.2">
      <c r="A1084" s="16" t="s">
        <v>3295</v>
      </c>
      <c r="B1084" s="7" t="s">
        <v>3296</v>
      </c>
      <c r="C1084" s="3" t="e">
        <f ca="1">[1]!BexGetData("DP_1","003N8EMH8GTFRCSWKMPXRR8GU","GSON1112080313")</f>
        <v>#NAME?</v>
      </c>
      <c r="D1084" s="3" t="e">
        <f ca="1">[1]!BexGetData("DP_1","003N8EMH8GTFRCSWKMPXRRESE","GSON1112080313")</f>
        <v>#NAME?</v>
      </c>
      <c r="E1084" s="8" t="e">
        <f ca="1">[1]!BexGetData("DP_1","003N8EMH8GTFRCSWKMPXRRL3Y","GSON1112080313")</f>
        <v>#NAME?</v>
      </c>
      <c r="F1084" s="4" t="e">
        <f ca="1">[1]!BexGetData("DP_1","003N8EMH8GTFRCSWKMPXRRRFI","GSON1112080313")</f>
        <v>#NAME?</v>
      </c>
      <c r="G1084" s="4" t="e">
        <f ca="1">[1]!BexGetData("DP_1","003N8EMH8GTFRCSWKMPXRRXR2","GSON1112080313")</f>
        <v>#NAME?</v>
      </c>
      <c r="H1084" s="4" t="e">
        <f ca="1">[1]!BexGetData("DP_1","003N8EMH8GTFRCSWKMPXRS42M","GSON1112080313")</f>
        <v>#NAME?</v>
      </c>
      <c r="I1084" s="4" t="e">
        <f ca="1">[1]!BexGetData("DP_1","003N8EMH8GTFRCSWKMPXRSAE6","GSON1112080313")</f>
        <v>#NAME?</v>
      </c>
      <c r="J1084" s="4" t="e">
        <f ca="1">[1]!BexGetData("DP_1","003N8EMH8GTFRCSWKMPXRSGPQ","GSON1112080313")</f>
        <v>#NAME?</v>
      </c>
      <c r="K1084" s="8" t="e">
        <f ca="1">[1]!BexGetData("DP_1","003N8EMH8GTFRIVNUPY288VJH","GSON1112080313")</f>
        <v>#NAME?</v>
      </c>
      <c r="L1084" s="8" t="e">
        <f ca="1">[1]!BexGetData("DP_1","003N8EMH8GTFRIVNUPY2891V1","GSON1112080313")</f>
        <v>#NAME?</v>
      </c>
      <c r="M1084" s="8" t="e">
        <f ca="1">[1]!BexGetData("DP_1","003N8EMH8GTFRIVOG7KG9IQXA","GSON1112080313")</f>
        <v>#NAME?</v>
      </c>
      <c r="N1084" s="8" t="e">
        <f ca="1">[1]!BexGetData("DP_1","003N8EMH8GTFRIVOG7KG9IX8U","GSON1112080313")</f>
        <v>#NAME?</v>
      </c>
      <c r="O1084" s="8" t="e">
        <f ca="1">[1]!BexGetData("DP_1","003N8EMH8GTFRIVOG7KG9J3KE","GSON1112080313")</f>
        <v>#NAME?</v>
      </c>
      <c r="P1084" s="8" t="e">
        <f ca="1">[1]!BexGetData("DP_1","003N8EMH8GTFRIVOG7KG9J9VY","GSON1112080313")</f>
        <v>#NAME?</v>
      </c>
      <c r="Q1084" s="4" t="e">
        <f ca="1">[1]!BexGetData("DP_1","00O2TNJGODT0G5Z4TTKYMM5MT","GSON1112080313")</f>
        <v>#NAME?</v>
      </c>
      <c r="R1084" s="4" t="e">
        <f ca="1">[1]!BexGetData("DP_1","00O2TNJGODT0G5Z4TTKYMMBYD","GSON1112080313")</f>
        <v>#NAME?</v>
      </c>
      <c r="S1084" s="4" t="e">
        <f ca="1">[1]!BexGetData("DP_1","00O2TNJGODT0G5Z4TTKYMMI9X","GSON1112080313")</f>
        <v>#NAME?</v>
      </c>
      <c r="T1084" s="4" t="e">
        <f ca="1">[1]!BexGetData("DP_1","00O2TNJGODT0G5Z4TTKYMMOLH","GSON1112080313")</f>
        <v>#NAME?</v>
      </c>
      <c r="U1084" s="4" t="e">
        <f ca="1">[1]!BexGetData("DP_1","00O2TNJGODT0G5Z4TTKYMMUX1","GSON1112080313")</f>
        <v>#NAME?</v>
      </c>
      <c r="V1084" s="4" t="e">
        <f ca="1">[1]!BexGetData("DP_1","00O2TNJGODT0G5Z4TTKYMN18L","GSON1112080313")</f>
        <v>#NAME?</v>
      </c>
      <c r="W1084" s="4" t="e">
        <f ca="1">[1]!BexGetData("DP_1","00O2TNJGODT0G5Z4TTKYMN7K5","GSON1112080313")</f>
        <v>#NAME?</v>
      </c>
    </row>
    <row r="1085" spans="1:23" x14ac:dyDescent="0.2">
      <c r="A1085" s="16" t="s">
        <v>3297</v>
      </c>
      <c r="B1085" s="7" t="s">
        <v>3298</v>
      </c>
      <c r="C1085" s="3" t="e">
        <f ca="1">[1]!BexGetData("DP_1","003N8EMH8GTFRCSWKMPXRR8GU","GSON1112080315")</f>
        <v>#NAME?</v>
      </c>
      <c r="D1085" s="3" t="e">
        <f ca="1">[1]!BexGetData("DP_1","003N8EMH8GTFRCSWKMPXRRESE","GSON1112080315")</f>
        <v>#NAME?</v>
      </c>
      <c r="E1085" s="8" t="e">
        <f ca="1">[1]!BexGetData("DP_1","003N8EMH8GTFRCSWKMPXRRL3Y","GSON1112080315")</f>
        <v>#NAME?</v>
      </c>
      <c r="F1085" s="4" t="e">
        <f ca="1">[1]!BexGetData("DP_1","003N8EMH8GTFRCSWKMPXRRRFI","GSON1112080315")</f>
        <v>#NAME?</v>
      </c>
      <c r="G1085" s="4" t="e">
        <f ca="1">[1]!BexGetData("DP_1","003N8EMH8GTFRCSWKMPXRRXR2","GSON1112080315")</f>
        <v>#NAME?</v>
      </c>
      <c r="H1085" s="4" t="e">
        <f ca="1">[1]!BexGetData("DP_1","003N8EMH8GTFRCSWKMPXRS42M","GSON1112080315")</f>
        <v>#NAME?</v>
      </c>
      <c r="I1085" s="4" t="e">
        <f ca="1">[1]!BexGetData("DP_1","003N8EMH8GTFRCSWKMPXRSAE6","GSON1112080315")</f>
        <v>#NAME?</v>
      </c>
      <c r="J1085" s="4" t="e">
        <f ca="1">[1]!BexGetData("DP_1","003N8EMH8GTFRCSWKMPXRSGPQ","GSON1112080315")</f>
        <v>#NAME?</v>
      </c>
      <c r="K1085" s="8" t="e">
        <f ca="1">[1]!BexGetData("DP_1","003N8EMH8GTFRIVNUPY288VJH","GSON1112080315")</f>
        <v>#NAME?</v>
      </c>
      <c r="L1085" s="8" t="e">
        <f ca="1">[1]!BexGetData("DP_1","003N8EMH8GTFRIVNUPY2891V1","GSON1112080315")</f>
        <v>#NAME?</v>
      </c>
      <c r="M1085" s="8" t="e">
        <f ca="1">[1]!BexGetData("DP_1","003N8EMH8GTFRIVOG7KG9IQXA","GSON1112080315")</f>
        <v>#NAME?</v>
      </c>
      <c r="N1085" s="8" t="e">
        <f ca="1">[1]!BexGetData("DP_1","003N8EMH8GTFRIVOG7KG9IX8U","GSON1112080315")</f>
        <v>#NAME?</v>
      </c>
      <c r="O1085" s="8" t="e">
        <f ca="1">[1]!BexGetData("DP_1","003N8EMH8GTFRIVOG7KG9J3KE","GSON1112080315")</f>
        <v>#NAME?</v>
      </c>
      <c r="P1085" s="8" t="e">
        <f ca="1">[1]!BexGetData("DP_1","003N8EMH8GTFRIVOG7KG9J9VY","GSON1112080315")</f>
        <v>#NAME?</v>
      </c>
      <c r="Q1085" s="4" t="e">
        <f ca="1">[1]!BexGetData("DP_1","00O2TNJGODT0G5Z4TTKYMM5MT","GSON1112080315")</f>
        <v>#NAME?</v>
      </c>
      <c r="R1085" s="4" t="e">
        <f ca="1">[1]!BexGetData("DP_1","00O2TNJGODT0G5Z4TTKYMMBYD","GSON1112080315")</f>
        <v>#NAME?</v>
      </c>
      <c r="S1085" s="4" t="e">
        <f ca="1">[1]!BexGetData("DP_1","00O2TNJGODT0G5Z4TTKYMMI9X","GSON1112080315")</f>
        <v>#NAME?</v>
      </c>
      <c r="T1085" s="4" t="e">
        <f ca="1">[1]!BexGetData("DP_1","00O2TNJGODT0G5Z4TTKYMMOLH","GSON1112080315")</f>
        <v>#NAME?</v>
      </c>
      <c r="U1085" s="4" t="e">
        <f ca="1">[1]!BexGetData("DP_1","00O2TNJGODT0G5Z4TTKYMMUX1","GSON1112080315")</f>
        <v>#NAME?</v>
      </c>
      <c r="V1085" s="4" t="e">
        <f ca="1">[1]!BexGetData("DP_1","00O2TNJGODT0G5Z4TTKYMN18L","GSON1112080315")</f>
        <v>#NAME?</v>
      </c>
      <c r="W1085" s="4" t="e">
        <f ca="1">[1]!BexGetData("DP_1","00O2TNJGODT0G5Z4TTKYMN7K5","GSON1112080315")</f>
        <v>#NAME?</v>
      </c>
    </row>
    <row r="1086" spans="1:23" x14ac:dyDescent="0.2">
      <c r="A1086" s="16" t="s">
        <v>3299</v>
      </c>
      <c r="B1086" s="7" t="s">
        <v>3300</v>
      </c>
      <c r="C1086" s="3" t="e">
        <f ca="1">[1]!BexGetData("DP_1","003N8EMH8GTFRCSWKMPXRR8GU","GSON1112080320")</f>
        <v>#NAME?</v>
      </c>
      <c r="D1086" s="3" t="e">
        <f ca="1">[1]!BexGetData("DP_1","003N8EMH8GTFRCSWKMPXRRESE","GSON1112080320")</f>
        <v>#NAME?</v>
      </c>
      <c r="E1086" s="8" t="e">
        <f ca="1">[1]!BexGetData("DP_1","003N8EMH8GTFRCSWKMPXRRL3Y","GSON1112080320")</f>
        <v>#NAME?</v>
      </c>
      <c r="F1086" s="4" t="e">
        <f ca="1">[1]!BexGetData("DP_1","003N8EMH8GTFRCSWKMPXRRRFI","GSON1112080320")</f>
        <v>#NAME?</v>
      </c>
      <c r="G1086" s="4" t="e">
        <f ca="1">[1]!BexGetData("DP_1","003N8EMH8GTFRCSWKMPXRRXR2","GSON1112080320")</f>
        <v>#NAME?</v>
      </c>
      <c r="H1086" s="4" t="e">
        <f ca="1">[1]!BexGetData("DP_1","003N8EMH8GTFRCSWKMPXRS42M","GSON1112080320")</f>
        <v>#NAME?</v>
      </c>
      <c r="I1086" s="4" t="e">
        <f ca="1">[1]!BexGetData("DP_1","003N8EMH8GTFRCSWKMPXRSAE6","GSON1112080320")</f>
        <v>#NAME?</v>
      </c>
      <c r="J1086" s="4" t="e">
        <f ca="1">[1]!BexGetData("DP_1","003N8EMH8GTFRCSWKMPXRSGPQ","GSON1112080320")</f>
        <v>#NAME?</v>
      </c>
      <c r="K1086" s="8" t="e">
        <f ca="1">[1]!BexGetData("DP_1","003N8EMH8GTFRIVNUPY288VJH","GSON1112080320")</f>
        <v>#NAME?</v>
      </c>
      <c r="L1086" s="8" t="e">
        <f ca="1">[1]!BexGetData("DP_1","003N8EMH8GTFRIVNUPY2891V1","GSON1112080320")</f>
        <v>#NAME?</v>
      </c>
      <c r="M1086" s="8" t="e">
        <f ca="1">[1]!BexGetData("DP_1","003N8EMH8GTFRIVOG7KG9IQXA","GSON1112080320")</f>
        <v>#NAME?</v>
      </c>
      <c r="N1086" s="8" t="e">
        <f ca="1">[1]!BexGetData("DP_1","003N8EMH8GTFRIVOG7KG9IX8U","GSON1112080320")</f>
        <v>#NAME?</v>
      </c>
      <c r="O1086" s="8" t="e">
        <f ca="1">[1]!BexGetData("DP_1","003N8EMH8GTFRIVOG7KG9J3KE","GSON1112080320")</f>
        <v>#NAME?</v>
      </c>
      <c r="P1086" s="8" t="e">
        <f ca="1">[1]!BexGetData("DP_1","003N8EMH8GTFRIVOG7KG9J9VY","GSON1112080320")</f>
        <v>#NAME?</v>
      </c>
      <c r="Q1086" s="4" t="e">
        <f ca="1">[1]!BexGetData("DP_1","00O2TNJGODT0G5Z4TTKYMM5MT","GSON1112080320")</f>
        <v>#NAME?</v>
      </c>
      <c r="R1086" s="4" t="e">
        <f ca="1">[1]!BexGetData("DP_1","00O2TNJGODT0G5Z4TTKYMMBYD","GSON1112080320")</f>
        <v>#NAME?</v>
      </c>
      <c r="S1086" s="4" t="e">
        <f ca="1">[1]!BexGetData("DP_1","00O2TNJGODT0G5Z4TTKYMMI9X","GSON1112080320")</f>
        <v>#NAME?</v>
      </c>
      <c r="T1086" s="4" t="e">
        <f ca="1">[1]!BexGetData("DP_1","00O2TNJGODT0G5Z4TTKYMMOLH","GSON1112080320")</f>
        <v>#NAME?</v>
      </c>
      <c r="U1086" s="4" t="e">
        <f ca="1">[1]!BexGetData("DP_1","00O2TNJGODT0G5Z4TTKYMMUX1","GSON1112080320")</f>
        <v>#NAME?</v>
      </c>
      <c r="V1086" s="4" t="e">
        <f ca="1">[1]!BexGetData("DP_1","00O2TNJGODT0G5Z4TTKYMN18L","GSON1112080320")</f>
        <v>#NAME?</v>
      </c>
      <c r="W1086" s="4" t="e">
        <f ca="1">[1]!BexGetData("DP_1","00O2TNJGODT0G5Z4TTKYMN7K5","GSON1112080320")</f>
        <v>#NAME?</v>
      </c>
    </row>
    <row r="1087" spans="1:23" x14ac:dyDescent="0.2">
      <c r="A1087" s="16" t="s">
        <v>3301</v>
      </c>
      <c r="B1087" s="7" t="s">
        <v>3302</v>
      </c>
      <c r="C1087" s="3" t="e">
        <f ca="1">[1]!BexGetData("DP_1","003N8EMH8GTFRCSWKMPXRR8GU","GSON1112080321")</f>
        <v>#NAME?</v>
      </c>
      <c r="D1087" s="3" t="e">
        <f ca="1">[1]!BexGetData("DP_1","003N8EMH8GTFRCSWKMPXRRESE","GSON1112080321")</f>
        <v>#NAME?</v>
      </c>
      <c r="E1087" s="8" t="e">
        <f ca="1">[1]!BexGetData("DP_1","003N8EMH8GTFRCSWKMPXRRL3Y","GSON1112080321")</f>
        <v>#NAME?</v>
      </c>
      <c r="F1087" s="4" t="e">
        <f ca="1">[1]!BexGetData("DP_1","003N8EMH8GTFRCSWKMPXRRRFI","GSON1112080321")</f>
        <v>#NAME?</v>
      </c>
      <c r="G1087" s="4" t="e">
        <f ca="1">[1]!BexGetData("DP_1","003N8EMH8GTFRCSWKMPXRRXR2","GSON1112080321")</f>
        <v>#NAME?</v>
      </c>
      <c r="H1087" s="4" t="e">
        <f ca="1">[1]!BexGetData("DP_1","003N8EMH8GTFRCSWKMPXRS42M","GSON1112080321")</f>
        <v>#NAME?</v>
      </c>
      <c r="I1087" s="4" t="e">
        <f ca="1">[1]!BexGetData("DP_1","003N8EMH8GTFRCSWKMPXRSAE6","GSON1112080321")</f>
        <v>#NAME?</v>
      </c>
      <c r="J1087" s="4" t="e">
        <f ca="1">[1]!BexGetData("DP_1","003N8EMH8GTFRCSWKMPXRSGPQ","GSON1112080321")</f>
        <v>#NAME?</v>
      </c>
      <c r="K1087" s="8" t="e">
        <f ca="1">[1]!BexGetData("DP_1","003N8EMH8GTFRIVNUPY288VJH","GSON1112080321")</f>
        <v>#NAME?</v>
      </c>
      <c r="L1087" s="8" t="e">
        <f ca="1">[1]!BexGetData("DP_1","003N8EMH8GTFRIVNUPY2891V1","GSON1112080321")</f>
        <v>#NAME?</v>
      </c>
      <c r="M1087" s="8" t="e">
        <f ca="1">[1]!BexGetData("DP_1","003N8EMH8GTFRIVOG7KG9IQXA","GSON1112080321")</f>
        <v>#NAME?</v>
      </c>
      <c r="N1087" s="8" t="e">
        <f ca="1">[1]!BexGetData("DP_1","003N8EMH8GTFRIVOG7KG9IX8U","GSON1112080321")</f>
        <v>#NAME?</v>
      </c>
      <c r="O1087" s="8" t="e">
        <f ca="1">[1]!BexGetData("DP_1","003N8EMH8GTFRIVOG7KG9J3KE","GSON1112080321")</f>
        <v>#NAME?</v>
      </c>
      <c r="P1087" s="8" t="e">
        <f ca="1">[1]!BexGetData("DP_1","003N8EMH8GTFRIVOG7KG9J9VY","GSON1112080321")</f>
        <v>#NAME?</v>
      </c>
      <c r="Q1087" s="4" t="e">
        <f ca="1">[1]!BexGetData("DP_1","00O2TNJGODT0G5Z4TTKYMM5MT","GSON1112080321")</f>
        <v>#NAME?</v>
      </c>
      <c r="R1087" s="4" t="e">
        <f ca="1">[1]!BexGetData("DP_1","00O2TNJGODT0G5Z4TTKYMMBYD","GSON1112080321")</f>
        <v>#NAME?</v>
      </c>
      <c r="S1087" s="4" t="e">
        <f ca="1">[1]!BexGetData("DP_1","00O2TNJGODT0G5Z4TTKYMMI9X","GSON1112080321")</f>
        <v>#NAME?</v>
      </c>
      <c r="T1087" s="4" t="e">
        <f ca="1">[1]!BexGetData("DP_1","00O2TNJGODT0G5Z4TTKYMMOLH","GSON1112080321")</f>
        <v>#NAME?</v>
      </c>
      <c r="U1087" s="4" t="e">
        <f ca="1">[1]!BexGetData("DP_1","00O2TNJGODT0G5Z4TTKYMMUX1","GSON1112080321")</f>
        <v>#NAME?</v>
      </c>
      <c r="V1087" s="4" t="e">
        <f ca="1">[1]!BexGetData("DP_1","00O2TNJGODT0G5Z4TTKYMN18L","GSON1112080321")</f>
        <v>#NAME?</v>
      </c>
      <c r="W1087" s="4" t="e">
        <f ca="1">[1]!BexGetData("DP_1","00O2TNJGODT0G5Z4TTKYMN7K5","GSON1112080321")</f>
        <v>#NAME?</v>
      </c>
    </row>
    <row r="1088" spans="1:23" x14ac:dyDescent="0.2">
      <c r="A1088" s="16" t="s">
        <v>3303</v>
      </c>
      <c r="B1088" s="7" t="s">
        <v>3304</v>
      </c>
      <c r="C1088" s="3" t="e">
        <f ca="1">[1]!BexGetData("DP_1","003N8EMH8GTFRCSWKMPXRR8GU","GSON1112080324")</f>
        <v>#NAME?</v>
      </c>
      <c r="D1088" s="3" t="e">
        <f ca="1">[1]!BexGetData("DP_1","003N8EMH8GTFRCSWKMPXRRESE","GSON1112080324")</f>
        <v>#NAME?</v>
      </c>
      <c r="E1088" s="8" t="e">
        <f ca="1">[1]!BexGetData("DP_1","003N8EMH8GTFRCSWKMPXRRL3Y","GSON1112080324")</f>
        <v>#NAME?</v>
      </c>
      <c r="F1088" s="4" t="e">
        <f ca="1">[1]!BexGetData("DP_1","003N8EMH8GTFRCSWKMPXRRRFI","GSON1112080324")</f>
        <v>#NAME?</v>
      </c>
      <c r="G1088" s="4" t="e">
        <f ca="1">[1]!BexGetData("DP_1","003N8EMH8GTFRCSWKMPXRRXR2","GSON1112080324")</f>
        <v>#NAME?</v>
      </c>
      <c r="H1088" s="4" t="e">
        <f ca="1">[1]!BexGetData("DP_1","003N8EMH8GTFRCSWKMPXRS42M","GSON1112080324")</f>
        <v>#NAME?</v>
      </c>
      <c r="I1088" s="4" t="e">
        <f ca="1">[1]!BexGetData("DP_1","003N8EMH8GTFRCSWKMPXRSAE6","GSON1112080324")</f>
        <v>#NAME?</v>
      </c>
      <c r="J1088" s="4" t="e">
        <f ca="1">[1]!BexGetData("DP_1","003N8EMH8GTFRCSWKMPXRSGPQ","GSON1112080324")</f>
        <v>#NAME?</v>
      </c>
      <c r="K1088" s="8" t="e">
        <f ca="1">[1]!BexGetData("DP_1","003N8EMH8GTFRIVNUPY288VJH","GSON1112080324")</f>
        <v>#NAME?</v>
      </c>
      <c r="L1088" s="8" t="e">
        <f ca="1">[1]!BexGetData("DP_1","003N8EMH8GTFRIVNUPY2891V1","GSON1112080324")</f>
        <v>#NAME?</v>
      </c>
      <c r="M1088" s="8" t="e">
        <f ca="1">[1]!BexGetData("DP_1","003N8EMH8GTFRIVOG7KG9IQXA","GSON1112080324")</f>
        <v>#NAME?</v>
      </c>
      <c r="N1088" s="8" t="e">
        <f ca="1">[1]!BexGetData("DP_1","003N8EMH8GTFRIVOG7KG9IX8U","GSON1112080324")</f>
        <v>#NAME?</v>
      </c>
      <c r="O1088" s="8" t="e">
        <f ca="1">[1]!BexGetData("DP_1","003N8EMH8GTFRIVOG7KG9J3KE","GSON1112080324")</f>
        <v>#NAME?</v>
      </c>
      <c r="P1088" s="8" t="e">
        <f ca="1">[1]!BexGetData("DP_1","003N8EMH8GTFRIVOG7KG9J9VY","GSON1112080324")</f>
        <v>#NAME?</v>
      </c>
      <c r="Q1088" s="4" t="e">
        <f ca="1">[1]!BexGetData("DP_1","00O2TNJGODT0G5Z4TTKYMM5MT","GSON1112080324")</f>
        <v>#NAME?</v>
      </c>
      <c r="R1088" s="4" t="e">
        <f ca="1">[1]!BexGetData("DP_1","00O2TNJGODT0G5Z4TTKYMMBYD","GSON1112080324")</f>
        <v>#NAME?</v>
      </c>
      <c r="S1088" s="4" t="e">
        <f ca="1">[1]!BexGetData("DP_1","00O2TNJGODT0G5Z4TTKYMMI9X","GSON1112080324")</f>
        <v>#NAME?</v>
      </c>
      <c r="T1088" s="4" t="e">
        <f ca="1">[1]!BexGetData("DP_1","00O2TNJGODT0G5Z4TTKYMMOLH","GSON1112080324")</f>
        <v>#NAME?</v>
      </c>
      <c r="U1088" s="4" t="e">
        <f ca="1">[1]!BexGetData("DP_1","00O2TNJGODT0G5Z4TTKYMMUX1","GSON1112080324")</f>
        <v>#NAME?</v>
      </c>
      <c r="V1088" s="4" t="e">
        <f ca="1">[1]!BexGetData("DP_1","00O2TNJGODT0G5Z4TTKYMN18L","GSON1112080324")</f>
        <v>#NAME?</v>
      </c>
      <c r="W1088" s="4" t="e">
        <f ca="1">[1]!BexGetData("DP_1","00O2TNJGODT0G5Z4TTKYMN7K5","GSON1112080324")</f>
        <v>#NAME?</v>
      </c>
    </row>
    <row r="1089" spans="1:23" x14ac:dyDescent="0.2">
      <c r="A1089" s="16" t="s">
        <v>3305</v>
      </c>
      <c r="B1089" s="7" t="s">
        <v>3306</v>
      </c>
      <c r="C1089" s="3" t="e">
        <f ca="1">[1]!BexGetData("DP_1","003N8EMH8GTFRCSWKMPXRR8GU","GSON1112080330")</f>
        <v>#NAME?</v>
      </c>
      <c r="D1089" s="3" t="e">
        <f ca="1">[1]!BexGetData("DP_1","003N8EMH8GTFRCSWKMPXRRESE","GSON1112080330")</f>
        <v>#NAME?</v>
      </c>
      <c r="E1089" s="8" t="e">
        <f ca="1">[1]!BexGetData("DP_1","003N8EMH8GTFRCSWKMPXRRL3Y","GSON1112080330")</f>
        <v>#NAME?</v>
      </c>
      <c r="F1089" s="4" t="e">
        <f ca="1">[1]!BexGetData("DP_1","003N8EMH8GTFRCSWKMPXRRRFI","GSON1112080330")</f>
        <v>#NAME?</v>
      </c>
      <c r="G1089" s="4" t="e">
        <f ca="1">[1]!BexGetData("DP_1","003N8EMH8GTFRCSWKMPXRRXR2","GSON1112080330")</f>
        <v>#NAME?</v>
      </c>
      <c r="H1089" s="4" t="e">
        <f ca="1">[1]!BexGetData("DP_1","003N8EMH8GTFRCSWKMPXRS42M","GSON1112080330")</f>
        <v>#NAME?</v>
      </c>
      <c r="I1089" s="4" t="e">
        <f ca="1">[1]!BexGetData("DP_1","003N8EMH8GTFRCSWKMPXRSAE6","GSON1112080330")</f>
        <v>#NAME?</v>
      </c>
      <c r="J1089" s="4" t="e">
        <f ca="1">[1]!BexGetData("DP_1","003N8EMH8GTFRCSWKMPXRSGPQ","GSON1112080330")</f>
        <v>#NAME?</v>
      </c>
      <c r="K1089" s="8" t="e">
        <f ca="1">[1]!BexGetData("DP_1","003N8EMH8GTFRIVNUPY288VJH","GSON1112080330")</f>
        <v>#NAME?</v>
      </c>
      <c r="L1089" s="8" t="e">
        <f ca="1">[1]!BexGetData("DP_1","003N8EMH8GTFRIVNUPY2891V1","GSON1112080330")</f>
        <v>#NAME?</v>
      </c>
      <c r="M1089" s="8" t="e">
        <f ca="1">[1]!BexGetData("DP_1","003N8EMH8GTFRIVOG7KG9IQXA","GSON1112080330")</f>
        <v>#NAME?</v>
      </c>
      <c r="N1089" s="8" t="e">
        <f ca="1">[1]!BexGetData("DP_1","003N8EMH8GTFRIVOG7KG9IX8U","GSON1112080330")</f>
        <v>#NAME?</v>
      </c>
      <c r="O1089" s="8" t="e">
        <f ca="1">[1]!BexGetData("DP_1","003N8EMH8GTFRIVOG7KG9J3KE","GSON1112080330")</f>
        <v>#NAME?</v>
      </c>
      <c r="P1089" s="8" t="e">
        <f ca="1">[1]!BexGetData("DP_1","003N8EMH8GTFRIVOG7KG9J9VY","GSON1112080330")</f>
        <v>#NAME?</v>
      </c>
      <c r="Q1089" s="4" t="e">
        <f ca="1">[1]!BexGetData("DP_1","00O2TNJGODT0G5Z4TTKYMM5MT","GSON1112080330")</f>
        <v>#NAME?</v>
      </c>
      <c r="R1089" s="4" t="e">
        <f ca="1">[1]!BexGetData("DP_1","00O2TNJGODT0G5Z4TTKYMMBYD","GSON1112080330")</f>
        <v>#NAME?</v>
      </c>
      <c r="S1089" s="4" t="e">
        <f ca="1">[1]!BexGetData("DP_1","00O2TNJGODT0G5Z4TTKYMMI9X","GSON1112080330")</f>
        <v>#NAME?</v>
      </c>
      <c r="T1089" s="4" t="e">
        <f ca="1">[1]!BexGetData("DP_1","00O2TNJGODT0G5Z4TTKYMMOLH","GSON1112080330")</f>
        <v>#NAME?</v>
      </c>
      <c r="U1089" s="4" t="e">
        <f ca="1">[1]!BexGetData("DP_1","00O2TNJGODT0G5Z4TTKYMMUX1","GSON1112080330")</f>
        <v>#NAME?</v>
      </c>
      <c r="V1089" s="4" t="e">
        <f ca="1">[1]!BexGetData("DP_1","00O2TNJGODT0G5Z4TTKYMN18L","GSON1112080330")</f>
        <v>#NAME?</v>
      </c>
      <c r="W1089" s="4" t="e">
        <f ca="1">[1]!BexGetData("DP_1","00O2TNJGODT0G5Z4TTKYMN7K5","GSON1112080330")</f>
        <v>#NAME?</v>
      </c>
    </row>
    <row r="1090" spans="1:23" x14ac:dyDescent="0.2">
      <c r="A1090" s="16" t="s">
        <v>1076</v>
      </c>
      <c r="B1090" s="7" t="s">
        <v>1077</v>
      </c>
      <c r="C1090" s="3" t="e">
        <f ca="1">[1]!BexGetData("DP_1","003N8EMH8GTFRCSWKMPXRR8GU","GSON1112080331")</f>
        <v>#NAME?</v>
      </c>
      <c r="D1090" s="3" t="e">
        <f ca="1">[1]!BexGetData("DP_1","003N8EMH8GTFRCSWKMPXRRESE","GSON1112080331")</f>
        <v>#NAME?</v>
      </c>
      <c r="E1090" s="3" t="e">
        <f ca="1">[1]!BexGetData("DP_1","003N8EMH8GTFRCSWKMPXRRL3Y","GSON1112080331")</f>
        <v>#NAME?</v>
      </c>
      <c r="F1090" s="4" t="e">
        <f ca="1">[1]!BexGetData("DP_1","003N8EMH8GTFRCSWKMPXRRRFI","GSON1112080331")</f>
        <v>#NAME?</v>
      </c>
      <c r="G1090" s="4" t="e">
        <f ca="1">[1]!BexGetData("DP_1","003N8EMH8GTFRCSWKMPXRRXR2","GSON1112080331")</f>
        <v>#NAME?</v>
      </c>
      <c r="H1090" s="4" t="e">
        <f ca="1">[1]!BexGetData("DP_1","003N8EMH8GTFRCSWKMPXRS42M","GSON1112080331")</f>
        <v>#NAME?</v>
      </c>
      <c r="I1090" s="4" t="e">
        <f ca="1">[1]!BexGetData("DP_1","003N8EMH8GTFRCSWKMPXRSAE6","GSON1112080331")</f>
        <v>#NAME?</v>
      </c>
      <c r="J1090" s="4" t="e">
        <f ca="1">[1]!BexGetData("DP_1","003N8EMH8GTFRCSWKMPXRSGPQ","GSON1112080331")</f>
        <v>#NAME?</v>
      </c>
      <c r="K1090" s="3" t="e">
        <f ca="1">[1]!BexGetData("DP_1","003N8EMH8GTFRIVNUPY288VJH","GSON1112080331")</f>
        <v>#NAME?</v>
      </c>
      <c r="L1090" s="3" t="e">
        <f ca="1">[1]!BexGetData("DP_1","003N8EMH8GTFRIVNUPY2891V1","GSON1112080331")</f>
        <v>#NAME?</v>
      </c>
      <c r="M1090" s="8" t="e">
        <f ca="1">[1]!BexGetData("DP_1","003N8EMH8GTFRIVOG7KG9IQXA","GSON1112080331")</f>
        <v>#NAME?</v>
      </c>
      <c r="N1090" s="3" t="e">
        <f ca="1">[1]!BexGetData("DP_1","003N8EMH8GTFRIVOG7KG9IX8U","GSON1112080331")</f>
        <v>#NAME?</v>
      </c>
      <c r="O1090" s="8" t="e">
        <f ca="1">[1]!BexGetData("DP_1","003N8EMH8GTFRIVOG7KG9J3KE","GSON1112080331")</f>
        <v>#NAME?</v>
      </c>
      <c r="P1090" s="3" t="e">
        <f ca="1">[1]!BexGetData("DP_1","003N8EMH8GTFRIVOG7KG9J9VY","GSON1112080331")</f>
        <v>#NAME?</v>
      </c>
      <c r="Q1090" s="4" t="e">
        <f ca="1">[1]!BexGetData("DP_1","00O2TNJGODT0G5Z4TTKYMM5MT","GSON1112080331")</f>
        <v>#NAME?</v>
      </c>
      <c r="R1090" s="4" t="e">
        <f ca="1">[1]!BexGetData("DP_1","00O2TNJGODT0G5Z4TTKYMMBYD","GSON1112080331")</f>
        <v>#NAME?</v>
      </c>
      <c r="S1090" s="4" t="e">
        <f ca="1">[1]!BexGetData("DP_1","00O2TNJGODT0G5Z4TTKYMMI9X","GSON1112080331")</f>
        <v>#NAME?</v>
      </c>
      <c r="T1090" s="4" t="e">
        <f ca="1">[1]!BexGetData("DP_1","00O2TNJGODT0G5Z4TTKYMMOLH","GSON1112080331")</f>
        <v>#NAME?</v>
      </c>
      <c r="U1090" s="4" t="e">
        <f ca="1">[1]!BexGetData("DP_1","00O2TNJGODT0G5Z4TTKYMMUX1","GSON1112080331")</f>
        <v>#NAME?</v>
      </c>
      <c r="V1090" s="4" t="e">
        <f ca="1">[1]!BexGetData("DP_1","00O2TNJGODT0G5Z4TTKYMN18L","GSON1112080331")</f>
        <v>#NAME?</v>
      </c>
      <c r="W1090" s="4" t="e">
        <f ca="1">[1]!BexGetData("DP_1","00O2TNJGODT0G5Z4TTKYMN7K5","GSON1112080331")</f>
        <v>#NAME?</v>
      </c>
    </row>
    <row r="1091" spans="1:23" x14ac:dyDescent="0.2">
      <c r="A1091" s="16" t="s">
        <v>3307</v>
      </c>
      <c r="B1091" s="7" t="s">
        <v>3308</v>
      </c>
      <c r="C1091" s="3" t="e">
        <f ca="1">[1]!BexGetData("DP_1","003N8EMH8GTFRCSWKMPXRR8GU","GSON1112080333")</f>
        <v>#NAME?</v>
      </c>
      <c r="D1091" s="3" t="e">
        <f ca="1">[1]!BexGetData("DP_1","003N8EMH8GTFRCSWKMPXRRESE","GSON1112080333")</f>
        <v>#NAME?</v>
      </c>
      <c r="E1091" s="8" t="e">
        <f ca="1">[1]!BexGetData("DP_1","003N8EMH8GTFRCSWKMPXRRL3Y","GSON1112080333")</f>
        <v>#NAME?</v>
      </c>
      <c r="F1091" s="4" t="e">
        <f ca="1">[1]!BexGetData("DP_1","003N8EMH8GTFRCSWKMPXRRRFI","GSON1112080333")</f>
        <v>#NAME?</v>
      </c>
      <c r="G1091" s="4" t="e">
        <f ca="1">[1]!BexGetData("DP_1","003N8EMH8GTFRCSWKMPXRRXR2","GSON1112080333")</f>
        <v>#NAME?</v>
      </c>
      <c r="H1091" s="4" t="e">
        <f ca="1">[1]!BexGetData("DP_1","003N8EMH8GTFRCSWKMPXRS42M","GSON1112080333")</f>
        <v>#NAME?</v>
      </c>
      <c r="I1091" s="4" t="e">
        <f ca="1">[1]!BexGetData("DP_1","003N8EMH8GTFRCSWKMPXRSAE6","GSON1112080333")</f>
        <v>#NAME?</v>
      </c>
      <c r="J1091" s="4" t="e">
        <f ca="1">[1]!BexGetData("DP_1","003N8EMH8GTFRCSWKMPXRSGPQ","GSON1112080333")</f>
        <v>#NAME?</v>
      </c>
      <c r="K1091" s="8" t="e">
        <f ca="1">[1]!BexGetData("DP_1","003N8EMH8GTFRIVNUPY288VJH","GSON1112080333")</f>
        <v>#NAME?</v>
      </c>
      <c r="L1091" s="8" t="e">
        <f ca="1">[1]!BexGetData("DP_1","003N8EMH8GTFRIVNUPY2891V1","GSON1112080333")</f>
        <v>#NAME?</v>
      </c>
      <c r="M1091" s="8" t="e">
        <f ca="1">[1]!BexGetData("DP_1","003N8EMH8GTFRIVOG7KG9IQXA","GSON1112080333")</f>
        <v>#NAME?</v>
      </c>
      <c r="N1091" s="8" t="e">
        <f ca="1">[1]!BexGetData("DP_1","003N8EMH8GTFRIVOG7KG9IX8U","GSON1112080333")</f>
        <v>#NAME?</v>
      </c>
      <c r="O1091" s="8" t="e">
        <f ca="1">[1]!BexGetData("DP_1","003N8EMH8GTFRIVOG7KG9J3KE","GSON1112080333")</f>
        <v>#NAME?</v>
      </c>
      <c r="P1091" s="8" t="e">
        <f ca="1">[1]!BexGetData("DP_1","003N8EMH8GTFRIVOG7KG9J9VY","GSON1112080333")</f>
        <v>#NAME?</v>
      </c>
      <c r="Q1091" s="4" t="e">
        <f ca="1">[1]!BexGetData("DP_1","00O2TNJGODT0G5Z4TTKYMM5MT","GSON1112080333")</f>
        <v>#NAME?</v>
      </c>
      <c r="R1091" s="4" t="e">
        <f ca="1">[1]!BexGetData("DP_1","00O2TNJGODT0G5Z4TTKYMMBYD","GSON1112080333")</f>
        <v>#NAME?</v>
      </c>
      <c r="S1091" s="4" t="e">
        <f ca="1">[1]!BexGetData("DP_1","00O2TNJGODT0G5Z4TTKYMMI9X","GSON1112080333")</f>
        <v>#NAME?</v>
      </c>
      <c r="T1091" s="4" t="e">
        <f ca="1">[1]!BexGetData("DP_1","00O2TNJGODT0G5Z4TTKYMMOLH","GSON1112080333")</f>
        <v>#NAME?</v>
      </c>
      <c r="U1091" s="4" t="e">
        <f ca="1">[1]!BexGetData("DP_1","00O2TNJGODT0G5Z4TTKYMMUX1","GSON1112080333")</f>
        <v>#NAME?</v>
      </c>
      <c r="V1091" s="4" t="e">
        <f ca="1">[1]!BexGetData("DP_1","00O2TNJGODT0G5Z4TTKYMN18L","GSON1112080333")</f>
        <v>#NAME?</v>
      </c>
      <c r="W1091" s="4" t="e">
        <f ca="1">[1]!BexGetData("DP_1","00O2TNJGODT0G5Z4TTKYMN7K5","GSON1112080333")</f>
        <v>#NAME?</v>
      </c>
    </row>
    <row r="1092" spans="1:23" x14ac:dyDescent="0.2">
      <c r="A1092" s="16" t="s">
        <v>3309</v>
      </c>
      <c r="B1092" s="7" t="s">
        <v>3310</v>
      </c>
      <c r="C1092" s="3" t="e">
        <f ca="1">[1]!BexGetData("DP_1","003N8EMH8GTFRCSWKMPXRR8GU","GSON1112080334")</f>
        <v>#NAME?</v>
      </c>
      <c r="D1092" s="3" t="e">
        <f ca="1">[1]!BexGetData("DP_1","003N8EMH8GTFRCSWKMPXRRESE","GSON1112080334")</f>
        <v>#NAME?</v>
      </c>
      <c r="E1092" s="3" t="e">
        <f ca="1">[1]!BexGetData("DP_1","003N8EMH8GTFRCSWKMPXRRL3Y","GSON1112080334")</f>
        <v>#NAME?</v>
      </c>
      <c r="F1092" s="4" t="e">
        <f ca="1">[1]!BexGetData("DP_1","003N8EMH8GTFRCSWKMPXRRRFI","GSON1112080334")</f>
        <v>#NAME?</v>
      </c>
      <c r="G1092" s="4" t="e">
        <f ca="1">[1]!BexGetData("DP_1","003N8EMH8GTFRCSWKMPXRRXR2","GSON1112080334")</f>
        <v>#NAME?</v>
      </c>
      <c r="H1092" s="4" t="e">
        <f ca="1">[1]!BexGetData("DP_1","003N8EMH8GTFRCSWKMPXRS42M","GSON1112080334")</f>
        <v>#NAME?</v>
      </c>
      <c r="I1092" s="4" t="e">
        <f ca="1">[1]!BexGetData("DP_1","003N8EMH8GTFRCSWKMPXRSAE6","GSON1112080334")</f>
        <v>#NAME?</v>
      </c>
      <c r="J1092" s="4" t="e">
        <f ca="1">[1]!BexGetData("DP_1","003N8EMH8GTFRCSWKMPXRSGPQ","GSON1112080334")</f>
        <v>#NAME?</v>
      </c>
      <c r="K1092" s="3" t="e">
        <f ca="1">[1]!BexGetData("DP_1","003N8EMH8GTFRIVNUPY288VJH","GSON1112080334")</f>
        <v>#NAME?</v>
      </c>
      <c r="L1092" s="3" t="e">
        <f ca="1">[1]!BexGetData("DP_1","003N8EMH8GTFRIVNUPY2891V1","GSON1112080334")</f>
        <v>#NAME?</v>
      </c>
      <c r="M1092" s="3" t="e">
        <f ca="1">[1]!BexGetData("DP_1","003N8EMH8GTFRIVOG7KG9IQXA","GSON1112080334")</f>
        <v>#NAME?</v>
      </c>
      <c r="N1092" s="8" t="e">
        <f ca="1">[1]!BexGetData("DP_1","003N8EMH8GTFRIVOG7KG9IX8U","GSON1112080334")</f>
        <v>#NAME?</v>
      </c>
      <c r="O1092" s="3" t="e">
        <f ca="1">[1]!BexGetData("DP_1","003N8EMH8GTFRIVOG7KG9J3KE","GSON1112080334")</f>
        <v>#NAME?</v>
      </c>
      <c r="P1092" s="8" t="e">
        <f ca="1">[1]!BexGetData("DP_1","003N8EMH8GTFRIVOG7KG9J9VY","GSON1112080334")</f>
        <v>#NAME?</v>
      </c>
      <c r="Q1092" s="4" t="e">
        <f ca="1">[1]!BexGetData("DP_1","00O2TNJGODT0G5Z4TTKYMM5MT","GSON1112080334")</f>
        <v>#NAME?</v>
      </c>
      <c r="R1092" s="4" t="e">
        <f ca="1">[1]!BexGetData("DP_1","00O2TNJGODT0G5Z4TTKYMMBYD","GSON1112080334")</f>
        <v>#NAME?</v>
      </c>
      <c r="S1092" s="4" t="e">
        <f ca="1">[1]!BexGetData("DP_1","00O2TNJGODT0G5Z4TTKYMMI9X","GSON1112080334")</f>
        <v>#NAME?</v>
      </c>
      <c r="T1092" s="4" t="e">
        <f ca="1">[1]!BexGetData("DP_1","00O2TNJGODT0G5Z4TTKYMMOLH","GSON1112080334")</f>
        <v>#NAME?</v>
      </c>
      <c r="U1092" s="4" t="e">
        <f ca="1">[1]!BexGetData("DP_1","00O2TNJGODT0G5Z4TTKYMMUX1","GSON1112080334")</f>
        <v>#NAME?</v>
      </c>
      <c r="V1092" s="4" t="e">
        <f ca="1">[1]!BexGetData("DP_1","00O2TNJGODT0G5Z4TTKYMN18L","GSON1112080334")</f>
        <v>#NAME?</v>
      </c>
      <c r="W1092" s="4" t="e">
        <f ca="1">[1]!BexGetData("DP_1","00O2TNJGODT0G5Z4TTKYMN7K5","GSON1112080334")</f>
        <v>#NAME?</v>
      </c>
    </row>
    <row r="1093" spans="1:23" x14ac:dyDescent="0.2">
      <c r="A1093" s="16" t="s">
        <v>3311</v>
      </c>
      <c r="B1093" s="7" t="s">
        <v>3312</v>
      </c>
      <c r="C1093" s="3" t="e">
        <f ca="1">[1]!BexGetData("DP_1","003N8EMH8GTFRCSWKMPXRR8GU","GSON1112080340")</f>
        <v>#NAME?</v>
      </c>
      <c r="D1093" s="3" t="e">
        <f ca="1">[1]!BexGetData("DP_1","003N8EMH8GTFRCSWKMPXRRESE","GSON1112080340")</f>
        <v>#NAME?</v>
      </c>
      <c r="E1093" s="8" t="e">
        <f ca="1">[1]!BexGetData("DP_1","003N8EMH8GTFRCSWKMPXRRL3Y","GSON1112080340")</f>
        <v>#NAME?</v>
      </c>
      <c r="F1093" s="4" t="e">
        <f ca="1">[1]!BexGetData("DP_1","003N8EMH8GTFRCSWKMPXRRRFI","GSON1112080340")</f>
        <v>#NAME?</v>
      </c>
      <c r="G1093" s="4" t="e">
        <f ca="1">[1]!BexGetData("DP_1","003N8EMH8GTFRCSWKMPXRRXR2","GSON1112080340")</f>
        <v>#NAME?</v>
      </c>
      <c r="H1093" s="4" t="e">
        <f ca="1">[1]!BexGetData("DP_1","003N8EMH8GTFRCSWKMPXRS42M","GSON1112080340")</f>
        <v>#NAME?</v>
      </c>
      <c r="I1093" s="4" t="e">
        <f ca="1">[1]!BexGetData("DP_1","003N8EMH8GTFRCSWKMPXRSAE6","GSON1112080340")</f>
        <v>#NAME?</v>
      </c>
      <c r="J1093" s="4" t="e">
        <f ca="1">[1]!BexGetData("DP_1","003N8EMH8GTFRCSWKMPXRSGPQ","GSON1112080340")</f>
        <v>#NAME?</v>
      </c>
      <c r="K1093" s="8" t="e">
        <f ca="1">[1]!BexGetData("DP_1","003N8EMH8GTFRIVNUPY288VJH","GSON1112080340")</f>
        <v>#NAME?</v>
      </c>
      <c r="L1093" s="8" t="e">
        <f ca="1">[1]!BexGetData("DP_1","003N8EMH8GTFRIVNUPY2891V1","GSON1112080340")</f>
        <v>#NAME?</v>
      </c>
      <c r="M1093" s="8" t="e">
        <f ca="1">[1]!BexGetData("DP_1","003N8EMH8GTFRIVOG7KG9IQXA","GSON1112080340")</f>
        <v>#NAME?</v>
      </c>
      <c r="N1093" s="8" t="e">
        <f ca="1">[1]!BexGetData("DP_1","003N8EMH8GTFRIVOG7KG9IX8U","GSON1112080340")</f>
        <v>#NAME?</v>
      </c>
      <c r="O1093" s="8" t="e">
        <f ca="1">[1]!BexGetData("DP_1","003N8EMH8GTFRIVOG7KG9J3KE","GSON1112080340")</f>
        <v>#NAME?</v>
      </c>
      <c r="P1093" s="8" t="e">
        <f ca="1">[1]!BexGetData("DP_1","003N8EMH8GTFRIVOG7KG9J9VY","GSON1112080340")</f>
        <v>#NAME?</v>
      </c>
      <c r="Q1093" s="4" t="e">
        <f ca="1">[1]!BexGetData("DP_1","00O2TNJGODT0G5Z4TTKYMM5MT","GSON1112080340")</f>
        <v>#NAME?</v>
      </c>
      <c r="R1093" s="4" t="e">
        <f ca="1">[1]!BexGetData("DP_1","00O2TNJGODT0G5Z4TTKYMMBYD","GSON1112080340")</f>
        <v>#NAME?</v>
      </c>
      <c r="S1093" s="4" t="e">
        <f ca="1">[1]!BexGetData("DP_1","00O2TNJGODT0G5Z4TTKYMMI9X","GSON1112080340")</f>
        <v>#NAME?</v>
      </c>
      <c r="T1093" s="4" t="e">
        <f ca="1">[1]!BexGetData("DP_1","00O2TNJGODT0G5Z4TTKYMMOLH","GSON1112080340")</f>
        <v>#NAME?</v>
      </c>
      <c r="U1093" s="4" t="e">
        <f ca="1">[1]!BexGetData("DP_1","00O2TNJGODT0G5Z4TTKYMMUX1","GSON1112080340")</f>
        <v>#NAME?</v>
      </c>
      <c r="V1093" s="4" t="e">
        <f ca="1">[1]!BexGetData("DP_1","00O2TNJGODT0G5Z4TTKYMN18L","GSON1112080340")</f>
        <v>#NAME?</v>
      </c>
      <c r="W1093" s="4" t="e">
        <f ca="1">[1]!BexGetData("DP_1","00O2TNJGODT0G5Z4TTKYMN7K5","GSON1112080340")</f>
        <v>#NAME?</v>
      </c>
    </row>
    <row r="1094" spans="1:23" x14ac:dyDescent="0.2">
      <c r="A1094" s="16" t="s">
        <v>1078</v>
      </c>
      <c r="B1094" s="7" t="s">
        <v>1079</v>
      </c>
      <c r="C1094" s="3" t="e">
        <f ca="1">[1]!BexGetData("DP_1","003N8EMH8GTFRCSWKMPXRR8GU","GSON1112080341")</f>
        <v>#NAME?</v>
      </c>
      <c r="D1094" s="3" t="e">
        <f ca="1">[1]!BexGetData("DP_1","003N8EMH8GTFRCSWKMPXRRESE","GSON1112080341")</f>
        <v>#NAME?</v>
      </c>
      <c r="E1094" s="8" t="e">
        <f ca="1">[1]!BexGetData("DP_1","003N8EMH8GTFRCSWKMPXRRL3Y","GSON1112080341")</f>
        <v>#NAME?</v>
      </c>
      <c r="F1094" s="4" t="e">
        <f ca="1">[1]!BexGetData("DP_1","003N8EMH8GTFRCSWKMPXRRRFI","GSON1112080341")</f>
        <v>#NAME?</v>
      </c>
      <c r="G1094" s="4" t="e">
        <f ca="1">[1]!BexGetData("DP_1","003N8EMH8GTFRCSWKMPXRRXR2","GSON1112080341")</f>
        <v>#NAME?</v>
      </c>
      <c r="H1094" s="4" t="e">
        <f ca="1">[1]!BexGetData("DP_1","003N8EMH8GTFRCSWKMPXRS42M","GSON1112080341")</f>
        <v>#NAME?</v>
      </c>
      <c r="I1094" s="4" t="e">
        <f ca="1">[1]!BexGetData("DP_1","003N8EMH8GTFRCSWKMPXRSAE6","GSON1112080341")</f>
        <v>#NAME?</v>
      </c>
      <c r="J1094" s="4" t="e">
        <f ca="1">[1]!BexGetData("DP_1","003N8EMH8GTFRCSWKMPXRSGPQ","GSON1112080341")</f>
        <v>#NAME?</v>
      </c>
      <c r="K1094" s="8" t="e">
        <f ca="1">[1]!BexGetData("DP_1","003N8EMH8GTFRIVNUPY288VJH","GSON1112080341")</f>
        <v>#NAME?</v>
      </c>
      <c r="L1094" s="8" t="e">
        <f ca="1">[1]!BexGetData("DP_1","003N8EMH8GTFRIVNUPY2891V1","GSON1112080341")</f>
        <v>#NAME?</v>
      </c>
      <c r="M1094" s="8" t="e">
        <f ca="1">[1]!BexGetData("DP_1","003N8EMH8GTFRIVOG7KG9IQXA","GSON1112080341")</f>
        <v>#NAME?</v>
      </c>
      <c r="N1094" s="8" t="e">
        <f ca="1">[1]!BexGetData("DP_1","003N8EMH8GTFRIVOG7KG9IX8U","GSON1112080341")</f>
        <v>#NAME?</v>
      </c>
      <c r="O1094" s="8" t="e">
        <f ca="1">[1]!BexGetData("DP_1","003N8EMH8GTFRIVOG7KG9J3KE","GSON1112080341")</f>
        <v>#NAME?</v>
      </c>
      <c r="P1094" s="8" t="e">
        <f ca="1">[1]!BexGetData("DP_1","003N8EMH8GTFRIVOG7KG9J9VY","GSON1112080341")</f>
        <v>#NAME?</v>
      </c>
      <c r="Q1094" s="4" t="e">
        <f ca="1">[1]!BexGetData("DP_1","00O2TNJGODT0G5Z4TTKYMM5MT","GSON1112080341")</f>
        <v>#NAME?</v>
      </c>
      <c r="R1094" s="4" t="e">
        <f ca="1">[1]!BexGetData("DP_1","00O2TNJGODT0G5Z4TTKYMMBYD","GSON1112080341")</f>
        <v>#NAME?</v>
      </c>
      <c r="S1094" s="4" t="e">
        <f ca="1">[1]!BexGetData("DP_1","00O2TNJGODT0G5Z4TTKYMMI9X","GSON1112080341")</f>
        <v>#NAME?</v>
      </c>
      <c r="T1094" s="4" t="e">
        <f ca="1">[1]!BexGetData("DP_1","00O2TNJGODT0G5Z4TTKYMMOLH","GSON1112080341")</f>
        <v>#NAME?</v>
      </c>
      <c r="U1094" s="4" t="e">
        <f ca="1">[1]!BexGetData("DP_1","00O2TNJGODT0G5Z4TTKYMMUX1","GSON1112080341")</f>
        <v>#NAME?</v>
      </c>
      <c r="V1094" s="4" t="e">
        <f ca="1">[1]!BexGetData("DP_1","00O2TNJGODT0G5Z4TTKYMN18L","GSON1112080341")</f>
        <v>#NAME?</v>
      </c>
      <c r="W1094" s="4" t="e">
        <f ca="1">[1]!BexGetData("DP_1","00O2TNJGODT0G5Z4TTKYMN7K5","GSON1112080341")</f>
        <v>#NAME?</v>
      </c>
    </row>
    <row r="1095" spans="1:23" x14ac:dyDescent="0.2">
      <c r="A1095" s="16" t="s">
        <v>3313</v>
      </c>
      <c r="B1095" s="7" t="s">
        <v>3314</v>
      </c>
      <c r="C1095" s="3" t="e">
        <f ca="1">[1]!BexGetData("DP_1","003N8EMH8GTFRCSWKMPXRR8GU","GSON1112080344")</f>
        <v>#NAME?</v>
      </c>
      <c r="D1095" s="3" t="e">
        <f ca="1">[1]!BexGetData("DP_1","003N8EMH8GTFRCSWKMPXRRESE","GSON1112080344")</f>
        <v>#NAME?</v>
      </c>
      <c r="E1095" s="8" t="e">
        <f ca="1">[1]!BexGetData("DP_1","003N8EMH8GTFRCSWKMPXRRL3Y","GSON1112080344")</f>
        <v>#NAME?</v>
      </c>
      <c r="F1095" s="4" t="e">
        <f ca="1">[1]!BexGetData("DP_1","003N8EMH8GTFRCSWKMPXRRRFI","GSON1112080344")</f>
        <v>#NAME?</v>
      </c>
      <c r="G1095" s="4" t="e">
        <f ca="1">[1]!BexGetData("DP_1","003N8EMH8GTFRCSWKMPXRRXR2","GSON1112080344")</f>
        <v>#NAME?</v>
      </c>
      <c r="H1095" s="4" t="e">
        <f ca="1">[1]!BexGetData("DP_1","003N8EMH8GTFRCSWKMPXRS42M","GSON1112080344")</f>
        <v>#NAME?</v>
      </c>
      <c r="I1095" s="4" t="e">
        <f ca="1">[1]!BexGetData("DP_1","003N8EMH8GTFRCSWKMPXRSAE6","GSON1112080344")</f>
        <v>#NAME?</v>
      </c>
      <c r="J1095" s="4" t="e">
        <f ca="1">[1]!BexGetData("DP_1","003N8EMH8GTFRCSWKMPXRSGPQ","GSON1112080344")</f>
        <v>#NAME?</v>
      </c>
      <c r="K1095" s="8" t="e">
        <f ca="1">[1]!BexGetData("DP_1","003N8EMH8GTFRIVNUPY288VJH","GSON1112080344")</f>
        <v>#NAME?</v>
      </c>
      <c r="L1095" s="8" t="e">
        <f ca="1">[1]!BexGetData("DP_1","003N8EMH8GTFRIVNUPY2891V1","GSON1112080344")</f>
        <v>#NAME?</v>
      </c>
      <c r="M1095" s="8" t="e">
        <f ca="1">[1]!BexGetData("DP_1","003N8EMH8GTFRIVOG7KG9IQXA","GSON1112080344")</f>
        <v>#NAME?</v>
      </c>
      <c r="N1095" s="8" t="e">
        <f ca="1">[1]!BexGetData("DP_1","003N8EMH8GTFRIVOG7KG9IX8U","GSON1112080344")</f>
        <v>#NAME?</v>
      </c>
      <c r="O1095" s="8" t="e">
        <f ca="1">[1]!BexGetData("DP_1","003N8EMH8GTFRIVOG7KG9J3KE","GSON1112080344")</f>
        <v>#NAME?</v>
      </c>
      <c r="P1095" s="8" t="e">
        <f ca="1">[1]!BexGetData("DP_1","003N8EMH8GTFRIVOG7KG9J9VY","GSON1112080344")</f>
        <v>#NAME?</v>
      </c>
      <c r="Q1095" s="4" t="e">
        <f ca="1">[1]!BexGetData("DP_1","00O2TNJGODT0G5Z4TTKYMM5MT","GSON1112080344")</f>
        <v>#NAME?</v>
      </c>
      <c r="R1095" s="4" t="e">
        <f ca="1">[1]!BexGetData("DP_1","00O2TNJGODT0G5Z4TTKYMMBYD","GSON1112080344")</f>
        <v>#NAME?</v>
      </c>
      <c r="S1095" s="4" t="e">
        <f ca="1">[1]!BexGetData("DP_1","00O2TNJGODT0G5Z4TTKYMMI9X","GSON1112080344")</f>
        <v>#NAME?</v>
      </c>
      <c r="T1095" s="4" t="e">
        <f ca="1">[1]!BexGetData("DP_1","00O2TNJGODT0G5Z4TTKYMMOLH","GSON1112080344")</f>
        <v>#NAME?</v>
      </c>
      <c r="U1095" s="4" t="e">
        <f ca="1">[1]!BexGetData("DP_1","00O2TNJGODT0G5Z4TTKYMMUX1","GSON1112080344")</f>
        <v>#NAME?</v>
      </c>
      <c r="V1095" s="4" t="e">
        <f ca="1">[1]!BexGetData("DP_1","00O2TNJGODT0G5Z4TTKYMN18L","GSON1112080344")</f>
        <v>#NAME?</v>
      </c>
      <c r="W1095" s="4" t="e">
        <f ca="1">[1]!BexGetData("DP_1","00O2TNJGODT0G5Z4TTKYMN7K5","GSON1112080344")</f>
        <v>#NAME?</v>
      </c>
    </row>
    <row r="1096" spans="1:23" x14ac:dyDescent="0.2">
      <c r="A1096" s="16" t="s">
        <v>3315</v>
      </c>
      <c r="B1096" s="7" t="s">
        <v>3316</v>
      </c>
      <c r="C1096" s="3" t="e">
        <f ca="1">[1]!BexGetData("DP_1","003N8EMH8GTFRCSWKMPXRR8GU","GSON1112080350")</f>
        <v>#NAME?</v>
      </c>
      <c r="D1096" s="3" t="e">
        <f ca="1">[1]!BexGetData("DP_1","003N8EMH8GTFRCSWKMPXRRESE","GSON1112080350")</f>
        <v>#NAME?</v>
      </c>
      <c r="E1096" s="8" t="e">
        <f ca="1">[1]!BexGetData("DP_1","003N8EMH8GTFRCSWKMPXRRL3Y","GSON1112080350")</f>
        <v>#NAME?</v>
      </c>
      <c r="F1096" s="3" t="e">
        <f ca="1">[1]!BexGetData("DP_1","003N8EMH8GTFRCSWKMPXRRRFI","GSON1112080350")</f>
        <v>#NAME?</v>
      </c>
      <c r="G1096" s="3" t="e">
        <f ca="1">[1]!BexGetData("DP_1","003N8EMH8GTFRCSWKMPXRRXR2","GSON1112080350")</f>
        <v>#NAME?</v>
      </c>
      <c r="H1096" s="8" t="e">
        <f ca="1">[1]!BexGetData("DP_1","003N8EMH8GTFRCSWKMPXRS42M","GSON1112080350")</f>
        <v>#NAME?</v>
      </c>
      <c r="I1096" s="3" t="e">
        <f ca="1">[1]!BexGetData("DP_1","003N8EMH8GTFRCSWKMPXRSAE6","GSON1112080350")</f>
        <v>#NAME?</v>
      </c>
      <c r="J1096" s="4" t="e">
        <f ca="1">[1]!BexGetData("DP_1","003N8EMH8GTFRCSWKMPXRSGPQ","GSON1112080350")</f>
        <v>#NAME?</v>
      </c>
      <c r="K1096" s="3" t="e">
        <f ca="1">[1]!BexGetData("DP_1","003N8EMH8GTFRIVNUPY288VJH","GSON1112080350")</f>
        <v>#NAME?</v>
      </c>
      <c r="L1096" s="3" t="e">
        <f ca="1">[1]!BexGetData("DP_1","003N8EMH8GTFRIVNUPY2891V1","GSON1112080350")</f>
        <v>#NAME?</v>
      </c>
      <c r="M1096" s="3" t="e">
        <f ca="1">[1]!BexGetData("DP_1","003N8EMH8GTFRIVOG7KG9IQXA","GSON1112080350")</f>
        <v>#NAME?</v>
      </c>
      <c r="N1096" s="8" t="e">
        <f ca="1">[1]!BexGetData("DP_1","003N8EMH8GTFRIVOG7KG9IX8U","GSON1112080350")</f>
        <v>#NAME?</v>
      </c>
      <c r="O1096" s="3" t="e">
        <f ca="1">[1]!BexGetData("DP_1","003N8EMH8GTFRIVOG7KG9J3KE","GSON1112080350")</f>
        <v>#NAME?</v>
      </c>
      <c r="P1096" s="8" t="e">
        <f ca="1">[1]!BexGetData("DP_1","003N8EMH8GTFRIVOG7KG9J9VY","GSON1112080350")</f>
        <v>#NAME?</v>
      </c>
      <c r="Q1096" s="4" t="e">
        <f ca="1">[1]!BexGetData("DP_1","00O2TNJGODT0G5Z4TTKYMM5MT","GSON1112080350")</f>
        <v>#NAME?</v>
      </c>
      <c r="R1096" s="3" t="e">
        <f ca="1">[1]!BexGetData("DP_1","00O2TNJGODT0G5Z4TTKYMMBYD","GSON1112080350")</f>
        <v>#NAME?</v>
      </c>
      <c r="S1096" s="3" t="e">
        <f ca="1">[1]!BexGetData("DP_1","00O2TNJGODT0G5Z4TTKYMMI9X","GSON1112080350")</f>
        <v>#NAME?</v>
      </c>
      <c r="T1096" s="8" t="e">
        <f ca="1">[1]!BexGetData("DP_1","00O2TNJGODT0G5Z4TTKYMMOLH","GSON1112080350")</f>
        <v>#NAME?</v>
      </c>
      <c r="U1096" s="3" t="e">
        <f ca="1">[1]!BexGetData("DP_1","00O2TNJGODT0G5Z4TTKYMMUX1","GSON1112080350")</f>
        <v>#NAME?</v>
      </c>
      <c r="V1096" s="8" t="e">
        <f ca="1">[1]!BexGetData("DP_1","00O2TNJGODT0G5Z4TTKYMN18L","GSON1112080350")</f>
        <v>#NAME?</v>
      </c>
      <c r="W1096" s="3" t="e">
        <f ca="1">[1]!BexGetData("DP_1","00O2TNJGODT0G5Z4TTKYMN7K5","GSON1112080350")</f>
        <v>#NAME?</v>
      </c>
    </row>
    <row r="1097" spans="1:23" x14ac:dyDescent="0.2">
      <c r="A1097" s="16" t="s">
        <v>3317</v>
      </c>
      <c r="B1097" s="7" t="s">
        <v>3318</v>
      </c>
      <c r="C1097" s="8" t="e">
        <f ca="1">[1]!BexGetData("DP_1","003N8EMH8GTFRCSWKMPXRR8GU","GSON1112080351")</f>
        <v>#NAME?</v>
      </c>
      <c r="D1097" s="3" t="e">
        <f ca="1">[1]!BexGetData("DP_1","003N8EMH8GTFRCSWKMPXRRESE","GSON1112080351")</f>
        <v>#NAME?</v>
      </c>
      <c r="E1097" s="3" t="e">
        <f ca="1">[1]!BexGetData("DP_1","003N8EMH8GTFRCSWKMPXRRL3Y","GSON1112080351")</f>
        <v>#NAME?</v>
      </c>
      <c r="F1097" s="4" t="e">
        <f ca="1">[1]!BexGetData("DP_1","003N8EMH8GTFRCSWKMPXRRRFI","GSON1112080351")</f>
        <v>#NAME?</v>
      </c>
      <c r="G1097" s="4" t="e">
        <f ca="1">[1]!BexGetData("DP_1","003N8EMH8GTFRCSWKMPXRRXR2","GSON1112080351")</f>
        <v>#NAME?</v>
      </c>
      <c r="H1097" s="4" t="e">
        <f ca="1">[1]!BexGetData("DP_1","003N8EMH8GTFRCSWKMPXRS42M","GSON1112080351")</f>
        <v>#NAME?</v>
      </c>
      <c r="I1097" s="4" t="e">
        <f ca="1">[1]!BexGetData("DP_1","003N8EMH8GTFRCSWKMPXRSAE6","GSON1112080351")</f>
        <v>#NAME?</v>
      </c>
      <c r="J1097" s="4" t="e">
        <f ca="1">[1]!BexGetData("DP_1","003N8EMH8GTFRCSWKMPXRSGPQ","GSON1112080351")</f>
        <v>#NAME?</v>
      </c>
      <c r="K1097" s="3" t="e">
        <f ca="1">[1]!BexGetData("DP_1","003N8EMH8GTFRIVNUPY288VJH","GSON1112080351")</f>
        <v>#NAME?</v>
      </c>
      <c r="L1097" s="3" t="e">
        <f ca="1">[1]!BexGetData("DP_1","003N8EMH8GTFRIVNUPY2891V1","GSON1112080351")</f>
        <v>#NAME?</v>
      </c>
      <c r="M1097" s="3" t="e">
        <f ca="1">[1]!BexGetData("DP_1","003N8EMH8GTFRIVOG7KG9IQXA","GSON1112080351")</f>
        <v>#NAME?</v>
      </c>
      <c r="N1097" s="8" t="e">
        <f ca="1">[1]!BexGetData("DP_1","003N8EMH8GTFRIVOG7KG9IX8U","GSON1112080351")</f>
        <v>#NAME?</v>
      </c>
      <c r="O1097" s="3" t="e">
        <f ca="1">[1]!BexGetData("DP_1","003N8EMH8GTFRIVOG7KG9J3KE","GSON1112080351")</f>
        <v>#NAME?</v>
      </c>
      <c r="P1097" s="8" t="e">
        <f ca="1">[1]!BexGetData("DP_1","003N8EMH8GTFRIVOG7KG9J9VY","GSON1112080351")</f>
        <v>#NAME?</v>
      </c>
      <c r="Q1097" s="4" t="e">
        <f ca="1">[1]!BexGetData("DP_1","00O2TNJGODT0G5Z4TTKYMM5MT","GSON1112080351")</f>
        <v>#NAME?</v>
      </c>
      <c r="R1097" s="4" t="e">
        <f ca="1">[1]!BexGetData("DP_1","00O2TNJGODT0G5Z4TTKYMMBYD","GSON1112080351")</f>
        <v>#NAME?</v>
      </c>
      <c r="S1097" s="4" t="e">
        <f ca="1">[1]!BexGetData("DP_1","00O2TNJGODT0G5Z4TTKYMMI9X","GSON1112080351")</f>
        <v>#NAME?</v>
      </c>
      <c r="T1097" s="4" t="e">
        <f ca="1">[1]!BexGetData("DP_1","00O2TNJGODT0G5Z4TTKYMMOLH","GSON1112080351")</f>
        <v>#NAME?</v>
      </c>
      <c r="U1097" s="4" t="e">
        <f ca="1">[1]!BexGetData("DP_1","00O2TNJGODT0G5Z4TTKYMMUX1","GSON1112080351")</f>
        <v>#NAME?</v>
      </c>
      <c r="V1097" s="4" t="e">
        <f ca="1">[1]!BexGetData("DP_1","00O2TNJGODT0G5Z4TTKYMN18L","GSON1112080351")</f>
        <v>#NAME?</v>
      </c>
      <c r="W1097" s="4" t="e">
        <f ca="1">[1]!BexGetData("DP_1","00O2TNJGODT0G5Z4TTKYMN7K5","GSON1112080351")</f>
        <v>#NAME?</v>
      </c>
    </row>
    <row r="1098" spans="1:23" x14ac:dyDescent="0.2">
      <c r="A1098" s="16" t="s">
        <v>3319</v>
      </c>
      <c r="B1098" s="7" t="s">
        <v>3320</v>
      </c>
      <c r="C1098" s="3" t="e">
        <f ca="1">[1]!BexGetData("DP_1","003N8EMH8GTFRCSWKMPXRR8GU","GSON1112080353")</f>
        <v>#NAME?</v>
      </c>
      <c r="D1098" s="3" t="e">
        <f ca="1">[1]!BexGetData("DP_1","003N8EMH8GTFRCSWKMPXRRESE","GSON1112080353")</f>
        <v>#NAME?</v>
      </c>
      <c r="E1098" s="8" t="e">
        <f ca="1">[1]!BexGetData("DP_1","003N8EMH8GTFRCSWKMPXRRL3Y","GSON1112080353")</f>
        <v>#NAME?</v>
      </c>
      <c r="F1098" s="4" t="e">
        <f ca="1">[1]!BexGetData("DP_1","003N8EMH8GTFRCSWKMPXRRRFI","GSON1112080353")</f>
        <v>#NAME?</v>
      </c>
      <c r="G1098" s="4" t="e">
        <f ca="1">[1]!BexGetData("DP_1","003N8EMH8GTFRCSWKMPXRRXR2","GSON1112080353")</f>
        <v>#NAME?</v>
      </c>
      <c r="H1098" s="4" t="e">
        <f ca="1">[1]!BexGetData("DP_1","003N8EMH8GTFRCSWKMPXRS42M","GSON1112080353")</f>
        <v>#NAME?</v>
      </c>
      <c r="I1098" s="4" t="e">
        <f ca="1">[1]!BexGetData("DP_1","003N8EMH8GTFRCSWKMPXRSAE6","GSON1112080353")</f>
        <v>#NAME?</v>
      </c>
      <c r="J1098" s="4" t="e">
        <f ca="1">[1]!BexGetData("DP_1","003N8EMH8GTFRCSWKMPXRSGPQ","GSON1112080353")</f>
        <v>#NAME?</v>
      </c>
      <c r="K1098" s="8" t="e">
        <f ca="1">[1]!BexGetData("DP_1","003N8EMH8GTFRIVNUPY288VJH","GSON1112080353")</f>
        <v>#NAME?</v>
      </c>
      <c r="L1098" s="8" t="e">
        <f ca="1">[1]!BexGetData("DP_1","003N8EMH8GTFRIVNUPY2891V1","GSON1112080353")</f>
        <v>#NAME?</v>
      </c>
      <c r="M1098" s="8" t="e">
        <f ca="1">[1]!BexGetData("DP_1","003N8EMH8GTFRIVOG7KG9IQXA","GSON1112080353")</f>
        <v>#NAME?</v>
      </c>
      <c r="N1098" s="8" t="e">
        <f ca="1">[1]!BexGetData("DP_1","003N8EMH8GTFRIVOG7KG9IX8U","GSON1112080353")</f>
        <v>#NAME?</v>
      </c>
      <c r="O1098" s="8" t="e">
        <f ca="1">[1]!BexGetData("DP_1","003N8EMH8GTFRIVOG7KG9J3KE","GSON1112080353")</f>
        <v>#NAME?</v>
      </c>
      <c r="P1098" s="8" t="e">
        <f ca="1">[1]!BexGetData("DP_1","003N8EMH8GTFRIVOG7KG9J9VY","GSON1112080353")</f>
        <v>#NAME?</v>
      </c>
      <c r="Q1098" s="4" t="e">
        <f ca="1">[1]!BexGetData("DP_1","00O2TNJGODT0G5Z4TTKYMM5MT","GSON1112080353")</f>
        <v>#NAME?</v>
      </c>
      <c r="R1098" s="4" t="e">
        <f ca="1">[1]!BexGetData("DP_1","00O2TNJGODT0G5Z4TTKYMMBYD","GSON1112080353")</f>
        <v>#NAME?</v>
      </c>
      <c r="S1098" s="4" t="e">
        <f ca="1">[1]!BexGetData("DP_1","00O2TNJGODT0G5Z4TTKYMMI9X","GSON1112080353")</f>
        <v>#NAME?</v>
      </c>
      <c r="T1098" s="4" t="e">
        <f ca="1">[1]!BexGetData("DP_1","00O2TNJGODT0G5Z4TTKYMMOLH","GSON1112080353")</f>
        <v>#NAME?</v>
      </c>
      <c r="U1098" s="4" t="e">
        <f ca="1">[1]!BexGetData("DP_1","00O2TNJGODT0G5Z4TTKYMMUX1","GSON1112080353")</f>
        <v>#NAME?</v>
      </c>
      <c r="V1098" s="4" t="e">
        <f ca="1">[1]!BexGetData("DP_1","00O2TNJGODT0G5Z4TTKYMN18L","GSON1112080353")</f>
        <v>#NAME?</v>
      </c>
      <c r="W1098" s="4" t="e">
        <f ca="1">[1]!BexGetData("DP_1","00O2TNJGODT0G5Z4TTKYMN7K5","GSON1112080353")</f>
        <v>#NAME?</v>
      </c>
    </row>
    <row r="1099" spans="1:23" x14ac:dyDescent="0.2">
      <c r="A1099" s="16" t="s">
        <v>3321</v>
      </c>
      <c r="B1099" s="7" t="s">
        <v>3322</v>
      </c>
      <c r="C1099" s="3" t="e">
        <f ca="1">[1]!BexGetData("DP_1","003N8EMH8GTFRCSWKMPXRR8GU","GSON1112080354")</f>
        <v>#NAME?</v>
      </c>
      <c r="D1099" s="3" t="e">
        <f ca="1">[1]!BexGetData("DP_1","003N8EMH8GTFRCSWKMPXRRESE","GSON1112080354")</f>
        <v>#NAME?</v>
      </c>
      <c r="E1099" s="8" t="e">
        <f ca="1">[1]!BexGetData("DP_1","003N8EMH8GTFRCSWKMPXRRL3Y","GSON1112080354")</f>
        <v>#NAME?</v>
      </c>
      <c r="F1099" s="4" t="e">
        <f ca="1">[1]!BexGetData("DP_1","003N8EMH8GTFRCSWKMPXRRRFI","GSON1112080354")</f>
        <v>#NAME?</v>
      </c>
      <c r="G1099" s="4" t="e">
        <f ca="1">[1]!BexGetData("DP_1","003N8EMH8GTFRCSWKMPXRRXR2","GSON1112080354")</f>
        <v>#NAME?</v>
      </c>
      <c r="H1099" s="4" t="e">
        <f ca="1">[1]!BexGetData("DP_1","003N8EMH8GTFRCSWKMPXRS42M","GSON1112080354")</f>
        <v>#NAME?</v>
      </c>
      <c r="I1099" s="4" t="e">
        <f ca="1">[1]!BexGetData("DP_1","003N8EMH8GTFRCSWKMPXRSAE6","GSON1112080354")</f>
        <v>#NAME?</v>
      </c>
      <c r="J1099" s="4" t="e">
        <f ca="1">[1]!BexGetData("DP_1","003N8EMH8GTFRCSWKMPXRSGPQ","GSON1112080354")</f>
        <v>#NAME?</v>
      </c>
      <c r="K1099" s="8" t="e">
        <f ca="1">[1]!BexGetData("DP_1","003N8EMH8GTFRIVNUPY288VJH","GSON1112080354")</f>
        <v>#NAME?</v>
      </c>
      <c r="L1099" s="8" t="e">
        <f ca="1">[1]!BexGetData("DP_1","003N8EMH8GTFRIVNUPY2891V1","GSON1112080354")</f>
        <v>#NAME?</v>
      </c>
      <c r="M1099" s="8" t="e">
        <f ca="1">[1]!BexGetData("DP_1","003N8EMH8GTFRIVOG7KG9IQXA","GSON1112080354")</f>
        <v>#NAME?</v>
      </c>
      <c r="N1099" s="8" t="e">
        <f ca="1">[1]!BexGetData("DP_1","003N8EMH8GTFRIVOG7KG9IX8U","GSON1112080354")</f>
        <v>#NAME?</v>
      </c>
      <c r="O1099" s="8" t="e">
        <f ca="1">[1]!BexGetData("DP_1","003N8EMH8GTFRIVOG7KG9J3KE","GSON1112080354")</f>
        <v>#NAME?</v>
      </c>
      <c r="P1099" s="8" t="e">
        <f ca="1">[1]!BexGetData("DP_1","003N8EMH8GTFRIVOG7KG9J9VY","GSON1112080354")</f>
        <v>#NAME?</v>
      </c>
      <c r="Q1099" s="4" t="e">
        <f ca="1">[1]!BexGetData("DP_1","00O2TNJGODT0G5Z4TTKYMM5MT","GSON1112080354")</f>
        <v>#NAME?</v>
      </c>
      <c r="R1099" s="4" t="e">
        <f ca="1">[1]!BexGetData("DP_1","00O2TNJGODT0G5Z4TTKYMMBYD","GSON1112080354")</f>
        <v>#NAME?</v>
      </c>
      <c r="S1099" s="4" t="e">
        <f ca="1">[1]!BexGetData("DP_1","00O2TNJGODT0G5Z4TTKYMMI9X","GSON1112080354")</f>
        <v>#NAME?</v>
      </c>
      <c r="T1099" s="4" t="e">
        <f ca="1">[1]!BexGetData("DP_1","00O2TNJGODT0G5Z4TTKYMMOLH","GSON1112080354")</f>
        <v>#NAME?</v>
      </c>
      <c r="U1099" s="4" t="e">
        <f ca="1">[1]!BexGetData("DP_1","00O2TNJGODT0G5Z4TTKYMMUX1","GSON1112080354")</f>
        <v>#NAME?</v>
      </c>
      <c r="V1099" s="4" t="e">
        <f ca="1">[1]!BexGetData("DP_1","00O2TNJGODT0G5Z4TTKYMN18L","GSON1112080354")</f>
        <v>#NAME?</v>
      </c>
      <c r="W1099" s="4" t="e">
        <f ca="1">[1]!BexGetData("DP_1","00O2TNJGODT0G5Z4TTKYMN7K5","GSON1112080354")</f>
        <v>#NAME?</v>
      </c>
    </row>
    <row r="1100" spans="1:23" x14ac:dyDescent="0.2">
      <c r="A1100" s="16" t="s">
        <v>3323</v>
      </c>
      <c r="B1100" s="7" t="s">
        <v>3324</v>
      </c>
      <c r="C1100" s="3" t="e">
        <f ca="1">[1]!BexGetData("DP_1","003N8EMH8GTFRCSWKMPXRR8GU","GSON1112080360")</f>
        <v>#NAME?</v>
      </c>
      <c r="D1100" s="3" t="e">
        <f ca="1">[1]!BexGetData("DP_1","003N8EMH8GTFRCSWKMPXRRESE","GSON1112080360")</f>
        <v>#NAME?</v>
      </c>
      <c r="E1100" s="8" t="e">
        <f ca="1">[1]!BexGetData("DP_1","003N8EMH8GTFRCSWKMPXRRL3Y","GSON1112080360")</f>
        <v>#NAME?</v>
      </c>
      <c r="F1100" s="4" t="e">
        <f ca="1">[1]!BexGetData("DP_1","003N8EMH8GTFRCSWKMPXRRRFI","GSON1112080360")</f>
        <v>#NAME?</v>
      </c>
      <c r="G1100" s="4" t="e">
        <f ca="1">[1]!BexGetData("DP_1","003N8EMH8GTFRCSWKMPXRRXR2","GSON1112080360")</f>
        <v>#NAME?</v>
      </c>
      <c r="H1100" s="4" t="e">
        <f ca="1">[1]!BexGetData("DP_1","003N8EMH8GTFRCSWKMPXRS42M","GSON1112080360")</f>
        <v>#NAME?</v>
      </c>
      <c r="I1100" s="4" t="e">
        <f ca="1">[1]!BexGetData("DP_1","003N8EMH8GTFRCSWKMPXRSAE6","GSON1112080360")</f>
        <v>#NAME?</v>
      </c>
      <c r="J1100" s="4" t="e">
        <f ca="1">[1]!BexGetData("DP_1","003N8EMH8GTFRCSWKMPXRSGPQ","GSON1112080360")</f>
        <v>#NAME?</v>
      </c>
      <c r="K1100" s="8" t="e">
        <f ca="1">[1]!BexGetData("DP_1","003N8EMH8GTFRIVNUPY288VJH","GSON1112080360")</f>
        <v>#NAME?</v>
      </c>
      <c r="L1100" s="8" t="e">
        <f ca="1">[1]!BexGetData("DP_1","003N8EMH8GTFRIVNUPY2891V1","GSON1112080360")</f>
        <v>#NAME?</v>
      </c>
      <c r="M1100" s="8" t="e">
        <f ca="1">[1]!BexGetData("DP_1","003N8EMH8GTFRIVOG7KG9IQXA","GSON1112080360")</f>
        <v>#NAME?</v>
      </c>
      <c r="N1100" s="8" t="e">
        <f ca="1">[1]!BexGetData("DP_1","003N8EMH8GTFRIVOG7KG9IX8U","GSON1112080360")</f>
        <v>#NAME?</v>
      </c>
      <c r="O1100" s="8" t="e">
        <f ca="1">[1]!BexGetData("DP_1","003N8EMH8GTFRIVOG7KG9J3KE","GSON1112080360")</f>
        <v>#NAME?</v>
      </c>
      <c r="P1100" s="8" t="e">
        <f ca="1">[1]!BexGetData("DP_1","003N8EMH8GTFRIVOG7KG9J9VY","GSON1112080360")</f>
        <v>#NAME?</v>
      </c>
      <c r="Q1100" s="4" t="e">
        <f ca="1">[1]!BexGetData("DP_1","00O2TNJGODT0G5Z4TTKYMM5MT","GSON1112080360")</f>
        <v>#NAME?</v>
      </c>
      <c r="R1100" s="4" t="e">
        <f ca="1">[1]!BexGetData("DP_1","00O2TNJGODT0G5Z4TTKYMMBYD","GSON1112080360")</f>
        <v>#NAME?</v>
      </c>
      <c r="S1100" s="4" t="e">
        <f ca="1">[1]!BexGetData("DP_1","00O2TNJGODT0G5Z4TTKYMMI9X","GSON1112080360")</f>
        <v>#NAME?</v>
      </c>
      <c r="T1100" s="4" t="e">
        <f ca="1">[1]!BexGetData("DP_1","00O2TNJGODT0G5Z4TTKYMMOLH","GSON1112080360")</f>
        <v>#NAME?</v>
      </c>
      <c r="U1100" s="4" t="e">
        <f ca="1">[1]!BexGetData("DP_1","00O2TNJGODT0G5Z4TTKYMMUX1","GSON1112080360")</f>
        <v>#NAME?</v>
      </c>
      <c r="V1100" s="4" t="e">
        <f ca="1">[1]!BexGetData("DP_1","00O2TNJGODT0G5Z4TTKYMN18L","GSON1112080360")</f>
        <v>#NAME?</v>
      </c>
      <c r="W1100" s="4" t="e">
        <f ca="1">[1]!BexGetData("DP_1","00O2TNJGODT0G5Z4TTKYMN7K5","GSON1112080360")</f>
        <v>#NAME?</v>
      </c>
    </row>
    <row r="1101" spans="1:23" x14ac:dyDescent="0.2">
      <c r="A1101" s="16" t="s">
        <v>1080</v>
      </c>
      <c r="B1101" s="7" t="s">
        <v>1081</v>
      </c>
      <c r="C1101" s="3" t="e">
        <f ca="1">[1]!BexGetData("DP_1","003N8EMH8GTFRCSWKMPXRR8GU","GSON1112080361")</f>
        <v>#NAME?</v>
      </c>
      <c r="D1101" s="3" t="e">
        <f ca="1">[1]!BexGetData("DP_1","003N8EMH8GTFRCSWKMPXRRESE","GSON1112080361")</f>
        <v>#NAME?</v>
      </c>
      <c r="E1101" s="8" t="e">
        <f ca="1">[1]!BexGetData("DP_1","003N8EMH8GTFRCSWKMPXRRL3Y","GSON1112080361")</f>
        <v>#NAME?</v>
      </c>
      <c r="F1101" s="4" t="e">
        <f ca="1">[1]!BexGetData("DP_1","003N8EMH8GTFRCSWKMPXRRRFI","GSON1112080361")</f>
        <v>#NAME?</v>
      </c>
      <c r="G1101" s="4" t="e">
        <f ca="1">[1]!BexGetData("DP_1","003N8EMH8GTFRCSWKMPXRRXR2","GSON1112080361")</f>
        <v>#NAME?</v>
      </c>
      <c r="H1101" s="4" t="e">
        <f ca="1">[1]!BexGetData("DP_1","003N8EMH8GTFRCSWKMPXRS42M","GSON1112080361")</f>
        <v>#NAME?</v>
      </c>
      <c r="I1101" s="4" t="e">
        <f ca="1">[1]!BexGetData("DP_1","003N8EMH8GTFRCSWKMPXRSAE6","GSON1112080361")</f>
        <v>#NAME?</v>
      </c>
      <c r="J1101" s="4" t="e">
        <f ca="1">[1]!BexGetData("DP_1","003N8EMH8GTFRCSWKMPXRSGPQ","GSON1112080361")</f>
        <v>#NAME?</v>
      </c>
      <c r="K1101" s="8" t="e">
        <f ca="1">[1]!BexGetData("DP_1","003N8EMH8GTFRIVNUPY288VJH","GSON1112080361")</f>
        <v>#NAME?</v>
      </c>
      <c r="L1101" s="8" t="e">
        <f ca="1">[1]!BexGetData("DP_1","003N8EMH8GTFRIVNUPY2891V1","GSON1112080361")</f>
        <v>#NAME?</v>
      </c>
      <c r="M1101" s="8" t="e">
        <f ca="1">[1]!BexGetData("DP_1","003N8EMH8GTFRIVOG7KG9IQXA","GSON1112080361")</f>
        <v>#NAME?</v>
      </c>
      <c r="N1101" s="8" t="e">
        <f ca="1">[1]!BexGetData("DP_1","003N8EMH8GTFRIVOG7KG9IX8U","GSON1112080361")</f>
        <v>#NAME?</v>
      </c>
      <c r="O1101" s="8" t="e">
        <f ca="1">[1]!BexGetData("DP_1","003N8EMH8GTFRIVOG7KG9J3KE","GSON1112080361")</f>
        <v>#NAME?</v>
      </c>
      <c r="P1101" s="8" t="e">
        <f ca="1">[1]!BexGetData("DP_1","003N8EMH8GTFRIVOG7KG9J9VY","GSON1112080361")</f>
        <v>#NAME?</v>
      </c>
      <c r="Q1101" s="4" t="e">
        <f ca="1">[1]!BexGetData("DP_1","00O2TNJGODT0G5Z4TTKYMM5MT","GSON1112080361")</f>
        <v>#NAME?</v>
      </c>
      <c r="R1101" s="4" t="e">
        <f ca="1">[1]!BexGetData("DP_1","00O2TNJGODT0G5Z4TTKYMMBYD","GSON1112080361")</f>
        <v>#NAME?</v>
      </c>
      <c r="S1101" s="4" t="e">
        <f ca="1">[1]!BexGetData("DP_1","00O2TNJGODT0G5Z4TTKYMMI9X","GSON1112080361")</f>
        <v>#NAME?</v>
      </c>
      <c r="T1101" s="4" t="e">
        <f ca="1">[1]!BexGetData("DP_1","00O2TNJGODT0G5Z4TTKYMMOLH","GSON1112080361")</f>
        <v>#NAME?</v>
      </c>
      <c r="U1101" s="4" t="e">
        <f ca="1">[1]!BexGetData("DP_1","00O2TNJGODT0G5Z4TTKYMMUX1","GSON1112080361")</f>
        <v>#NAME?</v>
      </c>
      <c r="V1101" s="4" t="e">
        <f ca="1">[1]!BexGetData("DP_1","00O2TNJGODT0G5Z4TTKYMN18L","GSON1112080361")</f>
        <v>#NAME?</v>
      </c>
      <c r="W1101" s="4" t="e">
        <f ca="1">[1]!BexGetData("DP_1","00O2TNJGODT0G5Z4TTKYMN7K5","GSON1112080361")</f>
        <v>#NAME?</v>
      </c>
    </row>
    <row r="1102" spans="1:23" x14ac:dyDescent="0.2">
      <c r="A1102" s="16" t="s">
        <v>3325</v>
      </c>
      <c r="B1102" s="7" t="s">
        <v>3326</v>
      </c>
      <c r="C1102" s="3" t="e">
        <f ca="1">[1]!BexGetData("DP_1","003N8EMH8GTFRCSWKMPXRR8GU","GSON1112080364")</f>
        <v>#NAME?</v>
      </c>
      <c r="D1102" s="3" t="e">
        <f ca="1">[1]!BexGetData("DP_1","003N8EMH8GTFRCSWKMPXRRESE","GSON1112080364")</f>
        <v>#NAME?</v>
      </c>
      <c r="E1102" s="8" t="e">
        <f ca="1">[1]!BexGetData("DP_1","003N8EMH8GTFRCSWKMPXRRL3Y","GSON1112080364")</f>
        <v>#NAME?</v>
      </c>
      <c r="F1102" s="4" t="e">
        <f ca="1">[1]!BexGetData("DP_1","003N8EMH8GTFRCSWKMPXRRRFI","GSON1112080364")</f>
        <v>#NAME?</v>
      </c>
      <c r="G1102" s="4" t="e">
        <f ca="1">[1]!BexGetData("DP_1","003N8EMH8GTFRCSWKMPXRRXR2","GSON1112080364")</f>
        <v>#NAME?</v>
      </c>
      <c r="H1102" s="4" t="e">
        <f ca="1">[1]!BexGetData("DP_1","003N8EMH8GTFRCSWKMPXRS42M","GSON1112080364")</f>
        <v>#NAME?</v>
      </c>
      <c r="I1102" s="4" t="e">
        <f ca="1">[1]!BexGetData("DP_1","003N8EMH8GTFRCSWKMPXRSAE6","GSON1112080364")</f>
        <v>#NAME?</v>
      </c>
      <c r="J1102" s="4" t="e">
        <f ca="1">[1]!BexGetData("DP_1","003N8EMH8GTFRCSWKMPXRSGPQ","GSON1112080364")</f>
        <v>#NAME?</v>
      </c>
      <c r="K1102" s="8" t="e">
        <f ca="1">[1]!BexGetData("DP_1","003N8EMH8GTFRIVNUPY288VJH","GSON1112080364")</f>
        <v>#NAME?</v>
      </c>
      <c r="L1102" s="8" t="e">
        <f ca="1">[1]!BexGetData("DP_1","003N8EMH8GTFRIVNUPY2891V1","GSON1112080364")</f>
        <v>#NAME?</v>
      </c>
      <c r="M1102" s="8" t="e">
        <f ca="1">[1]!BexGetData("DP_1","003N8EMH8GTFRIVOG7KG9IQXA","GSON1112080364")</f>
        <v>#NAME?</v>
      </c>
      <c r="N1102" s="8" t="e">
        <f ca="1">[1]!BexGetData("DP_1","003N8EMH8GTFRIVOG7KG9IX8U","GSON1112080364")</f>
        <v>#NAME?</v>
      </c>
      <c r="O1102" s="8" t="e">
        <f ca="1">[1]!BexGetData("DP_1","003N8EMH8GTFRIVOG7KG9J3KE","GSON1112080364")</f>
        <v>#NAME?</v>
      </c>
      <c r="P1102" s="8" t="e">
        <f ca="1">[1]!BexGetData("DP_1","003N8EMH8GTFRIVOG7KG9J9VY","GSON1112080364")</f>
        <v>#NAME?</v>
      </c>
      <c r="Q1102" s="4" t="e">
        <f ca="1">[1]!BexGetData("DP_1","00O2TNJGODT0G5Z4TTKYMM5MT","GSON1112080364")</f>
        <v>#NAME?</v>
      </c>
      <c r="R1102" s="4" t="e">
        <f ca="1">[1]!BexGetData("DP_1","00O2TNJGODT0G5Z4TTKYMMBYD","GSON1112080364")</f>
        <v>#NAME?</v>
      </c>
      <c r="S1102" s="4" t="e">
        <f ca="1">[1]!BexGetData("DP_1","00O2TNJGODT0G5Z4TTKYMMI9X","GSON1112080364")</f>
        <v>#NAME?</v>
      </c>
      <c r="T1102" s="4" t="e">
        <f ca="1">[1]!BexGetData("DP_1","00O2TNJGODT0G5Z4TTKYMMOLH","GSON1112080364")</f>
        <v>#NAME?</v>
      </c>
      <c r="U1102" s="4" t="e">
        <f ca="1">[1]!BexGetData("DP_1","00O2TNJGODT0G5Z4TTKYMMUX1","GSON1112080364")</f>
        <v>#NAME?</v>
      </c>
      <c r="V1102" s="4" t="e">
        <f ca="1">[1]!BexGetData("DP_1","00O2TNJGODT0G5Z4TTKYMN18L","GSON1112080364")</f>
        <v>#NAME?</v>
      </c>
      <c r="W1102" s="4" t="e">
        <f ca="1">[1]!BexGetData("DP_1","00O2TNJGODT0G5Z4TTKYMN7K5","GSON1112080364")</f>
        <v>#NAME?</v>
      </c>
    </row>
    <row r="1103" spans="1:23" x14ac:dyDescent="0.2">
      <c r="A1103" s="16" t="s">
        <v>3327</v>
      </c>
      <c r="B1103" s="7" t="s">
        <v>3328</v>
      </c>
      <c r="C1103" s="3" t="e">
        <f ca="1">[1]!BexGetData("DP_1","003N8EMH8GTFRCSWKMPXRR8GU","GSON1112080370")</f>
        <v>#NAME?</v>
      </c>
      <c r="D1103" s="3" t="e">
        <f ca="1">[1]!BexGetData("DP_1","003N8EMH8GTFRCSWKMPXRRESE","GSON1112080370")</f>
        <v>#NAME?</v>
      </c>
      <c r="E1103" s="3" t="e">
        <f ca="1">[1]!BexGetData("DP_1","003N8EMH8GTFRCSWKMPXRRL3Y","GSON1112080370")</f>
        <v>#NAME?</v>
      </c>
      <c r="F1103" s="4" t="e">
        <f ca="1">[1]!BexGetData("DP_1","003N8EMH8GTFRCSWKMPXRRRFI","GSON1112080370")</f>
        <v>#NAME?</v>
      </c>
      <c r="G1103" s="4" t="e">
        <f ca="1">[1]!BexGetData("DP_1","003N8EMH8GTFRCSWKMPXRRXR2","GSON1112080370")</f>
        <v>#NAME?</v>
      </c>
      <c r="H1103" s="4" t="e">
        <f ca="1">[1]!BexGetData("DP_1","003N8EMH8GTFRCSWKMPXRS42M","GSON1112080370")</f>
        <v>#NAME?</v>
      </c>
      <c r="I1103" s="4" t="e">
        <f ca="1">[1]!BexGetData("DP_1","003N8EMH8GTFRCSWKMPXRSAE6","GSON1112080370")</f>
        <v>#NAME?</v>
      </c>
      <c r="J1103" s="4" t="e">
        <f ca="1">[1]!BexGetData("DP_1","003N8EMH8GTFRCSWKMPXRSGPQ","GSON1112080370")</f>
        <v>#NAME?</v>
      </c>
      <c r="K1103" s="3" t="e">
        <f ca="1">[1]!BexGetData("DP_1","003N8EMH8GTFRIVNUPY288VJH","GSON1112080370")</f>
        <v>#NAME?</v>
      </c>
      <c r="L1103" s="3" t="e">
        <f ca="1">[1]!BexGetData("DP_1","003N8EMH8GTFRIVNUPY2891V1","GSON1112080370")</f>
        <v>#NAME?</v>
      </c>
      <c r="M1103" s="8" t="e">
        <f ca="1">[1]!BexGetData("DP_1","003N8EMH8GTFRIVOG7KG9IQXA","GSON1112080370")</f>
        <v>#NAME?</v>
      </c>
      <c r="N1103" s="3" t="e">
        <f ca="1">[1]!BexGetData("DP_1","003N8EMH8GTFRIVOG7KG9IX8U","GSON1112080370")</f>
        <v>#NAME?</v>
      </c>
      <c r="O1103" s="8" t="e">
        <f ca="1">[1]!BexGetData("DP_1","003N8EMH8GTFRIVOG7KG9J3KE","GSON1112080370")</f>
        <v>#NAME?</v>
      </c>
      <c r="P1103" s="3" t="e">
        <f ca="1">[1]!BexGetData("DP_1","003N8EMH8GTFRIVOG7KG9J9VY","GSON1112080370")</f>
        <v>#NAME?</v>
      </c>
      <c r="Q1103" s="4" t="e">
        <f ca="1">[1]!BexGetData("DP_1","00O2TNJGODT0G5Z4TTKYMM5MT","GSON1112080370")</f>
        <v>#NAME?</v>
      </c>
      <c r="R1103" s="4" t="e">
        <f ca="1">[1]!BexGetData("DP_1","00O2TNJGODT0G5Z4TTKYMMBYD","GSON1112080370")</f>
        <v>#NAME?</v>
      </c>
      <c r="S1103" s="4" t="e">
        <f ca="1">[1]!BexGetData("DP_1","00O2TNJGODT0G5Z4TTKYMMI9X","GSON1112080370")</f>
        <v>#NAME?</v>
      </c>
      <c r="T1103" s="4" t="e">
        <f ca="1">[1]!BexGetData("DP_1","00O2TNJGODT0G5Z4TTKYMMOLH","GSON1112080370")</f>
        <v>#NAME?</v>
      </c>
      <c r="U1103" s="4" t="e">
        <f ca="1">[1]!BexGetData("DP_1","00O2TNJGODT0G5Z4TTKYMMUX1","GSON1112080370")</f>
        <v>#NAME?</v>
      </c>
      <c r="V1103" s="4" t="e">
        <f ca="1">[1]!BexGetData("DP_1","00O2TNJGODT0G5Z4TTKYMN18L","GSON1112080370")</f>
        <v>#NAME?</v>
      </c>
      <c r="W1103" s="4" t="e">
        <f ca="1">[1]!BexGetData("DP_1","00O2TNJGODT0G5Z4TTKYMN7K5","GSON1112080370")</f>
        <v>#NAME?</v>
      </c>
    </row>
    <row r="1104" spans="1:23" x14ac:dyDescent="0.2">
      <c r="A1104" s="16" t="s">
        <v>1082</v>
      </c>
      <c r="B1104" s="7" t="s">
        <v>1083</v>
      </c>
      <c r="C1104" s="3" t="e">
        <f ca="1">[1]!BexGetData("DP_1","003N8EMH8GTFRCSWKMPXRR8GU","GSON1112080371")</f>
        <v>#NAME?</v>
      </c>
      <c r="D1104" s="3" t="e">
        <f ca="1">[1]!BexGetData("DP_1","003N8EMH8GTFRCSWKMPXRRESE","GSON1112080371")</f>
        <v>#NAME?</v>
      </c>
      <c r="E1104" s="3" t="e">
        <f ca="1">[1]!BexGetData("DP_1","003N8EMH8GTFRCSWKMPXRRL3Y","GSON1112080371")</f>
        <v>#NAME?</v>
      </c>
      <c r="F1104" s="4" t="e">
        <f ca="1">[1]!BexGetData("DP_1","003N8EMH8GTFRCSWKMPXRRRFI","GSON1112080371")</f>
        <v>#NAME?</v>
      </c>
      <c r="G1104" s="4" t="e">
        <f ca="1">[1]!BexGetData("DP_1","003N8EMH8GTFRCSWKMPXRRXR2","GSON1112080371")</f>
        <v>#NAME?</v>
      </c>
      <c r="H1104" s="4" t="e">
        <f ca="1">[1]!BexGetData("DP_1","003N8EMH8GTFRCSWKMPXRS42M","GSON1112080371")</f>
        <v>#NAME?</v>
      </c>
      <c r="I1104" s="4" t="e">
        <f ca="1">[1]!BexGetData("DP_1","003N8EMH8GTFRCSWKMPXRSAE6","GSON1112080371")</f>
        <v>#NAME?</v>
      </c>
      <c r="J1104" s="4" t="e">
        <f ca="1">[1]!BexGetData("DP_1","003N8EMH8GTFRCSWKMPXRSGPQ","GSON1112080371")</f>
        <v>#NAME?</v>
      </c>
      <c r="K1104" s="3" t="e">
        <f ca="1">[1]!BexGetData("DP_1","003N8EMH8GTFRIVNUPY288VJH","GSON1112080371")</f>
        <v>#NAME?</v>
      </c>
      <c r="L1104" s="3" t="e">
        <f ca="1">[1]!BexGetData("DP_1","003N8EMH8GTFRIVNUPY2891V1","GSON1112080371")</f>
        <v>#NAME?</v>
      </c>
      <c r="M1104" s="3" t="e">
        <f ca="1">[1]!BexGetData("DP_1","003N8EMH8GTFRIVOG7KG9IQXA","GSON1112080371")</f>
        <v>#NAME?</v>
      </c>
      <c r="N1104" s="8" t="e">
        <f ca="1">[1]!BexGetData("DP_1","003N8EMH8GTFRIVOG7KG9IX8U","GSON1112080371")</f>
        <v>#NAME?</v>
      </c>
      <c r="O1104" s="3" t="e">
        <f ca="1">[1]!BexGetData("DP_1","003N8EMH8GTFRIVOG7KG9J3KE","GSON1112080371")</f>
        <v>#NAME?</v>
      </c>
      <c r="P1104" s="8" t="e">
        <f ca="1">[1]!BexGetData("DP_1","003N8EMH8GTFRIVOG7KG9J9VY","GSON1112080371")</f>
        <v>#NAME?</v>
      </c>
      <c r="Q1104" s="4" t="e">
        <f ca="1">[1]!BexGetData("DP_1","00O2TNJGODT0G5Z4TTKYMM5MT","GSON1112080371")</f>
        <v>#NAME?</v>
      </c>
      <c r="R1104" s="4" t="e">
        <f ca="1">[1]!BexGetData("DP_1","00O2TNJGODT0G5Z4TTKYMMBYD","GSON1112080371")</f>
        <v>#NAME?</v>
      </c>
      <c r="S1104" s="4" t="e">
        <f ca="1">[1]!BexGetData("DP_1","00O2TNJGODT0G5Z4TTKYMMI9X","GSON1112080371")</f>
        <v>#NAME?</v>
      </c>
      <c r="T1104" s="4" t="e">
        <f ca="1">[1]!BexGetData("DP_1","00O2TNJGODT0G5Z4TTKYMMOLH","GSON1112080371")</f>
        <v>#NAME?</v>
      </c>
      <c r="U1104" s="4" t="e">
        <f ca="1">[1]!BexGetData("DP_1","00O2TNJGODT0G5Z4TTKYMMUX1","GSON1112080371")</f>
        <v>#NAME?</v>
      </c>
      <c r="V1104" s="4" t="e">
        <f ca="1">[1]!BexGetData("DP_1","00O2TNJGODT0G5Z4TTKYMN18L","GSON1112080371")</f>
        <v>#NAME?</v>
      </c>
      <c r="W1104" s="4" t="e">
        <f ca="1">[1]!BexGetData("DP_1","00O2TNJGODT0G5Z4TTKYMN7K5","GSON1112080371")</f>
        <v>#NAME?</v>
      </c>
    </row>
    <row r="1105" spans="1:23" x14ac:dyDescent="0.2">
      <c r="A1105" s="16" t="s">
        <v>3329</v>
      </c>
      <c r="B1105" s="7" t="s">
        <v>3330</v>
      </c>
      <c r="C1105" s="3" t="e">
        <f ca="1">[1]!BexGetData("DP_1","003N8EMH8GTFRCSWKMPXRR8GU","GSON1112080373")</f>
        <v>#NAME?</v>
      </c>
      <c r="D1105" s="3" t="e">
        <f ca="1">[1]!BexGetData("DP_1","003N8EMH8GTFRCSWKMPXRRESE","GSON1112080373")</f>
        <v>#NAME?</v>
      </c>
      <c r="E1105" s="3" t="e">
        <f ca="1">[1]!BexGetData("DP_1","003N8EMH8GTFRCSWKMPXRRL3Y","GSON1112080373")</f>
        <v>#NAME?</v>
      </c>
      <c r="F1105" s="4" t="e">
        <f ca="1">[1]!BexGetData("DP_1","003N8EMH8GTFRCSWKMPXRRRFI","GSON1112080373")</f>
        <v>#NAME?</v>
      </c>
      <c r="G1105" s="4" t="e">
        <f ca="1">[1]!BexGetData("DP_1","003N8EMH8GTFRCSWKMPXRRXR2","GSON1112080373")</f>
        <v>#NAME?</v>
      </c>
      <c r="H1105" s="4" t="e">
        <f ca="1">[1]!BexGetData("DP_1","003N8EMH8GTFRCSWKMPXRS42M","GSON1112080373")</f>
        <v>#NAME?</v>
      </c>
      <c r="I1105" s="4" t="e">
        <f ca="1">[1]!BexGetData("DP_1","003N8EMH8GTFRCSWKMPXRSAE6","GSON1112080373")</f>
        <v>#NAME?</v>
      </c>
      <c r="J1105" s="4" t="e">
        <f ca="1">[1]!BexGetData("DP_1","003N8EMH8GTFRCSWKMPXRSGPQ","GSON1112080373")</f>
        <v>#NAME?</v>
      </c>
      <c r="K1105" s="3" t="e">
        <f ca="1">[1]!BexGetData("DP_1","003N8EMH8GTFRIVNUPY288VJH","GSON1112080373")</f>
        <v>#NAME?</v>
      </c>
      <c r="L1105" s="3" t="e">
        <f ca="1">[1]!BexGetData("DP_1","003N8EMH8GTFRIVNUPY2891V1","GSON1112080373")</f>
        <v>#NAME?</v>
      </c>
      <c r="M1105" s="3" t="e">
        <f ca="1">[1]!BexGetData("DP_1","003N8EMH8GTFRIVOG7KG9IQXA","GSON1112080373")</f>
        <v>#NAME?</v>
      </c>
      <c r="N1105" s="8" t="e">
        <f ca="1">[1]!BexGetData("DP_1","003N8EMH8GTFRIVOG7KG9IX8U","GSON1112080373")</f>
        <v>#NAME?</v>
      </c>
      <c r="O1105" s="3" t="e">
        <f ca="1">[1]!BexGetData("DP_1","003N8EMH8GTFRIVOG7KG9J3KE","GSON1112080373")</f>
        <v>#NAME?</v>
      </c>
      <c r="P1105" s="8" t="e">
        <f ca="1">[1]!BexGetData("DP_1","003N8EMH8GTFRIVOG7KG9J9VY","GSON1112080373")</f>
        <v>#NAME?</v>
      </c>
      <c r="Q1105" s="4" t="e">
        <f ca="1">[1]!BexGetData("DP_1","00O2TNJGODT0G5Z4TTKYMM5MT","GSON1112080373")</f>
        <v>#NAME?</v>
      </c>
      <c r="R1105" s="4" t="e">
        <f ca="1">[1]!BexGetData("DP_1","00O2TNJGODT0G5Z4TTKYMMBYD","GSON1112080373")</f>
        <v>#NAME?</v>
      </c>
      <c r="S1105" s="4" t="e">
        <f ca="1">[1]!BexGetData("DP_1","00O2TNJGODT0G5Z4TTKYMMI9X","GSON1112080373")</f>
        <v>#NAME?</v>
      </c>
      <c r="T1105" s="4" t="e">
        <f ca="1">[1]!BexGetData("DP_1","00O2TNJGODT0G5Z4TTKYMMOLH","GSON1112080373")</f>
        <v>#NAME?</v>
      </c>
      <c r="U1105" s="4" t="e">
        <f ca="1">[1]!BexGetData("DP_1","00O2TNJGODT0G5Z4TTKYMMUX1","GSON1112080373")</f>
        <v>#NAME?</v>
      </c>
      <c r="V1105" s="4" t="e">
        <f ca="1">[1]!BexGetData("DP_1","00O2TNJGODT0G5Z4TTKYMN18L","GSON1112080373")</f>
        <v>#NAME?</v>
      </c>
      <c r="W1105" s="4" t="e">
        <f ca="1">[1]!BexGetData("DP_1","00O2TNJGODT0G5Z4TTKYMN7K5","GSON1112080373")</f>
        <v>#NAME?</v>
      </c>
    </row>
    <row r="1106" spans="1:23" x14ac:dyDescent="0.2">
      <c r="A1106" s="16" t="s">
        <v>3331</v>
      </c>
      <c r="B1106" s="7" t="s">
        <v>3332</v>
      </c>
      <c r="C1106" s="3" t="e">
        <f ca="1">[1]!BexGetData("DP_1","003N8EMH8GTFRCSWKMPXRR8GU","GSON1112080374")</f>
        <v>#NAME?</v>
      </c>
      <c r="D1106" s="3" t="e">
        <f ca="1">[1]!BexGetData("DP_1","003N8EMH8GTFRCSWKMPXRRESE","GSON1112080374")</f>
        <v>#NAME?</v>
      </c>
      <c r="E1106" s="8" t="e">
        <f ca="1">[1]!BexGetData("DP_1","003N8EMH8GTFRCSWKMPXRRL3Y","GSON1112080374")</f>
        <v>#NAME?</v>
      </c>
      <c r="F1106" s="4" t="e">
        <f ca="1">[1]!BexGetData("DP_1","003N8EMH8GTFRCSWKMPXRRRFI","GSON1112080374")</f>
        <v>#NAME?</v>
      </c>
      <c r="G1106" s="4" t="e">
        <f ca="1">[1]!BexGetData("DP_1","003N8EMH8GTFRCSWKMPXRRXR2","GSON1112080374")</f>
        <v>#NAME?</v>
      </c>
      <c r="H1106" s="4" t="e">
        <f ca="1">[1]!BexGetData("DP_1","003N8EMH8GTFRCSWKMPXRS42M","GSON1112080374")</f>
        <v>#NAME?</v>
      </c>
      <c r="I1106" s="4" t="e">
        <f ca="1">[1]!BexGetData("DP_1","003N8EMH8GTFRCSWKMPXRSAE6","GSON1112080374")</f>
        <v>#NAME?</v>
      </c>
      <c r="J1106" s="4" t="e">
        <f ca="1">[1]!BexGetData("DP_1","003N8EMH8GTFRCSWKMPXRSGPQ","GSON1112080374")</f>
        <v>#NAME?</v>
      </c>
      <c r="K1106" s="8" t="e">
        <f ca="1">[1]!BexGetData("DP_1","003N8EMH8GTFRIVNUPY288VJH","GSON1112080374")</f>
        <v>#NAME?</v>
      </c>
      <c r="L1106" s="8" t="e">
        <f ca="1">[1]!BexGetData("DP_1","003N8EMH8GTFRIVNUPY2891V1","GSON1112080374")</f>
        <v>#NAME?</v>
      </c>
      <c r="M1106" s="8" t="e">
        <f ca="1">[1]!BexGetData("DP_1","003N8EMH8GTFRIVOG7KG9IQXA","GSON1112080374")</f>
        <v>#NAME?</v>
      </c>
      <c r="N1106" s="8" t="e">
        <f ca="1">[1]!BexGetData("DP_1","003N8EMH8GTFRIVOG7KG9IX8U","GSON1112080374")</f>
        <v>#NAME?</v>
      </c>
      <c r="O1106" s="8" t="e">
        <f ca="1">[1]!BexGetData("DP_1","003N8EMH8GTFRIVOG7KG9J3KE","GSON1112080374")</f>
        <v>#NAME?</v>
      </c>
      <c r="P1106" s="8" t="e">
        <f ca="1">[1]!BexGetData("DP_1","003N8EMH8GTFRIVOG7KG9J9VY","GSON1112080374")</f>
        <v>#NAME?</v>
      </c>
      <c r="Q1106" s="4" t="e">
        <f ca="1">[1]!BexGetData("DP_1","00O2TNJGODT0G5Z4TTKYMM5MT","GSON1112080374")</f>
        <v>#NAME?</v>
      </c>
      <c r="R1106" s="4" t="e">
        <f ca="1">[1]!BexGetData("DP_1","00O2TNJGODT0G5Z4TTKYMMBYD","GSON1112080374")</f>
        <v>#NAME?</v>
      </c>
      <c r="S1106" s="4" t="e">
        <f ca="1">[1]!BexGetData("DP_1","00O2TNJGODT0G5Z4TTKYMMI9X","GSON1112080374")</f>
        <v>#NAME?</v>
      </c>
      <c r="T1106" s="4" t="e">
        <f ca="1">[1]!BexGetData("DP_1","00O2TNJGODT0G5Z4TTKYMMOLH","GSON1112080374")</f>
        <v>#NAME?</v>
      </c>
      <c r="U1106" s="4" t="e">
        <f ca="1">[1]!BexGetData("DP_1","00O2TNJGODT0G5Z4TTKYMMUX1","GSON1112080374")</f>
        <v>#NAME?</v>
      </c>
      <c r="V1106" s="4" t="e">
        <f ca="1">[1]!BexGetData("DP_1","00O2TNJGODT0G5Z4TTKYMN18L","GSON1112080374")</f>
        <v>#NAME?</v>
      </c>
      <c r="W1106" s="4" t="e">
        <f ca="1">[1]!BexGetData("DP_1","00O2TNJGODT0G5Z4TTKYMN7K5","GSON1112080374")</f>
        <v>#NAME?</v>
      </c>
    </row>
    <row r="1107" spans="1:23" x14ac:dyDescent="0.2">
      <c r="A1107" s="16" t="s">
        <v>3333</v>
      </c>
      <c r="B1107" s="7" t="s">
        <v>3334</v>
      </c>
      <c r="C1107" s="3" t="e">
        <f ca="1">[1]!BexGetData("DP_1","003N8EMH8GTFRCSWKMPXRR8GU","GSON1112080380")</f>
        <v>#NAME?</v>
      </c>
      <c r="D1107" s="3" t="e">
        <f ca="1">[1]!BexGetData("DP_1","003N8EMH8GTFRCSWKMPXRRESE","GSON1112080380")</f>
        <v>#NAME?</v>
      </c>
      <c r="E1107" s="8" t="e">
        <f ca="1">[1]!BexGetData("DP_1","003N8EMH8GTFRCSWKMPXRRL3Y","GSON1112080380")</f>
        <v>#NAME?</v>
      </c>
      <c r="F1107" s="4" t="e">
        <f ca="1">[1]!BexGetData("DP_1","003N8EMH8GTFRCSWKMPXRRRFI","GSON1112080380")</f>
        <v>#NAME?</v>
      </c>
      <c r="G1107" s="4" t="e">
        <f ca="1">[1]!BexGetData("DP_1","003N8EMH8GTFRCSWKMPXRRXR2","GSON1112080380")</f>
        <v>#NAME?</v>
      </c>
      <c r="H1107" s="4" t="e">
        <f ca="1">[1]!BexGetData("DP_1","003N8EMH8GTFRCSWKMPXRS42M","GSON1112080380")</f>
        <v>#NAME?</v>
      </c>
      <c r="I1107" s="4" t="e">
        <f ca="1">[1]!BexGetData("DP_1","003N8EMH8GTFRCSWKMPXRSAE6","GSON1112080380")</f>
        <v>#NAME?</v>
      </c>
      <c r="J1107" s="4" t="e">
        <f ca="1">[1]!BexGetData("DP_1","003N8EMH8GTFRCSWKMPXRSGPQ","GSON1112080380")</f>
        <v>#NAME?</v>
      </c>
      <c r="K1107" s="8" t="e">
        <f ca="1">[1]!BexGetData("DP_1","003N8EMH8GTFRIVNUPY288VJH","GSON1112080380")</f>
        <v>#NAME?</v>
      </c>
      <c r="L1107" s="8" t="e">
        <f ca="1">[1]!BexGetData("DP_1","003N8EMH8GTFRIVNUPY2891V1","GSON1112080380")</f>
        <v>#NAME?</v>
      </c>
      <c r="M1107" s="8" t="e">
        <f ca="1">[1]!BexGetData("DP_1","003N8EMH8GTFRIVOG7KG9IQXA","GSON1112080380")</f>
        <v>#NAME?</v>
      </c>
      <c r="N1107" s="8" t="e">
        <f ca="1">[1]!BexGetData("DP_1","003N8EMH8GTFRIVOG7KG9IX8U","GSON1112080380")</f>
        <v>#NAME?</v>
      </c>
      <c r="O1107" s="8" t="e">
        <f ca="1">[1]!BexGetData("DP_1","003N8EMH8GTFRIVOG7KG9J3KE","GSON1112080380")</f>
        <v>#NAME?</v>
      </c>
      <c r="P1107" s="8" t="e">
        <f ca="1">[1]!BexGetData("DP_1","003N8EMH8GTFRIVOG7KG9J9VY","GSON1112080380")</f>
        <v>#NAME?</v>
      </c>
      <c r="Q1107" s="4" t="e">
        <f ca="1">[1]!BexGetData("DP_1","00O2TNJGODT0G5Z4TTKYMM5MT","GSON1112080380")</f>
        <v>#NAME?</v>
      </c>
      <c r="R1107" s="4" t="e">
        <f ca="1">[1]!BexGetData("DP_1","00O2TNJGODT0G5Z4TTKYMMBYD","GSON1112080380")</f>
        <v>#NAME?</v>
      </c>
      <c r="S1107" s="4" t="e">
        <f ca="1">[1]!BexGetData("DP_1","00O2TNJGODT0G5Z4TTKYMMI9X","GSON1112080380")</f>
        <v>#NAME?</v>
      </c>
      <c r="T1107" s="4" t="e">
        <f ca="1">[1]!BexGetData("DP_1","00O2TNJGODT0G5Z4TTKYMMOLH","GSON1112080380")</f>
        <v>#NAME?</v>
      </c>
      <c r="U1107" s="4" t="e">
        <f ca="1">[1]!BexGetData("DP_1","00O2TNJGODT0G5Z4TTKYMMUX1","GSON1112080380")</f>
        <v>#NAME?</v>
      </c>
      <c r="V1107" s="4" t="e">
        <f ca="1">[1]!BexGetData("DP_1","00O2TNJGODT0G5Z4TTKYMN18L","GSON1112080380")</f>
        <v>#NAME?</v>
      </c>
      <c r="W1107" s="4" t="e">
        <f ca="1">[1]!BexGetData("DP_1","00O2TNJGODT0G5Z4TTKYMN7K5","GSON1112080380")</f>
        <v>#NAME?</v>
      </c>
    </row>
    <row r="1108" spans="1:23" x14ac:dyDescent="0.2">
      <c r="A1108" s="16" t="s">
        <v>1084</v>
      </c>
      <c r="B1108" s="7" t="s">
        <v>1085</v>
      </c>
      <c r="C1108" s="3" t="e">
        <f ca="1">[1]!BexGetData("DP_1","003N8EMH8GTFRCSWKMPXRR8GU","GSON1112080381")</f>
        <v>#NAME?</v>
      </c>
      <c r="D1108" s="3" t="e">
        <f ca="1">[1]!BexGetData("DP_1","003N8EMH8GTFRCSWKMPXRRESE","GSON1112080381")</f>
        <v>#NAME?</v>
      </c>
      <c r="E1108" s="3" t="e">
        <f ca="1">[1]!BexGetData("DP_1","003N8EMH8GTFRCSWKMPXRRL3Y","GSON1112080381")</f>
        <v>#NAME?</v>
      </c>
      <c r="F1108" s="4" t="e">
        <f ca="1">[1]!BexGetData("DP_1","003N8EMH8GTFRCSWKMPXRRRFI","GSON1112080381")</f>
        <v>#NAME?</v>
      </c>
      <c r="G1108" s="4" t="e">
        <f ca="1">[1]!BexGetData("DP_1","003N8EMH8GTFRCSWKMPXRRXR2","GSON1112080381")</f>
        <v>#NAME?</v>
      </c>
      <c r="H1108" s="4" t="e">
        <f ca="1">[1]!BexGetData("DP_1","003N8EMH8GTFRCSWKMPXRS42M","GSON1112080381")</f>
        <v>#NAME?</v>
      </c>
      <c r="I1108" s="4" t="e">
        <f ca="1">[1]!BexGetData("DP_1","003N8EMH8GTFRCSWKMPXRSAE6","GSON1112080381")</f>
        <v>#NAME?</v>
      </c>
      <c r="J1108" s="4" t="e">
        <f ca="1">[1]!BexGetData("DP_1","003N8EMH8GTFRCSWKMPXRSGPQ","GSON1112080381")</f>
        <v>#NAME?</v>
      </c>
      <c r="K1108" s="3" t="e">
        <f ca="1">[1]!BexGetData("DP_1","003N8EMH8GTFRIVNUPY288VJH","GSON1112080381")</f>
        <v>#NAME?</v>
      </c>
      <c r="L1108" s="3" t="e">
        <f ca="1">[1]!BexGetData("DP_1","003N8EMH8GTFRIVNUPY2891V1","GSON1112080381")</f>
        <v>#NAME?</v>
      </c>
      <c r="M1108" s="8" t="e">
        <f ca="1">[1]!BexGetData("DP_1","003N8EMH8GTFRIVOG7KG9IQXA","GSON1112080381")</f>
        <v>#NAME?</v>
      </c>
      <c r="N1108" s="3" t="e">
        <f ca="1">[1]!BexGetData("DP_1","003N8EMH8GTFRIVOG7KG9IX8U","GSON1112080381")</f>
        <v>#NAME?</v>
      </c>
      <c r="O1108" s="8" t="e">
        <f ca="1">[1]!BexGetData("DP_1","003N8EMH8GTFRIVOG7KG9J3KE","GSON1112080381")</f>
        <v>#NAME?</v>
      </c>
      <c r="P1108" s="3" t="e">
        <f ca="1">[1]!BexGetData("DP_1","003N8EMH8GTFRIVOG7KG9J9VY","GSON1112080381")</f>
        <v>#NAME?</v>
      </c>
      <c r="Q1108" s="4" t="e">
        <f ca="1">[1]!BexGetData("DP_1","00O2TNJGODT0G5Z4TTKYMM5MT","GSON1112080381")</f>
        <v>#NAME?</v>
      </c>
      <c r="R1108" s="4" t="e">
        <f ca="1">[1]!BexGetData("DP_1","00O2TNJGODT0G5Z4TTKYMMBYD","GSON1112080381")</f>
        <v>#NAME?</v>
      </c>
      <c r="S1108" s="4" t="e">
        <f ca="1">[1]!BexGetData("DP_1","00O2TNJGODT0G5Z4TTKYMMI9X","GSON1112080381")</f>
        <v>#NAME?</v>
      </c>
      <c r="T1108" s="4" t="e">
        <f ca="1">[1]!BexGetData("DP_1","00O2TNJGODT0G5Z4TTKYMMOLH","GSON1112080381")</f>
        <v>#NAME?</v>
      </c>
      <c r="U1108" s="4" t="e">
        <f ca="1">[1]!BexGetData("DP_1","00O2TNJGODT0G5Z4TTKYMMUX1","GSON1112080381")</f>
        <v>#NAME?</v>
      </c>
      <c r="V1108" s="4" t="e">
        <f ca="1">[1]!BexGetData("DP_1","00O2TNJGODT0G5Z4TTKYMN18L","GSON1112080381")</f>
        <v>#NAME?</v>
      </c>
      <c r="W1108" s="4" t="e">
        <f ca="1">[1]!BexGetData("DP_1","00O2TNJGODT0G5Z4TTKYMN7K5","GSON1112080381")</f>
        <v>#NAME?</v>
      </c>
    </row>
    <row r="1109" spans="1:23" x14ac:dyDescent="0.2">
      <c r="A1109" s="16" t="s">
        <v>3335</v>
      </c>
      <c r="B1109" s="7" t="s">
        <v>3336</v>
      </c>
      <c r="C1109" s="3" t="e">
        <f ca="1">[1]!BexGetData("DP_1","003N8EMH8GTFRCSWKMPXRR8GU","GSON1112080384")</f>
        <v>#NAME?</v>
      </c>
      <c r="D1109" s="3" t="e">
        <f ca="1">[1]!BexGetData("DP_1","003N8EMH8GTFRCSWKMPXRRESE","GSON1112080384")</f>
        <v>#NAME?</v>
      </c>
      <c r="E1109" s="3" t="e">
        <f ca="1">[1]!BexGetData("DP_1","003N8EMH8GTFRCSWKMPXRRL3Y","GSON1112080384")</f>
        <v>#NAME?</v>
      </c>
      <c r="F1109" s="4" t="e">
        <f ca="1">[1]!BexGetData("DP_1","003N8EMH8GTFRCSWKMPXRRRFI","GSON1112080384")</f>
        <v>#NAME?</v>
      </c>
      <c r="G1109" s="4" t="e">
        <f ca="1">[1]!BexGetData("DP_1","003N8EMH8GTFRCSWKMPXRRXR2","GSON1112080384")</f>
        <v>#NAME?</v>
      </c>
      <c r="H1109" s="4" t="e">
        <f ca="1">[1]!BexGetData("DP_1","003N8EMH8GTFRCSWKMPXRS42M","GSON1112080384")</f>
        <v>#NAME?</v>
      </c>
      <c r="I1109" s="4" t="e">
        <f ca="1">[1]!BexGetData("DP_1","003N8EMH8GTFRCSWKMPXRSAE6","GSON1112080384")</f>
        <v>#NAME?</v>
      </c>
      <c r="J1109" s="4" t="e">
        <f ca="1">[1]!BexGetData("DP_1","003N8EMH8GTFRCSWKMPXRSGPQ","GSON1112080384")</f>
        <v>#NAME?</v>
      </c>
      <c r="K1109" s="3" t="e">
        <f ca="1">[1]!BexGetData("DP_1","003N8EMH8GTFRIVNUPY288VJH","GSON1112080384")</f>
        <v>#NAME?</v>
      </c>
      <c r="L1109" s="3" t="e">
        <f ca="1">[1]!BexGetData("DP_1","003N8EMH8GTFRIVNUPY2891V1","GSON1112080384")</f>
        <v>#NAME?</v>
      </c>
      <c r="M1109" s="3" t="e">
        <f ca="1">[1]!BexGetData("DP_1","003N8EMH8GTFRIVOG7KG9IQXA","GSON1112080384")</f>
        <v>#NAME?</v>
      </c>
      <c r="N1109" s="8" t="e">
        <f ca="1">[1]!BexGetData("DP_1","003N8EMH8GTFRIVOG7KG9IX8U","GSON1112080384")</f>
        <v>#NAME?</v>
      </c>
      <c r="O1109" s="3" t="e">
        <f ca="1">[1]!BexGetData("DP_1","003N8EMH8GTFRIVOG7KG9J3KE","GSON1112080384")</f>
        <v>#NAME?</v>
      </c>
      <c r="P1109" s="8" t="e">
        <f ca="1">[1]!BexGetData("DP_1","003N8EMH8GTFRIVOG7KG9J9VY","GSON1112080384")</f>
        <v>#NAME?</v>
      </c>
      <c r="Q1109" s="4" t="e">
        <f ca="1">[1]!BexGetData("DP_1","00O2TNJGODT0G5Z4TTKYMM5MT","GSON1112080384")</f>
        <v>#NAME?</v>
      </c>
      <c r="R1109" s="4" t="e">
        <f ca="1">[1]!BexGetData("DP_1","00O2TNJGODT0G5Z4TTKYMMBYD","GSON1112080384")</f>
        <v>#NAME?</v>
      </c>
      <c r="S1109" s="4" t="e">
        <f ca="1">[1]!BexGetData("DP_1","00O2TNJGODT0G5Z4TTKYMMI9X","GSON1112080384")</f>
        <v>#NAME?</v>
      </c>
      <c r="T1109" s="4" t="e">
        <f ca="1">[1]!BexGetData("DP_1","00O2TNJGODT0G5Z4TTKYMMOLH","GSON1112080384")</f>
        <v>#NAME?</v>
      </c>
      <c r="U1109" s="4" t="e">
        <f ca="1">[1]!BexGetData("DP_1","00O2TNJGODT0G5Z4TTKYMMUX1","GSON1112080384")</f>
        <v>#NAME?</v>
      </c>
      <c r="V1109" s="4" t="e">
        <f ca="1">[1]!BexGetData("DP_1","00O2TNJGODT0G5Z4TTKYMN18L","GSON1112080384")</f>
        <v>#NAME?</v>
      </c>
      <c r="W1109" s="4" t="e">
        <f ca="1">[1]!BexGetData("DP_1","00O2TNJGODT0G5Z4TTKYMN7K5","GSON1112080384")</f>
        <v>#NAME?</v>
      </c>
    </row>
    <row r="1110" spans="1:23" x14ac:dyDescent="0.2">
      <c r="A1110" s="16" t="s">
        <v>3337</v>
      </c>
      <c r="B1110" s="7" t="s">
        <v>3338</v>
      </c>
      <c r="C1110" s="3" t="e">
        <f ca="1">[1]!BexGetData("DP_1","003N8EMH8GTFRCSWKMPXRR8GU","GSON1112080390")</f>
        <v>#NAME?</v>
      </c>
      <c r="D1110" s="3" t="e">
        <f ca="1">[1]!BexGetData("DP_1","003N8EMH8GTFRCSWKMPXRRESE","GSON1112080390")</f>
        <v>#NAME?</v>
      </c>
      <c r="E1110" s="3" t="e">
        <f ca="1">[1]!BexGetData("DP_1","003N8EMH8GTFRCSWKMPXRRL3Y","GSON1112080390")</f>
        <v>#NAME?</v>
      </c>
      <c r="F1110" s="4" t="e">
        <f ca="1">[1]!BexGetData("DP_1","003N8EMH8GTFRCSWKMPXRRRFI","GSON1112080390")</f>
        <v>#NAME?</v>
      </c>
      <c r="G1110" s="4" t="e">
        <f ca="1">[1]!BexGetData("DP_1","003N8EMH8GTFRCSWKMPXRRXR2","GSON1112080390")</f>
        <v>#NAME?</v>
      </c>
      <c r="H1110" s="4" t="e">
        <f ca="1">[1]!BexGetData("DP_1","003N8EMH8GTFRCSWKMPXRS42M","GSON1112080390")</f>
        <v>#NAME?</v>
      </c>
      <c r="I1110" s="4" t="e">
        <f ca="1">[1]!BexGetData("DP_1","003N8EMH8GTFRCSWKMPXRSAE6","GSON1112080390")</f>
        <v>#NAME?</v>
      </c>
      <c r="J1110" s="4" t="e">
        <f ca="1">[1]!BexGetData("DP_1","003N8EMH8GTFRCSWKMPXRSGPQ","GSON1112080390")</f>
        <v>#NAME?</v>
      </c>
      <c r="K1110" s="3" t="e">
        <f ca="1">[1]!BexGetData("DP_1","003N8EMH8GTFRIVNUPY288VJH","GSON1112080390")</f>
        <v>#NAME?</v>
      </c>
      <c r="L1110" s="3" t="e">
        <f ca="1">[1]!BexGetData("DP_1","003N8EMH8GTFRIVNUPY2891V1","GSON1112080390")</f>
        <v>#NAME?</v>
      </c>
      <c r="M1110" s="3" t="e">
        <f ca="1">[1]!BexGetData("DP_1","003N8EMH8GTFRIVOG7KG9IQXA","GSON1112080390")</f>
        <v>#NAME?</v>
      </c>
      <c r="N1110" s="8" t="e">
        <f ca="1">[1]!BexGetData("DP_1","003N8EMH8GTFRIVOG7KG9IX8U","GSON1112080390")</f>
        <v>#NAME?</v>
      </c>
      <c r="O1110" s="3" t="e">
        <f ca="1">[1]!BexGetData("DP_1","003N8EMH8GTFRIVOG7KG9J3KE","GSON1112080390")</f>
        <v>#NAME?</v>
      </c>
      <c r="P1110" s="8" t="e">
        <f ca="1">[1]!BexGetData("DP_1","003N8EMH8GTFRIVOG7KG9J9VY","GSON1112080390")</f>
        <v>#NAME?</v>
      </c>
      <c r="Q1110" s="4" t="e">
        <f ca="1">[1]!BexGetData("DP_1","00O2TNJGODT0G5Z4TTKYMM5MT","GSON1112080390")</f>
        <v>#NAME?</v>
      </c>
      <c r="R1110" s="4" t="e">
        <f ca="1">[1]!BexGetData("DP_1","00O2TNJGODT0G5Z4TTKYMMBYD","GSON1112080390")</f>
        <v>#NAME?</v>
      </c>
      <c r="S1110" s="4" t="e">
        <f ca="1">[1]!BexGetData("DP_1","00O2TNJGODT0G5Z4TTKYMMI9X","GSON1112080390")</f>
        <v>#NAME?</v>
      </c>
      <c r="T1110" s="4" t="e">
        <f ca="1">[1]!BexGetData("DP_1","00O2TNJGODT0G5Z4TTKYMMOLH","GSON1112080390")</f>
        <v>#NAME?</v>
      </c>
      <c r="U1110" s="4" t="e">
        <f ca="1">[1]!BexGetData("DP_1","00O2TNJGODT0G5Z4TTKYMMUX1","GSON1112080390")</f>
        <v>#NAME?</v>
      </c>
      <c r="V1110" s="4" t="e">
        <f ca="1">[1]!BexGetData("DP_1","00O2TNJGODT0G5Z4TTKYMN18L","GSON1112080390")</f>
        <v>#NAME?</v>
      </c>
      <c r="W1110" s="4" t="e">
        <f ca="1">[1]!BexGetData("DP_1","00O2TNJGODT0G5Z4TTKYMN7K5","GSON1112080390")</f>
        <v>#NAME?</v>
      </c>
    </row>
    <row r="1111" spans="1:23" x14ac:dyDescent="0.2">
      <c r="A1111" s="16" t="s">
        <v>3339</v>
      </c>
      <c r="B1111" s="7" t="s">
        <v>3340</v>
      </c>
      <c r="C1111" s="3" t="e">
        <f ca="1">[1]!BexGetData("DP_1","003N8EMH8GTFRCSWKMPXRR8GU","GSON1112080391")</f>
        <v>#NAME?</v>
      </c>
      <c r="D1111" s="3" t="e">
        <f ca="1">[1]!BexGetData("DP_1","003N8EMH8GTFRCSWKMPXRRESE","GSON1112080391")</f>
        <v>#NAME?</v>
      </c>
      <c r="E1111" s="3" t="e">
        <f ca="1">[1]!BexGetData("DP_1","003N8EMH8GTFRCSWKMPXRRL3Y","GSON1112080391")</f>
        <v>#NAME?</v>
      </c>
      <c r="F1111" s="4" t="e">
        <f ca="1">[1]!BexGetData("DP_1","003N8EMH8GTFRCSWKMPXRRRFI","GSON1112080391")</f>
        <v>#NAME?</v>
      </c>
      <c r="G1111" s="4" t="e">
        <f ca="1">[1]!BexGetData("DP_1","003N8EMH8GTFRCSWKMPXRRXR2","GSON1112080391")</f>
        <v>#NAME?</v>
      </c>
      <c r="H1111" s="4" t="e">
        <f ca="1">[1]!BexGetData("DP_1","003N8EMH8GTFRCSWKMPXRS42M","GSON1112080391")</f>
        <v>#NAME?</v>
      </c>
      <c r="I1111" s="4" t="e">
        <f ca="1">[1]!BexGetData("DP_1","003N8EMH8GTFRCSWKMPXRSAE6","GSON1112080391")</f>
        <v>#NAME?</v>
      </c>
      <c r="J1111" s="4" t="e">
        <f ca="1">[1]!BexGetData("DP_1","003N8EMH8GTFRCSWKMPXRSGPQ","GSON1112080391")</f>
        <v>#NAME?</v>
      </c>
      <c r="K1111" s="3" t="e">
        <f ca="1">[1]!BexGetData("DP_1","003N8EMH8GTFRIVNUPY288VJH","GSON1112080391")</f>
        <v>#NAME?</v>
      </c>
      <c r="L1111" s="3" t="e">
        <f ca="1">[1]!BexGetData("DP_1","003N8EMH8GTFRIVNUPY2891V1","GSON1112080391")</f>
        <v>#NAME?</v>
      </c>
      <c r="M1111" s="8" t="e">
        <f ca="1">[1]!BexGetData("DP_1","003N8EMH8GTFRIVOG7KG9IQXA","GSON1112080391")</f>
        <v>#NAME?</v>
      </c>
      <c r="N1111" s="3" t="e">
        <f ca="1">[1]!BexGetData("DP_1","003N8EMH8GTFRIVOG7KG9IX8U","GSON1112080391")</f>
        <v>#NAME?</v>
      </c>
      <c r="O1111" s="8" t="e">
        <f ca="1">[1]!BexGetData("DP_1","003N8EMH8GTFRIVOG7KG9J3KE","GSON1112080391")</f>
        <v>#NAME?</v>
      </c>
      <c r="P1111" s="3" t="e">
        <f ca="1">[1]!BexGetData("DP_1","003N8EMH8GTFRIVOG7KG9J9VY","GSON1112080391")</f>
        <v>#NAME?</v>
      </c>
      <c r="Q1111" s="4" t="e">
        <f ca="1">[1]!BexGetData("DP_1","00O2TNJGODT0G5Z4TTKYMM5MT","GSON1112080391")</f>
        <v>#NAME?</v>
      </c>
      <c r="R1111" s="4" t="e">
        <f ca="1">[1]!BexGetData("DP_1","00O2TNJGODT0G5Z4TTKYMMBYD","GSON1112080391")</f>
        <v>#NAME?</v>
      </c>
      <c r="S1111" s="4" t="e">
        <f ca="1">[1]!BexGetData("DP_1","00O2TNJGODT0G5Z4TTKYMMI9X","GSON1112080391")</f>
        <v>#NAME?</v>
      </c>
      <c r="T1111" s="4" t="e">
        <f ca="1">[1]!BexGetData("DP_1","00O2TNJGODT0G5Z4TTKYMMOLH","GSON1112080391")</f>
        <v>#NAME?</v>
      </c>
      <c r="U1111" s="4" t="e">
        <f ca="1">[1]!BexGetData("DP_1","00O2TNJGODT0G5Z4TTKYMMUX1","GSON1112080391")</f>
        <v>#NAME?</v>
      </c>
      <c r="V1111" s="4" t="e">
        <f ca="1">[1]!BexGetData("DP_1","00O2TNJGODT0G5Z4TTKYMN18L","GSON1112080391")</f>
        <v>#NAME?</v>
      </c>
      <c r="W1111" s="4" t="e">
        <f ca="1">[1]!BexGetData("DP_1","00O2TNJGODT0G5Z4TTKYMN7K5","GSON1112080391")</f>
        <v>#NAME?</v>
      </c>
    </row>
    <row r="1112" spans="1:23" x14ac:dyDescent="0.2">
      <c r="A1112" s="16" t="s">
        <v>3341</v>
      </c>
      <c r="B1112" s="7" t="s">
        <v>3342</v>
      </c>
      <c r="C1112" s="3" t="e">
        <f ca="1">[1]!BexGetData("DP_1","003N8EMH8GTFRCSWKMPXRR8GU","GSON1112080393")</f>
        <v>#NAME?</v>
      </c>
      <c r="D1112" s="3" t="e">
        <f ca="1">[1]!BexGetData("DP_1","003N8EMH8GTFRCSWKMPXRRESE","GSON1112080393")</f>
        <v>#NAME?</v>
      </c>
      <c r="E1112" s="8" t="e">
        <f ca="1">[1]!BexGetData("DP_1","003N8EMH8GTFRCSWKMPXRRL3Y","GSON1112080393")</f>
        <v>#NAME?</v>
      </c>
      <c r="F1112" s="4" t="e">
        <f ca="1">[1]!BexGetData("DP_1","003N8EMH8GTFRCSWKMPXRRRFI","GSON1112080393")</f>
        <v>#NAME?</v>
      </c>
      <c r="G1112" s="4" t="e">
        <f ca="1">[1]!BexGetData("DP_1","003N8EMH8GTFRCSWKMPXRRXR2","GSON1112080393")</f>
        <v>#NAME?</v>
      </c>
      <c r="H1112" s="4" t="e">
        <f ca="1">[1]!BexGetData("DP_1","003N8EMH8GTFRCSWKMPXRS42M","GSON1112080393")</f>
        <v>#NAME?</v>
      </c>
      <c r="I1112" s="4" t="e">
        <f ca="1">[1]!BexGetData("DP_1","003N8EMH8GTFRCSWKMPXRSAE6","GSON1112080393")</f>
        <v>#NAME?</v>
      </c>
      <c r="J1112" s="4" t="e">
        <f ca="1">[1]!BexGetData("DP_1","003N8EMH8GTFRCSWKMPXRSGPQ","GSON1112080393")</f>
        <v>#NAME?</v>
      </c>
      <c r="K1112" s="8" t="e">
        <f ca="1">[1]!BexGetData("DP_1","003N8EMH8GTFRIVNUPY288VJH","GSON1112080393")</f>
        <v>#NAME?</v>
      </c>
      <c r="L1112" s="8" t="e">
        <f ca="1">[1]!BexGetData("DP_1","003N8EMH8GTFRIVNUPY2891V1","GSON1112080393")</f>
        <v>#NAME?</v>
      </c>
      <c r="M1112" s="8" t="e">
        <f ca="1">[1]!BexGetData("DP_1","003N8EMH8GTFRIVOG7KG9IQXA","GSON1112080393")</f>
        <v>#NAME?</v>
      </c>
      <c r="N1112" s="8" t="e">
        <f ca="1">[1]!BexGetData("DP_1","003N8EMH8GTFRIVOG7KG9IX8U","GSON1112080393")</f>
        <v>#NAME?</v>
      </c>
      <c r="O1112" s="8" t="e">
        <f ca="1">[1]!BexGetData("DP_1","003N8EMH8GTFRIVOG7KG9J3KE","GSON1112080393")</f>
        <v>#NAME?</v>
      </c>
      <c r="P1112" s="8" t="e">
        <f ca="1">[1]!BexGetData("DP_1","003N8EMH8GTFRIVOG7KG9J9VY","GSON1112080393")</f>
        <v>#NAME?</v>
      </c>
      <c r="Q1112" s="4" t="e">
        <f ca="1">[1]!BexGetData("DP_1","00O2TNJGODT0G5Z4TTKYMM5MT","GSON1112080393")</f>
        <v>#NAME?</v>
      </c>
      <c r="R1112" s="4" t="e">
        <f ca="1">[1]!BexGetData("DP_1","00O2TNJGODT0G5Z4TTKYMMBYD","GSON1112080393")</f>
        <v>#NAME?</v>
      </c>
      <c r="S1112" s="4" t="e">
        <f ca="1">[1]!BexGetData("DP_1","00O2TNJGODT0G5Z4TTKYMMI9X","GSON1112080393")</f>
        <v>#NAME?</v>
      </c>
      <c r="T1112" s="4" t="e">
        <f ca="1">[1]!BexGetData("DP_1","00O2TNJGODT0G5Z4TTKYMMOLH","GSON1112080393")</f>
        <v>#NAME?</v>
      </c>
      <c r="U1112" s="4" t="e">
        <f ca="1">[1]!BexGetData("DP_1","00O2TNJGODT0G5Z4TTKYMMUX1","GSON1112080393")</f>
        <v>#NAME?</v>
      </c>
      <c r="V1112" s="4" t="e">
        <f ca="1">[1]!BexGetData("DP_1","00O2TNJGODT0G5Z4TTKYMN18L","GSON1112080393")</f>
        <v>#NAME?</v>
      </c>
      <c r="W1112" s="4" t="e">
        <f ca="1">[1]!BexGetData("DP_1","00O2TNJGODT0G5Z4TTKYMN7K5","GSON1112080393")</f>
        <v>#NAME?</v>
      </c>
    </row>
    <row r="1113" spans="1:23" x14ac:dyDescent="0.2">
      <c r="A1113" s="16" t="s">
        <v>3343</v>
      </c>
      <c r="B1113" s="7" t="s">
        <v>3344</v>
      </c>
      <c r="C1113" s="3" t="e">
        <f ca="1">[1]!BexGetData("DP_1","003N8EMH8GTFRCSWKMPXRR8GU","GSON1112080394")</f>
        <v>#NAME?</v>
      </c>
      <c r="D1113" s="3" t="e">
        <f ca="1">[1]!BexGetData("DP_1","003N8EMH8GTFRCSWKMPXRRESE","GSON1112080394")</f>
        <v>#NAME?</v>
      </c>
      <c r="E1113" s="8" t="e">
        <f ca="1">[1]!BexGetData("DP_1","003N8EMH8GTFRCSWKMPXRRL3Y","GSON1112080394")</f>
        <v>#NAME?</v>
      </c>
      <c r="F1113" s="4" t="e">
        <f ca="1">[1]!BexGetData("DP_1","003N8EMH8GTFRCSWKMPXRRRFI","GSON1112080394")</f>
        <v>#NAME?</v>
      </c>
      <c r="G1113" s="4" t="e">
        <f ca="1">[1]!BexGetData("DP_1","003N8EMH8GTFRCSWKMPXRRXR2","GSON1112080394")</f>
        <v>#NAME?</v>
      </c>
      <c r="H1113" s="4" t="e">
        <f ca="1">[1]!BexGetData("DP_1","003N8EMH8GTFRCSWKMPXRS42M","GSON1112080394")</f>
        <v>#NAME?</v>
      </c>
      <c r="I1113" s="4" t="e">
        <f ca="1">[1]!BexGetData("DP_1","003N8EMH8GTFRCSWKMPXRSAE6","GSON1112080394")</f>
        <v>#NAME?</v>
      </c>
      <c r="J1113" s="4" t="e">
        <f ca="1">[1]!BexGetData("DP_1","003N8EMH8GTFRCSWKMPXRSGPQ","GSON1112080394")</f>
        <v>#NAME?</v>
      </c>
      <c r="K1113" s="8" t="e">
        <f ca="1">[1]!BexGetData("DP_1","003N8EMH8GTFRIVNUPY288VJH","GSON1112080394")</f>
        <v>#NAME?</v>
      </c>
      <c r="L1113" s="8" t="e">
        <f ca="1">[1]!BexGetData("DP_1","003N8EMH8GTFRIVNUPY2891V1","GSON1112080394")</f>
        <v>#NAME?</v>
      </c>
      <c r="M1113" s="8" t="e">
        <f ca="1">[1]!BexGetData("DP_1","003N8EMH8GTFRIVOG7KG9IQXA","GSON1112080394")</f>
        <v>#NAME?</v>
      </c>
      <c r="N1113" s="8" t="e">
        <f ca="1">[1]!BexGetData("DP_1","003N8EMH8GTFRIVOG7KG9IX8U","GSON1112080394")</f>
        <v>#NAME?</v>
      </c>
      <c r="O1113" s="8" t="e">
        <f ca="1">[1]!BexGetData("DP_1","003N8EMH8GTFRIVOG7KG9J3KE","GSON1112080394")</f>
        <v>#NAME?</v>
      </c>
      <c r="P1113" s="8" t="e">
        <f ca="1">[1]!BexGetData("DP_1","003N8EMH8GTFRIVOG7KG9J9VY","GSON1112080394")</f>
        <v>#NAME?</v>
      </c>
      <c r="Q1113" s="4" t="e">
        <f ca="1">[1]!BexGetData("DP_1","00O2TNJGODT0G5Z4TTKYMM5MT","GSON1112080394")</f>
        <v>#NAME?</v>
      </c>
      <c r="R1113" s="4" t="e">
        <f ca="1">[1]!BexGetData("DP_1","00O2TNJGODT0G5Z4TTKYMMBYD","GSON1112080394")</f>
        <v>#NAME?</v>
      </c>
      <c r="S1113" s="4" t="e">
        <f ca="1">[1]!BexGetData("DP_1","00O2TNJGODT0G5Z4TTKYMMI9X","GSON1112080394")</f>
        <v>#NAME?</v>
      </c>
      <c r="T1113" s="4" t="e">
        <f ca="1">[1]!BexGetData("DP_1","00O2TNJGODT0G5Z4TTKYMMOLH","GSON1112080394")</f>
        <v>#NAME?</v>
      </c>
      <c r="U1113" s="4" t="e">
        <f ca="1">[1]!BexGetData("DP_1","00O2TNJGODT0G5Z4TTKYMMUX1","GSON1112080394")</f>
        <v>#NAME?</v>
      </c>
      <c r="V1113" s="4" t="e">
        <f ca="1">[1]!BexGetData("DP_1","00O2TNJGODT0G5Z4TTKYMN18L","GSON1112080394")</f>
        <v>#NAME?</v>
      </c>
      <c r="W1113" s="4" t="e">
        <f ca="1">[1]!BexGetData("DP_1","00O2TNJGODT0G5Z4TTKYMN7K5","GSON1112080394")</f>
        <v>#NAME?</v>
      </c>
    </row>
    <row r="1114" spans="1:23" x14ac:dyDescent="0.2">
      <c r="A1114" s="16" t="s">
        <v>1663</v>
      </c>
      <c r="B1114" s="7" t="s">
        <v>1664</v>
      </c>
      <c r="C1114" s="3" t="e">
        <f ca="1">[1]!BexGetData("DP_1","003N8EMH8GTFRCSWKMPXRR8GU","GSON1112080400")</f>
        <v>#NAME?</v>
      </c>
      <c r="D1114" s="3" t="e">
        <f ca="1">[1]!BexGetData("DP_1","003N8EMH8GTFRCSWKMPXRRESE","GSON1112080400")</f>
        <v>#NAME?</v>
      </c>
      <c r="E1114" s="3" t="e">
        <f ca="1">[1]!BexGetData("DP_1","003N8EMH8GTFRCSWKMPXRRL3Y","GSON1112080400")</f>
        <v>#NAME?</v>
      </c>
      <c r="F1114" s="4" t="e">
        <f ca="1">[1]!BexGetData("DP_1","003N8EMH8GTFRCSWKMPXRRRFI","GSON1112080400")</f>
        <v>#NAME?</v>
      </c>
      <c r="G1114" s="4" t="e">
        <f ca="1">[1]!BexGetData("DP_1","003N8EMH8GTFRCSWKMPXRRXR2","GSON1112080400")</f>
        <v>#NAME?</v>
      </c>
      <c r="H1114" s="4" t="e">
        <f ca="1">[1]!BexGetData("DP_1","003N8EMH8GTFRCSWKMPXRS42M","GSON1112080400")</f>
        <v>#NAME?</v>
      </c>
      <c r="I1114" s="4" t="e">
        <f ca="1">[1]!BexGetData("DP_1","003N8EMH8GTFRCSWKMPXRSAE6","GSON1112080400")</f>
        <v>#NAME?</v>
      </c>
      <c r="J1114" s="4" t="e">
        <f ca="1">[1]!BexGetData("DP_1","003N8EMH8GTFRCSWKMPXRSGPQ","GSON1112080400")</f>
        <v>#NAME?</v>
      </c>
      <c r="K1114" s="3" t="e">
        <f ca="1">[1]!BexGetData("DP_1","003N8EMH8GTFRIVNUPY288VJH","GSON1112080400")</f>
        <v>#NAME?</v>
      </c>
      <c r="L1114" s="3" t="e">
        <f ca="1">[1]!BexGetData("DP_1","003N8EMH8GTFRIVNUPY2891V1","GSON1112080400")</f>
        <v>#NAME?</v>
      </c>
      <c r="M1114" s="3" t="e">
        <f ca="1">[1]!BexGetData("DP_1","003N8EMH8GTFRIVOG7KG9IQXA","GSON1112080400")</f>
        <v>#NAME?</v>
      </c>
      <c r="N1114" s="8" t="e">
        <f ca="1">[1]!BexGetData("DP_1","003N8EMH8GTFRIVOG7KG9IX8U","GSON1112080400")</f>
        <v>#NAME?</v>
      </c>
      <c r="O1114" s="3" t="e">
        <f ca="1">[1]!BexGetData("DP_1","003N8EMH8GTFRIVOG7KG9J3KE","GSON1112080400")</f>
        <v>#NAME?</v>
      </c>
      <c r="P1114" s="8" t="e">
        <f ca="1">[1]!BexGetData("DP_1","003N8EMH8GTFRIVOG7KG9J9VY","GSON1112080400")</f>
        <v>#NAME?</v>
      </c>
      <c r="Q1114" s="4" t="e">
        <f ca="1">[1]!BexGetData("DP_1","00O2TNJGODT0G5Z4TTKYMM5MT","GSON1112080400")</f>
        <v>#NAME?</v>
      </c>
      <c r="R1114" s="4" t="e">
        <f ca="1">[1]!BexGetData("DP_1","00O2TNJGODT0G5Z4TTKYMMBYD","GSON1112080400")</f>
        <v>#NAME?</v>
      </c>
      <c r="S1114" s="4" t="e">
        <f ca="1">[1]!BexGetData("DP_1","00O2TNJGODT0G5Z4TTKYMMI9X","GSON1112080400")</f>
        <v>#NAME?</v>
      </c>
      <c r="T1114" s="4" t="e">
        <f ca="1">[1]!BexGetData("DP_1","00O2TNJGODT0G5Z4TTKYMMOLH","GSON1112080400")</f>
        <v>#NAME?</v>
      </c>
      <c r="U1114" s="4" t="e">
        <f ca="1">[1]!BexGetData("DP_1","00O2TNJGODT0G5Z4TTKYMMUX1","GSON1112080400")</f>
        <v>#NAME?</v>
      </c>
      <c r="V1114" s="4" t="e">
        <f ca="1">[1]!BexGetData("DP_1","00O2TNJGODT0G5Z4TTKYMN18L","GSON1112080400")</f>
        <v>#NAME?</v>
      </c>
      <c r="W1114" s="4" t="e">
        <f ca="1">[1]!BexGetData("DP_1","00O2TNJGODT0G5Z4TTKYMN7K5","GSON1112080400")</f>
        <v>#NAME?</v>
      </c>
    </row>
    <row r="1115" spans="1:23" x14ac:dyDescent="0.2">
      <c r="A1115" s="16" t="s">
        <v>1665</v>
      </c>
      <c r="B1115" s="7" t="s">
        <v>1666</v>
      </c>
      <c r="C1115" s="3" t="e">
        <f ca="1">[1]!BexGetData("DP_1","003N8EMH8GTFRCSWKMPXRR8GU","GSON1112080401")</f>
        <v>#NAME?</v>
      </c>
      <c r="D1115" s="3" t="e">
        <f ca="1">[1]!BexGetData("DP_1","003N8EMH8GTFRCSWKMPXRRESE","GSON1112080401")</f>
        <v>#NAME?</v>
      </c>
      <c r="E1115" s="3" t="e">
        <f ca="1">[1]!BexGetData("DP_1","003N8EMH8GTFRCSWKMPXRRL3Y","GSON1112080401")</f>
        <v>#NAME?</v>
      </c>
      <c r="F1115" s="4" t="e">
        <f ca="1">[1]!BexGetData("DP_1","003N8EMH8GTFRCSWKMPXRRRFI","GSON1112080401")</f>
        <v>#NAME?</v>
      </c>
      <c r="G1115" s="4" t="e">
        <f ca="1">[1]!BexGetData("DP_1","003N8EMH8GTFRCSWKMPXRRXR2","GSON1112080401")</f>
        <v>#NAME?</v>
      </c>
      <c r="H1115" s="4" t="e">
        <f ca="1">[1]!BexGetData("DP_1","003N8EMH8GTFRCSWKMPXRS42M","GSON1112080401")</f>
        <v>#NAME?</v>
      </c>
      <c r="I1115" s="4" t="e">
        <f ca="1">[1]!BexGetData("DP_1","003N8EMH8GTFRCSWKMPXRSAE6","GSON1112080401")</f>
        <v>#NAME?</v>
      </c>
      <c r="J1115" s="4" t="e">
        <f ca="1">[1]!BexGetData("DP_1","003N8EMH8GTFRCSWKMPXRSGPQ","GSON1112080401")</f>
        <v>#NAME?</v>
      </c>
      <c r="K1115" s="3" t="e">
        <f ca="1">[1]!BexGetData("DP_1","003N8EMH8GTFRIVNUPY288VJH","GSON1112080401")</f>
        <v>#NAME?</v>
      </c>
      <c r="L1115" s="3" t="e">
        <f ca="1">[1]!BexGetData("DP_1","003N8EMH8GTFRIVNUPY2891V1","GSON1112080401")</f>
        <v>#NAME?</v>
      </c>
      <c r="M1115" s="8" t="e">
        <f ca="1">[1]!BexGetData("DP_1","003N8EMH8GTFRIVOG7KG9IQXA","GSON1112080401")</f>
        <v>#NAME?</v>
      </c>
      <c r="N1115" s="3" t="e">
        <f ca="1">[1]!BexGetData("DP_1","003N8EMH8GTFRIVOG7KG9IX8U","GSON1112080401")</f>
        <v>#NAME?</v>
      </c>
      <c r="O1115" s="8" t="e">
        <f ca="1">[1]!BexGetData("DP_1","003N8EMH8GTFRIVOG7KG9J3KE","GSON1112080401")</f>
        <v>#NAME?</v>
      </c>
      <c r="P1115" s="3" t="e">
        <f ca="1">[1]!BexGetData("DP_1","003N8EMH8GTFRIVOG7KG9J9VY","GSON1112080401")</f>
        <v>#NAME?</v>
      </c>
      <c r="Q1115" s="4" t="e">
        <f ca="1">[1]!BexGetData("DP_1","00O2TNJGODT0G5Z4TTKYMM5MT","GSON1112080401")</f>
        <v>#NAME?</v>
      </c>
      <c r="R1115" s="4" t="e">
        <f ca="1">[1]!BexGetData("DP_1","00O2TNJGODT0G5Z4TTKYMMBYD","GSON1112080401")</f>
        <v>#NAME?</v>
      </c>
      <c r="S1115" s="4" t="e">
        <f ca="1">[1]!BexGetData("DP_1","00O2TNJGODT0G5Z4TTKYMMI9X","GSON1112080401")</f>
        <v>#NAME?</v>
      </c>
      <c r="T1115" s="4" t="e">
        <f ca="1">[1]!BexGetData("DP_1","00O2TNJGODT0G5Z4TTKYMMOLH","GSON1112080401")</f>
        <v>#NAME?</v>
      </c>
      <c r="U1115" s="4" t="e">
        <f ca="1">[1]!BexGetData("DP_1","00O2TNJGODT0G5Z4TTKYMMUX1","GSON1112080401")</f>
        <v>#NAME?</v>
      </c>
      <c r="V1115" s="4" t="e">
        <f ca="1">[1]!BexGetData("DP_1","00O2TNJGODT0G5Z4TTKYMN18L","GSON1112080401")</f>
        <v>#NAME?</v>
      </c>
      <c r="W1115" s="4" t="e">
        <f ca="1">[1]!BexGetData("DP_1","00O2TNJGODT0G5Z4TTKYMN7K5","GSON1112080401")</f>
        <v>#NAME?</v>
      </c>
    </row>
    <row r="1116" spans="1:23" x14ac:dyDescent="0.2">
      <c r="A1116" s="16" t="s">
        <v>3345</v>
      </c>
      <c r="B1116" s="7" t="s">
        <v>3346</v>
      </c>
      <c r="C1116" s="3" t="e">
        <f ca="1">[1]!BexGetData("DP_1","003N8EMH8GTFRCSWKMPXRR8GU","GSON1112080403")</f>
        <v>#NAME?</v>
      </c>
      <c r="D1116" s="3" t="e">
        <f ca="1">[1]!BexGetData("DP_1","003N8EMH8GTFRCSWKMPXRRESE","GSON1112080403")</f>
        <v>#NAME?</v>
      </c>
      <c r="E1116" s="8" t="e">
        <f ca="1">[1]!BexGetData("DP_1","003N8EMH8GTFRCSWKMPXRRL3Y","GSON1112080403")</f>
        <v>#NAME?</v>
      </c>
      <c r="F1116" s="4" t="e">
        <f ca="1">[1]!BexGetData("DP_1","003N8EMH8GTFRCSWKMPXRRRFI","GSON1112080403")</f>
        <v>#NAME?</v>
      </c>
      <c r="G1116" s="4" t="e">
        <f ca="1">[1]!BexGetData("DP_1","003N8EMH8GTFRCSWKMPXRRXR2","GSON1112080403")</f>
        <v>#NAME?</v>
      </c>
      <c r="H1116" s="4" t="e">
        <f ca="1">[1]!BexGetData("DP_1","003N8EMH8GTFRCSWKMPXRS42M","GSON1112080403")</f>
        <v>#NAME?</v>
      </c>
      <c r="I1116" s="4" t="e">
        <f ca="1">[1]!BexGetData("DP_1","003N8EMH8GTFRCSWKMPXRSAE6","GSON1112080403")</f>
        <v>#NAME?</v>
      </c>
      <c r="J1116" s="4" t="e">
        <f ca="1">[1]!BexGetData("DP_1","003N8EMH8GTFRCSWKMPXRSGPQ","GSON1112080403")</f>
        <v>#NAME?</v>
      </c>
      <c r="K1116" s="8" t="e">
        <f ca="1">[1]!BexGetData("DP_1","003N8EMH8GTFRIVNUPY288VJH","GSON1112080403")</f>
        <v>#NAME?</v>
      </c>
      <c r="L1116" s="8" t="e">
        <f ca="1">[1]!BexGetData("DP_1","003N8EMH8GTFRIVNUPY2891V1","GSON1112080403")</f>
        <v>#NAME?</v>
      </c>
      <c r="M1116" s="8" t="e">
        <f ca="1">[1]!BexGetData("DP_1","003N8EMH8GTFRIVOG7KG9IQXA","GSON1112080403")</f>
        <v>#NAME?</v>
      </c>
      <c r="N1116" s="8" t="e">
        <f ca="1">[1]!BexGetData("DP_1","003N8EMH8GTFRIVOG7KG9IX8U","GSON1112080403")</f>
        <v>#NAME?</v>
      </c>
      <c r="O1116" s="8" t="e">
        <f ca="1">[1]!BexGetData("DP_1","003N8EMH8GTFRIVOG7KG9J3KE","GSON1112080403")</f>
        <v>#NAME?</v>
      </c>
      <c r="P1116" s="8" t="e">
        <f ca="1">[1]!BexGetData("DP_1","003N8EMH8GTFRIVOG7KG9J9VY","GSON1112080403")</f>
        <v>#NAME?</v>
      </c>
      <c r="Q1116" s="4" t="e">
        <f ca="1">[1]!BexGetData("DP_1","00O2TNJGODT0G5Z4TTKYMM5MT","GSON1112080403")</f>
        <v>#NAME?</v>
      </c>
      <c r="R1116" s="4" t="e">
        <f ca="1">[1]!BexGetData("DP_1","00O2TNJGODT0G5Z4TTKYMMBYD","GSON1112080403")</f>
        <v>#NAME?</v>
      </c>
      <c r="S1116" s="4" t="e">
        <f ca="1">[1]!BexGetData("DP_1","00O2TNJGODT0G5Z4TTKYMMI9X","GSON1112080403")</f>
        <v>#NAME?</v>
      </c>
      <c r="T1116" s="4" t="e">
        <f ca="1">[1]!BexGetData("DP_1","00O2TNJGODT0G5Z4TTKYMMOLH","GSON1112080403")</f>
        <v>#NAME?</v>
      </c>
      <c r="U1116" s="4" t="e">
        <f ca="1">[1]!BexGetData("DP_1","00O2TNJGODT0G5Z4TTKYMMUX1","GSON1112080403")</f>
        <v>#NAME?</v>
      </c>
      <c r="V1116" s="4" t="e">
        <f ca="1">[1]!BexGetData("DP_1","00O2TNJGODT0G5Z4TTKYMN18L","GSON1112080403")</f>
        <v>#NAME?</v>
      </c>
      <c r="W1116" s="4" t="e">
        <f ca="1">[1]!BexGetData("DP_1","00O2TNJGODT0G5Z4TTKYMN7K5","GSON1112080403")</f>
        <v>#NAME?</v>
      </c>
    </row>
    <row r="1117" spans="1:23" x14ac:dyDescent="0.2">
      <c r="A1117" s="16" t="s">
        <v>3347</v>
      </c>
      <c r="B1117" s="7" t="s">
        <v>3348</v>
      </c>
      <c r="C1117" s="3" t="e">
        <f ca="1">[1]!BexGetData("DP_1","003N8EMH8GTFRCSWKMPXRR8GU","GSON1112080404")</f>
        <v>#NAME?</v>
      </c>
      <c r="D1117" s="3" t="e">
        <f ca="1">[1]!BexGetData("DP_1","003N8EMH8GTFRCSWKMPXRRESE","GSON1112080404")</f>
        <v>#NAME?</v>
      </c>
      <c r="E1117" s="8" t="e">
        <f ca="1">[1]!BexGetData("DP_1","003N8EMH8GTFRCSWKMPXRRL3Y","GSON1112080404")</f>
        <v>#NAME?</v>
      </c>
      <c r="F1117" s="4" t="e">
        <f ca="1">[1]!BexGetData("DP_1","003N8EMH8GTFRCSWKMPXRRRFI","GSON1112080404")</f>
        <v>#NAME?</v>
      </c>
      <c r="G1117" s="4" t="e">
        <f ca="1">[1]!BexGetData("DP_1","003N8EMH8GTFRCSWKMPXRRXR2","GSON1112080404")</f>
        <v>#NAME?</v>
      </c>
      <c r="H1117" s="4" t="e">
        <f ca="1">[1]!BexGetData("DP_1","003N8EMH8GTFRCSWKMPXRS42M","GSON1112080404")</f>
        <v>#NAME?</v>
      </c>
      <c r="I1117" s="4" t="e">
        <f ca="1">[1]!BexGetData("DP_1","003N8EMH8GTFRCSWKMPXRSAE6","GSON1112080404")</f>
        <v>#NAME?</v>
      </c>
      <c r="J1117" s="4" t="e">
        <f ca="1">[1]!BexGetData("DP_1","003N8EMH8GTFRCSWKMPXRSGPQ","GSON1112080404")</f>
        <v>#NAME?</v>
      </c>
      <c r="K1117" s="8" t="e">
        <f ca="1">[1]!BexGetData("DP_1","003N8EMH8GTFRIVNUPY288VJH","GSON1112080404")</f>
        <v>#NAME?</v>
      </c>
      <c r="L1117" s="8" t="e">
        <f ca="1">[1]!BexGetData("DP_1","003N8EMH8GTFRIVNUPY2891V1","GSON1112080404")</f>
        <v>#NAME?</v>
      </c>
      <c r="M1117" s="8" t="e">
        <f ca="1">[1]!BexGetData("DP_1","003N8EMH8GTFRIVOG7KG9IQXA","GSON1112080404")</f>
        <v>#NAME?</v>
      </c>
      <c r="N1117" s="8" t="e">
        <f ca="1">[1]!BexGetData("DP_1","003N8EMH8GTFRIVOG7KG9IX8U","GSON1112080404")</f>
        <v>#NAME?</v>
      </c>
      <c r="O1117" s="8" t="e">
        <f ca="1">[1]!BexGetData("DP_1","003N8EMH8GTFRIVOG7KG9J3KE","GSON1112080404")</f>
        <v>#NAME?</v>
      </c>
      <c r="P1117" s="8" t="e">
        <f ca="1">[1]!BexGetData("DP_1","003N8EMH8GTFRIVOG7KG9J9VY","GSON1112080404")</f>
        <v>#NAME?</v>
      </c>
      <c r="Q1117" s="4" t="e">
        <f ca="1">[1]!BexGetData("DP_1","00O2TNJGODT0G5Z4TTKYMM5MT","GSON1112080404")</f>
        <v>#NAME?</v>
      </c>
      <c r="R1117" s="4" t="e">
        <f ca="1">[1]!BexGetData("DP_1","00O2TNJGODT0G5Z4TTKYMMBYD","GSON1112080404")</f>
        <v>#NAME?</v>
      </c>
      <c r="S1117" s="4" t="e">
        <f ca="1">[1]!BexGetData("DP_1","00O2TNJGODT0G5Z4TTKYMMI9X","GSON1112080404")</f>
        <v>#NAME?</v>
      </c>
      <c r="T1117" s="4" t="e">
        <f ca="1">[1]!BexGetData("DP_1","00O2TNJGODT0G5Z4TTKYMMOLH","GSON1112080404")</f>
        <v>#NAME?</v>
      </c>
      <c r="U1117" s="4" t="e">
        <f ca="1">[1]!BexGetData("DP_1","00O2TNJGODT0G5Z4TTKYMMUX1","GSON1112080404")</f>
        <v>#NAME?</v>
      </c>
      <c r="V1117" s="4" t="e">
        <f ca="1">[1]!BexGetData("DP_1","00O2TNJGODT0G5Z4TTKYMN18L","GSON1112080404")</f>
        <v>#NAME?</v>
      </c>
      <c r="W1117" s="4" t="e">
        <f ca="1">[1]!BexGetData("DP_1","00O2TNJGODT0G5Z4TTKYMN7K5","GSON1112080404")</f>
        <v>#NAME?</v>
      </c>
    </row>
    <row r="1118" spans="1:23" x14ac:dyDescent="0.2">
      <c r="A1118" s="16" t="s">
        <v>3349</v>
      </c>
      <c r="B1118" s="7" t="s">
        <v>3350</v>
      </c>
      <c r="C1118" s="3" t="e">
        <f ca="1">[1]!BexGetData("DP_1","003N8EMH8GTFRCSWKMPXRR8GU","GSON1112080410")</f>
        <v>#NAME?</v>
      </c>
      <c r="D1118" s="3" t="e">
        <f ca="1">[1]!BexGetData("DP_1","003N8EMH8GTFRCSWKMPXRRESE","GSON1112080410")</f>
        <v>#NAME?</v>
      </c>
      <c r="E1118" s="8" t="e">
        <f ca="1">[1]!BexGetData("DP_1","003N8EMH8GTFRCSWKMPXRRL3Y","GSON1112080410")</f>
        <v>#NAME?</v>
      </c>
      <c r="F1118" s="4" t="e">
        <f ca="1">[1]!BexGetData("DP_1","003N8EMH8GTFRCSWKMPXRRRFI","GSON1112080410")</f>
        <v>#NAME?</v>
      </c>
      <c r="G1118" s="4" t="e">
        <f ca="1">[1]!BexGetData("DP_1","003N8EMH8GTFRCSWKMPXRRXR2","GSON1112080410")</f>
        <v>#NAME?</v>
      </c>
      <c r="H1118" s="4" t="e">
        <f ca="1">[1]!BexGetData("DP_1","003N8EMH8GTFRCSWKMPXRS42M","GSON1112080410")</f>
        <v>#NAME?</v>
      </c>
      <c r="I1118" s="4" t="e">
        <f ca="1">[1]!BexGetData("DP_1","003N8EMH8GTFRCSWKMPXRSAE6","GSON1112080410")</f>
        <v>#NAME?</v>
      </c>
      <c r="J1118" s="4" t="e">
        <f ca="1">[1]!BexGetData("DP_1","003N8EMH8GTFRCSWKMPXRSGPQ","GSON1112080410")</f>
        <v>#NAME?</v>
      </c>
      <c r="K1118" s="8" t="e">
        <f ca="1">[1]!BexGetData("DP_1","003N8EMH8GTFRIVNUPY288VJH","GSON1112080410")</f>
        <v>#NAME?</v>
      </c>
      <c r="L1118" s="8" t="e">
        <f ca="1">[1]!BexGetData("DP_1","003N8EMH8GTFRIVNUPY2891V1","GSON1112080410")</f>
        <v>#NAME?</v>
      </c>
      <c r="M1118" s="8" t="e">
        <f ca="1">[1]!BexGetData("DP_1","003N8EMH8GTFRIVOG7KG9IQXA","GSON1112080410")</f>
        <v>#NAME?</v>
      </c>
      <c r="N1118" s="8" t="e">
        <f ca="1">[1]!BexGetData("DP_1","003N8EMH8GTFRIVOG7KG9IX8U","GSON1112080410")</f>
        <v>#NAME?</v>
      </c>
      <c r="O1118" s="8" t="e">
        <f ca="1">[1]!BexGetData("DP_1","003N8EMH8GTFRIVOG7KG9J3KE","GSON1112080410")</f>
        <v>#NAME?</v>
      </c>
      <c r="P1118" s="8" t="e">
        <f ca="1">[1]!BexGetData("DP_1","003N8EMH8GTFRIVOG7KG9J9VY","GSON1112080410")</f>
        <v>#NAME?</v>
      </c>
      <c r="Q1118" s="4" t="e">
        <f ca="1">[1]!BexGetData("DP_1","00O2TNJGODT0G5Z4TTKYMM5MT","GSON1112080410")</f>
        <v>#NAME?</v>
      </c>
      <c r="R1118" s="4" t="e">
        <f ca="1">[1]!BexGetData("DP_1","00O2TNJGODT0G5Z4TTKYMMBYD","GSON1112080410")</f>
        <v>#NAME?</v>
      </c>
      <c r="S1118" s="4" t="e">
        <f ca="1">[1]!BexGetData("DP_1","00O2TNJGODT0G5Z4TTKYMMI9X","GSON1112080410")</f>
        <v>#NAME?</v>
      </c>
      <c r="T1118" s="4" t="e">
        <f ca="1">[1]!BexGetData("DP_1","00O2TNJGODT0G5Z4TTKYMMOLH","GSON1112080410")</f>
        <v>#NAME?</v>
      </c>
      <c r="U1118" s="4" t="e">
        <f ca="1">[1]!BexGetData("DP_1","00O2TNJGODT0G5Z4TTKYMMUX1","GSON1112080410")</f>
        <v>#NAME?</v>
      </c>
      <c r="V1118" s="4" t="e">
        <f ca="1">[1]!BexGetData("DP_1","00O2TNJGODT0G5Z4TTKYMN18L","GSON1112080410")</f>
        <v>#NAME?</v>
      </c>
      <c r="W1118" s="4" t="e">
        <f ca="1">[1]!BexGetData("DP_1","00O2TNJGODT0G5Z4TTKYMN7K5","GSON1112080410")</f>
        <v>#NAME?</v>
      </c>
    </row>
    <row r="1119" spans="1:23" x14ac:dyDescent="0.2">
      <c r="A1119" s="16" t="s">
        <v>1086</v>
      </c>
      <c r="B1119" s="7" t="s">
        <v>1087</v>
      </c>
      <c r="C1119" s="3" t="e">
        <f ca="1">[1]!BexGetData("DP_1","003N8EMH8GTFRCSWKMPXRR8GU","GSON1112080411")</f>
        <v>#NAME?</v>
      </c>
      <c r="D1119" s="3" t="e">
        <f ca="1">[1]!BexGetData("DP_1","003N8EMH8GTFRCSWKMPXRRESE","GSON1112080411")</f>
        <v>#NAME?</v>
      </c>
      <c r="E1119" s="8" t="e">
        <f ca="1">[1]!BexGetData("DP_1","003N8EMH8GTFRCSWKMPXRRL3Y","GSON1112080411")</f>
        <v>#NAME?</v>
      </c>
      <c r="F1119" s="4" t="e">
        <f ca="1">[1]!BexGetData("DP_1","003N8EMH8GTFRCSWKMPXRRRFI","GSON1112080411")</f>
        <v>#NAME?</v>
      </c>
      <c r="G1119" s="4" t="e">
        <f ca="1">[1]!BexGetData("DP_1","003N8EMH8GTFRCSWKMPXRRXR2","GSON1112080411")</f>
        <v>#NAME?</v>
      </c>
      <c r="H1119" s="4" t="e">
        <f ca="1">[1]!BexGetData("DP_1","003N8EMH8GTFRCSWKMPXRS42M","GSON1112080411")</f>
        <v>#NAME?</v>
      </c>
      <c r="I1119" s="4" t="e">
        <f ca="1">[1]!BexGetData("DP_1","003N8EMH8GTFRCSWKMPXRSAE6","GSON1112080411")</f>
        <v>#NAME?</v>
      </c>
      <c r="J1119" s="4" t="e">
        <f ca="1">[1]!BexGetData("DP_1","003N8EMH8GTFRCSWKMPXRSGPQ","GSON1112080411")</f>
        <v>#NAME?</v>
      </c>
      <c r="K1119" s="8" t="e">
        <f ca="1">[1]!BexGetData("DP_1","003N8EMH8GTFRIVNUPY288VJH","GSON1112080411")</f>
        <v>#NAME?</v>
      </c>
      <c r="L1119" s="8" t="e">
        <f ca="1">[1]!BexGetData("DP_1","003N8EMH8GTFRIVNUPY2891V1","GSON1112080411")</f>
        <v>#NAME?</v>
      </c>
      <c r="M1119" s="8" t="e">
        <f ca="1">[1]!BexGetData("DP_1","003N8EMH8GTFRIVOG7KG9IQXA","GSON1112080411")</f>
        <v>#NAME?</v>
      </c>
      <c r="N1119" s="8" t="e">
        <f ca="1">[1]!BexGetData("DP_1","003N8EMH8GTFRIVOG7KG9IX8U","GSON1112080411")</f>
        <v>#NAME?</v>
      </c>
      <c r="O1119" s="8" t="e">
        <f ca="1">[1]!BexGetData("DP_1","003N8EMH8GTFRIVOG7KG9J3KE","GSON1112080411")</f>
        <v>#NAME?</v>
      </c>
      <c r="P1119" s="8" t="e">
        <f ca="1">[1]!BexGetData("DP_1","003N8EMH8GTFRIVOG7KG9J9VY","GSON1112080411")</f>
        <v>#NAME?</v>
      </c>
      <c r="Q1119" s="4" t="e">
        <f ca="1">[1]!BexGetData("DP_1","00O2TNJGODT0G5Z4TTKYMM5MT","GSON1112080411")</f>
        <v>#NAME?</v>
      </c>
      <c r="R1119" s="4" t="e">
        <f ca="1">[1]!BexGetData("DP_1","00O2TNJGODT0G5Z4TTKYMMBYD","GSON1112080411")</f>
        <v>#NAME?</v>
      </c>
      <c r="S1119" s="4" t="e">
        <f ca="1">[1]!BexGetData("DP_1","00O2TNJGODT0G5Z4TTKYMMI9X","GSON1112080411")</f>
        <v>#NAME?</v>
      </c>
      <c r="T1119" s="4" t="e">
        <f ca="1">[1]!BexGetData("DP_1","00O2TNJGODT0G5Z4TTKYMMOLH","GSON1112080411")</f>
        <v>#NAME?</v>
      </c>
      <c r="U1119" s="4" t="e">
        <f ca="1">[1]!BexGetData("DP_1","00O2TNJGODT0G5Z4TTKYMMUX1","GSON1112080411")</f>
        <v>#NAME?</v>
      </c>
      <c r="V1119" s="4" t="e">
        <f ca="1">[1]!BexGetData("DP_1","00O2TNJGODT0G5Z4TTKYMN18L","GSON1112080411")</f>
        <v>#NAME?</v>
      </c>
      <c r="W1119" s="4" t="e">
        <f ca="1">[1]!BexGetData("DP_1","00O2TNJGODT0G5Z4TTKYMN7K5","GSON1112080411")</f>
        <v>#NAME?</v>
      </c>
    </row>
    <row r="1120" spans="1:23" x14ac:dyDescent="0.2">
      <c r="A1120" s="16" t="s">
        <v>3351</v>
      </c>
      <c r="B1120" s="7" t="s">
        <v>3352</v>
      </c>
      <c r="C1120" s="3" t="e">
        <f ca="1">[1]!BexGetData("DP_1","003N8EMH8GTFRCSWKMPXRR8GU","GSON1112080414")</f>
        <v>#NAME?</v>
      </c>
      <c r="D1120" s="3" t="e">
        <f ca="1">[1]!BexGetData("DP_1","003N8EMH8GTFRCSWKMPXRRESE","GSON1112080414")</f>
        <v>#NAME?</v>
      </c>
      <c r="E1120" s="8" t="e">
        <f ca="1">[1]!BexGetData("DP_1","003N8EMH8GTFRCSWKMPXRRL3Y","GSON1112080414")</f>
        <v>#NAME?</v>
      </c>
      <c r="F1120" s="4" t="e">
        <f ca="1">[1]!BexGetData("DP_1","003N8EMH8GTFRCSWKMPXRRRFI","GSON1112080414")</f>
        <v>#NAME?</v>
      </c>
      <c r="G1120" s="4" t="e">
        <f ca="1">[1]!BexGetData("DP_1","003N8EMH8GTFRCSWKMPXRRXR2","GSON1112080414")</f>
        <v>#NAME?</v>
      </c>
      <c r="H1120" s="4" t="e">
        <f ca="1">[1]!BexGetData("DP_1","003N8EMH8GTFRCSWKMPXRS42M","GSON1112080414")</f>
        <v>#NAME?</v>
      </c>
      <c r="I1120" s="4" t="e">
        <f ca="1">[1]!BexGetData("DP_1","003N8EMH8GTFRCSWKMPXRSAE6","GSON1112080414")</f>
        <v>#NAME?</v>
      </c>
      <c r="J1120" s="4" t="e">
        <f ca="1">[1]!BexGetData("DP_1","003N8EMH8GTFRCSWKMPXRSGPQ","GSON1112080414")</f>
        <v>#NAME?</v>
      </c>
      <c r="K1120" s="8" t="e">
        <f ca="1">[1]!BexGetData("DP_1","003N8EMH8GTFRIVNUPY288VJH","GSON1112080414")</f>
        <v>#NAME?</v>
      </c>
      <c r="L1120" s="8" t="e">
        <f ca="1">[1]!BexGetData("DP_1","003N8EMH8GTFRIVNUPY2891V1","GSON1112080414")</f>
        <v>#NAME?</v>
      </c>
      <c r="M1120" s="8" t="e">
        <f ca="1">[1]!BexGetData("DP_1","003N8EMH8GTFRIVOG7KG9IQXA","GSON1112080414")</f>
        <v>#NAME?</v>
      </c>
      <c r="N1120" s="8" t="e">
        <f ca="1">[1]!BexGetData("DP_1","003N8EMH8GTFRIVOG7KG9IX8U","GSON1112080414")</f>
        <v>#NAME?</v>
      </c>
      <c r="O1120" s="8" t="e">
        <f ca="1">[1]!BexGetData("DP_1","003N8EMH8GTFRIVOG7KG9J3KE","GSON1112080414")</f>
        <v>#NAME?</v>
      </c>
      <c r="P1120" s="8" t="e">
        <f ca="1">[1]!BexGetData("DP_1","003N8EMH8GTFRIVOG7KG9J9VY","GSON1112080414")</f>
        <v>#NAME?</v>
      </c>
      <c r="Q1120" s="4" t="e">
        <f ca="1">[1]!BexGetData("DP_1","00O2TNJGODT0G5Z4TTKYMM5MT","GSON1112080414")</f>
        <v>#NAME?</v>
      </c>
      <c r="R1120" s="4" t="e">
        <f ca="1">[1]!BexGetData("DP_1","00O2TNJGODT0G5Z4TTKYMMBYD","GSON1112080414")</f>
        <v>#NAME?</v>
      </c>
      <c r="S1120" s="4" t="e">
        <f ca="1">[1]!BexGetData("DP_1","00O2TNJGODT0G5Z4TTKYMMI9X","GSON1112080414")</f>
        <v>#NAME?</v>
      </c>
      <c r="T1120" s="4" t="e">
        <f ca="1">[1]!BexGetData("DP_1","00O2TNJGODT0G5Z4TTKYMMOLH","GSON1112080414")</f>
        <v>#NAME?</v>
      </c>
      <c r="U1120" s="4" t="e">
        <f ca="1">[1]!BexGetData("DP_1","00O2TNJGODT0G5Z4TTKYMMUX1","GSON1112080414")</f>
        <v>#NAME?</v>
      </c>
      <c r="V1120" s="4" t="e">
        <f ca="1">[1]!BexGetData("DP_1","00O2TNJGODT0G5Z4TTKYMN18L","GSON1112080414")</f>
        <v>#NAME?</v>
      </c>
      <c r="W1120" s="4" t="e">
        <f ca="1">[1]!BexGetData("DP_1","00O2TNJGODT0G5Z4TTKYMN7K5","GSON1112080414")</f>
        <v>#NAME?</v>
      </c>
    </row>
    <row r="1121" spans="1:23" x14ac:dyDescent="0.2">
      <c r="A1121" s="16" t="s">
        <v>3353</v>
      </c>
      <c r="B1121" s="7" t="s">
        <v>3354</v>
      </c>
      <c r="C1121" s="3" t="e">
        <f ca="1">[1]!BexGetData("DP_1","003N8EMH8GTFRCSWKMPXRR8GU","GSON1112080420")</f>
        <v>#NAME?</v>
      </c>
      <c r="D1121" s="3" t="e">
        <f ca="1">[1]!BexGetData("DP_1","003N8EMH8GTFRCSWKMPXRRESE","GSON1112080420")</f>
        <v>#NAME?</v>
      </c>
      <c r="E1121" s="8" t="e">
        <f ca="1">[1]!BexGetData("DP_1","003N8EMH8GTFRCSWKMPXRRL3Y","GSON1112080420")</f>
        <v>#NAME?</v>
      </c>
      <c r="F1121" s="4" t="e">
        <f ca="1">[1]!BexGetData("DP_1","003N8EMH8GTFRCSWKMPXRRRFI","GSON1112080420")</f>
        <v>#NAME?</v>
      </c>
      <c r="G1121" s="4" t="e">
        <f ca="1">[1]!BexGetData("DP_1","003N8EMH8GTFRCSWKMPXRRXR2","GSON1112080420")</f>
        <v>#NAME?</v>
      </c>
      <c r="H1121" s="4" t="e">
        <f ca="1">[1]!BexGetData("DP_1","003N8EMH8GTFRCSWKMPXRS42M","GSON1112080420")</f>
        <v>#NAME?</v>
      </c>
      <c r="I1121" s="4" t="e">
        <f ca="1">[1]!BexGetData("DP_1","003N8EMH8GTFRCSWKMPXRSAE6","GSON1112080420")</f>
        <v>#NAME?</v>
      </c>
      <c r="J1121" s="4" t="e">
        <f ca="1">[1]!BexGetData("DP_1","003N8EMH8GTFRCSWKMPXRSGPQ","GSON1112080420")</f>
        <v>#NAME?</v>
      </c>
      <c r="K1121" s="8" t="e">
        <f ca="1">[1]!BexGetData("DP_1","003N8EMH8GTFRIVNUPY288VJH","GSON1112080420")</f>
        <v>#NAME?</v>
      </c>
      <c r="L1121" s="8" t="e">
        <f ca="1">[1]!BexGetData("DP_1","003N8EMH8GTFRIVNUPY2891V1","GSON1112080420")</f>
        <v>#NAME?</v>
      </c>
      <c r="M1121" s="8" t="e">
        <f ca="1">[1]!BexGetData("DP_1","003N8EMH8GTFRIVOG7KG9IQXA","GSON1112080420")</f>
        <v>#NAME?</v>
      </c>
      <c r="N1121" s="8" t="e">
        <f ca="1">[1]!BexGetData("DP_1","003N8EMH8GTFRIVOG7KG9IX8U","GSON1112080420")</f>
        <v>#NAME?</v>
      </c>
      <c r="O1121" s="8" t="e">
        <f ca="1">[1]!BexGetData("DP_1","003N8EMH8GTFRIVOG7KG9J3KE","GSON1112080420")</f>
        <v>#NAME?</v>
      </c>
      <c r="P1121" s="8" t="e">
        <f ca="1">[1]!BexGetData("DP_1","003N8EMH8GTFRIVOG7KG9J9VY","GSON1112080420")</f>
        <v>#NAME?</v>
      </c>
      <c r="Q1121" s="4" t="e">
        <f ca="1">[1]!BexGetData("DP_1","00O2TNJGODT0G5Z4TTKYMM5MT","GSON1112080420")</f>
        <v>#NAME?</v>
      </c>
      <c r="R1121" s="4" t="e">
        <f ca="1">[1]!BexGetData("DP_1","00O2TNJGODT0G5Z4TTKYMMBYD","GSON1112080420")</f>
        <v>#NAME?</v>
      </c>
      <c r="S1121" s="4" t="e">
        <f ca="1">[1]!BexGetData("DP_1","00O2TNJGODT0G5Z4TTKYMMI9X","GSON1112080420")</f>
        <v>#NAME?</v>
      </c>
      <c r="T1121" s="4" t="e">
        <f ca="1">[1]!BexGetData("DP_1","00O2TNJGODT0G5Z4TTKYMMOLH","GSON1112080420")</f>
        <v>#NAME?</v>
      </c>
      <c r="U1121" s="4" t="e">
        <f ca="1">[1]!BexGetData("DP_1","00O2TNJGODT0G5Z4TTKYMMUX1","GSON1112080420")</f>
        <v>#NAME?</v>
      </c>
      <c r="V1121" s="4" t="e">
        <f ca="1">[1]!BexGetData("DP_1","00O2TNJGODT0G5Z4TTKYMN18L","GSON1112080420")</f>
        <v>#NAME?</v>
      </c>
      <c r="W1121" s="4" t="e">
        <f ca="1">[1]!BexGetData("DP_1","00O2TNJGODT0G5Z4TTKYMN7K5","GSON1112080420")</f>
        <v>#NAME?</v>
      </c>
    </row>
    <row r="1122" spans="1:23" x14ac:dyDescent="0.2">
      <c r="A1122" s="16" t="s">
        <v>1088</v>
      </c>
      <c r="B1122" s="7" t="s">
        <v>1089</v>
      </c>
      <c r="C1122" s="3" t="e">
        <f ca="1">[1]!BexGetData("DP_1","003N8EMH8GTFRCSWKMPXRR8GU","GSON1112080421")</f>
        <v>#NAME?</v>
      </c>
      <c r="D1122" s="3" t="e">
        <f ca="1">[1]!BexGetData("DP_1","003N8EMH8GTFRCSWKMPXRRESE","GSON1112080421")</f>
        <v>#NAME?</v>
      </c>
      <c r="E1122" s="8" t="e">
        <f ca="1">[1]!BexGetData("DP_1","003N8EMH8GTFRCSWKMPXRRL3Y","GSON1112080421")</f>
        <v>#NAME?</v>
      </c>
      <c r="F1122" s="4" t="e">
        <f ca="1">[1]!BexGetData("DP_1","003N8EMH8GTFRCSWKMPXRRRFI","GSON1112080421")</f>
        <v>#NAME?</v>
      </c>
      <c r="G1122" s="4" t="e">
        <f ca="1">[1]!BexGetData("DP_1","003N8EMH8GTFRCSWKMPXRRXR2","GSON1112080421")</f>
        <v>#NAME?</v>
      </c>
      <c r="H1122" s="4" t="e">
        <f ca="1">[1]!BexGetData("DP_1","003N8EMH8GTFRCSWKMPXRS42M","GSON1112080421")</f>
        <v>#NAME?</v>
      </c>
      <c r="I1122" s="4" t="e">
        <f ca="1">[1]!BexGetData("DP_1","003N8EMH8GTFRCSWKMPXRSAE6","GSON1112080421")</f>
        <v>#NAME?</v>
      </c>
      <c r="J1122" s="4" t="e">
        <f ca="1">[1]!BexGetData("DP_1","003N8EMH8GTFRCSWKMPXRSGPQ","GSON1112080421")</f>
        <v>#NAME?</v>
      </c>
      <c r="K1122" s="8" t="e">
        <f ca="1">[1]!BexGetData("DP_1","003N8EMH8GTFRIVNUPY288VJH","GSON1112080421")</f>
        <v>#NAME?</v>
      </c>
      <c r="L1122" s="8" t="e">
        <f ca="1">[1]!BexGetData("DP_1","003N8EMH8GTFRIVNUPY2891V1","GSON1112080421")</f>
        <v>#NAME?</v>
      </c>
      <c r="M1122" s="8" t="e">
        <f ca="1">[1]!BexGetData("DP_1","003N8EMH8GTFRIVOG7KG9IQXA","GSON1112080421")</f>
        <v>#NAME?</v>
      </c>
      <c r="N1122" s="8" t="e">
        <f ca="1">[1]!BexGetData("DP_1","003N8EMH8GTFRIVOG7KG9IX8U","GSON1112080421")</f>
        <v>#NAME?</v>
      </c>
      <c r="O1122" s="8" t="e">
        <f ca="1">[1]!BexGetData("DP_1","003N8EMH8GTFRIVOG7KG9J3KE","GSON1112080421")</f>
        <v>#NAME?</v>
      </c>
      <c r="P1122" s="8" t="e">
        <f ca="1">[1]!BexGetData("DP_1","003N8EMH8GTFRIVOG7KG9J9VY","GSON1112080421")</f>
        <v>#NAME?</v>
      </c>
      <c r="Q1122" s="4" t="e">
        <f ca="1">[1]!BexGetData("DP_1","00O2TNJGODT0G5Z4TTKYMM5MT","GSON1112080421")</f>
        <v>#NAME?</v>
      </c>
      <c r="R1122" s="4" t="e">
        <f ca="1">[1]!BexGetData("DP_1","00O2TNJGODT0G5Z4TTKYMMBYD","GSON1112080421")</f>
        <v>#NAME?</v>
      </c>
      <c r="S1122" s="4" t="e">
        <f ca="1">[1]!BexGetData("DP_1","00O2TNJGODT0G5Z4TTKYMMI9X","GSON1112080421")</f>
        <v>#NAME?</v>
      </c>
      <c r="T1122" s="4" t="e">
        <f ca="1">[1]!BexGetData("DP_1","00O2TNJGODT0G5Z4TTKYMMOLH","GSON1112080421")</f>
        <v>#NAME?</v>
      </c>
      <c r="U1122" s="4" t="e">
        <f ca="1">[1]!BexGetData("DP_1","00O2TNJGODT0G5Z4TTKYMMUX1","GSON1112080421")</f>
        <v>#NAME?</v>
      </c>
      <c r="V1122" s="4" t="e">
        <f ca="1">[1]!BexGetData("DP_1","00O2TNJGODT0G5Z4TTKYMN18L","GSON1112080421")</f>
        <v>#NAME?</v>
      </c>
      <c r="W1122" s="4" t="e">
        <f ca="1">[1]!BexGetData("DP_1","00O2TNJGODT0G5Z4TTKYMN7K5","GSON1112080421")</f>
        <v>#NAME?</v>
      </c>
    </row>
    <row r="1123" spans="1:23" x14ac:dyDescent="0.2">
      <c r="A1123" s="16" t="s">
        <v>3355</v>
      </c>
      <c r="B1123" s="7" t="s">
        <v>3356</v>
      </c>
      <c r="C1123" s="3" t="e">
        <f ca="1">[1]!BexGetData("DP_1","003N8EMH8GTFRCSWKMPXRR8GU","GSON1112080424")</f>
        <v>#NAME?</v>
      </c>
      <c r="D1123" s="3" t="e">
        <f ca="1">[1]!BexGetData("DP_1","003N8EMH8GTFRCSWKMPXRRESE","GSON1112080424")</f>
        <v>#NAME?</v>
      </c>
      <c r="E1123" s="8" t="e">
        <f ca="1">[1]!BexGetData("DP_1","003N8EMH8GTFRCSWKMPXRRL3Y","GSON1112080424")</f>
        <v>#NAME?</v>
      </c>
      <c r="F1123" s="4" t="e">
        <f ca="1">[1]!BexGetData("DP_1","003N8EMH8GTFRCSWKMPXRRRFI","GSON1112080424")</f>
        <v>#NAME?</v>
      </c>
      <c r="G1123" s="4" t="e">
        <f ca="1">[1]!BexGetData("DP_1","003N8EMH8GTFRCSWKMPXRRXR2","GSON1112080424")</f>
        <v>#NAME?</v>
      </c>
      <c r="H1123" s="4" t="e">
        <f ca="1">[1]!BexGetData("DP_1","003N8EMH8GTFRCSWKMPXRS42M","GSON1112080424")</f>
        <v>#NAME?</v>
      </c>
      <c r="I1123" s="4" t="e">
        <f ca="1">[1]!BexGetData("DP_1","003N8EMH8GTFRCSWKMPXRSAE6","GSON1112080424")</f>
        <v>#NAME?</v>
      </c>
      <c r="J1123" s="4" t="e">
        <f ca="1">[1]!BexGetData("DP_1","003N8EMH8GTFRCSWKMPXRSGPQ","GSON1112080424")</f>
        <v>#NAME?</v>
      </c>
      <c r="K1123" s="8" t="e">
        <f ca="1">[1]!BexGetData("DP_1","003N8EMH8GTFRIVNUPY288VJH","GSON1112080424")</f>
        <v>#NAME?</v>
      </c>
      <c r="L1123" s="8" t="e">
        <f ca="1">[1]!BexGetData("DP_1","003N8EMH8GTFRIVNUPY2891V1","GSON1112080424")</f>
        <v>#NAME?</v>
      </c>
      <c r="M1123" s="8" t="e">
        <f ca="1">[1]!BexGetData("DP_1","003N8EMH8GTFRIVOG7KG9IQXA","GSON1112080424")</f>
        <v>#NAME?</v>
      </c>
      <c r="N1123" s="8" t="e">
        <f ca="1">[1]!BexGetData("DP_1","003N8EMH8GTFRIVOG7KG9IX8U","GSON1112080424")</f>
        <v>#NAME?</v>
      </c>
      <c r="O1123" s="8" t="e">
        <f ca="1">[1]!BexGetData("DP_1","003N8EMH8GTFRIVOG7KG9J3KE","GSON1112080424")</f>
        <v>#NAME?</v>
      </c>
      <c r="P1123" s="8" t="e">
        <f ca="1">[1]!BexGetData("DP_1","003N8EMH8GTFRIVOG7KG9J9VY","GSON1112080424")</f>
        <v>#NAME?</v>
      </c>
      <c r="Q1123" s="4" t="e">
        <f ca="1">[1]!BexGetData("DP_1","00O2TNJGODT0G5Z4TTKYMM5MT","GSON1112080424")</f>
        <v>#NAME?</v>
      </c>
      <c r="R1123" s="4" t="e">
        <f ca="1">[1]!BexGetData("DP_1","00O2TNJGODT0G5Z4TTKYMMBYD","GSON1112080424")</f>
        <v>#NAME?</v>
      </c>
      <c r="S1123" s="4" t="e">
        <f ca="1">[1]!BexGetData("DP_1","00O2TNJGODT0G5Z4TTKYMMI9X","GSON1112080424")</f>
        <v>#NAME?</v>
      </c>
      <c r="T1123" s="4" t="e">
        <f ca="1">[1]!BexGetData("DP_1","00O2TNJGODT0G5Z4TTKYMMOLH","GSON1112080424")</f>
        <v>#NAME?</v>
      </c>
      <c r="U1123" s="4" t="e">
        <f ca="1">[1]!BexGetData("DP_1","00O2TNJGODT0G5Z4TTKYMMUX1","GSON1112080424")</f>
        <v>#NAME?</v>
      </c>
      <c r="V1123" s="4" t="e">
        <f ca="1">[1]!BexGetData("DP_1","00O2TNJGODT0G5Z4TTKYMN18L","GSON1112080424")</f>
        <v>#NAME?</v>
      </c>
      <c r="W1123" s="4" t="e">
        <f ca="1">[1]!BexGetData("DP_1","00O2TNJGODT0G5Z4TTKYMN7K5","GSON1112080424")</f>
        <v>#NAME?</v>
      </c>
    </row>
    <row r="1124" spans="1:23" x14ac:dyDescent="0.2">
      <c r="A1124" s="16" t="s">
        <v>1667</v>
      </c>
      <c r="B1124" s="7" t="s">
        <v>1668</v>
      </c>
      <c r="C1124" s="3" t="e">
        <f ca="1">[1]!BexGetData("DP_1","003N8EMH8GTFRCSWKMPXRR8GU","GSON1112080430")</f>
        <v>#NAME?</v>
      </c>
      <c r="D1124" s="3" t="e">
        <f ca="1">[1]!BexGetData("DP_1","003N8EMH8GTFRCSWKMPXRRESE","GSON1112080430")</f>
        <v>#NAME?</v>
      </c>
      <c r="E1124" s="8" t="e">
        <f ca="1">[1]!BexGetData("DP_1","003N8EMH8GTFRCSWKMPXRRL3Y","GSON1112080430")</f>
        <v>#NAME?</v>
      </c>
      <c r="F1124" s="4" t="e">
        <f ca="1">[1]!BexGetData("DP_1","003N8EMH8GTFRCSWKMPXRRRFI","GSON1112080430")</f>
        <v>#NAME?</v>
      </c>
      <c r="G1124" s="4" t="e">
        <f ca="1">[1]!BexGetData("DP_1","003N8EMH8GTFRCSWKMPXRRXR2","GSON1112080430")</f>
        <v>#NAME?</v>
      </c>
      <c r="H1124" s="4" t="e">
        <f ca="1">[1]!BexGetData("DP_1","003N8EMH8GTFRCSWKMPXRS42M","GSON1112080430")</f>
        <v>#NAME?</v>
      </c>
      <c r="I1124" s="4" t="e">
        <f ca="1">[1]!BexGetData("DP_1","003N8EMH8GTFRCSWKMPXRSAE6","GSON1112080430")</f>
        <v>#NAME?</v>
      </c>
      <c r="J1124" s="4" t="e">
        <f ca="1">[1]!BexGetData("DP_1","003N8EMH8GTFRCSWKMPXRSGPQ","GSON1112080430")</f>
        <v>#NAME?</v>
      </c>
      <c r="K1124" s="8" t="e">
        <f ca="1">[1]!BexGetData("DP_1","003N8EMH8GTFRIVNUPY288VJH","GSON1112080430")</f>
        <v>#NAME?</v>
      </c>
      <c r="L1124" s="8" t="e">
        <f ca="1">[1]!BexGetData("DP_1","003N8EMH8GTFRIVNUPY2891V1","GSON1112080430")</f>
        <v>#NAME?</v>
      </c>
      <c r="M1124" s="8" t="e">
        <f ca="1">[1]!BexGetData("DP_1","003N8EMH8GTFRIVOG7KG9IQXA","GSON1112080430")</f>
        <v>#NAME?</v>
      </c>
      <c r="N1124" s="8" t="e">
        <f ca="1">[1]!BexGetData("DP_1","003N8EMH8GTFRIVOG7KG9IX8U","GSON1112080430")</f>
        <v>#NAME?</v>
      </c>
      <c r="O1124" s="8" t="e">
        <f ca="1">[1]!BexGetData("DP_1","003N8EMH8GTFRIVOG7KG9J3KE","GSON1112080430")</f>
        <v>#NAME?</v>
      </c>
      <c r="P1124" s="8" t="e">
        <f ca="1">[1]!BexGetData("DP_1","003N8EMH8GTFRIVOG7KG9J9VY","GSON1112080430")</f>
        <v>#NAME?</v>
      </c>
      <c r="Q1124" s="4" t="e">
        <f ca="1">[1]!BexGetData("DP_1","00O2TNJGODT0G5Z4TTKYMM5MT","GSON1112080430")</f>
        <v>#NAME?</v>
      </c>
      <c r="R1124" s="4" t="e">
        <f ca="1">[1]!BexGetData("DP_1","00O2TNJGODT0G5Z4TTKYMMBYD","GSON1112080430")</f>
        <v>#NAME?</v>
      </c>
      <c r="S1124" s="4" t="e">
        <f ca="1">[1]!BexGetData("DP_1","00O2TNJGODT0G5Z4TTKYMMI9X","GSON1112080430")</f>
        <v>#NAME?</v>
      </c>
      <c r="T1124" s="4" t="e">
        <f ca="1">[1]!BexGetData("DP_1","00O2TNJGODT0G5Z4TTKYMMOLH","GSON1112080430")</f>
        <v>#NAME?</v>
      </c>
      <c r="U1124" s="4" t="e">
        <f ca="1">[1]!BexGetData("DP_1","00O2TNJGODT0G5Z4TTKYMMUX1","GSON1112080430")</f>
        <v>#NAME?</v>
      </c>
      <c r="V1124" s="4" t="e">
        <f ca="1">[1]!BexGetData("DP_1","00O2TNJGODT0G5Z4TTKYMN18L","GSON1112080430")</f>
        <v>#NAME?</v>
      </c>
      <c r="W1124" s="4" t="e">
        <f ca="1">[1]!BexGetData("DP_1","00O2TNJGODT0G5Z4TTKYMN7K5","GSON1112080430")</f>
        <v>#NAME?</v>
      </c>
    </row>
    <row r="1125" spans="1:23" x14ac:dyDescent="0.2">
      <c r="A1125" s="16" t="s">
        <v>1669</v>
      </c>
      <c r="B1125" s="7" t="s">
        <v>1670</v>
      </c>
      <c r="C1125" s="3" t="e">
        <f ca="1">[1]!BexGetData("DP_1","003N8EMH8GTFRCSWKMPXRR8GU","GSON1112080431")</f>
        <v>#NAME?</v>
      </c>
      <c r="D1125" s="3" t="e">
        <f ca="1">[1]!BexGetData("DP_1","003N8EMH8GTFRCSWKMPXRRESE","GSON1112080431")</f>
        <v>#NAME?</v>
      </c>
      <c r="E1125" s="3" t="e">
        <f ca="1">[1]!BexGetData("DP_1","003N8EMH8GTFRCSWKMPXRRL3Y","GSON1112080431")</f>
        <v>#NAME?</v>
      </c>
      <c r="F1125" s="4" t="e">
        <f ca="1">[1]!BexGetData("DP_1","003N8EMH8GTFRCSWKMPXRRRFI","GSON1112080431")</f>
        <v>#NAME?</v>
      </c>
      <c r="G1125" s="4" t="e">
        <f ca="1">[1]!BexGetData("DP_1","003N8EMH8GTFRCSWKMPXRRXR2","GSON1112080431")</f>
        <v>#NAME?</v>
      </c>
      <c r="H1125" s="4" t="e">
        <f ca="1">[1]!BexGetData("DP_1","003N8EMH8GTFRCSWKMPXRS42M","GSON1112080431")</f>
        <v>#NAME?</v>
      </c>
      <c r="I1125" s="4" t="e">
        <f ca="1">[1]!BexGetData("DP_1","003N8EMH8GTFRCSWKMPXRSAE6","GSON1112080431")</f>
        <v>#NAME?</v>
      </c>
      <c r="J1125" s="4" t="e">
        <f ca="1">[1]!BexGetData("DP_1","003N8EMH8GTFRCSWKMPXRSGPQ","GSON1112080431")</f>
        <v>#NAME?</v>
      </c>
      <c r="K1125" s="3" t="e">
        <f ca="1">[1]!BexGetData("DP_1","003N8EMH8GTFRIVNUPY288VJH","GSON1112080431")</f>
        <v>#NAME?</v>
      </c>
      <c r="L1125" s="3" t="e">
        <f ca="1">[1]!BexGetData("DP_1","003N8EMH8GTFRIVNUPY2891V1","GSON1112080431")</f>
        <v>#NAME?</v>
      </c>
      <c r="M1125" s="3" t="e">
        <f ca="1">[1]!BexGetData("DP_1","003N8EMH8GTFRIVOG7KG9IQXA","GSON1112080431")</f>
        <v>#NAME?</v>
      </c>
      <c r="N1125" s="8" t="e">
        <f ca="1">[1]!BexGetData("DP_1","003N8EMH8GTFRIVOG7KG9IX8U","GSON1112080431")</f>
        <v>#NAME?</v>
      </c>
      <c r="O1125" s="3" t="e">
        <f ca="1">[1]!BexGetData("DP_1","003N8EMH8GTFRIVOG7KG9J3KE","GSON1112080431")</f>
        <v>#NAME?</v>
      </c>
      <c r="P1125" s="8" t="e">
        <f ca="1">[1]!BexGetData("DP_1","003N8EMH8GTFRIVOG7KG9J9VY","GSON1112080431")</f>
        <v>#NAME?</v>
      </c>
      <c r="Q1125" s="4" t="e">
        <f ca="1">[1]!BexGetData("DP_1","00O2TNJGODT0G5Z4TTKYMM5MT","GSON1112080431")</f>
        <v>#NAME?</v>
      </c>
      <c r="R1125" s="4" t="e">
        <f ca="1">[1]!BexGetData("DP_1","00O2TNJGODT0G5Z4TTKYMMBYD","GSON1112080431")</f>
        <v>#NAME?</v>
      </c>
      <c r="S1125" s="4" t="e">
        <f ca="1">[1]!BexGetData("DP_1","00O2TNJGODT0G5Z4TTKYMMI9X","GSON1112080431")</f>
        <v>#NAME?</v>
      </c>
      <c r="T1125" s="4" t="e">
        <f ca="1">[1]!BexGetData("DP_1","00O2TNJGODT0G5Z4TTKYMMOLH","GSON1112080431")</f>
        <v>#NAME?</v>
      </c>
      <c r="U1125" s="4" t="e">
        <f ca="1">[1]!BexGetData("DP_1","00O2TNJGODT0G5Z4TTKYMMUX1","GSON1112080431")</f>
        <v>#NAME?</v>
      </c>
      <c r="V1125" s="4" t="e">
        <f ca="1">[1]!BexGetData("DP_1","00O2TNJGODT0G5Z4TTKYMN18L","GSON1112080431")</f>
        <v>#NAME?</v>
      </c>
      <c r="W1125" s="4" t="e">
        <f ca="1">[1]!BexGetData("DP_1","00O2TNJGODT0G5Z4TTKYMN7K5","GSON1112080431")</f>
        <v>#NAME?</v>
      </c>
    </row>
    <row r="1126" spans="1:23" x14ac:dyDescent="0.2">
      <c r="A1126" s="16" t="s">
        <v>3357</v>
      </c>
      <c r="B1126" s="7" t="s">
        <v>1671</v>
      </c>
      <c r="C1126" s="3" t="e">
        <f ca="1">[1]!BexGetData("DP_1","003N8EMH8GTFRCSWKMPXRR8GU","GSON1112080434")</f>
        <v>#NAME?</v>
      </c>
      <c r="D1126" s="3" t="e">
        <f ca="1">[1]!BexGetData("DP_1","003N8EMH8GTFRCSWKMPXRRESE","GSON1112080434")</f>
        <v>#NAME?</v>
      </c>
      <c r="E1126" s="3" t="e">
        <f ca="1">[1]!BexGetData("DP_1","003N8EMH8GTFRCSWKMPXRRL3Y","GSON1112080434")</f>
        <v>#NAME?</v>
      </c>
      <c r="F1126" s="4" t="e">
        <f ca="1">[1]!BexGetData("DP_1","003N8EMH8GTFRCSWKMPXRRRFI","GSON1112080434")</f>
        <v>#NAME?</v>
      </c>
      <c r="G1126" s="4" t="e">
        <f ca="1">[1]!BexGetData("DP_1","003N8EMH8GTFRCSWKMPXRRXR2","GSON1112080434")</f>
        <v>#NAME?</v>
      </c>
      <c r="H1126" s="4" t="e">
        <f ca="1">[1]!BexGetData("DP_1","003N8EMH8GTFRCSWKMPXRS42M","GSON1112080434")</f>
        <v>#NAME?</v>
      </c>
      <c r="I1126" s="4" t="e">
        <f ca="1">[1]!BexGetData("DP_1","003N8EMH8GTFRCSWKMPXRSAE6","GSON1112080434")</f>
        <v>#NAME?</v>
      </c>
      <c r="J1126" s="4" t="e">
        <f ca="1">[1]!BexGetData("DP_1","003N8EMH8GTFRCSWKMPXRSGPQ","GSON1112080434")</f>
        <v>#NAME?</v>
      </c>
      <c r="K1126" s="3" t="e">
        <f ca="1">[1]!BexGetData("DP_1","003N8EMH8GTFRIVNUPY288VJH","GSON1112080434")</f>
        <v>#NAME?</v>
      </c>
      <c r="L1126" s="3" t="e">
        <f ca="1">[1]!BexGetData("DP_1","003N8EMH8GTFRIVNUPY2891V1","GSON1112080434")</f>
        <v>#NAME?</v>
      </c>
      <c r="M1126" s="3" t="e">
        <f ca="1">[1]!BexGetData("DP_1","003N8EMH8GTFRIVOG7KG9IQXA","GSON1112080434")</f>
        <v>#NAME?</v>
      </c>
      <c r="N1126" s="8" t="e">
        <f ca="1">[1]!BexGetData("DP_1","003N8EMH8GTFRIVOG7KG9IX8U","GSON1112080434")</f>
        <v>#NAME?</v>
      </c>
      <c r="O1126" s="3" t="e">
        <f ca="1">[1]!BexGetData("DP_1","003N8EMH8GTFRIVOG7KG9J3KE","GSON1112080434")</f>
        <v>#NAME?</v>
      </c>
      <c r="P1126" s="8" t="e">
        <f ca="1">[1]!BexGetData("DP_1","003N8EMH8GTFRIVOG7KG9J9VY","GSON1112080434")</f>
        <v>#NAME?</v>
      </c>
      <c r="Q1126" s="4" t="e">
        <f ca="1">[1]!BexGetData("DP_1","00O2TNJGODT0G5Z4TTKYMM5MT","GSON1112080434")</f>
        <v>#NAME?</v>
      </c>
      <c r="R1126" s="4" t="e">
        <f ca="1">[1]!BexGetData("DP_1","00O2TNJGODT0G5Z4TTKYMMBYD","GSON1112080434")</f>
        <v>#NAME?</v>
      </c>
      <c r="S1126" s="4" t="e">
        <f ca="1">[1]!BexGetData("DP_1","00O2TNJGODT0G5Z4TTKYMMI9X","GSON1112080434")</f>
        <v>#NAME?</v>
      </c>
      <c r="T1126" s="4" t="e">
        <f ca="1">[1]!BexGetData("DP_1","00O2TNJGODT0G5Z4TTKYMMOLH","GSON1112080434")</f>
        <v>#NAME?</v>
      </c>
      <c r="U1126" s="4" t="e">
        <f ca="1">[1]!BexGetData("DP_1","00O2TNJGODT0G5Z4TTKYMMUX1","GSON1112080434")</f>
        <v>#NAME?</v>
      </c>
      <c r="V1126" s="4" t="e">
        <f ca="1">[1]!BexGetData("DP_1","00O2TNJGODT0G5Z4TTKYMN18L","GSON1112080434")</f>
        <v>#NAME?</v>
      </c>
      <c r="W1126" s="4" t="e">
        <f ca="1">[1]!BexGetData("DP_1","00O2TNJGODT0G5Z4TTKYMN7K5","GSON1112080434")</f>
        <v>#NAME?</v>
      </c>
    </row>
    <row r="1127" spans="1:23" x14ac:dyDescent="0.2">
      <c r="A1127" s="16" t="s">
        <v>3358</v>
      </c>
      <c r="B1127" s="7" t="s">
        <v>3359</v>
      </c>
      <c r="C1127" s="3" t="e">
        <f ca="1">[1]!BexGetData("DP_1","003N8EMH8GTFRCSWKMPXRR8GU","GSON1112080440")</f>
        <v>#NAME?</v>
      </c>
      <c r="D1127" s="3" t="e">
        <f ca="1">[1]!BexGetData("DP_1","003N8EMH8GTFRCSWKMPXRRESE","GSON1112080440")</f>
        <v>#NAME?</v>
      </c>
      <c r="E1127" s="8" t="e">
        <f ca="1">[1]!BexGetData("DP_1","003N8EMH8GTFRCSWKMPXRRL3Y","GSON1112080440")</f>
        <v>#NAME?</v>
      </c>
      <c r="F1127" s="4" t="e">
        <f ca="1">[1]!BexGetData("DP_1","003N8EMH8GTFRCSWKMPXRRRFI","GSON1112080440")</f>
        <v>#NAME?</v>
      </c>
      <c r="G1127" s="4" t="e">
        <f ca="1">[1]!BexGetData("DP_1","003N8EMH8GTFRCSWKMPXRRXR2","GSON1112080440")</f>
        <v>#NAME?</v>
      </c>
      <c r="H1127" s="4" t="e">
        <f ca="1">[1]!BexGetData("DP_1","003N8EMH8GTFRCSWKMPXRS42M","GSON1112080440")</f>
        <v>#NAME?</v>
      </c>
      <c r="I1127" s="4" t="e">
        <f ca="1">[1]!BexGetData("DP_1","003N8EMH8GTFRCSWKMPXRSAE6","GSON1112080440")</f>
        <v>#NAME?</v>
      </c>
      <c r="J1127" s="4" t="e">
        <f ca="1">[1]!BexGetData("DP_1","003N8EMH8GTFRCSWKMPXRSGPQ","GSON1112080440")</f>
        <v>#NAME?</v>
      </c>
      <c r="K1127" s="8" t="e">
        <f ca="1">[1]!BexGetData("DP_1","003N8EMH8GTFRIVNUPY288VJH","GSON1112080440")</f>
        <v>#NAME?</v>
      </c>
      <c r="L1127" s="8" t="e">
        <f ca="1">[1]!BexGetData("DP_1","003N8EMH8GTFRIVNUPY2891V1","GSON1112080440")</f>
        <v>#NAME?</v>
      </c>
      <c r="M1127" s="8" t="e">
        <f ca="1">[1]!BexGetData("DP_1","003N8EMH8GTFRIVOG7KG9IQXA","GSON1112080440")</f>
        <v>#NAME?</v>
      </c>
      <c r="N1127" s="8" t="e">
        <f ca="1">[1]!BexGetData("DP_1","003N8EMH8GTFRIVOG7KG9IX8U","GSON1112080440")</f>
        <v>#NAME?</v>
      </c>
      <c r="O1127" s="8" t="e">
        <f ca="1">[1]!BexGetData("DP_1","003N8EMH8GTFRIVOG7KG9J3KE","GSON1112080440")</f>
        <v>#NAME?</v>
      </c>
      <c r="P1127" s="8" t="e">
        <f ca="1">[1]!BexGetData("DP_1","003N8EMH8GTFRIVOG7KG9J9VY","GSON1112080440")</f>
        <v>#NAME?</v>
      </c>
      <c r="Q1127" s="4" t="e">
        <f ca="1">[1]!BexGetData("DP_1","00O2TNJGODT0G5Z4TTKYMM5MT","GSON1112080440")</f>
        <v>#NAME?</v>
      </c>
      <c r="R1127" s="4" t="e">
        <f ca="1">[1]!BexGetData("DP_1","00O2TNJGODT0G5Z4TTKYMMBYD","GSON1112080440")</f>
        <v>#NAME?</v>
      </c>
      <c r="S1127" s="4" t="e">
        <f ca="1">[1]!BexGetData("DP_1","00O2TNJGODT0G5Z4TTKYMMI9X","GSON1112080440")</f>
        <v>#NAME?</v>
      </c>
      <c r="T1127" s="4" t="e">
        <f ca="1">[1]!BexGetData("DP_1","00O2TNJGODT0G5Z4TTKYMMOLH","GSON1112080440")</f>
        <v>#NAME?</v>
      </c>
      <c r="U1127" s="4" t="e">
        <f ca="1">[1]!BexGetData("DP_1","00O2TNJGODT0G5Z4TTKYMMUX1","GSON1112080440")</f>
        <v>#NAME?</v>
      </c>
      <c r="V1127" s="4" t="e">
        <f ca="1">[1]!BexGetData("DP_1","00O2TNJGODT0G5Z4TTKYMN18L","GSON1112080440")</f>
        <v>#NAME?</v>
      </c>
      <c r="W1127" s="4" t="e">
        <f ca="1">[1]!BexGetData("DP_1","00O2TNJGODT0G5Z4TTKYMN7K5","GSON1112080440")</f>
        <v>#NAME?</v>
      </c>
    </row>
    <row r="1128" spans="1:23" x14ac:dyDescent="0.2">
      <c r="A1128" s="16" t="s">
        <v>1090</v>
      </c>
      <c r="B1128" s="7" t="s">
        <v>1091</v>
      </c>
      <c r="C1128" s="3" t="e">
        <f ca="1">[1]!BexGetData("DP_1","003N8EMH8GTFRCSWKMPXRR8GU","GSON1112080441")</f>
        <v>#NAME?</v>
      </c>
      <c r="D1128" s="3" t="e">
        <f ca="1">[1]!BexGetData("DP_1","003N8EMH8GTFRCSWKMPXRRESE","GSON1112080441")</f>
        <v>#NAME?</v>
      </c>
      <c r="E1128" s="3" t="e">
        <f ca="1">[1]!BexGetData("DP_1","003N8EMH8GTFRCSWKMPXRRL3Y","GSON1112080441")</f>
        <v>#NAME?</v>
      </c>
      <c r="F1128" s="4" t="e">
        <f ca="1">[1]!BexGetData("DP_1","003N8EMH8GTFRCSWKMPXRRRFI","GSON1112080441")</f>
        <v>#NAME?</v>
      </c>
      <c r="G1128" s="4" t="e">
        <f ca="1">[1]!BexGetData("DP_1","003N8EMH8GTFRCSWKMPXRRXR2","GSON1112080441")</f>
        <v>#NAME?</v>
      </c>
      <c r="H1128" s="4" t="e">
        <f ca="1">[1]!BexGetData("DP_1","003N8EMH8GTFRCSWKMPXRS42M","GSON1112080441")</f>
        <v>#NAME?</v>
      </c>
      <c r="I1128" s="4" t="e">
        <f ca="1">[1]!BexGetData("DP_1","003N8EMH8GTFRCSWKMPXRSAE6","GSON1112080441")</f>
        <v>#NAME?</v>
      </c>
      <c r="J1128" s="4" t="e">
        <f ca="1">[1]!BexGetData("DP_1","003N8EMH8GTFRCSWKMPXRSGPQ","GSON1112080441")</f>
        <v>#NAME?</v>
      </c>
      <c r="K1128" s="3" t="e">
        <f ca="1">[1]!BexGetData("DP_1","003N8EMH8GTFRIVNUPY288VJH","GSON1112080441")</f>
        <v>#NAME?</v>
      </c>
      <c r="L1128" s="3" t="e">
        <f ca="1">[1]!BexGetData("DP_1","003N8EMH8GTFRIVNUPY2891V1","GSON1112080441")</f>
        <v>#NAME?</v>
      </c>
      <c r="M1128" s="3" t="e">
        <f ca="1">[1]!BexGetData("DP_1","003N8EMH8GTFRIVOG7KG9IQXA","GSON1112080441")</f>
        <v>#NAME?</v>
      </c>
      <c r="N1128" s="8" t="e">
        <f ca="1">[1]!BexGetData("DP_1","003N8EMH8GTFRIVOG7KG9IX8U","GSON1112080441")</f>
        <v>#NAME?</v>
      </c>
      <c r="O1128" s="3" t="e">
        <f ca="1">[1]!BexGetData("DP_1","003N8EMH8GTFRIVOG7KG9J3KE","GSON1112080441")</f>
        <v>#NAME?</v>
      </c>
      <c r="P1128" s="8" t="e">
        <f ca="1">[1]!BexGetData("DP_1","003N8EMH8GTFRIVOG7KG9J9VY","GSON1112080441")</f>
        <v>#NAME?</v>
      </c>
      <c r="Q1128" s="4" t="e">
        <f ca="1">[1]!BexGetData("DP_1","00O2TNJGODT0G5Z4TTKYMM5MT","GSON1112080441")</f>
        <v>#NAME?</v>
      </c>
      <c r="R1128" s="4" t="e">
        <f ca="1">[1]!BexGetData("DP_1","00O2TNJGODT0G5Z4TTKYMMBYD","GSON1112080441")</f>
        <v>#NAME?</v>
      </c>
      <c r="S1128" s="4" t="e">
        <f ca="1">[1]!BexGetData("DP_1","00O2TNJGODT0G5Z4TTKYMMI9X","GSON1112080441")</f>
        <v>#NAME?</v>
      </c>
      <c r="T1128" s="4" t="e">
        <f ca="1">[1]!BexGetData("DP_1","00O2TNJGODT0G5Z4TTKYMMOLH","GSON1112080441")</f>
        <v>#NAME?</v>
      </c>
      <c r="U1128" s="4" t="e">
        <f ca="1">[1]!BexGetData("DP_1","00O2TNJGODT0G5Z4TTKYMMUX1","GSON1112080441")</f>
        <v>#NAME?</v>
      </c>
      <c r="V1128" s="4" t="e">
        <f ca="1">[1]!BexGetData("DP_1","00O2TNJGODT0G5Z4TTKYMN18L","GSON1112080441")</f>
        <v>#NAME?</v>
      </c>
      <c r="W1128" s="4" t="e">
        <f ca="1">[1]!BexGetData("DP_1","00O2TNJGODT0G5Z4TTKYMN7K5","GSON1112080441")</f>
        <v>#NAME?</v>
      </c>
    </row>
    <row r="1129" spans="1:23" x14ac:dyDescent="0.2">
      <c r="A1129" s="16" t="s">
        <v>3360</v>
      </c>
      <c r="B1129" s="7" t="s">
        <v>3361</v>
      </c>
      <c r="C1129" s="3" t="e">
        <f ca="1">[1]!BexGetData("DP_1","003N8EMH8GTFRCSWKMPXRR8GU","GSON1112080443")</f>
        <v>#NAME?</v>
      </c>
      <c r="D1129" s="3" t="e">
        <f ca="1">[1]!BexGetData("DP_1","003N8EMH8GTFRCSWKMPXRRESE","GSON1112080443")</f>
        <v>#NAME?</v>
      </c>
      <c r="E1129" s="8" t="e">
        <f ca="1">[1]!BexGetData("DP_1","003N8EMH8GTFRCSWKMPXRRL3Y","GSON1112080443")</f>
        <v>#NAME?</v>
      </c>
      <c r="F1129" s="4" t="e">
        <f ca="1">[1]!BexGetData("DP_1","003N8EMH8GTFRCSWKMPXRRRFI","GSON1112080443")</f>
        <v>#NAME?</v>
      </c>
      <c r="G1129" s="4" t="e">
        <f ca="1">[1]!BexGetData("DP_1","003N8EMH8GTFRCSWKMPXRRXR2","GSON1112080443")</f>
        <v>#NAME?</v>
      </c>
      <c r="H1129" s="4" t="e">
        <f ca="1">[1]!BexGetData("DP_1","003N8EMH8GTFRCSWKMPXRS42M","GSON1112080443")</f>
        <v>#NAME?</v>
      </c>
      <c r="I1129" s="4" t="e">
        <f ca="1">[1]!BexGetData("DP_1","003N8EMH8GTFRCSWKMPXRSAE6","GSON1112080443")</f>
        <v>#NAME?</v>
      </c>
      <c r="J1129" s="4" t="e">
        <f ca="1">[1]!BexGetData("DP_1","003N8EMH8GTFRCSWKMPXRSGPQ","GSON1112080443")</f>
        <v>#NAME?</v>
      </c>
      <c r="K1129" s="8" t="e">
        <f ca="1">[1]!BexGetData("DP_1","003N8EMH8GTFRIVNUPY288VJH","GSON1112080443")</f>
        <v>#NAME?</v>
      </c>
      <c r="L1129" s="8" t="e">
        <f ca="1">[1]!BexGetData("DP_1","003N8EMH8GTFRIVNUPY2891V1","GSON1112080443")</f>
        <v>#NAME?</v>
      </c>
      <c r="M1129" s="8" t="e">
        <f ca="1">[1]!BexGetData("DP_1","003N8EMH8GTFRIVOG7KG9IQXA","GSON1112080443")</f>
        <v>#NAME?</v>
      </c>
      <c r="N1129" s="8" t="e">
        <f ca="1">[1]!BexGetData("DP_1","003N8EMH8GTFRIVOG7KG9IX8U","GSON1112080443")</f>
        <v>#NAME?</v>
      </c>
      <c r="O1129" s="8" t="e">
        <f ca="1">[1]!BexGetData("DP_1","003N8EMH8GTFRIVOG7KG9J3KE","GSON1112080443")</f>
        <v>#NAME?</v>
      </c>
      <c r="P1129" s="8" t="e">
        <f ca="1">[1]!BexGetData("DP_1","003N8EMH8GTFRIVOG7KG9J9VY","GSON1112080443")</f>
        <v>#NAME?</v>
      </c>
      <c r="Q1129" s="4" t="e">
        <f ca="1">[1]!BexGetData("DP_1","00O2TNJGODT0G5Z4TTKYMM5MT","GSON1112080443")</f>
        <v>#NAME?</v>
      </c>
      <c r="R1129" s="4" t="e">
        <f ca="1">[1]!BexGetData("DP_1","00O2TNJGODT0G5Z4TTKYMMBYD","GSON1112080443")</f>
        <v>#NAME?</v>
      </c>
      <c r="S1129" s="4" t="e">
        <f ca="1">[1]!BexGetData("DP_1","00O2TNJGODT0G5Z4TTKYMMI9X","GSON1112080443")</f>
        <v>#NAME?</v>
      </c>
      <c r="T1129" s="4" t="e">
        <f ca="1">[1]!BexGetData("DP_1","00O2TNJGODT0G5Z4TTKYMMOLH","GSON1112080443")</f>
        <v>#NAME?</v>
      </c>
      <c r="U1129" s="4" t="e">
        <f ca="1">[1]!BexGetData("DP_1","00O2TNJGODT0G5Z4TTKYMMUX1","GSON1112080443")</f>
        <v>#NAME?</v>
      </c>
      <c r="V1129" s="4" t="e">
        <f ca="1">[1]!BexGetData("DP_1","00O2TNJGODT0G5Z4TTKYMN18L","GSON1112080443")</f>
        <v>#NAME?</v>
      </c>
      <c r="W1129" s="4" t="e">
        <f ca="1">[1]!BexGetData("DP_1","00O2TNJGODT0G5Z4TTKYMN7K5","GSON1112080443")</f>
        <v>#NAME?</v>
      </c>
    </row>
    <row r="1130" spans="1:23" x14ac:dyDescent="0.2">
      <c r="A1130" s="16" t="s">
        <v>3362</v>
      </c>
      <c r="B1130" s="7" t="s">
        <v>3363</v>
      </c>
      <c r="C1130" s="3" t="e">
        <f ca="1">[1]!BexGetData("DP_1","003N8EMH8GTFRCSWKMPXRR8GU","GSON1112080444")</f>
        <v>#NAME?</v>
      </c>
      <c r="D1130" s="3" t="e">
        <f ca="1">[1]!BexGetData("DP_1","003N8EMH8GTFRCSWKMPXRRESE","GSON1112080444")</f>
        <v>#NAME?</v>
      </c>
      <c r="E1130" s="3" t="e">
        <f ca="1">[1]!BexGetData("DP_1","003N8EMH8GTFRCSWKMPXRRL3Y","GSON1112080444")</f>
        <v>#NAME?</v>
      </c>
      <c r="F1130" s="4" t="e">
        <f ca="1">[1]!BexGetData("DP_1","003N8EMH8GTFRCSWKMPXRRRFI","GSON1112080444")</f>
        <v>#NAME?</v>
      </c>
      <c r="G1130" s="4" t="e">
        <f ca="1">[1]!BexGetData("DP_1","003N8EMH8GTFRCSWKMPXRRXR2","GSON1112080444")</f>
        <v>#NAME?</v>
      </c>
      <c r="H1130" s="4" t="e">
        <f ca="1">[1]!BexGetData("DP_1","003N8EMH8GTFRCSWKMPXRS42M","GSON1112080444")</f>
        <v>#NAME?</v>
      </c>
      <c r="I1130" s="4" t="e">
        <f ca="1">[1]!BexGetData("DP_1","003N8EMH8GTFRCSWKMPXRSAE6","GSON1112080444")</f>
        <v>#NAME?</v>
      </c>
      <c r="J1130" s="4" t="e">
        <f ca="1">[1]!BexGetData("DP_1","003N8EMH8GTFRCSWKMPXRSGPQ","GSON1112080444")</f>
        <v>#NAME?</v>
      </c>
      <c r="K1130" s="3" t="e">
        <f ca="1">[1]!BexGetData("DP_1","003N8EMH8GTFRIVNUPY288VJH","GSON1112080444")</f>
        <v>#NAME?</v>
      </c>
      <c r="L1130" s="3" t="e">
        <f ca="1">[1]!BexGetData("DP_1","003N8EMH8GTFRIVNUPY2891V1","GSON1112080444")</f>
        <v>#NAME?</v>
      </c>
      <c r="M1130" s="3" t="e">
        <f ca="1">[1]!BexGetData("DP_1","003N8EMH8GTFRIVOG7KG9IQXA","GSON1112080444")</f>
        <v>#NAME?</v>
      </c>
      <c r="N1130" s="8" t="e">
        <f ca="1">[1]!BexGetData("DP_1","003N8EMH8GTFRIVOG7KG9IX8U","GSON1112080444")</f>
        <v>#NAME?</v>
      </c>
      <c r="O1130" s="3" t="e">
        <f ca="1">[1]!BexGetData("DP_1","003N8EMH8GTFRIVOG7KG9J3KE","GSON1112080444")</f>
        <v>#NAME?</v>
      </c>
      <c r="P1130" s="8" t="e">
        <f ca="1">[1]!BexGetData("DP_1","003N8EMH8GTFRIVOG7KG9J9VY","GSON1112080444")</f>
        <v>#NAME?</v>
      </c>
      <c r="Q1130" s="4" t="e">
        <f ca="1">[1]!BexGetData("DP_1","00O2TNJGODT0G5Z4TTKYMM5MT","GSON1112080444")</f>
        <v>#NAME?</v>
      </c>
      <c r="R1130" s="4" t="e">
        <f ca="1">[1]!BexGetData("DP_1","00O2TNJGODT0G5Z4TTKYMMBYD","GSON1112080444")</f>
        <v>#NAME?</v>
      </c>
      <c r="S1130" s="4" t="e">
        <f ca="1">[1]!BexGetData("DP_1","00O2TNJGODT0G5Z4TTKYMMI9X","GSON1112080444")</f>
        <v>#NAME?</v>
      </c>
      <c r="T1130" s="4" t="e">
        <f ca="1">[1]!BexGetData("DP_1","00O2TNJGODT0G5Z4TTKYMMOLH","GSON1112080444")</f>
        <v>#NAME?</v>
      </c>
      <c r="U1130" s="4" t="e">
        <f ca="1">[1]!BexGetData("DP_1","00O2TNJGODT0G5Z4TTKYMMUX1","GSON1112080444")</f>
        <v>#NAME?</v>
      </c>
      <c r="V1130" s="4" t="e">
        <f ca="1">[1]!BexGetData("DP_1","00O2TNJGODT0G5Z4TTKYMN18L","GSON1112080444")</f>
        <v>#NAME?</v>
      </c>
      <c r="W1130" s="4" t="e">
        <f ca="1">[1]!BexGetData("DP_1","00O2TNJGODT0G5Z4TTKYMN7K5","GSON1112080444")</f>
        <v>#NAME?</v>
      </c>
    </row>
    <row r="1131" spans="1:23" x14ac:dyDescent="0.2">
      <c r="A1131" s="16" t="s">
        <v>3364</v>
      </c>
      <c r="B1131" s="7" t="s">
        <v>3365</v>
      </c>
      <c r="C1131" s="3" t="e">
        <f ca="1">[1]!BexGetData("DP_1","003N8EMH8GTFRCSWKMPXRR8GU","GSON1112080460")</f>
        <v>#NAME?</v>
      </c>
      <c r="D1131" s="3" t="e">
        <f ca="1">[1]!BexGetData("DP_1","003N8EMH8GTFRCSWKMPXRRESE","GSON1112080460")</f>
        <v>#NAME?</v>
      </c>
      <c r="E1131" s="3" t="e">
        <f ca="1">[1]!BexGetData("DP_1","003N8EMH8GTFRCSWKMPXRRL3Y","GSON1112080460")</f>
        <v>#NAME?</v>
      </c>
      <c r="F1131" s="3" t="e">
        <f ca="1">[1]!BexGetData("DP_1","003N8EMH8GTFRCSWKMPXRRRFI","GSON1112080460")</f>
        <v>#NAME?</v>
      </c>
      <c r="G1131" s="3" t="e">
        <f ca="1">[1]!BexGetData("DP_1","003N8EMH8GTFRCSWKMPXRRXR2","GSON1112080460")</f>
        <v>#NAME?</v>
      </c>
      <c r="H1131" s="8" t="e">
        <f ca="1">[1]!BexGetData("DP_1","003N8EMH8GTFRCSWKMPXRS42M","GSON1112080460")</f>
        <v>#NAME?</v>
      </c>
      <c r="I1131" s="3" t="e">
        <f ca="1">[1]!BexGetData("DP_1","003N8EMH8GTFRCSWKMPXRSAE6","GSON1112080460")</f>
        <v>#NAME?</v>
      </c>
      <c r="J1131" s="4" t="e">
        <f ca="1">[1]!BexGetData("DP_1","003N8EMH8GTFRCSWKMPXRSGPQ","GSON1112080460")</f>
        <v>#NAME?</v>
      </c>
      <c r="K1131" s="3" t="e">
        <f ca="1">[1]!BexGetData("DP_1","003N8EMH8GTFRIVNUPY288VJH","GSON1112080460")</f>
        <v>#NAME?</v>
      </c>
      <c r="L1131" s="3" t="e">
        <f ca="1">[1]!BexGetData("DP_1","003N8EMH8GTFRIVNUPY2891V1","GSON1112080460")</f>
        <v>#NAME?</v>
      </c>
      <c r="M1131" s="3" t="e">
        <f ca="1">[1]!BexGetData("DP_1","003N8EMH8GTFRIVOG7KG9IQXA","GSON1112080460")</f>
        <v>#NAME?</v>
      </c>
      <c r="N1131" s="8" t="e">
        <f ca="1">[1]!BexGetData("DP_1","003N8EMH8GTFRIVOG7KG9IX8U","GSON1112080460")</f>
        <v>#NAME?</v>
      </c>
      <c r="O1131" s="3" t="e">
        <f ca="1">[1]!BexGetData("DP_1","003N8EMH8GTFRIVOG7KG9J3KE","GSON1112080460")</f>
        <v>#NAME?</v>
      </c>
      <c r="P1131" s="8" t="e">
        <f ca="1">[1]!BexGetData("DP_1","003N8EMH8GTFRIVOG7KG9J9VY","GSON1112080460")</f>
        <v>#NAME?</v>
      </c>
      <c r="Q1131" s="4" t="e">
        <f ca="1">[1]!BexGetData("DP_1","00O2TNJGODT0G5Z4TTKYMM5MT","GSON1112080460")</f>
        <v>#NAME?</v>
      </c>
      <c r="R1131" s="3" t="e">
        <f ca="1">[1]!BexGetData("DP_1","00O2TNJGODT0G5Z4TTKYMMBYD","GSON1112080460")</f>
        <v>#NAME?</v>
      </c>
      <c r="S1131" s="3" t="e">
        <f ca="1">[1]!BexGetData("DP_1","00O2TNJGODT0G5Z4TTKYMMI9X","GSON1112080460")</f>
        <v>#NAME?</v>
      </c>
      <c r="T1131" s="8" t="e">
        <f ca="1">[1]!BexGetData("DP_1","00O2TNJGODT0G5Z4TTKYMMOLH","GSON1112080460")</f>
        <v>#NAME?</v>
      </c>
      <c r="U1131" s="3" t="e">
        <f ca="1">[1]!BexGetData("DP_1","00O2TNJGODT0G5Z4TTKYMMUX1","GSON1112080460")</f>
        <v>#NAME?</v>
      </c>
      <c r="V1131" s="8" t="e">
        <f ca="1">[1]!BexGetData("DP_1","00O2TNJGODT0G5Z4TTKYMN18L","GSON1112080460")</f>
        <v>#NAME?</v>
      </c>
      <c r="W1131" s="3" t="e">
        <f ca="1">[1]!BexGetData("DP_1","00O2TNJGODT0G5Z4TTKYMN7K5","GSON1112080460")</f>
        <v>#NAME?</v>
      </c>
    </row>
    <row r="1132" spans="1:23" x14ac:dyDescent="0.2">
      <c r="A1132" s="16" t="s">
        <v>3366</v>
      </c>
      <c r="B1132" s="7" t="s">
        <v>3367</v>
      </c>
      <c r="C1132" s="3" t="e">
        <f ca="1">[1]!BexGetData("DP_1","003N8EMH8GTFRCSWKMPXRR8GU","GSON1112080461")</f>
        <v>#NAME?</v>
      </c>
      <c r="D1132" s="3" t="e">
        <f ca="1">[1]!BexGetData("DP_1","003N8EMH8GTFRCSWKMPXRRESE","GSON1112080461")</f>
        <v>#NAME?</v>
      </c>
      <c r="E1132" s="8" t="e">
        <f ca="1">[1]!BexGetData("DP_1","003N8EMH8GTFRCSWKMPXRRL3Y","GSON1112080461")</f>
        <v>#NAME?</v>
      </c>
      <c r="F1132" s="4" t="e">
        <f ca="1">[1]!BexGetData("DP_1","003N8EMH8GTFRCSWKMPXRRRFI","GSON1112080461")</f>
        <v>#NAME?</v>
      </c>
      <c r="G1132" s="4" t="e">
        <f ca="1">[1]!BexGetData("DP_1","003N8EMH8GTFRCSWKMPXRRXR2","GSON1112080461")</f>
        <v>#NAME?</v>
      </c>
      <c r="H1132" s="4" t="e">
        <f ca="1">[1]!BexGetData("DP_1","003N8EMH8GTFRCSWKMPXRS42M","GSON1112080461")</f>
        <v>#NAME?</v>
      </c>
      <c r="I1132" s="4" t="e">
        <f ca="1">[1]!BexGetData("DP_1","003N8EMH8GTFRCSWKMPXRSAE6","GSON1112080461")</f>
        <v>#NAME?</v>
      </c>
      <c r="J1132" s="4" t="e">
        <f ca="1">[1]!BexGetData("DP_1","003N8EMH8GTFRCSWKMPXRSGPQ","GSON1112080461")</f>
        <v>#NAME?</v>
      </c>
      <c r="K1132" s="8" t="e">
        <f ca="1">[1]!BexGetData("DP_1","003N8EMH8GTFRIVNUPY288VJH","GSON1112080461")</f>
        <v>#NAME?</v>
      </c>
      <c r="L1132" s="8" t="e">
        <f ca="1">[1]!BexGetData("DP_1","003N8EMH8GTFRIVNUPY2891V1","GSON1112080461")</f>
        <v>#NAME?</v>
      </c>
      <c r="M1132" s="8" t="e">
        <f ca="1">[1]!BexGetData("DP_1","003N8EMH8GTFRIVOG7KG9IQXA","GSON1112080461")</f>
        <v>#NAME?</v>
      </c>
      <c r="N1132" s="8" t="e">
        <f ca="1">[1]!BexGetData("DP_1","003N8EMH8GTFRIVOG7KG9IX8U","GSON1112080461")</f>
        <v>#NAME?</v>
      </c>
      <c r="O1132" s="8" t="e">
        <f ca="1">[1]!BexGetData("DP_1","003N8EMH8GTFRIVOG7KG9J3KE","GSON1112080461")</f>
        <v>#NAME?</v>
      </c>
      <c r="P1132" s="8" t="e">
        <f ca="1">[1]!BexGetData("DP_1","003N8EMH8GTFRIVOG7KG9J9VY","GSON1112080461")</f>
        <v>#NAME?</v>
      </c>
      <c r="Q1132" s="4" t="e">
        <f ca="1">[1]!BexGetData("DP_1","00O2TNJGODT0G5Z4TTKYMM5MT","GSON1112080461")</f>
        <v>#NAME?</v>
      </c>
      <c r="R1132" s="4" t="e">
        <f ca="1">[1]!BexGetData("DP_1","00O2TNJGODT0G5Z4TTKYMMBYD","GSON1112080461")</f>
        <v>#NAME?</v>
      </c>
      <c r="S1132" s="4" t="e">
        <f ca="1">[1]!BexGetData("DP_1","00O2TNJGODT0G5Z4TTKYMMI9X","GSON1112080461")</f>
        <v>#NAME?</v>
      </c>
      <c r="T1132" s="4" t="e">
        <f ca="1">[1]!BexGetData("DP_1","00O2TNJGODT0G5Z4TTKYMMOLH","GSON1112080461")</f>
        <v>#NAME?</v>
      </c>
      <c r="U1132" s="4" t="e">
        <f ca="1">[1]!BexGetData("DP_1","00O2TNJGODT0G5Z4TTKYMMUX1","GSON1112080461")</f>
        <v>#NAME?</v>
      </c>
      <c r="V1132" s="4" t="e">
        <f ca="1">[1]!BexGetData("DP_1","00O2TNJGODT0G5Z4TTKYMN18L","GSON1112080461")</f>
        <v>#NAME?</v>
      </c>
      <c r="W1132" s="4" t="e">
        <f ca="1">[1]!BexGetData("DP_1","00O2TNJGODT0G5Z4TTKYMN7K5","GSON1112080461")</f>
        <v>#NAME?</v>
      </c>
    </row>
    <row r="1133" spans="1:23" x14ac:dyDescent="0.2">
      <c r="A1133" s="16" t="s">
        <v>3368</v>
      </c>
      <c r="B1133" s="7" t="s">
        <v>3369</v>
      </c>
      <c r="C1133" s="3" t="e">
        <f ca="1">[1]!BexGetData("DP_1","003N8EMH8GTFRCSWKMPXRR8GU","GSON1112080465")</f>
        <v>#NAME?</v>
      </c>
      <c r="D1133" s="3" t="e">
        <f ca="1">[1]!BexGetData("DP_1","003N8EMH8GTFRCSWKMPXRRESE","GSON1112080465")</f>
        <v>#NAME?</v>
      </c>
      <c r="E1133" s="8" t="e">
        <f ca="1">[1]!BexGetData("DP_1","003N8EMH8GTFRCSWKMPXRRL3Y","GSON1112080465")</f>
        <v>#NAME?</v>
      </c>
      <c r="F1133" s="4" t="e">
        <f ca="1">[1]!BexGetData("DP_1","003N8EMH8GTFRCSWKMPXRRRFI","GSON1112080465")</f>
        <v>#NAME?</v>
      </c>
      <c r="G1133" s="4" t="e">
        <f ca="1">[1]!BexGetData("DP_1","003N8EMH8GTFRCSWKMPXRRXR2","GSON1112080465")</f>
        <v>#NAME?</v>
      </c>
      <c r="H1133" s="4" t="e">
        <f ca="1">[1]!BexGetData("DP_1","003N8EMH8GTFRCSWKMPXRS42M","GSON1112080465")</f>
        <v>#NAME?</v>
      </c>
      <c r="I1133" s="4" t="e">
        <f ca="1">[1]!BexGetData("DP_1","003N8EMH8GTFRCSWKMPXRSAE6","GSON1112080465")</f>
        <v>#NAME?</v>
      </c>
      <c r="J1133" s="4" t="e">
        <f ca="1">[1]!BexGetData("DP_1","003N8EMH8GTFRCSWKMPXRSGPQ","GSON1112080465")</f>
        <v>#NAME?</v>
      </c>
      <c r="K1133" s="8" t="e">
        <f ca="1">[1]!BexGetData("DP_1","003N8EMH8GTFRIVNUPY288VJH","GSON1112080465")</f>
        <v>#NAME?</v>
      </c>
      <c r="L1133" s="8" t="e">
        <f ca="1">[1]!BexGetData("DP_1","003N8EMH8GTFRIVNUPY2891V1","GSON1112080465")</f>
        <v>#NAME?</v>
      </c>
      <c r="M1133" s="8" t="e">
        <f ca="1">[1]!BexGetData("DP_1","003N8EMH8GTFRIVOG7KG9IQXA","GSON1112080465")</f>
        <v>#NAME?</v>
      </c>
      <c r="N1133" s="8" t="e">
        <f ca="1">[1]!BexGetData("DP_1","003N8EMH8GTFRIVOG7KG9IX8U","GSON1112080465")</f>
        <v>#NAME?</v>
      </c>
      <c r="O1133" s="8" t="e">
        <f ca="1">[1]!BexGetData("DP_1","003N8EMH8GTFRIVOG7KG9J3KE","GSON1112080465")</f>
        <v>#NAME?</v>
      </c>
      <c r="P1133" s="8" t="e">
        <f ca="1">[1]!BexGetData("DP_1","003N8EMH8GTFRIVOG7KG9J9VY","GSON1112080465")</f>
        <v>#NAME?</v>
      </c>
      <c r="Q1133" s="4" t="e">
        <f ca="1">[1]!BexGetData("DP_1","00O2TNJGODT0G5Z4TTKYMM5MT","GSON1112080465")</f>
        <v>#NAME?</v>
      </c>
      <c r="R1133" s="4" t="e">
        <f ca="1">[1]!BexGetData("DP_1","00O2TNJGODT0G5Z4TTKYMMBYD","GSON1112080465")</f>
        <v>#NAME?</v>
      </c>
      <c r="S1133" s="4" t="e">
        <f ca="1">[1]!BexGetData("DP_1","00O2TNJGODT0G5Z4TTKYMMI9X","GSON1112080465")</f>
        <v>#NAME?</v>
      </c>
      <c r="T1133" s="4" t="e">
        <f ca="1">[1]!BexGetData("DP_1","00O2TNJGODT0G5Z4TTKYMMOLH","GSON1112080465")</f>
        <v>#NAME?</v>
      </c>
      <c r="U1133" s="4" t="e">
        <f ca="1">[1]!BexGetData("DP_1","00O2TNJGODT0G5Z4TTKYMMUX1","GSON1112080465")</f>
        <v>#NAME?</v>
      </c>
      <c r="V1133" s="4" t="e">
        <f ca="1">[1]!BexGetData("DP_1","00O2TNJGODT0G5Z4TTKYMN18L","GSON1112080465")</f>
        <v>#NAME?</v>
      </c>
      <c r="W1133" s="4" t="e">
        <f ca="1">[1]!BexGetData("DP_1","00O2TNJGODT0G5Z4TTKYMN7K5","GSON1112080465")</f>
        <v>#NAME?</v>
      </c>
    </row>
    <row r="1134" spans="1:23" x14ac:dyDescent="0.2">
      <c r="A1134" s="16" t="s">
        <v>3370</v>
      </c>
      <c r="B1134" s="7" t="s">
        <v>3371</v>
      </c>
      <c r="C1134" s="3" t="e">
        <f ca="1">[1]!BexGetData("DP_1","003N8EMH8GTFRCSWKMPXRR8GU","GSON1112090030")</f>
        <v>#NAME?</v>
      </c>
      <c r="D1134" s="3" t="e">
        <f ca="1">[1]!BexGetData("DP_1","003N8EMH8GTFRCSWKMPXRRESE","GSON1112090030")</f>
        <v>#NAME?</v>
      </c>
      <c r="E1134" s="3" t="e">
        <f ca="1">[1]!BexGetData("DP_1","003N8EMH8GTFRCSWKMPXRRL3Y","GSON1112090030")</f>
        <v>#NAME?</v>
      </c>
      <c r="F1134" s="3" t="e">
        <f ca="1">[1]!BexGetData("DP_1","003N8EMH8GTFRCSWKMPXRRRFI","GSON1112090030")</f>
        <v>#NAME?</v>
      </c>
      <c r="G1134" s="3" t="e">
        <f ca="1">[1]!BexGetData("DP_1","003N8EMH8GTFRCSWKMPXRRXR2","GSON1112090030")</f>
        <v>#NAME?</v>
      </c>
      <c r="H1134" s="8" t="e">
        <f ca="1">[1]!BexGetData("DP_1","003N8EMH8GTFRCSWKMPXRS42M","GSON1112090030")</f>
        <v>#NAME?</v>
      </c>
      <c r="I1134" s="3" t="e">
        <f ca="1">[1]!BexGetData("DP_1","003N8EMH8GTFRCSWKMPXRSAE6","GSON1112090030")</f>
        <v>#NAME?</v>
      </c>
      <c r="J1134" s="4" t="e">
        <f ca="1">[1]!BexGetData("DP_1","003N8EMH8GTFRCSWKMPXRSGPQ","GSON1112090030")</f>
        <v>#NAME?</v>
      </c>
      <c r="K1134" s="3" t="e">
        <f ca="1">[1]!BexGetData("DP_1","003N8EMH8GTFRIVNUPY288VJH","GSON1112090030")</f>
        <v>#NAME?</v>
      </c>
      <c r="L1134" s="3" t="e">
        <f ca="1">[1]!BexGetData("DP_1","003N8EMH8GTFRIVNUPY2891V1","GSON1112090030")</f>
        <v>#NAME?</v>
      </c>
      <c r="M1134" s="8" t="e">
        <f ca="1">[1]!BexGetData("DP_1","003N8EMH8GTFRIVOG7KG9IQXA","GSON1112090030")</f>
        <v>#NAME?</v>
      </c>
      <c r="N1134" s="3" t="e">
        <f ca="1">[1]!BexGetData("DP_1","003N8EMH8GTFRIVOG7KG9IX8U","GSON1112090030")</f>
        <v>#NAME?</v>
      </c>
      <c r="O1134" s="8" t="e">
        <f ca="1">[1]!BexGetData("DP_1","003N8EMH8GTFRIVOG7KG9J3KE","GSON1112090030")</f>
        <v>#NAME?</v>
      </c>
      <c r="P1134" s="3" t="e">
        <f ca="1">[1]!BexGetData("DP_1","003N8EMH8GTFRIVOG7KG9J9VY","GSON1112090030")</f>
        <v>#NAME?</v>
      </c>
      <c r="Q1134" s="4" t="e">
        <f ca="1">[1]!BexGetData("DP_1","00O2TNJGODT0G5Z4TTKYMM5MT","GSON1112090030")</f>
        <v>#NAME?</v>
      </c>
      <c r="R1134" s="3" t="e">
        <f ca="1">[1]!BexGetData("DP_1","00O2TNJGODT0G5Z4TTKYMMBYD","GSON1112090030")</f>
        <v>#NAME?</v>
      </c>
      <c r="S1134" s="3" t="e">
        <f ca="1">[1]!BexGetData("DP_1","00O2TNJGODT0G5Z4TTKYMMI9X","GSON1112090030")</f>
        <v>#NAME?</v>
      </c>
      <c r="T1134" s="8" t="e">
        <f ca="1">[1]!BexGetData("DP_1","00O2TNJGODT0G5Z4TTKYMMOLH","GSON1112090030")</f>
        <v>#NAME?</v>
      </c>
      <c r="U1134" s="3" t="e">
        <f ca="1">[1]!BexGetData("DP_1","00O2TNJGODT0G5Z4TTKYMMUX1","GSON1112090030")</f>
        <v>#NAME?</v>
      </c>
      <c r="V1134" s="8" t="e">
        <f ca="1">[1]!BexGetData("DP_1","00O2TNJGODT0G5Z4TTKYMN18L","GSON1112090030")</f>
        <v>#NAME?</v>
      </c>
      <c r="W1134" s="3" t="e">
        <f ca="1">[1]!BexGetData("DP_1","00O2TNJGODT0G5Z4TTKYMN7K5","GSON1112090030")</f>
        <v>#NAME?</v>
      </c>
    </row>
    <row r="1135" spans="1:23" x14ac:dyDescent="0.2">
      <c r="A1135" s="16" t="s">
        <v>3372</v>
      </c>
      <c r="B1135" s="7" t="s">
        <v>3373</v>
      </c>
      <c r="C1135" s="3" t="e">
        <f ca="1">[1]!BexGetData("DP_1","003N8EMH8GTFRCSWKMPXRR8GU","GSON1112090035")</f>
        <v>#NAME?</v>
      </c>
      <c r="D1135" s="3" t="e">
        <f ca="1">[1]!BexGetData("DP_1","003N8EMH8GTFRCSWKMPXRRESE","GSON1112090035")</f>
        <v>#NAME?</v>
      </c>
      <c r="E1135" s="8" t="e">
        <f ca="1">[1]!BexGetData("DP_1","003N8EMH8GTFRCSWKMPXRRL3Y","GSON1112090035")</f>
        <v>#NAME?</v>
      </c>
      <c r="F1135" s="4" t="e">
        <f ca="1">[1]!BexGetData("DP_1","003N8EMH8GTFRCSWKMPXRRRFI","GSON1112090035")</f>
        <v>#NAME?</v>
      </c>
      <c r="G1135" s="4" t="e">
        <f ca="1">[1]!BexGetData("DP_1","003N8EMH8GTFRCSWKMPXRRXR2","GSON1112090035")</f>
        <v>#NAME?</v>
      </c>
      <c r="H1135" s="4" t="e">
        <f ca="1">[1]!BexGetData("DP_1","003N8EMH8GTFRCSWKMPXRS42M","GSON1112090035")</f>
        <v>#NAME?</v>
      </c>
      <c r="I1135" s="4" t="e">
        <f ca="1">[1]!BexGetData("DP_1","003N8EMH8GTFRCSWKMPXRSAE6","GSON1112090035")</f>
        <v>#NAME?</v>
      </c>
      <c r="J1135" s="4" t="e">
        <f ca="1">[1]!BexGetData("DP_1","003N8EMH8GTFRCSWKMPXRSGPQ","GSON1112090035")</f>
        <v>#NAME?</v>
      </c>
      <c r="K1135" s="8" t="e">
        <f ca="1">[1]!BexGetData("DP_1","003N8EMH8GTFRIVNUPY288VJH","GSON1112090035")</f>
        <v>#NAME?</v>
      </c>
      <c r="L1135" s="8" t="e">
        <f ca="1">[1]!BexGetData("DP_1","003N8EMH8GTFRIVNUPY2891V1","GSON1112090035")</f>
        <v>#NAME?</v>
      </c>
      <c r="M1135" s="8" t="e">
        <f ca="1">[1]!BexGetData("DP_1","003N8EMH8GTFRIVOG7KG9IQXA","GSON1112090035")</f>
        <v>#NAME?</v>
      </c>
      <c r="N1135" s="8" t="e">
        <f ca="1">[1]!BexGetData("DP_1","003N8EMH8GTFRIVOG7KG9IX8U","GSON1112090035")</f>
        <v>#NAME?</v>
      </c>
      <c r="O1135" s="8" t="e">
        <f ca="1">[1]!BexGetData("DP_1","003N8EMH8GTFRIVOG7KG9J3KE","GSON1112090035")</f>
        <v>#NAME?</v>
      </c>
      <c r="P1135" s="8" t="e">
        <f ca="1">[1]!BexGetData("DP_1","003N8EMH8GTFRIVOG7KG9J9VY","GSON1112090035")</f>
        <v>#NAME?</v>
      </c>
      <c r="Q1135" s="4" t="e">
        <f ca="1">[1]!BexGetData("DP_1","00O2TNJGODT0G5Z4TTKYMM5MT","GSON1112090035")</f>
        <v>#NAME?</v>
      </c>
      <c r="R1135" s="4" t="e">
        <f ca="1">[1]!BexGetData("DP_1","00O2TNJGODT0G5Z4TTKYMMBYD","GSON1112090035")</f>
        <v>#NAME?</v>
      </c>
      <c r="S1135" s="4" t="e">
        <f ca="1">[1]!BexGetData("DP_1","00O2TNJGODT0G5Z4TTKYMMI9X","GSON1112090035")</f>
        <v>#NAME?</v>
      </c>
      <c r="T1135" s="4" t="e">
        <f ca="1">[1]!BexGetData("DP_1","00O2TNJGODT0G5Z4TTKYMMOLH","GSON1112090035")</f>
        <v>#NAME?</v>
      </c>
      <c r="U1135" s="4" t="e">
        <f ca="1">[1]!BexGetData("DP_1","00O2TNJGODT0G5Z4TTKYMMUX1","GSON1112090035")</f>
        <v>#NAME?</v>
      </c>
      <c r="V1135" s="4" t="e">
        <f ca="1">[1]!BexGetData("DP_1","00O2TNJGODT0G5Z4TTKYMN18L","GSON1112090035")</f>
        <v>#NAME?</v>
      </c>
      <c r="W1135" s="4" t="e">
        <f ca="1">[1]!BexGetData("DP_1","00O2TNJGODT0G5Z4TTKYMN7K5","GSON1112090035")</f>
        <v>#NAME?</v>
      </c>
    </row>
    <row r="1136" spans="1:23" x14ac:dyDescent="0.2">
      <c r="A1136" s="16" t="s">
        <v>3374</v>
      </c>
      <c r="B1136" s="7" t="s">
        <v>3375</v>
      </c>
      <c r="C1136" s="3" t="e">
        <f ca="1">[1]!BexGetData("DP_1","003N8EMH8GTFRCSWKMPXRR8GU","GSON1112100010")</f>
        <v>#NAME?</v>
      </c>
      <c r="D1136" s="3" t="e">
        <f ca="1">[1]!BexGetData("DP_1","003N8EMH8GTFRCSWKMPXRRESE","GSON1112100010")</f>
        <v>#NAME?</v>
      </c>
      <c r="E1136" s="3" t="e">
        <f ca="1">[1]!BexGetData("DP_1","003N8EMH8GTFRCSWKMPXRRL3Y","GSON1112100010")</f>
        <v>#NAME?</v>
      </c>
      <c r="F1136" s="3" t="e">
        <f ca="1">[1]!BexGetData("DP_1","003N8EMH8GTFRCSWKMPXRRRFI","GSON1112100010")</f>
        <v>#NAME?</v>
      </c>
      <c r="G1136" s="3" t="e">
        <f ca="1">[1]!BexGetData("DP_1","003N8EMH8GTFRCSWKMPXRRXR2","GSON1112100010")</f>
        <v>#NAME?</v>
      </c>
      <c r="H1136" s="8" t="e">
        <f ca="1">[1]!BexGetData("DP_1","003N8EMH8GTFRCSWKMPXRS42M","GSON1112100010")</f>
        <v>#NAME?</v>
      </c>
      <c r="I1136" s="3" t="e">
        <f ca="1">[1]!BexGetData("DP_1","003N8EMH8GTFRCSWKMPXRSAE6","GSON1112100010")</f>
        <v>#NAME?</v>
      </c>
      <c r="J1136" s="4" t="e">
        <f ca="1">[1]!BexGetData("DP_1","003N8EMH8GTFRCSWKMPXRSGPQ","GSON1112100010")</f>
        <v>#NAME?</v>
      </c>
      <c r="K1136" s="3" t="e">
        <f ca="1">[1]!BexGetData("DP_1","003N8EMH8GTFRIVNUPY288VJH","GSON1112100010")</f>
        <v>#NAME?</v>
      </c>
      <c r="L1136" s="3" t="e">
        <f ca="1">[1]!BexGetData("DP_1","003N8EMH8GTFRIVNUPY2891V1","GSON1112100010")</f>
        <v>#NAME?</v>
      </c>
      <c r="M1136" s="8" t="e">
        <f ca="1">[1]!BexGetData("DP_1","003N8EMH8GTFRIVOG7KG9IQXA","GSON1112100010")</f>
        <v>#NAME?</v>
      </c>
      <c r="N1136" s="3" t="e">
        <f ca="1">[1]!BexGetData("DP_1","003N8EMH8GTFRIVOG7KG9IX8U","GSON1112100010")</f>
        <v>#NAME?</v>
      </c>
      <c r="O1136" s="8" t="e">
        <f ca="1">[1]!BexGetData("DP_1","003N8EMH8GTFRIVOG7KG9J3KE","GSON1112100010")</f>
        <v>#NAME?</v>
      </c>
      <c r="P1136" s="3" t="e">
        <f ca="1">[1]!BexGetData("DP_1","003N8EMH8GTFRIVOG7KG9J9VY","GSON1112100010")</f>
        <v>#NAME?</v>
      </c>
      <c r="Q1136" s="4" t="e">
        <f ca="1">[1]!BexGetData("DP_1","00O2TNJGODT0G5Z4TTKYMM5MT","GSON1112100010")</f>
        <v>#NAME?</v>
      </c>
      <c r="R1136" s="3" t="e">
        <f ca="1">[1]!BexGetData("DP_1","00O2TNJGODT0G5Z4TTKYMMBYD","GSON1112100010")</f>
        <v>#NAME?</v>
      </c>
      <c r="S1136" s="3" t="e">
        <f ca="1">[1]!BexGetData("DP_1","00O2TNJGODT0G5Z4TTKYMMI9X","GSON1112100010")</f>
        <v>#NAME?</v>
      </c>
      <c r="T1136" s="8" t="e">
        <f ca="1">[1]!BexGetData("DP_1","00O2TNJGODT0G5Z4TTKYMMOLH","GSON1112100010")</f>
        <v>#NAME?</v>
      </c>
      <c r="U1136" s="3" t="e">
        <f ca="1">[1]!BexGetData("DP_1","00O2TNJGODT0G5Z4TTKYMMUX1","GSON1112100010")</f>
        <v>#NAME?</v>
      </c>
      <c r="V1136" s="8" t="e">
        <f ca="1">[1]!BexGetData("DP_1","00O2TNJGODT0G5Z4TTKYMN18L","GSON1112100010")</f>
        <v>#NAME?</v>
      </c>
      <c r="W1136" s="3" t="e">
        <f ca="1">[1]!BexGetData("DP_1","00O2TNJGODT0G5Z4TTKYMN7K5","GSON1112100010")</f>
        <v>#NAME?</v>
      </c>
    </row>
    <row r="1137" spans="1:23" x14ac:dyDescent="0.2">
      <c r="A1137" s="16" t="s">
        <v>3376</v>
      </c>
      <c r="B1137" s="7" t="s">
        <v>3377</v>
      </c>
      <c r="C1137" s="3" t="e">
        <f ca="1">[1]!BexGetData("DP_1","003N8EMH8GTFRCSWKMPXRR8GU","GSON1112100011")</f>
        <v>#NAME?</v>
      </c>
      <c r="D1137" s="3" t="e">
        <f ca="1">[1]!BexGetData("DP_1","003N8EMH8GTFRCSWKMPXRRESE","GSON1112100011")</f>
        <v>#NAME?</v>
      </c>
      <c r="E1137" s="8" t="e">
        <f ca="1">[1]!BexGetData("DP_1","003N8EMH8GTFRCSWKMPXRRL3Y","GSON1112100011")</f>
        <v>#NAME?</v>
      </c>
      <c r="F1137" s="4" t="e">
        <f ca="1">[1]!BexGetData("DP_1","003N8EMH8GTFRCSWKMPXRRRFI","GSON1112100011")</f>
        <v>#NAME?</v>
      </c>
      <c r="G1137" s="4" t="e">
        <f ca="1">[1]!BexGetData("DP_1","003N8EMH8GTFRCSWKMPXRRXR2","GSON1112100011")</f>
        <v>#NAME?</v>
      </c>
      <c r="H1137" s="4" t="e">
        <f ca="1">[1]!BexGetData("DP_1","003N8EMH8GTFRCSWKMPXRS42M","GSON1112100011")</f>
        <v>#NAME?</v>
      </c>
      <c r="I1137" s="4" t="e">
        <f ca="1">[1]!BexGetData("DP_1","003N8EMH8GTFRCSWKMPXRSAE6","GSON1112100011")</f>
        <v>#NAME?</v>
      </c>
      <c r="J1137" s="4" t="e">
        <f ca="1">[1]!BexGetData("DP_1","003N8EMH8GTFRCSWKMPXRSGPQ","GSON1112100011")</f>
        <v>#NAME?</v>
      </c>
      <c r="K1137" s="8" t="e">
        <f ca="1">[1]!BexGetData("DP_1","003N8EMH8GTFRIVNUPY288VJH","GSON1112100011")</f>
        <v>#NAME?</v>
      </c>
      <c r="L1137" s="8" t="e">
        <f ca="1">[1]!BexGetData("DP_1","003N8EMH8GTFRIVNUPY2891V1","GSON1112100011")</f>
        <v>#NAME?</v>
      </c>
      <c r="M1137" s="8" t="e">
        <f ca="1">[1]!BexGetData("DP_1","003N8EMH8GTFRIVOG7KG9IQXA","GSON1112100011")</f>
        <v>#NAME?</v>
      </c>
      <c r="N1137" s="8" t="e">
        <f ca="1">[1]!BexGetData("DP_1","003N8EMH8GTFRIVOG7KG9IX8U","GSON1112100011")</f>
        <v>#NAME?</v>
      </c>
      <c r="O1137" s="8" t="e">
        <f ca="1">[1]!BexGetData("DP_1","003N8EMH8GTFRIVOG7KG9J3KE","GSON1112100011")</f>
        <v>#NAME?</v>
      </c>
      <c r="P1137" s="8" t="e">
        <f ca="1">[1]!BexGetData("DP_1","003N8EMH8GTFRIVOG7KG9J9VY","GSON1112100011")</f>
        <v>#NAME?</v>
      </c>
      <c r="Q1137" s="4" t="e">
        <f ca="1">[1]!BexGetData("DP_1","00O2TNJGODT0G5Z4TTKYMM5MT","GSON1112100011")</f>
        <v>#NAME?</v>
      </c>
      <c r="R1137" s="4" t="e">
        <f ca="1">[1]!BexGetData("DP_1","00O2TNJGODT0G5Z4TTKYMMBYD","GSON1112100011")</f>
        <v>#NAME?</v>
      </c>
      <c r="S1137" s="4" t="e">
        <f ca="1">[1]!BexGetData("DP_1","00O2TNJGODT0G5Z4TTKYMMI9X","GSON1112100011")</f>
        <v>#NAME?</v>
      </c>
      <c r="T1137" s="4" t="e">
        <f ca="1">[1]!BexGetData("DP_1","00O2TNJGODT0G5Z4TTKYMMOLH","GSON1112100011")</f>
        <v>#NAME?</v>
      </c>
      <c r="U1137" s="4" t="e">
        <f ca="1">[1]!BexGetData("DP_1","00O2TNJGODT0G5Z4TTKYMMUX1","GSON1112100011")</f>
        <v>#NAME?</v>
      </c>
      <c r="V1137" s="4" t="e">
        <f ca="1">[1]!BexGetData("DP_1","00O2TNJGODT0G5Z4TTKYMN18L","GSON1112100011")</f>
        <v>#NAME?</v>
      </c>
      <c r="W1137" s="4" t="e">
        <f ca="1">[1]!BexGetData("DP_1","00O2TNJGODT0G5Z4TTKYMN7K5","GSON1112100011")</f>
        <v>#NAME?</v>
      </c>
    </row>
    <row r="1138" spans="1:23" x14ac:dyDescent="0.2">
      <c r="A1138" s="16" t="s">
        <v>3378</v>
      </c>
      <c r="B1138" s="7" t="s">
        <v>3379</v>
      </c>
      <c r="C1138" s="3" t="e">
        <f ca="1">[1]!BexGetData("DP_1","003N8EMH8GTFRCSWKMPXRR8GU","GSON1112100013")</f>
        <v>#NAME?</v>
      </c>
      <c r="D1138" s="3" t="e">
        <f ca="1">[1]!BexGetData("DP_1","003N8EMH8GTFRCSWKMPXRRESE","GSON1112100013")</f>
        <v>#NAME?</v>
      </c>
      <c r="E1138" s="8" t="e">
        <f ca="1">[1]!BexGetData("DP_1","003N8EMH8GTFRCSWKMPXRRL3Y","GSON1112100013")</f>
        <v>#NAME?</v>
      </c>
      <c r="F1138" s="4" t="e">
        <f ca="1">[1]!BexGetData("DP_1","003N8EMH8GTFRCSWKMPXRRRFI","GSON1112100013")</f>
        <v>#NAME?</v>
      </c>
      <c r="G1138" s="4" t="e">
        <f ca="1">[1]!BexGetData("DP_1","003N8EMH8GTFRCSWKMPXRRXR2","GSON1112100013")</f>
        <v>#NAME?</v>
      </c>
      <c r="H1138" s="4" t="e">
        <f ca="1">[1]!BexGetData("DP_1","003N8EMH8GTFRCSWKMPXRS42M","GSON1112100013")</f>
        <v>#NAME?</v>
      </c>
      <c r="I1138" s="4" t="e">
        <f ca="1">[1]!BexGetData("DP_1","003N8EMH8GTFRCSWKMPXRSAE6","GSON1112100013")</f>
        <v>#NAME?</v>
      </c>
      <c r="J1138" s="4" t="e">
        <f ca="1">[1]!BexGetData("DP_1","003N8EMH8GTFRCSWKMPXRSGPQ","GSON1112100013")</f>
        <v>#NAME?</v>
      </c>
      <c r="K1138" s="8" t="e">
        <f ca="1">[1]!BexGetData("DP_1","003N8EMH8GTFRIVNUPY288VJH","GSON1112100013")</f>
        <v>#NAME?</v>
      </c>
      <c r="L1138" s="8" t="e">
        <f ca="1">[1]!BexGetData("DP_1","003N8EMH8GTFRIVNUPY2891V1","GSON1112100013")</f>
        <v>#NAME?</v>
      </c>
      <c r="M1138" s="8" t="e">
        <f ca="1">[1]!BexGetData("DP_1","003N8EMH8GTFRIVOG7KG9IQXA","GSON1112100013")</f>
        <v>#NAME?</v>
      </c>
      <c r="N1138" s="8" t="e">
        <f ca="1">[1]!BexGetData("DP_1","003N8EMH8GTFRIVOG7KG9IX8U","GSON1112100013")</f>
        <v>#NAME?</v>
      </c>
      <c r="O1138" s="8" t="e">
        <f ca="1">[1]!BexGetData("DP_1","003N8EMH8GTFRIVOG7KG9J3KE","GSON1112100013")</f>
        <v>#NAME?</v>
      </c>
      <c r="P1138" s="8" t="e">
        <f ca="1">[1]!BexGetData("DP_1","003N8EMH8GTFRIVOG7KG9J9VY","GSON1112100013")</f>
        <v>#NAME?</v>
      </c>
      <c r="Q1138" s="4" t="e">
        <f ca="1">[1]!BexGetData("DP_1","00O2TNJGODT0G5Z4TTKYMM5MT","GSON1112100013")</f>
        <v>#NAME?</v>
      </c>
      <c r="R1138" s="4" t="e">
        <f ca="1">[1]!BexGetData("DP_1","00O2TNJGODT0G5Z4TTKYMMBYD","GSON1112100013")</f>
        <v>#NAME?</v>
      </c>
      <c r="S1138" s="4" t="e">
        <f ca="1">[1]!BexGetData("DP_1","00O2TNJGODT0G5Z4TTKYMMI9X","GSON1112100013")</f>
        <v>#NAME?</v>
      </c>
      <c r="T1138" s="4" t="e">
        <f ca="1">[1]!BexGetData("DP_1","00O2TNJGODT0G5Z4TTKYMMOLH","GSON1112100013")</f>
        <v>#NAME?</v>
      </c>
      <c r="U1138" s="4" t="e">
        <f ca="1">[1]!BexGetData("DP_1","00O2TNJGODT0G5Z4TTKYMMUX1","GSON1112100013")</f>
        <v>#NAME?</v>
      </c>
      <c r="V1138" s="4" t="e">
        <f ca="1">[1]!BexGetData("DP_1","00O2TNJGODT0G5Z4TTKYMN18L","GSON1112100013")</f>
        <v>#NAME?</v>
      </c>
      <c r="W1138" s="4" t="e">
        <f ca="1">[1]!BexGetData("DP_1","00O2TNJGODT0G5Z4TTKYMN7K5","GSON1112100013")</f>
        <v>#NAME?</v>
      </c>
    </row>
    <row r="1139" spans="1:23" x14ac:dyDescent="0.2">
      <c r="A1139" s="16" t="s">
        <v>3380</v>
      </c>
      <c r="B1139" s="7" t="s">
        <v>3381</v>
      </c>
      <c r="C1139" s="3" t="e">
        <f ca="1">[1]!BexGetData("DP_1","003N8EMH8GTFRCSWKMPXRR8GU","GSON1112100015")</f>
        <v>#NAME?</v>
      </c>
      <c r="D1139" s="3" t="e">
        <f ca="1">[1]!BexGetData("DP_1","003N8EMH8GTFRCSWKMPXRRESE","GSON1112100015")</f>
        <v>#NAME?</v>
      </c>
      <c r="E1139" s="8" t="e">
        <f ca="1">[1]!BexGetData("DP_1","003N8EMH8GTFRCSWKMPXRRL3Y","GSON1112100015")</f>
        <v>#NAME?</v>
      </c>
      <c r="F1139" s="4" t="e">
        <f ca="1">[1]!BexGetData("DP_1","003N8EMH8GTFRCSWKMPXRRRFI","GSON1112100015")</f>
        <v>#NAME?</v>
      </c>
      <c r="G1139" s="4" t="e">
        <f ca="1">[1]!BexGetData("DP_1","003N8EMH8GTFRCSWKMPXRRXR2","GSON1112100015")</f>
        <v>#NAME?</v>
      </c>
      <c r="H1139" s="4" t="e">
        <f ca="1">[1]!BexGetData("DP_1","003N8EMH8GTFRCSWKMPXRS42M","GSON1112100015")</f>
        <v>#NAME?</v>
      </c>
      <c r="I1139" s="4" t="e">
        <f ca="1">[1]!BexGetData("DP_1","003N8EMH8GTFRCSWKMPXRSAE6","GSON1112100015")</f>
        <v>#NAME?</v>
      </c>
      <c r="J1139" s="4" t="e">
        <f ca="1">[1]!BexGetData("DP_1","003N8EMH8GTFRCSWKMPXRSGPQ","GSON1112100015")</f>
        <v>#NAME?</v>
      </c>
      <c r="K1139" s="8" t="e">
        <f ca="1">[1]!BexGetData("DP_1","003N8EMH8GTFRIVNUPY288VJH","GSON1112100015")</f>
        <v>#NAME?</v>
      </c>
      <c r="L1139" s="8" t="e">
        <f ca="1">[1]!BexGetData("DP_1","003N8EMH8GTFRIVNUPY2891V1","GSON1112100015")</f>
        <v>#NAME?</v>
      </c>
      <c r="M1139" s="8" t="e">
        <f ca="1">[1]!BexGetData("DP_1","003N8EMH8GTFRIVOG7KG9IQXA","GSON1112100015")</f>
        <v>#NAME?</v>
      </c>
      <c r="N1139" s="8" t="e">
        <f ca="1">[1]!BexGetData("DP_1","003N8EMH8GTFRIVOG7KG9IX8U","GSON1112100015")</f>
        <v>#NAME?</v>
      </c>
      <c r="O1139" s="8" t="e">
        <f ca="1">[1]!BexGetData("DP_1","003N8EMH8GTFRIVOG7KG9J3KE","GSON1112100015")</f>
        <v>#NAME?</v>
      </c>
      <c r="P1139" s="8" t="e">
        <f ca="1">[1]!BexGetData("DP_1","003N8EMH8GTFRIVOG7KG9J9VY","GSON1112100015")</f>
        <v>#NAME?</v>
      </c>
      <c r="Q1139" s="4" t="e">
        <f ca="1">[1]!BexGetData("DP_1","00O2TNJGODT0G5Z4TTKYMM5MT","GSON1112100015")</f>
        <v>#NAME?</v>
      </c>
      <c r="R1139" s="4" t="e">
        <f ca="1">[1]!BexGetData("DP_1","00O2TNJGODT0G5Z4TTKYMMBYD","GSON1112100015")</f>
        <v>#NAME?</v>
      </c>
      <c r="S1139" s="4" t="e">
        <f ca="1">[1]!BexGetData("DP_1","00O2TNJGODT0G5Z4TTKYMMI9X","GSON1112100015")</f>
        <v>#NAME?</v>
      </c>
      <c r="T1139" s="4" t="e">
        <f ca="1">[1]!BexGetData("DP_1","00O2TNJGODT0G5Z4TTKYMMOLH","GSON1112100015")</f>
        <v>#NAME?</v>
      </c>
      <c r="U1139" s="4" t="e">
        <f ca="1">[1]!BexGetData("DP_1","00O2TNJGODT0G5Z4TTKYMMUX1","GSON1112100015")</f>
        <v>#NAME?</v>
      </c>
      <c r="V1139" s="4" t="e">
        <f ca="1">[1]!BexGetData("DP_1","00O2TNJGODT0G5Z4TTKYMN18L","GSON1112100015")</f>
        <v>#NAME?</v>
      </c>
      <c r="W1139" s="4" t="e">
        <f ca="1">[1]!BexGetData("DP_1","00O2TNJGODT0G5Z4TTKYMN7K5","GSON1112100015")</f>
        <v>#NAME?</v>
      </c>
    </row>
    <row r="1140" spans="1:23" x14ac:dyDescent="0.2">
      <c r="A1140" s="16" t="s">
        <v>3382</v>
      </c>
      <c r="B1140" s="7" t="s">
        <v>292</v>
      </c>
      <c r="C1140" s="3" t="e">
        <f ca="1">[1]!BexGetData("DP_1","003N8EMH8GTFRCSWKMPXRR8GU","GSON1112110010")</f>
        <v>#NAME?</v>
      </c>
      <c r="D1140" s="3" t="e">
        <f ca="1">[1]!BexGetData("DP_1","003N8EMH8GTFRCSWKMPXRRESE","GSON1112110010")</f>
        <v>#NAME?</v>
      </c>
      <c r="E1140" s="3" t="e">
        <f ca="1">[1]!BexGetData("DP_1","003N8EMH8GTFRCSWKMPXRRL3Y","GSON1112110010")</f>
        <v>#NAME?</v>
      </c>
      <c r="F1140" s="3" t="e">
        <f ca="1">[1]!BexGetData("DP_1","003N8EMH8GTFRCSWKMPXRRRFI","GSON1112110010")</f>
        <v>#NAME?</v>
      </c>
      <c r="G1140" s="3" t="e">
        <f ca="1">[1]!BexGetData("DP_1","003N8EMH8GTFRCSWKMPXRRXR2","GSON1112110010")</f>
        <v>#NAME?</v>
      </c>
      <c r="H1140" s="8" t="e">
        <f ca="1">[1]!BexGetData("DP_1","003N8EMH8GTFRCSWKMPXRS42M","GSON1112110010")</f>
        <v>#NAME?</v>
      </c>
      <c r="I1140" s="3" t="e">
        <f ca="1">[1]!BexGetData("DP_1","003N8EMH8GTFRCSWKMPXRSAE6","GSON1112110010")</f>
        <v>#NAME?</v>
      </c>
      <c r="J1140" s="4" t="e">
        <f ca="1">[1]!BexGetData("DP_1","003N8EMH8GTFRCSWKMPXRSGPQ","GSON1112110010")</f>
        <v>#NAME?</v>
      </c>
      <c r="K1140" s="3" t="e">
        <f ca="1">[1]!BexGetData("DP_1","003N8EMH8GTFRIVNUPY288VJH","GSON1112110010")</f>
        <v>#NAME?</v>
      </c>
      <c r="L1140" s="3" t="e">
        <f ca="1">[1]!BexGetData("DP_1","003N8EMH8GTFRIVNUPY2891V1","GSON1112110010")</f>
        <v>#NAME?</v>
      </c>
      <c r="M1140" s="3" t="e">
        <f ca="1">[1]!BexGetData("DP_1","003N8EMH8GTFRIVOG7KG9IQXA","GSON1112110010")</f>
        <v>#NAME?</v>
      </c>
      <c r="N1140" s="8" t="e">
        <f ca="1">[1]!BexGetData("DP_1","003N8EMH8GTFRIVOG7KG9IX8U","GSON1112110010")</f>
        <v>#NAME?</v>
      </c>
      <c r="O1140" s="3" t="e">
        <f ca="1">[1]!BexGetData("DP_1","003N8EMH8GTFRIVOG7KG9J3KE","GSON1112110010")</f>
        <v>#NAME?</v>
      </c>
      <c r="P1140" s="8" t="e">
        <f ca="1">[1]!BexGetData("DP_1","003N8EMH8GTFRIVOG7KG9J9VY","GSON1112110010")</f>
        <v>#NAME?</v>
      </c>
      <c r="Q1140" s="4" t="e">
        <f ca="1">[1]!BexGetData("DP_1","00O2TNJGODT0G5Z4TTKYMM5MT","GSON1112110010")</f>
        <v>#NAME?</v>
      </c>
      <c r="R1140" s="3" t="e">
        <f ca="1">[1]!BexGetData("DP_1","00O2TNJGODT0G5Z4TTKYMMBYD","GSON1112110010")</f>
        <v>#NAME?</v>
      </c>
      <c r="S1140" s="3" t="e">
        <f ca="1">[1]!BexGetData("DP_1","00O2TNJGODT0G5Z4TTKYMMI9X","GSON1112110010")</f>
        <v>#NAME?</v>
      </c>
      <c r="T1140" s="8" t="e">
        <f ca="1">[1]!BexGetData("DP_1","00O2TNJGODT0G5Z4TTKYMMOLH","GSON1112110010")</f>
        <v>#NAME?</v>
      </c>
      <c r="U1140" s="3" t="e">
        <f ca="1">[1]!BexGetData("DP_1","00O2TNJGODT0G5Z4TTKYMMUX1","GSON1112110010")</f>
        <v>#NAME?</v>
      </c>
      <c r="V1140" s="8" t="e">
        <f ca="1">[1]!BexGetData("DP_1","00O2TNJGODT0G5Z4TTKYMN18L","GSON1112110010")</f>
        <v>#NAME?</v>
      </c>
      <c r="W1140" s="3" t="e">
        <f ca="1">[1]!BexGetData("DP_1","00O2TNJGODT0G5Z4TTKYMN7K5","GSON1112110010")</f>
        <v>#NAME?</v>
      </c>
    </row>
    <row r="1141" spans="1:23" x14ac:dyDescent="0.2">
      <c r="A1141" s="16" t="s">
        <v>3383</v>
      </c>
      <c r="B1141" s="7" t="s">
        <v>293</v>
      </c>
      <c r="C1141" s="3" t="e">
        <f ca="1">[1]!BexGetData("DP_1","003N8EMH8GTFRCSWKMPXRR8GU","GSON1112110011")</f>
        <v>#NAME?</v>
      </c>
      <c r="D1141" s="3" t="e">
        <f ca="1">[1]!BexGetData("DP_1","003N8EMH8GTFRCSWKMPXRRESE","GSON1112110011")</f>
        <v>#NAME?</v>
      </c>
      <c r="E1141" s="8" t="e">
        <f ca="1">[1]!BexGetData("DP_1","003N8EMH8GTFRCSWKMPXRRL3Y","GSON1112110011")</f>
        <v>#NAME?</v>
      </c>
      <c r="F1141" s="4" t="e">
        <f ca="1">[1]!BexGetData("DP_1","003N8EMH8GTFRCSWKMPXRRRFI","GSON1112110011")</f>
        <v>#NAME?</v>
      </c>
      <c r="G1141" s="4" t="e">
        <f ca="1">[1]!BexGetData("DP_1","003N8EMH8GTFRCSWKMPXRRXR2","GSON1112110011")</f>
        <v>#NAME?</v>
      </c>
      <c r="H1141" s="4" t="e">
        <f ca="1">[1]!BexGetData("DP_1","003N8EMH8GTFRCSWKMPXRS42M","GSON1112110011")</f>
        <v>#NAME?</v>
      </c>
      <c r="I1141" s="4" t="e">
        <f ca="1">[1]!BexGetData("DP_1","003N8EMH8GTFRCSWKMPXRSAE6","GSON1112110011")</f>
        <v>#NAME?</v>
      </c>
      <c r="J1141" s="4" t="e">
        <f ca="1">[1]!BexGetData("DP_1","003N8EMH8GTFRCSWKMPXRSGPQ","GSON1112110011")</f>
        <v>#NAME?</v>
      </c>
      <c r="K1141" s="8" t="e">
        <f ca="1">[1]!BexGetData("DP_1","003N8EMH8GTFRIVNUPY288VJH","GSON1112110011")</f>
        <v>#NAME?</v>
      </c>
      <c r="L1141" s="8" t="e">
        <f ca="1">[1]!BexGetData("DP_1","003N8EMH8GTFRIVNUPY2891V1","GSON1112110011")</f>
        <v>#NAME?</v>
      </c>
      <c r="M1141" s="8" t="e">
        <f ca="1">[1]!BexGetData("DP_1","003N8EMH8GTFRIVOG7KG9IQXA","GSON1112110011")</f>
        <v>#NAME?</v>
      </c>
      <c r="N1141" s="8" t="e">
        <f ca="1">[1]!BexGetData("DP_1","003N8EMH8GTFRIVOG7KG9IX8U","GSON1112110011")</f>
        <v>#NAME?</v>
      </c>
      <c r="O1141" s="8" t="e">
        <f ca="1">[1]!BexGetData("DP_1","003N8EMH8GTFRIVOG7KG9J3KE","GSON1112110011")</f>
        <v>#NAME?</v>
      </c>
      <c r="P1141" s="8" t="e">
        <f ca="1">[1]!BexGetData("DP_1","003N8EMH8GTFRIVOG7KG9J9VY","GSON1112110011")</f>
        <v>#NAME?</v>
      </c>
      <c r="Q1141" s="4" t="e">
        <f ca="1">[1]!BexGetData("DP_1","00O2TNJGODT0G5Z4TTKYMM5MT","GSON1112110011")</f>
        <v>#NAME?</v>
      </c>
      <c r="R1141" s="4" t="e">
        <f ca="1">[1]!BexGetData("DP_1","00O2TNJGODT0G5Z4TTKYMMBYD","GSON1112110011")</f>
        <v>#NAME?</v>
      </c>
      <c r="S1141" s="4" t="e">
        <f ca="1">[1]!BexGetData("DP_1","00O2TNJGODT0G5Z4TTKYMMI9X","GSON1112110011")</f>
        <v>#NAME?</v>
      </c>
      <c r="T1141" s="4" t="e">
        <f ca="1">[1]!BexGetData("DP_1","00O2TNJGODT0G5Z4TTKYMMOLH","GSON1112110011")</f>
        <v>#NAME?</v>
      </c>
      <c r="U1141" s="4" t="e">
        <f ca="1">[1]!BexGetData("DP_1","00O2TNJGODT0G5Z4TTKYMMUX1","GSON1112110011")</f>
        <v>#NAME?</v>
      </c>
      <c r="V1141" s="4" t="e">
        <f ca="1">[1]!BexGetData("DP_1","00O2TNJGODT0G5Z4TTKYMN18L","GSON1112110011")</f>
        <v>#NAME?</v>
      </c>
      <c r="W1141" s="4" t="e">
        <f ca="1">[1]!BexGetData("DP_1","00O2TNJGODT0G5Z4TTKYMN7K5","GSON1112110011")</f>
        <v>#NAME?</v>
      </c>
    </row>
    <row r="1142" spans="1:23" x14ac:dyDescent="0.2">
      <c r="A1142" s="16" t="s">
        <v>3384</v>
      </c>
      <c r="B1142" s="7" t="s">
        <v>664</v>
      </c>
      <c r="C1142" s="3" t="e">
        <f ca="1">[1]!BexGetData("DP_1","003N8EMH8GTFRCSWKMPXRR8GU","GSON1112110012")</f>
        <v>#NAME?</v>
      </c>
      <c r="D1142" s="3" t="e">
        <f ca="1">[1]!BexGetData("DP_1","003N8EMH8GTFRCSWKMPXRRESE","GSON1112110012")</f>
        <v>#NAME?</v>
      </c>
      <c r="E1142" s="8" t="e">
        <f ca="1">[1]!BexGetData("DP_1","003N8EMH8GTFRCSWKMPXRRL3Y","GSON1112110012")</f>
        <v>#NAME?</v>
      </c>
      <c r="F1142" s="4" t="e">
        <f ca="1">[1]!BexGetData("DP_1","003N8EMH8GTFRCSWKMPXRRRFI","GSON1112110012")</f>
        <v>#NAME?</v>
      </c>
      <c r="G1142" s="4" t="e">
        <f ca="1">[1]!BexGetData("DP_1","003N8EMH8GTFRCSWKMPXRRXR2","GSON1112110012")</f>
        <v>#NAME?</v>
      </c>
      <c r="H1142" s="4" t="e">
        <f ca="1">[1]!BexGetData("DP_1","003N8EMH8GTFRCSWKMPXRS42M","GSON1112110012")</f>
        <v>#NAME?</v>
      </c>
      <c r="I1142" s="4" t="e">
        <f ca="1">[1]!BexGetData("DP_1","003N8EMH8GTFRCSWKMPXRSAE6","GSON1112110012")</f>
        <v>#NAME?</v>
      </c>
      <c r="J1142" s="4" t="e">
        <f ca="1">[1]!BexGetData("DP_1","003N8EMH8GTFRCSWKMPXRSGPQ","GSON1112110012")</f>
        <v>#NAME?</v>
      </c>
      <c r="K1142" s="8" t="e">
        <f ca="1">[1]!BexGetData("DP_1","003N8EMH8GTFRIVNUPY288VJH","GSON1112110012")</f>
        <v>#NAME?</v>
      </c>
      <c r="L1142" s="8" t="e">
        <f ca="1">[1]!BexGetData("DP_1","003N8EMH8GTFRIVNUPY2891V1","GSON1112110012")</f>
        <v>#NAME?</v>
      </c>
      <c r="M1142" s="8" t="e">
        <f ca="1">[1]!BexGetData("DP_1","003N8EMH8GTFRIVOG7KG9IQXA","GSON1112110012")</f>
        <v>#NAME?</v>
      </c>
      <c r="N1142" s="8" t="e">
        <f ca="1">[1]!BexGetData("DP_1","003N8EMH8GTFRIVOG7KG9IX8U","GSON1112110012")</f>
        <v>#NAME?</v>
      </c>
      <c r="O1142" s="8" t="e">
        <f ca="1">[1]!BexGetData("DP_1","003N8EMH8GTFRIVOG7KG9J3KE","GSON1112110012")</f>
        <v>#NAME?</v>
      </c>
      <c r="P1142" s="8" t="e">
        <f ca="1">[1]!BexGetData("DP_1","003N8EMH8GTFRIVOG7KG9J9VY","GSON1112110012")</f>
        <v>#NAME?</v>
      </c>
      <c r="Q1142" s="4" t="e">
        <f ca="1">[1]!BexGetData("DP_1","00O2TNJGODT0G5Z4TTKYMM5MT","GSON1112110012")</f>
        <v>#NAME?</v>
      </c>
      <c r="R1142" s="4" t="e">
        <f ca="1">[1]!BexGetData("DP_1","00O2TNJGODT0G5Z4TTKYMMBYD","GSON1112110012")</f>
        <v>#NAME?</v>
      </c>
      <c r="S1142" s="4" t="e">
        <f ca="1">[1]!BexGetData("DP_1","00O2TNJGODT0G5Z4TTKYMMI9X","GSON1112110012")</f>
        <v>#NAME?</v>
      </c>
      <c r="T1142" s="4" t="e">
        <f ca="1">[1]!BexGetData("DP_1","00O2TNJGODT0G5Z4TTKYMMOLH","GSON1112110012")</f>
        <v>#NAME?</v>
      </c>
      <c r="U1142" s="4" t="e">
        <f ca="1">[1]!BexGetData("DP_1","00O2TNJGODT0G5Z4TTKYMMUX1","GSON1112110012")</f>
        <v>#NAME?</v>
      </c>
      <c r="V1142" s="4" t="e">
        <f ca="1">[1]!BexGetData("DP_1","00O2TNJGODT0G5Z4TTKYMN18L","GSON1112110012")</f>
        <v>#NAME?</v>
      </c>
      <c r="W1142" s="4" t="e">
        <f ca="1">[1]!BexGetData("DP_1","00O2TNJGODT0G5Z4TTKYMN7K5","GSON1112110012")</f>
        <v>#NAME?</v>
      </c>
    </row>
    <row r="1143" spans="1:23" x14ac:dyDescent="0.2">
      <c r="A1143" s="16" t="s">
        <v>3385</v>
      </c>
      <c r="B1143" s="7" t="s">
        <v>294</v>
      </c>
      <c r="C1143" s="3" t="e">
        <f ca="1">[1]!BexGetData("DP_1","003N8EMH8GTFRCSWKMPXRR8GU","GSON1112110013")</f>
        <v>#NAME?</v>
      </c>
      <c r="D1143" s="3" t="e">
        <f ca="1">[1]!BexGetData("DP_1","003N8EMH8GTFRCSWKMPXRRESE","GSON1112110013")</f>
        <v>#NAME?</v>
      </c>
      <c r="E1143" s="8" t="e">
        <f ca="1">[1]!BexGetData("DP_1","003N8EMH8GTFRCSWKMPXRRL3Y","GSON1112110013")</f>
        <v>#NAME?</v>
      </c>
      <c r="F1143" s="4" t="e">
        <f ca="1">[1]!BexGetData("DP_1","003N8EMH8GTFRCSWKMPXRRRFI","GSON1112110013")</f>
        <v>#NAME?</v>
      </c>
      <c r="G1143" s="4" t="e">
        <f ca="1">[1]!BexGetData("DP_1","003N8EMH8GTFRCSWKMPXRRXR2","GSON1112110013")</f>
        <v>#NAME?</v>
      </c>
      <c r="H1143" s="4" t="e">
        <f ca="1">[1]!BexGetData("DP_1","003N8EMH8GTFRCSWKMPXRS42M","GSON1112110013")</f>
        <v>#NAME?</v>
      </c>
      <c r="I1143" s="4" t="e">
        <f ca="1">[1]!BexGetData("DP_1","003N8EMH8GTFRCSWKMPXRSAE6","GSON1112110013")</f>
        <v>#NAME?</v>
      </c>
      <c r="J1143" s="4" t="e">
        <f ca="1">[1]!BexGetData("DP_1","003N8EMH8GTFRCSWKMPXRSGPQ","GSON1112110013")</f>
        <v>#NAME?</v>
      </c>
      <c r="K1143" s="8" t="e">
        <f ca="1">[1]!BexGetData("DP_1","003N8EMH8GTFRIVNUPY288VJH","GSON1112110013")</f>
        <v>#NAME?</v>
      </c>
      <c r="L1143" s="8" t="e">
        <f ca="1">[1]!BexGetData("DP_1","003N8EMH8GTFRIVNUPY2891V1","GSON1112110013")</f>
        <v>#NAME?</v>
      </c>
      <c r="M1143" s="8" t="e">
        <f ca="1">[1]!BexGetData("DP_1","003N8EMH8GTFRIVOG7KG9IQXA","GSON1112110013")</f>
        <v>#NAME?</v>
      </c>
      <c r="N1143" s="8" t="e">
        <f ca="1">[1]!BexGetData("DP_1","003N8EMH8GTFRIVOG7KG9IX8U","GSON1112110013")</f>
        <v>#NAME?</v>
      </c>
      <c r="O1143" s="8" t="e">
        <f ca="1">[1]!BexGetData("DP_1","003N8EMH8GTFRIVOG7KG9J3KE","GSON1112110013")</f>
        <v>#NAME?</v>
      </c>
      <c r="P1143" s="8" t="e">
        <f ca="1">[1]!BexGetData("DP_1","003N8EMH8GTFRIVOG7KG9J9VY","GSON1112110013")</f>
        <v>#NAME?</v>
      </c>
      <c r="Q1143" s="4" t="e">
        <f ca="1">[1]!BexGetData("DP_1","00O2TNJGODT0G5Z4TTKYMM5MT","GSON1112110013")</f>
        <v>#NAME?</v>
      </c>
      <c r="R1143" s="4" t="e">
        <f ca="1">[1]!BexGetData("DP_1","00O2TNJGODT0G5Z4TTKYMMBYD","GSON1112110013")</f>
        <v>#NAME?</v>
      </c>
      <c r="S1143" s="4" t="e">
        <f ca="1">[1]!BexGetData("DP_1","00O2TNJGODT0G5Z4TTKYMMI9X","GSON1112110013")</f>
        <v>#NAME?</v>
      </c>
      <c r="T1143" s="4" t="e">
        <f ca="1">[1]!BexGetData("DP_1","00O2TNJGODT0G5Z4TTKYMMOLH","GSON1112110013")</f>
        <v>#NAME?</v>
      </c>
      <c r="U1143" s="4" t="e">
        <f ca="1">[1]!BexGetData("DP_1","00O2TNJGODT0G5Z4TTKYMMUX1","GSON1112110013")</f>
        <v>#NAME?</v>
      </c>
      <c r="V1143" s="4" t="e">
        <f ca="1">[1]!BexGetData("DP_1","00O2TNJGODT0G5Z4TTKYMN18L","GSON1112110013")</f>
        <v>#NAME?</v>
      </c>
      <c r="W1143" s="4" t="e">
        <f ca="1">[1]!BexGetData("DP_1","00O2TNJGODT0G5Z4TTKYMN7K5","GSON1112110013")</f>
        <v>#NAME?</v>
      </c>
    </row>
    <row r="1144" spans="1:23" x14ac:dyDescent="0.2">
      <c r="A1144" s="16" t="s">
        <v>3386</v>
      </c>
      <c r="B1144" s="7" t="s">
        <v>295</v>
      </c>
      <c r="C1144" s="3" t="e">
        <f ca="1">[1]!BexGetData("DP_1","003N8EMH8GTFRCSWKMPXRR8GU","GSON1112110014")</f>
        <v>#NAME?</v>
      </c>
      <c r="D1144" s="3" t="e">
        <f ca="1">[1]!BexGetData("DP_1","003N8EMH8GTFRCSWKMPXRRESE","GSON1112110014")</f>
        <v>#NAME?</v>
      </c>
      <c r="E1144" s="8" t="e">
        <f ca="1">[1]!BexGetData("DP_1","003N8EMH8GTFRCSWKMPXRRL3Y","GSON1112110014")</f>
        <v>#NAME?</v>
      </c>
      <c r="F1144" s="4" t="e">
        <f ca="1">[1]!BexGetData("DP_1","003N8EMH8GTFRCSWKMPXRRRFI","GSON1112110014")</f>
        <v>#NAME?</v>
      </c>
      <c r="G1144" s="4" t="e">
        <f ca="1">[1]!BexGetData("DP_1","003N8EMH8GTFRCSWKMPXRRXR2","GSON1112110014")</f>
        <v>#NAME?</v>
      </c>
      <c r="H1144" s="4" t="e">
        <f ca="1">[1]!BexGetData("DP_1","003N8EMH8GTFRCSWKMPXRS42M","GSON1112110014")</f>
        <v>#NAME?</v>
      </c>
      <c r="I1144" s="4" t="e">
        <f ca="1">[1]!BexGetData("DP_1","003N8EMH8GTFRCSWKMPXRSAE6","GSON1112110014")</f>
        <v>#NAME?</v>
      </c>
      <c r="J1144" s="4" t="e">
        <f ca="1">[1]!BexGetData("DP_1","003N8EMH8GTFRCSWKMPXRSGPQ","GSON1112110014")</f>
        <v>#NAME?</v>
      </c>
      <c r="K1144" s="8" t="e">
        <f ca="1">[1]!BexGetData("DP_1","003N8EMH8GTFRIVNUPY288VJH","GSON1112110014")</f>
        <v>#NAME?</v>
      </c>
      <c r="L1144" s="8" t="e">
        <f ca="1">[1]!BexGetData("DP_1","003N8EMH8GTFRIVNUPY2891V1","GSON1112110014")</f>
        <v>#NAME?</v>
      </c>
      <c r="M1144" s="8" t="e">
        <f ca="1">[1]!BexGetData("DP_1","003N8EMH8GTFRIVOG7KG9IQXA","GSON1112110014")</f>
        <v>#NAME?</v>
      </c>
      <c r="N1144" s="8" t="e">
        <f ca="1">[1]!BexGetData("DP_1","003N8EMH8GTFRIVOG7KG9IX8U","GSON1112110014")</f>
        <v>#NAME?</v>
      </c>
      <c r="O1144" s="8" t="e">
        <f ca="1">[1]!BexGetData("DP_1","003N8EMH8GTFRIVOG7KG9J3KE","GSON1112110014")</f>
        <v>#NAME?</v>
      </c>
      <c r="P1144" s="8" t="e">
        <f ca="1">[1]!BexGetData("DP_1","003N8EMH8GTFRIVOG7KG9J9VY","GSON1112110014")</f>
        <v>#NAME?</v>
      </c>
      <c r="Q1144" s="4" t="e">
        <f ca="1">[1]!BexGetData("DP_1","00O2TNJGODT0G5Z4TTKYMM5MT","GSON1112110014")</f>
        <v>#NAME?</v>
      </c>
      <c r="R1144" s="4" t="e">
        <f ca="1">[1]!BexGetData("DP_1","00O2TNJGODT0G5Z4TTKYMMBYD","GSON1112110014")</f>
        <v>#NAME?</v>
      </c>
      <c r="S1144" s="4" t="e">
        <f ca="1">[1]!BexGetData("DP_1","00O2TNJGODT0G5Z4TTKYMMI9X","GSON1112110014")</f>
        <v>#NAME?</v>
      </c>
      <c r="T1144" s="4" t="e">
        <f ca="1">[1]!BexGetData("DP_1","00O2TNJGODT0G5Z4TTKYMMOLH","GSON1112110014")</f>
        <v>#NAME?</v>
      </c>
      <c r="U1144" s="4" t="e">
        <f ca="1">[1]!BexGetData("DP_1","00O2TNJGODT0G5Z4TTKYMMUX1","GSON1112110014")</f>
        <v>#NAME?</v>
      </c>
      <c r="V1144" s="4" t="e">
        <f ca="1">[1]!BexGetData("DP_1","00O2TNJGODT0G5Z4TTKYMN18L","GSON1112110014")</f>
        <v>#NAME?</v>
      </c>
      <c r="W1144" s="4" t="e">
        <f ca="1">[1]!BexGetData("DP_1","00O2TNJGODT0G5Z4TTKYMN7K5","GSON1112110014")</f>
        <v>#NAME?</v>
      </c>
    </row>
    <row r="1145" spans="1:23" x14ac:dyDescent="0.2">
      <c r="A1145" s="16" t="s">
        <v>3387</v>
      </c>
      <c r="B1145" s="7" t="s">
        <v>1092</v>
      </c>
      <c r="C1145" s="3" t="e">
        <f ca="1">[1]!BexGetData("DP_1","003N8EMH8GTFRCSWKMPXRR8GU","GSON1112110015")</f>
        <v>#NAME?</v>
      </c>
      <c r="D1145" s="3" t="e">
        <f ca="1">[1]!BexGetData("DP_1","003N8EMH8GTFRCSWKMPXRRESE","GSON1112110015")</f>
        <v>#NAME?</v>
      </c>
      <c r="E1145" s="8" t="e">
        <f ca="1">[1]!BexGetData("DP_1","003N8EMH8GTFRCSWKMPXRRL3Y","GSON1112110015")</f>
        <v>#NAME?</v>
      </c>
      <c r="F1145" s="4" t="e">
        <f ca="1">[1]!BexGetData("DP_1","003N8EMH8GTFRCSWKMPXRRRFI","GSON1112110015")</f>
        <v>#NAME?</v>
      </c>
      <c r="G1145" s="4" t="e">
        <f ca="1">[1]!BexGetData("DP_1","003N8EMH8GTFRCSWKMPXRRXR2","GSON1112110015")</f>
        <v>#NAME?</v>
      </c>
      <c r="H1145" s="4" t="e">
        <f ca="1">[1]!BexGetData("DP_1","003N8EMH8GTFRCSWKMPXRS42M","GSON1112110015")</f>
        <v>#NAME?</v>
      </c>
      <c r="I1145" s="4" t="e">
        <f ca="1">[1]!BexGetData("DP_1","003N8EMH8GTFRCSWKMPXRSAE6","GSON1112110015")</f>
        <v>#NAME?</v>
      </c>
      <c r="J1145" s="4" t="e">
        <f ca="1">[1]!BexGetData("DP_1","003N8EMH8GTFRCSWKMPXRSGPQ","GSON1112110015")</f>
        <v>#NAME?</v>
      </c>
      <c r="K1145" s="8" t="e">
        <f ca="1">[1]!BexGetData("DP_1","003N8EMH8GTFRIVNUPY288VJH","GSON1112110015")</f>
        <v>#NAME?</v>
      </c>
      <c r="L1145" s="8" t="e">
        <f ca="1">[1]!BexGetData("DP_1","003N8EMH8GTFRIVNUPY2891V1","GSON1112110015")</f>
        <v>#NAME?</v>
      </c>
      <c r="M1145" s="8" t="e">
        <f ca="1">[1]!BexGetData("DP_1","003N8EMH8GTFRIVOG7KG9IQXA","GSON1112110015")</f>
        <v>#NAME?</v>
      </c>
      <c r="N1145" s="8" t="e">
        <f ca="1">[1]!BexGetData("DP_1","003N8EMH8GTFRIVOG7KG9IX8U","GSON1112110015")</f>
        <v>#NAME?</v>
      </c>
      <c r="O1145" s="8" t="e">
        <f ca="1">[1]!BexGetData("DP_1","003N8EMH8GTFRIVOG7KG9J3KE","GSON1112110015")</f>
        <v>#NAME?</v>
      </c>
      <c r="P1145" s="8" t="e">
        <f ca="1">[1]!BexGetData("DP_1","003N8EMH8GTFRIVOG7KG9J9VY","GSON1112110015")</f>
        <v>#NAME?</v>
      </c>
      <c r="Q1145" s="4" t="e">
        <f ca="1">[1]!BexGetData("DP_1","00O2TNJGODT0G5Z4TTKYMM5MT","GSON1112110015")</f>
        <v>#NAME?</v>
      </c>
      <c r="R1145" s="4" t="e">
        <f ca="1">[1]!BexGetData("DP_1","00O2TNJGODT0G5Z4TTKYMMBYD","GSON1112110015")</f>
        <v>#NAME?</v>
      </c>
      <c r="S1145" s="4" t="e">
        <f ca="1">[1]!BexGetData("DP_1","00O2TNJGODT0G5Z4TTKYMMI9X","GSON1112110015")</f>
        <v>#NAME?</v>
      </c>
      <c r="T1145" s="4" t="e">
        <f ca="1">[1]!BexGetData("DP_1","00O2TNJGODT0G5Z4TTKYMMOLH","GSON1112110015")</f>
        <v>#NAME?</v>
      </c>
      <c r="U1145" s="4" t="e">
        <f ca="1">[1]!BexGetData("DP_1","00O2TNJGODT0G5Z4TTKYMMUX1","GSON1112110015")</f>
        <v>#NAME?</v>
      </c>
      <c r="V1145" s="4" t="e">
        <f ca="1">[1]!BexGetData("DP_1","00O2TNJGODT0G5Z4TTKYMN18L","GSON1112110015")</f>
        <v>#NAME?</v>
      </c>
      <c r="W1145" s="4" t="e">
        <f ca="1">[1]!BexGetData("DP_1","00O2TNJGODT0G5Z4TTKYMN7K5","GSON1112110015")</f>
        <v>#NAME?</v>
      </c>
    </row>
    <row r="1146" spans="1:23" x14ac:dyDescent="0.2">
      <c r="A1146" s="16" t="s">
        <v>3388</v>
      </c>
      <c r="B1146" s="7" t="s">
        <v>426</v>
      </c>
      <c r="C1146" s="3" t="e">
        <f ca="1">[1]!BexGetData("DP_1","003N8EMH8GTFRCSWKMPXRR8GU","GSON1112110020")</f>
        <v>#NAME?</v>
      </c>
      <c r="D1146" s="3" t="e">
        <f ca="1">[1]!BexGetData("DP_1","003N8EMH8GTFRCSWKMPXRRESE","GSON1112110020")</f>
        <v>#NAME?</v>
      </c>
      <c r="E1146" s="3" t="e">
        <f ca="1">[1]!BexGetData("DP_1","003N8EMH8GTFRCSWKMPXRRL3Y","GSON1112110020")</f>
        <v>#NAME?</v>
      </c>
      <c r="F1146" s="3" t="e">
        <f ca="1">[1]!BexGetData("DP_1","003N8EMH8GTFRCSWKMPXRRRFI","GSON1112110020")</f>
        <v>#NAME?</v>
      </c>
      <c r="G1146" s="3" t="e">
        <f ca="1">[1]!BexGetData("DP_1","003N8EMH8GTFRCSWKMPXRRXR2","GSON1112110020")</f>
        <v>#NAME?</v>
      </c>
      <c r="H1146" s="8" t="e">
        <f ca="1">[1]!BexGetData("DP_1","003N8EMH8GTFRCSWKMPXRS42M","GSON1112110020")</f>
        <v>#NAME?</v>
      </c>
      <c r="I1146" s="3" t="e">
        <f ca="1">[1]!BexGetData("DP_1","003N8EMH8GTFRCSWKMPXRSAE6","GSON1112110020")</f>
        <v>#NAME?</v>
      </c>
      <c r="J1146" s="4" t="e">
        <f ca="1">[1]!BexGetData("DP_1","003N8EMH8GTFRCSWKMPXRSGPQ","GSON1112110020")</f>
        <v>#NAME?</v>
      </c>
      <c r="K1146" s="3" t="e">
        <f ca="1">[1]!BexGetData("DP_1","003N8EMH8GTFRIVNUPY288VJH","GSON1112110020")</f>
        <v>#NAME?</v>
      </c>
      <c r="L1146" s="3" t="e">
        <f ca="1">[1]!BexGetData("DP_1","003N8EMH8GTFRIVNUPY2891V1","GSON1112110020")</f>
        <v>#NAME?</v>
      </c>
      <c r="M1146" s="8" t="e">
        <f ca="1">[1]!BexGetData("DP_1","003N8EMH8GTFRIVOG7KG9IQXA","GSON1112110020")</f>
        <v>#NAME?</v>
      </c>
      <c r="N1146" s="3" t="e">
        <f ca="1">[1]!BexGetData("DP_1","003N8EMH8GTFRIVOG7KG9IX8U","GSON1112110020")</f>
        <v>#NAME?</v>
      </c>
      <c r="O1146" s="8" t="e">
        <f ca="1">[1]!BexGetData("DP_1","003N8EMH8GTFRIVOG7KG9J3KE","GSON1112110020")</f>
        <v>#NAME?</v>
      </c>
      <c r="P1146" s="3" t="e">
        <f ca="1">[1]!BexGetData("DP_1","003N8EMH8GTFRIVOG7KG9J9VY","GSON1112110020")</f>
        <v>#NAME?</v>
      </c>
      <c r="Q1146" s="4" t="e">
        <f ca="1">[1]!BexGetData("DP_1","00O2TNJGODT0G5Z4TTKYMM5MT","GSON1112110020")</f>
        <v>#NAME?</v>
      </c>
      <c r="R1146" s="3" t="e">
        <f ca="1">[1]!BexGetData("DP_1","00O2TNJGODT0G5Z4TTKYMMBYD","GSON1112110020")</f>
        <v>#NAME?</v>
      </c>
      <c r="S1146" s="3" t="e">
        <f ca="1">[1]!BexGetData("DP_1","00O2TNJGODT0G5Z4TTKYMMI9X","GSON1112110020")</f>
        <v>#NAME?</v>
      </c>
      <c r="T1146" s="8" t="e">
        <f ca="1">[1]!BexGetData("DP_1","00O2TNJGODT0G5Z4TTKYMMOLH","GSON1112110020")</f>
        <v>#NAME?</v>
      </c>
      <c r="U1146" s="3" t="e">
        <f ca="1">[1]!BexGetData("DP_1","00O2TNJGODT0G5Z4TTKYMMUX1","GSON1112110020")</f>
        <v>#NAME?</v>
      </c>
      <c r="V1146" s="8" t="e">
        <f ca="1">[1]!BexGetData("DP_1","00O2TNJGODT0G5Z4TTKYMN18L","GSON1112110020")</f>
        <v>#NAME?</v>
      </c>
      <c r="W1146" s="3" t="e">
        <f ca="1">[1]!BexGetData("DP_1","00O2TNJGODT0G5Z4TTKYMN7K5","GSON1112110020")</f>
        <v>#NAME?</v>
      </c>
    </row>
    <row r="1147" spans="1:23" x14ac:dyDescent="0.2">
      <c r="A1147" s="16" t="s">
        <v>427</v>
      </c>
      <c r="B1147" s="7" t="s">
        <v>428</v>
      </c>
      <c r="C1147" s="3" t="e">
        <f ca="1">[1]!BexGetData("DP_1","003N8EMH8GTFRCSWKMPXRR8GU","GSON1112110021")</f>
        <v>#NAME?</v>
      </c>
      <c r="D1147" s="3" t="e">
        <f ca="1">[1]!BexGetData("DP_1","003N8EMH8GTFRCSWKMPXRRESE","GSON1112110021")</f>
        <v>#NAME?</v>
      </c>
      <c r="E1147" s="8" t="e">
        <f ca="1">[1]!BexGetData("DP_1","003N8EMH8GTFRCSWKMPXRRL3Y","GSON1112110021")</f>
        <v>#NAME?</v>
      </c>
      <c r="F1147" s="4" t="e">
        <f ca="1">[1]!BexGetData("DP_1","003N8EMH8GTFRCSWKMPXRRRFI","GSON1112110021")</f>
        <v>#NAME?</v>
      </c>
      <c r="G1147" s="4" t="e">
        <f ca="1">[1]!BexGetData("DP_1","003N8EMH8GTFRCSWKMPXRRXR2","GSON1112110021")</f>
        <v>#NAME?</v>
      </c>
      <c r="H1147" s="4" t="e">
        <f ca="1">[1]!BexGetData("DP_1","003N8EMH8GTFRCSWKMPXRS42M","GSON1112110021")</f>
        <v>#NAME?</v>
      </c>
      <c r="I1147" s="4" t="e">
        <f ca="1">[1]!BexGetData("DP_1","003N8EMH8GTFRCSWKMPXRSAE6","GSON1112110021")</f>
        <v>#NAME?</v>
      </c>
      <c r="J1147" s="4" t="e">
        <f ca="1">[1]!BexGetData("DP_1","003N8EMH8GTFRCSWKMPXRSGPQ","GSON1112110021")</f>
        <v>#NAME?</v>
      </c>
      <c r="K1147" s="8" t="e">
        <f ca="1">[1]!BexGetData("DP_1","003N8EMH8GTFRIVNUPY288VJH","GSON1112110021")</f>
        <v>#NAME?</v>
      </c>
      <c r="L1147" s="8" t="e">
        <f ca="1">[1]!BexGetData("DP_1","003N8EMH8GTFRIVNUPY2891V1","GSON1112110021")</f>
        <v>#NAME?</v>
      </c>
      <c r="M1147" s="8" t="e">
        <f ca="1">[1]!BexGetData("DP_1","003N8EMH8GTFRIVOG7KG9IQXA","GSON1112110021")</f>
        <v>#NAME?</v>
      </c>
      <c r="N1147" s="8" t="e">
        <f ca="1">[1]!BexGetData("DP_1","003N8EMH8GTFRIVOG7KG9IX8U","GSON1112110021")</f>
        <v>#NAME?</v>
      </c>
      <c r="O1147" s="8" t="e">
        <f ca="1">[1]!BexGetData("DP_1","003N8EMH8GTFRIVOG7KG9J3KE","GSON1112110021")</f>
        <v>#NAME?</v>
      </c>
      <c r="P1147" s="8" t="e">
        <f ca="1">[1]!BexGetData("DP_1","003N8EMH8GTFRIVOG7KG9J9VY","GSON1112110021")</f>
        <v>#NAME?</v>
      </c>
      <c r="Q1147" s="4" t="e">
        <f ca="1">[1]!BexGetData("DP_1","00O2TNJGODT0G5Z4TTKYMM5MT","GSON1112110021")</f>
        <v>#NAME?</v>
      </c>
      <c r="R1147" s="4" t="e">
        <f ca="1">[1]!BexGetData("DP_1","00O2TNJGODT0G5Z4TTKYMMBYD","GSON1112110021")</f>
        <v>#NAME?</v>
      </c>
      <c r="S1147" s="4" t="e">
        <f ca="1">[1]!BexGetData("DP_1","00O2TNJGODT0G5Z4TTKYMMI9X","GSON1112110021")</f>
        <v>#NAME?</v>
      </c>
      <c r="T1147" s="4" t="e">
        <f ca="1">[1]!BexGetData("DP_1","00O2TNJGODT0G5Z4TTKYMMOLH","GSON1112110021")</f>
        <v>#NAME?</v>
      </c>
      <c r="U1147" s="4" t="e">
        <f ca="1">[1]!BexGetData("DP_1","00O2TNJGODT0G5Z4TTKYMMUX1","GSON1112110021")</f>
        <v>#NAME?</v>
      </c>
      <c r="V1147" s="4" t="e">
        <f ca="1">[1]!BexGetData("DP_1","00O2TNJGODT0G5Z4TTKYMN18L","GSON1112110021")</f>
        <v>#NAME?</v>
      </c>
      <c r="W1147" s="4" t="e">
        <f ca="1">[1]!BexGetData("DP_1","00O2TNJGODT0G5Z4TTKYMN7K5","GSON1112110021")</f>
        <v>#NAME?</v>
      </c>
    </row>
    <row r="1148" spans="1:23" x14ac:dyDescent="0.2">
      <c r="A1148" s="16" t="s">
        <v>1606</v>
      </c>
      <c r="B1148" s="7" t="s">
        <v>1607</v>
      </c>
      <c r="C1148" s="3" t="e">
        <f ca="1">[1]!BexGetData("DP_1","003N8EMH8GTFRCSWKMPXRR8GU","GSON1112110023")</f>
        <v>#NAME?</v>
      </c>
      <c r="D1148" s="3" t="e">
        <f ca="1">[1]!BexGetData("DP_1","003N8EMH8GTFRCSWKMPXRRESE","GSON1112110023")</f>
        <v>#NAME?</v>
      </c>
      <c r="E1148" s="8" t="e">
        <f ca="1">[1]!BexGetData("DP_1","003N8EMH8GTFRCSWKMPXRRL3Y","GSON1112110023")</f>
        <v>#NAME?</v>
      </c>
      <c r="F1148" s="4" t="e">
        <f ca="1">[1]!BexGetData("DP_1","003N8EMH8GTFRCSWKMPXRRRFI","GSON1112110023")</f>
        <v>#NAME?</v>
      </c>
      <c r="G1148" s="4" t="e">
        <f ca="1">[1]!BexGetData("DP_1","003N8EMH8GTFRCSWKMPXRRXR2","GSON1112110023")</f>
        <v>#NAME?</v>
      </c>
      <c r="H1148" s="4" t="e">
        <f ca="1">[1]!BexGetData("DP_1","003N8EMH8GTFRCSWKMPXRS42M","GSON1112110023")</f>
        <v>#NAME?</v>
      </c>
      <c r="I1148" s="4" t="e">
        <f ca="1">[1]!BexGetData("DP_1","003N8EMH8GTFRCSWKMPXRSAE6","GSON1112110023")</f>
        <v>#NAME?</v>
      </c>
      <c r="J1148" s="4" t="e">
        <f ca="1">[1]!BexGetData("DP_1","003N8EMH8GTFRCSWKMPXRSGPQ","GSON1112110023")</f>
        <v>#NAME?</v>
      </c>
      <c r="K1148" s="8" t="e">
        <f ca="1">[1]!BexGetData("DP_1","003N8EMH8GTFRIVNUPY288VJH","GSON1112110023")</f>
        <v>#NAME?</v>
      </c>
      <c r="L1148" s="8" t="e">
        <f ca="1">[1]!BexGetData("DP_1","003N8EMH8GTFRIVNUPY2891V1","GSON1112110023")</f>
        <v>#NAME?</v>
      </c>
      <c r="M1148" s="8" t="e">
        <f ca="1">[1]!BexGetData("DP_1","003N8EMH8GTFRIVOG7KG9IQXA","GSON1112110023")</f>
        <v>#NAME?</v>
      </c>
      <c r="N1148" s="8" t="e">
        <f ca="1">[1]!BexGetData("DP_1","003N8EMH8GTFRIVOG7KG9IX8U","GSON1112110023")</f>
        <v>#NAME?</v>
      </c>
      <c r="O1148" s="8" t="e">
        <f ca="1">[1]!BexGetData("DP_1","003N8EMH8GTFRIVOG7KG9J3KE","GSON1112110023")</f>
        <v>#NAME?</v>
      </c>
      <c r="P1148" s="8" t="e">
        <f ca="1">[1]!BexGetData("DP_1","003N8EMH8GTFRIVOG7KG9J9VY","GSON1112110023")</f>
        <v>#NAME?</v>
      </c>
      <c r="Q1148" s="4" t="e">
        <f ca="1">[1]!BexGetData("DP_1","00O2TNJGODT0G5Z4TTKYMM5MT","GSON1112110023")</f>
        <v>#NAME?</v>
      </c>
      <c r="R1148" s="4" t="e">
        <f ca="1">[1]!BexGetData("DP_1","00O2TNJGODT0G5Z4TTKYMMBYD","GSON1112110023")</f>
        <v>#NAME?</v>
      </c>
      <c r="S1148" s="4" t="e">
        <f ca="1">[1]!BexGetData("DP_1","00O2TNJGODT0G5Z4TTKYMMI9X","GSON1112110023")</f>
        <v>#NAME?</v>
      </c>
      <c r="T1148" s="4" t="e">
        <f ca="1">[1]!BexGetData("DP_1","00O2TNJGODT0G5Z4TTKYMMOLH","GSON1112110023")</f>
        <v>#NAME?</v>
      </c>
      <c r="U1148" s="4" t="e">
        <f ca="1">[1]!BexGetData("DP_1","00O2TNJGODT0G5Z4TTKYMMUX1","GSON1112110023")</f>
        <v>#NAME?</v>
      </c>
      <c r="V1148" s="4" t="e">
        <f ca="1">[1]!BexGetData("DP_1","00O2TNJGODT0G5Z4TTKYMN18L","GSON1112110023")</f>
        <v>#NAME?</v>
      </c>
      <c r="W1148" s="4" t="e">
        <f ca="1">[1]!BexGetData("DP_1","00O2TNJGODT0G5Z4TTKYMN7K5","GSON1112110023")</f>
        <v>#NAME?</v>
      </c>
    </row>
    <row r="1149" spans="1:23" x14ac:dyDescent="0.2">
      <c r="A1149" s="16" t="s">
        <v>3389</v>
      </c>
      <c r="B1149" s="7" t="s">
        <v>1093</v>
      </c>
      <c r="C1149" s="3" t="e">
        <f ca="1">[1]!BexGetData("DP_1","003N8EMH8GTFRCSWKMPXRR8GU","GSON1112110024")</f>
        <v>#NAME?</v>
      </c>
      <c r="D1149" s="3" t="e">
        <f ca="1">[1]!BexGetData("DP_1","003N8EMH8GTFRCSWKMPXRRESE","GSON1112110024")</f>
        <v>#NAME?</v>
      </c>
      <c r="E1149" s="8" t="e">
        <f ca="1">[1]!BexGetData("DP_1","003N8EMH8GTFRCSWKMPXRRL3Y","GSON1112110024")</f>
        <v>#NAME?</v>
      </c>
      <c r="F1149" s="4" t="e">
        <f ca="1">[1]!BexGetData("DP_1","003N8EMH8GTFRCSWKMPXRRRFI","GSON1112110024")</f>
        <v>#NAME?</v>
      </c>
      <c r="G1149" s="4" t="e">
        <f ca="1">[1]!BexGetData("DP_1","003N8EMH8GTFRCSWKMPXRRXR2","GSON1112110024")</f>
        <v>#NAME?</v>
      </c>
      <c r="H1149" s="4" t="e">
        <f ca="1">[1]!BexGetData("DP_1","003N8EMH8GTFRCSWKMPXRS42M","GSON1112110024")</f>
        <v>#NAME?</v>
      </c>
      <c r="I1149" s="4" t="e">
        <f ca="1">[1]!BexGetData("DP_1","003N8EMH8GTFRCSWKMPXRSAE6","GSON1112110024")</f>
        <v>#NAME?</v>
      </c>
      <c r="J1149" s="4" t="e">
        <f ca="1">[1]!BexGetData("DP_1","003N8EMH8GTFRCSWKMPXRSGPQ","GSON1112110024")</f>
        <v>#NAME?</v>
      </c>
      <c r="K1149" s="8" t="e">
        <f ca="1">[1]!BexGetData("DP_1","003N8EMH8GTFRIVNUPY288VJH","GSON1112110024")</f>
        <v>#NAME?</v>
      </c>
      <c r="L1149" s="8" t="e">
        <f ca="1">[1]!BexGetData("DP_1","003N8EMH8GTFRIVNUPY2891V1","GSON1112110024")</f>
        <v>#NAME?</v>
      </c>
      <c r="M1149" s="8" t="e">
        <f ca="1">[1]!BexGetData("DP_1","003N8EMH8GTFRIVOG7KG9IQXA","GSON1112110024")</f>
        <v>#NAME?</v>
      </c>
      <c r="N1149" s="8" t="e">
        <f ca="1">[1]!BexGetData("DP_1","003N8EMH8GTFRIVOG7KG9IX8U","GSON1112110024")</f>
        <v>#NAME?</v>
      </c>
      <c r="O1149" s="8" t="e">
        <f ca="1">[1]!BexGetData("DP_1","003N8EMH8GTFRIVOG7KG9J3KE","GSON1112110024")</f>
        <v>#NAME?</v>
      </c>
      <c r="P1149" s="8" t="e">
        <f ca="1">[1]!BexGetData("DP_1","003N8EMH8GTFRIVOG7KG9J9VY","GSON1112110024")</f>
        <v>#NAME?</v>
      </c>
      <c r="Q1149" s="4" t="e">
        <f ca="1">[1]!BexGetData("DP_1","00O2TNJGODT0G5Z4TTKYMM5MT","GSON1112110024")</f>
        <v>#NAME?</v>
      </c>
      <c r="R1149" s="4" t="e">
        <f ca="1">[1]!BexGetData("DP_1","00O2TNJGODT0G5Z4TTKYMMBYD","GSON1112110024")</f>
        <v>#NAME?</v>
      </c>
      <c r="S1149" s="4" t="e">
        <f ca="1">[1]!BexGetData("DP_1","00O2TNJGODT0G5Z4TTKYMMI9X","GSON1112110024")</f>
        <v>#NAME?</v>
      </c>
      <c r="T1149" s="4" t="e">
        <f ca="1">[1]!BexGetData("DP_1","00O2TNJGODT0G5Z4TTKYMMOLH","GSON1112110024")</f>
        <v>#NAME?</v>
      </c>
      <c r="U1149" s="4" t="e">
        <f ca="1">[1]!BexGetData("DP_1","00O2TNJGODT0G5Z4TTKYMMUX1","GSON1112110024")</f>
        <v>#NAME?</v>
      </c>
      <c r="V1149" s="4" t="e">
        <f ca="1">[1]!BexGetData("DP_1","00O2TNJGODT0G5Z4TTKYMN18L","GSON1112110024")</f>
        <v>#NAME?</v>
      </c>
      <c r="W1149" s="4" t="e">
        <f ca="1">[1]!BexGetData("DP_1","00O2TNJGODT0G5Z4TTKYMN7K5","GSON1112110024")</f>
        <v>#NAME?</v>
      </c>
    </row>
    <row r="1150" spans="1:23" x14ac:dyDescent="0.2">
      <c r="A1150" s="16" t="s">
        <v>1608</v>
      </c>
      <c r="B1150" s="7" t="s">
        <v>1609</v>
      </c>
      <c r="C1150" s="3" t="e">
        <f ca="1">[1]!BexGetData("DP_1","003N8EMH8GTFRCSWKMPXRR8GU","GSON1112110025")</f>
        <v>#NAME?</v>
      </c>
      <c r="D1150" s="3" t="e">
        <f ca="1">[1]!BexGetData("DP_1","003N8EMH8GTFRCSWKMPXRRESE","GSON1112110025")</f>
        <v>#NAME?</v>
      </c>
      <c r="E1150" s="8" t="e">
        <f ca="1">[1]!BexGetData("DP_1","003N8EMH8GTFRCSWKMPXRRL3Y","GSON1112110025")</f>
        <v>#NAME?</v>
      </c>
      <c r="F1150" s="4" t="e">
        <f ca="1">[1]!BexGetData("DP_1","003N8EMH8GTFRCSWKMPXRRRFI","GSON1112110025")</f>
        <v>#NAME?</v>
      </c>
      <c r="G1150" s="4" t="e">
        <f ca="1">[1]!BexGetData("DP_1","003N8EMH8GTFRCSWKMPXRRXR2","GSON1112110025")</f>
        <v>#NAME?</v>
      </c>
      <c r="H1150" s="4" t="e">
        <f ca="1">[1]!BexGetData("DP_1","003N8EMH8GTFRCSWKMPXRS42M","GSON1112110025")</f>
        <v>#NAME?</v>
      </c>
      <c r="I1150" s="4" t="e">
        <f ca="1">[1]!BexGetData("DP_1","003N8EMH8GTFRCSWKMPXRSAE6","GSON1112110025")</f>
        <v>#NAME?</v>
      </c>
      <c r="J1150" s="4" t="e">
        <f ca="1">[1]!BexGetData("DP_1","003N8EMH8GTFRCSWKMPXRSGPQ","GSON1112110025")</f>
        <v>#NAME?</v>
      </c>
      <c r="K1150" s="8" t="e">
        <f ca="1">[1]!BexGetData("DP_1","003N8EMH8GTFRIVNUPY288VJH","GSON1112110025")</f>
        <v>#NAME?</v>
      </c>
      <c r="L1150" s="8" t="e">
        <f ca="1">[1]!BexGetData("DP_1","003N8EMH8GTFRIVNUPY2891V1","GSON1112110025")</f>
        <v>#NAME?</v>
      </c>
      <c r="M1150" s="8" t="e">
        <f ca="1">[1]!BexGetData("DP_1","003N8EMH8GTFRIVOG7KG9IQXA","GSON1112110025")</f>
        <v>#NAME?</v>
      </c>
      <c r="N1150" s="8" t="e">
        <f ca="1">[1]!BexGetData("DP_1","003N8EMH8GTFRIVOG7KG9IX8U","GSON1112110025")</f>
        <v>#NAME?</v>
      </c>
      <c r="O1150" s="8" t="e">
        <f ca="1">[1]!BexGetData("DP_1","003N8EMH8GTFRIVOG7KG9J3KE","GSON1112110025")</f>
        <v>#NAME?</v>
      </c>
      <c r="P1150" s="8" t="e">
        <f ca="1">[1]!BexGetData("DP_1","003N8EMH8GTFRIVOG7KG9J9VY","GSON1112110025")</f>
        <v>#NAME?</v>
      </c>
      <c r="Q1150" s="4" t="e">
        <f ca="1">[1]!BexGetData("DP_1","00O2TNJGODT0G5Z4TTKYMM5MT","GSON1112110025")</f>
        <v>#NAME?</v>
      </c>
      <c r="R1150" s="4" t="e">
        <f ca="1">[1]!BexGetData("DP_1","00O2TNJGODT0G5Z4TTKYMMBYD","GSON1112110025")</f>
        <v>#NAME?</v>
      </c>
      <c r="S1150" s="4" t="e">
        <f ca="1">[1]!BexGetData("DP_1","00O2TNJGODT0G5Z4TTKYMMI9X","GSON1112110025")</f>
        <v>#NAME?</v>
      </c>
      <c r="T1150" s="4" t="e">
        <f ca="1">[1]!BexGetData("DP_1","00O2TNJGODT0G5Z4TTKYMMOLH","GSON1112110025")</f>
        <v>#NAME?</v>
      </c>
      <c r="U1150" s="4" t="e">
        <f ca="1">[1]!BexGetData("DP_1","00O2TNJGODT0G5Z4TTKYMMUX1","GSON1112110025")</f>
        <v>#NAME?</v>
      </c>
      <c r="V1150" s="4" t="e">
        <f ca="1">[1]!BexGetData("DP_1","00O2TNJGODT0G5Z4TTKYMN18L","GSON1112110025")</f>
        <v>#NAME?</v>
      </c>
      <c r="W1150" s="4" t="e">
        <f ca="1">[1]!BexGetData("DP_1","00O2TNJGODT0G5Z4TTKYMN7K5","GSON1112110025")</f>
        <v>#NAME?</v>
      </c>
    </row>
    <row r="1151" spans="1:23" x14ac:dyDescent="0.2">
      <c r="A1151" s="16" t="s">
        <v>3390</v>
      </c>
      <c r="B1151" s="7" t="s">
        <v>1094</v>
      </c>
      <c r="C1151" s="3" t="e">
        <f ca="1">[1]!BexGetData("DP_1","003N8EMH8GTFRCSWKMPXRR8GU","GSON1112110030")</f>
        <v>#NAME?</v>
      </c>
      <c r="D1151" s="3" t="e">
        <f ca="1">[1]!BexGetData("DP_1","003N8EMH8GTFRCSWKMPXRRESE","GSON1112110030")</f>
        <v>#NAME?</v>
      </c>
      <c r="E1151" s="3" t="e">
        <f ca="1">[1]!BexGetData("DP_1","003N8EMH8GTFRCSWKMPXRRL3Y","GSON1112110030")</f>
        <v>#NAME?</v>
      </c>
      <c r="F1151" s="3" t="e">
        <f ca="1">[1]!BexGetData("DP_1","003N8EMH8GTFRCSWKMPXRRRFI","GSON1112110030")</f>
        <v>#NAME?</v>
      </c>
      <c r="G1151" s="3" t="e">
        <f ca="1">[1]!BexGetData("DP_1","003N8EMH8GTFRCSWKMPXRRXR2","GSON1112110030")</f>
        <v>#NAME?</v>
      </c>
      <c r="H1151" s="8" t="e">
        <f ca="1">[1]!BexGetData("DP_1","003N8EMH8GTFRCSWKMPXRS42M","GSON1112110030")</f>
        <v>#NAME?</v>
      </c>
      <c r="I1151" s="3" t="e">
        <f ca="1">[1]!BexGetData("DP_1","003N8EMH8GTFRCSWKMPXRSAE6","GSON1112110030")</f>
        <v>#NAME?</v>
      </c>
      <c r="J1151" s="4" t="e">
        <f ca="1">[1]!BexGetData("DP_1","003N8EMH8GTFRCSWKMPXRSGPQ","GSON1112110030")</f>
        <v>#NAME?</v>
      </c>
      <c r="K1151" s="3" t="e">
        <f ca="1">[1]!BexGetData("DP_1","003N8EMH8GTFRIVNUPY288VJH","GSON1112110030")</f>
        <v>#NAME?</v>
      </c>
      <c r="L1151" s="3" t="e">
        <f ca="1">[1]!BexGetData("DP_1","003N8EMH8GTFRIVNUPY2891V1","GSON1112110030")</f>
        <v>#NAME?</v>
      </c>
      <c r="M1151" s="8" t="e">
        <f ca="1">[1]!BexGetData("DP_1","003N8EMH8GTFRIVOG7KG9IQXA","GSON1112110030")</f>
        <v>#NAME?</v>
      </c>
      <c r="N1151" s="3" t="e">
        <f ca="1">[1]!BexGetData("DP_1","003N8EMH8GTFRIVOG7KG9IX8U","GSON1112110030")</f>
        <v>#NAME?</v>
      </c>
      <c r="O1151" s="8" t="e">
        <f ca="1">[1]!BexGetData("DP_1","003N8EMH8GTFRIVOG7KG9J3KE","GSON1112110030")</f>
        <v>#NAME?</v>
      </c>
      <c r="P1151" s="3" t="e">
        <f ca="1">[1]!BexGetData("DP_1","003N8EMH8GTFRIVOG7KG9J9VY","GSON1112110030")</f>
        <v>#NAME?</v>
      </c>
      <c r="Q1151" s="4" t="e">
        <f ca="1">[1]!BexGetData("DP_1","00O2TNJGODT0G5Z4TTKYMM5MT","GSON1112110030")</f>
        <v>#NAME?</v>
      </c>
      <c r="R1151" s="3" t="e">
        <f ca="1">[1]!BexGetData("DP_1","00O2TNJGODT0G5Z4TTKYMMBYD","GSON1112110030")</f>
        <v>#NAME?</v>
      </c>
      <c r="S1151" s="3" t="e">
        <f ca="1">[1]!BexGetData("DP_1","00O2TNJGODT0G5Z4TTKYMMI9X","GSON1112110030")</f>
        <v>#NAME?</v>
      </c>
      <c r="T1151" s="8" t="e">
        <f ca="1">[1]!BexGetData("DP_1","00O2TNJGODT0G5Z4TTKYMMOLH","GSON1112110030")</f>
        <v>#NAME?</v>
      </c>
      <c r="U1151" s="3" t="e">
        <f ca="1">[1]!BexGetData("DP_1","00O2TNJGODT0G5Z4TTKYMMUX1","GSON1112110030")</f>
        <v>#NAME?</v>
      </c>
      <c r="V1151" s="8" t="e">
        <f ca="1">[1]!BexGetData("DP_1","00O2TNJGODT0G5Z4TTKYMN18L","GSON1112110030")</f>
        <v>#NAME?</v>
      </c>
      <c r="W1151" s="3" t="e">
        <f ca="1">[1]!BexGetData("DP_1","00O2TNJGODT0G5Z4TTKYMN7K5","GSON1112110030")</f>
        <v>#NAME?</v>
      </c>
    </row>
    <row r="1152" spans="1:23" x14ac:dyDescent="0.2">
      <c r="A1152" s="16" t="s">
        <v>1095</v>
      </c>
      <c r="B1152" s="7" t="s">
        <v>1096</v>
      </c>
      <c r="C1152" s="3" t="e">
        <f ca="1">[1]!BexGetData("DP_1","003N8EMH8GTFRCSWKMPXRR8GU","GSON1112110031")</f>
        <v>#NAME?</v>
      </c>
      <c r="D1152" s="3" t="e">
        <f ca="1">[1]!BexGetData("DP_1","003N8EMH8GTFRCSWKMPXRRESE","GSON1112110031")</f>
        <v>#NAME?</v>
      </c>
      <c r="E1152" s="8" t="e">
        <f ca="1">[1]!BexGetData("DP_1","003N8EMH8GTFRCSWKMPXRRL3Y","GSON1112110031")</f>
        <v>#NAME?</v>
      </c>
      <c r="F1152" s="4" t="e">
        <f ca="1">[1]!BexGetData("DP_1","003N8EMH8GTFRCSWKMPXRRRFI","GSON1112110031")</f>
        <v>#NAME?</v>
      </c>
      <c r="G1152" s="4" t="e">
        <f ca="1">[1]!BexGetData("DP_1","003N8EMH8GTFRCSWKMPXRRXR2","GSON1112110031")</f>
        <v>#NAME?</v>
      </c>
      <c r="H1152" s="4" t="e">
        <f ca="1">[1]!BexGetData("DP_1","003N8EMH8GTFRCSWKMPXRS42M","GSON1112110031")</f>
        <v>#NAME?</v>
      </c>
      <c r="I1152" s="4" t="e">
        <f ca="1">[1]!BexGetData("DP_1","003N8EMH8GTFRCSWKMPXRSAE6","GSON1112110031")</f>
        <v>#NAME?</v>
      </c>
      <c r="J1152" s="4" t="e">
        <f ca="1">[1]!BexGetData("DP_1","003N8EMH8GTFRCSWKMPXRSGPQ","GSON1112110031")</f>
        <v>#NAME?</v>
      </c>
      <c r="K1152" s="8" t="e">
        <f ca="1">[1]!BexGetData("DP_1","003N8EMH8GTFRIVNUPY288VJH","GSON1112110031")</f>
        <v>#NAME?</v>
      </c>
      <c r="L1152" s="8" t="e">
        <f ca="1">[1]!BexGetData("DP_1","003N8EMH8GTFRIVNUPY2891V1","GSON1112110031")</f>
        <v>#NAME?</v>
      </c>
      <c r="M1152" s="8" t="e">
        <f ca="1">[1]!BexGetData("DP_1","003N8EMH8GTFRIVOG7KG9IQXA","GSON1112110031")</f>
        <v>#NAME?</v>
      </c>
      <c r="N1152" s="8" t="e">
        <f ca="1">[1]!BexGetData("DP_1","003N8EMH8GTFRIVOG7KG9IX8U","GSON1112110031")</f>
        <v>#NAME?</v>
      </c>
      <c r="O1152" s="8" t="e">
        <f ca="1">[1]!BexGetData("DP_1","003N8EMH8GTFRIVOG7KG9J3KE","GSON1112110031")</f>
        <v>#NAME?</v>
      </c>
      <c r="P1152" s="8" t="e">
        <f ca="1">[1]!BexGetData("DP_1","003N8EMH8GTFRIVOG7KG9J9VY","GSON1112110031")</f>
        <v>#NAME?</v>
      </c>
      <c r="Q1152" s="4" t="e">
        <f ca="1">[1]!BexGetData("DP_1","00O2TNJGODT0G5Z4TTKYMM5MT","GSON1112110031")</f>
        <v>#NAME?</v>
      </c>
      <c r="R1152" s="4" t="e">
        <f ca="1">[1]!BexGetData("DP_1","00O2TNJGODT0G5Z4TTKYMMBYD","GSON1112110031")</f>
        <v>#NAME?</v>
      </c>
      <c r="S1152" s="4" t="e">
        <f ca="1">[1]!BexGetData("DP_1","00O2TNJGODT0G5Z4TTKYMMI9X","GSON1112110031")</f>
        <v>#NAME?</v>
      </c>
      <c r="T1152" s="4" t="e">
        <f ca="1">[1]!BexGetData("DP_1","00O2TNJGODT0G5Z4TTKYMMOLH","GSON1112110031")</f>
        <v>#NAME?</v>
      </c>
      <c r="U1152" s="4" t="e">
        <f ca="1">[1]!BexGetData("DP_1","00O2TNJGODT0G5Z4TTKYMMUX1","GSON1112110031")</f>
        <v>#NAME?</v>
      </c>
      <c r="V1152" s="4" t="e">
        <f ca="1">[1]!BexGetData("DP_1","00O2TNJGODT0G5Z4TTKYMN18L","GSON1112110031")</f>
        <v>#NAME?</v>
      </c>
      <c r="W1152" s="4" t="e">
        <f ca="1">[1]!BexGetData("DP_1","00O2TNJGODT0G5Z4TTKYMN7K5","GSON1112110031")</f>
        <v>#NAME?</v>
      </c>
    </row>
    <row r="1153" spans="1:23" x14ac:dyDescent="0.2">
      <c r="A1153" s="16" t="s">
        <v>1097</v>
      </c>
      <c r="B1153" s="7" t="s">
        <v>1098</v>
      </c>
      <c r="C1153" s="3" t="e">
        <f ca="1">[1]!BexGetData("DP_1","003N8EMH8GTFRCSWKMPXRR8GU","GSON1112110033")</f>
        <v>#NAME?</v>
      </c>
      <c r="D1153" s="3" t="e">
        <f ca="1">[1]!BexGetData("DP_1","003N8EMH8GTFRCSWKMPXRRESE","GSON1112110033")</f>
        <v>#NAME?</v>
      </c>
      <c r="E1153" s="8" t="e">
        <f ca="1">[1]!BexGetData("DP_1","003N8EMH8GTFRCSWKMPXRRL3Y","GSON1112110033")</f>
        <v>#NAME?</v>
      </c>
      <c r="F1153" s="4" t="e">
        <f ca="1">[1]!BexGetData("DP_1","003N8EMH8GTFRCSWKMPXRRRFI","GSON1112110033")</f>
        <v>#NAME?</v>
      </c>
      <c r="G1153" s="4" t="e">
        <f ca="1">[1]!BexGetData("DP_1","003N8EMH8GTFRCSWKMPXRRXR2","GSON1112110033")</f>
        <v>#NAME?</v>
      </c>
      <c r="H1153" s="4" t="e">
        <f ca="1">[1]!BexGetData("DP_1","003N8EMH8GTFRCSWKMPXRS42M","GSON1112110033")</f>
        <v>#NAME?</v>
      </c>
      <c r="I1153" s="4" t="e">
        <f ca="1">[1]!BexGetData("DP_1","003N8EMH8GTFRCSWKMPXRSAE6","GSON1112110033")</f>
        <v>#NAME?</v>
      </c>
      <c r="J1153" s="4" t="e">
        <f ca="1">[1]!BexGetData("DP_1","003N8EMH8GTFRCSWKMPXRSGPQ","GSON1112110033")</f>
        <v>#NAME?</v>
      </c>
      <c r="K1153" s="8" t="e">
        <f ca="1">[1]!BexGetData("DP_1","003N8EMH8GTFRIVNUPY288VJH","GSON1112110033")</f>
        <v>#NAME?</v>
      </c>
      <c r="L1153" s="8" t="e">
        <f ca="1">[1]!BexGetData("DP_1","003N8EMH8GTFRIVNUPY2891V1","GSON1112110033")</f>
        <v>#NAME?</v>
      </c>
      <c r="M1153" s="8" t="e">
        <f ca="1">[1]!BexGetData("DP_1","003N8EMH8GTFRIVOG7KG9IQXA","GSON1112110033")</f>
        <v>#NAME?</v>
      </c>
      <c r="N1153" s="8" t="e">
        <f ca="1">[1]!BexGetData("DP_1","003N8EMH8GTFRIVOG7KG9IX8U","GSON1112110033")</f>
        <v>#NAME?</v>
      </c>
      <c r="O1153" s="8" t="e">
        <f ca="1">[1]!BexGetData("DP_1","003N8EMH8GTFRIVOG7KG9J3KE","GSON1112110033")</f>
        <v>#NAME?</v>
      </c>
      <c r="P1153" s="8" t="e">
        <f ca="1">[1]!BexGetData("DP_1","003N8EMH8GTFRIVOG7KG9J9VY","GSON1112110033")</f>
        <v>#NAME?</v>
      </c>
      <c r="Q1153" s="4" t="e">
        <f ca="1">[1]!BexGetData("DP_1","00O2TNJGODT0G5Z4TTKYMM5MT","GSON1112110033")</f>
        <v>#NAME?</v>
      </c>
      <c r="R1153" s="4" t="e">
        <f ca="1">[1]!BexGetData("DP_1","00O2TNJGODT0G5Z4TTKYMMBYD","GSON1112110033")</f>
        <v>#NAME?</v>
      </c>
      <c r="S1153" s="4" t="e">
        <f ca="1">[1]!BexGetData("DP_1","00O2TNJGODT0G5Z4TTKYMMI9X","GSON1112110033")</f>
        <v>#NAME?</v>
      </c>
      <c r="T1153" s="4" t="e">
        <f ca="1">[1]!BexGetData("DP_1","00O2TNJGODT0G5Z4TTKYMMOLH","GSON1112110033")</f>
        <v>#NAME?</v>
      </c>
      <c r="U1153" s="4" t="e">
        <f ca="1">[1]!BexGetData("DP_1","00O2TNJGODT0G5Z4TTKYMMUX1","GSON1112110033")</f>
        <v>#NAME?</v>
      </c>
      <c r="V1153" s="4" t="e">
        <f ca="1">[1]!BexGetData("DP_1","00O2TNJGODT0G5Z4TTKYMN18L","GSON1112110033")</f>
        <v>#NAME?</v>
      </c>
      <c r="W1153" s="4" t="e">
        <f ca="1">[1]!BexGetData("DP_1","00O2TNJGODT0G5Z4TTKYMN7K5","GSON1112110033")</f>
        <v>#NAME?</v>
      </c>
    </row>
    <row r="1154" spans="1:23" x14ac:dyDescent="0.2">
      <c r="A1154" s="16" t="s">
        <v>3391</v>
      </c>
      <c r="B1154" s="7" t="s">
        <v>1099</v>
      </c>
      <c r="C1154" s="3" t="e">
        <f ca="1">[1]!BexGetData("DP_1","003N8EMH8GTFRCSWKMPXRR8GU","GSON1112110034")</f>
        <v>#NAME?</v>
      </c>
      <c r="D1154" s="3" t="e">
        <f ca="1">[1]!BexGetData("DP_1","003N8EMH8GTFRCSWKMPXRRESE","GSON1112110034")</f>
        <v>#NAME?</v>
      </c>
      <c r="E1154" s="8" t="e">
        <f ca="1">[1]!BexGetData("DP_1","003N8EMH8GTFRCSWKMPXRRL3Y","GSON1112110034")</f>
        <v>#NAME?</v>
      </c>
      <c r="F1154" s="4" t="e">
        <f ca="1">[1]!BexGetData("DP_1","003N8EMH8GTFRCSWKMPXRRRFI","GSON1112110034")</f>
        <v>#NAME?</v>
      </c>
      <c r="G1154" s="4" t="e">
        <f ca="1">[1]!BexGetData("DP_1","003N8EMH8GTFRCSWKMPXRRXR2","GSON1112110034")</f>
        <v>#NAME?</v>
      </c>
      <c r="H1154" s="4" t="e">
        <f ca="1">[1]!BexGetData("DP_1","003N8EMH8GTFRCSWKMPXRS42M","GSON1112110034")</f>
        <v>#NAME?</v>
      </c>
      <c r="I1154" s="4" t="e">
        <f ca="1">[1]!BexGetData("DP_1","003N8EMH8GTFRCSWKMPXRSAE6","GSON1112110034")</f>
        <v>#NAME?</v>
      </c>
      <c r="J1154" s="4" t="e">
        <f ca="1">[1]!BexGetData("DP_1","003N8EMH8GTFRCSWKMPXRSGPQ","GSON1112110034")</f>
        <v>#NAME?</v>
      </c>
      <c r="K1154" s="8" t="e">
        <f ca="1">[1]!BexGetData("DP_1","003N8EMH8GTFRIVNUPY288VJH","GSON1112110034")</f>
        <v>#NAME?</v>
      </c>
      <c r="L1154" s="8" t="e">
        <f ca="1">[1]!BexGetData("DP_1","003N8EMH8GTFRIVNUPY2891V1","GSON1112110034")</f>
        <v>#NAME?</v>
      </c>
      <c r="M1154" s="8" t="e">
        <f ca="1">[1]!BexGetData("DP_1","003N8EMH8GTFRIVOG7KG9IQXA","GSON1112110034")</f>
        <v>#NAME?</v>
      </c>
      <c r="N1154" s="8" t="e">
        <f ca="1">[1]!BexGetData("DP_1","003N8EMH8GTFRIVOG7KG9IX8U","GSON1112110034")</f>
        <v>#NAME?</v>
      </c>
      <c r="O1154" s="8" t="e">
        <f ca="1">[1]!BexGetData("DP_1","003N8EMH8GTFRIVOG7KG9J3KE","GSON1112110034")</f>
        <v>#NAME?</v>
      </c>
      <c r="P1154" s="8" t="e">
        <f ca="1">[1]!BexGetData("DP_1","003N8EMH8GTFRIVOG7KG9J9VY","GSON1112110034")</f>
        <v>#NAME?</v>
      </c>
      <c r="Q1154" s="4" t="e">
        <f ca="1">[1]!BexGetData("DP_1","00O2TNJGODT0G5Z4TTKYMM5MT","GSON1112110034")</f>
        <v>#NAME?</v>
      </c>
      <c r="R1154" s="4" t="e">
        <f ca="1">[1]!BexGetData("DP_1","00O2TNJGODT0G5Z4TTKYMMBYD","GSON1112110034")</f>
        <v>#NAME?</v>
      </c>
      <c r="S1154" s="4" t="e">
        <f ca="1">[1]!BexGetData("DP_1","00O2TNJGODT0G5Z4TTKYMMI9X","GSON1112110034")</f>
        <v>#NAME?</v>
      </c>
      <c r="T1154" s="4" t="e">
        <f ca="1">[1]!BexGetData("DP_1","00O2TNJGODT0G5Z4TTKYMMOLH","GSON1112110034")</f>
        <v>#NAME?</v>
      </c>
      <c r="U1154" s="4" t="e">
        <f ca="1">[1]!BexGetData("DP_1","00O2TNJGODT0G5Z4TTKYMMUX1","GSON1112110034")</f>
        <v>#NAME?</v>
      </c>
      <c r="V1154" s="4" t="e">
        <f ca="1">[1]!BexGetData("DP_1","00O2TNJGODT0G5Z4TTKYMN18L","GSON1112110034")</f>
        <v>#NAME?</v>
      </c>
      <c r="W1154" s="4" t="e">
        <f ca="1">[1]!BexGetData("DP_1","00O2TNJGODT0G5Z4TTKYMN7K5","GSON1112110034")</f>
        <v>#NAME?</v>
      </c>
    </row>
    <row r="1155" spans="1:23" x14ac:dyDescent="0.2">
      <c r="A1155" s="16" t="s">
        <v>3392</v>
      </c>
      <c r="B1155" s="7" t="s">
        <v>3393</v>
      </c>
      <c r="C1155" s="3" t="e">
        <f ca="1">[1]!BexGetData("DP_1","003N8EMH8GTFRCSWKMPXRR8GU","GSON1112110040")</f>
        <v>#NAME?</v>
      </c>
      <c r="D1155" s="3" t="e">
        <f ca="1">[1]!BexGetData("DP_1","003N8EMH8GTFRCSWKMPXRRESE","GSON1112110040")</f>
        <v>#NAME?</v>
      </c>
      <c r="E1155" s="8" t="e">
        <f ca="1">[1]!BexGetData("DP_1","003N8EMH8GTFRCSWKMPXRRL3Y","GSON1112110040")</f>
        <v>#NAME?</v>
      </c>
      <c r="F1155" s="3" t="e">
        <f ca="1">[1]!BexGetData("DP_1","003N8EMH8GTFRCSWKMPXRRRFI","GSON1112110040")</f>
        <v>#NAME?</v>
      </c>
      <c r="G1155" s="3" t="e">
        <f ca="1">[1]!BexGetData("DP_1","003N8EMH8GTFRCSWKMPXRRXR2","GSON1112110040")</f>
        <v>#NAME?</v>
      </c>
      <c r="H1155" s="8" t="e">
        <f ca="1">[1]!BexGetData("DP_1","003N8EMH8GTFRCSWKMPXRS42M","GSON1112110040")</f>
        <v>#NAME?</v>
      </c>
      <c r="I1155" s="3" t="e">
        <f ca="1">[1]!BexGetData("DP_1","003N8EMH8GTFRCSWKMPXRSAE6","GSON1112110040")</f>
        <v>#NAME?</v>
      </c>
      <c r="J1155" s="4" t="e">
        <f ca="1">[1]!BexGetData("DP_1","003N8EMH8GTFRCSWKMPXRSGPQ","GSON1112110040")</f>
        <v>#NAME?</v>
      </c>
      <c r="K1155" s="3" t="e">
        <f ca="1">[1]!BexGetData("DP_1","003N8EMH8GTFRIVNUPY288VJH","GSON1112110040")</f>
        <v>#NAME?</v>
      </c>
      <c r="L1155" s="3" t="e">
        <f ca="1">[1]!BexGetData("DP_1","003N8EMH8GTFRIVNUPY2891V1","GSON1112110040")</f>
        <v>#NAME?</v>
      </c>
      <c r="M1155" s="3" t="e">
        <f ca="1">[1]!BexGetData("DP_1","003N8EMH8GTFRIVOG7KG9IQXA","GSON1112110040")</f>
        <v>#NAME?</v>
      </c>
      <c r="N1155" s="8" t="e">
        <f ca="1">[1]!BexGetData("DP_1","003N8EMH8GTFRIVOG7KG9IX8U","GSON1112110040")</f>
        <v>#NAME?</v>
      </c>
      <c r="O1155" s="3" t="e">
        <f ca="1">[1]!BexGetData("DP_1","003N8EMH8GTFRIVOG7KG9J3KE","GSON1112110040")</f>
        <v>#NAME?</v>
      </c>
      <c r="P1155" s="8" t="e">
        <f ca="1">[1]!BexGetData("DP_1","003N8EMH8GTFRIVOG7KG9J9VY","GSON1112110040")</f>
        <v>#NAME?</v>
      </c>
      <c r="Q1155" s="4" t="e">
        <f ca="1">[1]!BexGetData("DP_1","00O2TNJGODT0G5Z4TTKYMM5MT","GSON1112110040")</f>
        <v>#NAME?</v>
      </c>
      <c r="R1155" s="3" t="e">
        <f ca="1">[1]!BexGetData("DP_1","00O2TNJGODT0G5Z4TTKYMMBYD","GSON1112110040")</f>
        <v>#NAME?</v>
      </c>
      <c r="S1155" s="3" t="e">
        <f ca="1">[1]!BexGetData("DP_1","00O2TNJGODT0G5Z4TTKYMMI9X","GSON1112110040")</f>
        <v>#NAME?</v>
      </c>
      <c r="T1155" s="8" t="e">
        <f ca="1">[1]!BexGetData("DP_1","00O2TNJGODT0G5Z4TTKYMMOLH","GSON1112110040")</f>
        <v>#NAME?</v>
      </c>
      <c r="U1155" s="3" t="e">
        <f ca="1">[1]!BexGetData("DP_1","00O2TNJGODT0G5Z4TTKYMMUX1","GSON1112110040")</f>
        <v>#NAME?</v>
      </c>
      <c r="V1155" s="8" t="e">
        <f ca="1">[1]!BexGetData("DP_1","00O2TNJGODT0G5Z4TTKYMN18L","GSON1112110040")</f>
        <v>#NAME?</v>
      </c>
      <c r="W1155" s="3" t="e">
        <f ca="1">[1]!BexGetData("DP_1","00O2TNJGODT0G5Z4TTKYMN7K5","GSON1112110040")</f>
        <v>#NAME?</v>
      </c>
    </row>
    <row r="1156" spans="1:23" x14ac:dyDescent="0.2">
      <c r="A1156" s="16" t="s">
        <v>3394</v>
      </c>
      <c r="B1156" s="7" t="s">
        <v>3395</v>
      </c>
      <c r="C1156" s="3" t="e">
        <f ca="1">[1]!BexGetData("DP_1","003N8EMH8GTFRCSWKMPXRR8GU","GSON1112110043")</f>
        <v>#NAME?</v>
      </c>
      <c r="D1156" s="3" t="e">
        <f ca="1">[1]!BexGetData("DP_1","003N8EMH8GTFRCSWKMPXRRESE","GSON1112110043")</f>
        <v>#NAME?</v>
      </c>
      <c r="E1156" s="8" t="e">
        <f ca="1">[1]!BexGetData("DP_1","003N8EMH8GTFRCSWKMPXRRL3Y","GSON1112110043")</f>
        <v>#NAME?</v>
      </c>
      <c r="F1156" s="4" t="e">
        <f ca="1">[1]!BexGetData("DP_1","003N8EMH8GTFRCSWKMPXRRRFI","GSON1112110043")</f>
        <v>#NAME?</v>
      </c>
      <c r="G1156" s="4" t="e">
        <f ca="1">[1]!BexGetData("DP_1","003N8EMH8GTFRCSWKMPXRRXR2","GSON1112110043")</f>
        <v>#NAME?</v>
      </c>
      <c r="H1156" s="4" t="e">
        <f ca="1">[1]!BexGetData("DP_1","003N8EMH8GTFRCSWKMPXRS42M","GSON1112110043")</f>
        <v>#NAME?</v>
      </c>
      <c r="I1156" s="4" t="e">
        <f ca="1">[1]!BexGetData("DP_1","003N8EMH8GTFRCSWKMPXRSAE6","GSON1112110043")</f>
        <v>#NAME?</v>
      </c>
      <c r="J1156" s="4" t="e">
        <f ca="1">[1]!BexGetData("DP_1","003N8EMH8GTFRCSWKMPXRSGPQ","GSON1112110043")</f>
        <v>#NAME?</v>
      </c>
      <c r="K1156" s="8" t="e">
        <f ca="1">[1]!BexGetData("DP_1","003N8EMH8GTFRIVNUPY288VJH","GSON1112110043")</f>
        <v>#NAME?</v>
      </c>
      <c r="L1156" s="8" t="e">
        <f ca="1">[1]!BexGetData("DP_1","003N8EMH8GTFRIVNUPY2891V1","GSON1112110043")</f>
        <v>#NAME?</v>
      </c>
      <c r="M1156" s="8" t="e">
        <f ca="1">[1]!BexGetData("DP_1","003N8EMH8GTFRIVOG7KG9IQXA","GSON1112110043")</f>
        <v>#NAME?</v>
      </c>
      <c r="N1156" s="8" t="e">
        <f ca="1">[1]!BexGetData("DP_1","003N8EMH8GTFRIVOG7KG9IX8U","GSON1112110043")</f>
        <v>#NAME?</v>
      </c>
      <c r="O1156" s="8" t="e">
        <f ca="1">[1]!BexGetData("DP_1","003N8EMH8GTFRIVOG7KG9J3KE","GSON1112110043")</f>
        <v>#NAME?</v>
      </c>
      <c r="P1156" s="8" t="e">
        <f ca="1">[1]!BexGetData("DP_1","003N8EMH8GTFRIVOG7KG9J9VY","GSON1112110043")</f>
        <v>#NAME?</v>
      </c>
      <c r="Q1156" s="4" t="e">
        <f ca="1">[1]!BexGetData("DP_1","00O2TNJGODT0G5Z4TTKYMM5MT","GSON1112110043")</f>
        <v>#NAME?</v>
      </c>
      <c r="R1156" s="4" t="e">
        <f ca="1">[1]!BexGetData("DP_1","00O2TNJGODT0G5Z4TTKYMMBYD","GSON1112110043")</f>
        <v>#NAME?</v>
      </c>
      <c r="S1156" s="4" t="e">
        <f ca="1">[1]!BexGetData("DP_1","00O2TNJGODT0G5Z4TTKYMMI9X","GSON1112110043")</f>
        <v>#NAME?</v>
      </c>
      <c r="T1156" s="4" t="e">
        <f ca="1">[1]!BexGetData("DP_1","00O2TNJGODT0G5Z4TTKYMMOLH","GSON1112110043")</f>
        <v>#NAME?</v>
      </c>
      <c r="U1156" s="4" t="e">
        <f ca="1">[1]!BexGetData("DP_1","00O2TNJGODT0G5Z4TTKYMMUX1","GSON1112110043")</f>
        <v>#NAME?</v>
      </c>
      <c r="V1156" s="4" t="e">
        <f ca="1">[1]!BexGetData("DP_1","00O2TNJGODT0G5Z4TTKYMN18L","GSON1112110043")</f>
        <v>#NAME?</v>
      </c>
      <c r="W1156" s="4" t="e">
        <f ca="1">[1]!BexGetData("DP_1","00O2TNJGODT0G5Z4TTKYMN7K5","GSON1112110043")</f>
        <v>#NAME?</v>
      </c>
    </row>
    <row r="1157" spans="1:23" x14ac:dyDescent="0.2">
      <c r="A1157" s="16" t="s">
        <v>3396</v>
      </c>
      <c r="B1157" s="7" t="s">
        <v>3397</v>
      </c>
      <c r="C1157" s="3" t="e">
        <f ca="1">[1]!BexGetData("DP_1","003N8EMH8GTFRCSWKMPXRR8GU","GSON1112110044")</f>
        <v>#NAME?</v>
      </c>
      <c r="D1157" s="3" t="e">
        <f ca="1">[1]!BexGetData("DP_1","003N8EMH8GTFRCSWKMPXRRESE","GSON1112110044")</f>
        <v>#NAME?</v>
      </c>
      <c r="E1157" s="8" t="e">
        <f ca="1">[1]!BexGetData("DP_1","003N8EMH8GTFRCSWKMPXRRL3Y","GSON1112110044")</f>
        <v>#NAME?</v>
      </c>
      <c r="F1157" s="4" t="e">
        <f ca="1">[1]!BexGetData("DP_1","003N8EMH8GTFRCSWKMPXRRRFI","GSON1112110044")</f>
        <v>#NAME?</v>
      </c>
      <c r="G1157" s="4" t="e">
        <f ca="1">[1]!BexGetData("DP_1","003N8EMH8GTFRCSWKMPXRRXR2","GSON1112110044")</f>
        <v>#NAME?</v>
      </c>
      <c r="H1157" s="4" t="e">
        <f ca="1">[1]!BexGetData("DP_1","003N8EMH8GTFRCSWKMPXRS42M","GSON1112110044")</f>
        <v>#NAME?</v>
      </c>
      <c r="I1157" s="4" t="e">
        <f ca="1">[1]!BexGetData("DP_1","003N8EMH8GTFRCSWKMPXRSAE6","GSON1112110044")</f>
        <v>#NAME?</v>
      </c>
      <c r="J1157" s="4" t="e">
        <f ca="1">[1]!BexGetData("DP_1","003N8EMH8GTFRCSWKMPXRSGPQ","GSON1112110044")</f>
        <v>#NAME?</v>
      </c>
      <c r="K1157" s="8" t="e">
        <f ca="1">[1]!BexGetData("DP_1","003N8EMH8GTFRIVNUPY288VJH","GSON1112110044")</f>
        <v>#NAME?</v>
      </c>
      <c r="L1157" s="8" t="e">
        <f ca="1">[1]!BexGetData("DP_1","003N8EMH8GTFRIVNUPY2891V1","GSON1112110044")</f>
        <v>#NAME?</v>
      </c>
      <c r="M1157" s="8" t="e">
        <f ca="1">[1]!BexGetData("DP_1","003N8EMH8GTFRIVOG7KG9IQXA","GSON1112110044")</f>
        <v>#NAME?</v>
      </c>
      <c r="N1157" s="8" t="e">
        <f ca="1">[1]!BexGetData("DP_1","003N8EMH8GTFRIVOG7KG9IX8U","GSON1112110044")</f>
        <v>#NAME?</v>
      </c>
      <c r="O1157" s="8" t="e">
        <f ca="1">[1]!BexGetData("DP_1","003N8EMH8GTFRIVOG7KG9J3KE","GSON1112110044")</f>
        <v>#NAME?</v>
      </c>
      <c r="P1157" s="8" t="e">
        <f ca="1">[1]!BexGetData("DP_1","003N8EMH8GTFRIVOG7KG9J9VY","GSON1112110044")</f>
        <v>#NAME?</v>
      </c>
      <c r="Q1157" s="4" t="e">
        <f ca="1">[1]!BexGetData("DP_1","00O2TNJGODT0G5Z4TTKYMM5MT","GSON1112110044")</f>
        <v>#NAME?</v>
      </c>
      <c r="R1157" s="4" t="e">
        <f ca="1">[1]!BexGetData("DP_1","00O2TNJGODT0G5Z4TTKYMMBYD","GSON1112110044")</f>
        <v>#NAME?</v>
      </c>
      <c r="S1157" s="4" t="e">
        <f ca="1">[1]!BexGetData("DP_1","00O2TNJGODT0G5Z4TTKYMMI9X","GSON1112110044")</f>
        <v>#NAME?</v>
      </c>
      <c r="T1157" s="4" t="e">
        <f ca="1">[1]!BexGetData("DP_1","00O2TNJGODT0G5Z4TTKYMMOLH","GSON1112110044")</f>
        <v>#NAME?</v>
      </c>
      <c r="U1157" s="4" t="e">
        <f ca="1">[1]!BexGetData("DP_1","00O2TNJGODT0G5Z4TTKYMMUX1","GSON1112110044")</f>
        <v>#NAME?</v>
      </c>
      <c r="V1157" s="4" t="e">
        <f ca="1">[1]!BexGetData("DP_1","00O2TNJGODT0G5Z4TTKYMN18L","GSON1112110044")</f>
        <v>#NAME?</v>
      </c>
      <c r="W1157" s="4" t="e">
        <f ca="1">[1]!BexGetData("DP_1","00O2TNJGODT0G5Z4TTKYMN7K5","GSON1112110044")</f>
        <v>#NAME?</v>
      </c>
    </row>
    <row r="1158" spans="1:23" x14ac:dyDescent="0.2">
      <c r="A1158" s="16" t="s">
        <v>3398</v>
      </c>
      <c r="B1158" s="7" t="s">
        <v>1100</v>
      </c>
      <c r="C1158" s="3" t="e">
        <f ca="1">[1]!BexGetData("DP_1","003N8EMH8GTFRCSWKMPXRR8GU","GSON1112110060")</f>
        <v>#NAME?</v>
      </c>
      <c r="D1158" s="3" t="e">
        <f ca="1">[1]!BexGetData("DP_1","003N8EMH8GTFRCSWKMPXRRESE","GSON1112110060")</f>
        <v>#NAME?</v>
      </c>
      <c r="E1158" s="3" t="e">
        <f ca="1">[1]!BexGetData("DP_1","003N8EMH8GTFRCSWKMPXRRL3Y","GSON1112110060")</f>
        <v>#NAME?</v>
      </c>
      <c r="F1158" s="3" t="e">
        <f ca="1">[1]!BexGetData("DP_1","003N8EMH8GTFRCSWKMPXRRRFI","GSON1112110060")</f>
        <v>#NAME?</v>
      </c>
      <c r="G1158" s="3" t="e">
        <f ca="1">[1]!BexGetData("DP_1","003N8EMH8GTFRCSWKMPXRRXR2","GSON1112110060")</f>
        <v>#NAME?</v>
      </c>
      <c r="H1158" s="8" t="e">
        <f ca="1">[1]!BexGetData("DP_1","003N8EMH8GTFRCSWKMPXRS42M","GSON1112110060")</f>
        <v>#NAME?</v>
      </c>
      <c r="I1158" s="3" t="e">
        <f ca="1">[1]!BexGetData("DP_1","003N8EMH8GTFRCSWKMPXRSAE6","GSON1112110060")</f>
        <v>#NAME?</v>
      </c>
      <c r="J1158" s="4" t="e">
        <f ca="1">[1]!BexGetData("DP_1","003N8EMH8GTFRCSWKMPXRSGPQ","GSON1112110060")</f>
        <v>#NAME?</v>
      </c>
      <c r="K1158" s="3" t="e">
        <f ca="1">[1]!BexGetData("DP_1","003N8EMH8GTFRIVNUPY288VJH","GSON1112110060")</f>
        <v>#NAME?</v>
      </c>
      <c r="L1158" s="3" t="e">
        <f ca="1">[1]!BexGetData("DP_1","003N8EMH8GTFRIVNUPY2891V1","GSON1112110060")</f>
        <v>#NAME?</v>
      </c>
      <c r="M1158" s="3" t="e">
        <f ca="1">[1]!BexGetData("DP_1","003N8EMH8GTFRIVOG7KG9IQXA","GSON1112110060")</f>
        <v>#NAME?</v>
      </c>
      <c r="N1158" s="8" t="e">
        <f ca="1">[1]!BexGetData("DP_1","003N8EMH8GTFRIVOG7KG9IX8U","GSON1112110060")</f>
        <v>#NAME?</v>
      </c>
      <c r="O1158" s="3" t="e">
        <f ca="1">[1]!BexGetData("DP_1","003N8EMH8GTFRIVOG7KG9J3KE","GSON1112110060")</f>
        <v>#NAME?</v>
      </c>
      <c r="P1158" s="8" t="e">
        <f ca="1">[1]!BexGetData("DP_1","003N8EMH8GTFRIVOG7KG9J9VY","GSON1112110060")</f>
        <v>#NAME?</v>
      </c>
      <c r="Q1158" s="4" t="e">
        <f ca="1">[1]!BexGetData("DP_1","00O2TNJGODT0G5Z4TTKYMM5MT","GSON1112110060")</f>
        <v>#NAME?</v>
      </c>
      <c r="R1158" s="3" t="e">
        <f ca="1">[1]!BexGetData("DP_1","00O2TNJGODT0G5Z4TTKYMMBYD","GSON1112110060")</f>
        <v>#NAME?</v>
      </c>
      <c r="S1158" s="3" t="e">
        <f ca="1">[1]!BexGetData("DP_1","00O2TNJGODT0G5Z4TTKYMMI9X","GSON1112110060")</f>
        <v>#NAME?</v>
      </c>
      <c r="T1158" s="8" t="e">
        <f ca="1">[1]!BexGetData("DP_1","00O2TNJGODT0G5Z4TTKYMMOLH","GSON1112110060")</f>
        <v>#NAME?</v>
      </c>
      <c r="U1158" s="3" t="e">
        <f ca="1">[1]!BexGetData("DP_1","00O2TNJGODT0G5Z4TTKYMMUX1","GSON1112110060")</f>
        <v>#NAME?</v>
      </c>
      <c r="V1158" s="8" t="e">
        <f ca="1">[1]!BexGetData("DP_1","00O2TNJGODT0G5Z4TTKYMN18L","GSON1112110060")</f>
        <v>#NAME?</v>
      </c>
      <c r="W1158" s="3" t="e">
        <f ca="1">[1]!BexGetData("DP_1","00O2TNJGODT0G5Z4TTKYMN7K5","GSON1112110060")</f>
        <v>#NAME?</v>
      </c>
    </row>
    <row r="1159" spans="1:23" x14ac:dyDescent="0.2">
      <c r="A1159" s="16" t="s">
        <v>3399</v>
      </c>
      <c r="B1159" s="7" t="s">
        <v>3400</v>
      </c>
      <c r="C1159" s="3" t="e">
        <f ca="1">[1]!BexGetData("DP_1","003N8EMH8GTFRCSWKMPXRR8GU","GSON1112110061")</f>
        <v>#NAME?</v>
      </c>
      <c r="D1159" s="3" t="e">
        <f ca="1">[1]!BexGetData("DP_1","003N8EMH8GTFRCSWKMPXRRESE","GSON1112110061")</f>
        <v>#NAME?</v>
      </c>
      <c r="E1159" s="8" t="e">
        <f ca="1">[1]!BexGetData("DP_1","003N8EMH8GTFRCSWKMPXRRL3Y","GSON1112110061")</f>
        <v>#NAME?</v>
      </c>
      <c r="F1159" s="4" t="e">
        <f ca="1">[1]!BexGetData("DP_1","003N8EMH8GTFRCSWKMPXRRRFI","GSON1112110061")</f>
        <v>#NAME?</v>
      </c>
      <c r="G1159" s="4" t="e">
        <f ca="1">[1]!BexGetData("DP_1","003N8EMH8GTFRCSWKMPXRRXR2","GSON1112110061")</f>
        <v>#NAME?</v>
      </c>
      <c r="H1159" s="4" t="e">
        <f ca="1">[1]!BexGetData("DP_1","003N8EMH8GTFRCSWKMPXRS42M","GSON1112110061")</f>
        <v>#NAME?</v>
      </c>
      <c r="I1159" s="4" t="e">
        <f ca="1">[1]!BexGetData("DP_1","003N8EMH8GTFRCSWKMPXRSAE6","GSON1112110061")</f>
        <v>#NAME?</v>
      </c>
      <c r="J1159" s="4" t="e">
        <f ca="1">[1]!BexGetData("DP_1","003N8EMH8GTFRCSWKMPXRSGPQ","GSON1112110061")</f>
        <v>#NAME?</v>
      </c>
      <c r="K1159" s="8" t="e">
        <f ca="1">[1]!BexGetData("DP_1","003N8EMH8GTFRIVNUPY288VJH","GSON1112110061")</f>
        <v>#NAME?</v>
      </c>
      <c r="L1159" s="8" t="e">
        <f ca="1">[1]!BexGetData("DP_1","003N8EMH8GTFRIVNUPY2891V1","GSON1112110061")</f>
        <v>#NAME?</v>
      </c>
      <c r="M1159" s="8" t="e">
        <f ca="1">[1]!BexGetData("DP_1","003N8EMH8GTFRIVOG7KG9IQXA","GSON1112110061")</f>
        <v>#NAME?</v>
      </c>
      <c r="N1159" s="8" t="e">
        <f ca="1">[1]!BexGetData("DP_1","003N8EMH8GTFRIVOG7KG9IX8U","GSON1112110061")</f>
        <v>#NAME?</v>
      </c>
      <c r="O1159" s="8" t="e">
        <f ca="1">[1]!BexGetData("DP_1","003N8EMH8GTFRIVOG7KG9J3KE","GSON1112110061")</f>
        <v>#NAME?</v>
      </c>
      <c r="P1159" s="8" t="e">
        <f ca="1">[1]!BexGetData("DP_1","003N8EMH8GTFRIVOG7KG9J9VY","GSON1112110061")</f>
        <v>#NAME?</v>
      </c>
      <c r="Q1159" s="4" t="e">
        <f ca="1">[1]!BexGetData("DP_1","00O2TNJGODT0G5Z4TTKYMM5MT","GSON1112110061")</f>
        <v>#NAME?</v>
      </c>
      <c r="R1159" s="4" t="e">
        <f ca="1">[1]!BexGetData("DP_1","00O2TNJGODT0G5Z4TTKYMMBYD","GSON1112110061")</f>
        <v>#NAME?</v>
      </c>
      <c r="S1159" s="4" t="e">
        <f ca="1">[1]!BexGetData("DP_1","00O2TNJGODT0G5Z4TTKYMMI9X","GSON1112110061")</f>
        <v>#NAME?</v>
      </c>
      <c r="T1159" s="4" t="e">
        <f ca="1">[1]!BexGetData("DP_1","00O2TNJGODT0G5Z4TTKYMMOLH","GSON1112110061")</f>
        <v>#NAME?</v>
      </c>
      <c r="U1159" s="4" t="e">
        <f ca="1">[1]!BexGetData("DP_1","00O2TNJGODT0G5Z4TTKYMMUX1","GSON1112110061")</f>
        <v>#NAME?</v>
      </c>
      <c r="V1159" s="4" t="e">
        <f ca="1">[1]!BexGetData("DP_1","00O2TNJGODT0G5Z4TTKYMN18L","GSON1112110061")</f>
        <v>#NAME?</v>
      </c>
      <c r="W1159" s="4" t="e">
        <f ca="1">[1]!BexGetData("DP_1","00O2TNJGODT0G5Z4TTKYMN7K5","GSON1112110061")</f>
        <v>#NAME?</v>
      </c>
    </row>
    <row r="1160" spans="1:23" x14ac:dyDescent="0.2">
      <c r="A1160" s="16" t="s">
        <v>3401</v>
      </c>
      <c r="B1160" s="7" t="s">
        <v>1101</v>
      </c>
      <c r="C1160" s="8" t="e">
        <f ca="1">[1]!BexGetData("DP_1","003N8EMH8GTFRCSWKMPXRR8GU","GSON1112110062")</f>
        <v>#NAME?</v>
      </c>
      <c r="D1160" s="8" t="e">
        <f ca="1">[1]!BexGetData("DP_1","003N8EMH8GTFRCSWKMPXRRESE","GSON1112110062")</f>
        <v>#NAME?</v>
      </c>
      <c r="E1160" s="3" t="e">
        <f ca="1">[1]!BexGetData("DP_1","003N8EMH8GTFRCSWKMPXRRL3Y","GSON1112110062")</f>
        <v>#NAME?</v>
      </c>
      <c r="F1160" s="3" t="e">
        <f ca="1">[1]!BexGetData("DP_1","003N8EMH8GTFRCSWKMPXRRRFI","GSON1112110062")</f>
        <v>#NAME?</v>
      </c>
      <c r="G1160" s="8" t="e">
        <f ca="1">[1]!BexGetData("DP_1","003N8EMH8GTFRCSWKMPXRRXR2","GSON1112110062")</f>
        <v>#NAME?</v>
      </c>
      <c r="H1160" s="3" t="e">
        <f ca="1">[1]!BexGetData("DP_1","003N8EMH8GTFRCSWKMPXRS42M","GSON1112110062")</f>
        <v>#NAME?</v>
      </c>
      <c r="I1160" s="3" t="e">
        <f ca="1">[1]!BexGetData("DP_1","003N8EMH8GTFRCSWKMPXRSAE6","GSON1112110062")</f>
        <v>#NAME?</v>
      </c>
      <c r="J1160" s="4" t="e">
        <f ca="1">[1]!BexGetData("DP_1","003N8EMH8GTFRCSWKMPXRSGPQ","GSON1112110062")</f>
        <v>#NAME?</v>
      </c>
      <c r="K1160" s="8" t="e">
        <f ca="1">[1]!BexGetData("DP_1","003N8EMH8GTFRIVNUPY288VJH","GSON1112110062")</f>
        <v>#NAME?</v>
      </c>
      <c r="L1160" s="8" t="e">
        <f ca="1">[1]!BexGetData("DP_1","003N8EMH8GTFRIVNUPY2891V1","GSON1112110062")</f>
        <v>#NAME?</v>
      </c>
      <c r="M1160" s="8" t="e">
        <f ca="1">[1]!BexGetData("DP_1","003N8EMH8GTFRIVOG7KG9IQXA","GSON1112110062")</f>
        <v>#NAME?</v>
      </c>
      <c r="N1160" s="8" t="e">
        <f ca="1">[1]!BexGetData("DP_1","003N8EMH8GTFRIVOG7KG9IX8U","GSON1112110062")</f>
        <v>#NAME?</v>
      </c>
      <c r="O1160" s="8" t="e">
        <f ca="1">[1]!BexGetData("DP_1","003N8EMH8GTFRIVOG7KG9J3KE","GSON1112110062")</f>
        <v>#NAME?</v>
      </c>
      <c r="P1160" s="8" t="e">
        <f ca="1">[1]!BexGetData("DP_1","003N8EMH8GTFRIVOG7KG9J9VY","GSON1112110062")</f>
        <v>#NAME?</v>
      </c>
      <c r="Q1160" s="4" t="e">
        <f ca="1">[1]!BexGetData("DP_1","00O2TNJGODT0G5Z4TTKYMM5MT","GSON1112110062")</f>
        <v>#NAME?</v>
      </c>
      <c r="R1160" s="3" t="e">
        <f ca="1">[1]!BexGetData("DP_1","00O2TNJGODT0G5Z4TTKYMMBYD","GSON1112110062")</f>
        <v>#NAME?</v>
      </c>
      <c r="S1160" s="3" t="e">
        <f ca="1">[1]!BexGetData("DP_1","00O2TNJGODT0G5Z4TTKYMMI9X","GSON1112110062")</f>
        <v>#NAME?</v>
      </c>
      <c r="T1160" s="3" t="e">
        <f ca="1">[1]!BexGetData("DP_1","00O2TNJGODT0G5Z4TTKYMMOLH","GSON1112110062")</f>
        <v>#NAME?</v>
      </c>
      <c r="U1160" s="8" t="e">
        <f ca="1">[1]!BexGetData("DP_1","00O2TNJGODT0G5Z4TTKYMMUX1","GSON1112110062")</f>
        <v>#NAME?</v>
      </c>
      <c r="V1160" s="3" t="e">
        <f ca="1">[1]!BexGetData("DP_1","00O2TNJGODT0G5Z4TTKYMN18L","GSON1112110062")</f>
        <v>#NAME?</v>
      </c>
      <c r="W1160" s="8" t="e">
        <f ca="1">[1]!BexGetData("DP_1","00O2TNJGODT0G5Z4TTKYMN7K5","GSON1112110062")</f>
        <v>#NAME?</v>
      </c>
    </row>
    <row r="1161" spans="1:23" x14ac:dyDescent="0.2">
      <c r="A1161" s="16" t="s">
        <v>3402</v>
      </c>
      <c r="B1161" s="7" t="s">
        <v>1102</v>
      </c>
      <c r="C1161" s="3" t="e">
        <f ca="1">[1]!BexGetData("DP_1","003N8EMH8GTFRCSWKMPXRR8GU","GSON1112110064")</f>
        <v>#NAME?</v>
      </c>
      <c r="D1161" s="3" t="e">
        <f ca="1">[1]!BexGetData("DP_1","003N8EMH8GTFRCSWKMPXRRESE","GSON1112110064")</f>
        <v>#NAME?</v>
      </c>
      <c r="E1161" s="8" t="e">
        <f ca="1">[1]!BexGetData("DP_1","003N8EMH8GTFRCSWKMPXRRL3Y","GSON1112110064")</f>
        <v>#NAME?</v>
      </c>
      <c r="F1161" s="4" t="e">
        <f ca="1">[1]!BexGetData("DP_1","003N8EMH8GTFRCSWKMPXRRRFI","GSON1112110064")</f>
        <v>#NAME?</v>
      </c>
      <c r="G1161" s="4" t="e">
        <f ca="1">[1]!BexGetData("DP_1","003N8EMH8GTFRCSWKMPXRRXR2","GSON1112110064")</f>
        <v>#NAME?</v>
      </c>
      <c r="H1161" s="4" t="e">
        <f ca="1">[1]!BexGetData("DP_1","003N8EMH8GTFRCSWKMPXRS42M","GSON1112110064")</f>
        <v>#NAME?</v>
      </c>
      <c r="I1161" s="4" t="e">
        <f ca="1">[1]!BexGetData("DP_1","003N8EMH8GTFRCSWKMPXRSAE6","GSON1112110064")</f>
        <v>#NAME?</v>
      </c>
      <c r="J1161" s="4" t="e">
        <f ca="1">[1]!BexGetData("DP_1","003N8EMH8GTFRCSWKMPXRSGPQ","GSON1112110064")</f>
        <v>#NAME?</v>
      </c>
      <c r="K1161" s="8" t="e">
        <f ca="1">[1]!BexGetData("DP_1","003N8EMH8GTFRIVNUPY288VJH","GSON1112110064")</f>
        <v>#NAME?</v>
      </c>
      <c r="L1161" s="8" t="e">
        <f ca="1">[1]!BexGetData("DP_1","003N8EMH8GTFRIVNUPY2891V1","GSON1112110064")</f>
        <v>#NAME?</v>
      </c>
      <c r="M1161" s="8" t="e">
        <f ca="1">[1]!BexGetData("DP_1","003N8EMH8GTFRIVOG7KG9IQXA","GSON1112110064")</f>
        <v>#NAME?</v>
      </c>
      <c r="N1161" s="8" t="e">
        <f ca="1">[1]!BexGetData("DP_1","003N8EMH8GTFRIVOG7KG9IX8U","GSON1112110064")</f>
        <v>#NAME?</v>
      </c>
      <c r="O1161" s="8" t="e">
        <f ca="1">[1]!BexGetData("DP_1","003N8EMH8GTFRIVOG7KG9J3KE","GSON1112110064")</f>
        <v>#NAME?</v>
      </c>
      <c r="P1161" s="8" t="e">
        <f ca="1">[1]!BexGetData("DP_1","003N8EMH8GTFRIVOG7KG9J9VY","GSON1112110064")</f>
        <v>#NAME?</v>
      </c>
      <c r="Q1161" s="4" t="e">
        <f ca="1">[1]!BexGetData("DP_1","00O2TNJGODT0G5Z4TTKYMM5MT","GSON1112110064")</f>
        <v>#NAME?</v>
      </c>
      <c r="R1161" s="4" t="e">
        <f ca="1">[1]!BexGetData("DP_1","00O2TNJGODT0G5Z4TTKYMMBYD","GSON1112110064")</f>
        <v>#NAME?</v>
      </c>
      <c r="S1161" s="4" t="e">
        <f ca="1">[1]!BexGetData("DP_1","00O2TNJGODT0G5Z4TTKYMMI9X","GSON1112110064")</f>
        <v>#NAME?</v>
      </c>
      <c r="T1161" s="4" t="e">
        <f ca="1">[1]!BexGetData("DP_1","00O2TNJGODT0G5Z4TTKYMMOLH","GSON1112110064")</f>
        <v>#NAME?</v>
      </c>
      <c r="U1161" s="4" t="e">
        <f ca="1">[1]!BexGetData("DP_1","00O2TNJGODT0G5Z4TTKYMMUX1","GSON1112110064")</f>
        <v>#NAME?</v>
      </c>
      <c r="V1161" s="4" t="e">
        <f ca="1">[1]!BexGetData("DP_1","00O2TNJGODT0G5Z4TTKYMN18L","GSON1112110064")</f>
        <v>#NAME?</v>
      </c>
      <c r="W1161" s="4" t="e">
        <f ca="1">[1]!BexGetData("DP_1","00O2TNJGODT0G5Z4TTKYMN7K5","GSON1112110064")</f>
        <v>#NAME?</v>
      </c>
    </row>
    <row r="1162" spans="1:23" x14ac:dyDescent="0.2">
      <c r="A1162" s="16" t="s">
        <v>3403</v>
      </c>
      <c r="B1162" s="7" t="s">
        <v>3404</v>
      </c>
      <c r="C1162" s="3" t="e">
        <f ca="1">[1]!BexGetData("DP_1","003N8EMH8GTFRCSWKMPXRR8GU","GSON1112110065")</f>
        <v>#NAME?</v>
      </c>
      <c r="D1162" s="3" t="e">
        <f ca="1">[1]!BexGetData("DP_1","003N8EMH8GTFRCSWKMPXRRESE","GSON1112110065")</f>
        <v>#NAME?</v>
      </c>
      <c r="E1162" s="8" t="e">
        <f ca="1">[1]!BexGetData("DP_1","003N8EMH8GTFRCSWKMPXRRL3Y","GSON1112110065")</f>
        <v>#NAME?</v>
      </c>
      <c r="F1162" s="4" t="e">
        <f ca="1">[1]!BexGetData("DP_1","003N8EMH8GTFRCSWKMPXRRRFI","GSON1112110065")</f>
        <v>#NAME?</v>
      </c>
      <c r="G1162" s="4" t="e">
        <f ca="1">[1]!BexGetData("DP_1","003N8EMH8GTFRCSWKMPXRRXR2","GSON1112110065")</f>
        <v>#NAME?</v>
      </c>
      <c r="H1162" s="4" t="e">
        <f ca="1">[1]!BexGetData("DP_1","003N8EMH8GTFRCSWKMPXRS42M","GSON1112110065")</f>
        <v>#NAME?</v>
      </c>
      <c r="I1162" s="4" t="e">
        <f ca="1">[1]!BexGetData("DP_1","003N8EMH8GTFRCSWKMPXRSAE6","GSON1112110065")</f>
        <v>#NAME?</v>
      </c>
      <c r="J1162" s="4" t="e">
        <f ca="1">[1]!BexGetData("DP_1","003N8EMH8GTFRCSWKMPXRSGPQ","GSON1112110065")</f>
        <v>#NAME?</v>
      </c>
      <c r="K1162" s="8" t="e">
        <f ca="1">[1]!BexGetData("DP_1","003N8EMH8GTFRIVNUPY288VJH","GSON1112110065")</f>
        <v>#NAME?</v>
      </c>
      <c r="L1162" s="8" t="e">
        <f ca="1">[1]!BexGetData("DP_1","003N8EMH8GTFRIVNUPY2891V1","GSON1112110065")</f>
        <v>#NAME?</v>
      </c>
      <c r="M1162" s="8" t="e">
        <f ca="1">[1]!BexGetData("DP_1","003N8EMH8GTFRIVOG7KG9IQXA","GSON1112110065")</f>
        <v>#NAME?</v>
      </c>
      <c r="N1162" s="8" t="e">
        <f ca="1">[1]!BexGetData("DP_1","003N8EMH8GTFRIVOG7KG9IX8U","GSON1112110065")</f>
        <v>#NAME?</v>
      </c>
      <c r="O1162" s="8" t="e">
        <f ca="1">[1]!BexGetData("DP_1","003N8EMH8GTFRIVOG7KG9J3KE","GSON1112110065")</f>
        <v>#NAME?</v>
      </c>
      <c r="P1162" s="8" t="e">
        <f ca="1">[1]!BexGetData("DP_1","003N8EMH8GTFRIVOG7KG9J9VY","GSON1112110065")</f>
        <v>#NAME?</v>
      </c>
      <c r="Q1162" s="4" t="e">
        <f ca="1">[1]!BexGetData("DP_1","00O2TNJGODT0G5Z4TTKYMM5MT","GSON1112110065")</f>
        <v>#NAME?</v>
      </c>
      <c r="R1162" s="4" t="e">
        <f ca="1">[1]!BexGetData("DP_1","00O2TNJGODT0G5Z4TTKYMMBYD","GSON1112110065")</f>
        <v>#NAME?</v>
      </c>
      <c r="S1162" s="4" t="e">
        <f ca="1">[1]!BexGetData("DP_1","00O2TNJGODT0G5Z4TTKYMMI9X","GSON1112110065")</f>
        <v>#NAME?</v>
      </c>
      <c r="T1162" s="4" t="e">
        <f ca="1">[1]!BexGetData("DP_1","00O2TNJGODT0G5Z4TTKYMMOLH","GSON1112110065")</f>
        <v>#NAME?</v>
      </c>
      <c r="U1162" s="4" t="e">
        <f ca="1">[1]!BexGetData("DP_1","00O2TNJGODT0G5Z4TTKYMMUX1","GSON1112110065")</f>
        <v>#NAME?</v>
      </c>
      <c r="V1162" s="4" t="e">
        <f ca="1">[1]!BexGetData("DP_1","00O2TNJGODT0G5Z4TTKYMN18L","GSON1112110065")</f>
        <v>#NAME?</v>
      </c>
      <c r="W1162" s="4" t="e">
        <f ca="1">[1]!BexGetData("DP_1","00O2TNJGODT0G5Z4TTKYMN7K5","GSON1112110065")</f>
        <v>#NAME?</v>
      </c>
    </row>
    <row r="1163" spans="1:23" x14ac:dyDescent="0.2">
      <c r="A1163" s="16" t="s">
        <v>3405</v>
      </c>
      <c r="B1163" s="7" t="s">
        <v>1103</v>
      </c>
      <c r="C1163" s="3" t="e">
        <f ca="1">[1]!BexGetData("DP_1","003N8EMH8GTFRCSWKMPXRR8GU","GSON1112110070")</f>
        <v>#NAME?</v>
      </c>
      <c r="D1163" s="3" t="e">
        <f ca="1">[1]!BexGetData("DP_1","003N8EMH8GTFRCSWKMPXRRESE","GSON1112110070")</f>
        <v>#NAME?</v>
      </c>
      <c r="E1163" s="3" t="e">
        <f ca="1">[1]!BexGetData("DP_1","003N8EMH8GTFRCSWKMPXRRL3Y","GSON1112110070")</f>
        <v>#NAME?</v>
      </c>
      <c r="F1163" s="3" t="e">
        <f ca="1">[1]!BexGetData("DP_1","003N8EMH8GTFRCSWKMPXRRRFI","GSON1112110070")</f>
        <v>#NAME?</v>
      </c>
      <c r="G1163" s="3" t="e">
        <f ca="1">[1]!BexGetData("DP_1","003N8EMH8GTFRCSWKMPXRRXR2","GSON1112110070")</f>
        <v>#NAME?</v>
      </c>
      <c r="H1163" s="8" t="e">
        <f ca="1">[1]!BexGetData("DP_1","003N8EMH8GTFRCSWKMPXRS42M","GSON1112110070")</f>
        <v>#NAME?</v>
      </c>
      <c r="I1163" s="3" t="e">
        <f ca="1">[1]!BexGetData("DP_1","003N8EMH8GTFRCSWKMPXRSAE6","GSON1112110070")</f>
        <v>#NAME?</v>
      </c>
      <c r="J1163" s="4" t="e">
        <f ca="1">[1]!BexGetData("DP_1","003N8EMH8GTFRCSWKMPXRSGPQ","GSON1112110070")</f>
        <v>#NAME?</v>
      </c>
      <c r="K1163" s="3" t="e">
        <f ca="1">[1]!BexGetData("DP_1","003N8EMH8GTFRIVNUPY288VJH","GSON1112110070")</f>
        <v>#NAME?</v>
      </c>
      <c r="L1163" s="3" t="e">
        <f ca="1">[1]!BexGetData("DP_1","003N8EMH8GTFRIVNUPY2891V1","GSON1112110070")</f>
        <v>#NAME?</v>
      </c>
      <c r="M1163" s="3" t="e">
        <f ca="1">[1]!BexGetData("DP_1","003N8EMH8GTFRIVOG7KG9IQXA","GSON1112110070")</f>
        <v>#NAME?</v>
      </c>
      <c r="N1163" s="8" t="e">
        <f ca="1">[1]!BexGetData("DP_1","003N8EMH8GTFRIVOG7KG9IX8U","GSON1112110070")</f>
        <v>#NAME?</v>
      </c>
      <c r="O1163" s="3" t="e">
        <f ca="1">[1]!BexGetData("DP_1","003N8EMH8GTFRIVOG7KG9J3KE","GSON1112110070")</f>
        <v>#NAME?</v>
      </c>
      <c r="P1163" s="8" t="e">
        <f ca="1">[1]!BexGetData("DP_1","003N8EMH8GTFRIVOG7KG9J9VY","GSON1112110070")</f>
        <v>#NAME?</v>
      </c>
      <c r="Q1163" s="4" t="e">
        <f ca="1">[1]!BexGetData("DP_1","00O2TNJGODT0G5Z4TTKYMM5MT","GSON1112110070")</f>
        <v>#NAME?</v>
      </c>
      <c r="R1163" s="3" t="e">
        <f ca="1">[1]!BexGetData("DP_1","00O2TNJGODT0G5Z4TTKYMMBYD","GSON1112110070")</f>
        <v>#NAME?</v>
      </c>
      <c r="S1163" s="3" t="e">
        <f ca="1">[1]!BexGetData("DP_1","00O2TNJGODT0G5Z4TTKYMMI9X","GSON1112110070")</f>
        <v>#NAME?</v>
      </c>
      <c r="T1163" s="8" t="e">
        <f ca="1">[1]!BexGetData("DP_1","00O2TNJGODT0G5Z4TTKYMMOLH","GSON1112110070")</f>
        <v>#NAME?</v>
      </c>
      <c r="U1163" s="3" t="e">
        <f ca="1">[1]!BexGetData("DP_1","00O2TNJGODT0G5Z4TTKYMMUX1","GSON1112110070")</f>
        <v>#NAME?</v>
      </c>
      <c r="V1163" s="8" t="e">
        <f ca="1">[1]!BexGetData("DP_1","00O2TNJGODT0G5Z4TTKYMN18L","GSON1112110070")</f>
        <v>#NAME?</v>
      </c>
      <c r="W1163" s="3" t="e">
        <f ca="1">[1]!BexGetData("DP_1","00O2TNJGODT0G5Z4TTKYMN7K5","GSON1112110070")</f>
        <v>#NAME?</v>
      </c>
    </row>
    <row r="1164" spans="1:23" x14ac:dyDescent="0.2">
      <c r="A1164" s="16" t="s">
        <v>3406</v>
      </c>
      <c r="B1164" s="7" t="s">
        <v>3407</v>
      </c>
      <c r="C1164" s="3" t="e">
        <f ca="1">[1]!BexGetData("DP_1","003N8EMH8GTFRCSWKMPXRR8GU","GSON1112110071")</f>
        <v>#NAME?</v>
      </c>
      <c r="D1164" s="3" t="e">
        <f ca="1">[1]!BexGetData("DP_1","003N8EMH8GTFRCSWKMPXRRESE","GSON1112110071")</f>
        <v>#NAME?</v>
      </c>
      <c r="E1164" s="8" t="e">
        <f ca="1">[1]!BexGetData("DP_1","003N8EMH8GTFRCSWKMPXRRL3Y","GSON1112110071")</f>
        <v>#NAME?</v>
      </c>
      <c r="F1164" s="4" t="e">
        <f ca="1">[1]!BexGetData("DP_1","003N8EMH8GTFRCSWKMPXRRRFI","GSON1112110071")</f>
        <v>#NAME?</v>
      </c>
      <c r="G1164" s="4" t="e">
        <f ca="1">[1]!BexGetData("DP_1","003N8EMH8GTFRCSWKMPXRRXR2","GSON1112110071")</f>
        <v>#NAME?</v>
      </c>
      <c r="H1164" s="4" t="e">
        <f ca="1">[1]!BexGetData("DP_1","003N8EMH8GTFRCSWKMPXRS42M","GSON1112110071")</f>
        <v>#NAME?</v>
      </c>
      <c r="I1164" s="4" t="e">
        <f ca="1">[1]!BexGetData("DP_1","003N8EMH8GTFRCSWKMPXRSAE6","GSON1112110071")</f>
        <v>#NAME?</v>
      </c>
      <c r="J1164" s="4" t="e">
        <f ca="1">[1]!BexGetData("DP_1","003N8EMH8GTFRCSWKMPXRSGPQ","GSON1112110071")</f>
        <v>#NAME?</v>
      </c>
      <c r="K1164" s="8" t="e">
        <f ca="1">[1]!BexGetData("DP_1","003N8EMH8GTFRIVNUPY288VJH","GSON1112110071")</f>
        <v>#NAME?</v>
      </c>
      <c r="L1164" s="8" t="e">
        <f ca="1">[1]!BexGetData("DP_1","003N8EMH8GTFRIVNUPY2891V1","GSON1112110071")</f>
        <v>#NAME?</v>
      </c>
      <c r="M1164" s="8" t="e">
        <f ca="1">[1]!BexGetData("DP_1","003N8EMH8GTFRIVOG7KG9IQXA","GSON1112110071")</f>
        <v>#NAME?</v>
      </c>
      <c r="N1164" s="8" t="e">
        <f ca="1">[1]!BexGetData("DP_1","003N8EMH8GTFRIVOG7KG9IX8U","GSON1112110071")</f>
        <v>#NAME?</v>
      </c>
      <c r="O1164" s="8" t="e">
        <f ca="1">[1]!BexGetData("DP_1","003N8EMH8GTFRIVOG7KG9J3KE","GSON1112110071")</f>
        <v>#NAME?</v>
      </c>
      <c r="P1164" s="8" t="e">
        <f ca="1">[1]!BexGetData("DP_1","003N8EMH8GTFRIVOG7KG9J9VY","GSON1112110071")</f>
        <v>#NAME?</v>
      </c>
      <c r="Q1164" s="4" t="e">
        <f ca="1">[1]!BexGetData("DP_1","00O2TNJGODT0G5Z4TTKYMM5MT","GSON1112110071")</f>
        <v>#NAME?</v>
      </c>
      <c r="R1164" s="4" t="e">
        <f ca="1">[1]!BexGetData("DP_1","00O2TNJGODT0G5Z4TTKYMMBYD","GSON1112110071")</f>
        <v>#NAME?</v>
      </c>
      <c r="S1164" s="4" t="e">
        <f ca="1">[1]!BexGetData("DP_1","00O2TNJGODT0G5Z4TTKYMMI9X","GSON1112110071")</f>
        <v>#NAME?</v>
      </c>
      <c r="T1164" s="4" t="e">
        <f ca="1">[1]!BexGetData("DP_1","00O2TNJGODT0G5Z4TTKYMMOLH","GSON1112110071")</f>
        <v>#NAME?</v>
      </c>
      <c r="U1164" s="4" t="e">
        <f ca="1">[1]!BexGetData("DP_1","00O2TNJGODT0G5Z4TTKYMMUX1","GSON1112110071")</f>
        <v>#NAME?</v>
      </c>
      <c r="V1164" s="4" t="e">
        <f ca="1">[1]!BexGetData("DP_1","00O2TNJGODT0G5Z4TTKYMN18L","GSON1112110071")</f>
        <v>#NAME?</v>
      </c>
      <c r="W1164" s="4" t="e">
        <f ca="1">[1]!BexGetData("DP_1","00O2TNJGODT0G5Z4TTKYMN7K5","GSON1112110071")</f>
        <v>#NAME?</v>
      </c>
    </row>
    <row r="1165" spans="1:23" x14ac:dyDescent="0.2">
      <c r="A1165" s="16" t="s">
        <v>3408</v>
      </c>
      <c r="B1165" s="7" t="s">
        <v>1104</v>
      </c>
      <c r="C1165" s="3" t="e">
        <f ca="1">[1]!BexGetData("DP_1","003N8EMH8GTFRCSWKMPXRR8GU","GSON1112110074")</f>
        <v>#NAME?</v>
      </c>
      <c r="D1165" s="3" t="e">
        <f ca="1">[1]!BexGetData("DP_1","003N8EMH8GTFRCSWKMPXRRESE","GSON1112110074")</f>
        <v>#NAME?</v>
      </c>
      <c r="E1165" s="8" t="e">
        <f ca="1">[1]!BexGetData("DP_1","003N8EMH8GTFRCSWKMPXRRL3Y","GSON1112110074")</f>
        <v>#NAME?</v>
      </c>
      <c r="F1165" s="4" t="e">
        <f ca="1">[1]!BexGetData("DP_1","003N8EMH8GTFRCSWKMPXRRRFI","GSON1112110074")</f>
        <v>#NAME?</v>
      </c>
      <c r="G1165" s="4" t="e">
        <f ca="1">[1]!BexGetData("DP_1","003N8EMH8GTFRCSWKMPXRRXR2","GSON1112110074")</f>
        <v>#NAME?</v>
      </c>
      <c r="H1165" s="4" t="e">
        <f ca="1">[1]!BexGetData("DP_1","003N8EMH8GTFRCSWKMPXRS42M","GSON1112110074")</f>
        <v>#NAME?</v>
      </c>
      <c r="I1165" s="4" t="e">
        <f ca="1">[1]!BexGetData("DP_1","003N8EMH8GTFRCSWKMPXRSAE6","GSON1112110074")</f>
        <v>#NAME?</v>
      </c>
      <c r="J1165" s="4" t="e">
        <f ca="1">[1]!BexGetData("DP_1","003N8EMH8GTFRCSWKMPXRSGPQ","GSON1112110074")</f>
        <v>#NAME?</v>
      </c>
      <c r="K1165" s="8" t="e">
        <f ca="1">[1]!BexGetData("DP_1","003N8EMH8GTFRIVNUPY288VJH","GSON1112110074")</f>
        <v>#NAME?</v>
      </c>
      <c r="L1165" s="8" t="e">
        <f ca="1">[1]!BexGetData("DP_1","003N8EMH8GTFRIVNUPY2891V1","GSON1112110074")</f>
        <v>#NAME?</v>
      </c>
      <c r="M1165" s="8" t="e">
        <f ca="1">[1]!BexGetData("DP_1","003N8EMH8GTFRIVOG7KG9IQXA","GSON1112110074")</f>
        <v>#NAME?</v>
      </c>
      <c r="N1165" s="8" t="e">
        <f ca="1">[1]!BexGetData("DP_1","003N8EMH8GTFRIVOG7KG9IX8U","GSON1112110074")</f>
        <v>#NAME?</v>
      </c>
      <c r="O1165" s="8" t="e">
        <f ca="1">[1]!BexGetData("DP_1","003N8EMH8GTFRIVOG7KG9J3KE","GSON1112110074")</f>
        <v>#NAME?</v>
      </c>
      <c r="P1165" s="8" t="e">
        <f ca="1">[1]!BexGetData("DP_1","003N8EMH8GTFRIVOG7KG9J9VY","GSON1112110074")</f>
        <v>#NAME?</v>
      </c>
      <c r="Q1165" s="4" t="e">
        <f ca="1">[1]!BexGetData("DP_1","00O2TNJGODT0G5Z4TTKYMM5MT","GSON1112110074")</f>
        <v>#NAME?</v>
      </c>
      <c r="R1165" s="4" t="e">
        <f ca="1">[1]!BexGetData("DP_1","00O2TNJGODT0G5Z4TTKYMMBYD","GSON1112110074")</f>
        <v>#NAME?</v>
      </c>
      <c r="S1165" s="4" t="e">
        <f ca="1">[1]!BexGetData("DP_1","00O2TNJGODT0G5Z4TTKYMMI9X","GSON1112110074")</f>
        <v>#NAME?</v>
      </c>
      <c r="T1165" s="4" t="e">
        <f ca="1">[1]!BexGetData("DP_1","00O2TNJGODT0G5Z4TTKYMMOLH","GSON1112110074")</f>
        <v>#NAME?</v>
      </c>
      <c r="U1165" s="4" t="e">
        <f ca="1">[1]!BexGetData("DP_1","00O2TNJGODT0G5Z4TTKYMMUX1","GSON1112110074")</f>
        <v>#NAME?</v>
      </c>
      <c r="V1165" s="4" t="e">
        <f ca="1">[1]!BexGetData("DP_1","00O2TNJGODT0G5Z4TTKYMN18L","GSON1112110074")</f>
        <v>#NAME?</v>
      </c>
      <c r="W1165" s="4" t="e">
        <f ca="1">[1]!BexGetData("DP_1","00O2TNJGODT0G5Z4TTKYMN7K5","GSON1112110074")</f>
        <v>#NAME?</v>
      </c>
    </row>
    <row r="1166" spans="1:23" x14ac:dyDescent="0.2">
      <c r="A1166" s="16" t="s">
        <v>3409</v>
      </c>
      <c r="B1166" s="7" t="s">
        <v>1105</v>
      </c>
      <c r="C1166" s="3" t="e">
        <f ca="1">[1]!BexGetData("DP_1","003N8EMH8GTFRCSWKMPXRR8GU","GSON1112110080")</f>
        <v>#NAME?</v>
      </c>
      <c r="D1166" s="3" t="e">
        <f ca="1">[1]!BexGetData("DP_1","003N8EMH8GTFRCSWKMPXRRESE","GSON1112110080")</f>
        <v>#NAME?</v>
      </c>
      <c r="E1166" s="3" t="e">
        <f ca="1">[1]!BexGetData("DP_1","003N8EMH8GTFRCSWKMPXRRL3Y","GSON1112110080")</f>
        <v>#NAME?</v>
      </c>
      <c r="F1166" s="3" t="e">
        <f ca="1">[1]!BexGetData("DP_1","003N8EMH8GTFRCSWKMPXRRRFI","GSON1112110080")</f>
        <v>#NAME?</v>
      </c>
      <c r="G1166" s="3" t="e">
        <f ca="1">[1]!BexGetData("DP_1","003N8EMH8GTFRCSWKMPXRRXR2","GSON1112110080")</f>
        <v>#NAME?</v>
      </c>
      <c r="H1166" s="8" t="e">
        <f ca="1">[1]!BexGetData("DP_1","003N8EMH8GTFRCSWKMPXRS42M","GSON1112110080")</f>
        <v>#NAME?</v>
      </c>
      <c r="I1166" s="3" t="e">
        <f ca="1">[1]!BexGetData("DP_1","003N8EMH8GTFRCSWKMPXRSAE6","GSON1112110080")</f>
        <v>#NAME?</v>
      </c>
      <c r="J1166" s="4" t="e">
        <f ca="1">[1]!BexGetData("DP_1","003N8EMH8GTFRCSWKMPXRSGPQ","GSON1112110080")</f>
        <v>#NAME?</v>
      </c>
      <c r="K1166" s="3" t="e">
        <f ca="1">[1]!BexGetData("DP_1","003N8EMH8GTFRIVNUPY288VJH","GSON1112110080")</f>
        <v>#NAME?</v>
      </c>
      <c r="L1166" s="3" t="e">
        <f ca="1">[1]!BexGetData("DP_1","003N8EMH8GTFRIVNUPY2891V1","GSON1112110080")</f>
        <v>#NAME?</v>
      </c>
      <c r="M1166" s="3" t="e">
        <f ca="1">[1]!BexGetData("DP_1","003N8EMH8GTFRIVOG7KG9IQXA","GSON1112110080")</f>
        <v>#NAME?</v>
      </c>
      <c r="N1166" s="8" t="e">
        <f ca="1">[1]!BexGetData("DP_1","003N8EMH8GTFRIVOG7KG9IX8U","GSON1112110080")</f>
        <v>#NAME?</v>
      </c>
      <c r="O1166" s="3" t="e">
        <f ca="1">[1]!BexGetData("DP_1","003N8EMH8GTFRIVOG7KG9J3KE","GSON1112110080")</f>
        <v>#NAME?</v>
      </c>
      <c r="P1166" s="8" t="e">
        <f ca="1">[1]!BexGetData("DP_1","003N8EMH8GTFRIVOG7KG9J9VY","GSON1112110080")</f>
        <v>#NAME?</v>
      </c>
      <c r="Q1166" s="4" t="e">
        <f ca="1">[1]!BexGetData("DP_1","00O2TNJGODT0G5Z4TTKYMM5MT","GSON1112110080")</f>
        <v>#NAME?</v>
      </c>
      <c r="R1166" s="3" t="e">
        <f ca="1">[1]!BexGetData("DP_1","00O2TNJGODT0G5Z4TTKYMMBYD","GSON1112110080")</f>
        <v>#NAME?</v>
      </c>
      <c r="S1166" s="3" t="e">
        <f ca="1">[1]!BexGetData("DP_1","00O2TNJGODT0G5Z4TTKYMMI9X","GSON1112110080")</f>
        <v>#NAME?</v>
      </c>
      <c r="T1166" s="8" t="e">
        <f ca="1">[1]!BexGetData("DP_1","00O2TNJGODT0G5Z4TTKYMMOLH","GSON1112110080")</f>
        <v>#NAME?</v>
      </c>
      <c r="U1166" s="3" t="e">
        <f ca="1">[1]!BexGetData("DP_1","00O2TNJGODT0G5Z4TTKYMMUX1","GSON1112110080")</f>
        <v>#NAME?</v>
      </c>
      <c r="V1166" s="8" t="e">
        <f ca="1">[1]!BexGetData("DP_1","00O2TNJGODT0G5Z4TTKYMN18L","GSON1112110080")</f>
        <v>#NAME?</v>
      </c>
      <c r="W1166" s="3" t="e">
        <f ca="1">[1]!BexGetData("DP_1","00O2TNJGODT0G5Z4TTKYMN7K5","GSON1112110080")</f>
        <v>#NAME?</v>
      </c>
    </row>
    <row r="1167" spans="1:23" x14ac:dyDescent="0.2">
      <c r="A1167" s="16" t="s">
        <v>3410</v>
      </c>
      <c r="B1167" s="7" t="s">
        <v>3411</v>
      </c>
      <c r="C1167" s="3" t="e">
        <f ca="1">[1]!BexGetData("DP_1","003N8EMH8GTFRCSWKMPXRR8GU","GSON1112110081")</f>
        <v>#NAME?</v>
      </c>
      <c r="D1167" s="3" t="e">
        <f ca="1">[1]!BexGetData("DP_1","003N8EMH8GTFRCSWKMPXRRESE","GSON1112110081")</f>
        <v>#NAME?</v>
      </c>
      <c r="E1167" s="8" t="e">
        <f ca="1">[1]!BexGetData("DP_1","003N8EMH8GTFRCSWKMPXRRL3Y","GSON1112110081")</f>
        <v>#NAME?</v>
      </c>
      <c r="F1167" s="4" t="e">
        <f ca="1">[1]!BexGetData("DP_1","003N8EMH8GTFRCSWKMPXRRRFI","GSON1112110081")</f>
        <v>#NAME?</v>
      </c>
      <c r="G1167" s="4" t="e">
        <f ca="1">[1]!BexGetData("DP_1","003N8EMH8GTFRCSWKMPXRRXR2","GSON1112110081")</f>
        <v>#NAME?</v>
      </c>
      <c r="H1167" s="4" t="e">
        <f ca="1">[1]!BexGetData("DP_1","003N8EMH8GTFRCSWKMPXRS42M","GSON1112110081")</f>
        <v>#NAME?</v>
      </c>
      <c r="I1167" s="4" t="e">
        <f ca="1">[1]!BexGetData("DP_1","003N8EMH8GTFRCSWKMPXRSAE6","GSON1112110081")</f>
        <v>#NAME?</v>
      </c>
      <c r="J1167" s="4" t="e">
        <f ca="1">[1]!BexGetData("DP_1","003N8EMH8GTFRCSWKMPXRSGPQ","GSON1112110081")</f>
        <v>#NAME?</v>
      </c>
      <c r="K1167" s="8" t="e">
        <f ca="1">[1]!BexGetData("DP_1","003N8EMH8GTFRIVNUPY288VJH","GSON1112110081")</f>
        <v>#NAME?</v>
      </c>
      <c r="L1167" s="8" t="e">
        <f ca="1">[1]!BexGetData("DP_1","003N8EMH8GTFRIVNUPY2891V1","GSON1112110081")</f>
        <v>#NAME?</v>
      </c>
      <c r="M1167" s="8" t="e">
        <f ca="1">[1]!BexGetData("DP_1","003N8EMH8GTFRIVOG7KG9IQXA","GSON1112110081")</f>
        <v>#NAME?</v>
      </c>
      <c r="N1167" s="8" t="e">
        <f ca="1">[1]!BexGetData("DP_1","003N8EMH8GTFRIVOG7KG9IX8U","GSON1112110081")</f>
        <v>#NAME?</v>
      </c>
      <c r="O1167" s="8" t="e">
        <f ca="1">[1]!BexGetData("DP_1","003N8EMH8GTFRIVOG7KG9J3KE","GSON1112110081")</f>
        <v>#NAME?</v>
      </c>
      <c r="P1167" s="8" t="e">
        <f ca="1">[1]!BexGetData("DP_1","003N8EMH8GTFRIVOG7KG9J9VY","GSON1112110081")</f>
        <v>#NAME?</v>
      </c>
      <c r="Q1167" s="4" t="e">
        <f ca="1">[1]!BexGetData("DP_1","00O2TNJGODT0G5Z4TTKYMM5MT","GSON1112110081")</f>
        <v>#NAME?</v>
      </c>
      <c r="R1167" s="4" t="e">
        <f ca="1">[1]!BexGetData("DP_1","00O2TNJGODT0G5Z4TTKYMMBYD","GSON1112110081")</f>
        <v>#NAME?</v>
      </c>
      <c r="S1167" s="4" t="e">
        <f ca="1">[1]!BexGetData("DP_1","00O2TNJGODT0G5Z4TTKYMMI9X","GSON1112110081")</f>
        <v>#NAME?</v>
      </c>
      <c r="T1167" s="4" t="e">
        <f ca="1">[1]!BexGetData("DP_1","00O2TNJGODT0G5Z4TTKYMMOLH","GSON1112110081")</f>
        <v>#NAME?</v>
      </c>
      <c r="U1167" s="4" t="e">
        <f ca="1">[1]!BexGetData("DP_1","00O2TNJGODT0G5Z4TTKYMMUX1","GSON1112110081")</f>
        <v>#NAME?</v>
      </c>
      <c r="V1167" s="4" t="e">
        <f ca="1">[1]!BexGetData("DP_1","00O2TNJGODT0G5Z4TTKYMN18L","GSON1112110081")</f>
        <v>#NAME?</v>
      </c>
      <c r="W1167" s="4" t="e">
        <f ca="1">[1]!BexGetData("DP_1","00O2TNJGODT0G5Z4TTKYMN7K5","GSON1112110081")</f>
        <v>#NAME?</v>
      </c>
    </row>
    <row r="1168" spans="1:23" x14ac:dyDescent="0.2">
      <c r="A1168" s="16" t="s">
        <v>3412</v>
      </c>
      <c r="B1168" s="7" t="s">
        <v>3413</v>
      </c>
      <c r="C1168" s="3" t="e">
        <f ca="1">[1]!BexGetData("DP_1","003N8EMH8GTFRCSWKMPXRR8GU","GSON1112110083")</f>
        <v>#NAME?</v>
      </c>
      <c r="D1168" s="3" t="e">
        <f ca="1">[1]!BexGetData("DP_1","003N8EMH8GTFRCSWKMPXRRESE","GSON1112110083")</f>
        <v>#NAME?</v>
      </c>
      <c r="E1168" s="8" t="e">
        <f ca="1">[1]!BexGetData("DP_1","003N8EMH8GTFRCSWKMPXRRL3Y","GSON1112110083")</f>
        <v>#NAME?</v>
      </c>
      <c r="F1168" s="4" t="e">
        <f ca="1">[1]!BexGetData("DP_1","003N8EMH8GTFRCSWKMPXRRRFI","GSON1112110083")</f>
        <v>#NAME?</v>
      </c>
      <c r="G1168" s="4" t="e">
        <f ca="1">[1]!BexGetData("DP_1","003N8EMH8GTFRCSWKMPXRRXR2","GSON1112110083")</f>
        <v>#NAME?</v>
      </c>
      <c r="H1168" s="4" t="e">
        <f ca="1">[1]!BexGetData("DP_1","003N8EMH8GTFRCSWKMPXRS42M","GSON1112110083")</f>
        <v>#NAME?</v>
      </c>
      <c r="I1168" s="4" t="e">
        <f ca="1">[1]!BexGetData("DP_1","003N8EMH8GTFRCSWKMPXRSAE6","GSON1112110083")</f>
        <v>#NAME?</v>
      </c>
      <c r="J1168" s="4" t="e">
        <f ca="1">[1]!BexGetData("DP_1","003N8EMH8GTFRCSWKMPXRSGPQ","GSON1112110083")</f>
        <v>#NAME?</v>
      </c>
      <c r="K1168" s="8" t="e">
        <f ca="1">[1]!BexGetData("DP_1","003N8EMH8GTFRIVNUPY288VJH","GSON1112110083")</f>
        <v>#NAME?</v>
      </c>
      <c r="L1168" s="8" t="e">
        <f ca="1">[1]!BexGetData("DP_1","003N8EMH8GTFRIVNUPY2891V1","GSON1112110083")</f>
        <v>#NAME?</v>
      </c>
      <c r="M1168" s="8" t="e">
        <f ca="1">[1]!BexGetData("DP_1","003N8EMH8GTFRIVOG7KG9IQXA","GSON1112110083")</f>
        <v>#NAME?</v>
      </c>
      <c r="N1168" s="8" t="e">
        <f ca="1">[1]!BexGetData("DP_1","003N8EMH8GTFRIVOG7KG9IX8U","GSON1112110083")</f>
        <v>#NAME?</v>
      </c>
      <c r="O1168" s="8" t="e">
        <f ca="1">[1]!BexGetData("DP_1","003N8EMH8GTFRIVOG7KG9J3KE","GSON1112110083")</f>
        <v>#NAME?</v>
      </c>
      <c r="P1168" s="8" t="e">
        <f ca="1">[1]!BexGetData("DP_1","003N8EMH8GTFRIVOG7KG9J9VY","GSON1112110083")</f>
        <v>#NAME?</v>
      </c>
      <c r="Q1168" s="4" t="e">
        <f ca="1">[1]!BexGetData("DP_1","00O2TNJGODT0G5Z4TTKYMM5MT","GSON1112110083")</f>
        <v>#NAME?</v>
      </c>
      <c r="R1168" s="4" t="e">
        <f ca="1">[1]!BexGetData("DP_1","00O2TNJGODT0G5Z4TTKYMMBYD","GSON1112110083")</f>
        <v>#NAME?</v>
      </c>
      <c r="S1168" s="4" t="e">
        <f ca="1">[1]!BexGetData("DP_1","00O2TNJGODT0G5Z4TTKYMMI9X","GSON1112110083")</f>
        <v>#NAME?</v>
      </c>
      <c r="T1168" s="4" t="e">
        <f ca="1">[1]!BexGetData("DP_1","00O2TNJGODT0G5Z4TTKYMMOLH","GSON1112110083")</f>
        <v>#NAME?</v>
      </c>
      <c r="U1168" s="4" t="e">
        <f ca="1">[1]!BexGetData("DP_1","00O2TNJGODT0G5Z4TTKYMMUX1","GSON1112110083")</f>
        <v>#NAME?</v>
      </c>
      <c r="V1168" s="4" t="e">
        <f ca="1">[1]!BexGetData("DP_1","00O2TNJGODT0G5Z4TTKYMN18L","GSON1112110083")</f>
        <v>#NAME?</v>
      </c>
      <c r="W1168" s="4" t="e">
        <f ca="1">[1]!BexGetData("DP_1","00O2TNJGODT0G5Z4TTKYMN7K5","GSON1112110083")</f>
        <v>#NAME?</v>
      </c>
    </row>
    <row r="1169" spans="1:23" x14ac:dyDescent="0.2">
      <c r="A1169" s="16" t="s">
        <v>3414</v>
      </c>
      <c r="B1169" s="7" t="s">
        <v>1106</v>
      </c>
      <c r="C1169" s="3" t="e">
        <f ca="1">[1]!BexGetData("DP_1","003N8EMH8GTFRCSWKMPXRR8GU","GSON1112110084")</f>
        <v>#NAME?</v>
      </c>
      <c r="D1169" s="3" t="e">
        <f ca="1">[1]!BexGetData("DP_1","003N8EMH8GTFRCSWKMPXRRESE","GSON1112110084")</f>
        <v>#NAME?</v>
      </c>
      <c r="E1169" s="8" t="e">
        <f ca="1">[1]!BexGetData("DP_1","003N8EMH8GTFRCSWKMPXRRL3Y","GSON1112110084")</f>
        <v>#NAME?</v>
      </c>
      <c r="F1169" s="4" t="e">
        <f ca="1">[1]!BexGetData("DP_1","003N8EMH8GTFRCSWKMPXRRRFI","GSON1112110084")</f>
        <v>#NAME?</v>
      </c>
      <c r="G1169" s="4" t="e">
        <f ca="1">[1]!BexGetData("DP_1","003N8EMH8GTFRCSWKMPXRRXR2","GSON1112110084")</f>
        <v>#NAME?</v>
      </c>
      <c r="H1169" s="4" t="e">
        <f ca="1">[1]!BexGetData("DP_1","003N8EMH8GTFRCSWKMPXRS42M","GSON1112110084")</f>
        <v>#NAME?</v>
      </c>
      <c r="I1169" s="4" t="e">
        <f ca="1">[1]!BexGetData("DP_1","003N8EMH8GTFRCSWKMPXRSAE6","GSON1112110084")</f>
        <v>#NAME?</v>
      </c>
      <c r="J1169" s="4" t="e">
        <f ca="1">[1]!BexGetData("DP_1","003N8EMH8GTFRCSWKMPXRSGPQ","GSON1112110084")</f>
        <v>#NAME?</v>
      </c>
      <c r="K1169" s="8" t="e">
        <f ca="1">[1]!BexGetData("DP_1","003N8EMH8GTFRIVNUPY288VJH","GSON1112110084")</f>
        <v>#NAME?</v>
      </c>
      <c r="L1169" s="8" t="e">
        <f ca="1">[1]!BexGetData("DP_1","003N8EMH8GTFRIVNUPY2891V1","GSON1112110084")</f>
        <v>#NAME?</v>
      </c>
      <c r="M1169" s="8" t="e">
        <f ca="1">[1]!BexGetData("DP_1","003N8EMH8GTFRIVOG7KG9IQXA","GSON1112110084")</f>
        <v>#NAME?</v>
      </c>
      <c r="N1169" s="8" t="e">
        <f ca="1">[1]!BexGetData("DP_1","003N8EMH8GTFRIVOG7KG9IX8U","GSON1112110084")</f>
        <v>#NAME?</v>
      </c>
      <c r="O1169" s="8" t="e">
        <f ca="1">[1]!BexGetData("DP_1","003N8EMH8GTFRIVOG7KG9J3KE","GSON1112110084")</f>
        <v>#NAME?</v>
      </c>
      <c r="P1169" s="8" t="e">
        <f ca="1">[1]!BexGetData("DP_1","003N8EMH8GTFRIVOG7KG9J9VY","GSON1112110084")</f>
        <v>#NAME?</v>
      </c>
      <c r="Q1169" s="4" t="e">
        <f ca="1">[1]!BexGetData("DP_1","00O2TNJGODT0G5Z4TTKYMM5MT","GSON1112110084")</f>
        <v>#NAME?</v>
      </c>
      <c r="R1169" s="4" t="e">
        <f ca="1">[1]!BexGetData("DP_1","00O2TNJGODT0G5Z4TTKYMMBYD","GSON1112110084")</f>
        <v>#NAME?</v>
      </c>
      <c r="S1169" s="4" t="e">
        <f ca="1">[1]!BexGetData("DP_1","00O2TNJGODT0G5Z4TTKYMMI9X","GSON1112110084")</f>
        <v>#NAME?</v>
      </c>
      <c r="T1169" s="4" t="e">
        <f ca="1">[1]!BexGetData("DP_1","00O2TNJGODT0G5Z4TTKYMMOLH","GSON1112110084")</f>
        <v>#NAME?</v>
      </c>
      <c r="U1169" s="4" t="e">
        <f ca="1">[1]!BexGetData("DP_1","00O2TNJGODT0G5Z4TTKYMMUX1","GSON1112110084")</f>
        <v>#NAME?</v>
      </c>
      <c r="V1169" s="4" t="e">
        <f ca="1">[1]!BexGetData("DP_1","00O2TNJGODT0G5Z4TTKYMN18L","GSON1112110084")</f>
        <v>#NAME?</v>
      </c>
      <c r="W1169" s="4" t="e">
        <f ca="1">[1]!BexGetData("DP_1","00O2TNJGODT0G5Z4TTKYMN7K5","GSON1112110084")</f>
        <v>#NAME?</v>
      </c>
    </row>
    <row r="1170" spans="1:23" x14ac:dyDescent="0.2">
      <c r="A1170" s="16" t="s">
        <v>3415</v>
      </c>
      <c r="B1170" s="7" t="s">
        <v>3416</v>
      </c>
      <c r="C1170" s="3" t="e">
        <f ca="1">[1]!BexGetData("DP_1","003N8EMH8GTFRCSWKMPXRR8GU","GSON1112110085")</f>
        <v>#NAME?</v>
      </c>
      <c r="D1170" s="3" t="e">
        <f ca="1">[1]!BexGetData("DP_1","003N8EMH8GTFRCSWKMPXRRESE","GSON1112110085")</f>
        <v>#NAME?</v>
      </c>
      <c r="E1170" s="8" t="e">
        <f ca="1">[1]!BexGetData("DP_1","003N8EMH8GTFRCSWKMPXRRL3Y","GSON1112110085")</f>
        <v>#NAME?</v>
      </c>
      <c r="F1170" s="4" t="e">
        <f ca="1">[1]!BexGetData("DP_1","003N8EMH8GTFRCSWKMPXRRRFI","GSON1112110085")</f>
        <v>#NAME?</v>
      </c>
      <c r="G1170" s="4" t="e">
        <f ca="1">[1]!BexGetData("DP_1","003N8EMH8GTFRCSWKMPXRRXR2","GSON1112110085")</f>
        <v>#NAME?</v>
      </c>
      <c r="H1170" s="4" t="e">
        <f ca="1">[1]!BexGetData("DP_1","003N8EMH8GTFRCSWKMPXRS42M","GSON1112110085")</f>
        <v>#NAME?</v>
      </c>
      <c r="I1170" s="4" t="e">
        <f ca="1">[1]!BexGetData("DP_1","003N8EMH8GTFRCSWKMPXRSAE6","GSON1112110085")</f>
        <v>#NAME?</v>
      </c>
      <c r="J1170" s="4" t="e">
        <f ca="1">[1]!BexGetData("DP_1","003N8EMH8GTFRCSWKMPXRSGPQ","GSON1112110085")</f>
        <v>#NAME?</v>
      </c>
      <c r="K1170" s="8" t="e">
        <f ca="1">[1]!BexGetData("DP_1","003N8EMH8GTFRIVNUPY288VJH","GSON1112110085")</f>
        <v>#NAME?</v>
      </c>
      <c r="L1170" s="8" t="e">
        <f ca="1">[1]!BexGetData("DP_1","003N8EMH8GTFRIVNUPY2891V1","GSON1112110085")</f>
        <v>#NAME?</v>
      </c>
      <c r="M1170" s="8" t="e">
        <f ca="1">[1]!BexGetData("DP_1","003N8EMH8GTFRIVOG7KG9IQXA","GSON1112110085")</f>
        <v>#NAME?</v>
      </c>
      <c r="N1170" s="8" t="e">
        <f ca="1">[1]!BexGetData("DP_1","003N8EMH8GTFRIVOG7KG9IX8U","GSON1112110085")</f>
        <v>#NAME?</v>
      </c>
      <c r="O1170" s="8" t="e">
        <f ca="1">[1]!BexGetData("DP_1","003N8EMH8GTFRIVOG7KG9J3KE","GSON1112110085")</f>
        <v>#NAME?</v>
      </c>
      <c r="P1170" s="8" t="e">
        <f ca="1">[1]!BexGetData("DP_1","003N8EMH8GTFRIVOG7KG9J9VY","GSON1112110085")</f>
        <v>#NAME?</v>
      </c>
      <c r="Q1170" s="4" t="e">
        <f ca="1">[1]!BexGetData("DP_1","00O2TNJGODT0G5Z4TTKYMM5MT","GSON1112110085")</f>
        <v>#NAME?</v>
      </c>
      <c r="R1170" s="4" t="e">
        <f ca="1">[1]!BexGetData("DP_1","00O2TNJGODT0G5Z4TTKYMMBYD","GSON1112110085")</f>
        <v>#NAME?</v>
      </c>
      <c r="S1170" s="4" t="e">
        <f ca="1">[1]!BexGetData("DP_1","00O2TNJGODT0G5Z4TTKYMMI9X","GSON1112110085")</f>
        <v>#NAME?</v>
      </c>
      <c r="T1170" s="4" t="e">
        <f ca="1">[1]!BexGetData("DP_1","00O2TNJGODT0G5Z4TTKYMMOLH","GSON1112110085")</f>
        <v>#NAME?</v>
      </c>
      <c r="U1170" s="4" t="e">
        <f ca="1">[1]!BexGetData("DP_1","00O2TNJGODT0G5Z4TTKYMMUX1","GSON1112110085")</f>
        <v>#NAME?</v>
      </c>
      <c r="V1170" s="4" t="e">
        <f ca="1">[1]!BexGetData("DP_1","00O2TNJGODT0G5Z4TTKYMN18L","GSON1112110085")</f>
        <v>#NAME?</v>
      </c>
      <c r="W1170" s="4" t="e">
        <f ca="1">[1]!BexGetData("DP_1","00O2TNJGODT0G5Z4TTKYMN7K5","GSON1112110085")</f>
        <v>#NAME?</v>
      </c>
    </row>
    <row r="1171" spans="1:23" x14ac:dyDescent="0.2">
      <c r="A1171" s="16" t="s">
        <v>3417</v>
      </c>
      <c r="B1171" s="7" t="s">
        <v>1107</v>
      </c>
      <c r="C1171" s="3" t="e">
        <f ca="1">[1]!BexGetData("DP_1","003N8EMH8GTFRCSWKMPXRR8GU","GSON1112110090")</f>
        <v>#NAME?</v>
      </c>
      <c r="D1171" s="3" t="e">
        <f ca="1">[1]!BexGetData("DP_1","003N8EMH8GTFRCSWKMPXRRESE","GSON1112110090")</f>
        <v>#NAME?</v>
      </c>
      <c r="E1171" s="8" t="e">
        <f ca="1">[1]!BexGetData("DP_1","003N8EMH8GTFRCSWKMPXRRL3Y","GSON1112110090")</f>
        <v>#NAME?</v>
      </c>
      <c r="F1171" s="3" t="e">
        <f ca="1">[1]!BexGetData("DP_1","003N8EMH8GTFRCSWKMPXRRRFI","GSON1112110090")</f>
        <v>#NAME?</v>
      </c>
      <c r="G1171" s="3" t="e">
        <f ca="1">[1]!BexGetData("DP_1","003N8EMH8GTFRCSWKMPXRRXR2","GSON1112110090")</f>
        <v>#NAME?</v>
      </c>
      <c r="H1171" s="8" t="e">
        <f ca="1">[1]!BexGetData("DP_1","003N8EMH8GTFRCSWKMPXRS42M","GSON1112110090")</f>
        <v>#NAME?</v>
      </c>
      <c r="I1171" s="3" t="e">
        <f ca="1">[1]!BexGetData("DP_1","003N8EMH8GTFRCSWKMPXRSAE6","GSON1112110090")</f>
        <v>#NAME?</v>
      </c>
      <c r="J1171" s="4" t="e">
        <f ca="1">[1]!BexGetData("DP_1","003N8EMH8GTFRCSWKMPXRSGPQ","GSON1112110090")</f>
        <v>#NAME?</v>
      </c>
      <c r="K1171" s="3" t="e">
        <f ca="1">[1]!BexGetData("DP_1","003N8EMH8GTFRIVNUPY288VJH","GSON1112110090")</f>
        <v>#NAME?</v>
      </c>
      <c r="L1171" s="3" t="e">
        <f ca="1">[1]!BexGetData("DP_1","003N8EMH8GTFRIVNUPY2891V1","GSON1112110090")</f>
        <v>#NAME?</v>
      </c>
      <c r="M1171" s="3" t="e">
        <f ca="1">[1]!BexGetData("DP_1","003N8EMH8GTFRIVOG7KG9IQXA","GSON1112110090")</f>
        <v>#NAME?</v>
      </c>
      <c r="N1171" s="8" t="e">
        <f ca="1">[1]!BexGetData("DP_1","003N8EMH8GTFRIVOG7KG9IX8U","GSON1112110090")</f>
        <v>#NAME?</v>
      </c>
      <c r="O1171" s="3" t="e">
        <f ca="1">[1]!BexGetData("DP_1","003N8EMH8GTFRIVOG7KG9J3KE","GSON1112110090")</f>
        <v>#NAME?</v>
      </c>
      <c r="P1171" s="8" t="e">
        <f ca="1">[1]!BexGetData("DP_1","003N8EMH8GTFRIVOG7KG9J9VY","GSON1112110090")</f>
        <v>#NAME?</v>
      </c>
      <c r="Q1171" s="4" t="e">
        <f ca="1">[1]!BexGetData("DP_1","00O2TNJGODT0G5Z4TTKYMM5MT","GSON1112110090")</f>
        <v>#NAME?</v>
      </c>
      <c r="R1171" s="3" t="e">
        <f ca="1">[1]!BexGetData("DP_1","00O2TNJGODT0G5Z4TTKYMMBYD","GSON1112110090")</f>
        <v>#NAME?</v>
      </c>
      <c r="S1171" s="3" t="e">
        <f ca="1">[1]!BexGetData("DP_1","00O2TNJGODT0G5Z4TTKYMMI9X","GSON1112110090")</f>
        <v>#NAME?</v>
      </c>
      <c r="T1171" s="8" t="e">
        <f ca="1">[1]!BexGetData("DP_1","00O2TNJGODT0G5Z4TTKYMMOLH","GSON1112110090")</f>
        <v>#NAME?</v>
      </c>
      <c r="U1171" s="3" t="e">
        <f ca="1">[1]!BexGetData("DP_1","00O2TNJGODT0G5Z4TTKYMMUX1","GSON1112110090")</f>
        <v>#NAME?</v>
      </c>
      <c r="V1171" s="8" t="e">
        <f ca="1">[1]!BexGetData("DP_1","00O2TNJGODT0G5Z4TTKYMN18L","GSON1112110090")</f>
        <v>#NAME?</v>
      </c>
      <c r="W1171" s="3" t="e">
        <f ca="1">[1]!BexGetData("DP_1","00O2TNJGODT0G5Z4TTKYMN7K5","GSON1112110090")</f>
        <v>#NAME?</v>
      </c>
    </row>
    <row r="1172" spans="1:23" x14ac:dyDescent="0.2">
      <c r="A1172" s="16" t="s">
        <v>1672</v>
      </c>
      <c r="B1172" s="7" t="s">
        <v>1673</v>
      </c>
      <c r="C1172" s="3" t="e">
        <f ca="1">[1]!BexGetData("DP_1","003N8EMH8GTFRCSWKMPXRR8GU","GSON1112110091")</f>
        <v>#NAME?</v>
      </c>
      <c r="D1172" s="3" t="e">
        <f ca="1">[1]!BexGetData("DP_1","003N8EMH8GTFRCSWKMPXRRESE","GSON1112110091")</f>
        <v>#NAME?</v>
      </c>
      <c r="E1172" s="8" t="e">
        <f ca="1">[1]!BexGetData("DP_1","003N8EMH8GTFRCSWKMPXRRL3Y","GSON1112110091")</f>
        <v>#NAME?</v>
      </c>
      <c r="F1172" s="4" t="e">
        <f ca="1">[1]!BexGetData("DP_1","003N8EMH8GTFRCSWKMPXRRRFI","GSON1112110091")</f>
        <v>#NAME?</v>
      </c>
      <c r="G1172" s="4" t="e">
        <f ca="1">[1]!BexGetData("DP_1","003N8EMH8GTFRCSWKMPXRRXR2","GSON1112110091")</f>
        <v>#NAME?</v>
      </c>
      <c r="H1172" s="4" t="e">
        <f ca="1">[1]!BexGetData("DP_1","003N8EMH8GTFRCSWKMPXRS42M","GSON1112110091")</f>
        <v>#NAME?</v>
      </c>
      <c r="I1172" s="4" t="e">
        <f ca="1">[1]!BexGetData("DP_1","003N8EMH8GTFRCSWKMPXRSAE6","GSON1112110091")</f>
        <v>#NAME?</v>
      </c>
      <c r="J1172" s="4" t="e">
        <f ca="1">[1]!BexGetData("DP_1","003N8EMH8GTFRCSWKMPXRSGPQ","GSON1112110091")</f>
        <v>#NAME?</v>
      </c>
      <c r="K1172" s="8" t="e">
        <f ca="1">[1]!BexGetData("DP_1","003N8EMH8GTFRIVNUPY288VJH","GSON1112110091")</f>
        <v>#NAME?</v>
      </c>
      <c r="L1172" s="8" t="e">
        <f ca="1">[1]!BexGetData("DP_1","003N8EMH8GTFRIVNUPY2891V1","GSON1112110091")</f>
        <v>#NAME?</v>
      </c>
      <c r="M1172" s="8" t="e">
        <f ca="1">[1]!BexGetData("DP_1","003N8EMH8GTFRIVOG7KG9IQXA","GSON1112110091")</f>
        <v>#NAME?</v>
      </c>
      <c r="N1172" s="8" t="e">
        <f ca="1">[1]!BexGetData("DP_1","003N8EMH8GTFRIVOG7KG9IX8U","GSON1112110091")</f>
        <v>#NAME?</v>
      </c>
      <c r="O1172" s="8" t="e">
        <f ca="1">[1]!BexGetData("DP_1","003N8EMH8GTFRIVOG7KG9J3KE","GSON1112110091")</f>
        <v>#NAME?</v>
      </c>
      <c r="P1172" s="8" t="e">
        <f ca="1">[1]!BexGetData("DP_1","003N8EMH8GTFRIVOG7KG9J9VY","GSON1112110091")</f>
        <v>#NAME?</v>
      </c>
      <c r="Q1172" s="4" t="e">
        <f ca="1">[1]!BexGetData("DP_1","00O2TNJGODT0G5Z4TTKYMM5MT","GSON1112110091")</f>
        <v>#NAME?</v>
      </c>
      <c r="R1172" s="4" t="e">
        <f ca="1">[1]!BexGetData("DP_1","00O2TNJGODT0G5Z4TTKYMMBYD","GSON1112110091")</f>
        <v>#NAME?</v>
      </c>
      <c r="S1172" s="4" t="e">
        <f ca="1">[1]!BexGetData("DP_1","00O2TNJGODT0G5Z4TTKYMMI9X","GSON1112110091")</f>
        <v>#NAME?</v>
      </c>
      <c r="T1172" s="4" t="e">
        <f ca="1">[1]!BexGetData("DP_1","00O2TNJGODT0G5Z4TTKYMMOLH","GSON1112110091")</f>
        <v>#NAME?</v>
      </c>
      <c r="U1172" s="4" t="e">
        <f ca="1">[1]!BexGetData("DP_1","00O2TNJGODT0G5Z4TTKYMMUX1","GSON1112110091")</f>
        <v>#NAME?</v>
      </c>
      <c r="V1172" s="4" t="e">
        <f ca="1">[1]!BexGetData("DP_1","00O2TNJGODT0G5Z4TTKYMN18L","GSON1112110091")</f>
        <v>#NAME?</v>
      </c>
      <c r="W1172" s="4" t="e">
        <f ca="1">[1]!BexGetData("DP_1","00O2TNJGODT0G5Z4TTKYMN7K5","GSON1112110091")</f>
        <v>#NAME?</v>
      </c>
    </row>
    <row r="1173" spans="1:23" x14ac:dyDescent="0.2">
      <c r="A1173" s="16" t="s">
        <v>3418</v>
      </c>
      <c r="B1173" s="7" t="s">
        <v>3419</v>
      </c>
      <c r="C1173" s="3" t="e">
        <f ca="1">[1]!BexGetData("DP_1","003N8EMH8GTFRCSWKMPXRR8GU","GSON1112110092")</f>
        <v>#NAME?</v>
      </c>
      <c r="D1173" s="3" t="e">
        <f ca="1">[1]!BexGetData("DP_1","003N8EMH8GTFRCSWKMPXRRESE","GSON1112110092")</f>
        <v>#NAME?</v>
      </c>
      <c r="E1173" s="8" t="e">
        <f ca="1">[1]!BexGetData("DP_1","003N8EMH8GTFRCSWKMPXRRL3Y","GSON1112110092")</f>
        <v>#NAME?</v>
      </c>
      <c r="F1173" s="4" t="e">
        <f ca="1">[1]!BexGetData("DP_1","003N8EMH8GTFRCSWKMPXRRRFI","GSON1112110092")</f>
        <v>#NAME?</v>
      </c>
      <c r="G1173" s="4" t="e">
        <f ca="1">[1]!BexGetData("DP_1","003N8EMH8GTFRCSWKMPXRRXR2","GSON1112110092")</f>
        <v>#NAME?</v>
      </c>
      <c r="H1173" s="4" t="e">
        <f ca="1">[1]!BexGetData("DP_1","003N8EMH8GTFRCSWKMPXRS42M","GSON1112110092")</f>
        <v>#NAME?</v>
      </c>
      <c r="I1173" s="4" t="e">
        <f ca="1">[1]!BexGetData("DP_1","003N8EMH8GTFRCSWKMPXRSAE6","GSON1112110092")</f>
        <v>#NAME?</v>
      </c>
      <c r="J1173" s="4" t="e">
        <f ca="1">[1]!BexGetData("DP_1","003N8EMH8GTFRCSWKMPXRSGPQ","GSON1112110092")</f>
        <v>#NAME?</v>
      </c>
      <c r="K1173" s="8" t="e">
        <f ca="1">[1]!BexGetData("DP_1","003N8EMH8GTFRIVNUPY288VJH","GSON1112110092")</f>
        <v>#NAME?</v>
      </c>
      <c r="L1173" s="8" t="e">
        <f ca="1">[1]!BexGetData("DP_1","003N8EMH8GTFRIVNUPY2891V1","GSON1112110092")</f>
        <v>#NAME?</v>
      </c>
      <c r="M1173" s="8" t="e">
        <f ca="1">[1]!BexGetData("DP_1","003N8EMH8GTFRIVOG7KG9IQXA","GSON1112110092")</f>
        <v>#NAME?</v>
      </c>
      <c r="N1173" s="8" t="e">
        <f ca="1">[1]!BexGetData("DP_1","003N8EMH8GTFRIVOG7KG9IX8U","GSON1112110092")</f>
        <v>#NAME?</v>
      </c>
      <c r="O1173" s="8" t="e">
        <f ca="1">[1]!BexGetData("DP_1","003N8EMH8GTFRIVOG7KG9J3KE","GSON1112110092")</f>
        <v>#NAME?</v>
      </c>
      <c r="P1173" s="8" t="e">
        <f ca="1">[1]!BexGetData("DP_1","003N8EMH8GTFRIVOG7KG9J9VY","GSON1112110092")</f>
        <v>#NAME?</v>
      </c>
      <c r="Q1173" s="4" t="e">
        <f ca="1">[1]!BexGetData("DP_1","00O2TNJGODT0G5Z4TTKYMM5MT","GSON1112110092")</f>
        <v>#NAME?</v>
      </c>
      <c r="R1173" s="4" t="e">
        <f ca="1">[1]!BexGetData("DP_1","00O2TNJGODT0G5Z4TTKYMMBYD","GSON1112110092")</f>
        <v>#NAME?</v>
      </c>
      <c r="S1173" s="4" t="e">
        <f ca="1">[1]!BexGetData("DP_1","00O2TNJGODT0G5Z4TTKYMMI9X","GSON1112110092")</f>
        <v>#NAME?</v>
      </c>
      <c r="T1173" s="4" t="e">
        <f ca="1">[1]!BexGetData("DP_1","00O2TNJGODT0G5Z4TTKYMMOLH","GSON1112110092")</f>
        <v>#NAME?</v>
      </c>
      <c r="U1173" s="4" t="e">
        <f ca="1">[1]!BexGetData("DP_1","00O2TNJGODT0G5Z4TTKYMMUX1","GSON1112110092")</f>
        <v>#NAME?</v>
      </c>
      <c r="V1173" s="4" t="e">
        <f ca="1">[1]!BexGetData("DP_1","00O2TNJGODT0G5Z4TTKYMN18L","GSON1112110092")</f>
        <v>#NAME?</v>
      </c>
      <c r="W1173" s="4" t="e">
        <f ca="1">[1]!BexGetData("DP_1","00O2TNJGODT0G5Z4TTKYMN7K5","GSON1112110092")</f>
        <v>#NAME?</v>
      </c>
    </row>
    <row r="1174" spans="1:23" x14ac:dyDescent="0.2">
      <c r="A1174" s="16" t="s">
        <v>3420</v>
      </c>
      <c r="B1174" s="7" t="s">
        <v>3421</v>
      </c>
      <c r="C1174" s="3" t="e">
        <f ca="1">[1]!BexGetData("DP_1","003N8EMH8GTFRCSWKMPXRR8GU","GSON1112110093")</f>
        <v>#NAME?</v>
      </c>
      <c r="D1174" s="3" t="e">
        <f ca="1">[1]!BexGetData("DP_1","003N8EMH8GTFRCSWKMPXRRESE","GSON1112110093")</f>
        <v>#NAME?</v>
      </c>
      <c r="E1174" s="8" t="e">
        <f ca="1">[1]!BexGetData("DP_1","003N8EMH8GTFRCSWKMPXRRL3Y","GSON1112110093")</f>
        <v>#NAME?</v>
      </c>
      <c r="F1174" s="4" t="e">
        <f ca="1">[1]!BexGetData("DP_1","003N8EMH8GTFRCSWKMPXRRRFI","GSON1112110093")</f>
        <v>#NAME?</v>
      </c>
      <c r="G1174" s="4" t="e">
        <f ca="1">[1]!BexGetData("DP_1","003N8EMH8GTFRCSWKMPXRRXR2","GSON1112110093")</f>
        <v>#NAME?</v>
      </c>
      <c r="H1174" s="4" t="e">
        <f ca="1">[1]!BexGetData("DP_1","003N8EMH8GTFRCSWKMPXRS42M","GSON1112110093")</f>
        <v>#NAME?</v>
      </c>
      <c r="I1174" s="4" t="e">
        <f ca="1">[1]!BexGetData("DP_1","003N8EMH8GTFRCSWKMPXRSAE6","GSON1112110093")</f>
        <v>#NAME?</v>
      </c>
      <c r="J1174" s="4" t="e">
        <f ca="1">[1]!BexGetData("DP_1","003N8EMH8GTFRCSWKMPXRSGPQ","GSON1112110093")</f>
        <v>#NAME?</v>
      </c>
      <c r="K1174" s="8" t="e">
        <f ca="1">[1]!BexGetData("DP_1","003N8EMH8GTFRIVNUPY288VJH","GSON1112110093")</f>
        <v>#NAME?</v>
      </c>
      <c r="L1174" s="8" t="e">
        <f ca="1">[1]!BexGetData("DP_1","003N8EMH8GTFRIVNUPY2891V1","GSON1112110093")</f>
        <v>#NAME?</v>
      </c>
      <c r="M1174" s="8" t="e">
        <f ca="1">[1]!BexGetData("DP_1","003N8EMH8GTFRIVOG7KG9IQXA","GSON1112110093")</f>
        <v>#NAME?</v>
      </c>
      <c r="N1174" s="8" t="e">
        <f ca="1">[1]!BexGetData("DP_1","003N8EMH8GTFRIVOG7KG9IX8U","GSON1112110093")</f>
        <v>#NAME?</v>
      </c>
      <c r="O1174" s="8" t="e">
        <f ca="1">[1]!BexGetData("DP_1","003N8EMH8GTFRIVOG7KG9J3KE","GSON1112110093")</f>
        <v>#NAME?</v>
      </c>
      <c r="P1174" s="8" t="e">
        <f ca="1">[1]!BexGetData("DP_1","003N8EMH8GTFRIVOG7KG9J9VY","GSON1112110093")</f>
        <v>#NAME?</v>
      </c>
      <c r="Q1174" s="4" t="e">
        <f ca="1">[1]!BexGetData("DP_1","00O2TNJGODT0G5Z4TTKYMM5MT","GSON1112110093")</f>
        <v>#NAME?</v>
      </c>
      <c r="R1174" s="4" t="e">
        <f ca="1">[1]!BexGetData("DP_1","00O2TNJGODT0G5Z4TTKYMMBYD","GSON1112110093")</f>
        <v>#NAME?</v>
      </c>
      <c r="S1174" s="4" t="e">
        <f ca="1">[1]!BexGetData("DP_1","00O2TNJGODT0G5Z4TTKYMMI9X","GSON1112110093")</f>
        <v>#NAME?</v>
      </c>
      <c r="T1174" s="4" t="e">
        <f ca="1">[1]!BexGetData("DP_1","00O2TNJGODT0G5Z4TTKYMMOLH","GSON1112110093")</f>
        <v>#NAME?</v>
      </c>
      <c r="U1174" s="4" t="e">
        <f ca="1">[1]!BexGetData("DP_1","00O2TNJGODT0G5Z4TTKYMMUX1","GSON1112110093")</f>
        <v>#NAME?</v>
      </c>
      <c r="V1174" s="4" t="e">
        <f ca="1">[1]!BexGetData("DP_1","00O2TNJGODT0G5Z4TTKYMN18L","GSON1112110093")</f>
        <v>#NAME?</v>
      </c>
      <c r="W1174" s="4" t="e">
        <f ca="1">[1]!BexGetData("DP_1","00O2TNJGODT0G5Z4TTKYMN7K5","GSON1112110093")</f>
        <v>#NAME?</v>
      </c>
    </row>
    <row r="1175" spans="1:23" x14ac:dyDescent="0.2">
      <c r="A1175" s="16" t="s">
        <v>3422</v>
      </c>
      <c r="B1175" s="7" t="s">
        <v>3423</v>
      </c>
      <c r="C1175" s="3" t="e">
        <f ca="1">[1]!BexGetData("DP_1","003N8EMH8GTFRCSWKMPXRR8GU","GSON1112110094")</f>
        <v>#NAME?</v>
      </c>
      <c r="D1175" s="3" t="e">
        <f ca="1">[1]!BexGetData("DP_1","003N8EMH8GTFRCSWKMPXRRESE","GSON1112110094")</f>
        <v>#NAME?</v>
      </c>
      <c r="E1175" s="8" t="e">
        <f ca="1">[1]!BexGetData("DP_1","003N8EMH8GTFRCSWKMPXRRL3Y","GSON1112110094")</f>
        <v>#NAME?</v>
      </c>
      <c r="F1175" s="4" t="e">
        <f ca="1">[1]!BexGetData("DP_1","003N8EMH8GTFRCSWKMPXRRRFI","GSON1112110094")</f>
        <v>#NAME?</v>
      </c>
      <c r="G1175" s="4" t="e">
        <f ca="1">[1]!BexGetData("DP_1","003N8EMH8GTFRCSWKMPXRRXR2","GSON1112110094")</f>
        <v>#NAME?</v>
      </c>
      <c r="H1175" s="4" t="e">
        <f ca="1">[1]!BexGetData("DP_1","003N8EMH8GTFRCSWKMPXRS42M","GSON1112110094")</f>
        <v>#NAME?</v>
      </c>
      <c r="I1175" s="4" t="e">
        <f ca="1">[1]!BexGetData("DP_1","003N8EMH8GTFRCSWKMPXRSAE6","GSON1112110094")</f>
        <v>#NAME?</v>
      </c>
      <c r="J1175" s="4" t="e">
        <f ca="1">[1]!BexGetData("DP_1","003N8EMH8GTFRCSWKMPXRSGPQ","GSON1112110094")</f>
        <v>#NAME?</v>
      </c>
      <c r="K1175" s="8" t="e">
        <f ca="1">[1]!BexGetData("DP_1","003N8EMH8GTFRIVNUPY288VJH","GSON1112110094")</f>
        <v>#NAME?</v>
      </c>
      <c r="L1175" s="8" t="e">
        <f ca="1">[1]!BexGetData("DP_1","003N8EMH8GTFRIVNUPY2891V1","GSON1112110094")</f>
        <v>#NAME?</v>
      </c>
      <c r="M1175" s="8" t="e">
        <f ca="1">[1]!BexGetData("DP_1","003N8EMH8GTFRIVOG7KG9IQXA","GSON1112110094")</f>
        <v>#NAME?</v>
      </c>
      <c r="N1175" s="8" t="e">
        <f ca="1">[1]!BexGetData("DP_1","003N8EMH8GTFRIVOG7KG9IX8U","GSON1112110094")</f>
        <v>#NAME?</v>
      </c>
      <c r="O1175" s="8" t="e">
        <f ca="1">[1]!BexGetData("DP_1","003N8EMH8GTFRIVOG7KG9J3KE","GSON1112110094")</f>
        <v>#NAME?</v>
      </c>
      <c r="P1175" s="8" t="e">
        <f ca="1">[1]!BexGetData("DP_1","003N8EMH8GTFRIVOG7KG9J9VY","GSON1112110094")</f>
        <v>#NAME?</v>
      </c>
      <c r="Q1175" s="4" t="e">
        <f ca="1">[1]!BexGetData("DP_1","00O2TNJGODT0G5Z4TTKYMM5MT","GSON1112110094")</f>
        <v>#NAME?</v>
      </c>
      <c r="R1175" s="4" t="e">
        <f ca="1">[1]!BexGetData("DP_1","00O2TNJGODT0G5Z4TTKYMMBYD","GSON1112110094")</f>
        <v>#NAME?</v>
      </c>
      <c r="S1175" s="4" t="e">
        <f ca="1">[1]!BexGetData("DP_1","00O2TNJGODT0G5Z4TTKYMMI9X","GSON1112110094")</f>
        <v>#NAME?</v>
      </c>
      <c r="T1175" s="4" t="e">
        <f ca="1">[1]!BexGetData("DP_1","00O2TNJGODT0G5Z4TTKYMMOLH","GSON1112110094")</f>
        <v>#NAME?</v>
      </c>
      <c r="U1175" s="4" t="e">
        <f ca="1">[1]!BexGetData("DP_1","00O2TNJGODT0G5Z4TTKYMMUX1","GSON1112110094")</f>
        <v>#NAME?</v>
      </c>
      <c r="V1175" s="4" t="e">
        <f ca="1">[1]!BexGetData("DP_1","00O2TNJGODT0G5Z4TTKYMN18L","GSON1112110094")</f>
        <v>#NAME?</v>
      </c>
      <c r="W1175" s="4" t="e">
        <f ca="1">[1]!BexGetData("DP_1","00O2TNJGODT0G5Z4TTKYMN7K5","GSON1112110094")</f>
        <v>#NAME?</v>
      </c>
    </row>
    <row r="1176" spans="1:23" x14ac:dyDescent="0.2">
      <c r="A1176" s="16" t="s">
        <v>1108</v>
      </c>
      <c r="B1176" s="7" t="s">
        <v>1109</v>
      </c>
      <c r="C1176" s="3" t="e">
        <f ca="1">[1]!BexGetData("DP_1","003N8EMH8GTFRCSWKMPXRR8GU","GSON1112110095")</f>
        <v>#NAME?</v>
      </c>
      <c r="D1176" s="3" t="e">
        <f ca="1">[1]!BexGetData("DP_1","003N8EMH8GTFRCSWKMPXRRESE","GSON1112110095")</f>
        <v>#NAME?</v>
      </c>
      <c r="E1176" s="8" t="e">
        <f ca="1">[1]!BexGetData("DP_1","003N8EMH8GTFRCSWKMPXRRL3Y","GSON1112110095")</f>
        <v>#NAME?</v>
      </c>
      <c r="F1176" s="4" t="e">
        <f ca="1">[1]!BexGetData("DP_1","003N8EMH8GTFRCSWKMPXRRRFI","GSON1112110095")</f>
        <v>#NAME?</v>
      </c>
      <c r="G1176" s="4" t="e">
        <f ca="1">[1]!BexGetData("DP_1","003N8EMH8GTFRCSWKMPXRRXR2","GSON1112110095")</f>
        <v>#NAME?</v>
      </c>
      <c r="H1176" s="4" t="e">
        <f ca="1">[1]!BexGetData("DP_1","003N8EMH8GTFRCSWKMPXRS42M","GSON1112110095")</f>
        <v>#NAME?</v>
      </c>
      <c r="I1176" s="4" t="e">
        <f ca="1">[1]!BexGetData("DP_1","003N8EMH8GTFRCSWKMPXRSAE6","GSON1112110095")</f>
        <v>#NAME?</v>
      </c>
      <c r="J1176" s="4" t="e">
        <f ca="1">[1]!BexGetData("DP_1","003N8EMH8GTFRCSWKMPXRSGPQ","GSON1112110095")</f>
        <v>#NAME?</v>
      </c>
      <c r="K1176" s="8" t="e">
        <f ca="1">[1]!BexGetData("DP_1","003N8EMH8GTFRIVNUPY288VJH","GSON1112110095")</f>
        <v>#NAME?</v>
      </c>
      <c r="L1176" s="8" t="e">
        <f ca="1">[1]!BexGetData("DP_1","003N8EMH8GTFRIVNUPY2891V1","GSON1112110095")</f>
        <v>#NAME?</v>
      </c>
      <c r="M1176" s="8" t="e">
        <f ca="1">[1]!BexGetData("DP_1","003N8EMH8GTFRIVOG7KG9IQXA","GSON1112110095")</f>
        <v>#NAME?</v>
      </c>
      <c r="N1176" s="8" t="e">
        <f ca="1">[1]!BexGetData("DP_1","003N8EMH8GTFRIVOG7KG9IX8U","GSON1112110095")</f>
        <v>#NAME?</v>
      </c>
      <c r="O1176" s="8" t="e">
        <f ca="1">[1]!BexGetData("DP_1","003N8EMH8GTFRIVOG7KG9J3KE","GSON1112110095")</f>
        <v>#NAME?</v>
      </c>
      <c r="P1176" s="8" t="e">
        <f ca="1">[1]!BexGetData("DP_1","003N8EMH8GTFRIVOG7KG9J9VY","GSON1112110095")</f>
        <v>#NAME?</v>
      </c>
      <c r="Q1176" s="4" t="e">
        <f ca="1">[1]!BexGetData("DP_1","00O2TNJGODT0G5Z4TTKYMM5MT","GSON1112110095")</f>
        <v>#NAME?</v>
      </c>
      <c r="R1176" s="4" t="e">
        <f ca="1">[1]!BexGetData("DP_1","00O2TNJGODT0G5Z4TTKYMMBYD","GSON1112110095")</f>
        <v>#NAME?</v>
      </c>
      <c r="S1176" s="4" t="e">
        <f ca="1">[1]!BexGetData("DP_1","00O2TNJGODT0G5Z4TTKYMMI9X","GSON1112110095")</f>
        <v>#NAME?</v>
      </c>
      <c r="T1176" s="4" t="e">
        <f ca="1">[1]!BexGetData("DP_1","00O2TNJGODT0G5Z4TTKYMMOLH","GSON1112110095")</f>
        <v>#NAME?</v>
      </c>
      <c r="U1176" s="4" t="e">
        <f ca="1">[1]!BexGetData("DP_1","00O2TNJGODT0G5Z4TTKYMMUX1","GSON1112110095")</f>
        <v>#NAME?</v>
      </c>
      <c r="V1176" s="4" t="e">
        <f ca="1">[1]!BexGetData("DP_1","00O2TNJGODT0G5Z4TTKYMN18L","GSON1112110095")</f>
        <v>#NAME?</v>
      </c>
      <c r="W1176" s="4" t="e">
        <f ca="1">[1]!BexGetData("DP_1","00O2TNJGODT0G5Z4TTKYMN7K5","GSON1112110095")</f>
        <v>#NAME?</v>
      </c>
    </row>
    <row r="1177" spans="1:23" x14ac:dyDescent="0.2">
      <c r="A1177" s="16" t="s">
        <v>3424</v>
      </c>
      <c r="B1177" s="7" t="s">
        <v>1110</v>
      </c>
      <c r="C1177" s="3" t="e">
        <f ca="1">[1]!BexGetData("DP_1","003N8EMH8GTFRCSWKMPXRR8GU","GSON1112110100")</f>
        <v>#NAME?</v>
      </c>
      <c r="D1177" s="3" t="e">
        <f ca="1">[1]!BexGetData("DP_1","003N8EMH8GTFRCSWKMPXRRESE","GSON1112110100")</f>
        <v>#NAME?</v>
      </c>
      <c r="E1177" s="3" t="e">
        <f ca="1">[1]!BexGetData("DP_1","003N8EMH8GTFRCSWKMPXRRL3Y","GSON1112110100")</f>
        <v>#NAME?</v>
      </c>
      <c r="F1177" s="3" t="e">
        <f ca="1">[1]!BexGetData("DP_1","003N8EMH8GTFRCSWKMPXRRRFI","GSON1112110100")</f>
        <v>#NAME?</v>
      </c>
      <c r="G1177" s="3" t="e">
        <f ca="1">[1]!BexGetData("DP_1","003N8EMH8GTFRCSWKMPXRRXR2","GSON1112110100")</f>
        <v>#NAME?</v>
      </c>
      <c r="H1177" s="8" t="e">
        <f ca="1">[1]!BexGetData("DP_1","003N8EMH8GTFRCSWKMPXRS42M","GSON1112110100")</f>
        <v>#NAME?</v>
      </c>
      <c r="I1177" s="3" t="e">
        <f ca="1">[1]!BexGetData("DP_1","003N8EMH8GTFRCSWKMPXRSAE6","GSON1112110100")</f>
        <v>#NAME?</v>
      </c>
      <c r="J1177" s="4" t="e">
        <f ca="1">[1]!BexGetData("DP_1","003N8EMH8GTFRCSWKMPXRSGPQ","GSON1112110100")</f>
        <v>#NAME?</v>
      </c>
      <c r="K1177" s="3" t="e">
        <f ca="1">[1]!BexGetData("DP_1","003N8EMH8GTFRIVNUPY288VJH","GSON1112110100")</f>
        <v>#NAME?</v>
      </c>
      <c r="L1177" s="3" t="e">
        <f ca="1">[1]!BexGetData("DP_1","003N8EMH8GTFRIVNUPY2891V1","GSON1112110100")</f>
        <v>#NAME?</v>
      </c>
      <c r="M1177" s="3" t="e">
        <f ca="1">[1]!BexGetData("DP_1","003N8EMH8GTFRIVOG7KG9IQXA","GSON1112110100")</f>
        <v>#NAME?</v>
      </c>
      <c r="N1177" s="8" t="e">
        <f ca="1">[1]!BexGetData("DP_1","003N8EMH8GTFRIVOG7KG9IX8U","GSON1112110100")</f>
        <v>#NAME?</v>
      </c>
      <c r="O1177" s="3" t="e">
        <f ca="1">[1]!BexGetData("DP_1","003N8EMH8GTFRIVOG7KG9J3KE","GSON1112110100")</f>
        <v>#NAME?</v>
      </c>
      <c r="P1177" s="8" t="e">
        <f ca="1">[1]!BexGetData("DP_1","003N8EMH8GTFRIVOG7KG9J9VY","GSON1112110100")</f>
        <v>#NAME?</v>
      </c>
      <c r="Q1177" s="4" t="e">
        <f ca="1">[1]!BexGetData("DP_1","00O2TNJGODT0G5Z4TTKYMM5MT","GSON1112110100")</f>
        <v>#NAME?</v>
      </c>
      <c r="R1177" s="3" t="e">
        <f ca="1">[1]!BexGetData("DP_1","00O2TNJGODT0G5Z4TTKYMMBYD","GSON1112110100")</f>
        <v>#NAME?</v>
      </c>
      <c r="S1177" s="3" t="e">
        <f ca="1">[1]!BexGetData("DP_1","00O2TNJGODT0G5Z4TTKYMMI9X","GSON1112110100")</f>
        <v>#NAME?</v>
      </c>
      <c r="T1177" s="8" t="e">
        <f ca="1">[1]!BexGetData("DP_1","00O2TNJGODT0G5Z4TTKYMMOLH","GSON1112110100")</f>
        <v>#NAME?</v>
      </c>
      <c r="U1177" s="3" t="e">
        <f ca="1">[1]!BexGetData("DP_1","00O2TNJGODT0G5Z4TTKYMMUX1","GSON1112110100")</f>
        <v>#NAME?</v>
      </c>
      <c r="V1177" s="8" t="e">
        <f ca="1">[1]!BexGetData("DP_1","00O2TNJGODT0G5Z4TTKYMN18L","GSON1112110100")</f>
        <v>#NAME?</v>
      </c>
      <c r="W1177" s="3" t="e">
        <f ca="1">[1]!BexGetData("DP_1","00O2TNJGODT0G5Z4TTKYMN7K5","GSON1112110100")</f>
        <v>#NAME?</v>
      </c>
    </row>
    <row r="1178" spans="1:23" x14ac:dyDescent="0.2">
      <c r="A1178" s="16" t="s">
        <v>3425</v>
      </c>
      <c r="B1178" s="7" t="s">
        <v>3426</v>
      </c>
      <c r="C1178" s="3" t="e">
        <f ca="1">[1]!BexGetData("DP_1","003N8EMH8GTFRCSWKMPXRR8GU","GSON1112110104")</f>
        <v>#NAME?</v>
      </c>
      <c r="D1178" s="3" t="e">
        <f ca="1">[1]!BexGetData("DP_1","003N8EMH8GTFRCSWKMPXRRESE","GSON1112110104")</f>
        <v>#NAME?</v>
      </c>
      <c r="E1178" s="8" t="e">
        <f ca="1">[1]!BexGetData("DP_1","003N8EMH8GTFRCSWKMPXRRL3Y","GSON1112110104")</f>
        <v>#NAME?</v>
      </c>
      <c r="F1178" s="4" t="e">
        <f ca="1">[1]!BexGetData("DP_1","003N8EMH8GTFRCSWKMPXRRRFI","GSON1112110104")</f>
        <v>#NAME?</v>
      </c>
      <c r="G1178" s="4" t="e">
        <f ca="1">[1]!BexGetData("DP_1","003N8EMH8GTFRCSWKMPXRRXR2","GSON1112110104")</f>
        <v>#NAME?</v>
      </c>
      <c r="H1178" s="4" t="e">
        <f ca="1">[1]!BexGetData("DP_1","003N8EMH8GTFRCSWKMPXRS42M","GSON1112110104")</f>
        <v>#NAME?</v>
      </c>
      <c r="I1178" s="4" t="e">
        <f ca="1">[1]!BexGetData("DP_1","003N8EMH8GTFRCSWKMPXRSAE6","GSON1112110104")</f>
        <v>#NAME?</v>
      </c>
      <c r="J1178" s="4" t="e">
        <f ca="1">[1]!BexGetData("DP_1","003N8EMH8GTFRCSWKMPXRSGPQ","GSON1112110104")</f>
        <v>#NAME?</v>
      </c>
      <c r="K1178" s="8" t="e">
        <f ca="1">[1]!BexGetData("DP_1","003N8EMH8GTFRIVNUPY288VJH","GSON1112110104")</f>
        <v>#NAME?</v>
      </c>
      <c r="L1178" s="8" t="e">
        <f ca="1">[1]!BexGetData("DP_1","003N8EMH8GTFRIVNUPY2891V1","GSON1112110104")</f>
        <v>#NAME?</v>
      </c>
      <c r="M1178" s="8" t="e">
        <f ca="1">[1]!BexGetData("DP_1","003N8EMH8GTFRIVOG7KG9IQXA","GSON1112110104")</f>
        <v>#NAME?</v>
      </c>
      <c r="N1178" s="8" t="e">
        <f ca="1">[1]!BexGetData("DP_1","003N8EMH8GTFRIVOG7KG9IX8U","GSON1112110104")</f>
        <v>#NAME?</v>
      </c>
      <c r="O1178" s="8" t="e">
        <f ca="1">[1]!BexGetData("DP_1","003N8EMH8GTFRIVOG7KG9J3KE","GSON1112110104")</f>
        <v>#NAME?</v>
      </c>
      <c r="P1178" s="8" t="e">
        <f ca="1">[1]!BexGetData("DP_1","003N8EMH8GTFRIVOG7KG9J9VY","GSON1112110104")</f>
        <v>#NAME?</v>
      </c>
      <c r="Q1178" s="4" t="e">
        <f ca="1">[1]!BexGetData("DP_1","00O2TNJGODT0G5Z4TTKYMM5MT","GSON1112110104")</f>
        <v>#NAME?</v>
      </c>
      <c r="R1178" s="4" t="e">
        <f ca="1">[1]!BexGetData("DP_1","00O2TNJGODT0G5Z4TTKYMMBYD","GSON1112110104")</f>
        <v>#NAME?</v>
      </c>
      <c r="S1178" s="4" t="e">
        <f ca="1">[1]!BexGetData("DP_1","00O2TNJGODT0G5Z4TTKYMMI9X","GSON1112110104")</f>
        <v>#NAME?</v>
      </c>
      <c r="T1178" s="4" t="e">
        <f ca="1">[1]!BexGetData("DP_1","00O2TNJGODT0G5Z4TTKYMMOLH","GSON1112110104")</f>
        <v>#NAME?</v>
      </c>
      <c r="U1178" s="4" t="e">
        <f ca="1">[1]!BexGetData("DP_1","00O2TNJGODT0G5Z4TTKYMMUX1","GSON1112110104")</f>
        <v>#NAME?</v>
      </c>
      <c r="V1178" s="4" t="e">
        <f ca="1">[1]!BexGetData("DP_1","00O2TNJGODT0G5Z4TTKYMN18L","GSON1112110104")</f>
        <v>#NAME?</v>
      </c>
      <c r="W1178" s="4" t="e">
        <f ca="1">[1]!BexGetData("DP_1","00O2TNJGODT0G5Z4TTKYMN7K5","GSON1112110104")</f>
        <v>#NAME?</v>
      </c>
    </row>
    <row r="1179" spans="1:23" x14ac:dyDescent="0.2">
      <c r="A1179" s="16" t="s">
        <v>1111</v>
      </c>
      <c r="B1179" s="7" t="s">
        <v>1112</v>
      </c>
      <c r="C1179" s="3" t="e">
        <f ca="1">[1]!BexGetData("DP_1","003N8EMH8GTFRCSWKMPXRR8GU","GSON1112110105")</f>
        <v>#NAME?</v>
      </c>
      <c r="D1179" s="3" t="e">
        <f ca="1">[1]!BexGetData("DP_1","003N8EMH8GTFRCSWKMPXRRESE","GSON1112110105")</f>
        <v>#NAME?</v>
      </c>
      <c r="E1179" s="8" t="e">
        <f ca="1">[1]!BexGetData("DP_1","003N8EMH8GTFRCSWKMPXRRL3Y","GSON1112110105")</f>
        <v>#NAME?</v>
      </c>
      <c r="F1179" s="4" t="e">
        <f ca="1">[1]!BexGetData("DP_1","003N8EMH8GTFRCSWKMPXRRRFI","GSON1112110105")</f>
        <v>#NAME?</v>
      </c>
      <c r="G1179" s="4" t="e">
        <f ca="1">[1]!BexGetData("DP_1","003N8EMH8GTFRCSWKMPXRRXR2","GSON1112110105")</f>
        <v>#NAME?</v>
      </c>
      <c r="H1179" s="4" t="e">
        <f ca="1">[1]!BexGetData("DP_1","003N8EMH8GTFRCSWKMPXRS42M","GSON1112110105")</f>
        <v>#NAME?</v>
      </c>
      <c r="I1179" s="4" t="e">
        <f ca="1">[1]!BexGetData("DP_1","003N8EMH8GTFRCSWKMPXRSAE6","GSON1112110105")</f>
        <v>#NAME?</v>
      </c>
      <c r="J1179" s="4" t="e">
        <f ca="1">[1]!BexGetData("DP_1","003N8EMH8GTFRCSWKMPXRSGPQ","GSON1112110105")</f>
        <v>#NAME?</v>
      </c>
      <c r="K1179" s="8" t="e">
        <f ca="1">[1]!BexGetData("DP_1","003N8EMH8GTFRIVNUPY288VJH","GSON1112110105")</f>
        <v>#NAME?</v>
      </c>
      <c r="L1179" s="8" t="e">
        <f ca="1">[1]!BexGetData("DP_1","003N8EMH8GTFRIVNUPY2891V1","GSON1112110105")</f>
        <v>#NAME?</v>
      </c>
      <c r="M1179" s="8" t="e">
        <f ca="1">[1]!BexGetData("DP_1","003N8EMH8GTFRIVOG7KG9IQXA","GSON1112110105")</f>
        <v>#NAME?</v>
      </c>
      <c r="N1179" s="8" t="e">
        <f ca="1">[1]!BexGetData("DP_1","003N8EMH8GTFRIVOG7KG9IX8U","GSON1112110105")</f>
        <v>#NAME?</v>
      </c>
      <c r="O1179" s="8" t="e">
        <f ca="1">[1]!BexGetData("DP_1","003N8EMH8GTFRIVOG7KG9J3KE","GSON1112110105")</f>
        <v>#NAME?</v>
      </c>
      <c r="P1179" s="8" t="e">
        <f ca="1">[1]!BexGetData("DP_1","003N8EMH8GTFRIVOG7KG9J9VY","GSON1112110105")</f>
        <v>#NAME?</v>
      </c>
      <c r="Q1179" s="4" t="e">
        <f ca="1">[1]!BexGetData("DP_1","00O2TNJGODT0G5Z4TTKYMM5MT","GSON1112110105")</f>
        <v>#NAME?</v>
      </c>
      <c r="R1179" s="4" t="e">
        <f ca="1">[1]!BexGetData("DP_1","00O2TNJGODT0G5Z4TTKYMMBYD","GSON1112110105")</f>
        <v>#NAME?</v>
      </c>
      <c r="S1179" s="4" t="e">
        <f ca="1">[1]!BexGetData("DP_1","00O2TNJGODT0G5Z4TTKYMMI9X","GSON1112110105")</f>
        <v>#NAME?</v>
      </c>
      <c r="T1179" s="4" t="e">
        <f ca="1">[1]!BexGetData("DP_1","00O2TNJGODT0G5Z4TTKYMMOLH","GSON1112110105")</f>
        <v>#NAME?</v>
      </c>
      <c r="U1179" s="4" t="e">
        <f ca="1">[1]!BexGetData("DP_1","00O2TNJGODT0G5Z4TTKYMMUX1","GSON1112110105")</f>
        <v>#NAME?</v>
      </c>
      <c r="V1179" s="4" t="e">
        <f ca="1">[1]!BexGetData("DP_1","00O2TNJGODT0G5Z4TTKYMN18L","GSON1112110105")</f>
        <v>#NAME?</v>
      </c>
      <c r="W1179" s="4" t="e">
        <f ca="1">[1]!BexGetData("DP_1","00O2TNJGODT0G5Z4TTKYMN7K5","GSON1112110105")</f>
        <v>#NAME?</v>
      </c>
    </row>
    <row r="1180" spans="1:23" x14ac:dyDescent="0.2">
      <c r="A1180" s="16" t="s">
        <v>3427</v>
      </c>
      <c r="B1180" s="7" t="s">
        <v>3428</v>
      </c>
      <c r="C1180" s="3" t="e">
        <f ca="1">[1]!BexGetData("DP_1","003N8EMH8GTFRCSWKMPXRR8GU","GSON1112110114")</f>
        <v>#NAME?</v>
      </c>
      <c r="D1180" s="3" t="e">
        <f ca="1">[1]!BexGetData("DP_1","003N8EMH8GTFRCSWKMPXRRESE","GSON1112110114")</f>
        <v>#NAME?</v>
      </c>
      <c r="E1180" s="8" t="e">
        <f ca="1">[1]!BexGetData("DP_1","003N8EMH8GTFRCSWKMPXRRL3Y","GSON1112110114")</f>
        <v>#NAME?</v>
      </c>
      <c r="F1180" s="4" t="e">
        <f ca="1">[1]!BexGetData("DP_1","003N8EMH8GTFRCSWKMPXRRRFI","GSON1112110114")</f>
        <v>#NAME?</v>
      </c>
      <c r="G1180" s="4" t="e">
        <f ca="1">[1]!BexGetData("DP_1","003N8EMH8GTFRCSWKMPXRRXR2","GSON1112110114")</f>
        <v>#NAME?</v>
      </c>
      <c r="H1180" s="4" t="e">
        <f ca="1">[1]!BexGetData("DP_1","003N8EMH8GTFRCSWKMPXRS42M","GSON1112110114")</f>
        <v>#NAME?</v>
      </c>
      <c r="I1180" s="4" t="e">
        <f ca="1">[1]!BexGetData("DP_1","003N8EMH8GTFRCSWKMPXRSAE6","GSON1112110114")</f>
        <v>#NAME?</v>
      </c>
      <c r="J1180" s="4" t="e">
        <f ca="1">[1]!BexGetData("DP_1","003N8EMH8GTFRCSWKMPXRSGPQ","GSON1112110114")</f>
        <v>#NAME?</v>
      </c>
      <c r="K1180" s="8" t="e">
        <f ca="1">[1]!BexGetData("DP_1","003N8EMH8GTFRIVNUPY288VJH","GSON1112110114")</f>
        <v>#NAME?</v>
      </c>
      <c r="L1180" s="8" t="e">
        <f ca="1">[1]!BexGetData("DP_1","003N8EMH8GTFRIVNUPY2891V1","GSON1112110114")</f>
        <v>#NAME?</v>
      </c>
      <c r="M1180" s="8" t="e">
        <f ca="1">[1]!BexGetData("DP_1","003N8EMH8GTFRIVOG7KG9IQXA","GSON1112110114")</f>
        <v>#NAME?</v>
      </c>
      <c r="N1180" s="8" t="e">
        <f ca="1">[1]!BexGetData("DP_1","003N8EMH8GTFRIVOG7KG9IX8U","GSON1112110114")</f>
        <v>#NAME?</v>
      </c>
      <c r="O1180" s="8" t="e">
        <f ca="1">[1]!BexGetData("DP_1","003N8EMH8GTFRIVOG7KG9J3KE","GSON1112110114")</f>
        <v>#NAME?</v>
      </c>
      <c r="P1180" s="8" t="e">
        <f ca="1">[1]!BexGetData("DP_1","003N8EMH8GTFRIVOG7KG9J9VY","GSON1112110114")</f>
        <v>#NAME?</v>
      </c>
      <c r="Q1180" s="4" t="e">
        <f ca="1">[1]!BexGetData("DP_1","00O2TNJGODT0G5Z4TTKYMM5MT","GSON1112110114")</f>
        <v>#NAME?</v>
      </c>
      <c r="R1180" s="4" t="e">
        <f ca="1">[1]!BexGetData("DP_1","00O2TNJGODT0G5Z4TTKYMMBYD","GSON1112110114")</f>
        <v>#NAME?</v>
      </c>
      <c r="S1180" s="4" t="e">
        <f ca="1">[1]!BexGetData("DP_1","00O2TNJGODT0G5Z4TTKYMMI9X","GSON1112110114")</f>
        <v>#NAME?</v>
      </c>
      <c r="T1180" s="4" t="e">
        <f ca="1">[1]!BexGetData("DP_1","00O2TNJGODT0G5Z4TTKYMMOLH","GSON1112110114")</f>
        <v>#NAME?</v>
      </c>
      <c r="U1180" s="4" t="e">
        <f ca="1">[1]!BexGetData("DP_1","00O2TNJGODT0G5Z4TTKYMMUX1","GSON1112110114")</f>
        <v>#NAME?</v>
      </c>
      <c r="V1180" s="4" t="e">
        <f ca="1">[1]!BexGetData("DP_1","00O2TNJGODT0G5Z4TTKYMN18L","GSON1112110114")</f>
        <v>#NAME?</v>
      </c>
      <c r="W1180" s="4" t="e">
        <f ca="1">[1]!BexGetData("DP_1","00O2TNJGODT0G5Z4TTKYMN7K5","GSON1112110114")</f>
        <v>#NAME?</v>
      </c>
    </row>
    <row r="1181" spans="1:23" x14ac:dyDescent="0.2">
      <c r="A1181" s="16" t="s">
        <v>3429</v>
      </c>
      <c r="B1181" s="7" t="s">
        <v>3430</v>
      </c>
      <c r="C1181" s="8" t="e">
        <f ca="1">[1]!BexGetData("DP_1","003N8EMH8GTFRCSWKMPXRR8GU","GSON1112110140")</f>
        <v>#NAME?</v>
      </c>
      <c r="D1181" s="3" t="e">
        <f ca="1">[1]!BexGetData("DP_1","003N8EMH8GTFRCSWKMPXRRESE","GSON1112110140")</f>
        <v>#NAME?</v>
      </c>
      <c r="E1181" s="3" t="e">
        <f ca="1">[1]!BexGetData("DP_1","003N8EMH8GTFRCSWKMPXRRL3Y","GSON1112110140")</f>
        <v>#NAME?</v>
      </c>
      <c r="F1181" s="3" t="e">
        <f ca="1">[1]!BexGetData("DP_1","003N8EMH8GTFRCSWKMPXRRRFI","GSON1112110140")</f>
        <v>#NAME?</v>
      </c>
      <c r="G1181" s="3" t="e">
        <f ca="1">[1]!BexGetData("DP_1","003N8EMH8GTFRCSWKMPXRRXR2","GSON1112110140")</f>
        <v>#NAME?</v>
      </c>
      <c r="H1181" s="8" t="e">
        <f ca="1">[1]!BexGetData("DP_1","003N8EMH8GTFRCSWKMPXRS42M","GSON1112110140")</f>
        <v>#NAME?</v>
      </c>
      <c r="I1181" s="3" t="e">
        <f ca="1">[1]!BexGetData("DP_1","003N8EMH8GTFRCSWKMPXRSAE6","GSON1112110140")</f>
        <v>#NAME?</v>
      </c>
      <c r="J1181" s="4" t="e">
        <f ca="1">[1]!BexGetData("DP_1","003N8EMH8GTFRCSWKMPXRSGPQ","GSON1112110140")</f>
        <v>#NAME?</v>
      </c>
      <c r="K1181" s="3" t="e">
        <f ca="1">[1]!BexGetData("DP_1","003N8EMH8GTFRIVNUPY288VJH","GSON1112110140")</f>
        <v>#NAME?</v>
      </c>
      <c r="L1181" s="3" t="e">
        <f ca="1">[1]!BexGetData("DP_1","003N8EMH8GTFRIVNUPY2891V1","GSON1112110140")</f>
        <v>#NAME?</v>
      </c>
      <c r="M1181" s="3" t="e">
        <f ca="1">[1]!BexGetData("DP_1","003N8EMH8GTFRIVOG7KG9IQXA","GSON1112110140")</f>
        <v>#NAME?</v>
      </c>
      <c r="N1181" s="8" t="e">
        <f ca="1">[1]!BexGetData("DP_1","003N8EMH8GTFRIVOG7KG9IX8U","GSON1112110140")</f>
        <v>#NAME?</v>
      </c>
      <c r="O1181" s="3" t="e">
        <f ca="1">[1]!BexGetData("DP_1","003N8EMH8GTFRIVOG7KG9J3KE","GSON1112110140")</f>
        <v>#NAME?</v>
      </c>
      <c r="P1181" s="8" t="e">
        <f ca="1">[1]!BexGetData("DP_1","003N8EMH8GTFRIVOG7KG9J9VY","GSON1112110140")</f>
        <v>#NAME?</v>
      </c>
      <c r="Q1181" s="4" t="e">
        <f ca="1">[1]!BexGetData("DP_1","00O2TNJGODT0G5Z4TTKYMM5MT","GSON1112110140")</f>
        <v>#NAME?</v>
      </c>
      <c r="R1181" s="3" t="e">
        <f ca="1">[1]!BexGetData("DP_1","00O2TNJGODT0G5Z4TTKYMMBYD","GSON1112110140")</f>
        <v>#NAME?</v>
      </c>
      <c r="S1181" s="3" t="e">
        <f ca="1">[1]!BexGetData("DP_1","00O2TNJGODT0G5Z4TTKYMMI9X","GSON1112110140")</f>
        <v>#NAME?</v>
      </c>
      <c r="T1181" s="8" t="e">
        <f ca="1">[1]!BexGetData("DP_1","00O2TNJGODT0G5Z4TTKYMMOLH","GSON1112110140")</f>
        <v>#NAME?</v>
      </c>
      <c r="U1181" s="3" t="e">
        <f ca="1">[1]!BexGetData("DP_1","00O2TNJGODT0G5Z4TTKYMMUX1","GSON1112110140")</f>
        <v>#NAME?</v>
      </c>
      <c r="V1181" s="8" t="e">
        <f ca="1">[1]!BexGetData("DP_1","00O2TNJGODT0G5Z4TTKYMN18L","GSON1112110140")</f>
        <v>#NAME?</v>
      </c>
      <c r="W1181" s="3" t="e">
        <f ca="1">[1]!BexGetData("DP_1","00O2TNJGODT0G5Z4TTKYMN7K5","GSON1112110140")</f>
        <v>#NAME?</v>
      </c>
    </row>
    <row r="1182" spans="1:23" x14ac:dyDescent="0.2">
      <c r="A1182" s="16" t="s">
        <v>3431</v>
      </c>
      <c r="B1182" s="7" t="s">
        <v>3432</v>
      </c>
      <c r="C1182" s="3" t="e">
        <f ca="1">[1]!BexGetData("DP_1","003N8EMH8GTFRCSWKMPXRR8GU","GSON1112110144")</f>
        <v>#NAME?</v>
      </c>
      <c r="D1182" s="3" t="e">
        <f ca="1">[1]!BexGetData("DP_1","003N8EMH8GTFRCSWKMPXRRESE","GSON1112110144")</f>
        <v>#NAME?</v>
      </c>
      <c r="E1182" s="8" t="e">
        <f ca="1">[1]!BexGetData("DP_1","003N8EMH8GTFRCSWKMPXRRL3Y","GSON1112110144")</f>
        <v>#NAME?</v>
      </c>
      <c r="F1182" s="4" t="e">
        <f ca="1">[1]!BexGetData("DP_1","003N8EMH8GTFRCSWKMPXRRRFI","GSON1112110144")</f>
        <v>#NAME?</v>
      </c>
      <c r="G1182" s="4" t="e">
        <f ca="1">[1]!BexGetData("DP_1","003N8EMH8GTFRCSWKMPXRRXR2","GSON1112110144")</f>
        <v>#NAME?</v>
      </c>
      <c r="H1182" s="4" t="e">
        <f ca="1">[1]!BexGetData("DP_1","003N8EMH8GTFRCSWKMPXRS42M","GSON1112110144")</f>
        <v>#NAME?</v>
      </c>
      <c r="I1182" s="4" t="e">
        <f ca="1">[1]!BexGetData("DP_1","003N8EMH8GTFRCSWKMPXRSAE6","GSON1112110144")</f>
        <v>#NAME?</v>
      </c>
      <c r="J1182" s="4" t="e">
        <f ca="1">[1]!BexGetData("DP_1","003N8EMH8GTFRCSWKMPXRSGPQ","GSON1112110144")</f>
        <v>#NAME?</v>
      </c>
      <c r="K1182" s="8" t="e">
        <f ca="1">[1]!BexGetData("DP_1","003N8EMH8GTFRIVNUPY288VJH","GSON1112110144")</f>
        <v>#NAME?</v>
      </c>
      <c r="L1182" s="8" t="e">
        <f ca="1">[1]!BexGetData("DP_1","003N8EMH8GTFRIVNUPY2891V1","GSON1112110144")</f>
        <v>#NAME?</v>
      </c>
      <c r="M1182" s="8" t="e">
        <f ca="1">[1]!BexGetData("DP_1","003N8EMH8GTFRIVOG7KG9IQXA","GSON1112110144")</f>
        <v>#NAME?</v>
      </c>
      <c r="N1182" s="8" t="e">
        <f ca="1">[1]!BexGetData("DP_1","003N8EMH8GTFRIVOG7KG9IX8U","GSON1112110144")</f>
        <v>#NAME?</v>
      </c>
      <c r="O1182" s="8" t="e">
        <f ca="1">[1]!BexGetData("DP_1","003N8EMH8GTFRIVOG7KG9J3KE","GSON1112110144")</f>
        <v>#NAME?</v>
      </c>
      <c r="P1182" s="8" t="e">
        <f ca="1">[1]!BexGetData("DP_1","003N8EMH8GTFRIVOG7KG9J9VY","GSON1112110144")</f>
        <v>#NAME?</v>
      </c>
      <c r="Q1182" s="4" t="e">
        <f ca="1">[1]!BexGetData("DP_1","00O2TNJGODT0G5Z4TTKYMM5MT","GSON1112110144")</f>
        <v>#NAME?</v>
      </c>
      <c r="R1182" s="4" t="e">
        <f ca="1">[1]!BexGetData("DP_1","00O2TNJGODT0G5Z4TTKYMMBYD","GSON1112110144")</f>
        <v>#NAME?</v>
      </c>
      <c r="S1182" s="4" t="e">
        <f ca="1">[1]!BexGetData("DP_1","00O2TNJGODT0G5Z4TTKYMMI9X","GSON1112110144")</f>
        <v>#NAME?</v>
      </c>
      <c r="T1182" s="4" t="e">
        <f ca="1">[1]!BexGetData("DP_1","00O2TNJGODT0G5Z4TTKYMMOLH","GSON1112110144")</f>
        <v>#NAME?</v>
      </c>
      <c r="U1182" s="4" t="e">
        <f ca="1">[1]!BexGetData("DP_1","00O2TNJGODT0G5Z4TTKYMMUX1","GSON1112110144")</f>
        <v>#NAME?</v>
      </c>
      <c r="V1182" s="4" t="e">
        <f ca="1">[1]!BexGetData("DP_1","00O2TNJGODT0G5Z4TTKYMN18L","GSON1112110144")</f>
        <v>#NAME?</v>
      </c>
      <c r="W1182" s="4" t="e">
        <f ca="1">[1]!BexGetData("DP_1","00O2TNJGODT0G5Z4TTKYMN7K5","GSON1112110144")</f>
        <v>#NAME?</v>
      </c>
    </row>
    <row r="1183" spans="1:23" x14ac:dyDescent="0.2">
      <c r="A1183" s="16" t="s">
        <v>3433</v>
      </c>
      <c r="B1183" s="7" t="s">
        <v>3434</v>
      </c>
      <c r="C1183" s="3" t="e">
        <f ca="1">[1]!BexGetData("DP_1","003N8EMH8GTFRCSWKMPXRR8GU","GSON1112110160")</f>
        <v>#NAME?</v>
      </c>
      <c r="D1183" s="3" t="e">
        <f ca="1">[1]!BexGetData("DP_1","003N8EMH8GTFRCSWKMPXRRESE","GSON1112110160")</f>
        <v>#NAME?</v>
      </c>
      <c r="E1183" s="3" t="e">
        <f ca="1">[1]!BexGetData("DP_1","003N8EMH8GTFRCSWKMPXRRL3Y","GSON1112110160")</f>
        <v>#NAME?</v>
      </c>
      <c r="F1183" s="3" t="e">
        <f ca="1">[1]!BexGetData("DP_1","003N8EMH8GTFRCSWKMPXRRRFI","GSON1112110160")</f>
        <v>#NAME?</v>
      </c>
      <c r="G1183" s="3" t="e">
        <f ca="1">[1]!BexGetData("DP_1","003N8EMH8GTFRCSWKMPXRRXR2","GSON1112110160")</f>
        <v>#NAME?</v>
      </c>
      <c r="H1183" s="8" t="e">
        <f ca="1">[1]!BexGetData("DP_1","003N8EMH8GTFRCSWKMPXRS42M","GSON1112110160")</f>
        <v>#NAME?</v>
      </c>
      <c r="I1183" s="3" t="e">
        <f ca="1">[1]!BexGetData("DP_1","003N8EMH8GTFRCSWKMPXRSAE6","GSON1112110160")</f>
        <v>#NAME?</v>
      </c>
      <c r="J1183" s="4" t="e">
        <f ca="1">[1]!BexGetData("DP_1","003N8EMH8GTFRCSWKMPXRSGPQ","GSON1112110160")</f>
        <v>#NAME?</v>
      </c>
      <c r="K1183" s="3" t="e">
        <f ca="1">[1]!BexGetData("DP_1","003N8EMH8GTFRIVNUPY288VJH","GSON1112110160")</f>
        <v>#NAME?</v>
      </c>
      <c r="L1183" s="3" t="e">
        <f ca="1">[1]!BexGetData("DP_1","003N8EMH8GTFRIVNUPY2891V1","GSON1112110160")</f>
        <v>#NAME?</v>
      </c>
      <c r="M1183" s="3" t="e">
        <f ca="1">[1]!BexGetData("DP_1","003N8EMH8GTFRIVOG7KG9IQXA","GSON1112110160")</f>
        <v>#NAME?</v>
      </c>
      <c r="N1183" s="8" t="e">
        <f ca="1">[1]!BexGetData("DP_1","003N8EMH8GTFRIVOG7KG9IX8U","GSON1112110160")</f>
        <v>#NAME?</v>
      </c>
      <c r="O1183" s="3" t="e">
        <f ca="1">[1]!BexGetData("DP_1","003N8EMH8GTFRIVOG7KG9J3KE","GSON1112110160")</f>
        <v>#NAME?</v>
      </c>
      <c r="P1183" s="8" t="e">
        <f ca="1">[1]!BexGetData("DP_1","003N8EMH8GTFRIVOG7KG9J9VY","GSON1112110160")</f>
        <v>#NAME?</v>
      </c>
      <c r="Q1183" s="4" t="e">
        <f ca="1">[1]!BexGetData("DP_1","00O2TNJGODT0G5Z4TTKYMM5MT","GSON1112110160")</f>
        <v>#NAME?</v>
      </c>
      <c r="R1183" s="3" t="e">
        <f ca="1">[1]!BexGetData("DP_1","00O2TNJGODT0G5Z4TTKYMMBYD","GSON1112110160")</f>
        <v>#NAME?</v>
      </c>
      <c r="S1183" s="3" t="e">
        <f ca="1">[1]!BexGetData("DP_1","00O2TNJGODT0G5Z4TTKYMMI9X","GSON1112110160")</f>
        <v>#NAME?</v>
      </c>
      <c r="T1183" s="8" t="e">
        <f ca="1">[1]!BexGetData("DP_1","00O2TNJGODT0G5Z4TTKYMMOLH","GSON1112110160")</f>
        <v>#NAME?</v>
      </c>
      <c r="U1183" s="3" t="e">
        <f ca="1">[1]!BexGetData("DP_1","00O2TNJGODT0G5Z4TTKYMMUX1","GSON1112110160")</f>
        <v>#NAME?</v>
      </c>
      <c r="V1183" s="8" t="e">
        <f ca="1">[1]!BexGetData("DP_1","00O2TNJGODT0G5Z4TTKYMN18L","GSON1112110160")</f>
        <v>#NAME?</v>
      </c>
      <c r="W1183" s="3" t="e">
        <f ca="1">[1]!BexGetData("DP_1","00O2TNJGODT0G5Z4TTKYMN7K5","GSON1112110160")</f>
        <v>#NAME?</v>
      </c>
    </row>
    <row r="1184" spans="1:23" x14ac:dyDescent="0.2">
      <c r="A1184" s="16" t="s">
        <v>3435</v>
      </c>
      <c r="B1184" s="7" t="s">
        <v>3436</v>
      </c>
      <c r="C1184" s="3" t="e">
        <f ca="1">[1]!BexGetData("DP_1","003N8EMH8GTFRCSWKMPXRR8GU","GSON1112110161")</f>
        <v>#NAME?</v>
      </c>
      <c r="D1184" s="3" t="e">
        <f ca="1">[1]!BexGetData("DP_1","003N8EMH8GTFRCSWKMPXRRESE","GSON1112110161")</f>
        <v>#NAME?</v>
      </c>
      <c r="E1184" s="8" t="e">
        <f ca="1">[1]!BexGetData("DP_1","003N8EMH8GTFRCSWKMPXRRL3Y","GSON1112110161")</f>
        <v>#NAME?</v>
      </c>
      <c r="F1184" s="4" t="e">
        <f ca="1">[1]!BexGetData("DP_1","003N8EMH8GTFRCSWKMPXRRRFI","GSON1112110161")</f>
        <v>#NAME?</v>
      </c>
      <c r="G1184" s="4" t="e">
        <f ca="1">[1]!BexGetData("DP_1","003N8EMH8GTFRCSWKMPXRRXR2","GSON1112110161")</f>
        <v>#NAME?</v>
      </c>
      <c r="H1184" s="4" t="e">
        <f ca="1">[1]!BexGetData("DP_1","003N8EMH8GTFRCSWKMPXRS42M","GSON1112110161")</f>
        <v>#NAME?</v>
      </c>
      <c r="I1184" s="4" t="e">
        <f ca="1">[1]!BexGetData("DP_1","003N8EMH8GTFRCSWKMPXRSAE6","GSON1112110161")</f>
        <v>#NAME?</v>
      </c>
      <c r="J1184" s="4" t="e">
        <f ca="1">[1]!BexGetData("DP_1","003N8EMH8GTFRCSWKMPXRSGPQ","GSON1112110161")</f>
        <v>#NAME?</v>
      </c>
      <c r="K1184" s="8" t="e">
        <f ca="1">[1]!BexGetData("DP_1","003N8EMH8GTFRIVNUPY288VJH","GSON1112110161")</f>
        <v>#NAME?</v>
      </c>
      <c r="L1184" s="8" t="e">
        <f ca="1">[1]!BexGetData("DP_1","003N8EMH8GTFRIVNUPY2891V1","GSON1112110161")</f>
        <v>#NAME?</v>
      </c>
      <c r="M1184" s="8" t="e">
        <f ca="1">[1]!BexGetData("DP_1","003N8EMH8GTFRIVOG7KG9IQXA","GSON1112110161")</f>
        <v>#NAME?</v>
      </c>
      <c r="N1184" s="8" t="e">
        <f ca="1">[1]!BexGetData("DP_1","003N8EMH8GTFRIVOG7KG9IX8U","GSON1112110161")</f>
        <v>#NAME?</v>
      </c>
      <c r="O1184" s="8" t="e">
        <f ca="1">[1]!BexGetData("DP_1","003N8EMH8GTFRIVOG7KG9J3KE","GSON1112110161")</f>
        <v>#NAME?</v>
      </c>
      <c r="P1184" s="8" t="e">
        <f ca="1">[1]!BexGetData("DP_1","003N8EMH8GTFRIVOG7KG9J9VY","GSON1112110161")</f>
        <v>#NAME?</v>
      </c>
      <c r="Q1184" s="4" t="e">
        <f ca="1">[1]!BexGetData("DP_1","00O2TNJGODT0G5Z4TTKYMM5MT","GSON1112110161")</f>
        <v>#NAME?</v>
      </c>
      <c r="R1184" s="4" t="e">
        <f ca="1">[1]!BexGetData("DP_1","00O2TNJGODT0G5Z4TTKYMMBYD","GSON1112110161")</f>
        <v>#NAME?</v>
      </c>
      <c r="S1184" s="4" t="e">
        <f ca="1">[1]!BexGetData("DP_1","00O2TNJGODT0G5Z4TTKYMMI9X","GSON1112110161")</f>
        <v>#NAME?</v>
      </c>
      <c r="T1184" s="4" t="e">
        <f ca="1">[1]!BexGetData("DP_1","00O2TNJGODT0G5Z4TTKYMMOLH","GSON1112110161")</f>
        <v>#NAME?</v>
      </c>
      <c r="U1184" s="4" t="e">
        <f ca="1">[1]!BexGetData("DP_1","00O2TNJGODT0G5Z4TTKYMMUX1","GSON1112110161")</f>
        <v>#NAME?</v>
      </c>
      <c r="V1184" s="4" t="e">
        <f ca="1">[1]!BexGetData("DP_1","00O2TNJGODT0G5Z4TTKYMN18L","GSON1112110161")</f>
        <v>#NAME?</v>
      </c>
      <c r="W1184" s="4" t="e">
        <f ca="1">[1]!BexGetData("DP_1","00O2TNJGODT0G5Z4TTKYMN7K5","GSON1112110161")</f>
        <v>#NAME?</v>
      </c>
    </row>
    <row r="1185" spans="1:23" x14ac:dyDescent="0.2">
      <c r="A1185" s="16" t="s">
        <v>3437</v>
      </c>
      <c r="B1185" s="7" t="s">
        <v>3438</v>
      </c>
      <c r="C1185" s="3" t="e">
        <f ca="1">[1]!BexGetData("DP_1","003N8EMH8GTFRCSWKMPXRR8GU","GSON1112110163")</f>
        <v>#NAME?</v>
      </c>
      <c r="D1185" s="3" t="e">
        <f ca="1">[1]!BexGetData("DP_1","003N8EMH8GTFRCSWKMPXRRESE","GSON1112110163")</f>
        <v>#NAME?</v>
      </c>
      <c r="E1185" s="8" t="e">
        <f ca="1">[1]!BexGetData("DP_1","003N8EMH8GTFRCSWKMPXRRL3Y","GSON1112110163")</f>
        <v>#NAME?</v>
      </c>
      <c r="F1185" s="4" t="e">
        <f ca="1">[1]!BexGetData("DP_1","003N8EMH8GTFRCSWKMPXRRRFI","GSON1112110163")</f>
        <v>#NAME?</v>
      </c>
      <c r="G1185" s="4" t="e">
        <f ca="1">[1]!BexGetData("DP_1","003N8EMH8GTFRCSWKMPXRRXR2","GSON1112110163")</f>
        <v>#NAME?</v>
      </c>
      <c r="H1185" s="4" t="e">
        <f ca="1">[1]!BexGetData("DP_1","003N8EMH8GTFRCSWKMPXRS42M","GSON1112110163")</f>
        <v>#NAME?</v>
      </c>
      <c r="I1185" s="4" t="e">
        <f ca="1">[1]!BexGetData("DP_1","003N8EMH8GTFRCSWKMPXRSAE6","GSON1112110163")</f>
        <v>#NAME?</v>
      </c>
      <c r="J1185" s="4" t="e">
        <f ca="1">[1]!BexGetData("DP_1","003N8EMH8GTFRCSWKMPXRSGPQ","GSON1112110163")</f>
        <v>#NAME?</v>
      </c>
      <c r="K1185" s="8" t="e">
        <f ca="1">[1]!BexGetData("DP_1","003N8EMH8GTFRIVNUPY288VJH","GSON1112110163")</f>
        <v>#NAME?</v>
      </c>
      <c r="L1185" s="8" t="e">
        <f ca="1">[1]!BexGetData("DP_1","003N8EMH8GTFRIVNUPY2891V1","GSON1112110163")</f>
        <v>#NAME?</v>
      </c>
      <c r="M1185" s="8" t="e">
        <f ca="1">[1]!BexGetData("DP_1","003N8EMH8GTFRIVOG7KG9IQXA","GSON1112110163")</f>
        <v>#NAME?</v>
      </c>
      <c r="N1185" s="8" t="e">
        <f ca="1">[1]!BexGetData("DP_1","003N8EMH8GTFRIVOG7KG9IX8U","GSON1112110163")</f>
        <v>#NAME?</v>
      </c>
      <c r="O1185" s="8" t="e">
        <f ca="1">[1]!BexGetData("DP_1","003N8EMH8GTFRIVOG7KG9J3KE","GSON1112110163")</f>
        <v>#NAME?</v>
      </c>
      <c r="P1185" s="8" t="e">
        <f ca="1">[1]!BexGetData("DP_1","003N8EMH8GTFRIVOG7KG9J9VY","GSON1112110163")</f>
        <v>#NAME?</v>
      </c>
      <c r="Q1185" s="4" t="e">
        <f ca="1">[1]!BexGetData("DP_1","00O2TNJGODT0G5Z4TTKYMM5MT","GSON1112110163")</f>
        <v>#NAME?</v>
      </c>
      <c r="R1185" s="4" t="e">
        <f ca="1">[1]!BexGetData("DP_1","00O2TNJGODT0G5Z4TTKYMMBYD","GSON1112110163")</f>
        <v>#NAME?</v>
      </c>
      <c r="S1185" s="4" t="e">
        <f ca="1">[1]!BexGetData("DP_1","00O2TNJGODT0G5Z4TTKYMMI9X","GSON1112110163")</f>
        <v>#NAME?</v>
      </c>
      <c r="T1185" s="4" t="e">
        <f ca="1">[1]!BexGetData("DP_1","00O2TNJGODT0G5Z4TTKYMMOLH","GSON1112110163")</f>
        <v>#NAME?</v>
      </c>
      <c r="U1185" s="4" t="e">
        <f ca="1">[1]!BexGetData("DP_1","00O2TNJGODT0G5Z4TTKYMMUX1","GSON1112110163")</f>
        <v>#NAME?</v>
      </c>
      <c r="V1185" s="4" t="e">
        <f ca="1">[1]!BexGetData("DP_1","00O2TNJGODT0G5Z4TTKYMN18L","GSON1112110163")</f>
        <v>#NAME?</v>
      </c>
      <c r="W1185" s="4" t="e">
        <f ca="1">[1]!BexGetData("DP_1","00O2TNJGODT0G5Z4TTKYMN7K5","GSON1112110163")</f>
        <v>#NAME?</v>
      </c>
    </row>
    <row r="1186" spans="1:23" x14ac:dyDescent="0.2">
      <c r="A1186" s="16" t="s">
        <v>3439</v>
      </c>
      <c r="B1186" s="7" t="s">
        <v>3440</v>
      </c>
      <c r="C1186" s="3" t="e">
        <f ca="1">[1]!BexGetData("DP_1","003N8EMH8GTFRCSWKMPXRR8GU","GSON1112110164")</f>
        <v>#NAME?</v>
      </c>
      <c r="D1186" s="3" t="e">
        <f ca="1">[1]!BexGetData("DP_1","003N8EMH8GTFRCSWKMPXRRESE","GSON1112110164")</f>
        <v>#NAME?</v>
      </c>
      <c r="E1186" s="8" t="e">
        <f ca="1">[1]!BexGetData("DP_1","003N8EMH8GTFRCSWKMPXRRL3Y","GSON1112110164")</f>
        <v>#NAME?</v>
      </c>
      <c r="F1186" s="4" t="e">
        <f ca="1">[1]!BexGetData("DP_1","003N8EMH8GTFRCSWKMPXRRRFI","GSON1112110164")</f>
        <v>#NAME?</v>
      </c>
      <c r="G1186" s="4" t="e">
        <f ca="1">[1]!BexGetData("DP_1","003N8EMH8GTFRCSWKMPXRRXR2","GSON1112110164")</f>
        <v>#NAME?</v>
      </c>
      <c r="H1186" s="4" t="e">
        <f ca="1">[1]!BexGetData("DP_1","003N8EMH8GTFRCSWKMPXRS42M","GSON1112110164")</f>
        <v>#NAME?</v>
      </c>
      <c r="I1186" s="4" t="e">
        <f ca="1">[1]!BexGetData("DP_1","003N8EMH8GTFRCSWKMPXRSAE6","GSON1112110164")</f>
        <v>#NAME?</v>
      </c>
      <c r="J1186" s="4" t="e">
        <f ca="1">[1]!BexGetData("DP_1","003N8EMH8GTFRCSWKMPXRSGPQ","GSON1112110164")</f>
        <v>#NAME?</v>
      </c>
      <c r="K1186" s="8" t="e">
        <f ca="1">[1]!BexGetData("DP_1","003N8EMH8GTFRIVNUPY288VJH","GSON1112110164")</f>
        <v>#NAME?</v>
      </c>
      <c r="L1186" s="8" t="e">
        <f ca="1">[1]!BexGetData("DP_1","003N8EMH8GTFRIVNUPY2891V1","GSON1112110164")</f>
        <v>#NAME?</v>
      </c>
      <c r="M1186" s="8" t="e">
        <f ca="1">[1]!BexGetData("DP_1","003N8EMH8GTFRIVOG7KG9IQXA","GSON1112110164")</f>
        <v>#NAME?</v>
      </c>
      <c r="N1186" s="8" t="e">
        <f ca="1">[1]!BexGetData("DP_1","003N8EMH8GTFRIVOG7KG9IX8U","GSON1112110164")</f>
        <v>#NAME?</v>
      </c>
      <c r="O1186" s="8" t="e">
        <f ca="1">[1]!BexGetData("DP_1","003N8EMH8GTFRIVOG7KG9J3KE","GSON1112110164")</f>
        <v>#NAME?</v>
      </c>
      <c r="P1186" s="8" t="e">
        <f ca="1">[1]!BexGetData("DP_1","003N8EMH8GTFRIVOG7KG9J9VY","GSON1112110164")</f>
        <v>#NAME?</v>
      </c>
      <c r="Q1186" s="4" t="e">
        <f ca="1">[1]!BexGetData("DP_1","00O2TNJGODT0G5Z4TTKYMM5MT","GSON1112110164")</f>
        <v>#NAME?</v>
      </c>
      <c r="R1186" s="4" t="e">
        <f ca="1">[1]!BexGetData("DP_1","00O2TNJGODT0G5Z4TTKYMMBYD","GSON1112110164")</f>
        <v>#NAME?</v>
      </c>
      <c r="S1186" s="4" t="e">
        <f ca="1">[1]!BexGetData("DP_1","00O2TNJGODT0G5Z4TTKYMMI9X","GSON1112110164")</f>
        <v>#NAME?</v>
      </c>
      <c r="T1186" s="4" t="e">
        <f ca="1">[1]!BexGetData("DP_1","00O2TNJGODT0G5Z4TTKYMMOLH","GSON1112110164")</f>
        <v>#NAME?</v>
      </c>
      <c r="U1186" s="4" t="e">
        <f ca="1">[1]!BexGetData("DP_1","00O2TNJGODT0G5Z4TTKYMMUX1","GSON1112110164")</f>
        <v>#NAME?</v>
      </c>
      <c r="V1186" s="4" t="e">
        <f ca="1">[1]!BexGetData("DP_1","00O2TNJGODT0G5Z4TTKYMN18L","GSON1112110164")</f>
        <v>#NAME?</v>
      </c>
      <c r="W1186" s="4" t="e">
        <f ca="1">[1]!BexGetData("DP_1","00O2TNJGODT0G5Z4TTKYMN7K5","GSON1112110164")</f>
        <v>#NAME?</v>
      </c>
    </row>
    <row r="1187" spans="1:23" x14ac:dyDescent="0.2">
      <c r="A1187" s="16" t="s">
        <v>3441</v>
      </c>
      <c r="B1187" s="7" t="s">
        <v>3442</v>
      </c>
      <c r="C1187" s="3" t="e">
        <f ca="1">[1]!BexGetData("DP_1","003N8EMH8GTFRCSWKMPXRR8GU","GSON1112110165")</f>
        <v>#NAME?</v>
      </c>
      <c r="D1187" s="3" t="e">
        <f ca="1">[1]!BexGetData("DP_1","003N8EMH8GTFRCSWKMPXRRESE","GSON1112110165")</f>
        <v>#NAME?</v>
      </c>
      <c r="E1187" s="8" t="e">
        <f ca="1">[1]!BexGetData("DP_1","003N8EMH8GTFRCSWKMPXRRL3Y","GSON1112110165")</f>
        <v>#NAME?</v>
      </c>
      <c r="F1187" s="4" t="e">
        <f ca="1">[1]!BexGetData("DP_1","003N8EMH8GTFRCSWKMPXRRRFI","GSON1112110165")</f>
        <v>#NAME?</v>
      </c>
      <c r="G1187" s="4" t="e">
        <f ca="1">[1]!BexGetData("DP_1","003N8EMH8GTFRCSWKMPXRRXR2","GSON1112110165")</f>
        <v>#NAME?</v>
      </c>
      <c r="H1187" s="4" t="e">
        <f ca="1">[1]!BexGetData("DP_1","003N8EMH8GTFRCSWKMPXRS42M","GSON1112110165")</f>
        <v>#NAME?</v>
      </c>
      <c r="I1187" s="4" t="e">
        <f ca="1">[1]!BexGetData("DP_1","003N8EMH8GTFRCSWKMPXRSAE6","GSON1112110165")</f>
        <v>#NAME?</v>
      </c>
      <c r="J1187" s="4" t="e">
        <f ca="1">[1]!BexGetData("DP_1","003N8EMH8GTFRCSWKMPXRSGPQ","GSON1112110165")</f>
        <v>#NAME?</v>
      </c>
      <c r="K1187" s="8" t="e">
        <f ca="1">[1]!BexGetData("DP_1","003N8EMH8GTFRIVNUPY288VJH","GSON1112110165")</f>
        <v>#NAME?</v>
      </c>
      <c r="L1187" s="8" t="e">
        <f ca="1">[1]!BexGetData("DP_1","003N8EMH8GTFRIVNUPY2891V1","GSON1112110165")</f>
        <v>#NAME?</v>
      </c>
      <c r="M1187" s="8" t="e">
        <f ca="1">[1]!BexGetData("DP_1","003N8EMH8GTFRIVOG7KG9IQXA","GSON1112110165")</f>
        <v>#NAME?</v>
      </c>
      <c r="N1187" s="8" t="e">
        <f ca="1">[1]!BexGetData("DP_1","003N8EMH8GTFRIVOG7KG9IX8U","GSON1112110165")</f>
        <v>#NAME?</v>
      </c>
      <c r="O1187" s="8" t="e">
        <f ca="1">[1]!BexGetData("DP_1","003N8EMH8GTFRIVOG7KG9J3KE","GSON1112110165")</f>
        <v>#NAME?</v>
      </c>
      <c r="P1187" s="8" t="e">
        <f ca="1">[1]!BexGetData("DP_1","003N8EMH8GTFRIVOG7KG9J9VY","GSON1112110165")</f>
        <v>#NAME?</v>
      </c>
      <c r="Q1187" s="4" t="e">
        <f ca="1">[1]!BexGetData("DP_1","00O2TNJGODT0G5Z4TTKYMM5MT","GSON1112110165")</f>
        <v>#NAME?</v>
      </c>
      <c r="R1187" s="4" t="e">
        <f ca="1">[1]!BexGetData("DP_1","00O2TNJGODT0G5Z4TTKYMMBYD","GSON1112110165")</f>
        <v>#NAME?</v>
      </c>
      <c r="S1187" s="4" t="e">
        <f ca="1">[1]!BexGetData("DP_1","00O2TNJGODT0G5Z4TTKYMMI9X","GSON1112110165")</f>
        <v>#NAME?</v>
      </c>
      <c r="T1187" s="4" t="e">
        <f ca="1">[1]!BexGetData("DP_1","00O2TNJGODT0G5Z4TTKYMMOLH","GSON1112110165")</f>
        <v>#NAME?</v>
      </c>
      <c r="U1187" s="4" t="e">
        <f ca="1">[1]!BexGetData("DP_1","00O2TNJGODT0G5Z4TTKYMMUX1","GSON1112110165")</f>
        <v>#NAME?</v>
      </c>
      <c r="V1187" s="4" t="e">
        <f ca="1">[1]!BexGetData("DP_1","00O2TNJGODT0G5Z4TTKYMN18L","GSON1112110165")</f>
        <v>#NAME?</v>
      </c>
      <c r="W1187" s="4" t="e">
        <f ca="1">[1]!BexGetData("DP_1","00O2TNJGODT0G5Z4TTKYMN7K5","GSON1112110165")</f>
        <v>#NAME?</v>
      </c>
    </row>
    <row r="1188" spans="1:23" x14ac:dyDescent="0.2">
      <c r="A1188" s="16" t="s">
        <v>3443</v>
      </c>
      <c r="B1188" s="7" t="s">
        <v>1113</v>
      </c>
      <c r="C1188" s="3" t="e">
        <f ca="1">[1]!BexGetData("DP_1","003N8EMH8GTFRCSWKMPXRR8GU","GSON1112110210")</f>
        <v>#NAME?</v>
      </c>
      <c r="D1188" s="3" t="e">
        <f ca="1">[1]!BexGetData("DP_1","003N8EMH8GTFRCSWKMPXRRESE","GSON1112110210")</f>
        <v>#NAME?</v>
      </c>
      <c r="E1188" s="3" t="e">
        <f ca="1">[1]!BexGetData("DP_1","003N8EMH8GTFRCSWKMPXRRL3Y","GSON1112110210")</f>
        <v>#NAME?</v>
      </c>
      <c r="F1188" s="3" t="e">
        <f ca="1">[1]!BexGetData("DP_1","003N8EMH8GTFRCSWKMPXRRRFI","GSON1112110210")</f>
        <v>#NAME?</v>
      </c>
      <c r="G1188" s="3" t="e">
        <f ca="1">[1]!BexGetData("DP_1","003N8EMH8GTFRCSWKMPXRRXR2","GSON1112110210")</f>
        <v>#NAME?</v>
      </c>
      <c r="H1188" s="8" t="e">
        <f ca="1">[1]!BexGetData("DP_1","003N8EMH8GTFRCSWKMPXRS42M","GSON1112110210")</f>
        <v>#NAME?</v>
      </c>
      <c r="I1188" s="3" t="e">
        <f ca="1">[1]!BexGetData("DP_1","003N8EMH8GTFRCSWKMPXRSAE6","GSON1112110210")</f>
        <v>#NAME?</v>
      </c>
      <c r="J1188" s="4" t="e">
        <f ca="1">[1]!BexGetData("DP_1","003N8EMH8GTFRCSWKMPXRSGPQ","GSON1112110210")</f>
        <v>#NAME?</v>
      </c>
      <c r="K1188" s="3" t="e">
        <f ca="1">[1]!BexGetData("DP_1","003N8EMH8GTFRIVNUPY288VJH","GSON1112110210")</f>
        <v>#NAME?</v>
      </c>
      <c r="L1188" s="3" t="e">
        <f ca="1">[1]!BexGetData("DP_1","003N8EMH8GTFRIVNUPY2891V1","GSON1112110210")</f>
        <v>#NAME?</v>
      </c>
      <c r="M1188" s="3" t="e">
        <f ca="1">[1]!BexGetData("DP_1","003N8EMH8GTFRIVOG7KG9IQXA","GSON1112110210")</f>
        <v>#NAME?</v>
      </c>
      <c r="N1188" s="8" t="e">
        <f ca="1">[1]!BexGetData("DP_1","003N8EMH8GTFRIVOG7KG9IX8U","GSON1112110210")</f>
        <v>#NAME?</v>
      </c>
      <c r="O1188" s="3" t="e">
        <f ca="1">[1]!BexGetData("DP_1","003N8EMH8GTFRIVOG7KG9J3KE","GSON1112110210")</f>
        <v>#NAME?</v>
      </c>
      <c r="P1188" s="8" t="e">
        <f ca="1">[1]!BexGetData("DP_1","003N8EMH8GTFRIVOG7KG9J9VY","GSON1112110210")</f>
        <v>#NAME?</v>
      </c>
      <c r="Q1188" s="4" t="e">
        <f ca="1">[1]!BexGetData("DP_1","00O2TNJGODT0G5Z4TTKYMM5MT","GSON1112110210")</f>
        <v>#NAME?</v>
      </c>
      <c r="R1188" s="3" t="e">
        <f ca="1">[1]!BexGetData("DP_1","00O2TNJGODT0G5Z4TTKYMMBYD","GSON1112110210")</f>
        <v>#NAME?</v>
      </c>
      <c r="S1188" s="3" t="e">
        <f ca="1">[1]!BexGetData("DP_1","00O2TNJGODT0G5Z4TTKYMMI9X","GSON1112110210")</f>
        <v>#NAME?</v>
      </c>
      <c r="T1188" s="8" t="e">
        <f ca="1">[1]!BexGetData("DP_1","00O2TNJGODT0G5Z4TTKYMMOLH","GSON1112110210")</f>
        <v>#NAME?</v>
      </c>
      <c r="U1188" s="3" t="e">
        <f ca="1">[1]!BexGetData("DP_1","00O2TNJGODT0G5Z4TTKYMMUX1","GSON1112110210")</f>
        <v>#NAME?</v>
      </c>
      <c r="V1188" s="8" t="e">
        <f ca="1">[1]!BexGetData("DP_1","00O2TNJGODT0G5Z4TTKYMN18L","GSON1112110210")</f>
        <v>#NAME?</v>
      </c>
      <c r="W1188" s="3" t="e">
        <f ca="1">[1]!BexGetData("DP_1","00O2TNJGODT0G5Z4TTKYMN7K5","GSON1112110210")</f>
        <v>#NAME?</v>
      </c>
    </row>
    <row r="1189" spans="1:23" x14ac:dyDescent="0.2">
      <c r="A1189" s="16" t="s">
        <v>1114</v>
      </c>
      <c r="B1189" s="7" t="s">
        <v>1115</v>
      </c>
      <c r="C1189" s="3" t="e">
        <f ca="1">[1]!BexGetData("DP_1","003N8EMH8GTFRCSWKMPXRR8GU","GSON1112110211")</f>
        <v>#NAME?</v>
      </c>
      <c r="D1189" s="3" t="e">
        <f ca="1">[1]!BexGetData("DP_1","003N8EMH8GTFRCSWKMPXRRESE","GSON1112110211")</f>
        <v>#NAME?</v>
      </c>
      <c r="E1189" s="8" t="e">
        <f ca="1">[1]!BexGetData("DP_1","003N8EMH8GTFRCSWKMPXRRL3Y","GSON1112110211")</f>
        <v>#NAME?</v>
      </c>
      <c r="F1189" s="4" t="e">
        <f ca="1">[1]!BexGetData("DP_1","003N8EMH8GTFRCSWKMPXRRRFI","GSON1112110211")</f>
        <v>#NAME?</v>
      </c>
      <c r="G1189" s="4" t="e">
        <f ca="1">[1]!BexGetData("DP_1","003N8EMH8GTFRCSWKMPXRRXR2","GSON1112110211")</f>
        <v>#NAME?</v>
      </c>
      <c r="H1189" s="4" t="e">
        <f ca="1">[1]!BexGetData("DP_1","003N8EMH8GTFRCSWKMPXRS42M","GSON1112110211")</f>
        <v>#NAME?</v>
      </c>
      <c r="I1189" s="4" t="e">
        <f ca="1">[1]!BexGetData("DP_1","003N8EMH8GTFRCSWKMPXRSAE6","GSON1112110211")</f>
        <v>#NAME?</v>
      </c>
      <c r="J1189" s="4" t="e">
        <f ca="1">[1]!BexGetData("DP_1","003N8EMH8GTFRCSWKMPXRSGPQ","GSON1112110211")</f>
        <v>#NAME?</v>
      </c>
      <c r="K1189" s="8" t="e">
        <f ca="1">[1]!BexGetData("DP_1","003N8EMH8GTFRIVNUPY288VJH","GSON1112110211")</f>
        <v>#NAME?</v>
      </c>
      <c r="L1189" s="8" t="e">
        <f ca="1">[1]!BexGetData("DP_1","003N8EMH8GTFRIVNUPY2891V1","GSON1112110211")</f>
        <v>#NAME?</v>
      </c>
      <c r="M1189" s="8" t="e">
        <f ca="1">[1]!BexGetData("DP_1","003N8EMH8GTFRIVOG7KG9IQXA","GSON1112110211")</f>
        <v>#NAME?</v>
      </c>
      <c r="N1189" s="8" t="e">
        <f ca="1">[1]!BexGetData("DP_1","003N8EMH8GTFRIVOG7KG9IX8U","GSON1112110211")</f>
        <v>#NAME?</v>
      </c>
      <c r="O1189" s="8" t="e">
        <f ca="1">[1]!BexGetData("DP_1","003N8EMH8GTFRIVOG7KG9J3KE","GSON1112110211")</f>
        <v>#NAME?</v>
      </c>
      <c r="P1189" s="8" t="e">
        <f ca="1">[1]!BexGetData("DP_1","003N8EMH8GTFRIVOG7KG9J9VY","GSON1112110211")</f>
        <v>#NAME?</v>
      </c>
      <c r="Q1189" s="4" t="e">
        <f ca="1">[1]!BexGetData("DP_1","00O2TNJGODT0G5Z4TTKYMM5MT","GSON1112110211")</f>
        <v>#NAME?</v>
      </c>
      <c r="R1189" s="4" t="e">
        <f ca="1">[1]!BexGetData("DP_1","00O2TNJGODT0G5Z4TTKYMMBYD","GSON1112110211")</f>
        <v>#NAME?</v>
      </c>
      <c r="S1189" s="4" t="e">
        <f ca="1">[1]!BexGetData("DP_1","00O2TNJGODT0G5Z4TTKYMMI9X","GSON1112110211")</f>
        <v>#NAME?</v>
      </c>
      <c r="T1189" s="4" t="e">
        <f ca="1">[1]!BexGetData("DP_1","00O2TNJGODT0G5Z4TTKYMMOLH","GSON1112110211")</f>
        <v>#NAME?</v>
      </c>
      <c r="U1189" s="4" t="e">
        <f ca="1">[1]!BexGetData("DP_1","00O2TNJGODT0G5Z4TTKYMMUX1","GSON1112110211")</f>
        <v>#NAME?</v>
      </c>
      <c r="V1189" s="4" t="e">
        <f ca="1">[1]!BexGetData("DP_1","00O2TNJGODT0G5Z4TTKYMN18L","GSON1112110211")</f>
        <v>#NAME?</v>
      </c>
      <c r="W1189" s="4" t="e">
        <f ca="1">[1]!BexGetData("DP_1","00O2TNJGODT0G5Z4TTKYMN7K5","GSON1112110211")</f>
        <v>#NAME?</v>
      </c>
    </row>
    <row r="1190" spans="1:23" x14ac:dyDescent="0.2">
      <c r="A1190" s="16" t="s">
        <v>3444</v>
      </c>
      <c r="B1190" s="7" t="s">
        <v>3445</v>
      </c>
      <c r="C1190" s="3" t="e">
        <f ca="1">[1]!BexGetData("DP_1","003N8EMH8GTFRCSWKMPXRR8GU","GSON1112110213")</f>
        <v>#NAME?</v>
      </c>
      <c r="D1190" s="3" t="e">
        <f ca="1">[1]!BexGetData("DP_1","003N8EMH8GTFRCSWKMPXRRESE","GSON1112110213")</f>
        <v>#NAME?</v>
      </c>
      <c r="E1190" s="3" t="e">
        <f ca="1">[1]!BexGetData("DP_1","003N8EMH8GTFRCSWKMPXRRL3Y","GSON1112110213")</f>
        <v>#NAME?</v>
      </c>
      <c r="F1190" s="4" t="e">
        <f ca="1">[1]!BexGetData("DP_1","003N8EMH8GTFRCSWKMPXRRRFI","GSON1112110213")</f>
        <v>#NAME?</v>
      </c>
      <c r="G1190" s="4" t="e">
        <f ca="1">[1]!BexGetData("DP_1","003N8EMH8GTFRCSWKMPXRRXR2","GSON1112110213")</f>
        <v>#NAME?</v>
      </c>
      <c r="H1190" s="4" t="e">
        <f ca="1">[1]!BexGetData("DP_1","003N8EMH8GTFRCSWKMPXRS42M","GSON1112110213")</f>
        <v>#NAME?</v>
      </c>
      <c r="I1190" s="4" t="e">
        <f ca="1">[1]!BexGetData("DP_1","003N8EMH8GTFRCSWKMPXRSAE6","GSON1112110213")</f>
        <v>#NAME?</v>
      </c>
      <c r="J1190" s="4" t="e">
        <f ca="1">[1]!BexGetData("DP_1","003N8EMH8GTFRCSWKMPXRSGPQ","GSON1112110213")</f>
        <v>#NAME?</v>
      </c>
      <c r="K1190" s="3" t="e">
        <f ca="1">[1]!BexGetData("DP_1","003N8EMH8GTFRIVNUPY288VJH","GSON1112110213")</f>
        <v>#NAME?</v>
      </c>
      <c r="L1190" s="3" t="e">
        <f ca="1">[1]!BexGetData("DP_1","003N8EMH8GTFRIVNUPY2891V1","GSON1112110213")</f>
        <v>#NAME?</v>
      </c>
      <c r="M1190" s="8" t="e">
        <f ca="1">[1]!BexGetData("DP_1","003N8EMH8GTFRIVOG7KG9IQXA","GSON1112110213")</f>
        <v>#NAME?</v>
      </c>
      <c r="N1190" s="3" t="e">
        <f ca="1">[1]!BexGetData("DP_1","003N8EMH8GTFRIVOG7KG9IX8U","GSON1112110213")</f>
        <v>#NAME?</v>
      </c>
      <c r="O1190" s="8" t="e">
        <f ca="1">[1]!BexGetData("DP_1","003N8EMH8GTFRIVOG7KG9J3KE","GSON1112110213")</f>
        <v>#NAME?</v>
      </c>
      <c r="P1190" s="3" t="e">
        <f ca="1">[1]!BexGetData("DP_1","003N8EMH8GTFRIVOG7KG9J9VY","GSON1112110213")</f>
        <v>#NAME?</v>
      </c>
      <c r="Q1190" s="4" t="e">
        <f ca="1">[1]!BexGetData("DP_1","00O2TNJGODT0G5Z4TTKYMM5MT","GSON1112110213")</f>
        <v>#NAME?</v>
      </c>
      <c r="R1190" s="4" t="e">
        <f ca="1">[1]!BexGetData("DP_1","00O2TNJGODT0G5Z4TTKYMMBYD","GSON1112110213")</f>
        <v>#NAME?</v>
      </c>
      <c r="S1190" s="4" t="e">
        <f ca="1">[1]!BexGetData("DP_1","00O2TNJGODT0G5Z4TTKYMMI9X","GSON1112110213")</f>
        <v>#NAME?</v>
      </c>
      <c r="T1190" s="4" t="e">
        <f ca="1">[1]!BexGetData("DP_1","00O2TNJGODT0G5Z4TTKYMMOLH","GSON1112110213")</f>
        <v>#NAME?</v>
      </c>
      <c r="U1190" s="4" t="e">
        <f ca="1">[1]!BexGetData("DP_1","00O2TNJGODT0G5Z4TTKYMMUX1","GSON1112110213")</f>
        <v>#NAME?</v>
      </c>
      <c r="V1190" s="4" t="e">
        <f ca="1">[1]!BexGetData("DP_1","00O2TNJGODT0G5Z4TTKYMN18L","GSON1112110213")</f>
        <v>#NAME?</v>
      </c>
      <c r="W1190" s="4" t="e">
        <f ca="1">[1]!BexGetData("DP_1","00O2TNJGODT0G5Z4TTKYMN7K5","GSON1112110213")</f>
        <v>#NAME?</v>
      </c>
    </row>
    <row r="1191" spans="1:23" x14ac:dyDescent="0.2">
      <c r="A1191" s="16" t="s">
        <v>3446</v>
      </c>
      <c r="B1191" s="7" t="s">
        <v>3447</v>
      </c>
      <c r="C1191" s="3" t="e">
        <f ca="1">[1]!BexGetData("DP_1","003N8EMH8GTFRCSWKMPXRR8GU","GSON1112110214")</f>
        <v>#NAME?</v>
      </c>
      <c r="D1191" s="3" t="e">
        <f ca="1">[1]!BexGetData("DP_1","003N8EMH8GTFRCSWKMPXRRESE","GSON1112110214")</f>
        <v>#NAME?</v>
      </c>
      <c r="E1191" s="8" t="e">
        <f ca="1">[1]!BexGetData("DP_1","003N8EMH8GTFRCSWKMPXRRL3Y","GSON1112110214")</f>
        <v>#NAME?</v>
      </c>
      <c r="F1191" s="4" t="e">
        <f ca="1">[1]!BexGetData("DP_1","003N8EMH8GTFRCSWKMPXRRRFI","GSON1112110214")</f>
        <v>#NAME?</v>
      </c>
      <c r="G1191" s="4" t="e">
        <f ca="1">[1]!BexGetData("DP_1","003N8EMH8GTFRCSWKMPXRRXR2","GSON1112110214")</f>
        <v>#NAME?</v>
      </c>
      <c r="H1191" s="4" t="e">
        <f ca="1">[1]!BexGetData("DP_1","003N8EMH8GTFRCSWKMPXRS42M","GSON1112110214")</f>
        <v>#NAME?</v>
      </c>
      <c r="I1191" s="4" t="e">
        <f ca="1">[1]!BexGetData("DP_1","003N8EMH8GTFRCSWKMPXRSAE6","GSON1112110214")</f>
        <v>#NAME?</v>
      </c>
      <c r="J1191" s="4" t="e">
        <f ca="1">[1]!BexGetData("DP_1","003N8EMH8GTFRCSWKMPXRSGPQ","GSON1112110214")</f>
        <v>#NAME?</v>
      </c>
      <c r="K1191" s="8" t="e">
        <f ca="1">[1]!BexGetData("DP_1","003N8EMH8GTFRIVNUPY288VJH","GSON1112110214")</f>
        <v>#NAME?</v>
      </c>
      <c r="L1191" s="8" t="e">
        <f ca="1">[1]!BexGetData("DP_1","003N8EMH8GTFRIVNUPY2891V1","GSON1112110214")</f>
        <v>#NAME?</v>
      </c>
      <c r="M1191" s="8" t="e">
        <f ca="1">[1]!BexGetData("DP_1","003N8EMH8GTFRIVOG7KG9IQXA","GSON1112110214")</f>
        <v>#NAME?</v>
      </c>
      <c r="N1191" s="8" t="e">
        <f ca="1">[1]!BexGetData("DP_1","003N8EMH8GTFRIVOG7KG9IX8U","GSON1112110214")</f>
        <v>#NAME?</v>
      </c>
      <c r="O1191" s="8" t="e">
        <f ca="1">[1]!BexGetData("DP_1","003N8EMH8GTFRIVOG7KG9J3KE","GSON1112110214")</f>
        <v>#NAME?</v>
      </c>
      <c r="P1191" s="8" t="e">
        <f ca="1">[1]!BexGetData("DP_1","003N8EMH8GTFRIVOG7KG9J9VY","GSON1112110214")</f>
        <v>#NAME?</v>
      </c>
      <c r="Q1191" s="4" t="e">
        <f ca="1">[1]!BexGetData("DP_1","00O2TNJGODT0G5Z4TTKYMM5MT","GSON1112110214")</f>
        <v>#NAME?</v>
      </c>
      <c r="R1191" s="4" t="e">
        <f ca="1">[1]!BexGetData("DP_1","00O2TNJGODT0G5Z4TTKYMMBYD","GSON1112110214")</f>
        <v>#NAME?</v>
      </c>
      <c r="S1191" s="4" t="e">
        <f ca="1">[1]!BexGetData("DP_1","00O2TNJGODT0G5Z4TTKYMMI9X","GSON1112110214")</f>
        <v>#NAME?</v>
      </c>
      <c r="T1191" s="4" t="e">
        <f ca="1">[1]!BexGetData("DP_1","00O2TNJGODT0G5Z4TTKYMMOLH","GSON1112110214")</f>
        <v>#NAME?</v>
      </c>
      <c r="U1191" s="4" t="e">
        <f ca="1">[1]!BexGetData("DP_1","00O2TNJGODT0G5Z4TTKYMMUX1","GSON1112110214")</f>
        <v>#NAME?</v>
      </c>
      <c r="V1191" s="4" t="e">
        <f ca="1">[1]!BexGetData("DP_1","00O2TNJGODT0G5Z4TTKYMN18L","GSON1112110214")</f>
        <v>#NAME?</v>
      </c>
      <c r="W1191" s="4" t="e">
        <f ca="1">[1]!BexGetData("DP_1","00O2TNJGODT0G5Z4TTKYMN7K5","GSON1112110214")</f>
        <v>#NAME?</v>
      </c>
    </row>
    <row r="1192" spans="1:23" x14ac:dyDescent="0.2">
      <c r="A1192" s="16" t="s">
        <v>3448</v>
      </c>
      <c r="B1192" s="7" t="s">
        <v>1116</v>
      </c>
      <c r="C1192" s="3" t="e">
        <f ca="1">[1]!BexGetData("DP_1","003N8EMH8GTFRCSWKMPXRR8GU","GSON1112110220")</f>
        <v>#NAME?</v>
      </c>
      <c r="D1192" s="3" t="e">
        <f ca="1">[1]!BexGetData("DP_1","003N8EMH8GTFRCSWKMPXRRESE","GSON1112110220")</f>
        <v>#NAME?</v>
      </c>
      <c r="E1192" s="3" t="e">
        <f ca="1">[1]!BexGetData("DP_1","003N8EMH8GTFRCSWKMPXRRL3Y","GSON1112110220")</f>
        <v>#NAME?</v>
      </c>
      <c r="F1192" s="3" t="e">
        <f ca="1">[1]!BexGetData("DP_1","003N8EMH8GTFRCSWKMPXRRRFI","GSON1112110220")</f>
        <v>#NAME?</v>
      </c>
      <c r="G1192" s="3" t="e">
        <f ca="1">[1]!BexGetData("DP_1","003N8EMH8GTFRCSWKMPXRRXR2","GSON1112110220")</f>
        <v>#NAME?</v>
      </c>
      <c r="H1192" s="8" t="e">
        <f ca="1">[1]!BexGetData("DP_1","003N8EMH8GTFRCSWKMPXRS42M","GSON1112110220")</f>
        <v>#NAME?</v>
      </c>
      <c r="I1192" s="3" t="e">
        <f ca="1">[1]!BexGetData("DP_1","003N8EMH8GTFRCSWKMPXRSAE6","GSON1112110220")</f>
        <v>#NAME?</v>
      </c>
      <c r="J1192" s="4" t="e">
        <f ca="1">[1]!BexGetData("DP_1","003N8EMH8GTFRCSWKMPXRSGPQ","GSON1112110220")</f>
        <v>#NAME?</v>
      </c>
      <c r="K1192" s="3" t="e">
        <f ca="1">[1]!BexGetData("DP_1","003N8EMH8GTFRIVNUPY288VJH","GSON1112110220")</f>
        <v>#NAME?</v>
      </c>
      <c r="L1192" s="3" t="e">
        <f ca="1">[1]!BexGetData("DP_1","003N8EMH8GTFRIVNUPY2891V1","GSON1112110220")</f>
        <v>#NAME?</v>
      </c>
      <c r="M1192" s="8" t="e">
        <f ca="1">[1]!BexGetData("DP_1","003N8EMH8GTFRIVOG7KG9IQXA","GSON1112110220")</f>
        <v>#NAME?</v>
      </c>
      <c r="N1192" s="3" t="e">
        <f ca="1">[1]!BexGetData("DP_1","003N8EMH8GTFRIVOG7KG9IX8U","GSON1112110220")</f>
        <v>#NAME?</v>
      </c>
      <c r="O1192" s="8" t="e">
        <f ca="1">[1]!BexGetData("DP_1","003N8EMH8GTFRIVOG7KG9J3KE","GSON1112110220")</f>
        <v>#NAME?</v>
      </c>
      <c r="P1192" s="3" t="e">
        <f ca="1">[1]!BexGetData("DP_1","003N8EMH8GTFRIVOG7KG9J9VY","GSON1112110220")</f>
        <v>#NAME?</v>
      </c>
      <c r="Q1192" s="4" t="e">
        <f ca="1">[1]!BexGetData("DP_1","00O2TNJGODT0G5Z4TTKYMM5MT","GSON1112110220")</f>
        <v>#NAME?</v>
      </c>
      <c r="R1192" s="3" t="e">
        <f ca="1">[1]!BexGetData("DP_1","00O2TNJGODT0G5Z4TTKYMMBYD","GSON1112110220")</f>
        <v>#NAME?</v>
      </c>
      <c r="S1192" s="3" t="e">
        <f ca="1">[1]!BexGetData("DP_1","00O2TNJGODT0G5Z4TTKYMMI9X","GSON1112110220")</f>
        <v>#NAME?</v>
      </c>
      <c r="T1192" s="8" t="e">
        <f ca="1">[1]!BexGetData("DP_1","00O2TNJGODT0G5Z4TTKYMMOLH","GSON1112110220")</f>
        <v>#NAME?</v>
      </c>
      <c r="U1192" s="3" t="e">
        <f ca="1">[1]!BexGetData("DP_1","00O2TNJGODT0G5Z4TTKYMMUX1","GSON1112110220")</f>
        <v>#NAME?</v>
      </c>
      <c r="V1192" s="8" t="e">
        <f ca="1">[1]!BexGetData("DP_1","00O2TNJGODT0G5Z4TTKYMN18L","GSON1112110220")</f>
        <v>#NAME?</v>
      </c>
      <c r="W1192" s="3" t="e">
        <f ca="1">[1]!BexGetData("DP_1","00O2TNJGODT0G5Z4TTKYMN7K5","GSON1112110220")</f>
        <v>#NAME?</v>
      </c>
    </row>
    <row r="1193" spans="1:23" x14ac:dyDescent="0.2">
      <c r="A1193" s="16" t="s">
        <v>1117</v>
      </c>
      <c r="B1193" s="7" t="s">
        <v>1118</v>
      </c>
      <c r="C1193" s="3" t="e">
        <f ca="1">[1]!BexGetData("DP_1","003N8EMH8GTFRCSWKMPXRR8GU","GSON1112110221")</f>
        <v>#NAME?</v>
      </c>
      <c r="D1193" s="3" t="e">
        <f ca="1">[1]!BexGetData("DP_1","003N8EMH8GTFRCSWKMPXRRESE","GSON1112110221")</f>
        <v>#NAME?</v>
      </c>
      <c r="E1193" s="3" t="e">
        <f ca="1">[1]!BexGetData("DP_1","003N8EMH8GTFRCSWKMPXRRL3Y","GSON1112110221")</f>
        <v>#NAME?</v>
      </c>
      <c r="F1193" s="4" t="e">
        <f ca="1">[1]!BexGetData("DP_1","003N8EMH8GTFRCSWKMPXRRRFI","GSON1112110221")</f>
        <v>#NAME?</v>
      </c>
      <c r="G1193" s="4" t="e">
        <f ca="1">[1]!BexGetData("DP_1","003N8EMH8GTFRCSWKMPXRRXR2","GSON1112110221")</f>
        <v>#NAME?</v>
      </c>
      <c r="H1193" s="4" t="e">
        <f ca="1">[1]!BexGetData("DP_1","003N8EMH8GTFRCSWKMPXRS42M","GSON1112110221")</f>
        <v>#NAME?</v>
      </c>
      <c r="I1193" s="4" t="e">
        <f ca="1">[1]!BexGetData("DP_1","003N8EMH8GTFRCSWKMPXRSAE6","GSON1112110221")</f>
        <v>#NAME?</v>
      </c>
      <c r="J1193" s="4" t="e">
        <f ca="1">[1]!BexGetData("DP_1","003N8EMH8GTFRCSWKMPXRSGPQ","GSON1112110221")</f>
        <v>#NAME?</v>
      </c>
      <c r="K1193" s="3" t="e">
        <f ca="1">[1]!BexGetData("DP_1","003N8EMH8GTFRIVNUPY288VJH","GSON1112110221")</f>
        <v>#NAME?</v>
      </c>
      <c r="L1193" s="3" t="e">
        <f ca="1">[1]!BexGetData("DP_1","003N8EMH8GTFRIVNUPY2891V1","GSON1112110221")</f>
        <v>#NAME?</v>
      </c>
      <c r="M1193" s="3" t="e">
        <f ca="1">[1]!BexGetData("DP_1","003N8EMH8GTFRIVOG7KG9IQXA","GSON1112110221")</f>
        <v>#NAME?</v>
      </c>
      <c r="N1193" s="8" t="e">
        <f ca="1">[1]!BexGetData("DP_1","003N8EMH8GTFRIVOG7KG9IX8U","GSON1112110221")</f>
        <v>#NAME?</v>
      </c>
      <c r="O1193" s="3" t="e">
        <f ca="1">[1]!BexGetData("DP_1","003N8EMH8GTFRIVOG7KG9J3KE","GSON1112110221")</f>
        <v>#NAME?</v>
      </c>
      <c r="P1193" s="8" t="e">
        <f ca="1">[1]!BexGetData("DP_1","003N8EMH8GTFRIVOG7KG9J9VY","GSON1112110221")</f>
        <v>#NAME?</v>
      </c>
      <c r="Q1193" s="4" t="e">
        <f ca="1">[1]!BexGetData("DP_1","00O2TNJGODT0G5Z4TTKYMM5MT","GSON1112110221")</f>
        <v>#NAME?</v>
      </c>
      <c r="R1193" s="4" t="e">
        <f ca="1">[1]!BexGetData("DP_1","00O2TNJGODT0G5Z4TTKYMMBYD","GSON1112110221")</f>
        <v>#NAME?</v>
      </c>
      <c r="S1193" s="4" t="e">
        <f ca="1">[1]!BexGetData("DP_1","00O2TNJGODT0G5Z4TTKYMMI9X","GSON1112110221")</f>
        <v>#NAME?</v>
      </c>
      <c r="T1193" s="4" t="e">
        <f ca="1">[1]!BexGetData("DP_1","00O2TNJGODT0G5Z4TTKYMMOLH","GSON1112110221")</f>
        <v>#NAME?</v>
      </c>
      <c r="U1193" s="4" t="e">
        <f ca="1">[1]!BexGetData("DP_1","00O2TNJGODT0G5Z4TTKYMMUX1","GSON1112110221")</f>
        <v>#NAME?</v>
      </c>
      <c r="V1193" s="4" t="e">
        <f ca="1">[1]!BexGetData("DP_1","00O2TNJGODT0G5Z4TTKYMN18L","GSON1112110221")</f>
        <v>#NAME?</v>
      </c>
      <c r="W1193" s="4" t="e">
        <f ca="1">[1]!BexGetData("DP_1","00O2TNJGODT0G5Z4TTKYMN7K5","GSON1112110221")</f>
        <v>#NAME?</v>
      </c>
    </row>
    <row r="1194" spans="1:23" x14ac:dyDescent="0.2">
      <c r="A1194" s="16" t="s">
        <v>1119</v>
      </c>
      <c r="B1194" s="7" t="s">
        <v>1120</v>
      </c>
      <c r="C1194" s="3" t="e">
        <f ca="1">[1]!BexGetData("DP_1","003N8EMH8GTFRCSWKMPXRR8GU","GSON1112110223")</f>
        <v>#NAME?</v>
      </c>
      <c r="D1194" s="3" t="e">
        <f ca="1">[1]!BexGetData("DP_1","003N8EMH8GTFRCSWKMPXRRESE","GSON1112110223")</f>
        <v>#NAME?</v>
      </c>
      <c r="E1194" s="8" t="e">
        <f ca="1">[1]!BexGetData("DP_1","003N8EMH8GTFRCSWKMPXRRL3Y","GSON1112110223")</f>
        <v>#NAME?</v>
      </c>
      <c r="F1194" s="4" t="e">
        <f ca="1">[1]!BexGetData("DP_1","003N8EMH8GTFRCSWKMPXRRRFI","GSON1112110223")</f>
        <v>#NAME?</v>
      </c>
      <c r="G1194" s="4" t="e">
        <f ca="1">[1]!BexGetData("DP_1","003N8EMH8GTFRCSWKMPXRRXR2","GSON1112110223")</f>
        <v>#NAME?</v>
      </c>
      <c r="H1194" s="4" t="e">
        <f ca="1">[1]!BexGetData("DP_1","003N8EMH8GTFRCSWKMPXRS42M","GSON1112110223")</f>
        <v>#NAME?</v>
      </c>
      <c r="I1194" s="4" t="e">
        <f ca="1">[1]!BexGetData("DP_1","003N8EMH8GTFRCSWKMPXRSAE6","GSON1112110223")</f>
        <v>#NAME?</v>
      </c>
      <c r="J1194" s="4" t="e">
        <f ca="1">[1]!BexGetData("DP_1","003N8EMH8GTFRCSWKMPXRSGPQ","GSON1112110223")</f>
        <v>#NAME?</v>
      </c>
      <c r="K1194" s="8" t="e">
        <f ca="1">[1]!BexGetData("DP_1","003N8EMH8GTFRIVNUPY288VJH","GSON1112110223")</f>
        <v>#NAME?</v>
      </c>
      <c r="L1194" s="8" t="e">
        <f ca="1">[1]!BexGetData("DP_1","003N8EMH8GTFRIVNUPY2891V1","GSON1112110223")</f>
        <v>#NAME?</v>
      </c>
      <c r="M1194" s="8" t="e">
        <f ca="1">[1]!BexGetData("DP_1","003N8EMH8GTFRIVOG7KG9IQXA","GSON1112110223")</f>
        <v>#NAME?</v>
      </c>
      <c r="N1194" s="8" t="e">
        <f ca="1">[1]!BexGetData("DP_1","003N8EMH8GTFRIVOG7KG9IX8U","GSON1112110223")</f>
        <v>#NAME?</v>
      </c>
      <c r="O1194" s="8" t="e">
        <f ca="1">[1]!BexGetData("DP_1","003N8EMH8GTFRIVOG7KG9J3KE","GSON1112110223")</f>
        <v>#NAME?</v>
      </c>
      <c r="P1194" s="8" t="e">
        <f ca="1">[1]!BexGetData("DP_1","003N8EMH8GTFRIVOG7KG9J9VY","GSON1112110223")</f>
        <v>#NAME?</v>
      </c>
      <c r="Q1194" s="4" t="e">
        <f ca="1">[1]!BexGetData("DP_1","00O2TNJGODT0G5Z4TTKYMM5MT","GSON1112110223")</f>
        <v>#NAME?</v>
      </c>
      <c r="R1194" s="4" t="e">
        <f ca="1">[1]!BexGetData("DP_1","00O2TNJGODT0G5Z4TTKYMMBYD","GSON1112110223")</f>
        <v>#NAME?</v>
      </c>
      <c r="S1194" s="4" t="e">
        <f ca="1">[1]!BexGetData("DP_1","00O2TNJGODT0G5Z4TTKYMMI9X","GSON1112110223")</f>
        <v>#NAME?</v>
      </c>
      <c r="T1194" s="4" t="e">
        <f ca="1">[1]!BexGetData("DP_1","00O2TNJGODT0G5Z4TTKYMMOLH","GSON1112110223")</f>
        <v>#NAME?</v>
      </c>
      <c r="U1194" s="4" t="e">
        <f ca="1">[1]!BexGetData("DP_1","00O2TNJGODT0G5Z4TTKYMMUX1","GSON1112110223")</f>
        <v>#NAME?</v>
      </c>
      <c r="V1194" s="4" t="e">
        <f ca="1">[1]!BexGetData("DP_1","00O2TNJGODT0G5Z4TTKYMN18L","GSON1112110223")</f>
        <v>#NAME?</v>
      </c>
      <c r="W1194" s="4" t="e">
        <f ca="1">[1]!BexGetData("DP_1","00O2TNJGODT0G5Z4TTKYMN7K5","GSON1112110223")</f>
        <v>#NAME?</v>
      </c>
    </row>
    <row r="1195" spans="1:23" x14ac:dyDescent="0.2">
      <c r="A1195" s="16" t="s">
        <v>3449</v>
      </c>
      <c r="B1195" s="7" t="s">
        <v>1121</v>
      </c>
      <c r="C1195" s="3" t="e">
        <f ca="1">[1]!BexGetData("DP_1","003N8EMH8GTFRCSWKMPXRR8GU","GSON1112110224")</f>
        <v>#NAME?</v>
      </c>
      <c r="D1195" s="3" t="e">
        <f ca="1">[1]!BexGetData("DP_1","003N8EMH8GTFRCSWKMPXRRESE","GSON1112110224")</f>
        <v>#NAME?</v>
      </c>
      <c r="E1195" s="8" t="e">
        <f ca="1">[1]!BexGetData("DP_1","003N8EMH8GTFRCSWKMPXRRL3Y","GSON1112110224")</f>
        <v>#NAME?</v>
      </c>
      <c r="F1195" s="4" t="e">
        <f ca="1">[1]!BexGetData("DP_1","003N8EMH8GTFRCSWKMPXRRRFI","GSON1112110224")</f>
        <v>#NAME?</v>
      </c>
      <c r="G1195" s="4" t="e">
        <f ca="1">[1]!BexGetData("DP_1","003N8EMH8GTFRCSWKMPXRRXR2","GSON1112110224")</f>
        <v>#NAME?</v>
      </c>
      <c r="H1195" s="4" t="e">
        <f ca="1">[1]!BexGetData("DP_1","003N8EMH8GTFRCSWKMPXRS42M","GSON1112110224")</f>
        <v>#NAME?</v>
      </c>
      <c r="I1195" s="4" t="e">
        <f ca="1">[1]!BexGetData("DP_1","003N8EMH8GTFRCSWKMPXRSAE6","GSON1112110224")</f>
        <v>#NAME?</v>
      </c>
      <c r="J1195" s="4" t="e">
        <f ca="1">[1]!BexGetData("DP_1","003N8EMH8GTFRCSWKMPXRSGPQ","GSON1112110224")</f>
        <v>#NAME?</v>
      </c>
      <c r="K1195" s="8" t="e">
        <f ca="1">[1]!BexGetData("DP_1","003N8EMH8GTFRIVNUPY288VJH","GSON1112110224")</f>
        <v>#NAME?</v>
      </c>
      <c r="L1195" s="8" t="e">
        <f ca="1">[1]!BexGetData("DP_1","003N8EMH8GTFRIVNUPY2891V1","GSON1112110224")</f>
        <v>#NAME?</v>
      </c>
      <c r="M1195" s="8" t="e">
        <f ca="1">[1]!BexGetData("DP_1","003N8EMH8GTFRIVOG7KG9IQXA","GSON1112110224")</f>
        <v>#NAME?</v>
      </c>
      <c r="N1195" s="8" t="e">
        <f ca="1">[1]!BexGetData("DP_1","003N8EMH8GTFRIVOG7KG9IX8U","GSON1112110224")</f>
        <v>#NAME?</v>
      </c>
      <c r="O1195" s="8" t="e">
        <f ca="1">[1]!BexGetData("DP_1","003N8EMH8GTFRIVOG7KG9J3KE","GSON1112110224")</f>
        <v>#NAME?</v>
      </c>
      <c r="P1195" s="8" t="e">
        <f ca="1">[1]!BexGetData("DP_1","003N8EMH8GTFRIVOG7KG9J9VY","GSON1112110224")</f>
        <v>#NAME?</v>
      </c>
      <c r="Q1195" s="4" t="e">
        <f ca="1">[1]!BexGetData("DP_1","00O2TNJGODT0G5Z4TTKYMM5MT","GSON1112110224")</f>
        <v>#NAME?</v>
      </c>
      <c r="R1195" s="4" t="e">
        <f ca="1">[1]!BexGetData("DP_1","00O2TNJGODT0G5Z4TTKYMMBYD","GSON1112110224")</f>
        <v>#NAME?</v>
      </c>
      <c r="S1195" s="4" t="e">
        <f ca="1">[1]!BexGetData("DP_1","00O2TNJGODT0G5Z4TTKYMMI9X","GSON1112110224")</f>
        <v>#NAME?</v>
      </c>
      <c r="T1195" s="4" t="e">
        <f ca="1">[1]!BexGetData("DP_1","00O2TNJGODT0G5Z4TTKYMMOLH","GSON1112110224")</f>
        <v>#NAME?</v>
      </c>
      <c r="U1195" s="4" t="e">
        <f ca="1">[1]!BexGetData("DP_1","00O2TNJGODT0G5Z4TTKYMMUX1","GSON1112110224")</f>
        <v>#NAME?</v>
      </c>
      <c r="V1195" s="4" t="e">
        <f ca="1">[1]!BexGetData("DP_1","00O2TNJGODT0G5Z4TTKYMN18L","GSON1112110224")</f>
        <v>#NAME?</v>
      </c>
      <c r="W1195" s="4" t="e">
        <f ca="1">[1]!BexGetData("DP_1","00O2TNJGODT0G5Z4TTKYMN7K5","GSON1112110224")</f>
        <v>#NAME?</v>
      </c>
    </row>
    <row r="1196" spans="1:23" x14ac:dyDescent="0.2">
      <c r="A1196" s="16" t="s">
        <v>3450</v>
      </c>
      <c r="B1196" s="7" t="s">
        <v>1122</v>
      </c>
      <c r="C1196" s="3" t="e">
        <f ca="1">[1]!BexGetData("DP_1","003N8EMH8GTFRCSWKMPXRR8GU","GSON1112110230")</f>
        <v>#NAME?</v>
      </c>
      <c r="D1196" s="3" t="e">
        <f ca="1">[1]!BexGetData("DP_1","003N8EMH8GTFRCSWKMPXRRESE","GSON1112110230")</f>
        <v>#NAME?</v>
      </c>
      <c r="E1196" s="3" t="e">
        <f ca="1">[1]!BexGetData("DP_1","003N8EMH8GTFRCSWKMPXRRL3Y","GSON1112110230")</f>
        <v>#NAME?</v>
      </c>
      <c r="F1196" s="3" t="e">
        <f ca="1">[1]!BexGetData("DP_1","003N8EMH8GTFRCSWKMPXRRRFI","GSON1112110230")</f>
        <v>#NAME?</v>
      </c>
      <c r="G1196" s="3" t="e">
        <f ca="1">[1]!BexGetData("DP_1","003N8EMH8GTFRCSWKMPXRRXR2","GSON1112110230")</f>
        <v>#NAME?</v>
      </c>
      <c r="H1196" s="8" t="e">
        <f ca="1">[1]!BexGetData("DP_1","003N8EMH8GTFRCSWKMPXRS42M","GSON1112110230")</f>
        <v>#NAME?</v>
      </c>
      <c r="I1196" s="3" t="e">
        <f ca="1">[1]!BexGetData("DP_1","003N8EMH8GTFRCSWKMPXRSAE6","GSON1112110230")</f>
        <v>#NAME?</v>
      </c>
      <c r="J1196" s="4" t="e">
        <f ca="1">[1]!BexGetData("DP_1","003N8EMH8GTFRCSWKMPXRSGPQ","GSON1112110230")</f>
        <v>#NAME?</v>
      </c>
      <c r="K1196" s="3" t="e">
        <f ca="1">[1]!BexGetData("DP_1","003N8EMH8GTFRIVNUPY288VJH","GSON1112110230")</f>
        <v>#NAME?</v>
      </c>
      <c r="L1196" s="3" t="e">
        <f ca="1">[1]!BexGetData("DP_1","003N8EMH8GTFRIVNUPY2891V1","GSON1112110230")</f>
        <v>#NAME?</v>
      </c>
      <c r="M1196" s="3" t="e">
        <f ca="1">[1]!BexGetData("DP_1","003N8EMH8GTFRIVOG7KG9IQXA","GSON1112110230")</f>
        <v>#NAME?</v>
      </c>
      <c r="N1196" s="8" t="e">
        <f ca="1">[1]!BexGetData("DP_1","003N8EMH8GTFRIVOG7KG9IX8U","GSON1112110230")</f>
        <v>#NAME?</v>
      </c>
      <c r="O1196" s="3" t="e">
        <f ca="1">[1]!BexGetData("DP_1","003N8EMH8GTFRIVOG7KG9J3KE","GSON1112110230")</f>
        <v>#NAME?</v>
      </c>
      <c r="P1196" s="8" t="e">
        <f ca="1">[1]!BexGetData("DP_1","003N8EMH8GTFRIVOG7KG9J9VY","GSON1112110230")</f>
        <v>#NAME?</v>
      </c>
      <c r="Q1196" s="4" t="e">
        <f ca="1">[1]!BexGetData("DP_1","00O2TNJGODT0G5Z4TTKYMM5MT","GSON1112110230")</f>
        <v>#NAME?</v>
      </c>
      <c r="R1196" s="3" t="e">
        <f ca="1">[1]!BexGetData("DP_1","00O2TNJGODT0G5Z4TTKYMMBYD","GSON1112110230")</f>
        <v>#NAME?</v>
      </c>
      <c r="S1196" s="3" t="e">
        <f ca="1">[1]!BexGetData("DP_1","00O2TNJGODT0G5Z4TTKYMMI9X","GSON1112110230")</f>
        <v>#NAME?</v>
      </c>
      <c r="T1196" s="8" t="e">
        <f ca="1">[1]!BexGetData("DP_1","00O2TNJGODT0G5Z4TTKYMMOLH","GSON1112110230")</f>
        <v>#NAME?</v>
      </c>
      <c r="U1196" s="3" t="e">
        <f ca="1">[1]!BexGetData("DP_1","00O2TNJGODT0G5Z4TTKYMMUX1","GSON1112110230")</f>
        <v>#NAME?</v>
      </c>
      <c r="V1196" s="8" t="e">
        <f ca="1">[1]!BexGetData("DP_1","00O2TNJGODT0G5Z4TTKYMN18L","GSON1112110230")</f>
        <v>#NAME?</v>
      </c>
      <c r="W1196" s="3" t="e">
        <f ca="1">[1]!BexGetData("DP_1","00O2TNJGODT0G5Z4TTKYMN7K5","GSON1112110230")</f>
        <v>#NAME?</v>
      </c>
    </row>
    <row r="1197" spans="1:23" x14ac:dyDescent="0.2">
      <c r="A1197" s="16" t="s">
        <v>429</v>
      </c>
      <c r="B1197" s="7" t="s">
        <v>430</v>
      </c>
      <c r="C1197" s="3" t="e">
        <f ca="1">[1]!BexGetData("DP_1","003N8EMH8GTFRCSWKMPXRR8GU","GSON1112110231")</f>
        <v>#NAME?</v>
      </c>
      <c r="D1197" s="3" t="e">
        <f ca="1">[1]!BexGetData("DP_1","003N8EMH8GTFRCSWKMPXRRESE","GSON1112110231")</f>
        <v>#NAME?</v>
      </c>
      <c r="E1197" s="3" t="e">
        <f ca="1">[1]!BexGetData("DP_1","003N8EMH8GTFRCSWKMPXRRL3Y","GSON1112110231")</f>
        <v>#NAME?</v>
      </c>
      <c r="F1197" s="3" t="e">
        <f ca="1">[1]!BexGetData("DP_1","003N8EMH8GTFRCSWKMPXRRRFI","GSON1112110231")</f>
        <v>#NAME?</v>
      </c>
      <c r="G1197" s="3" t="e">
        <f ca="1">[1]!BexGetData("DP_1","003N8EMH8GTFRCSWKMPXRRXR2","GSON1112110231")</f>
        <v>#NAME?</v>
      </c>
      <c r="H1197" s="8" t="e">
        <f ca="1">[1]!BexGetData("DP_1","003N8EMH8GTFRCSWKMPXRS42M","GSON1112110231")</f>
        <v>#NAME?</v>
      </c>
      <c r="I1197" s="3" t="e">
        <f ca="1">[1]!BexGetData("DP_1","003N8EMH8GTFRCSWKMPXRSAE6","GSON1112110231")</f>
        <v>#NAME?</v>
      </c>
      <c r="J1197" s="4" t="e">
        <f ca="1">[1]!BexGetData("DP_1","003N8EMH8GTFRCSWKMPXRSGPQ","GSON1112110231")</f>
        <v>#NAME?</v>
      </c>
      <c r="K1197" s="3" t="e">
        <f ca="1">[1]!BexGetData("DP_1","003N8EMH8GTFRIVNUPY288VJH","GSON1112110231")</f>
        <v>#NAME?</v>
      </c>
      <c r="L1197" s="3" t="e">
        <f ca="1">[1]!BexGetData("DP_1","003N8EMH8GTFRIVNUPY2891V1","GSON1112110231")</f>
        <v>#NAME?</v>
      </c>
      <c r="M1197" s="8" t="e">
        <f ca="1">[1]!BexGetData("DP_1","003N8EMH8GTFRIVOG7KG9IQXA","GSON1112110231")</f>
        <v>#NAME?</v>
      </c>
      <c r="N1197" s="3" t="e">
        <f ca="1">[1]!BexGetData("DP_1","003N8EMH8GTFRIVOG7KG9IX8U","GSON1112110231")</f>
        <v>#NAME?</v>
      </c>
      <c r="O1197" s="8" t="e">
        <f ca="1">[1]!BexGetData("DP_1","003N8EMH8GTFRIVOG7KG9J3KE","GSON1112110231")</f>
        <v>#NAME?</v>
      </c>
      <c r="P1197" s="3" t="e">
        <f ca="1">[1]!BexGetData("DP_1","003N8EMH8GTFRIVOG7KG9J9VY","GSON1112110231")</f>
        <v>#NAME?</v>
      </c>
      <c r="Q1197" s="4" t="e">
        <f ca="1">[1]!BexGetData("DP_1","00O2TNJGODT0G5Z4TTKYMM5MT","GSON1112110231")</f>
        <v>#NAME?</v>
      </c>
      <c r="R1197" s="3" t="e">
        <f ca="1">[1]!BexGetData("DP_1","00O2TNJGODT0G5Z4TTKYMMBYD","GSON1112110231")</f>
        <v>#NAME?</v>
      </c>
      <c r="S1197" s="3" t="e">
        <f ca="1">[1]!BexGetData("DP_1","00O2TNJGODT0G5Z4TTKYMMI9X","GSON1112110231")</f>
        <v>#NAME?</v>
      </c>
      <c r="T1197" s="8" t="e">
        <f ca="1">[1]!BexGetData("DP_1","00O2TNJGODT0G5Z4TTKYMMOLH","GSON1112110231")</f>
        <v>#NAME?</v>
      </c>
      <c r="U1197" s="3" t="e">
        <f ca="1">[1]!BexGetData("DP_1","00O2TNJGODT0G5Z4TTKYMMUX1","GSON1112110231")</f>
        <v>#NAME?</v>
      </c>
      <c r="V1197" s="8" t="e">
        <f ca="1">[1]!BexGetData("DP_1","00O2TNJGODT0G5Z4TTKYMN18L","GSON1112110231")</f>
        <v>#NAME?</v>
      </c>
      <c r="W1197" s="3" t="e">
        <f ca="1">[1]!BexGetData("DP_1","00O2TNJGODT0G5Z4TTKYMN7K5","GSON1112110231")</f>
        <v>#NAME?</v>
      </c>
    </row>
    <row r="1198" spans="1:23" x14ac:dyDescent="0.2">
      <c r="A1198" s="16" t="s">
        <v>1123</v>
      </c>
      <c r="B1198" s="7" t="s">
        <v>1124</v>
      </c>
      <c r="C1198" s="3" t="e">
        <f ca="1">[1]!BexGetData("DP_1","003N8EMH8GTFRCSWKMPXRR8GU","GSON1112110233")</f>
        <v>#NAME?</v>
      </c>
      <c r="D1198" s="3" t="e">
        <f ca="1">[1]!BexGetData("DP_1","003N8EMH8GTFRCSWKMPXRRESE","GSON1112110233")</f>
        <v>#NAME?</v>
      </c>
      <c r="E1198" s="3" t="e">
        <f ca="1">[1]!BexGetData("DP_1","003N8EMH8GTFRCSWKMPXRRL3Y","GSON1112110233")</f>
        <v>#NAME?</v>
      </c>
      <c r="F1198" s="4" t="e">
        <f ca="1">[1]!BexGetData("DP_1","003N8EMH8GTFRCSWKMPXRRRFI","GSON1112110233")</f>
        <v>#NAME?</v>
      </c>
      <c r="G1198" s="4" t="e">
        <f ca="1">[1]!BexGetData("DP_1","003N8EMH8GTFRCSWKMPXRRXR2","GSON1112110233")</f>
        <v>#NAME?</v>
      </c>
      <c r="H1198" s="4" t="e">
        <f ca="1">[1]!BexGetData("DP_1","003N8EMH8GTFRCSWKMPXRS42M","GSON1112110233")</f>
        <v>#NAME?</v>
      </c>
      <c r="I1198" s="4" t="e">
        <f ca="1">[1]!BexGetData("DP_1","003N8EMH8GTFRCSWKMPXRSAE6","GSON1112110233")</f>
        <v>#NAME?</v>
      </c>
      <c r="J1198" s="4" t="e">
        <f ca="1">[1]!BexGetData("DP_1","003N8EMH8GTFRCSWKMPXRSGPQ","GSON1112110233")</f>
        <v>#NAME?</v>
      </c>
      <c r="K1198" s="3" t="e">
        <f ca="1">[1]!BexGetData("DP_1","003N8EMH8GTFRIVNUPY288VJH","GSON1112110233")</f>
        <v>#NAME?</v>
      </c>
      <c r="L1198" s="3" t="e">
        <f ca="1">[1]!BexGetData("DP_1","003N8EMH8GTFRIVNUPY2891V1","GSON1112110233")</f>
        <v>#NAME?</v>
      </c>
      <c r="M1198" s="8" t="e">
        <f ca="1">[1]!BexGetData("DP_1","003N8EMH8GTFRIVOG7KG9IQXA","GSON1112110233")</f>
        <v>#NAME?</v>
      </c>
      <c r="N1198" s="3" t="e">
        <f ca="1">[1]!BexGetData("DP_1","003N8EMH8GTFRIVOG7KG9IX8U","GSON1112110233")</f>
        <v>#NAME?</v>
      </c>
      <c r="O1198" s="8" t="e">
        <f ca="1">[1]!BexGetData("DP_1","003N8EMH8GTFRIVOG7KG9J3KE","GSON1112110233")</f>
        <v>#NAME?</v>
      </c>
      <c r="P1198" s="3" t="e">
        <f ca="1">[1]!BexGetData("DP_1","003N8EMH8GTFRIVOG7KG9J9VY","GSON1112110233")</f>
        <v>#NAME?</v>
      </c>
      <c r="Q1198" s="4" t="e">
        <f ca="1">[1]!BexGetData("DP_1","00O2TNJGODT0G5Z4TTKYMM5MT","GSON1112110233")</f>
        <v>#NAME?</v>
      </c>
      <c r="R1198" s="4" t="e">
        <f ca="1">[1]!BexGetData("DP_1","00O2TNJGODT0G5Z4TTKYMMBYD","GSON1112110233")</f>
        <v>#NAME?</v>
      </c>
      <c r="S1198" s="4" t="e">
        <f ca="1">[1]!BexGetData("DP_1","00O2TNJGODT0G5Z4TTKYMMI9X","GSON1112110233")</f>
        <v>#NAME?</v>
      </c>
      <c r="T1198" s="4" t="e">
        <f ca="1">[1]!BexGetData("DP_1","00O2TNJGODT0G5Z4TTKYMMOLH","GSON1112110233")</f>
        <v>#NAME?</v>
      </c>
      <c r="U1198" s="4" t="e">
        <f ca="1">[1]!BexGetData("DP_1","00O2TNJGODT0G5Z4TTKYMMUX1","GSON1112110233")</f>
        <v>#NAME?</v>
      </c>
      <c r="V1198" s="4" t="e">
        <f ca="1">[1]!BexGetData("DP_1","00O2TNJGODT0G5Z4TTKYMN18L","GSON1112110233")</f>
        <v>#NAME?</v>
      </c>
      <c r="W1198" s="4" t="e">
        <f ca="1">[1]!BexGetData("DP_1","00O2TNJGODT0G5Z4TTKYMN7K5","GSON1112110233")</f>
        <v>#NAME?</v>
      </c>
    </row>
    <row r="1199" spans="1:23" x14ac:dyDescent="0.2">
      <c r="A1199" s="16" t="s">
        <v>3451</v>
      </c>
      <c r="B1199" s="7" t="s">
        <v>1125</v>
      </c>
      <c r="C1199" s="3" t="e">
        <f ca="1">[1]!BexGetData("DP_1","003N8EMH8GTFRCSWKMPXRR8GU","GSON1112110234")</f>
        <v>#NAME?</v>
      </c>
      <c r="D1199" s="3" t="e">
        <f ca="1">[1]!BexGetData("DP_1","003N8EMH8GTFRCSWKMPXRRESE","GSON1112110234")</f>
        <v>#NAME?</v>
      </c>
      <c r="E1199" s="8" t="e">
        <f ca="1">[1]!BexGetData("DP_1","003N8EMH8GTFRCSWKMPXRRL3Y","GSON1112110234")</f>
        <v>#NAME?</v>
      </c>
      <c r="F1199" s="4" t="e">
        <f ca="1">[1]!BexGetData("DP_1","003N8EMH8GTFRCSWKMPXRRRFI","GSON1112110234")</f>
        <v>#NAME?</v>
      </c>
      <c r="G1199" s="4" t="e">
        <f ca="1">[1]!BexGetData("DP_1","003N8EMH8GTFRCSWKMPXRRXR2","GSON1112110234")</f>
        <v>#NAME?</v>
      </c>
      <c r="H1199" s="4" t="e">
        <f ca="1">[1]!BexGetData("DP_1","003N8EMH8GTFRCSWKMPXRS42M","GSON1112110234")</f>
        <v>#NAME?</v>
      </c>
      <c r="I1199" s="4" t="e">
        <f ca="1">[1]!BexGetData("DP_1","003N8EMH8GTFRCSWKMPXRSAE6","GSON1112110234")</f>
        <v>#NAME?</v>
      </c>
      <c r="J1199" s="4" t="e">
        <f ca="1">[1]!BexGetData("DP_1","003N8EMH8GTFRCSWKMPXRSGPQ","GSON1112110234")</f>
        <v>#NAME?</v>
      </c>
      <c r="K1199" s="8" t="e">
        <f ca="1">[1]!BexGetData("DP_1","003N8EMH8GTFRIVNUPY288VJH","GSON1112110234")</f>
        <v>#NAME?</v>
      </c>
      <c r="L1199" s="8" t="e">
        <f ca="1">[1]!BexGetData("DP_1","003N8EMH8GTFRIVNUPY2891V1","GSON1112110234")</f>
        <v>#NAME?</v>
      </c>
      <c r="M1199" s="8" t="e">
        <f ca="1">[1]!BexGetData("DP_1","003N8EMH8GTFRIVOG7KG9IQXA","GSON1112110234")</f>
        <v>#NAME?</v>
      </c>
      <c r="N1199" s="8" t="e">
        <f ca="1">[1]!BexGetData("DP_1","003N8EMH8GTFRIVOG7KG9IX8U","GSON1112110234")</f>
        <v>#NAME?</v>
      </c>
      <c r="O1199" s="8" t="e">
        <f ca="1">[1]!BexGetData("DP_1","003N8EMH8GTFRIVOG7KG9J3KE","GSON1112110234")</f>
        <v>#NAME?</v>
      </c>
      <c r="P1199" s="8" t="e">
        <f ca="1">[1]!BexGetData("DP_1","003N8EMH8GTFRIVOG7KG9J9VY","GSON1112110234")</f>
        <v>#NAME?</v>
      </c>
      <c r="Q1199" s="4" t="e">
        <f ca="1">[1]!BexGetData("DP_1","00O2TNJGODT0G5Z4TTKYMM5MT","GSON1112110234")</f>
        <v>#NAME?</v>
      </c>
      <c r="R1199" s="4" t="e">
        <f ca="1">[1]!BexGetData("DP_1","00O2TNJGODT0G5Z4TTKYMMBYD","GSON1112110234")</f>
        <v>#NAME?</v>
      </c>
      <c r="S1199" s="4" t="e">
        <f ca="1">[1]!BexGetData("DP_1","00O2TNJGODT0G5Z4TTKYMMI9X","GSON1112110234")</f>
        <v>#NAME?</v>
      </c>
      <c r="T1199" s="4" t="e">
        <f ca="1">[1]!BexGetData("DP_1","00O2TNJGODT0G5Z4TTKYMMOLH","GSON1112110234")</f>
        <v>#NAME?</v>
      </c>
      <c r="U1199" s="4" t="e">
        <f ca="1">[1]!BexGetData("DP_1","00O2TNJGODT0G5Z4TTKYMMUX1","GSON1112110234")</f>
        <v>#NAME?</v>
      </c>
      <c r="V1199" s="4" t="e">
        <f ca="1">[1]!BexGetData("DP_1","00O2TNJGODT0G5Z4TTKYMN18L","GSON1112110234")</f>
        <v>#NAME?</v>
      </c>
      <c r="W1199" s="4" t="e">
        <f ca="1">[1]!BexGetData("DP_1","00O2TNJGODT0G5Z4TTKYMN7K5","GSON1112110234")</f>
        <v>#NAME?</v>
      </c>
    </row>
    <row r="1200" spans="1:23" x14ac:dyDescent="0.2">
      <c r="A1200" s="16" t="s">
        <v>3452</v>
      </c>
      <c r="B1200" s="7" t="s">
        <v>1126</v>
      </c>
      <c r="C1200" s="3" t="e">
        <f ca="1">[1]!BexGetData("DP_1","003N8EMH8GTFRCSWKMPXRR8GU","GSON1112110240")</f>
        <v>#NAME?</v>
      </c>
      <c r="D1200" s="3" t="e">
        <f ca="1">[1]!BexGetData("DP_1","003N8EMH8GTFRCSWKMPXRRESE","GSON1112110240")</f>
        <v>#NAME?</v>
      </c>
      <c r="E1200" s="3" t="e">
        <f ca="1">[1]!BexGetData("DP_1","003N8EMH8GTFRCSWKMPXRRL3Y","GSON1112110240")</f>
        <v>#NAME?</v>
      </c>
      <c r="F1200" s="3" t="e">
        <f ca="1">[1]!BexGetData("DP_1","003N8EMH8GTFRCSWKMPXRRRFI","GSON1112110240")</f>
        <v>#NAME?</v>
      </c>
      <c r="G1200" s="3" t="e">
        <f ca="1">[1]!BexGetData("DP_1","003N8EMH8GTFRCSWKMPXRRXR2","GSON1112110240")</f>
        <v>#NAME?</v>
      </c>
      <c r="H1200" s="8" t="e">
        <f ca="1">[1]!BexGetData("DP_1","003N8EMH8GTFRCSWKMPXRS42M","GSON1112110240")</f>
        <v>#NAME?</v>
      </c>
      <c r="I1200" s="3" t="e">
        <f ca="1">[1]!BexGetData("DP_1","003N8EMH8GTFRCSWKMPXRSAE6","GSON1112110240")</f>
        <v>#NAME?</v>
      </c>
      <c r="J1200" s="4" t="e">
        <f ca="1">[1]!BexGetData("DP_1","003N8EMH8GTFRCSWKMPXRSGPQ","GSON1112110240")</f>
        <v>#NAME?</v>
      </c>
      <c r="K1200" s="3" t="e">
        <f ca="1">[1]!BexGetData("DP_1","003N8EMH8GTFRIVNUPY288VJH","GSON1112110240")</f>
        <v>#NAME?</v>
      </c>
      <c r="L1200" s="3" t="e">
        <f ca="1">[1]!BexGetData("DP_1","003N8EMH8GTFRIVNUPY2891V1","GSON1112110240")</f>
        <v>#NAME?</v>
      </c>
      <c r="M1200" s="3" t="e">
        <f ca="1">[1]!BexGetData("DP_1","003N8EMH8GTFRIVOG7KG9IQXA","GSON1112110240")</f>
        <v>#NAME?</v>
      </c>
      <c r="N1200" s="8" t="e">
        <f ca="1">[1]!BexGetData("DP_1","003N8EMH8GTFRIVOG7KG9IX8U","GSON1112110240")</f>
        <v>#NAME?</v>
      </c>
      <c r="O1200" s="3" t="e">
        <f ca="1">[1]!BexGetData("DP_1","003N8EMH8GTFRIVOG7KG9J3KE","GSON1112110240")</f>
        <v>#NAME?</v>
      </c>
      <c r="P1200" s="8" t="e">
        <f ca="1">[1]!BexGetData("DP_1","003N8EMH8GTFRIVOG7KG9J9VY","GSON1112110240")</f>
        <v>#NAME?</v>
      </c>
      <c r="Q1200" s="4" t="e">
        <f ca="1">[1]!BexGetData("DP_1","00O2TNJGODT0G5Z4TTKYMM5MT","GSON1112110240")</f>
        <v>#NAME?</v>
      </c>
      <c r="R1200" s="3" t="e">
        <f ca="1">[1]!BexGetData("DP_1","00O2TNJGODT0G5Z4TTKYMMBYD","GSON1112110240")</f>
        <v>#NAME?</v>
      </c>
      <c r="S1200" s="3" t="e">
        <f ca="1">[1]!BexGetData("DP_1","00O2TNJGODT0G5Z4TTKYMMI9X","GSON1112110240")</f>
        <v>#NAME?</v>
      </c>
      <c r="T1200" s="8" t="e">
        <f ca="1">[1]!BexGetData("DP_1","00O2TNJGODT0G5Z4TTKYMMOLH","GSON1112110240")</f>
        <v>#NAME?</v>
      </c>
      <c r="U1200" s="3" t="e">
        <f ca="1">[1]!BexGetData("DP_1","00O2TNJGODT0G5Z4TTKYMMUX1","GSON1112110240")</f>
        <v>#NAME?</v>
      </c>
      <c r="V1200" s="8" t="e">
        <f ca="1">[1]!BexGetData("DP_1","00O2TNJGODT0G5Z4TTKYMN18L","GSON1112110240")</f>
        <v>#NAME?</v>
      </c>
      <c r="W1200" s="3" t="e">
        <f ca="1">[1]!BexGetData("DP_1","00O2TNJGODT0G5Z4TTKYMN7K5","GSON1112110240")</f>
        <v>#NAME?</v>
      </c>
    </row>
    <row r="1201" spans="1:23" x14ac:dyDescent="0.2">
      <c r="A1201" s="16" t="s">
        <v>627</v>
      </c>
      <c r="B1201" s="7" t="s">
        <v>628</v>
      </c>
      <c r="C1201" s="3" t="e">
        <f ca="1">[1]!BexGetData("DP_1","003N8EMH8GTFRCSWKMPXRR8GU","GSON1112110241")</f>
        <v>#NAME?</v>
      </c>
      <c r="D1201" s="3" t="e">
        <f ca="1">[1]!BexGetData("DP_1","003N8EMH8GTFRCSWKMPXRRESE","GSON1112110241")</f>
        <v>#NAME?</v>
      </c>
      <c r="E1201" s="3" t="e">
        <f ca="1">[1]!BexGetData("DP_1","003N8EMH8GTFRCSWKMPXRRL3Y","GSON1112110241")</f>
        <v>#NAME?</v>
      </c>
      <c r="F1201" s="4" t="e">
        <f ca="1">[1]!BexGetData("DP_1","003N8EMH8GTFRCSWKMPXRRRFI","GSON1112110241")</f>
        <v>#NAME?</v>
      </c>
      <c r="G1201" s="4" t="e">
        <f ca="1">[1]!BexGetData("DP_1","003N8EMH8GTFRCSWKMPXRRXR2","GSON1112110241")</f>
        <v>#NAME?</v>
      </c>
      <c r="H1201" s="4" t="e">
        <f ca="1">[1]!BexGetData("DP_1","003N8EMH8GTFRCSWKMPXRS42M","GSON1112110241")</f>
        <v>#NAME?</v>
      </c>
      <c r="I1201" s="4" t="e">
        <f ca="1">[1]!BexGetData("DP_1","003N8EMH8GTFRCSWKMPXRSAE6","GSON1112110241")</f>
        <v>#NAME?</v>
      </c>
      <c r="J1201" s="4" t="e">
        <f ca="1">[1]!BexGetData("DP_1","003N8EMH8GTFRCSWKMPXRSGPQ","GSON1112110241")</f>
        <v>#NAME?</v>
      </c>
      <c r="K1201" s="3" t="e">
        <f ca="1">[1]!BexGetData("DP_1","003N8EMH8GTFRIVNUPY288VJH","GSON1112110241")</f>
        <v>#NAME?</v>
      </c>
      <c r="L1201" s="3" t="e">
        <f ca="1">[1]!BexGetData("DP_1","003N8EMH8GTFRIVNUPY2891V1","GSON1112110241")</f>
        <v>#NAME?</v>
      </c>
      <c r="M1201" s="3" t="e">
        <f ca="1">[1]!BexGetData("DP_1","003N8EMH8GTFRIVOG7KG9IQXA","GSON1112110241")</f>
        <v>#NAME?</v>
      </c>
      <c r="N1201" s="8" t="e">
        <f ca="1">[1]!BexGetData("DP_1","003N8EMH8GTFRIVOG7KG9IX8U","GSON1112110241")</f>
        <v>#NAME?</v>
      </c>
      <c r="O1201" s="3" t="e">
        <f ca="1">[1]!BexGetData("DP_1","003N8EMH8GTFRIVOG7KG9J3KE","GSON1112110241")</f>
        <v>#NAME?</v>
      </c>
      <c r="P1201" s="8" t="e">
        <f ca="1">[1]!BexGetData("DP_1","003N8EMH8GTFRIVOG7KG9J9VY","GSON1112110241")</f>
        <v>#NAME?</v>
      </c>
      <c r="Q1201" s="4" t="e">
        <f ca="1">[1]!BexGetData("DP_1","00O2TNJGODT0G5Z4TTKYMM5MT","GSON1112110241")</f>
        <v>#NAME?</v>
      </c>
      <c r="R1201" s="4" t="e">
        <f ca="1">[1]!BexGetData("DP_1","00O2TNJGODT0G5Z4TTKYMMBYD","GSON1112110241")</f>
        <v>#NAME?</v>
      </c>
      <c r="S1201" s="4" t="e">
        <f ca="1">[1]!BexGetData("DP_1","00O2TNJGODT0G5Z4TTKYMMI9X","GSON1112110241")</f>
        <v>#NAME?</v>
      </c>
      <c r="T1201" s="4" t="e">
        <f ca="1">[1]!BexGetData("DP_1","00O2TNJGODT0G5Z4TTKYMMOLH","GSON1112110241")</f>
        <v>#NAME?</v>
      </c>
      <c r="U1201" s="4" t="e">
        <f ca="1">[1]!BexGetData("DP_1","00O2TNJGODT0G5Z4TTKYMMUX1","GSON1112110241")</f>
        <v>#NAME?</v>
      </c>
      <c r="V1201" s="4" t="e">
        <f ca="1">[1]!BexGetData("DP_1","00O2TNJGODT0G5Z4TTKYMN18L","GSON1112110241")</f>
        <v>#NAME?</v>
      </c>
      <c r="W1201" s="4" t="e">
        <f ca="1">[1]!BexGetData("DP_1","00O2TNJGODT0G5Z4TTKYMN7K5","GSON1112110241")</f>
        <v>#NAME?</v>
      </c>
    </row>
    <row r="1202" spans="1:23" x14ac:dyDescent="0.2">
      <c r="A1202" s="16" t="s">
        <v>1127</v>
      </c>
      <c r="B1202" s="7" t="s">
        <v>1128</v>
      </c>
      <c r="C1202" s="3" t="e">
        <f ca="1">[1]!BexGetData("DP_1","003N8EMH8GTFRCSWKMPXRR8GU","GSON1112110243")</f>
        <v>#NAME?</v>
      </c>
      <c r="D1202" s="3" t="e">
        <f ca="1">[1]!BexGetData("DP_1","003N8EMH8GTFRCSWKMPXRRESE","GSON1112110243")</f>
        <v>#NAME?</v>
      </c>
      <c r="E1202" s="8" t="e">
        <f ca="1">[1]!BexGetData("DP_1","003N8EMH8GTFRCSWKMPXRRL3Y","GSON1112110243")</f>
        <v>#NAME?</v>
      </c>
      <c r="F1202" s="4" t="e">
        <f ca="1">[1]!BexGetData("DP_1","003N8EMH8GTFRCSWKMPXRRRFI","GSON1112110243")</f>
        <v>#NAME?</v>
      </c>
      <c r="G1202" s="4" t="e">
        <f ca="1">[1]!BexGetData("DP_1","003N8EMH8GTFRCSWKMPXRRXR2","GSON1112110243")</f>
        <v>#NAME?</v>
      </c>
      <c r="H1202" s="4" t="e">
        <f ca="1">[1]!BexGetData("DP_1","003N8EMH8GTFRCSWKMPXRS42M","GSON1112110243")</f>
        <v>#NAME?</v>
      </c>
      <c r="I1202" s="4" t="e">
        <f ca="1">[1]!BexGetData("DP_1","003N8EMH8GTFRCSWKMPXRSAE6","GSON1112110243")</f>
        <v>#NAME?</v>
      </c>
      <c r="J1202" s="4" t="e">
        <f ca="1">[1]!BexGetData("DP_1","003N8EMH8GTFRCSWKMPXRSGPQ","GSON1112110243")</f>
        <v>#NAME?</v>
      </c>
      <c r="K1202" s="8" t="e">
        <f ca="1">[1]!BexGetData("DP_1","003N8EMH8GTFRIVNUPY288VJH","GSON1112110243")</f>
        <v>#NAME?</v>
      </c>
      <c r="L1202" s="8" t="e">
        <f ca="1">[1]!BexGetData("DP_1","003N8EMH8GTFRIVNUPY2891V1","GSON1112110243")</f>
        <v>#NAME?</v>
      </c>
      <c r="M1202" s="8" t="e">
        <f ca="1">[1]!BexGetData("DP_1","003N8EMH8GTFRIVOG7KG9IQXA","GSON1112110243")</f>
        <v>#NAME?</v>
      </c>
      <c r="N1202" s="8" t="e">
        <f ca="1">[1]!BexGetData("DP_1","003N8EMH8GTFRIVOG7KG9IX8U","GSON1112110243")</f>
        <v>#NAME?</v>
      </c>
      <c r="O1202" s="8" t="e">
        <f ca="1">[1]!BexGetData("DP_1","003N8EMH8GTFRIVOG7KG9J3KE","GSON1112110243")</f>
        <v>#NAME?</v>
      </c>
      <c r="P1202" s="8" t="e">
        <f ca="1">[1]!BexGetData("DP_1","003N8EMH8GTFRIVOG7KG9J9VY","GSON1112110243")</f>
        <v>#NAME?</v>
      </c>
      <c r="Q1202" s="4" t="e">
        <f ca="1">[1]!BexGetData("DP_1","00O2TNJGODT0G5Z4TTKYMM5MT","GSON1112110243")</f>
        <v>#NAME?</v>
      </c>
      <c r="R1202" s="4" t="e">
        <f ca="1">[1]!BexGetData("DP_1","00O2TNJGODT0G5Z4TTKYMMBYD","GSON1112110243")</f>
        <v>#NAME?</v>
      </c>
      <c r="S1202" s="4" t="e">
        <f ca="1">[1]!BexGetData("DP_1","00O2TNJGODT0G5Z4TTKYMMI9X","GSON1112110243")</f>
        <v>#NAME?</v>
      </c>
      <c r="T1202" s="4" t="e">
        <f ca="1">[1]!BexGetData("DP_1","00O2TNJGODT0G5Z4TTKYMMOLH","GSON1112110243")</f>
        <v>#NAME?</v>
      </c>
      <c r="U1202" s="4" t="e">
        <f ca="1">[1]!BexGetData("DP_1","00O2TNJGODT0G5Z4TTKYMMUX1","GSON1112110243")</f>
        <v>#NAME?</v>
      </c>
      <c r="V1202" s="4" t="e">
        <f ca="1">[1]!BexGetData("DP_1","00O2TNJGODT0G5Z4TTKYMN18L","GSON1112110243")</f>
        <v>#NAME?</v>
      </c>
      <c r="W1202" s="4" t="e">
        <f ca="1">[1]!BexGetData("DP_1","00O2TNJGODT0G5Z4TTKYMN7K5","GSON1112110243")</f>
        <v>#NAME?</v>
      </c>
    </row>
    <row r="1203" spans="1:23" x14ac:dyDescent="0.2">
      <c r="A1203" s="16" t="s">
        <v>3453</v>
      </c>
      <c r="B1203" s="7" t="s">
        <v>1129</v>
      </c>
      <c r="C1203" s="3" t="e">
        <f ca="1">[1]!BexGetData("DP_1","003N8EMH8GTFRCSWKMPXRR8GU","GSON1112110244")</f>
        <v>#NAME?</v>
      </c>
      <c r="D1203" s="3" t="e">
        <f ca="1">[1]!BexGetData("DP_1","003N8EMH8GTFRCSWKMPXRRESE","GSON1112110244")</f>
        <v>#NAME?</v>
      </c>
      <c r="E1203" s="3" t="e">
        <f ca="1">[1]!BexGetData("DP_1","003N8EMH8GTFRCSWKMPXRRL3Y","GSON1112110244")</f>
        <v>#NAME?</v>
      </c>
      <c r="F1203" s="4" t="e">
        <f ca="1">[1]!BexGetData("DP_1","003N8EMH8GTFRCSWKMPXRRRFI","GSON1112110244")</f>
        <v>#NAME?</v>
      </c>
      <c r="G1203" s="4" t="e">
        <f ca="1">[1]!BexGetData("DP_1","003N8EMH8GTFRCSWKMPXRRXR2","GSON1112110244")</f>
        <v>#NAME?</v>
      </c>
      <c r="H1203" s="4" t="e">
        <f ca="1">[1]!BexGetData("DP_1","003N8EMH8GTFRCSWKMPXRS42M","GSON1112110244")</f>
        <v>#NAME?</v>
      </c>
      <c r="I1203" s="4" t="e">
        <f ca="1">[1]!BexGetData("DP_1","003N8EMH8GTFRCSWKMPXRSAE6","GSON1112110244")</f>
        <v>#NAME?</v>
      </c>
      <c r="J1203" s="4" t="e">
        <f ca="1">[1]!BexGetData("DP_1","003N8EMH8GTFRCSWKMPXRSGPQ","GSON1112110244")</f>
        <v>#NAME?</v>
      </c>
      <c r="K1203" s="3" t="e">
        <f ca="1">[1]!BexGetData("DP_1","003N8EMH8GTFRIVNUPY288VJH","GSON1112110244")</f>
        <v>#NAME?</v>
      </c>
      <c r="L1203" s="3" t="e">
        <f ca="1">[1]!BexGetData("DP_1","003N8EMH8GTFRIVNUPY2891V1","GSON1112110244")</f>
        <v>#NAME?</v>
      </c>
      <c r="M1203" s="8" t="e">
        <f ca="1">[1]!BexGetData("DP_1","003N8EMH8GTFRIVOG7KG9IQXA","GSON1112110244")</f>
        <v>#NAME?</v>
      </c>
      <c r="N1203" s="3" t="e">
        <f ca="1">[1]!BexGetData("DP_1","003N8EMH8GTFRIVOG7KG9IX8U","GSON1112110244")</f>
        <v>#NAME?</v>
      </c>
      <c r="O1203" s="8" t="e">
        <f ca="1">[1]!BexGetData("DP_1","003N8EMH8GTFRIVOG7KG9J3KE","GSON1112110244")</f>
        <v>#NAME?</v>
      </c>
      <c r="P1203" s="3" t="e">
        <f ca="1">[1]!BexGetData("DP_1","003N8EMH8GTFRIVOG7KG9J9VY","GSON1112110244")</f>
        <v>#NAME?</v>
      </c>
      <c r="Q1203" s="4" t="e">
        <f ca="1">[1]!BexGetData("DP_1","00O2TNJGODT0G5Z4TTKYMM5MT","GSON1112110244")</f>
        <v>#NAME?</v>
      </c>
      <c r="R1203" s="4" t="e">
        <f ca="1">[1]!BexGetData("DP_1","00O2TNJGODT0G5Z4TTKYMMBYD","GSON1112110244")</f>
        <v>#NAME?</v>
      </c>
      <c r="S1203" s="4" t="e">
        <f ca="1">[1]!BexGetData("DP_1","00O2TNJGODT0G5Z4TTKYMMI9X","GSON1112110244")</f>
        <v>#NAME?</v>
      </c>
      <c r="T1203" s="4" t="e">
        <f ca="1">[1]!BexGetData("DP_1","00O2TNJGODT0G5Z4TTKYMMOLH","GSON1112110244")</f>
        <v>#NAME?</v>
      </c>
      <c r="U1203" s="4" t="e">
        <f ca="1">[1]!BexGetData("DP_1","00O2TNJGODT0G5Z4TTKYMMUX1","GSON1112110244")</f>
        <v>#NAME?</v>
      </c>
      <c r="V1203" s="4" t="e">
        <f ca="1">[1]!BexGetData("DP_1","00O2TNJGODT0G5Z4TTKYMN18L","GSON1112110244")</f>
        <v>#NAME?</v>
      </c>
      <c r="W1203" s="4" t="e">
        <f ca="1">[1]!BexGetData("DP_1","00O2TNJGODT0G5Z4TTKYMN7K5","GSON1112110244")</f>
        <v>#NAME?</v>
      </c>
    </row>
    <row r="1204" spans="1:23" x14ac:dyDescent="0.2">
      <c r="A1204" s="16" t="s">
        <v>3454</v>
      </c>
      <c r="B1204" s="7" t="s">
        <v>1130</v>
      </c>
      <c r="C1204" s="8" t="e">
        <f ca="1">[1]!BexGetData("DP_1","003N8EMH8GTFRCSWKMPXRR8GU","GSON1112110250")</f>
        <v>#NAME?</v>
      </c>
      <c r="D1204" s="3" t="e">
        <f ca="1">[1]!BexGetData("DP_1","003N8EMH8GTFRCSWKMPXRRESE","GSON1112110250")</f>
        <v>#NAME?</v>
      </c>
      <c r="E1204" s="8" t="e">
        <f ca="1">[1]!BexGetData("DP_1","003N8EMH8GTFRCSWKMPXRRL3Y","GSON1112110250")</f>
        <v>#NAME?</v>
      </c>
      <c r="F1204" s="3" t="e">
        <f ca="1">[1]!BexGetData("DP_1","003N8EMH8GTFRCSWKMPXRRRFI","GSON1112110250")</f>
        <v>#NAME?</v>
      </c>
      <c r="G1204" s="3" t="e">
        <f ca="1">[1]!BexGetData("DP_1","003N8EMH8GTFRCSWKMPXRRXR2","GSON1112110250")</f>
        <v>#NAME?</v>
      </c>
      <c r="H1204" s="8" t="e">
        <f ca="1">[1]!BexGetData("DP_1","003N8EMH8GTFRCSWKMPXRS42M","GSON1112110250")</f>
        <v>#NAME?</v>
      </c>
      <c r="I1204" s="3" t="e">
        <f ca="1">[1]!BexGetData("DP_1","003N8EMH8GTFRCSWKMPXRSAE6","GSON1112110250")</f>
        <v>#NAME?</v>
      </c>
      <c r="J1204" s="4" t="e">
        <f ca="1">[1]!BexGetData("DP_1","003N8EMH8GTFRCSWKMPXRSGPQ","GSON1112110250")</f>
        <v>#NAME?</v>
      </c>
      <c r="K1204" s="3" t="e">
        <f ca="1">[1]!BexGetData("DP_1","003N8EMH8GTFRIVNUPY288VJH","GSON1112110250")</f>
        <v>#NAME?</v>
      </c>
      <c r="L1204" s="3" t="e">
        <f ca="1">[1]!BexGetData("DP_1","003N8EMH8GTFRIVNUPY2891V1","GSON1112110250")</f>
        <v>#NAME?</v>
      </c>
      <c r="M1204" s="3" t="e">
        <f ca="1">[1]!BexGetData("DP_1","003N8EMH8GTFRIVOG7KG9IQXA","GSON1112110250")</f>
        <v>#NAME?</v>
      </c>
      <c r="N1204" s="8" t="e">
        <f ca="1">[1]!BexGetData("DP_1","003N8EMH8GTFRIVOG7KG9IX8U","GSON1112110250")</f>
        <v>#NAME?</v>
      </c>
      <c r="O1204" s="3" t="e">
        <f ca="1">[1]!BexGetData("DP_1","003N8EMH8GTFRIVOG7KG9J3KE","GSON1112110250")</f>
        <v>#NAME?</v>
      </c>
      <c r="P1204" s="8" t="e">
        <f ca="1">[1]!BexGetData("DP_1","003N8EMH8GTFRIVOG7KG9J9VY","GSON1112110250")</f>
        <v>#NAME?</v>
      </c>
      <c r="Q1204" s="4" t="e">
        <f ca="1">[1]!BexGetData("DP_1","00O2TNJGODT0G5Z4TTKYMM5MT","GSON1112110250")</f>
        <v>#NAME?</v>
      </c>
      <c r="R1204" s="3" t="e">
        <f ca="1">[1]!BexGetData("DP_1","00O2TNJGODT0G5Z4TTKYMMBYD","GSON1112110250")</f>
        <v>#NAME?</v>
      </c>
      <c r="S1204" s="3" t="e">
        <f ca="1">[1]!BexGetData("DP_1","00O2TNJGODT0G5Z4TTKYMMI9X","GSON1112110250")</f>
        <v>#NAME?</v>
      </c>
      <c r="T1204" s="8" t="e">
        <f ca="1">[1]!BexGetData("DP_1","00O2TNJGODT0G5Z4TTKYMMOLH","GSON1112110250")</f>
        <v>#NAME?</v>
      </c>
      <c r="U1204" s="3" t="e">
        <f ca="1">[1]!BexGetData("DP_1","00O2TNJGODT0G5Z4TTKYMMUX1","GSON1112110250")</f>
        <v>#NAME?</v>
      </c>
      <c r="V1204" s="8" t="e">
        <f ca="1">[1]!BexGetData("DP_1","00O2TNJGODT0G5Z4TTKYMN18L","GSON1112110250")</f>
        <v>#NAME?</v>
      </c>
      <c r="W1204" s="3" t="e">
        <f ca="1">[1]!BexGetData("DP_1","00O2TNJGODT0G5Z4TTKYMN7K5","GSON1112110250")</f>
        <v>#NAME?</v>
      </c>
    </row>
    <row r="1205" spans="1:23" x14ac:dyDescent="0.2">
      <c r="A1205" s="16" t="s">
        <v>1131</v>
      </c>
      <c r="B1205" s="7" t="s">
        <v>1132</v>
      </c>
      <c r="C1205" s="3" t="e">
        <f ca="1">[1]!BexGetData("DP_1","003N8EMH8GTFRCSWKMPXRR8GU","GSON1112110253")</f>
        <v>#NAME?</v>
      </c>
      <c r="D1205" s="3" t="e">
        <f ca="1">[1]!BexGetData("DP_1","003N8EMH8GTFRCSWKMPXRRESE","GSON1112110253")</f>
        <v>#NAME?</v>
      </c>
      <c r="E1205" s="8" t="e">
        <f ca="1">[1]!BexGetData("DP_1","003N8EMH8GTFRCSWKMPXRRL3Y","GSON1112110253")</f>
        <v>#NAME?</v>
      </c>
      <c r="F1205" s="4" t="e">
        <f ca="1">[1]!BexGetData("DP_1","003N8EMH8GTFRCSWKMPXRRRFI","GSON1112110253")</f>
        <v>#NAME?</v>
      </c>
      <c r="G1205" s="4" t="e">
        <f ca="1">[1]!BexGetData("DP_1","003N8EMH8GTFRCSWKMPXRRXR2","GSON1112110253")</f>
        <v>#NAME?</v>
      </c>
      <c r="H1205" s="4" t="e">
        <f ca="1">[1]!BexGetData("DP_1","003N8EMH8GTFRCSWKMPXRS42M","GSON1112110253")</f>
        <v>#NAME?</v>
      </c>
      <c r="I1205" s="4" t="e">
        <f ca="1">[1]!BexGetData("DP_1","003N8EMH8GTFRCSWKMPXRSAE6","GSON1112110253")</f>
        <v>#NAME?</v>
      </c>
      <c r="J1205" s="4" t="e">
        <f ca="1">[1]!BexGetData("DP_1","003N8EMH8GTFRCSWKMPXRSGPQ","GSON1112110253")</f>
        <v>#NAME?</v>
      </c>
      <c r="K1205" s="8" t="e">
        <f ca="1">[1]!BexGetData("DP_1","003N8EMH8GTFRIVNUPY288VJH","GSON1112110253")</f>
        <v>#NAME?</v>
      </c>
      <c r="L1205" s="8" t="e">
        <f ca="1">[1]!BexGetData("DP_1","003N8EMH8GTFRIVNUPY2891V1","GSON1112110253")</f>
        <v>#NAME?</v>
      </c>
      <c r="M1205" s="8" t="e">
        <f ca="1">[1]!BexGetData("DP_1","003N8EMH8GTFRIVOG7KG9IQXA","GSON1112110253")</f>
        <v>#NAME?</v>
      </c>
      <c r="N1205" s="8" t="e">
        <f ca="1">[1]!BexGetData("DP_1","003N8EMH8GTFRIVOG7KG9IX8U","GSON1112110253")</f>
        <v>#NAME?</v>
      </c>
      <c r="O1205" s="8" t="e">
        <f ca="1">[1]!BexGetData("DP_1","003N8EMH8GTFRIVOG7KG9J3KE","GSON1112110253")</f>
        <v>#NAME?</v>
      </c>
      <c r="P1205" s="8" t="e">
        <f ca="1">[1]!BexGetData("DP_1","003N8EMH8GTFRIVOG7KG9J9VY","GSON1112110253")</f>
        <v>#NAME?</v>
      </c>
      <c r="Q1205" s="4" t="e">
        <f ca="1">[1]!BexGetData("DP_1","00O2TNJGODT0G5Z4TTKYMM5MT","GSON1112110253")</f>
        <v>#NAME?</v>
      </c>
      <c r="R1205" s="4" t="e">
        <f ca="1">[1]!BexGetData("DP_1","00O2TNJGODT0G5Z4TTKYMMBYD","GSON1112110253")</f>
        <v>#NAME?</v>
      </c>
      <c r="S1205" s="4" t="e">
        <f ca="1">[1]!BexGetData("DP_1","00O2TNJGODT0G5Z4TTKYMMI9X","GSON1112110253")</f>
        <v>#NAME?</v>
      </c>
      <c r="T1205" s="4" t="e">
        <f ca="1">[1]!BexGetData("DP_1","00O2TNJGODT0G5Z4TTKYMMOLH","GSON1112110253")</f>
        <v>#NAME?</v>
      </c>
      <c r="U1205" s="4" t="e">
        <f ca="1">[1]!BexGetData("DP_1","00O2TNJGODT0G5Z4TTKYMMUX1","GSON1112110253")</f>
        <v>#NAME?</v>
      </c>
      <c r="V1205" s="4" t="e">
        <f ca="1">[1]!BexGetData("DP_1","00O2TNJGODT0G5Z4TTKYMN18L","GSON1112110253")</f>
        <v>#NAME?</v>
      </c>
      <c r="W1205" s="4" t="e">
        <f ca="1">[1]!BexGetData("DP_1","00O2TNJGODT0G5Z4TTKYMN7K5","GSON1112110253")</f>
        <v>#NAME?</v>
      </c>
    </row>
    <row r="1206" spans="1:23" x14ac:dyDescent="0.2">
      <c r="A1206" s="16" t="s">
        <v>3455</v>
      </c>
      <c r="B1206" s="7" t="s">
        <v>1133</v>
      </c>
      <c r="C1206" s="8" t="e">
        <f ca="1">[1]!BexGetData("DP_1","003N8EMH8GTFRCSWKMPXRR8GU","GSON1112110260")</f>
        <v>#NAME?</v>
      </c>
      <c r="D1206" s="3" t="e">
        <f ca="1">[1]!BexGetData("DP_1","003N8EMH8GTFRCSWKMPXRRESE","GSON1112110260")</f>
        <v>#NAME?</v>
      </c>
      <c r="E1206" s="8" t="e">
        <f ca="1">[1]!BexGetData("DP_1","003N8EMH8GTFRCSWKMPXRRL3Y","GSON1112110260")</f>
        <v>#NAME?</v>
      </c>
      <c r="F1206" s="3" t="e">
        <f ca="1">[1]!BexGetData("DP_1","003N8EMH8GTFRCSWKMPXRRRFI","GSON1112110260")</f>
        <v>#NAME?</v>
      </c>
      <c r="G1206" s="3" t="e">
        <f ca="1">[1]!BexGetData("DP_1","003N8EMH8GTFRCSWKMPXRRXR2","GSON1112110260")</f>
        <v>#NAME?</v>
      </c>
      <c r="H1206" s="8" t="e">
        <f ca="1">[1]!BexGetData("DP_1","003N8EMH8GTFRCSWKMPXRS42M","GSON1112110260")</f>
        <v>#NAME?</v>
      </c>
      <c r="I1206" s="3" t="e">
        <f ca="1">[1]!BexGetData("DP_1","003N8EMH8GTFRCSWKMPXRSAE6","GSON1112110260")</f>
        <v>#NAME?</v>
      </c>
      <c r="J1206" s="4" t="e">
        <f ca="1">[1]!BexGetData("DP_1","003N8EMH8GTFRCSWKMPXRSGPQ","GSON1112110260")</f>
        <v>#NAME?</v>
      </c>
      <c r="K1206" s="3" t="e">
        <f ca="1">[1]!BexGetData("DP_1","003N8EMH8GTFRIVNUPY288VJH","GSON1112110260")</f>
        <v>#NAME?</v>
      </c>
      <c r="L1206" s="3" t="e">
        <f ca="1">[1]!BexGetData("DP_1","003N8EMH8GTFRIVNUPY2891V1","GSON1112110260")</f>
        <v>#NAME?</v>
      </c>
      <c r="M1206" s="3" t="e">
        <f ca="1">[1]!BexGetData("DP_1","003N8EMH8GTFRIVOG7KG9IQXA","GSON1112110260")</f>
        <v>#NAME?</v>
      </c>
      <c r="N1206" s="8" t="e">
        <f ca="1">[1]!BexGetData("DP_1","003N8EMH8GTFRIVOG7KG9IX8U","GSON1112110260")</f>
        <v>#NAME?</v>
      </c>
      <c r="O1206" s="3" t="e">
        <f ca="1">[1]!BexGetData("DP_1","003N8EMH8GTFRIVOG7KG9J3KE","GSON1112110260")</f>
        <v>#NAME?</v>
      </c>
      <c r="P1206" s="8" t="e">
        <f ca="1">[1]!BexGetData("DP_1","003N8EMH8GTFRIVOG7KG9J9VY","GSON1112110260")</f>
        <v>#NAME?</v>
      </c>
      <c r="Q1206" s="4" t="e">
        <f ca="1">[1]!BexGetData("DP_1","00O2TNJGODT0G5Z4TTKYMM5MT","GSON1112110260")</f>
        <v>#NAME?</v>
      </c>
      <c r="R1206" s="3" t="e">
        <f ca="1">[1]!BexGetData("DP_1","00O2TNJGODT0G5Z4TTKYMMBYD","GSON1112110260")</f>
        <v>#NAME?</v>
      </c>
      <c r="S1206" s="3" t="e">
        <f ca="1">[1]!BexGetData("DP_1","00O2TNJGODT0G5Z4TTKYMMI9X","GSON1112110260")</f>
        <v>#NAME?</v>
      </c>
      <c r="T1206" s="8" t="e">
        <f ca="1">[1]!BexGetData("DP_1","00O2TNJGODT0G5Z4TTKYMMOLH","GSON1112110260")</f>
        <v>#NAME?</v>
      </c>
      <c r="U1206" s="3" t="e">
        <f ca="1">[1]!BexGetData("DP_1","00O2TNJGODT0G5Z4TTKYMMUX1","GSON1112110260")</f>
        <v>#NAME?</v>
      </c>
      <c r="V1206" s="8" t="e">
        <f ca="1">[1]!BexGetData("DP_1","00O2TNJGODT0G5Z4TTKYMN18L","GSON1112110260")</f>
        <v>#NAME?</v>
      </c>
      <c r="W1206" s="3" t="e">
        <f ca="1">[1]!BexGetData("DP_1","00O2TNJGODT0G5Z4TTKYMN7K5","GSON1112110260")</f>
        <v>#NAME?</v>
      </c>
    </row>
    <row r="1207" spans="1:23" x14ac:dyDescent="0.2">
      <c r="A1207" s="16" t="s">
        <v>1134</v>
      </c>
      <c r="B1207" s="7" t="s">
        <v>1135</v>
      </c>
      <c r="C1207" s="3" t="e">
        <f ca="1">[1]!BexGetData("DP_1","003N8EMH8GTFRCSWKMPXRR8GU","GSON1112110263")</f>
        <v>#NAME?</v>
      </c>
      <c r="D1207" s="3" t="e">
        <f ca="1">[1]!BexGetData("DP_1","003N8EMH8GTFRCSWKMPXRRESE","GSON1112110263")</f>
        <v>#NAME?</v>
      </c>
      <c r="E1207" s="8" t="e">
        <f ca="1">[1]!BexGetData("DP_1","003N8EMH8GTFRCSWKMPXRRL3Y","GSON1112110263")</f>
        <v>#NAME?</v>
      </c>
      <c r="F1207" s="4" t="e">
        <f ca="1">[1]!BexGetData("DP_1","003N8EMH8GTFRCSWKMPXRRRFI","GSON1112110263")</f>
        <v>#NAME?</v>
      </c>
      <c r="G1207" s="4" t="e">
        <f ca="1">[1]!BexGetData("DP_1","003N8EMH8GTFRCSWKMPXRRXR2","GSON1112110263")</f>
        <v>#NAME?</v>
      </c>
      <c r="H1207" s="4" t="e">
        <f ca="1">[1]!BexGetData("DP_1","003N8EMH8GTFRCSWKMPXRS42M","GSON1112110263")</f>
        <v>#NAME?</v>
      </c>
      <c r="I1207" s="4" t="e">
        <f ca="1">[1]!BexGetData("DP_1","003N8EMH8GTFRCSWKMPXRSAE6","GSON1112110263")</f>
        <v>#NAME?</v>
      </c>
      <c r="J1207" s="4" t="e">
        <f ca="1">[1]!BexGetData("DP_1","003N8EMH8GTFRCSWKMPXRSGPQ","GSON1112110263")</f>
        <v>#NAME?</v>
      </c>
      <c r="K1207" s="8" t="e">
        <f ca="1">[1]!BexGetData("DP_1","003N8EMH8GTFRIVNUPY288VJH","GSON1112110263")</f>
        <v>#NAME?</v>
      </c>
      <c r="L1207" s="8" t="e">
        <f ca="1">[1]!BexGetData("DP_1","003N8EMH8GTFRIVNUPY2891V1","GSON1112110263")</f>
        <v>#NAME?</v>
      </c>
      <c r="M1207" s="8" t="e">
        <f ca="1">[1]!BexGetData("DP_1","003N8EMH8GTFRIVOG7KG9IQXA","GSON1112110263")</f>
        <v>#NAME?</v>
      </c>
      <c r="N1207" s="8" t="e">
        <f ca="1">[1]!BexGetData("DP_1","003N8EMH8GTFRIVOG7KG9IX8U","GSON1112110263")</f>
        <v>#NAME?</v>
      </c>
      <c r="O1207" s="8" t="e">
        <f ca="1">[1]!BexGetData("DP_1","003N8EMH8GTFRIVOG7KG9J3KE","GSON1112110263")</f>
        <v>#NAME?</v>
      </c>
      <c r="P1207" s="8" t="e">
        <f ca="1">[1]!BexGetData("DP_1","003N8EMH8GTFRIVOG7KG9J9VY","GSON1112110263")</f>
        <v>#NAME?</v>
      </c>
      <c r="Q1207" s="4" t="e">
        <f ca="1">[1]!BexGetData("DP_1","00O2TNJGODT0G5Z4TTKYMM5MT","GSON1112110263")</f>
        <v>#NAME?</v>
      </c>
      <c r="R1207" s="4" t="e">
        <f ca="1">[1]!BexGetData("DP_1","00O2TNJGODT0G5Z4TTKYMMBYD","GSON1112110263")</f>
        <v>#NAME?</v>
      </c>
      <c r="S1207" s="4" t="e">
        <f ca="1">[1]!BexGetData("DP_1","00O2TNJGODT0G5Z4TTKYMMI9X","GSON1112110263")</f>
        <v>#NAME?</v>
      </c>
      <c r="T1207" s="4" t="e">
        <f ca="1">[1]!BexGetData("DP_1","00O2TNJGODT0G5Z4TTKYMMOLH","GSON1112110263")</f>
        <v>#NAME?</v>
      </c>
      <c r="U1207" s="4" t="e">
        <f ca="1">[1]!BexGetData("DP_1","00O2TNJGODT0G5Z4TTKYMMUX1","GSON1112110263")</f>
        <v>#NAME?</v>
      </c>
      <c r="V1207" s="4" t="e">
        <f ca="1">[1]!BexGetData("DP_1","00O2TNJGODT0G5Z4TTKYMN18L","GSON1112110263")</f>
        <v>#NAME?</v>
      </c>
      <c r="W1207" s="4" t="e">
        <f ca="1">[1]!BexGetData("DP_1","00O2TNJGODT0G5Z4TTKYMN7K5","GSON1112110263")</f>
        <v>#NAME?</v>
      </c>
    </row>
    <row r="1208" spans="1:23" x14ac:dyDescent="0.2">
      <c r="A1208" s="16" t="s">
        <v>3456</v>
      </c>
      <c r="B1208" s="7" t="s">
        <v>3457</v>
      </c>
      <c r="C1208" s="3" t="e">
        <f ca="1">[1]!BexGetData("DP_1","003N8EMH8GTFRCSWKMPXRR8GU","GSON1112110270")</f>
        <v>#NAME?</v>
      </c>
      <c r="D1208" s="3" t="e">
        <f ca="1">[1]!BexGetData("DP_1","003N8EMH8GTFRCSWKMPXRRESE","GSON1112110270")</f>
        <v>#NAME?</v>
      </c>
      <c r="E1208" s="3" t="e">
        <f ca="1">[1]!BexGetData("DP_1","003N8EMH8GTFRCSWKMPXRRL3Y","GSON1112110270")</f>
        <v>#NAME?</v>
      </c>
      <c r="F1208" s="3" t="e">
        <f ca="1">[1]!BexGetData("DP_1","003N8EMH8GTFRCSWKMPXRRRFI","GSON1112110270")</f>
        <v>#NAME?</v>
      </c>
      <c r="G1208" s="3" t="e">
        <f ca="1">[1]!BexGetData("DP_1","003N8EMH8GTFRCSWKMPXRRXR2","GSON1112110270")</f>
        <v>#NAME?</v>
      </c>
      <c r="H1208" s="8" t="e">
        <f ca="1">[1]!BexGetData("DP_1","003N8EMH8GTFRCSWKMPXRS42M","GSON1112110270")</f>
        <v>#NAME?</v>
      </c>
      <c r="I1208" s="3" t="e">
        <f ca="1">[1]!BexGetData("DP_1","003N8EMH8GTFRCSWKMPXRSAE6","GSON1112110270")</f>
        <v>#NAME?</v>
      </c>
      <c r="J1208" s="4" t="e">
        <f ca="1">[1]!BexGetData("DP_1","003N8EMH8GTFRCSWKMPXRSGPQ","GSON1112110270")</f>
        <v>#NAME?</v>
      </c>
      <c r="K1208" s="3" t="e">
        <f ca="1">[1]!BexGetData("DP_1","003N8EMH8GTFRIVNUPY288VJH","GSON1112110270")</f>
        <v>#NAME?</v>
      </c>
      <c r="L1208" s="3" t="e">
        <f ca="1">[1]!BexGetData("DP_1","003N8EMH8GTFRIVNUPY2891V1","GSON1112110270")</f>
        <v>#NAME?</v>
      </c>
      <c r="M1208" s="3" t="e">
        <f ca="1">[1]!BexGetData("DP_1","003N8EMH8GTFRIVOG7KG9IQXA","GSON1112110270")</f>
        <v>#NAME?</v>
      </c>
      <c r="N1208" s="8" t="e">
        <f ca="1">[1]!BexGetData("DP_1","003N8EMH8GTFRIVOG7KG9IX8U","GSON1112110270")</f>
        <v>#NAME?</v>
      </c>
      <c r="O1208" s="3" t="e">
        <f ca="1">[1]!BexGetData("DP_1","003N8EMH8GTFRIVOG7KG9J3KE","GSON1112110270")</f>
        <v>#NAME?</v>
      </c>
      <c r="P1208" s="8" t="e">
        <f ca="1">[1]!BexGetData("DP_1","003N8EMH8GTFRIVOG7KG9J9VY","GSON1112110270")</f>
        <v>#NAME?</v>
      </c>
      <c r="Q1208" s="4" t="e">
        <f ca="1">[1]!BexGetData("DP_1","00O2TNJGODT0G5Z4TTKYMM5MT","GSON1112110270")</f>
        <v>#NAME?</v>
      </c>
      <c r="R1208" s="3" t="e">
        <f ca="1">[1]!BexGetData("DP_1","00O2TNJGODT0G5Z4TTKYMMBYD","GSON1112110270")</f>
        <v>#NAME?</v>
      </c>
      <c r="S1208" s="3" t="e">
        <f ca="1">[1]!BexGetData("DP_1","00O2TNJGODT0G5Z4TTKYMMI9X","GSON1112110270")</f>
        <v>#NAME?</v>
      </c>
      <c r="T1208" s="8" t="e">
        <f ca="1">[1]!BexGetData("DP_1","00O2TNJGODT0G5Z4TTKYMMOLH","GSON1112110270")</f>
        <v>#NAME?</v>
      </c>
      <c r="U1208" s="3" t="e">
        <f ca="1">[1]!BexGetData("DP_1","00O2TNJGODT0G5Z4TTKYMMUX1","GSON1112110270")</f>
        <v>#NAME?</v>
      </c>
      <c r="V1208" s="8" t="e">
        <f ca="1">[1]!BexGetData("DP_1","00O2TNJGODT0G5Z4TTKYMN18L","GSON1112110270")</f>
        <v>#NAME?</v>
      </c>
      <c r="W1208" s="3" t="e">
        <f ca="1">[1]!BexGetData("DP_1","00O2TNJGODT0G5Z4TTKYMN7K5","GSON1112110270")</f>
        <v>#NAME?</v>
      </c>
    </row>
    <row r="1209" spans="1:23" x14ac:dyDescent="0.2">
      <c r="A1209" s="16" t="s">
        <v>3458</v>
      </c>
      <c r="B1209" s="7" t="s">
        <v>3459</v>
      </c>
      <c r="C1209" s="3" t="e">
        <f ca="1">[1]!BexGetData("DP_1","003N8EMH8GTFRCSWKMPXRR8GU","GSON1112110271")</f>
        <v>#NAME?</v>
      </c>
      <c r="D1209" s="3" t="e">
        <f ca="1">[1]!BexGetData("DP_1","003N8EMH8GTFRCSWKMPXRRESE","GSON1112110271")</f>
        <v>#NAME?</v>
      </c>
      <c r="E1209" s="8" t="e">
        <f ca="1">[1]!BexGetData("DP_1","003N8EMH8GTFRCSWKMPXRRL3Y","GSON1112110271")</f>
        <v>#NAME?</v>
      </c>
      <c r="F1209" s="4" t="e">
        <f ca="1">[1]!BexGetData("DP_1","003N8EMH8GTFRCSWKMPXRRRFI","GSON1112110271")</f>
        <v>#NAME?</v>
      </c>
      <c r="G1209" s="4" t="e">
        <f ca="1">[1]!BexGetData("DP_1","003N8EMH8GTFRCSWKMPXRRXR2","GSON1112110271")</f>
        <v>#NAME?</v>
      </c>
      <c r="H1209" s="4" t="e">
        <f ca="1">[1]!BexGetData("DP_1","003N8EMH8GTFRCSWKMPXRS42M","GSON1112110271")</f>
        <v>#NAME?</v>
      </c>
      <c r="I1209" s="4" t="e">
        <f ca="1">[1]!BexGetData("DP_1","003N8EMH8GTFRCSWKMPXRSAE6","GSON1112110271")</f>
        <v>#NAME?</v>
      </c>
      <c r="J1209" s="4" t="e">
        <f ca="1">[1]!BexGetData("DP_1","003N8EMH8GTFRCSWKMPXRSGPQ","GSON1112110271")</f>
        <v>#NAME?</v>
      </c>
      <c r="K1209" s="8" t="e">
        <f ca="1">[1]!BexGetData("DP_1","003N8EMH8GTFRIVNUPY288VJH","GSON1112110271")</f>
        <v>#NAME?</v>
      </c>
      <c r="L1209" s="8" t="e">
        <f ca="1">[1]!BexGetData("DP_1","003N8EMH8GTFRIVNUPY2891V1","GSON1112110271")</f>
        <v>#NAME?</v>
      </c>
      <c r="M1209" s="8" t="e">
        <f ca="1">[1]!BexGetData("DP_1","003N8EMH8GTFRIVOG7KG9IQXA","GSON1112110271")</f>
        <v>#NAME?</v>
      </c>
      <c r="N1209" s="8" t="e">
        <f ca="1">[1]!BexGetData("DP_1","003N8EMH8GTFRIVOG7KG9IX8U","GSON1112110271")</f>
        <v>#NAME?</v>
      </c>
      <c r="O1209" s="8" t="e">
        <f ca="1">[1]!BexGetData("DP_1","003N8EMH8GTFRIVOG7KG9J3KE","GSON1112110271")</f>
        <v>#NAME?</v>
      </c>
      <c r="P1209" s="8" t="e">
        <f ca="1">[1]!BexGetData("DP_1","003N8EMH8GTFRIVOG7KG9J9VY","GSON1112110271")</f>
        <v>#NAME?</v>
      </c>
      <c r="Q1209" s="4" t="e">
        <f ca="1">[1]!BexGetData("DP_1","00O2TNJGODT0G5Z4TTKYMM5MT","GSON1112110271")</f>
        <v>#NAME?</v>
      </c>
      <c r="R1209" s="4" t="e">
        <f ca="1">[1]!BexGetData("DP_1","00O2TNJGODT0G5Z4TTKYMMBYD","GSON1112110271")</f>
        <v>#NAME?</v>
      </c>
      <c r="S1209" s="4" t="e">
        <f ca="1">[1]!BexGetData("DP_1","00O2TNJGODT0G5Z4TTKYMMI9X","GSON1112110271")</f>
        <v>#NAME?</v>
      </c>
      <c r="T1209" s="4" t="e">
        <f ca="1">[1]!BexGetData("DP_1","00O2TNJGODT0G5Z4TTKYMMOLH","GSON1112110271")</f>
        <v>#NAME?</v>
      </c>
      <c r="U1209" s="4" t="e">
        <f ca="1">[1]!BexGetData("DP_1","00O2TNJGODT0G5Z4TTKYMMUX1","GSON1112110271")</f>
        <v>#NAME?</v>
      </c>
      <c r="V1209" s="4" t="e">
        <f ca="1">[1]!BexGetData("DP_1","00O2TNJGODT0G5Z4TTKYMN18L","GSON1112110271")</f>
        <v>#NAME?</v>
      </c>
      <c r="W1209" s="4" t="e">
        <f ca="1">[1]!BexGetData("DP_1","00O2TNJGODT0G5Z4TTKYMN7K5","GSON1112110271")</f>
        <v>#NAME?</v>
      </c>
    </row>
    <row r="1210" spans="1:23" x14ac:dyDescent="0.2">
      <c r="A1210" s="16" t="s">
        <v>3460</v>
      </c>
      <c r="B1210" s="7" t="s">
        <v>3461</v>
      </c>
      <c r="C1210" s="3" t="e">
        <f ca="1">[1]!BexGetData("DP_1","003N8EMH8GTFRCSWKMPXRR8GU","GSON1112110274")</f>
        <v>#NAME?</v>
      </c>
      <c r="D1210" s="3" t="e">
        <f ca="1">[1]!BexGetData("DP_1","003N8EMH8GTFRCSWKMPXRRESE","GSON1112110274")</f>
        <v>#NAME?</v>
      </c>
      <c r="E1210" s="8" t="e">
        <f ca="1">[1]!BexGetData("DP_1","003N8EMH8GTFRCSWKMPXRRL3Y","GSON1112110274")</f>
        <v>#NAME?</v>
      </c>
      <c r="F1210" s="4" t="e">
        <f ca="1">[1]!BexGetData("DP_1","003N8EMH8GTFRCSWKMPXRRRFI","GSON1112110274")</f>
        <v>#NAME?</v>
      </c>
      <c r="G1210" s="4" t="e">
        <f ca="1">[1]!BexGetData("DP_1","003N8EMH8GTFRCSWKMPXRRXR2","GSON1112110274")</f>
        <v>#NAME?</v>
      </c>
      <c r="H1210" s="4" t="e">
        <f ca="1">[1]!BexGetData("DP_1","003N8EMH8GTFRCSWKMPXRS42M","GSON1112110274")</f>
        <v>#NAME?</v>
      </c>
      <c r="I1210" s="4" t="e">
        <f ca="1">[1]!BexGetData("DP_1","003N8EMH8GTFRCSWKMPXRSAE6","GSON1112110274")</f>
        <v>#NAME?</v>
      </c>
      <c r="J1210" s="4" t="e">
        <f ca="1">[1]!BexGetData("DP_1","003N8EMH8GTFRCSWKMPXRSGPQ","GSON1112110274")</f>
        <v>#NAME?</v>
      </c>
      <c r="K1210" s="8" t="e">
        <f ca="1">[1]!BexGetData("DP_1","003N8EMH8GTFRIVNUPY288VJH","GSON1112110274")</f>
        <v>#NAME?</v>
      </c>
      <c r="L1210" s="8" t="e">
        <f ca="1">[1]!BexGetData("DP_1","003N8EMH8GTFRIVNUPY2891V1","GSON1112110274")</f>
        <v>#NAME?</v>
      </c>
      <c r="M1210" s="8" t="e">
        <f ca="1">[1]!BexGetData("DP_1","003N8EMH8GTFRIVOG7KG9IQXA","GSON1112110274")</f>
        <v>#NAME?</v>
      </c>
      <c r="N1210" s="8" t="e">
        <f ca="1">[1]!BexGetData("DP_1","003N8EMH8GTFRIVOG7KG9IX8U","GSON1112110274")</f>
        <v>#NAME?</v>
      </c>
      <c r="O1210" s="8" t="e">
        <f ca="1">[1]!BexGetData("DP_1","003N8EMH8GTFRIVOG7KG9J3KE","GSON1112110274")</f>
        <v>#NAME?</v>
      </c>
      <c r="P1210" s="8" t="e">
        <f ca="1">[1]!BexGetData("DP_1","003N8EMH8GTFRIVOG7KG9J9VY","GSON1112110274")</f>
        <v>#NAME?</v>
      </c>
      <c r="Q1210" s="4" t="e">
        <f ca="1">[1]!BexGetData("DP_1","00O2TNJGODT0G5Z4TTKYMM5MT","GSON1112110274")</f>
        <v>#NAME?</v>
      </c>
      <c r="R1210" s="4" t="e">
        <f ca="1">[1]!BexGetData("DP_1","00O2TNJGODT0G5Z4TTKYMMBYD","GSON1112110274")</f>
        <v>#NAME?</v>
      </c>
      <c r="S1210" s="4" t="e">
        <f ca="1">[1]!BexGetData("DP_1","00O2TNJGODT0G5Z4TTKYMMI9X","GSON1112110274")</f>
        <v>#NAME?</v>
      </c>
      <c r="T1210" s="4" t="e">
        <f ca="1">[1]!BexGetData("DP_1","00O2TNJGODT0G5Z4TTKYMMOLH","GSON1112110274")</f>
        <v>#NAME?</v>
      </c>
      <c r="U1210" s="4" t="e">
        <f ca="1">[1]!BexGetData("DP_1","00O2TNJGODT0G5Z4TTKYMMUX1","GSON1112110274")</f>
        <v>#NAME?</v>
      </c>
      <c r="V1210" s="4" t="e">
        <f ca="1">[1]!BexGetData("DP_1","00O2TNJGODT0G5Z4TTKYMN18L","GSON1112110274")</f>
        <v>#NAME?</v>
      </c>
      <c r="W1210" s="4" t="e">
        <f ca="1">[1]!BexGetData("DP_1","00O2TNJGODT0G5Z4TTKYMN7K5","GSON1112110274")</f>
        <v>#NAME?</v>
      </c>
    </row>
    <row r="1211" spans="1:23" x14ac:dyDescent="0.2">
      <c r="A1211" s="16" t="s">
        <v>3462</v>
      </c>
      <c r="B1211" s="7" t="s">
        <v>3463</v>
      </c>
      <c r="C1211" s="3" t="e">
        <f ca="1">[1]!BexGetData("DP_1","003N8EMH8GTFRCSWKMPXRR8GU","GSON1112110275")</f>
        <v>#NAME?</v>
      </c>
      <c r="D1211" s="3" t="e">
        <f ca="1">[1]!BexGetData("DP_1","003N8EMH8GTFRCSWKMPXRRESE","GSON1112110275")</f>
        <v>#NAME?</v>
      </c>
      <c r="E1211" s="8" t="e">
        <f ca="1">[1]!BexGetData("DP_1","003N8EMH8GTFRCSWKMPXRRL3Y","GSON1112110275")</f>
        <v>#NAME?</v>
      </c>
      <c r="F1211" s="4" t="e">
        <f ca="1">[1]!BexGetData("DP_1","003N8EMH8GTFRCSWKMPXRRRFI","GSON1112110275")</f>
        <v>#NAME?</v>
      </c>
      <c r="G1211" s="4" t="e">
        <f ca="1">[1]!BexGetData("DP_1","003N8EMH8GTFRCSWKMPXRRXR2","GSON1112110275")</f>
        <v>#NAME?</v>
      </c>
      <c r="H1211" s="4" t="e">
        <f ca="1">[1]!BexGetData("DP_1","003N8EMH8GTFRCSWKMPXRS42M","GSON1112110275")</f>
        <v>#NAME?</v>
      </c>
      <c r="I1211" s="4" t="e">
        <f ca="1">[1]!BexGetData("DP_1","003N8EMH8GTFRCSWKMPXRSAE6","GSON1112110275")</f>
        <v>#NAME?</v>
      </c>
      <c r="J1211" s="4" t="e">
        <f ca="1">[1]!BexGetData("DP_1","003N8EMH8GTFRCSWKMPXRSGPQ","GSON1112110275")</f>
        <v>#NAME?</v>
      </c>
      <c r="K1211" s="8" t="e">
        <f ca="1">[1]!BexGetData("DP_1","003N8EMH8GTFRIVNUPY288VJH","GSON1112110275")</f>
        <v>#NAME?</v>
      </c>
      <c r="L1211" s="8" t="e">
        <f ca="1">[1]!BexGetData("DP_1","003N8EMH8GTFRIVNUPY2891V1","GSON1112110275")</f>
        <v>#NAME?</v>
      </c>
      <c r="M1211" s="8" t="e">
        <f ca="1">[1]!BexGetData("DP_1","003N8EMH8GTFRIVOG7KG9IQXA","GSON1112110275")</f>
        <v>#NAME?</v>
      </c>
      <c r="N1211" s="8" t="e">
        <f ca="1">[1]!BexGetData("DP_1","003N8EMH8GTFRIVOG7KG9IX8U","GSON1112110275")</f>
        <v>#NAME?</v>
      </c>
      <c r="O1211" s="8" t="e">
        <f ca="1">[1]!BexGetData("DP_1","003N8EMH8GTFRIVOG7KG9J3KE","GSON1112110275")</f>
        <v>#NAME?</v>
      </c>
      <c r="P1211" s="8" t="e">
        <f ca="1">[1]!BexGetData("DP_1","003N8EMH8GTFRIVOG7KG9J9VY","GSON1112110275")</f>
        <v>#NAME?</v>
      </c>
      <c r="Q1211" s="4" t="e">
        <f ca="1">[1]!BexGetData("DP_1","00O2TNJGODT0G5Z4TTKYMM5MT","GSON1112110275")</f>
        <v>#NAME?</v>
      </c>
      <c r="R1211" s="4" t="e">
        <f ca="1">[1]!BexGetData("DP_1","00O2TNJGODT0G5Z4TTKYMMBYD","GSON1112110275")</f>
        <v>#NAME?</v>
      </c>
      <c r="S1211" s="4" t="e">
        <f ca="1">[1]!BexGetData("DP_1","00O2TNJGODT0G5Z4TTKYMMI9X","GSON1112110275")</f>
        <v>#NAME?</v>
      </c>
      <c r="T1211" s="4" t="e">
        <f ca="1">[1]!BexGetData("DP_1","00O2TNJGODT0G5Z4TTKYMMOLH","GSON1112110275")</f>
        <v>#NAME?</v>
      </c>
      <c r="U1211" s="4" t="e">
        <f ca="1">[1]!BexGetData("DP_1","00O2TNJGODT0G5Z4TTKYMMUX1","GSON1112110275")</f>
        <v>#NAME?</v>
      </c>
      <c r="V1211" s="4" t="e">
        <f ca="1">[1]!BexGetData("DP_1","00O2TNJGODT0G5Z4TTKYMN18L","GSON1112110275")</f>
        <v>#NAME?</v>
      </c>
      <c r="W1211" s="4" t="e">
        <f ca="1">[1]!BexGetData("DP_1","00O2TNJGODT0G5Z4TTKYMN7K5","GSON1112110275")</f>
        <v>#NAME?</v>
      </c>
    </row>
    <row r="1212" spans="1:23" x14ac:dyDescent="0.2">
      <c r="A1212" s="16" t="s">
        <v>3464</v>
      </c>
      <c r="B1212" s="7" t="s">
        <v>3465</v>
      </c>
      <c r="C1212" s="3" t="e">
        <f ca="1">[1]!BexGetData("DP_1","003N8EMH8GTFRCSWKMPXRR8GU","GSON1112110280")</f>
        <v>#NAME?</v>
      </c>
      <c r="D1212" s="3" t="e">
        <f ca="1">[1]!BexGetData("DP_1","003N8EMH8GTFRCSWKMPXRRESE","GSON1112110280")</f>
        <v>#NAME?</v>
      </c>
      <c r="E1212" s="3" t="e">
        <f ca="1">[1]!BexGetData("DP_1","003N8EMH8GTFRCSWKMPXRRL3Y","GSON1112110280")</f>
        <v>#NAME?</v>
      </c>
      <c r="F1212" s="3" t="e">
        <f ca="1">[1]!BexGetData("DP_1","003N8EMH8GTFRCSWKMPXRRRFI","GSON1112110280")</f>
        <v>#NAME?</v>
      </c>
      <c r="G1212" s="3" t="e">
        <f ca="1">[1]!BexGetData("DP_1","003N8EMH8GTFRCSWKMPXRRXR2","GSON1112110280")</f>
        <v>#NAME?</v>
      </c>
      <c r="H1212" s="8" t="e">
        <f ca="1">[1]!BexGetData("DP_1","003N8EMH8GTFRCSWKMPXRS42M","GSON1112110280")</f>
        <v>#NAME?</v>
      </c>
      <c r="I1212" s="3" t="e">
        <f ca="1">[1]!BexGetData("DP_1","003N8EMH8GTFRCSWKMPXRSAE6","GSON1112110280")</f>
        <v>#NAME?</v>
      </c>
      <c r="J1212" s="4" t="e">
        <f ca="1">[1]!BexGetData("DP_1","003N8EMH8GTFRCSWKMPXRSGPQ","GSON1112110280")</f>
        <v>#NAME?</v>
      </c>
      <c r="K1212" s="3" t="e">
        <f ca="1">[1]!BexGetData("DP_1","003N8EMH8GTFRIVNUPY288VJH","GSON1112110280")</f>
        <v>#NAME?</v>
      </c>
      <c r="L1212" s="3" t="e">
        <f ca="1">[1]!BexGetData("DP_1","003N8EMH8GTFRIVNUPY2891V1","GSON1112110280")</f>
        <v>#NAME?</v>
      </c>
      <c r="M1212" s="3" t="e">
        <f ca="1">[1]!BexGetData("DP_1","003N8EMH8GTFRIVOG7KG9IQXA","GSON1112110280")</f>
        <v>#NAME?</v>
      </c>
      <c r="N1212" s="8" t="e">
        <f ca="1">[1]!BexGetData("DP_1","003N8EMH8GTFRIVOG7KG9IX8U","GSON1112110280")</f>
        <v>#NAME?</v>
      </c>
      <c r="O1212" s="3" t="e">
        <f ca="1">[1]!BexGetData("DP_1","003N8EMH8GTFRIVOG7KG9J3KE","GSON1112110280")</f>
        <v>#NAME?</v>
      </c>
      <c r="P1212" s="8" t="e">
        <f ca="1">[1]!BexGetData("DP_1","003N8EMH8GTFRIVOG7KG9J9VY","GSON1112110280")</f>
        <v>#NAME?</v>
      </c>
      <c r="Q1212" s="4" t="e">
        <f ca="1">[1]!BexGetData("DP_1","00O2TNJGODT0G5Z4TTKYMM5MT","GSON1112110280")</f>
        <v>#NAME?</v>
      </c>
      <c r="R1212" s="3" t="e">
        <f ca="1">[1]!BexGetData("DP_1","00O2TNJGODT0G5Z4TTKYMMBYD","GSON1112110280")</f>
        <v>#NAME?</v>
      </c>
      <c r="S1212" s="3" t="e">
        <f ca="1">[1]!BexGetData("DP_1","00O2TNJGODT0G5Z4TTKYMMI9X","GSON1112110280")</f>
        <v>#NAME?</v>
      </c>
      <c r="T1212" s="8" t="e">
        <f ca="1">[1]!BexGetData("DP_1","00O2TNJGODT0G5Z4TTKYMMOLH","GSON1112110280")</f>
        <v>#NAME?</v>
      </c>
      <c r="U1212" s="3" t="e">
        <f ca="1">[1]!BexGetData("DP_1","00O2TNJGODT0G5Z4TTKYMMUX1","GSON1112110280")</f>
        <v>#NAME?</v>
      </c>
      <c r="V1212" s="8" t="e">
        <f ca="1">[1]!BexGetData("DP_1","00O2TNJGODT0G5Z4TTKYMN18L","GSON1112110280")</f>
        <v>#NAME?</v>
      </c>
      <c r="W1212" s="3" t="e">
        <f ca="1">[1]!BexGetData("DP_1","00O2TNJGODT0G5Z4TTKYMN7K5","GSON1112110280")</f>
        <v>#NAME?</v>
      </c>
    </row>
    <row r="1213" spans="1:23" x14ac:dyDescent="0.2">
      <c r="A1213" s="16" t="s">
        <v>3466</v>
      </c>
      <c r="B1213" s="7" t="s">
        <v>3467</v>
      </c>
      <c r="C1213" s="3" t="e">
        <f ca="1">[1]!BexGetData("DP_1","003N8EMH8GTFRCSWKMPXRR8GU","GSON1112110281")</f>
        <v>#NAME?</v>
      </c>
      <c r="D1213" s="3" t="e">
        <f ca="1">[1]!BexGetData("DP_1","003N8EMH8GTFRCSWKMPXRRESE","GSON1112110281")</f>
        <v>#NAME?</v>
      </c>
      <c r="E1213" s="8" t="e">
        <f ca="1">[1]!BexGetData("DP_1","003N8EMH8GTFRCSWKMPXRRL3Y","GSON1112110281")</f>
        <v>#NAME?</v>
      </c>
      <c r="F1213" s="4" t="e">
        <f ca="1">[1]!BexGetData("DP_1","003N8EMH8GTFRCSWKMPXRRRFI","GSON1112110281")</f>
        <v>#NAME?</v>
      </c>
      <c r="G1213" s="4" t="e">
        <f ca="1">[1]!BexGetData("DP_1","003N8EMH8GTFRCSWKMPXRRXR2","GSON1112110281")</f>
        <v>#NAME?</v>
      </c>
      <c r="H1213" s="4" t="e">
        <f ca="1">[1]!BexGetData("DP_1","003N8EMH8GTFRCSWKMPXRS42M","GSON1112110281")</f>
        <v>#NAME?</v>
      </c>
      <c r="I1213" s="4" t="e">
        <f ca="1">[1]!BexGetData("DP_1","003N8EMH8GTFRCSWKMPXRSAE6","GSON1112110281")</f>
        <v>#NAME?</v>
      </c>
      <c r="J1213" s="4" t="e">
        <f ca="1">[1]!BexGetData("DP_1","003N8EMH8GTFRCSWKMPXRSGPQ","GSON1112110281")</f>
        <v>#NAME?</v>
      </c>
      <c r="K1213" s="8" t="e">
        <f ca="1">[1]!BexGetData("DP_1","003N8EMH8GTFRIVNUPY288VJH","GSON1112110281")</f>
        <v>#NAME?</v>
      </c>
      <c r="L1213" s="8" t="e">
        <f ca="1">[1]!BexGetData("DP_1","003N8EMH8GTFRIVNUPY2891V1","GSON1112110281")</f>
        <v>#NAME?</v>
      </c>
      <c r="M1213" s="8" t="e">
        <f ca="1">[1]!BexGetData("DP_1","003N8EMH8GTFRIVOG7KG9IQXA","GSON1112110281")</f>
        <v>#NAME?</v>
      </c>
      <c r="N1213" s="8" t="e">
        <f ca="1">[1]!BexGetData("DP_1","003N8EMH8GTFRIVOG7KG9IX8U","GSON1112110281")</f>
        <v>#NAME?</v>
      </c>
      <c r="O1213" s="8" t="e">
        <f ca="1">[1]!BexGetData("DP_1","003N8EMH8GTFRIVOG7KG9J3KE","GSON1112110281")</f>
        <v>#NAME?</v>
      </c>
      <c r="P1213" s="8" t="e">
        <f ca="1">[1]!BexGetData("DP_1","003N8EMH8GTFRIVOG7KG9J9VY","GSON1112110281")</f>
        <v>#NAME?</v>
      </c>
      <c r="Q1213" s="4" t="e">
        <f ca="1">[1]!BexGetData("DP_1","00O2TNJGODT0G5Z4TTKYMM5MT","GSON1112110281")</f>
        <v>#NAME?</v>
      </c>
      <c r="R1213" s="4" t="e">
        <f ca="1">[1]!BexGetData("DP_1","00O2TNJGODT0G5Z4TTKYMMBYD","GSON1112110281")</f>
        <v>#NAME?</v>
      </c>
      <c r="S1213" s="4" t="e">
        <f ca="1">[1]!BexGetData("DP_1","00O2TNJGODT0G5Z4TTKYMMI9X","GSON1112110281")</f>
        <v>#NAME?</v>
      </c>
      <c r="T1213" s="4" t="e">
        <f ca="1">[1]!BexGetData("DP_1","00O2TNJGODT0G5Z4TTKYMMOLH","GSON1112110281")</f>
        <v>#NAME?</v>
      </c>
      <c r="U1213" s="4" t="e">
        <f ca="1">[1]!BexGetData("DP_1","00O2TNJGODT0G5Z4TTKYMMUX1","GSON1112110281")</f>
        <v>#NAME?</v>
      </c>
      <c r="V1213" s="4" t="e">
        <f ca="1">[1]!BexGetData("DP_1","00O2TNJGODT0G5Z4TTKYMN18L","GSON1112110281")</f>
        <v>#NAME?</v>
      </c>
      <c r="W1213" s="4" t="e">
        <f ca="1">[1]!BexGetData("DP_1","00O2TNJGODT0G5Z4TTKYMN7K5","GSON1112110281")</f>
        <v>#NAME?</v>
      </c>
    </row>
    <row r="1214" spans="1:23" x14ac:dyDescent="0.2">
      <c r="A1214" s="16" t="s">
        <v>3468</v>
      </c>
      <c r="B1214" s="7" t="s">
        <v>3469</v>
      </c>
      <c r="C1214" s="3" t="e">
        <f ca="1">[1]!BexGetData("DP_1","003N8EMH8GTFRCSWKMPXRR8GU","GSON1112110282")</f>
        <v>#NAME?</v>
      </c>
      <c r="D1214" s="3" t="e">
        <f ca="1">[1]!BexGetData("DP_1","003N8EMH8GTFRCSWKMPXRRESE","GSON1112110282")</f>
        <v>#NAME?</v>
      </c>
      <c r="E1214" s="8" t="e">
        <f ca="1">[1]!BexGetData("DP_1","003N8EMH8GTFRCSWKMPXRRL3Y","GSON1112110282")</f>
        <v>#NAME?</v>
      </c>
      <c r="F1214" s="3" t="e">
        <f ca="1">[1]!BexGetData("DP_1","003N8EMH8GTFRCSWKMPXRRRFI","GSON1112110282")</f>
        <v>#NAME?</v>
      </c>
      <c r="G1214" s="8" t="e">
        <f ca="1">[1]!BexGetData("DP_1","003N8EMH8GTFRCSWKMPXRRXR2","GSON1112110282")</f>
        <v>#NAME?</v>
      </c>
      <c r="H1214" s="3" t="e">
        <f ca="1">[1]!BexGetData("DP_1","003N8EMH8GTFRCSWKMPXRS42M","GSON1112110282")</f>
        <v>#NAME?</v>
      </c>
      <c r="I1214" s="3" t="e">
        <f ca="1">[1]!BexGetData("DP_1","003N8EMH8GTFRCSWKMPXRSAE6","GSON1112110282")</f>
        <v>#NAME?</v>
      </c>
      <c r="J1214" s="4" t="e">
        <f ca="1">[1]!BexGetData("DP_1","003N8EMH8GTFRCSWKMPXRSGPQ","GSON1112110282")</f>
        <v>#NAME?</v>
      </c>
      <c r="K1214" s="3" t="e">
        <f ca="1">[1]!BexGetData("DP_1","003N8EMH8GTFRIVNUPY288VJH","GSON1112110282")</f>
        <v>#NAME?</v>
      </c>
      <c r="L1214" s="3" t="e">
        <f ca="1">[1]!BexGetData("DP_1","003N8EMH8GTFRIVNUPY2891V1","GSON1112110282")</f>
        <v>#NAME?</v>
      </c>
      <c r="M1214" s="8" t="e">
        <f ca="1">[1]!BexGetData("DP_1","003N8EMH8GTFRIVOG7KG9IQXA","GSON1112110282")</f>
        <v>#NAME?</v>
      </c>
      <c r="N1214" s="3" t="e">
        <f ca="1">[1]!BexGetData("DP_1","003N8EMH8GTFRIVOG7KG9IX8U","GSON1112110282")</f>
        <v>#NAME?</v>
      </c>
      <c r="O1214" s="8" t="e">
        <f ca="1">[1]!BexGetData("DP_1","003N8EMH8GTFRIVOG7KG9J3KE","GSON1112110282")</f>
        <v>#NAME?</v>
      </c>
      <c r="P1214" s="3" t="e">
        <f ca="1">[1]!BexGetData("DP_1","003N8EMH8GTFRIVOG7KG9J9VY","GSON1112110282")</f>
        <v>#NAME?</v>
      </c>
      <c r="Q1214" s="4" t="e">
        <f ca="1">[1]!BexGetData("DP_1","00O2TNJGODT0G5Z4TTKYMM5MT","GSON1112110282")</f>
        <v>#NAME?</v>
      </c>
      <c r="R1214" s="3" t="e">
        <f ca="1">[1]!BexGetData("DP_1","00O2TNJGODT0G5Z4TTKYMMBYD","GSON1112110282")</f>
        <v>#NAME?</v>
      </c>
      <c r="S1214" s="3" t="e">
        <f ca="1">[1]!BexGetData("DP_1","00O2TNJGODT0G5Z4TTKYMMI9X","GSON1112110282")</f>
        <v>#NAME?</v>
      </c>
      <c r="T1214" s="3" t="e">
        <f ca="1">[1]!BexGetData("DP_1","00O2TNJGODT0G5Z4TTKYMMOLH","GSON1112110282")</f>
        <v>#NAME?</v>
      </c>
      <c r="U1214" s="8" t="e">
        <f ca="1">[1]!BexGetData("DP_1","00O2TNJGODT0G5Z4TTKYMMUX1","GSON1112110282")</f>
        <v>#NAME?</v>
      </c>
      <c r="V1214" s="3" t="e">
        <f ca="1">[1]!BexGetData("DP_1","00O2TNJGODT0G5Z4TTKYMN18L","GSON1112110282")</f>
        <v>#NAME?</v>
      </c>
      <c r="W1214" s="8" t="e">
        <f ca="1">[1]!BexGetData("DP_1","00O2TNJGODT0G5Z4TTKYMN7K5","GSON1112110282")</f>
        <v>#NAME?</v>
      </c>
    </row>
    <row r="1215" spans="1:23" x14ac:dyDescent="0.2">
      <c r="A1215" s="16" t="s">
        <v>3470</v>
      </c>
      <c r="B1215" s="7" t="s">
        <v>3471</v>
      </c>
      <c r="C1215" s="3" t="e">
        <f ca="1">[1]!BexGetData("DP_1","003N8EMH8GTFRCSWKMPXRR8GU","GSON1112110283")</f>
        <v>#NAME?</v>
      </c>
      <c r="D1215" s="3" t="e">
        <f ca="1">[1]!BexGetData("DP_1","003N8EMH8GTFRCSWKMPXRRESE","GSON1112110283")</f>
        <v>#NAME?</v>
      </c>
      <c r="E1215" s="8" t="e">
        <f ca="1">[1]!BexGetData("DP_1","003N8EMH8GTFRCSWKMPXRRL3Y","GSON1112110283")</f>
        <v>#NAME?</v>
      </c>
      <c r="F1215" s="4" t="e">
        <f ca="1">[1]!BexGetData("DP_1","003N8EMH8GTFRCSWKMPXRRRFI","GSON1112110283")</f>
        <v>#NAME?</v>
      </c>
      <c r="G1215" s="4" t="e">
        <f ca="1">[1]!BexGetData("DP_1","003N8EMH8GTFRCSWKMPXRRXR2","GSON1112110283")</f>
        <v>#NAME?</v>
      </c>
      <c r="H1215" s="4" t="e">
        <f ca="1">[1]!BexGetData("DP_1","003N8EMH8GTFRCSWKMPXRS42M","GSON1112110283")</f>
        <v>#NAME?</v>
      </c>
      <c r="I1215" s="4" t="e">
        <f ca="1">[1]!BexGetData("DP_1","003N8EMH8GTFRCSWKMPXRSAE6","GSON1112110283")</f>
        <v>#NAME?</v>
      </c>
      <c r="J1215" s="4" t="e">
        <f ca="1">[1]!BexGetData("DP_1","003N8EMH8GTFRCSWKMPXRSGPQ","GSON1112110283")</f>
        <v>#NAME?</v>
      </c>
      <c r="K1215" s="8" t="e">
        <f ca="1">[1]!BexGetData("DP_1","003N8EMH8GTFRIVNUPY288VJH","GSON1112110283")</f>
        <v>#NAME?</v>
      </c>
      <c r="L1215" s="8" t="e">
        <f ca="1">[1]!BexGetData("DP_1","003N8EMH8GTFRIVNUPY2891V1","GSON1112110283")</f>
        <v>#NAME?</v>
      </c>
      <c r="M1215" s="8" t="e">
        <f ca="1">[1]!BexGetData("DP_1","003N8EMH8GTFRIVOG7KG9IQXA","GSON1112110283")</f>
        <v>#NAME?</v>
      </c>
      <c r="N1215" s="8" t="e">
        <f ca="1">[1]!BexGetData("DP_1","003N8EMH8GTFRIVOG7KG9IX8U","GSON1112110283")</f>
        <v>#NAME?</v>
      </c>
      <c r="O1215" s="8" t="e">
        <f ca="1">[1]!BexGetData("DP_1","003N8EMH8GTFRIVOG7KG9J3KE","GSON1112110283")</f>
        <v>#NAME?</v>
      </c>
      <c r="P1215" s="8" t="e">
        <f ca="1">[1]!BexGetData("DP_1","003N8EMH8GTFRIVOG7KG9J9VY","GSON1112110283")</f>
        <v>#NAME?</v>
      </c>
      <c r="Q1215" s="4" t="e">
        <f ca="1">[1]!BexGetData("DP_1","00O2TNJGODT0G5Z4TTKYMM5MT","GSON1112110283")</f>
        <v>#NAME?</v>
      </c>
      <c r="R1215" s="4" t="e">
        <f ca="1">[1]!BexGetData("DP_1","00O2TNJGODT0G5Z4TTKYMMBYD","GSON1112110283")</f>
        <v>#NAME?</v>
      </c>
      <c r="S1215" s="4" t="e">
        <f ca="1">[1]!BexGetData("DP_1","00O2TNJGODT0G5Z4TTKYMMI9X","GSON1112110283")</f>
        <v>#NAME?</v>
      </c>
      <c r="T1215" s="4" t="e">
        <f ca="1">[1]!BexGetData("DP_1","00O2TNJGODT0G5Z4TTKYMMOLH","GSON1112110283")</f>
        <v>#NAME?</v>
      </c>
      <c r="U1215" s="4" t="e">
        <f ca="1">[1]!BexGetData("DP_1","00O2TNJGODT0G5Z4TTKYMMUX1","GSON1112110283")</f>
        <v>#NAME?</v>
      </c>
      <c r="V1215" s="4" t="e">
        <f ca="1">[1]!BexGetData("DP_1","00O2TNJGODT0G5Z4TTKYMN18L","GSON1112110283")</f>
        <v>#NAME?</v>
      </c>
      <c r="W1215" s="4" t="e">
        <f ca="1">[1]!BexGetData("DP_1","00O2TNJGODT0G5Z4TTKYMN7K5","GSON1112110283")</f>
        <v>#NAME?</v>
      </c>
    </row>
    <row r="1216" spans="1:23" x14ac:dyDescent="0.2">
      <c r="A1216" s="16" t="s">
        <v>3472</v>
      </c>
      <c r="B1216" s="7" t="s">
        <v>3473</v>
      </c>
      <c r="C1216" s="3" t="e">
        <f ca="1">[1]!BexGetData("DP_1","003N8EMH8GTFRCSWKMPXRR8GU","GSON1112110284")</f>
        <v>#NAME?</v>
      </c>
      <c r="D1216" s="3" t="e">
        <f ca="1">[1]!BexGetData("DP_1","003N8EMH8GTFRCSWKMPXRRESE","GSON1112110284")</f>
        <v>#NAME?</v>
      </c>
      <c r="E1216" s="8" t="e">
        <f ca="1">[1]!BexGetData("DP_1","003N8EMH8GTFRCSWKMPXRRL3Y","GSON1112110284")</f>
        <v>#NAME?</v>
      </c>
      <c r="F1216" s="4" t="e">
        <f ca="1">[1]!BexGetData("DP_1","003N8EMH8GTFRCSWKMPXRRRFI","GSON1112110284")</f>
        <v>#NAME?</v>
      </c>
      <c r="G1216" s="4" t="e">
        <f ca="1">[1]!BexGetData("DP_1","003N8EMH8GTFRCSWKMPXRRXR2","GSON1112110284")</f>
        <v>#NAME?</v>
      </c>
      <c r="H1216" s="4" t="e">
        <f ca="1">[1]!BexGetData("DP_1","003N8EMH8GTFRCSWKMPXRS42M","GSON1112110284")</f>
        <v>#NAME?</v>
      </c>
      <c r="I1216" s="4" t="e">
        <f ca="1">[1]!BexGetData("DP_1","003N8EMH8GTFRCSWKMPXRSAE6","GSON1112110284")</f>
        <v>#NAME?</v>
      </c>
      <c r="J1216" s="4" t="e">
        <f ca="1">[1]!BexGetData("DP_1","003N8EMH8GTFRCSWKMPXRSGPQ","GSON1112110284")</f>
        <v>#NAME?</v>
      </c>
      <c r="K1216" s="8" t="e">
        <f ca="1">[1]!BexGetData("DP_1","003N8EMH8GTFRIVNUPY288VJH","GSON1112110284")</f>
        <v>#NAME?</v>
      </c>
      <c r="L1216" s="8" t="e">
        <f ca="1">[1]!BexGetData("DP_1","003N8EMH8GTFRIVNUPY2891V1","GSON1112110284")</f>
        <v>#NAME?</v>
      </c>
      <c r="M1216" s="8" t="e">
        <f ca="1">[1]!BexGetData("DP_1","003N8EMH8GTFRIVOG7KG9IQXA","GSON1112110284")</f>
        <v>#NAME?</v>
      </c>
      <c r="N1216" s="8" t="e">
        <f ca="1">[1]!BexGetData("DP_1","003N8EMH8GTFRIVOG7KG9IX8U","GSON1112110284")</f>
        <v>#NAME?</v>
      </c>
      <c r="O1216" s="8" t="e">
        <f ca="1">[1]!BexGetData("DP_1","003N8EMH8GTFRIVOG7KG9J3KE","GSON1112110284")</f>
        <v>#NAME?</v>
      </c>
      <c r="P1216" s="8" t="e">
        <f ca="1">[1]!BexGetData("DP_1","003N8EMH8GTFRIVOG7KG9J9VY","GSON1112110284")</f>
        <v>#NAME?</v>
      </c>
      <c r="Q1216" s="4" t="e">
        <f ca="1">[1]!BexGetData("DP_1","00O2TNJGODT0G5Z4TTKYMM5MT","GSON1112110284")</f>
        <v>#NAME?</v>
      </c>
      <c r="R1216" s="4" t="e">
        <f ca="1">[1]!BexGetData("DP_1","00O2TNJGODT0G5Z4TTKYMMBYD","GSON1112110284")</f>
        <v>#NAME?</v>
      </c>
      <c r="S1216" s="4" t="e">
        <f ca="1">[1]!BexGetData("DP_1","00O2TNJGODT0G5Z4TTKYMMI9X","GSON1112110284")</f>
        <v>#NAME?</v>
      </c>
      <c r="T1216" s="4" t="e">
        <f ca="1">[1]!BexGetData("DP_1","00O2TNJGODT0G5Z4TTKYMMOLH","GSON1112110284")</f>
        <v>#NAME?</v>
      </c>
      <c r="U1216" s="4" t="e">
        <f ca="1">[1]!BexGetData("DP_1","00O2TNJGODT0G5Z4TTKYMMUX1","GSON1112110284")</f>
        <v>#NAME?</v>
      </c>
      <c r="V1216" s="4" t="e">
        <f ca="1">[1]!BexGetData("DP_1","00O2TNJGODT0G5Z4TTKYMN18L","GSON1112110284")</f>
        <v>#NAME?</v>
      </c>
      <c r="W1216" s="4" t="e">
        <f ca="1">[1]!BexGetData("DP_1","00O2TNJGODT0G5Z4TTKYMN7K5","GSON1112110284")</f>
        <v>#NAME?</v>
      </c>
    </row>
    <row r="1217" spans="1:23" x14ac:dyDescent="0.2">
      <c r="A1217" s="16" t="s">
        <v>3474</v>
      </c>
      <c r="B1217" s="7" t="s">
        <v>3475</v>
      </c>
      <c r="C1217" s="3" t="e">
        <f ca="1">[1]!BexGetData("DP_1","003N8EMH8GTFRCSWKMPXRR8GU","GSON1112110285")</f>
        <v>#NAME?</v>
      </c>
      <c r="D1217" s="3" t="e">
        <f ca="1">[1]!BexGetData("DP_1","003N8EMH8GTFRCSWKMPXRRESE","GSON1112110285")</f>
        <v>#NAME?</v>
      </c>
      <c r="E1217" s="8" t="e">
        <f ca="1">[1]!BexGetData("DP_1","003N8EMH8GTFRCSWKMPXRRL3Y","GSON1112110285")</f>
        <v>#NAME?</v>
      </c>
      <c r="F1217" s="4" t="e">
        <f ca="1">[1]!BexGetData("DP_1","003N8EMH8GTFRCSWKMPXRRRFI","GSON1112110285")</f>
        <v>#NAME?</v>
      </c>
      <c r="G1217" s="4" t="e">
        <f ca="1">[1]!BexGetData("DP_1","003N8EMH8GTFRCSWKMPXRRXR2","GSON1112110285")</f>
        <v>#NAME?</v>
      </c>
      <c r="H1217" s="4" t="e">
        <f ca="1">[1]!BexGetData("DP_1","003N8EMH8GTFRCSWKMPXRS42M","GSON1112110285")</f>
        <v>#NAME?</v>
      </c>
      <c r="I1217" s="4" t="e">
        <f ca="1">[1]!BexGetData("DP_1","003N8EMH8GTFRCSWKMPXRSAE6","GSON1112110285")</f>
        <v>#NAME?</v>
      </c>
      <c r="J1217" s="4" t="e">
        <f ca="1">[1]!BexGetData("DP_1","003N8EMH8GTFRCSWKMPXRSGPQ","GSON1112110285")</f>
        <v>#NAME?</v>
      </c>
      <c r="K1217" s="8" t="e">
        <f ca="1">[1]!BexGetData("DP_1","003N8EMH8GTFRIVNUPY288VJH","GSON1112110285")</f>
        <v>#NAME?</v>
      </c>
      <c r="L1217" s="8" t="e">
        <f ca="1">[1]!BexGetData("DP_1","003N8EMH8GTFRIVNUPY2891V1","GSON1112110285")</f>
        <v>#NAME?</v>
      </c>
      <c r="M1217" s="8" t="e">
        <f ca="1">[1]!BexGetData("DP_1","003N8EMH8GTFRIVOG7KG9IQXA","GSON1112110285")</f>
        <v>#NAME?</v>
      </c>
      <c r="N1217" s="8" t="e">
        <f ca="1">[1]!BexGetData("DP_1","003N8EMH8GTFRIVOG7KG9IX8U","GSON1112110285")</f>
        <v>#NAME?</v>
      </c>
      <c r="O1217" s="8" t="e">
        <f ca="1">[1]!BexGetData("DP_1","003N8EMH8GTFRIVOG7KG9J3KE","GSON1112110285")</f>
        <v>#NAME?</v>
      </c>
      <c r="P1217" s="8" t="e">
        <f ca="1">[1]!BexGetData("DP_1","003N8EMH8GTFRIVOG7KG9J9VY","GSON1112110285")</f>
        <v>#NAME?</v>
      </c>
      <c r="Q1217" s="4" t="e">
        <f ca="1">[1]!BexGetData("DP_1","00O2TNJGODT0G5Z4TTKYMM5MT","GSON1112110285")</f>
        <v>#NAME?</v>
      </c>
      <c r="R1217" s="4" t="e">
        <f ca="1">[1]!BexGetData("DP_1","00O2TNJGODT0G5Z4TTKYMMBYD","GSON1112110285")</f>
        <v>#NAME?</v>
      </c>
      <c r="S1217" s="4" t="e">
        <f ca="1">[1]!BexGetData("DP_1","00O2TNJGODT0G5Z4TTKYMMI9X","GSON1112110285")</f>
        <v>#NAME?</v>
      </c>
      <c r="T1217" s="4" t="e">
        <f ca="1">[1]!BexGetData("DP_1","00O2TNJGODT0G5Z4TTKYMMOLH","GSON1112110285")</f>
        <v>#NAME?</v>
      </c>
      <c r="U1217" s="4" t="e">
        <f ca="1">[1]!BexGetData("DP_1","00O2TNJGODT0G5Z4TTKYMMUX1","GSON1112110285")</f>
        <v>#NAME?</v>
      </c>
      <c r="V1217" s="4" t="e">
        <f ca="1">[1]!BexGetData("DP_1","00O2TNJGODT0G5Z4TTKYMN18L","GSON1112110285")</f>
        <v>#NAME?</v>
      </c>
      <c r="W1217" s="4" t="e">
        <f ca="1">[1]!BexGetData("DP_1","00O2TNJGODT0G5Z4TTKYMN7K5","GSON1112110285")</f>
        <v>#NAME?</v>
      </c>
    </row>
    <row r="1218" spans="1:23" x14ac:dyDescent="0.2">
      <c r="A1218" s="16" t="s">
        <v>3476</v>
      </c>
      <c r="B1218" s="7" t="s">
        <v>3477</v>
      </c>
      <c r="C1218" s="3" t="e">
        <f ca="1">[1]!BexGetData("DP_1","003N8EMH8GTFRCSWKMPXRR8GU","GSON1112110290")</f>
        <v>#NAME?</v>
      </c>
      <c r="D1218" s="3" t="e">
        <f ca="1">[1]!BexGetData("DP_1","003N8EMH8GTFRCSWKMPXRRESE","GSON1112110290")</f>
        <v>#NAME?</v>
      </c>
      <c r="E1218" s="3" t="e">
        <f ca="1">[1]!BexGetData("DP_1","003N8EMH8GTFRCSWKMPXRRL3Y","GSON1112110290")</f>
        <v>#NAME?</v>
      </c>
      <c r="F1218" s="3" t="e">
        <f ca="1">[1]!BexGetData("DP_1","003N8EMH8GTFRCSWKMPXRRRFI","GSON1112110290")</f>
        <v>#NAME?</v>
      </c>
      <c r="G1218" s="3" t="e">
        <f ca="1">[1]!BexGetData("DP_1","003N8EMH8GTFRCSWKMPXRRXR2","GSON1112110290")</f>
        <v>#NAME?</v>
      </c>
      <c r="H1218" s="8" t="e">
        <f ca="1">[1]!BexGetData("DP_1","003N8EMH8GTFRCSWKMPXRS42M","GSON1112110290")</f>
        <v>#NAME?</v>
      </c>
      <c r="I1218" s="3" t="e">
        <f ca="1">[1]!BexGetData("DP_1","003N8EMH8GTFRCSWKMPXRSAE6","GSON1112110290")</f>
        <v>#NAME?</v>
      </c>
      <c r="J1218" s="4" t="e">
        <f ca="1">[1]!BexGetData("DP_1","003N8EMH8GTFRCSWKMPXRSGPQ","GSON1112110290")</f>
        <v>#NAME?</v>
      </c>
      <c r="K1218" s="3" t="e">
        <f ca="1">[1]!BexGetData("DP_1","003N8EMH8GTFRIVNUPY288VJH","GSON1112110290")</f>
        <v>#NAME?</v>
      </c>
      <c r="L1218" s="3" t="e">
        <f ca="1">[1]!BexGetData("DP_1","003N8EMH8GTFRIVNUPY2891V1","GSON1112110290")</f>
        <v>#NAME?</v>
      </c>
      <c r="M1218" s="3" t="e">
        <f ca="1">[1]!BexGetData("DP_1","003N8EMH8GTFRIVOG7KG9IQXA","GSON1112110290")</f>
        <v>#NAME?</v>
      </c>
      <c r="N1218" s="8" t="e">
        <f ca="1">[1]!BexGetData("DP_1","003N8EMH8GTFRIVOG7KG9IX8U","GSON1112110290")</f>
        <v>#NAME?</v>
      </c>
      <c r="O1218" s="3" t="e">
        <f ca="1">[1]!BexGetData("DP_1","003N8EMH8GTFRIVOG7KG9J3KE","GSON1112110290")</f>
        <v>#NAME?</v>
      </c>
      <c r="P1218" s="8" t="e">
        <f ca="1">[1]!BexGetData("DP_1","003N8EMH8GTFRIVOG7KG9J9VY","GSON1112110290")</f>
        <v>#NAME?</v>
      </c>
      <c r="Q1218" s="4" t="e">
        <f ca="1">[1]!BexGetData("DP_1","00O2TNJGODT0G5Z4TTKYMM5MT","GSON1112110290")</f>
        <v>#NAME?</v>
      </c>
      <c r="R1218" s="3" t="e">
        <f ca="1">[1]!BexGetData("DP_1","00O2TNJGODT0G5Z4TTKYMMBYD","GSON1112110290")</f>
        <v>#NAME?</v>
      </c>
      <c r="S1218" s="3" t="e">
        <f ca="1">[1]!BexGetData("DP_1","00O2TNJGODT0G5Z4TTKYMMI9X","GSON1112110290")</f>
        <v>#NAME?</v>
      </c>
      <c r="T1218" s="8" t="e">
        <f ca="1">[1]!BexGetData("DP_1","00O2TNJGODT0G5Z4TTKYMMOLH","GSON1112110290")</f>
        <v>#NAME?</v>
      </c>
      <c r="U1218" s="3" t="e">
        <f ca="1">[1]!BexGetData("DP_1","00O2TNJGODT0G5Z4TTKYMMUX1","GSON1112110290")</f>
        <v>#NAME?</v>
      </c>
      <c r="V1218" s="8" t="e">
        <f ca="1">[1]!BexGetData("DP_1","00O2TNJGODT0G5Z4TTKYMN18L","GSON1112110290")</f>
        <v>#NAME?</v>
      </c>
      <c r="W1218" s="3" t="e">
        <f ca="1">[1]!BexGetData("DP_1","00O2TNJGODT0G5Z4TTKYMN7K5","GSON1112110290")</f>
        <v>#NAME?</v>
      </c>
    </row>
    <row r="1219" spans="1:23" x14ac:dyDescent="0.2">
      <c r="A1219" s="16" t="s">
        <v>3478</v>
      </c>
      <c r="B1219" s="7" t="s">
        <v>3479</v>
      </c>
      <c r="C1219" s="3" t="e">
        <f ca="1">[1]!BexGetData("DP_1","003N8EMH8GTFRCSWKMPXRR8GU","GSON1112110291")</f>
        <v>#NAME?</v>
      </c>
      <c r="D1219" s="3" t="e">
        <f ca="1">[1]!BexGetData("DP_1","003N8EMH8GTFRCSWKMPXRRESE","GSON1112110291")</f>
        <v>#NAME?</v>
      </c>
      <c r="E1219" s="8" t="e">
        <f ca="1">[1]!BexGetData("DP_1","003N8EMH8GTFRCSWKMPXRRL3Y","GSON1112110291")</f>
        <v>#NAME?</v>
      </c>
      <c r="F1219" s="4" t="e">
        <f ca="1">[1]!BexGetData("DP_1","003N8EMH8GTFRCSWKMPXRRRFI","GSON1112110291")</f>
        <v>#NAME?</v>
      </c>
      <c r="G1219" s="4" t="e">
        <f ca="1">[1]!BexGetData("DP_1","003N8EMH8GTFRCSWKMPXRRXR2","GSON1112110291")</f>
        <v>#NAME?</v>
      </c>
      <c r="H1219" s="4" t="e">
        <f ca="1">[1]!BexGetData("DP_1","003N8EMH8GTFRCSWKMPXRS42M","GSON1112110291")</f>
        <v>#NAME?</v>
      </c>
      <c r="I1219" s="4" t="e">
        <f ca="1">[1]!BexGetData("DP_1","003N8EMH8GTFRCSWKMPXRSAE6","GSON1112110291")</f>
        <v>#NAME?</v>
      </c>
      <c r="J1219" s="4" t="e">
        <f ca="1">[1]!BexGetData("DP_1","003N8EMH8GTFRCSWKMPXRSGPQ","GSON1112110291")</f>
        <v>#NAME?</v>
      </c>
      <c r="K1219" s="8" t="e">
        <f ca="1">[1]!BexGetData("DP_1","003N8EMH8GTFRIVNUPY288VJH","GSON1112110291")</f>
        <v>#NAME?</v>
      </c>
      <c r="L1219" s="8" t="e">
        <f ca="1">[1]!BexGetData("DP_1","003N8EMH8GTFRIVNUPY2891V1","GSON1112110291")</f>
        <v>#NAME?</v>
      </c>
      <c r="M1219" s="8" t="e">
        <f ca="1">[1]!BexGetData("DP_1","003N8EMH8GTFRIVOG7KG9IQXA","GSON1112110291")</f>
        <v>#NAME?</v>
      </c>
      <c r="N1219" s="8" t="e">
        <f ca="1">[1]!BexGetData("DP_1","003N8EMH8GTFRIVOG7KG9IX8U","GSON1112110291")</f>
        <v>#NAME?</v>
      </c>
      <c r="O1219" s="8" t="e">
        <f ca="1">[1]!BexGetData("DP_1","003N8EMH8GTFRIVOG7KG9J3KE","GSON1112110291")</f>
        <v>#NAME?</v>
      </c>
      <c r="P1219" s="8" t="e">
        <f ca="1">[1]!BexGetData("DP_1","003N8EMH8GTFRIVOG7KG9J9VY","GSON1112110291")</f>
        <v>#NAME?</v>
      </c>
      <c r="Q1219" s="4" t="e">
        <f ca="1">[1]!BexGetData("DP_1","00O2TNJGODT0G5Z4TTKYMM5MT","GSON1112110291")</f>
        <v>#NAME?</v>
      </c>
      <c r="R1219" s="4" t="e">
        <f ca="1">[1]!BexGetData("DP_1","00O2TNJGODT0G5Z4TTKYMMBYD","GSON1112110291")</f>
        <v>#NAME?</v>
      </c>
      <c r="S1219" s="4" t="e">
        <f ca="1">[1]!BexGetData("DP_1","00O2TNJGODT0G5Z4TTKYMMI9X","GSON1112110291")</f>
        <v>#NAME?</v>
      </c>
      <c r="T1219" s="4" t="e">
        <f ca="1">[1]!BexGetData("DP_1","00O2TNJGODT0G5Z4TTKYMMOLH","GSON1112110291")</f>
        <v>#NAME?</v>
      </c>
      <c r="U1219" s="4" t="e">
        <f ca="1">[1]!BexGetData("DP_1","00O2TNJGODT0G5Z4TTKYMMUX1","GSON1112110291")</f>
        <v>#NAME?</v>
      </c>
      <c r="V1219" s="4" t="e">
        <f ca="1">[1]!BexGetData("DP_1","00O2TNJGODT0G5Z4TTKYMN18L","GSON1112110291")</f>
        <v>#NAME?</v>
      </c>
      <c r="W1219" s="4" t="e">
        <f ca="1">[1]!BexGetData("DP_1","00O2TNJGODT0G5Z4TTKYMN7K5","GSON1112110291")</f>
        <v>#NAME?</v>
      </c>
    </row>
    <row r="1220" spans="1:23" x14ac:dyDescent="0.2">
      <c r="A1220" s="16" t="s">
        <v>3480</v>
      </c>
      <c r="B1220" s="7" t="s">
        <v>3481</v>
      </c>
      <c r="C1220" s="3" t="e">
        <f ca="1">[1]!BexGetData("DP_1","003N8EMH8GTFRCSWKMPXRR8GU","GSON1112110293")</f>
        <v>#NAME?</v>
      </c>
      <c r="D1220" s="3" t="e">
        <f ca="1">[1]!BexGetData("DP_1","003N8EMH8GTFRCSWKMPXRRESE","GSON1112110293")</f>
        <v>#NAME?</v>
      </c>
      <c r="E1220" s="8" t="e">
        <f ca="1">[1]!BexGetData("DP_1","003N8EMH8GTFRCSWKMPXRRL3Y","GSON1112110293")</f>
        <v>#NAME?</v>
      </c>
      <c r="F1220" s="4" t="e">
        <f ca="1">[1]!BexGetData("DP_1","003N8EMH8GTFRCSWKMPXRRRFI","GSON1112110293")</f>
        <v>#NAME?</v>
      </c>
      <c r="G1220" s="4" t="e">
        <f ca="1">[1]!BexGetData("DP_1","003N8EMH8GTFRCSWKMPXRRXR2","GSON1112110293")</f>
        <v>#NAME?</v>
      </c>
      <c r="H1220" s="4" t="e">
        <f ca="1">[1]!BexGetData("DP_1","003N8EMH8GTFRCSWKMPXRS42M","GSON1112110293")</f>
        <v>#NAME?</v>
      </c>
      <c r="I1220" s="4" t="e">
        <f ca="1">[1]!BexGetData("DP_1","003N8EMH8GTFRCSWKMPXRSAE6","GSON1112110293")</f>
        <v>#NAME?</v>
      </c>
      <c r="J1220" s="4" t="e">
        <f ca="1">[1]!BexGetData("DP_1","003N8EMH8GTFRCSWKMPXRSGPQ","GSON1112110293")</f>
        <v>#NAME?</v>
      </c>
      <c r="K1220" s="8" t="e">
        <f ca="1">[1]!BexGetData("DP_1","003N8EMH8GTFRIVNUPY288VJH","GSON1112110293")</f>
        <v>#NAME?</v>
      </c>
      <c r="L1220" s="8" t="e">
        <f ca="1">[1]!BexGetData("DP_1","003N8EMH8GTFRIVNUPY2891V1","GSON1112110293")</f>
        <v>#NAME?</v>
      </c>
      <c r="M1220" s="8" t="e">
        <f ca="1">[1]!BexGetData("DP_1","003N8EMH8GTFRIVOG7KG9IQXA","GSON1112110293")</f>
        <v>#NAME?</v>
      </c>
      <c r="N1220" s="8" t="e">
        <f ca="1">[1]!BexGetData("DP_1","003N8EMH8GTFRIVOG7KG9IX8U","GSON1112110293")</f>
        <v>#NAME?</v>
      </c>
      <c r="O1220" s="8" t="e">
        <f ca="1">[1]!BexGetData("DP_1","003N8EMH8GTFRIVOG7KG9J3KE","GSON1112110293")</f>
        <v>#NAME?</v>
      </c>
      <c r="P1220" s="8" t="e">
        <f ca="1">[1]!BexGetData("DP_1","003N8EMH8GTFRIVOG7KG9J9VY","GSON1112110293")</f>
        <v>#NAME?</v>
      </c>
      <c r="Q1220" s="4" t="e">
        <f ca="1">[1]!BexGetData("DP_1","00O2TNJGODT0G5Z4TTKYMM5MT","GSON1112110293")</f>
        <v>#NAME?</v>
      </c>
      <c r="R1220" s="4" t="e">
        <f ca="1">[1]!BexGetData("DP_1","00O2TNJGODT0G5Z4TTKYMMBYD","GSON1112110293")</f>
        <v>#NAME?</v>
      </c>
      <c r="S1220" s="4" t="e">
        <f ca="1">[1]!BexGetData("DP_1","00O2TNJGODT0G5Z4TTKYMMI9X","GSON1112110293")</f>
        <v>#NAME?</v>
      </c>
      <c r="T1220" s="4" t="e">
        <f ca="1">[1]!BexGetData("DP_1","00O2TNJGODT0G5Z4TTKYMMOLH","GSON1112110293")</f>
        <v>#NAME?</v>
      </c>
      <c r="U1220" s="4" t="e">
        <f ca="1">[1]!BexGetData("DP_1","00O2TNJGODT0G5Z4TTKYMMUX1","GSON1112110293")</f>
        <v>#NAME?</v>
      </c>
      <c r="V1220" s="4" t="e">
        <f ca="1">[1]!BexGetData("DP_1","00O2TNJGODT0G5Z4TTKYMN18L","GSON1112110293")</f>
        <v>#NAME?</v>
      </c>
      <c r="W1220" s="4" t="e">
        <f ca="1">[1]!BexGetData("DP_1","00O2TNJGODT0G5Z4TTKYMN7K5","GSON1112110293")</f>
        <v>#NAME?</v>
      </c>
    </row>
    <row r="1221" spans="1:23" x14ac:dyDescent="0.2">
      <c r="A1221" s="16" t="s">
        <v>3482</v>
      </c>
      <c r="B1221" s="7" t="s">
        <v>3483</v>
      </c>
      <c r="C1221" s="3" t="e">
        <f ca="1">[1]!BexGetData("DP_1","003N8EMH8GTFRCSWKMPXRR8GU","GSON1112110294")</f>
        <v>#NAME?</v>
      </c>
      <c r="D1221" s="3" t="e">
        <f ca="1">[1]!BexGetData("DP_1","003N8EMH8GTFRCSWKMPXRRESE","GSON1112110294")</f>
        <v>#NAME?</v>
      </c>
      <c r="E1221" s="8" t="e">
        <f ca="1">[1]!BexGetData("DP_1","003N8EMH8GTFRCSWKMPXRRL3Y","GSON1112110294")</f>
        <v>#NAME?</v>
      </c>
      <c r="F1221" s="4" t="e">
        <f ca="1">[1]!BexGetData("DP_1","003N8EMH8GTFRCSWKMPXRRRFI","GSON1112110294")</f>
        <v>#NAME?</v>
      </c>
      <c r="G1221" s="4" t="e">
        <f ca="1">[1]!BexGetData("DP_1","003N8EMH8GTFRCSWKMPXRRXR2","GSON1112110294")</f>
        <v>#NAME?</v>
      </c>
      <c r="H1221" s="4" t="e">
        <f ca="1">[1]!BexGetData("DP_1","003N8EMH8GTFRCSWKMPXRS42M","GSON1112110294")</f>
        <v>#NAME?</v>
      </c>
      <c r="I1221" s="4" t="e">
        <f ca="1">[1]!BexGetData("DP_1","003N8EMH8GTFRCSWKMPXRSAE6","GSON1112110294")</f>
        <v>#NAME?</v>
      </c>
      <c r="J1221" s="4" t="e">
        <f ca="1">[1]!BexGetData("DP_1","003N8EMH8GTFRCSWKMPXRSGPQ","GSON1112110294")</f>
        <v>#NAME?</v>
      </c>
      <c r="K1221" s="8" t="e">
        <f ca="1">[1]!BexGetData("DP_1","003N8EMH8GTFRIVNUPY288VJH","GSON1112110294")</f>
        <v>#NAME?</v>
      </c>
      <c r="L1221" s="8" t="e">
        <f ca="1">[1]!BexGetData("DP_1","003N8EMH8GTFRIVNUPY2891V1","GSON1112110294")</f>
        <v>#NAME?</v>
      </c>
      <c r="M1221" s="8" t="e">
        <f ca="1">[1]!BexGetData("DP_1","003N8EMH8GTFRIVOG7KG9IQXA","GSON1112110294")</f>
        <v>#NAME?</v>
      </c>
      <c r="N1221" s="8" t="e">
        <f ca="1">[1]!BexGetData("DP_1","003N8EMH8GTFRIVOG7KG9IX8U","GSON1112110294")</f>
        <v>#NAME?</v>
      </c>
      <c r="O1221" s="8" t="e">
        <f ca="1">[1]!BexGetData("DP_1","003N8EMH8GTFRIVOG7KG9J3KE","GSON1112110294")</f>
        <v>#NAME?</v>
      </c>
      <c r="P1221" s="8" t="e">
        <f ca="1">[1]!BexGetData("DP_1","003N8EMH8GTFRIVOG7KG9J9VY","GSON1112110294")</f>
        <v>#NAME?</v>
      </c>
      <c r="Q1221" s="4" t="e">
        <f ca="1">[1]!BexGetData("DP_1","00O2TNJGODT0G5Z4TTKYMM5MT","GSON1112110294")</f>
        <v>#NAME?</v>
      </c>
      <c r="R1221" s="4" t="e">
        <f ca="1">[1]!BexGetData("DP_1","00O2TNJGODT0G5Z4TTKYMMBYD","GSON1112110294")</f>
        <v>#NAME?</v>
      </c>
      <c r="S1221" s="4" t="e">
        <f ca="1">[1]!BexGetData("DP_1","00O2TNJGODT0G5Z4TTKYMMI9X","GSON1112110294")</f>
        <v>#NAME?</v>
      </c>
      <c r="T1221" s="4" t="e">
        <f ca="1">[1]!BexGetData("DP_1","00O2TNJGODT0G5Z4TTKYMMOLH","GSON1112110294")</f>
        <v>#NAME?</v>
      </c>
      <c r="U1221" s="4" t="e">
        <f ca="1">[1]!BexGetData("DP_1","00O2TNJGODT0G5Z4TTKYMMUX1","GSON1112110294")</f>
        <v>#NAME?</v>
      </c>
      <c r="V1221" s="4" t="e">
        <f ca="1">[1]!BexGetData("DP_1","00O2TNJGODT0G5Z4TTKYMN18L","GSON1112110294")</f>
        <v>#NAME?</v>
      </c>
      <c r="W1221" s="4" t="e">
        <f ca="1">[1]!BexGetData("DP_1","00O2TNJGODT0G5Z4TTKYMN7K5","GSON1112110294")</f>
        <v>#NAME?</v>
      </c>
    </row>
    <row r="1222" spans="1:23" x14ac:dyDescent="0.2">
      <c r="A1222" s="16" t="s">
        <v>3484</v>
      </c>
      <c r="B1222" s="7" t="s">
        <v>3485</v>
      </c>
      <c r="C1222" s="3" t="e">
        <f ca="1">[1]!BexGetData("DP_1","003N8EMH8GTFRCSWKMPXRR8GU","GSON1112110295")</f>
        <v>#NAME?</v>
      </c>
      <c r="D1222" s="3" t="e">
        <f ca="1">[1]!BexGetData("DP_1","003N8EMH8GTFRCSWKMPXRRESE","GSON1112110295")</f>
        <v>#NAME?</v>
      </c>
      <c r="E1222" s="8" t="e">
        <f ca="1">[1]!BexGetData("DP_1","003N8EMH8GTFRCSWKMPXRRL3Y","GSON1112110295")</f>
        <v>#NAME?</v>
      </c>
      <c r="F1222" s="4" t="e">
        <f ca="1">[1]!BexGetData("DP_1","003N8EMH8GTFRCSWKMPXRRRFI","GSON1112110295")</f>
        <v>#NAME?</v>
      </c>
      <c r="G1222" s="4" t="e">
        <f ca="1">[1]!BexGetData("DP_1","003N8EMH8GTFRCSWKMPXRRXR2","GSON1112110295")</f>
        <v>#NAME?</v>
      </c>
      <c r="H1222" s="4" t="e">
        <f ca="1">[1]!BexGetData("DP_1","003N8EMH8GTFRCSWKMPXRS42M","GSON1112110295")</f>
        <v>#NAME?</v>
      </c>
      <c r="I1222" s="4" t="e">
        <f ca="1">[1]!BexGetData("DP_1","003N8EMH8GTFRCSWKMPXRSAE6","GSON1112110295")</f>
        <v>#NAME?</v>
      </c>
      <c r="J1222" s="4" t="e">
        <f ca="1">[1]!BexGetData("DP_1","003N8EMH8GTFRCSWKMPXRSGPQ","GSON1112110295")</f>
        <v>#NAME?</v>
      </c>
      <c r="K1222" s="8" t="e">
        <f ca="1">[1]!BexGetData("DP_1","003N8EMH8GTFRIVNUPY288VJH","GSON1112110295")</f>
        <v>#NAME?</v>
      </c>
      <c r="L1222" s="8" t="e">
        <f ca="1">[1]!BexGetData("DP_1","003N8EMH8GTFRIVNUPY2891V1","GSON1112110295")</f>
        <v>#NAME?</v>
      </c>
      <c r="M1222" s="8" t="e">
        <f ca="1">[1]!BexGetData("DP_1","003N8EMH8GTFRIVOG7KG9IQXA","GSON1112110295")</f>
        <v>#NAME?</v>
      </c>
      <c r="N1222" s="8" t="e">
        <f ca="1">[1]!BexGetData("DP_1","003N8EMH8GTFRIVOG7KG9IX8U","GSON1112110295")</f>
        <v>#NAME?</v>
      </c>
      <c r="O1222" s="8" t="e">
        <f ca="1">[1]!BexGetData("DP_1","003N8EMH8GTFRIVOG7KG9J3KE","GSON1112110295")</f>
        <v>#NAME?</v>
      </c>
      <c r="P1222" s="8" t="e">
        <f ca="1">[1]!BexGetData("DP_1","003N8EMH8GTFRIVOG7KG9J9VY","GSON1112110295")</f>
        <v>#NAME?</v>
      </c>
      <c r="Q1222" s="4" t="e">
        <f ca="1">[1]!BexGetData("DP_1","00O2TNJGODT0G5Z4TTKYMM5MT","GSON1112110295")</f>
        <v>#NAME?</v>
      </c>
      <c r="R1222" s="4" t="e">
        <f ca="1">[1]!BexGetData("DP_1","00O2TNJGODT0G5Z4TTKYMMBYD","GSON1112110295")</f>
        <v>#NAME?</v>
      </c>
      <c r="S1222" s="4" t="e">
        <f ca="1">[1]!BexGetData("DP_1","00O2TNJGODT0G5Z4TTKYMMI9X","GSON1112110295")</f>
        <v>#NAME?</v>
      </c>
      <c r="T1222" s="4" t="e">
        <f ca="1">[1]!BexGetData("DP_1","00O2TNJGODT0G5Z4TTKYMMOLH","GSON1112110295")</f>
        <v>#NAME?</v>
      </c>
      <c r="U1222" s="4" t="e">
        <f ca="1">[1]!BexGetData("DP_1","00O2TNJGODT0G5Z4TTKYMMUX1","GSON1112110295")</f>
        <v>#NAME?</v>
      </c>
      <c r="V1222" s="4" t="e">
        <f ca="1">[1]!BexGetData("DP_1","00O2TNJGODT0G5Z4TTKYMN18L","GSON1112110295")</f>
        <v>#NAME?</v>
      </c>
      <c r="W1222" s="4" t="e">
        <f ca="1">[1]!BexGetData("DP_1","00O2TNJGODT0G5Z4TTKYMN7K5","GSON1112110295")</f>
        <v>#NAME?</v>
      </c>
    </row>
    <row r="1223" spans="1:23" x14ac:dyDescent="0.2">
      <c r="A1223" s="16" t="s">
        <v>3486</v>
      </c>
      <c r="B1223" s="7" t="s">
        <v>3487</v>
      </c>
      <c r="C1223" s="3" t="e">
        <f ca="1">[1]!BexGetData("DP_1","003N8EMH8GTFRCSWKMPXRR8GU","GSON1112110300")</f>
        <v>#NAME?</v>
      </c>
      <c r="D1223" s="3" t="e">
        <f ca="1">[1]!BexGetData("DP_1","003N8EMH8GTFRCSWKMPXRRESE","GSON1112110300")</f>
        <v>#NAME?</v>
      </c>
      <c r="E1223" s="3" t="e">
        <f ca="1">[1]!BexGetData("DP_1","003N8EMH8GTFRCSWKMPXRRL3Y","GSON1112110300")</f>
        <v>#NAME?</v>
      </c>
      <c r="F1223" s="3" t="e">
        <f ca="1">[1]!BexGetData("DP_1","003N8EMH8GTFRCSWKMPXRRRFI","GSON1112110300")</f>
        <v>#NAME?</v>
      </c>
      <c r="G1223" s="3" t="e">
        <f ca="1">[1]!BexGetData("DP_1","003N8EMH8GTFRCSWKMPXRRXR2","GSON1112110300")</f>
        <v>#NAME?</v>
      </c>
      <c r="H1223" s="8" t="e">
        <f ca="1">[1]!BexGetData("DP_1","003N8EMH8GTFRCSWKMPXRS42M","GSON1112110300")</f>
        <v>#NAME?</v>
      </c>
      <c r="I1223" s="3" t="e">
        <f ca="1">[1]!BexGetData("DP_1","003N8EMH8GTFRCSWKMPXRSAE6","GSON1112110300")</f>
        <v>#NAME?</v>
      </c>
      <c r="J1223" s="4" t="e">
        <f ca="1">[1]!BexGetData("DP_1","003N8EMH8GTFRCSWKMPXRSGPQ","GSON1112110300")</f>
        <v>#NAME?</v>
      </c>
      <c r="K1223" s="3" t="e">
        <f ca="1">[1]!BexGetData("DP_1","003N8EMH8GTFRIVNUPY288VJH","GSON1112110300")</f>
        <v>#NAME?</v>
      </c>
      <c r="L1223" s="3" t="e">
        <f ca="1">[1]!BexGetData("DP_1","003N8EMH8GTFRIVNUPY2891V1","GSON1112110300")</f>
        <v>#NAME?</v>
      </c>
      <c r="M1223" s="3" t="e">
        <f ca="1">[1]!BexGetData("DP_1","003N8EMH8GTFRIVOG7KG9IQXA","GSON1112110300")</f>
        <v>#NAME?</v>
      </c>
      <c r="N1223" s="8" t="e">
        <f ca="1">[1]!BexGetData("DP_1","003N8EMH8GTFRIVOG7KG9IX8U","GSON1112110300")</f>
        <v>#NAME?</v>
      </c>
      <c r="O1223" s="3" t="e">
        <f ca="1">[1]!BexGetData("DP_1","003N8EMH8GTFRIVOG7KG9J3KE","GSON1112110300")</f>
        <v>#NAME?</v>
      </c>
      <c r="P1223" s="8" t="e">
        <f ca="1">[1]!BexGetData("DP_1","003N8EMH8GTFRIVOG7KG9J9VY","GSON1112110300")</f>
        <v>#NAME?</v>
      </c>
      <c r="Q1223" s="4" t="e">
        <f ca="1">[1]!BexGetData("DP_1","00O2TNJGODT0G5Z4TTKYMM5MT","GSON1112110300")</f>
        <v>#NAME?</v>
      </c>
      <c r="R1223" s="3" t="e">
        <f ca="1">[1]!BexGetData("DP_1","00O2TNJGODT0G5Z4TTKYMMBYD","GSON1112110300")</f>
        <v>#NAME?</v>
      </c>
      <c r="S1223" s="3" t="e">
        <f ca="1">[1]!BexGetData("DP_1","00O2TNJGODT0G5Z4TTKYMMI9X","GSON1112110300")</f>
        <v>#NAME?</v>
      </c>
      <c r="T1223" s="8" t="e">
        <f ca="1">[1]!BexGetData("DP_1","00O2TNJGODT0G5Z4TTKYMMOLH","GSON1112110300")</f>
        <v>#NAME?</v>
      </c>
      <c r="U1223" s="3" t="e">
        <f ca="1">[1]!BexGetData("DP_1","00O2TNJGODT0G5Z4TTKYMMUX1","GSON1112110300")</f>
        <v>#NAME?</v>
      </c>
      <c r="V1223" s="8" t="e">
        <f ca="1">[1]!BexGetData("DP_1","00O2TNJGODT0G5Z4TTKYMN18L","GSON1112110300")</f>
        <v>#NAME?</v>
      </c>
      <c r="W1223" s="3" t="e">
        <f ca="1">[1]!BexGetData("DP_1","00O2TNJGODT0G5Z4TTKYMN7K5","GSON1112110300")</f>
        <v>#NAME?</v>
      </c>
    </row>
    <row r="1224" spans="1:23" x14ac:dyDescent="0.2">
      <c r="A1224" s="16" t="s">
        <v>3488</v>
      </c>
      <c r="B1224" s="7" t="s">
        <v>3489</v>
      </c>
      <c r="C1224" s="3" t="e">
        <f ca="1">[1]!BexGetData("DP_1","003N8EMH8GTFRCSWKMPXRR8GU","GSON1112110301")</f>
        <v>#NAME?</v>
      </c>
      <c r="D1224" s="3" t="e">
        <f ca="1">[1]!BexGetData("DP_1","003N8EMH8GTFRCSWKMPXRRESE","GSON1112110301")</f>
        <v>#NAME?</v>
      </c>
      <c r="E1224" s="8" t="e">
        <f ca="1">[1]!BexGetData("DP_1","003N8EMH8GTFRCSWKMPXRRL3Y","GSON1112110301")</f>
        <v>#NAME?</v>
      </c>
      <c r="F1224" s="4" t="e">
        <f ca="1">[1]!BexGetData("DP_1","003N8EMH8GTFRCSWKMPXRRRFI","GSON1112110301")</f>
        <v>#NAME?</v>
      </c>
      <c r="G1224" s="4" t="e">
        <f ca="1">[1]!BexGetData("DP_1","003N8EMH8GTFRCSWKMPXRRXR2","GSON1112110301")</f>
        <v>#NAME?</v>
      </c>
      <c r="H1224" s="4" t="e">
        <f ca="1">[1]!BexGetData("DP_1","003N8EMH8GTFRCSWKMPXRS42M","GSON1112110301")</f>
        <v>#NAME?</v>
      </c>
      <c r="I1224" s="4" t="e">
        <f ca="1">[1]!BexGetData("DP_1","003N8EMH8GTFRCSWKMPXRSAE6","GSON1112110301")</f>
        <v>#NAME?</v>
      </c>
      <c r="J1224" s="4" t="e">
        <f ca="1">[1]!BexGetData("DP_1","003N8EMH8GTFRCSWKMPXRSGPQ","GSON1112110301")</f>
        <v>#NAME?</v>
      </c>
      <c r="K1224" s="8" t="e">
        <f ca="1">[1]!BexGetData("DP_1","003N8EMH8GTFRIVNUPY288VJH","GSON1112110301")</f>
        <v>#NAME?</v>
      </c>
      <c r="L1224" s="8" t="e">
        <f ca="1">[1]!BexGetData("DP_1","003N8EMH8GTFRIVNUPY2891V1","GSON1112110301")</f>
        <v>#NAME?</v>
      </c>
      <c r="M1224" s="8" t="e">
        <f ca="1">[1]!BexGetData("DP_1","003N8EMH8GTFRIVOG7KG9IQXA","GSON1112110301")</f>
        <v>#NAME?</v>
      </c>
      <c r="N1224" s="8" t="e">
        <f ca="1">[1]!BexGetData("DP_1","003N8EMH8GTFRIVOG7KG9IX8U","GSON1112110301")</f>
        <v>#NAME?</v>
      </c>
      <c r="O1224" s="8" t="e">
        <f ca="1">[1]!BexGetData("DP_1","003N8EMH8GTFRIVOG7KG9J3KE","GSON1112110301")</f>
        <v>#NAME?</v>
      </c>
      <c r="P1224" s="8" t="e">
        <f ca="1">[1]!BexGetData("DP_1","003N8EMH8GTFRIVOG7KG9J9VY","GSON1112110301")</f>
        <v>#NAME?</v>
      </c>
      <c r="Q1224" s="4" t="e">
        <f ca="1">[1]!BexGetData("DP_1","00O2TNJGODT0G5Z4TTKYMM5MT","GSON1112110301")</f>
        <v>#NAME?</v>
      </c>
      <c r="R1224" s="4" t="e">
        <f ca="1">[1]!BexGetData("DP_1","00O2TNJGODT0G5Z4TTKYMMBYD","GSON1112110301")</f>
        <v>#NAME?</v>
      </c>
      <c r="S1224" s="4" t="e">
        <f ca="1">[1]!BexGetData("DP_1","00O2TNJGODT0G5Z4TTKYMMI9X","GSON1112110301")</f>
        <v>#NAME?</v>
      </c>
      <c r="T1224" s="4" t="e">
        <f ca="1">[1]!BexGetData("DP_1","00O2TNJGODT0G5Z4TTKYMMOLH","GSON1112110301")</f>
        <v>#NAME?</v>
      </c>
      <c r="U1224" s="4" t="e">
        <f ca="1">[1]!BexGetData("DP_1","00O2TNJGODT0G5Z4TTKYMMUX1","GSON1112110301")</f>
        <v>#NAME?</v>
      </c>
      <c r="V1224" s="4" t="e">
        <f ca="1">[1]!BexGetData("DP_1","00O2TNJGODT0G5Z4TTKYMN18L","GSON1112110301")</f>
        <v>#NAME?</v>
      </c>
      <c r="W1224" s="4" t="e">
        <f ca="1">[1]!BexGetData("DP_1","00O2TNJGODT0G5Z4TTKYMN7K5","GSON1112110301")</f>
        <v>#NAME?</v>
      </c>
    </row>
    <row r="1225" spans="1:23" x14ac:dyDescent="0.2">
      <c r="A1225" s="16" t="s">
        <v>3490</v>
      </c>
      <c r="B1225" s="7" t="s">
        <v>3491</v>
      </c>
      <c r="C1225" s="3" t="e">
        <f ca="1">[1]!BexGetData("DP_1","003N8EMH8GTFRCSWKMPXRR8GU","GSON1112110302")</f>
        <v>#NAME?</v>
      </c>
      <c r="D1225" s="3" t="e">
        <f ca="1">[1]!BexGetData("DP_1","003N8EMH8GTFRCSWKMPXRRESE","GSON1112110302")</f>
        <v>#NAME?</v>
      </c>
      <c r="E1225" s="8" t="e">
        <f ca="1">[1]!BexGetData("DP_1","003N8EMH8GTFRCSWKMPXRRL3Y","GSON1112110302")</f>
        <v>#NAME?</v>
      </c>
      <c r="F1225" s="3" t="e">
        <f ca="1">[1]!BexGetData("DP_1","003N8EMH8GTFRCSWKMPXRRRFI","GSON1112110302")</f>
        <v>#NAME?</v>
      </c>
      <c r="G1225" s="8" t="e">
        <f ca="1">[1]!BexGetData("DP_1","003N8EMH8GTFRCSWKMPXRRXR2","GSON1112110302")</f>
        <v>#NAME?</v>
      </c>
      <c r="H1225" s="3" t="e">
        <f ca="1">[1]!BexGetData("DP_1","003N8EMH8GTFRCSWKMPXRS42M","GSON1112110302")</f>
        <v>#NAME?</v>
      </c>
      <c r="I1225" s="3" t="e">
        <f ca="1">[1]!BexGetData("DP_1","003N8EMH8GTFRCSWKMPXRSAE6","GSON1112110302")</f>
        <v>#NAME?</v>
      </c>
      <c r="J1225" s="4" t="e">
        <f ca="1">[1]!BexGetData("DP_1","003N8EMH8GTFRCSWKMPXRSGPQ","GSON1112110302")</f>
        <v>#NAME?</v>
      </c>
      <c r="K1225" s="3" t="e">
        <f ca="1">[1]!BexGetData("DP_1","003N8EMH8GTFRIVNUPY288VJH","GSON1112110302")</f>
        <v>#NAME?</v>
      </c>
      <c r="L1225" s="3" t="e">
        <f ca="1">[1]!BexGetData("DP_1","003N8EMH8GTFRIVNUPY2891V1","GSON1112110302")</f>
        <v>#NAME?</v>
      </c>
      <c r="M1225" s="8" t="e">
        <f ca="1">[1]!BexGetData("DP_1","003N8EMH8GTFRIVOG7KG9IQXA","GSON1112110302")</f>
        <v>#NAME?</v>
      </c>
      <c r="N1225" s="3" t="e">
        <f ca="1">[1]!BexGetData("DP_1","003N8EMH8GTFRIVOG7KG9IX8U","GSON1112110302")</f>
        <v>#NAME?</v>
      </c>
      <c r="O1225" s="8" t="e">
        <f ca="1">[1]!BexGetData("DP_1","003N8EMH8GTFRIVOG7KG9J3KE","GSON1112110302")</f>
        <v>#NAME?</v>
      </c>
      <c r="P1225" s="3" t="e">
        <f ca="1">[1]!BexGetData("DP_1","003N8EMH8GTFRIVOG7KG9J9VY","GSON1112110302")</f>
        <v>#NAME?</v>
      </c>
      <c r="Q1225" s="4" t="e">
        <f ca="1">[1]!BexGetData("DP_1","00O2TNJGODT0G5Z4TTKYMM5MT","GSON1112110302")</f>
        <v>#NAME?</v>
      </c>
      <c r="R1225" s="3" t="e">
        <f ca="1">[1]!BexGetData("DP_1","00O2TNJGODT0G5Z4TTKYMMBYD","GSON1112110302")</f>
        <v>#NAME?</v>
      </c>
      <c r="S1225" s="3" t="e">
        <f ca="1">[1]!BexGetData("DP_1","00O2TNJGODT0G5Z4TTKYMMI9X","GSON1112110302")</f>
        <v>#NAME?</v>
      </c>
      <c r="T1225" s="3" t="e">
        <f ca="1">[1]!BexGetData("DP_1","00O2TNJGODT0G5Z4TTKYMMOLH","GSON1112110302")</f>
        <v>#NAME?</v>
      </c>
      <c r="U1225" s="8" t="e">
        <f ca="1">[1]!BexGetData("DP_1","00O2TNJGODT0G5Z4TTKYMMUX1","GSON1112110302")</f>
        <v>#NAME?</v>
      </c>
      <c r="V1225" s="3" t="e">
        <f ca="1">[1]!BexGetData("DP_1","00O2TNJGODT0G5Z4TTKYMN18L","GSON1112110302")</f>
        <v>#NAME?</v>
      </c>
      <c r="W1225" s="8" t="e">
        <f ca="1">[1]!BexGetData("DP_1","00O2TNJGODT0G5Z4TTKYMN7K5","GSON1112110302")</f>
        <v>#NAME?</v>
      </c>
    </row>
    <row r="1226" spans="1:23" x14ac:dyDescent="0.2">
      <c r="A1226" s="16" t="s">
        <v>3492</v>
      </c>
      <c r="B1226" s="7" t="s">
        <v>3493</v>
      </c>
      <c r="C1226" s="3" t="e">
        <f ca="1">[1]!BexGetData("DP_1","003N8EMH8GTFRCSWKMPXRR8GU","GSON1112110303")</f>
        <v>#NAME?</v>
      </c>
      <c r="D1226" s="3" t="e">
        <f ca="1">[1]!BexGetData("DP_1","003N8EMH8GTFRCSWKMPXRRESE","GSON1112110303")</f>
        <v>#NAME?</v>
      </c>
      <c r="E1226" s="8" t="e">
        <f ca="1">[1]!BexGetData("DP_1","003N8EMH8GTFRCSWKMPXRRL3Y","GSON1112110303")</f>
        <v>#NAME?</v>
      </c>
      <c r="F1226" s="4" t="e">
        <f ca="1">[1]!BexGetData("DP_1","003N8EMH8GTFRCSWKMPXRRRFI","GSON1112110303")</f>
        <v>#NAME?</v>
      </c>
      <c r="G1226" s="4" t="e">
        <f ca="1">[1]!BexGetData("DP_1","003N8EMH8GTFRCSWKMPXRRXR2","GSON1112110303")</f>
        <v>#NAME?</v>
      </c>
      <c r="H1226" s="4" t="e">
        <f ca="1">[1]!BexGetData("DP_1","003N8EMH8GTFRCSWKMPXRS42M","GSON1112110303")</f>
        <v>#NAME?</v>
      </c>
      <c r="I1226" s="4" t="e">
        <f ca="1">[1]!BexGetData("DP_1","003N8EMH8GTFRCSWKMPXRSAE6","GSON1112110303")</f>
        <v>#NAME?</v>
      </c>
      <c r="J1226" s="4" t="e">
        <f ca="1">[1]!BexGetData("DP_1","003N8EMH8GTFRCSWKMPXRSGPQ","GSON1112110303")</f>
        <v>#NAME?</v>
      </c>
      <c r="K1226" s="8" t="e">
        <f ca="1">[1]!BexGetData("DP_1","003N8EMH8GTFRIVNUPY288VJH","GSON1112110303")</f>
        <v>#NAME?</v>
      </c>
      <c r="L1226" s="8" t="e">
        <f ca="1">[1]!BexGetData("DP_1","003N8EMH8GTFRIVNUPY2891V1","GSON1112110303")</f>
        <v>#NAME?</v>
      </c>
      <c r="M1226" s="8" t="e">
        <f ca="1">[1]!BexGetData("DP_1","003N8EMH8GTFRIVOG7KG9IQXA","GSON1112110303")</f>
        <v>#NAME?</v>
      </c>
      <c r="N1226" s="8" t="e">
        <f ca="1">[1]!BexGetData("DP_1","003N8EMH8GTFRIVOG7KG9IX8U","GSON1112110303")</f>
        <v>#NAME?</v>
      </c>
      <c r="O1226" s="8" t="e">
        <f ca="1">[1]!BexGetData("DP_1","003N8EMH8GTFRIVOG7KG9J3KE","GSON1112110303")</f>
        <v>#NAME?</v>
      </c>
      <c r="P1226" s="8" t="e">
        <f ca="1">[1]!BexGetData("DP_1","003N8EMH8GTFRIVOG7KG9J9VY","GSON1112110303")</f>
        <v>#NAME?</v>
      </c>
      <c r="Q1226" s="4" t="e">
        <f ca="1">[1]!BexGetData("DP_1","00O2TNJGODT0G5Z4TTKYMM5MT","GSON1112110303")</f>
        <v>#NAME?</v>
      </c>
      <c r="R1226" s="4" t="e">
        <f ca="1">[1]!BexGetData("DP_1","00O2TNJGODT0G5Z4TTKYMMBYD","GSON1112110303")</f>
        <v>#NAME?</v>
      </c>
      <c r="S1226" s="4" t="e">
        <f ca="1">[1]!BexGetData("DP_1","00O2TNJGODT0G5Z4TTKYMMI9X","GSON1112110303")</f>
        <v>#NAME?</v>
      </c>
      <c r="T1226" s="4" t="e">
        <f ca="1">[1]!BexGetData("DP_1","00O2TNJGODT0G5Z4TTKYMMOLH","GSON1112110303")</f>
        <v>#NAME?</v>
      </c>
      <c r="U1226" s="4" t="e">
        <f ca="1">[1]!BexGetData("DP_1","00O2TNJGODT0G5Z4TTKYMMUX1","GSON1112110303")</f>
        <v>#NAME?</v>
      </c>
      <c r="V1226" s="4" t="e">
        <f ca="1">[1]!BexGetData("DP_1","00O2TNJGODT0G5Z4TTKYMN18L","GSON1112110303")</f>
        <v>#NAME?</v>
      </c>
      <c r="W1226" s="4" t="e">
        <f ca="1">[1]!BexGetData("DP_1","00O2TNJGODT0G5Z4TTKYMN7K5","GSON1112110303")</f>
        <v>#NAME?</v>
      </c>
    </row>
    <row r="1227" spans="1:23" x14ac:dyDescent="0.2">
      <c r="A1227" s="16" t="s">
        <v>3494</v>
      </c>
      <c r="B1227" s="7" t="s">
        <v>3495</v>
      </c>
      <c r="C1227" s="3" t="e">
        <f ca="1">[1]!BexGetData("DP_1","003N8EMH8GTFRCSWKMPXRR8GU","GSON1112110304")</f>
        <v>#NAME?</v>
      </c>
      <c r="D1227" s="3" t="e">
        <f ca="1">[1]!BexGetData("DP_1","003N8EMH8GTFRCSWKMPXRRESE","GSON1112110304")</f>
        <v>#NAME?</v>
      </c>
      <c r="E1227" s="8" t="e">
        <f ca="1">[1]!BexGetData("DP_1","003N8EMH8GTFRCSWKMPXRRL3Y","GSON1112110304")</f>
        <v>#NAME?</v>
      </c>
      <c r="F1227" s="4" t="e">
        <f ca="1">[1]!BexGetData("DP_1","003N8EMH8GTFRCSWKMPXRRRFI","GSON1112110304")</f>
        <v>#NAME?</v>
      </c>
      <c r="G1227" s="4" t="e">
        <f ca="1">[1]!BexGetData("DP_1","003N8EMH8GTFRCSWKMPXRRXR2","GSON1112110304")</f>
        <v>#NAME?</v>
      </c>
      <c r="H1227" s="4" t="e">
        <f ca="1">[1]!BexGetData("DP_1","003N8EMH8GTFRCSWKMPXRS42M","GSON1112110304")</f>
        <v>#NAME?</v>
      </c>
      <c r="I1227" s="4" t="e">
        <f ca="1">[1]!BexGetData("DP_1","003N8EMH8GTFRCSWKMPXRSAE6","GSON1112110304")</f>
        <v>#NAME?</v>
      </c>
      <c r="J1227" s="4" t="e">
        <f ca="1">[1]!BexGetData("DP_1","003N8EMH8GTFRCSWKMPXRSGPQ","GSON1112110304")</f>
        <v>#NAME?</v>
      </c>
      <c r="K1227" s="8" t="e">
        <f ca="1">[1]!BexGetData("DP_1","003N8EMH8GTFRIVNUPY288VJH","GSON1112110304")</f>
        <v>#NAME?</v>
      </c>
      <c r="L1227" s="8" t="e">
        <f ca="1">[1]!BexGetData("DP_1","003N8EMH8GTFRIVNUPY2891V1","GSON1112110304")</f>
        <v>#NAME?</v>
      </c>
      <c r="M1227" s="8" t="e">
        <f ca="1">[1]!BexGetData("DP_1","003N8EMH8GTFRIVOG7KG9IQXA","GSON1112110304")</f>
        <v>#NAME?</v>
      </c>
      <c r="N1227" s="8" t="e">
        <f ca="1">[1]!BexGetData("DP_1","003N8EMH8GTFRIVOG7KG9IX8U","GSON1112110304")</f>
        <v>#NAME?</v>
      </c>
      <c r="O1227" s="8" t="e">
        <f ca="1">[1]!BexGetData("DP_1","003N8EMH8GTFRIVOG7KG9J3KE","GSON1112110304")</f>
        <v>#NAME?</v>
      </c>
      <c r="P1227" s="8" t="e">
        <f ca="1">[1]!BexGetData("DP_1","003N8EMH8GTFRIVOG7KG9J9VY","GSON1112110304")</f>
        <v>#NAME?</v>
      </c>
      <c r="Q1227" s="4" t="e">
        <f ca="1">[1]!BexGetData("DP_1","00O2TNJGODT0G5Z4TTKYMM5MT","GSON1112110304")</f>
        <v>#NAME?</v>
      </c>
      <c r="R1227" s="4" t="e">
        <f ca="1">[1]!BexGetData("DP_1","00O2TNJGODT0G5Z4TTKYMMBYD","GSON1112110304")</f>
        <v>#NAME?</v>
      </c>
      <c r="S1227" s="4" t="e">
        <f ca="1">[1]!BexGetData("DP_1","00O2TNJGODT0G5Z4TTKYMMI9X","GSON1112110304")</f>
        <v>#NAME?</v>
      </c>
      <c r="T1227" s="4" t="e">
        <f ca="1">[1]!BexGetData("DP_1","00O2TNJGODT0G5Z4TTKYMMOLH","GSON1112110304")</f>
        <v>#NAME?</v>
      </c>
      <c r="U1227" s="4" t="e">
        <f ca="1">[1]!BexGetData("DP_1","00O2TNJGODT0G5Z4TTKYMMUX1","GSON1112110304")</f>
        <v>#NAME?</v>
      </c>
      <c r="V1227" s="4" t="e">
        <f ca="1">[1]!BexGetData("DP_1","00O2TNJGODT0G5Z4TTKYMN18L","GSON1112110304")</f>
        <v>#NAME?</v>
      </c>
      <c r="W1227" s="4" t="e">
        <f ca="1">[1]!BexGetData("DP_1","00O2TNJGODT0G5Z4TTKYMN7K5","GSON1112110304")</f>
        <v>#NAME?</v>
      </c>
    </row>
    <row r="1228" spans="1:23" x14ac:dyDescent="0.2">
      <c r="A1228" s="16" t="s">
        <v>3496</v>
      </c>
      <c r="B1228" s="7" t="s">
        <v>3497</v>
      </c>
      <c r="C1228" s="3" t="e">
        <f ca="1">[1]!BexGetData("DP_1","003N8EMH8GTFRCSWKMPXRR8GU","GSON1112110305")</f>
        <v>#NAME?</v>
      </c>
      <c r="D1228" s="3" t="e">
        <f ca="1">[1]!BexGetData("DP_1","003N8EMH8GTFRCSWKMPXRRESE","GSON1112110305")</f>
        <v>#NAME?</v>
      </c>
      <c r="E1228" s="8" t="e">
        <f ca="1">[1]!BexGetData("DP_1","003N8EMH8GTFRCSWKMPXRRL3Y","GSON1112110305")</f>
        <v>#NAME?</v>
      </c>
      <c r="F1228" s="4" t="e">
        <f ca="1">[1]!BexGetData("DP_1","003N8EMH8GTFRCSWKMPXRRRFI","GSON1112110305")</f>
        <v>#NAME?</v>
      </c>
      <c r="G1228" s="4" t="e">
        <f ca="1">[1]!BexGetData("DP_1","003N8EMH8GTFRCSWKMPXRRXR2","GSON1112110305")</f>
        <v>#NAME?</v>
      </c>
      <c r="H1228" s="4" t="e">
        <f ca="1">[1]!BexGetData("DP_1","003N8EMH8GTFRCSWKMPXRS42M","GSON1112110305")</f>
        <v>#NAME?</v>
      </c>
      <c r="I1228" s="4" t="e">
        <f ca="1">[1]!BexGetData("DP_1","003N8EMH8GTFRCSWKMPXRSAE6","GSON1112110305")</f>
        <v>#NAME?</v>
      </c>
      <c r="J1228" s="4" t="e">
        <f ca="1">[1]!BexGetData("DP_1","003N8EMH8GTFRCSWKMPXRSGPQ","GSON1112110305")</f>
        <v>#NAME?</v>
      </c>
      <c r="K1228" s="8" t="e">
        <f ca="1">[1]!BexGetData("DP_1","003N8EMH8GTFRIVNUPY288VJH","GSON1112110305")</f>
        <v>#NAME?</v>
      </c>
      <c r="L1228" s="8" t="e">
        <f ca="1">[1]!BexGetData("DP_1","003N8EMH8GTFRIVNUPY2891V1","GSON1112110305")</f>
        <v>#NAME?</v>
      </c>
      <c r="M1228" s="8" t="e">
        <f ca="1">[1]!BexGetData("DP_1","003N8EMH8GTFRIVOG7KG9IQXA","GSON1112110305")</f>
        <v>#NAME?</v>
      </c>
      <c r="N1228" s="8" t="e">
        <f ca="1">[1]!BexGetData("DP_1","003N8EMH8GTFRIVOG7KG9IX8U","GSON1112110305")</f>
        <v>#NAME?</v>
      </c>
      <c r="O1228" s="8" t="e">
        <f ca="1">[1]!BexGetData("DP_1","003N8EMH8GTFRIVOG7KG9J3KE","GSON1112110305")</f>
        <v>#NAME?</v>
      </c>
      <c r="P1228" s="8" t="e">
        <f ca="1">[1]!BexGetData("DP_1","003N8EMH8GTFRIVOG7KG9J9VY","GSON1112110305")</f>
        <v>#NAME?</v>
      </c>
      <c r="Q1228" s="4" t="e">
        <f ca="1">[1]!BexGetData("DP_1","00O2TNJGODT0G5Z4TTKYMM5MT","GSON1112110305")</f>
        <v>#NAME?</v>
      </c>
      <c r="R1228" s="4" t="e">
        <f ca="1">[1]!BexGetData("DP_1","00O2TNJGODT0G5Z4TTKYMMBYD","GSON1112110305")</f>
        <v>#NAME?</v>
      </c>
      <c r="S1228" s="4" t="e">
        <f ca="1">[1]!BexGetData("DP_1","00O2TNJGODT0G5Z4TTKYMMI9X","GSON1112110305")</f>
        <v>#NAME?</v>
      </c>
      <c r="T1228" s="4" t="e">
        <f ca="1">[1]!BexGetData("DP_1","00O2TNJGODT0G5Z4TTKYMMOLH","GSON1112110305")</f>
        <v>#NAME?</v>
      </c>
      <c r="U1228" s="4" t="e">
        <f ca="1">[1]!BexGetData("DP_1","00O2TNJGODT0G5Z4TTKYMMUX1","GSON1112110305")</f>
        <v>#NAME?</v>
      </c>
      <c r="V1228" s="4" t="e">
        <f ca="1">[1]!BexGetData("DP_1","00O2TNJGODT0G5Z4TTKYMN18L","GSON1112110305")</f>
        <v>#NAME?</v>
      </c>
      <c r="W1228" s="4" t="e">
        <f ca="1">[1]!BexGetData("DP_1","00O2TNJGODT0G5Z4TTKYMN7K5","GSON1112110305")</f>
        <v>#NAME?</v>
      </c>
    </row>
    <row r="1229" spans="1:23" x14ac:dyDescent="0.2">
      <c r="A1229" s="16" t="s">
        <v>3498</v>
      </c>
      <c r="B1229" s="7" t="s">
        <v>3499</v>
      </c>
      <c r="C1229" s="3" t="e">
        <f ca="1">[1]!BexGetData("DP_1","003N8EMH8GTFRCSWKMPXRR8GU","GSON1112110320")</f>
        <v>#NAME?</v>
      </c>
      <c r="D1229" s="3" t="e">
        <f ca="1">[1]!BexGetData("DP_1","003N8EMH8GTFRCSWKMPXRRESE","GSON1112110320")</f>
        <v>#NAME?</v>
      </c>
      <c r="E1229" s="3" t="e">
        <f ca="1">[1]!BexGetData("DP_1","003N8EMH8GTFRCSWKMPXRRL3Y","GSON1112110320")</f>
        <v>#NAME?</v>
      </c>
      <c r="F1229" s="4" t="e">
        <f ca="1">[1]!BexGetData("DP_1","003N8EMH8GTFRCSWKMPXRRRFI","GSON1112110320")</f>
        <v>#NAME?</v>
      </c>
      <c r="G1229" s="4" t="e">
        <f ca="1">[1]!BexGetData("DP_1","003N8EMH8GTFRCSWKMPXRRXR2","GSON1112110320")</f>
        <v>#NAME?</v>
      </c>
      <c r="H1229" s="4" t="e">
        <f ca="1">[1]!BexGetData("DP_1","003N8EMH8GTFRCSWKMPXRS42M","GSON1112110320")</f>
        <v>#NAME?</v>
      </c>
      <c r="I1229" s="4" t="e">
        <f ca="1">[1]!BexGetData("DP_1","003N8EMH8GTFRCSWKMPXRSAE6","GSON1112110320")</f>
        <v>#NAME?</v>
      </c>
      <c r="J1229" s="4" t="e">
        <f ca="1">[1]!BexGetData("DP_1","003N8EMH8GTFRCSWKMPXRSGPQ","GSON1112110320")</f>
        <v>#NAME?</v>
      </c>
      <c r="K1229" s="3" t="e">
        <f ca="1">[1]!BexGetData("DP_1","003N8EMH8GTFRIVNUPY288VJH","GSON1112110320")</f>
        <v>#NAME?</v>
      </c>
      <c r="L1229" s="3" t="e">
        <f ca="1">[1]!BexGetData("DP_1","003N8EMH8GTFRIVNUPY2891V1","GSON1112110320")</f>
        <v>#NAME?</v>
      </c>
      <c r="M1229" s="8" t="e">
        <f ca="1">[1]!BexGetData("DP_1","003N8EMH8GTFRIVOG7KG9IQXA","GSON1112110320")</f>
        <v>#NAME?</v>
      </c>
      <c r="N1229" s="3" t="e">
        <f ca="1">[1]!BexGetData("DP_1","003N8EMH8GTFRIVOG7KG9IX8U","GSON1112110320")</f>
        <v>#NAME?</v>
      </c>
      <c r="O1229" s="8" t="e">
        <f ca="1">[1]!BexGetData("DP_1","003N8EMH8GTFRIVOG7KG9J3KE","GSON1112110320")</f>
        <v>#NAME?</v>
      </c>
      <c r="P1229" s="3" t="e">
        <f ca="1">[1]!BexGetData("DP_1","003N8EMH8GTFRIVOG7KG9J9VY","GSON1112110320")</f>
        <v>#NAME?</v>
      </c>
      <c r="Q1229" s="4" t="e">
        <f ca="1">[1]!BexGetData("DP_1","00O2TNJGODT0G5Z4TTKYMM5MT","GSON1112110320")</f>
        <v>#NAME?</v>
      </c>
      <c r="R1229" s="4" t="e">
        <f ca="1">[1]!BexGetData("DP_1","00O2TNJGODT0G5Z4TTKYMMBYD","GSON1112110320")</f>
        <v>#NAME?</v>
      </c>
      <c r="S1229" s="4" t="e">
        <f ca="1">[1]!BexGetData("DP_1","00O2TNJGODT0G5Z4TTKYMMI9X","GSON1112110320")</f>
        <v>#NAME?</v>
      </c>
      <c r="T1229" s="4" t="e">
        <f ca="1">[1]!BexGetData("DP_1","00O2TNJGODT0G5Z4TTKYMMOLH","GSON1112110320")</f>
        <v>#NAME?</v>
      </c>
      <c r="U1229" s="4" t="e">
        <f ca="1">[1]!BexGetData("DP_1","00O2TNJGODT0G5Z4TTKYMMUX1","GSON1112110320")</f>
        <v>#NAME?</v>
      </c>
      <c r="V1229" s="4" t="e">
        <f ca="1">[1]!BexGetData("DP_1","00O2TNJGODT0G5Z4TTKYMN18L","GSON1112110320")</f>
        <v>#NAME?</v>
      </c>
      <c r="W1229" s="4" t="e">
        <f ca="1">[1]!BexGetData("DP_1","00O2TNJGODT0G5Z4TTKYMN7K5","GSON1112110320")</f>
        <v>#NAME?</v>
      </c>
    </row>
    <row r="1230" spans="1:23" x14ac:dyDescent="0.2">
      <c r="A1230" s="16" t="s">
        <v>3500</v>
      </c>
      <c r="B1230" s="7" t="s">
        <v>3501</v>
      </c>
      <c r="C1230" s="3" t="e">
        <f ca="1">[1]!BexGetData("DP_1","003N8EMH8GTFRCSWKMPXRR8GU","GSON1112110321")</f>
        <v>#NAME?</v>
      </c>
      <c r="D1230" s="3" t="e">
        <f ca="1">[1]!BexGetData("DP_1","003N8EMH8GTFRCSWKMPXRRESE","GSON1112110321")</f>
        <v>#NAME?</v>
      </c>
      <c r="E1230" s="8" t="e">
        <f ca="1">[1]!BexGetData("DP_1","003N8EMH8GTFRCSWKMPXRRL3Y","GSON1112110321")</f>
        <v>#NAME?</v>
      </c>
      <c r="F1230" s="4" t="e">
        <f ca="1">[1]!BexGetData("DP_1","003N8EMH8GTFRCSWKMPXRRRFI","GSON1112110321")</f>
        <v>#NAME?</v>
      </c>
      <c r="G1230" s="4" t="e">
        <f ca="1">[1]!BexGetData("DP_1","003N8EMH8GTFRCSWKMPXRRXR2","GSON1112110321")</f>
        <v>#NAME?</v>
      </c>
      <c r="H1230" s="4" t="e">
        <f ca="1">[1]!BexGetData("DP_1","003N8EMH8GTFRCSWKMPXRS42M","GSON1112110321")</f>
        <v>#NAME?</v>
      </c>
      <c r="I1230" s="4" t="e">
        <f ca="1">[1]!BexGetData("DP_1","003N8EMH8GTFRCSWKMPXRSAE6","GSON1112110321")</f>
        <v>#NAME?</v>
      </c>
      <c r="J1230" s="4" t="e">
        <f ca="1">[1]!BexGetData("DP_1","003N8EMH8GTFRCSWKMPXRSGPQ","GSON1112110321")</f>
        <v>#NAME?</v>
      </c>
      <c r="K1230" s="8" t="e">
        <f ca="1">[1]!BexGetData("DP_1","003N8EMH8GTFRIVNUPY288VJH","GSON1112110321")</f>
        <v>#NAME?</v>
      </c>
      <c r="L1230" s="8" t="e">
        <f ca="1">[1]!BexGetData("DP_1","003N8EMH8GTFRIVNUPY2891V1","GSON1112110321")</f>
        <v>#NAME?</v>
      </c>
      <c r="M1230" s="8" t="e">
        <f ca="1">[1]!BexGetData("DP_1","003N8EMH8GTFRIVOG7KG9IQXA","GSON1112110321")</f>
        <v>#NAME?</v>
      </c>
      <c r="N1230" s="8" t="e">
        <f ca="1">[1]!BexGetData("DP_1","003N8EMH8GTFRIVOG7KG9IX8U","GSON1112110321")</f>
        <v>#NAME?</v>
      </c>
      <c r="O1230" s="8" t="e">
        <f ca="1">[1]!BexGetData("DP_1","003N8EMH8GTFRIVOG7KG9J3KE","GSON1112110321")</f>
        <v>#NAME?</v>
      </c>
      <c r="P1230" s="8" t="e">
        <f ca="1">[1]!BexGetData("DP_1","003N8EMH8GTFRIVOG7KG9J9VY","GSON1112110321")</f>
        <v>#NAME?</v>
      </c>
      <c r="Q1230" s="4" t="e">
        <f ca="1">[1]!BexGetData("DP_1","00O2TNJGODT0G5Z4TTKYMM5MT","GSON1112110321")</f>
        <v>#NAME?</v>
      </c>
      <c r="R1230" s="4" t="e">
        <f ca="1">[1]!BexGetData("DP_1","00O2TNJGODT0G5Z4TTKYMMBYD","GSON1112110321")</f>
        <v>#NAME?</v>
      </c>
      <c r="S1230" s="4" t="e">
        <f ca="1">[1]!BexGetData("DP_1","00O2TNJGODT0G5Z4TTKYMMI9X","GSON1112110321")</f>
        <v>#NAME?</v>
      </c>
      <c r="T1230" s="4" t="e">
        <f ca="1">[1]!BexGetData("DP_1","00O2TNJGODT0G5Z4TTKYMMOLH","GSON1112110321")</f>
        <v>#NAME?</v>
      </c>
      <c r="U1230" s="4" t="e">
        <f ca="1">[1]!BexGetData("DP_1","00O2TNJGODT0G5Z4TTKYMMUX1","GSON1112110321")</f>
        <v>#NAME?</v>
      </c>
      <c r="V1230" s="4" t="e">
        <f ca="1">[1]!BexGetData("DP_1","00O2TNJGODT0G5Z4TTKYMN18L","GSON1112110321")</f>
        <v>#NAME?</v>
      </c>
      <c r="W1230" s="4" t="e">
        <f ca="1">[1]!BexGetData("DP_1","00O2TNJGODT0G5Z4TTKYMN7K5","GSON1112110321")</f>
        <v>#NAME?</v>
      </c>
    </row>
    <row r="1231" spans="1:23" x14ac:dyDescent="0.2">
      <c r="A1231" s="16" t="s">
        <v>3502</v>
      </c>
      <c r="B1231" s="7" t="s">
        <v>3503</v>
      </c>
      <c r="C1231" s="3" t="e">
        <f ca="1">[1]!BexGetData("DP_1","003N8EMH8GTFRCSWKMPXRR8GU","GSON1112110323")</f>
        <v>#NAME?</v>
      </c>
      <c r="D1231" s="3" t="e">
        <f ca="1">[1]!BexGetData("DP_1","003N8EMH8GTFRCSWKMPXRRESE","GSON1112110323")</f>
        <v>#NAME?</v>
      </c>
      <c r="E1231" s="8" t="e">
        <f ca="1">[1]!BexGetData("DP_1","003N8EMH8GTFRCSWKMPXRRL3Y","GSON1112110323")</f>
        <v>#NAME?</v>
      </c>
      <c r="F1231" s="4" t="e">
        <f ca="1">[1]!BexGetData("DP_1","003N8EMH8GTFRCSWKMPXRRRFI","GSON1112110323")</f>
        <v>#NAME?</v>
      </c>
      <c r="G1231" s="4" t="e">
        <f ca="1">[1]!BexGetData("DP_1","003N8EMH8GTFRCSWKMPXRRXR2","GSON1112110323")</f>
        <v>#NAME?</v>
      </c>
      <c r="H1231" s="4" t="e">
        <f ca="1">[1]!BexGetData("DP_1","003N8EMH8GTFRCSWKMPXRS42M","GSON1112110323")</f>
        <v>#NAME?</v>
      </c>
      <c r="I1231" s="4" t="e">
        <f ca="1">[1]!BexGetData("DP_1","003N8EMH8GTFRCSWKMPXRSAE6","GSON1112110323")</f>
        <v>#NAME?</v>
      </c>
      <c r="J1231" s="4" t="e">
        <f ca="1">[1]!BexGetData("DP_1","003N8EMH8GTFRCSWKMPXRSGPQ","GSON1112110323")</f>
        <v>#NAME?</v>
      </c>
      <c r="K1231" s="8" t="e">
        <f ca="1">[1]!BexGetData("DP_1","003N8EMH8GTFRIVNUPY288VJH","GSON1112110323")</f>
        <v>#NAME?</v>
      </c>
      <c r="L1231" s="8" t="e">
        <f ca="1">[1]!BexGetData("DP_1","003N8EMH8GTFRIVNUPY2891V1","GSON1112110323")</f>
        <v>#NAME?</v>
      </c>
      <c r="M1231" s="8" t="e">
        <f ca="1">[1]!BexGetData("DP_1","003N8EMH8GTFRIVOG7KG9IQXA","GSON1112110323")</f>
        <v>#NAME?</v>
      </c>
      <c r="N1231" s="8" t="e">
        <f ca="1">[1]!BexGetData("DP_1","003N8EMH8GTFRIVOG7KG9IX8U","GSON1112110323")</f>
        <v>#NAME?</v>
      </c>
      <c r="O1231" s="8" t="e">
        <f ca="1">[1]!BexGetData("DP_1","003N8EMH8GTFRIVOG7KG9J3KE","GSON1112110323")</f>
        <v>#NAME?</v>
      </c>
      <c r="P1231" s="8" t="e">
        <f ca="1">[1]!BexGetData("DP_1","003N8EMH8GTFRIVOG7KG9J9VY","GSON1112110323")</f>
        <v>#NAME?</v>
      </c>
      <c r="Q1231" s="4" t="e">
        <f ca="1">[1]!BexGetData("DP_1","00O2TNJGODT0G5Z4TTKYMM5MT","GSON1112110323")</f>
        <v>#NAME?</v>
      </c>
      <c r="R1231" s="4" t="e">
        <f ca="1">[1]!BexGetData("DP_1","00O2TNJGODT0G5Z4TTKYMMBYD","GSON1112110323")</f>
        <v>#NAME?</v>
      </c>
      <c r="S1231" s="4" t="e">
        <f ca="1">[1]!BexGetData("DP_1","00O2TNJGODT0G5Z4TTKYMMI9X","GSON1112110323")</f>
        <v>#NAME?</v>
      </c>
      <c r="T1231" s="4" t="e">
        <f ca="1">[1]!BexGetData("DP_1","00O2TNJGODT0G5Z4TTKYMMOLH","GSON1112110323")</f>
        <v>#NAME?</v>
      </c>
      <c r="U1231" s="4" t="e">
        <f ca="1">[1]!BexGetData("DP_1","00O2TNJGODT0G5Z4TTKYMMUX1","GSON1112110323")</f>
        <v>#NAME?</v>
      </c>
      <c r="V1231" s="4" t="e">
        <f ca="1">[1]!BexGetData("DP_1","00O2TNJGODT0G5Z4TTKYMN18L","GSON1112110323")</f>
        <v>#NAME?</v>
      </c>
      <c r="W1231" s="4" t="e">
        <f ca="1">[1]!BexGetData("DP_1","00O2TNJGODT0G5Z4TTKYMN7K5","GSON1112110323")</f>
        <v>#NAME?</v>
      </c>
    </row>
    <row r="1232" spans="1:23" x14ac:dyDescent="0.2">
      <c r="A1232" s="16" t="s">
        <v>3504</v>
      </c>
      <c r="B1232" s="7" t="s">
        <v>3505</v>
      </c>
      <c r="C1232" s="3" t="e">
        <f ca="1">[1]!BexGetData("DP_1","003N8EMH8GTFRCSWKMPXRR8GU","GSON1112110324")</f>
        <v>#NAME?</v>
      </c>
      <c r="D1232" s="3" t="e">
        <f ca="1">[1]!BexGetData("DP_1","003N8EMH8GTFRCSWKMPXRRESE","GSON1112110324")</f>
        <v>#NAME?</v>
      </c>
      <c r="E1232" s="8" t="e">
        <f ca="1">[1]!BexGetData("DP_1","003N8EMH8GTFRCSWKMPXRRL3Y","GSON1112110324")</f>
        <v>#NAME?</v>
      </c>
      <c r="F1232" s="4" t="e">
        <f ca="1">[1]!BexGetData("DP_1","003N8EMH8GTFRCSWKMPXRRRFI","GSON1112110324")</f>
        <v>#NAME?</v>
      </c>
      <c r="G1232" s="4" t="e">
        <f ca="1">[1]!BexGetData("DP_1","003N8EMH8GTFRCSWKMPXRRXR2","GSON1112110324")</f>
        <v>#NAME?</v>
      </c>
      <c r="H1232" s="4" t="e">
        <f ca="1">[1]!BexGetData("DP_1","003N8EMH8GTFRCSWKMPXRS42M","GSON1112110324")</f>
        <v>#NAME?</v>
      </c>
      <c r="I1232" s="4" t="e">
        <f ca="1">[1]!BexGetData("DP_1","003N8EMH8GTFRCSWKMPXRSAE6","GSON1112110324")</f>
        <v>#NAME?</v>
      </c>
      <c r="J1232" s="4" t="e">
        <f ca="1">[1]!BexGetData("DP_1","003N8EMH8GTFRCSWKMPXRSGPQ","GSON1112110324")</f>
        <v>#NAME?</v>
      </c>
      <c r="K1232" s="8" t="e">
        <f ca="1">[1]!BexGetData("DP_1","003N8EMH8GTFRIVNUPY288VJH","GSON1112110324")</f>
        <v>#NAME?</v>
      </c>
      <c r="L1232" s="8" t="e">
        <f ca="1">[1]!BexGetData("DP_1","003N8EMH8GTFRIVNUPY2891V1","GSON1112110324")</f>
        <v>#NAME?</v>
      </c>
      <c r="M1232" s="8" t="e">
        <f ca="1">[1]!BexGetData("DP_1","003N8EMH8GTFRIVOG7KG9IQXA","GSON1112110324")</f>
        <v>#NAME?</v>
      </c>
      <c r="N1232" s="8" t="e">
        <f ca="1">[1]!BexGetData("DP_1","003N8EMH8GTFRIVOG7KG9IX8U","GSON1112110324")</f>
        <v>#NAME?</v>
      </c>
      <c r="O1232" s="8" t="e">
        <f ca="1">[1]!BexGetData("DP_1","003N8EMH8GTFRIVOG7KG9J3KE","GSON1112110324")</f>
        <v>#NAME?</v>
      </c>
      <c r="P1232" s="8" t="e">
        <f ca="1">[1]!BexGetData("DP_1","003N8EMH8GTFRIVOG7KG9J9VY","GSON1112110324")</f>
        <v>#NAME?</v>
      </c>
      <c r="Q1232" s="4" t="e">
        <f ca="1">[1]!BexGetData("DP_1","00O2TNJGODT0G5Z4TTKYMM5MT","GSON1112110324")</f>
        <v>#NAME?</v>
      </c>
      <c r="R1232" s="4" t="e">
        <f ca="1">[1]!BexGetData("DP_1","00O2TNJGODT0G5Z4TTKYMMBYD","GSON1112110324")</f>
        <v>#NAME?</v>
      </c>
      <c r="S1232" s="4" t="e">
        <f ca="1">[1]!BexGetData("DP_1","00O2TNJGODT0G5Z4TTKYMMI9X","GSON1112110324")</f>
        <v>#NAME?</v>
      </c>
      <c r="T1232" s="4" t="e">
        <f ca="1">[1]!BexGetData("DP_1","00O2TNJGODT0G5Z4TTKYMMOLH","GSON1112110324")</f>
        <v>#NAME?</v>
      </c>
      <c r="U1232" s="4" t="e">
        <f ca="1">[1]!BexGetData("DP_1","00O2TNJGODT0G5Z4TTKYMMUX1","GSON1112110324")</f>
        <v>#NAME?</v>
      </c>
      <c r="V1232" s="4" t="e">
        <f ca="1">[1]!BexGetData("DP_1","00O2TNJGODT0G5Z4TTKYMN18L","GSON1112110324")</f>
        <v>#NAME?</v>
      </c>
      <c r="W1232" s="4" t="e">
        <f ca="1">[1]!BexGetData("DP_1","00O2TNJGODT0G5Z4TTKYMN7K5","GSON1112110324")</f>
        <v>#NAME?</v>
      </c>
    </row>
    <row r="1233" spans="1:23" x14ac:dyDescent="0.2">
      <c r="A1233" s="16" t="s">
        <v>3506</v>
      </c>
      <c r="B1233" s="7" t="s">
        <v>3507</v>
      </c>
      <c r="C1233" s="3" t="e">
        <f ca="1">[1]!BexGetData("DP_1","003N8EMH8GTFRCSWKMPXRR8GU","GSON1112110325")</f>
        <v>#NAME?</v>
      </c>
      <c r="D1233" s="3" t="e">
        <f ca="1">[1]!BexGetData("DP_1","003N8EMH8GTFRCSWKMPXRRESE","GSON1112110325")</f>
        <v>#NAME?</v>
      </c>
      <c r="E1233" s="8" t="e">
        <f ca="1">[1]!BexGetData("DP_1","003N8EMH8GTFRCSWKMPXRRL3Y","GSON1112110325")</f>
        <v>#NAME?</v>
      </c>
      <c r="F1233" s="4" t="e">
        <f ca="1">[1]!BexGetData("DP_1","003N8EMH8GTFRCSWKMPXRRRFI","GSON1112110325")</f>
        <v>#NAME?</v>
      </c>
      <c r="G1233" s="4" t="e">
        <f ca="1">[1]!BexGetData("DP_1","003N8EMH8GTFRCSWKMPXRRXR2","GSON1112110325")</f>
        <v>#NAME?</v>
      </c>
      <c r="H1233" s="4" t="e">
        <f ca="1">[1]!BexGetData("DP_1","003N8EMH8GTFRCSWKMPXRS42M","GSON1112110325")</f>
        <v>#NAME?</v>
      </c>
      <c r="I1233" s="4" t="e">
        <f ca="1">[1]!BexGetData("DP_1","003N8EMH8GTFRCSWKMPXRSAE6","GSON1112110325")</f>
        <v>#NAME?</v>
      </c>
      <c r="J1233" s="4" t="e">
        <f ca="1">[1]!BexGetData("DP_1","003N8EMH8GTFRCSWKMPXRSGPQ","GSON1112110325")</f>
        <v>#NAME?</v>
      </c>
      <c r="K1233" s="8" t="e">
        <f ca="1">[1]!BexGetData("DP_1","003N8EMH8GTFRIVNUPY288VJH","GSON1112110325")</f>
        <v>#NAME?</v>
      </c>
      <c r="L1233" s="8" t="e">
        <f ca="1">[1]!BexGetData("DP_1","003N8EMH8GTFRIVNUPY2891V1","GSON1112110325")</f>
        <v>#NAME?</v>
      </c>
      <c r="M1233" s="8" t="e">
        <f ca="1">[1]!BexGetData("DP_1","003N8EMH8GTFRIVOG7KG9IQXA","GSON1112110325")</f>
        <v>#NAME?</v>
      </c>
      <c r="N1233" s="8" t="e">
        <f ca="1">[1]!BexGetData("DP_1","003N8EMH8GTFRIVOG7KG9IX8U","GSON1112110325")</f>
        <v>#NAME?</v>
      </c>
      <c r="O1233" s="8" t="e">
        <f ca="1">[1]!BexGetData("DP_1","003N8EMH8GTFRIVOG7KG9J3KE","GSON1112110325")</f>
        <v>#NAME?</v>
      </c>
      <c r="P1233" s="8" t="e">
        <f ca="1">[1]!BexGetData("DP_1","003N8EMH8GTFRIVOG7KG9J9VY","GSON1112110325")</f>
        <v>#NAME?</v>
      </c>
      <c r="Q1233" s="4" t="e">
        <f ca="1">[1]!BexGetData("DP_1","00O2TNJGODT0G5Z4TTKYMM5MT","GSON1112110325")</f>
        <v>#NAME?</v>
      </c>
      <c r="R1233" s="4" t="e">
        <f ca="1">[1]!BexGetData("DP_1","00O2TNJGODT0G5Z4TTKYMMBYD","GSON1112110325")</f>
        <v>#NAME?</v>
      </c>
      <c r="S1233" s="4" t="e">
        <f ca="1">[1]!BexGetData("DP_1","00O2TNJGODT0G5Z4TTKYMMI9X","GSON1112110325")</f>
        <v>#NAME?</v>
      </c>
      <c r="T1233" s="4" t="e">
        <f ca="1">[1]!BexGetData("DP_1","00O2TNJGODT0G5Z4TTKYMMOLH","GSON1112110325")</f>
        <v>#NAME?</v>
      </c>
      <c r="U1233" s="4" t="e">
        <f ca="1">[1]!BexGetData("DP_1","00O2TNJGODT0G5Z4TTKYMMUX1","GSON1112110325")</f>
        <v>#NAME?</v>
      </c>
      <c r="V1233" s="4" t="e">
        <f ca="1">[1]!BexGetData("DP_1","00O2TNJGODT0G5Z4TTKYMN18L","GSON1112110325")</f>
        <v>#NAME?</v>
      </c>
      <c r="W1233" s="4" t="e">
        <f ca="1">[1]!BexGetData("DP_1","00O2TNJGODT0G5Z4TTKYMN7K5","GSON1112110325")</f>
        <v>#NAME?</v>
      </c>
    </row>
    <row r="1234" spans="1:23" x14ac:dyDescent="0.2">
      <c r="A1234" s="16" t="s">
        <v>3508</v>
      </c>
      <c r="B1234" s="7" t="s">
        <v>3509</v>
      </c>
      <c r="C1234" s="3" t="e">
        <f ca="1">[1]!BexGetData("DP_1","003N8EMH8GTFRCSWKMPXRR8GU","GSON1112110340")</f>
        <v>#NAME?</v>
      </c>
      <c r="D1234" s="3" t="e">
        <f ca="1">[1]!BexGetData("DP_1","003N8EMH8GTFRCSWKMPXRRESE","GSON1112110340")</f>
        <v>#NAME?</v>
      </c>
      <c r="E1234" s="3" t="e">
        <f ca="1">[1]!BexGetData("DP_1","003N8EMH8GTFRCSWKMPXRRL3Y","GSON1112110340")</f>
        <v>#NAME?</v>
      </c>
      <c r="F1234" s="4" t="e">
        <f ca="1">[1]!BexGetData("DP_1","003N8EMH8GTFRCSWKMPXRRRFI","GSON1112110340")</f>
        <v>#NAME?</v>
      </c>
      <c r="G1234" s="4" t="e">
        <f ca="1">[1]!BexGetData("DP_1","003N8EMH8GTFRCSWKMPXRRXR2","GSON1112110340")</f>
        <v>#NAME?</v>
      </c>
      <c r="H1234" s="4" t="e">
        <f ca="1">[1]!BexGetData("DP_1","003N8EMH8GTFRCSWKMPXRS42M","GSON1112110340")</f>
        <v>#NAME?</v>
      </c>
      <c r="I1234" s="4" t="e">
        <f ca="1">[1]!BexGetData("DP_1","003N8EMH8GTFRCSWKMPXRSAE6","GSON1112110340")</f>
        <v>#NAME?</v>
      </c>
      <c r="J1234" s="4" t="e">
        <f ca="1">[1]!BexGetData("DP_1","003N8EMH8GTFRCSWKMPXRSGPQ","GSON1112110340")</f>
        <v>#NAME?</v>
      </c>
      <c r="K1234" s="3" t="e">
        <f ca="1">[1]!BexGetData("DP_1","003N8EMH8GTFRIVNUPY288VJH","GSON1112110340")</f>
        <v>#NAME?</v>
      </c>
      <c r="L1234" s="3" t="e">
        <f ca="1">[1]!BexGetData("DP_1","003N8EMH8GTFRIVNUPY2891V1","GSON1112110340")</f>
        <v>#NAME?</v>
      </c>
      <c r="M1234" s="8" t="e">
        <f ca="1">[1]!BexGetData("DP_1","003N8EMH8GTFRIVOG7KG9IQXA","GSON1112110340")</f>
        <v>#NAME?</v>
      </c>
      <c r="N1234" s="3" t="e">
        <f ca="1">[1]!BexGetData("DP_1","003N8EMH8GTFRIVOG7KG9IX8U","GSON1112110340")</f>
        <v>#NAME?</v>
      </c>
      <c r="O1234" s="8" t="e">
        <f ca="1">[1]!BexGetData("DP_1","003N8EMH8GTFRIVOG7KG9J3KE","GSON1112110340")</f>
        <v>#NAME?</v>
      </c>
      <c r="P1234" s="3" t="e">
        <f ca="1">[1]!BexGetData("DP_1","003N8EMH8GTFRIVOG7KG9J9VY","GSON1112110340")</f>
        <v>#NAME?</v>
      </c>
      <c r="Q1234" s="4" t="e">
        <f ca="1">[1]!BexGetData("DP_1","00O2TNJGODT0G5Z4TTKYMM5MT","GSON1112110340")</f>
        <v>#NAME?</v>
      </c>
      <c r="R1234" s="4" t="e">
        <f ca="1">[1]!BexGetData("DP_1","00O2TNJGODT0G5Z4TTKYMMBYD","GSON1112110340")</f>
        <v>#NAME?</v>
      </c>
      <c r="S1234" s="4" t="e">
        <f ca="1">[1]!BexGetData("DP_1","00O2TNJGODT0G5Z4TTKYMMI9X","GSON1112110340")</f>
        <v>#NAME?</v>
      </c>
      <c r="T1234" s="4" t="e">
        <f ca="1">[1]!BexGetData("DP_1","00O2TNJGODT0G5Z4TTKYMMOLH","GSON1112110340")</f>
        <v>#NAME?</v>
      </c>
      <c r="U1234" s="4" t="e">
        <f ca="1">[1]!BexGetData("DP_1","00O2TNJGODT0G5Z4TTKYMMUX1","GSON1112110340")</f>
        <v>#NAME?</v>
      </c>
      <c r="V1234" s="4" t="e">
        <f ca="1">[1]!BexGetData("DP_1","00O2TNJGODT0G5Z4TTKYMN18L","GSON1112110340")</f>
        <v>#NAME?</v>
      </c>
      <c r="W1234" s="4" t="e">
        <f ca="1">[1]!BexGetData("DP_1","00O2TNJGODT0G5Z4TTKYMN7K5","GSON1112110340")</f>
        <v>#NAME?</v>
      </c>
    </row>
    <row r="1235" spans="1:23" x14ac:dyDescent="0.2">
      <c r="A1235" s="16" t="s">
        <v>3510</v>
      </c>
      <c r="B1235" s="7" t="s">
        <v>3511</v>
      </c>
      <c r="C1235" s="3" t="e">
        <f ca="1">[1]!BexGetData("DP_1","003N8EMH8GTFRCSWKMPXRR8GU","GSON1112110341")</f>
        <v>#NAME?</v>
      </c>
      <c r="D1235" s="3" t="e">
        <f ca="1">[1]!BexGetData("DP_1","003N8EMH8GTFRCSWKMPXRRESE","GSON1112110341")</f>
        <v>#NAME?</v>
      </c>
      <c r="E1235" s="3" t="e">
        <f ca="1">[1]!BexGetData("DP_1","003N8EMH8GTFRCSWKMPXRRL3Y","GSON1112110341")</f>
        <v>#NAME?</v>
      </c>
      <c r="F1235" s="4" t="e">
        <f ca="1">[1]!BexGetData("DP_1","003N8EMH8GTFRCSWKMPXRRRFI","GSON1112110341")</f>
        <v>#NAME?</v>
      </c>
      <c r="G1235" s="4" t="e">
        <f ca="1">[1]!BexGetData("DP_1","003N8EMH8GTFRCSWKMPXRRXR2","GSON1112110341")</f>
        <v>#NAME?</v>
      </c>
      <c r="H1235" s="4" t="e">
        <f ca="1">[1]!BexGetData("DP_1","003N8EMH8GTFRCSWKMPXRS42M","GSON1112110341")</f>
        <v>#NAME?</v>
      </c>
      <c r="I1235" s="4" t="e">
        <f ca="1">[1]!BexGetData("DP_1","003N8EMH8GTFRCSWKMPXRSAE6","GSON1112110341")</f>
        <v>#NAME?</v>
      </c>
      <c r="J1235" s="4" t="e">
        <f ca="1">[1]!BexGetData("DP_1","003N8EMH8GTFRCSWKMPXRSGPQ","GSON1112110341")</f>
        <v>#NAME?</v>
      </c>
      <c r="K1235" s="3" t="e">
        <f ca="1">[1]!BexGetData("DP_1","003N8EMH8GTFRIVNUPY288VJH","GSON1112110341")</f>
        <v>#NAME?</v>
      </c>
      <c r="L1235" s="3" t="e">
        <f ca="1">[1]!BexGetData("DP_1","003N8EMH8GTFRIVNUPY2891V1","GSON1112110341")</f>
        <v>#NAME?</v>
      </c>
      <c r="M1235" s="8" t="e">
        <f ca="1">[1]!BexGetData("DP_1","003N8EMH8GTFRIVOG7KG9IQXA","GSON1112110341")</f>
        <v>#NAME?</v>
      </c>
      <c r="N1235" s="3" t="e">
        <f ca="1">[1]!BexGetData("DP_1","003N8EMH8GTFRIVOG7KG9IX8U","GSON1112110341")</f>
        <v>#NAME?</v>
      </c>
      <c r="O1235" s="8" t="e">
        <f ca="1">[1]!BexGetData("DP_1","003N8EMH8GTFRIVOG7KG9J3KE","GSON1112110341")</f>
        <v>#NAME?</v>
      </c>
      <c r="P1235" s="3" t="e">
        <f ca="1">[1]!BexGetData("DP_1","003N8EMH8GTFRIVOG7KG9J9VY","GSON1112110341")</f>
        <v>#NAME?</v>
      </c>
      <c r="Q1235" s="4" t="e">
        <f ca="1">[1]!BexGetData("DP_1","00O2TNJGODT0G5Z4TTKYMM5MT","GSON1112110341")</f>
        <v>#NAME?</v>
      </c>
      <c r="R1235" s="4" t="e">
        <f ca="1">[1]!BexGetData("DP_1","00O2TNJGODT0G5Z4TTKYMMBYD","GSON1112110341")</f>
        <v>#NAME?</v>
      </c>
      <c r="S1235" s="4" t="e">
        <f ca="1">[1]!BexGetData("DP_1","00O2TNJGODT0G5Z4TTKYMMI9X","GSON1112110341")</f>
        <v>#NAME?</v>
      </c>
      <c r="T1235" s="4" t="e">
        <f ca="1">[1]!BexGetData("DP_1","00O2TNJGODT0G5Z4TTKYMMOLH","GSON1112110341")</f>
        <v>#NAME?</v>
      </c>
      <c r="U1235" s="4" t="e">
        <f ca="1">[1]!BexGetData("DP_1","00O2TNJGODT0G5Z4TTKYMMUX1","GSON1112110341")</f>
        <v>#NAME?</v>
      </c>
      <c r="V1235" s="4" t="e">
        <f ca="1">[1]!BexGetData("DP_1","00O2TNJGODT0G5Z4TTKYMN18L","GSON1112110341")</f>
        <v>#NAME?</v>
      </c>
      <c r="W1235" s="4" t="e">
        <f ca="1">[1]!BexGetData("DP_1","00O2TNJGODT0G5Z4TTKYMN7K5","GSON1112110341")</f>
        <v>#NAME?</v>
      </c>
    </row>
    <row r="1236" spans="1:23" x14ac:dyDescent="0.2">
      <c r="A1236" s="16" t="s">
        <v>3512</v>
      </c>
      <c r="B1236" s="7" t="s">
        <v>3513</v>
      </c>
      <c r="C1236" s="3" t="e">
        <f ca="1">[1]!BexGetData("DP_1","003N8EMH8GTFRCSWKMPXRR8GU","GSON1112110343")</f>
        <v>#NAME?</v>
      </c>
      <c r="D1236" s="3" t="e">
        <f ca="1">[1]!BexGetData("DP_1","003N8EMH8GTFRCSWKMPXRRESE","GSON1112110343")</f>
        <v>#NAME?</v>
      </c>
      <c r="E1236" s="8" t="e">
        <f ca="1">[1]!BexGetData("DP_1","003N8EMH8GTFRCSWKMPXRRL3Y","GSON1112110343")</f>
        <v>#NAME?</v>
      </c>
      <c r="F1236" s="4" t="e">
        <f ca="1">[1]!BexGetData("DP_1","003N8EMH8GTFRCSWKMPXRRRFI","GSON1112110343")</f>
        <v>#NAME?</v>
      </c>
      <c r="G1236" s="4" t="e">
        <f ca="1">[1]!BexGetData("DP_1","003N8EMH8GTFRCSWKMPXRRXR2","GSON1112110343")</f>
        <v>#NAME?</v>
      </c>
      <c r="H1236" s="4" t="e">
        <f ca="1">[1]!BexGetData("DP_1","003N8EMH8GTFRCSWKMPXRS42M","GSON1112110343")</f>
        <v>#NAME?</v>
      </c>
      <c r="I1236" s="4" t="e">
        <f ca="1">[1]!BexGetData("DP_1","003N8EMH8GTFRCSWKMPXRSAE6","GSON1112110343")</f>
        <v>#NAME?</v>
      </c>
      <c r="J1236" s="4" t="e">
        <f ca="1">[1]!BexGetData("DP_1","003N8EMH8GTFRCSWKMPXRSGPQ","GSON1112110343")</f>
        <v>#NAME?</v>
      </c>
      <c r="K1236" s="8" t="e">
        <f ca="1">[1]!BexGetData("DP_1","003N8EMH8GTFRIVNUPY288VJH","GSON1112110343")</f>
        <v>#NAME?</v>
      </c>
      <c r="L1236" s="8" t="e">
        <f ca="1">[1]!BexGetData("DP_1","003N8EMH8GTFRIVNUPY2891V1","GSON1112110343")</f>
        <v>#NAME?</v>
      </c>
      <c r="M1236" s="8" t="e">
        <f ca="1">[1]!BexGetData("DP_1","003N8EMH8GTFRIVOG7KG9IQXA","GSON1112110343")</f>
        <v>#NAME?</v>
      </c>
      <c r="N1236" s="8" t="e">
        <f ca="1">[1]!BexGetData("DP_1","003N8EMH8GTFRIVOG7KG9IX8U","GSON1112110343")</f>
        <v>#NAME?</v>
      </c>
      <c r="O1236" s="8" t="e">
        <f ca="1">[1]!BexGetData("DP_1","003N8EMH8GTFRIVOG7KG9J3KE","GSON1112110343")</f>
        <v>#NAME?</v>
      </c>
      <c r="P1236" s="8" t="e">
        <f ca="1">[1]!BexGetData("DP_1","003N8EMH8GTFRIVOG7KG9J9VY","GSON1112110343")</f>
        <v>#NAME?</v>
      </c>
      <c r="Q1236" s="4" t="e">
        <f ca="1">[1]!BexGetData("DP_1","00O2TNJGODT0G5Z4TTKYMM5MT","GSON1112110343")</f>
        <v>#NAME?</v>
      </c>
      <c r="R1236" s="4" t="e">
        <f ca="1">[1]!BexGetData("DP_1","00O2TNJGODT0G5Z4TTKYMMBYD","GSON1112110343")</f>
        <v>#NAME?</v>
      </c>
      <c r="S1236" s="4" t="e">
        <f ca="1">[1]!BexGetData("DP_1","00O2TNJGODT0G5Z4TTKYMMI9X","GSON1112110343")</f>
        <v>#NAME?</v>
      </c>
      <c r="T1236" s="4" t="e">
        <f ca="1">[1]!BexGetData("DP_1","00O2TNJGODT0G5Z4TTKYMMOLH","GSON1112110343")</f>
        <v>#NAME?</v>
      </c>
      <c r="U1236" s="4" t="e">
        <f ca="1">[1]!BexGetData("DP_1","00O2TNJGODT0G5Z4TTKYMMUX1","GSON1112110343")</f>
        <v>#NAME?</v>
      </c>
      <c r="V1236" s="4" t="e">
        <f ca="1">[1]!BexGetData("DP_1","00O2TNJGODT0G5Z4TTKYMN18L","GSON1112110343")</f>
        <v>#NAME?</v>
      </c>
      <c r="W1236" s="4" t="e">
        <f ca="1">[1]!BexGetData("DP_1","00O2TNJGODT0G5Z4TTKYMN7K5","GSON1112110343")</f>
        <v>#NAME?</v>
      </c>
    </row>
    <row r="1237" spans="1:23" x14ac:dyDescent="0.2">
      <c r="A1237" s="16" t="s">
        <v>3514</v>
      </c>
      <c r="B1237" s="7" t="s">
        <v>3515</v>
      </c>
      <c r="C1237" s="3" t="e">
        <f ca="1">[1]!BexGetData("DP_1","003N8EMH8GTFRCSWKMPXRR8GU","GSON1112110344")</f>
        <v>#NAME?</v>
      </c>
      <c r="D1237" s="3" t="e">
        <f ca="1">[1]!BexGetData("DP_1","003N8EMH8GTFRCSWKMPXRRESE","GSON1112110344")</f>
        <v>#NAME?</v>
      </c>
      <c r="E1237" s="3" t="e">
        <f ca="1">[1]!BexGetData("DP_1","003N8EMH8GTFRCSWKMPXRRL3Y","GSON1112110344")</f>
        <v>#NAME?</v>
      </c>
      <c r="F1237" s="4" t="e">
        <f ca="1">[1]!BexGetData("DP_1","003N8EMH8GTFRCSWKMPXRRRFI","GSON1112110344")</f>
        <v>#NAME?</v>
      </c>
      <c r="G1237" s="4" t="e">
        <f ca="1">[1]!BexGetData("DP_1","003N8EMH8GTFRCSWKMPXRRXR2","GSON1112110344")</f>
        <v>#NAME?</v>
      </c>
      <c r="H1237" s="4" t="e">
        <f ca="1">[1]!BexGetData("DP_1","003N8EMH8GTFRCSWKMPXRS42M","GSON1112110344")</f>
        <v>#NAME?</v>
      </c>
      <c r="I1237" s="4" t="e">
        <f ca="1">[1]!BexGetData("DP_1","003N8EMH8GTFRCSWKMPXRSAE6","GSON1112110344")</f>
        <v>#NAME?</v>
      </c>
      <c r="J1237" s="4" t="e">
        <f ca="1">[1]!BexGetData("DP_1","003N8EMH8GTFRCSWKMPXRSGPQ","GSON1112110344")</f>
        <v>#NAME?</v>
      </c>
      <c r="K1237" s="3" t="e">
        <f ca="1">[1]!BexGetData("DP_1","003N8EMH8GTFRIVNUPY288VJH","GSON1112110344")</f>
        <v>#NAME?</v>
      </c>
      <c r="L1237" s="3" t="e">
        <f ca="1">[1]!BexGetData("DP_1","003N8EMH8GTFRIVNUPY2891V1","GSON1112110344")</f>
        <v>#NAME?</v>
      </c>
      <c r="M1237" s="8" t="e">
        <f ca="1">[1]!BexGetData("DP_1","003N8EMH8GTFRIVOG7KG9IQXA","GSON1112110344")</f>
        <v>#NAME?</v>
      </c>
      <c r="N1237" s="3" t="e">
        <f ca="1">[1]!BexGetData("DP_1","003N8EMH8GTFRIVOG7KG9IX8U","GSON1112110344")</f>
        <v>#NAME?</v>
      </c>
      <c r="O1237" s="8" t="e">
        <f ca="1">[1]!BexGetData("DP_1","003N8EMH8GTFRIVOG7KG9J3KE","GSON1112110344")</f>
        <v>#NAME?</v>
      </c>
      <c r="P1237" s="3" t="e">
        <f ca="1">[1]!BexGetData("DP_1","003N8EMH8GTFRIVOG7KG9J9VY","GSON1112110344")</f>
        <v>#NAME?</v>
      </c>
      <c r="Q1237" s="4" t="e">
        <f ca="1">[1]!BexGetData("DP_1","00O2TNJGODT0G5Z4TTKYMM5MT","GSON1112110344")</f>
        <v>#NAME?</v>
      </c>
      <c r="R1237" s="4" t="e">
        <f ca="1">[1]!BexGetData("DP_1","00O2TNJGODT0G5Z4TTKYMMBYD","GSON1112110344")</f>
        <v>#NAME?</v>
      </c>
      <c r="S1237" s="4" t="e">
        <f ca="1">[1]!BexGetData("DP_1","00O2TNJGODT0G5Z4TTKYMMI9X","GSON1112110344")</f>
        <v>#NAME?</v>
      </c>
      <c r="T1237" s="4" t="e">
        <f ca="1">[1]!BexGetData("DP_1","00O2TNJGODT0G5Z4TTKYMMOLH","GSON1112110344")</f>
        <v>#NAME?</v>
      </c>
      <c r="U1237" s="4" t="e">
        <f ca="1">[1]!BexGetData("DP_1","00O2TNJGODT0G5Z4TTKYMMUX1","GSON1112110344")</f>
        <v>#NAME?</v>
      </c>
      <c r="V1237" s="4" t="e">
        <f ca="1">[1]!BexGetData("DP_1","00O2TNJGODT0G5Z4TTKYMN18L","GSON1112110344")</f>
        <v>#NAME?</v>
      </c>
      <c r="W1237" s="4" t="e">
        <f ca="1">[1]!BexGetData("DP_1","00O2TNJGODT0G5Z4TTKYMN7K5","GSON1112110344")</f>
        <v>#NAME?</v>
      </c>
    </row>
    <row r="1238" spans="1:23" x14ac:dyDescent="0.2">
      <c r="A1238" s="16" t="s">
        <v>3516</v>
      </c>
      <c r="B1238" s="7" t="s">
        <v>3517</v>
      </c>
      <c r="C1238" s="3" t="e">
        <f ca="1">[1]!BexGetData("DP_1","003N8EMH8GTFRCSWKMPXRR8GU","GSON1112110345")</f>
        <v>#NAME?</v>
      </c>
      <c r="D1238" s="3" t="e">
        <f ca="1">[1]!BexGetData("DP_1","003N8EMH8GTFRCSWKMPXRRESE","GSON1112110345")</f>
        <v>#NAME?</v>
      </c>
      <c r="E1238" s="3" t="e">
        <f ca="1">[1]!BexGetData("DP_1","003N8EMH8GTFRCSWKMPXRRL3Y","GSON1112110345")</f>
        <v>#NAME?</v>
      </c>
      <c r="F1238" s="4" t="e">
        <f ca="1">[1]!BexGetData("DP_1","003N8EMH8GTFRCSWKMPXRRRFI","GSON1112110345")</f>
        <v>#NAME?</v>
      </c>
      <c r="G1238" s="4" t="e">
        <f ca="1">[1]!BexGetData("DP_1","003N8EMH8GTFRCSWKMPXRRXR2","GSON1112110345")</f>
        <v>#NAME?</v>
      </c>
      <c r="H1238" s="4" t="e">
        <f ca="1">[1]!BexGetData("DP_1","003N8EMH8GTFRCSWKMPXRS42M","GSON1112110345")</f>
        <v>#NAME?</v>
      </c>
      <c r="I1238" s="4" t="e">
        <f ca="1">[1]!BexGetData("DP_1","003N8EMH8GTFRCSWKMPXRSAE6","GSON1112110345")</f>
        <v>#NAME?</v>
      </c>
      <c r="J1238" s="4" t="e">
        <f ca="1">[1]!BexGetData("DP_1","003N8EMH8GTFRCSWKMPXRSGPQ","GSON1112110345")</f>
        <v>#NAME?</v>
      </c>
      <c r="K1238" s="3" t="e">
        <f ca="1">[1]!BexGetData("DP_1","003N8EMH8GTFRIVNUPY288VJH","GSON1112110345")</f>
        <v>#NAME?</v>
      </c>
      <c r="L1238" s="3" t="e">
        <f ca="1">[1]!BexGetData("DP_1","003N8EMH8GTFRIVNUPY2891V1","GSON1112110345")</f>
        <v>#NAME?</v>
      </c>
      <c r="M1238" s="3" t="e">
        <f ca="1">[1]!BexGetData("DP_1","003N8EMH8GTFRIVOG7KG9IQXA","GSON1112110345")</f>
        <v>#NAME?</v>
      </c>
      <c r="N1238" s="8" t="e">
        <f ca="1">[1]!BexGetData("DP_1","003N8EMH8GTFRIVOG7KG9IX8U","GSON1112110345")</f>
        <v>#NAME?</v>
      </c>
      <c r="O1238" s="3" t="e">
        <f ca="1">[1]!BexGetData("DP_1","003N8EMH8GTFRIVOG7KG9J3KE","GSON1112110345")</f>
        <v>#NAME?</v>
      </c>
      <c r="P1238" s="8" t="e">
        <f ca="1">[1]!BexGetData("DP_1","003N8EMH8GTFRIVOG7KG9J9VY","GSON1112110345")</f>
        <v>#NAME?</v>
      </c>
      <c r="Q1238" s="4" t="e">
        <f ca="1">[1]!BexGetData("DP_1","00O2TNJGODT0G5Z4TTKYMM5MT","GSON1112110345")</f>
        <v>#NAME?</v>
      </c>
      <c r="R1238" s="4" t="e">
        <f ca="1">[1]!BexGetData("DP_1","00O2TNJGODT0G5Z4TTKYMMBYD","GSON1112110345")</f>
        <v>#NAME?</v>
      </c>
      <c r="S1238" s="4" t="e">
        <f ca="1">[1]!BexGetData("DP_1","00O2TNJGODT0G5Z4TTKYMMI9X","GSON1112110345")</f>
        <v>#NAME?</v>
      </c>
      <c r="T1238" s="4" t="e">
        <f ca="1">[1]!BexGetData("DP_1","00O2TNJGODT0G5Z4TTKYMMOLH","GSON1112110345")</f>
        <v>#NAME?</v>
      </c>
      <c r="U1238" s="4" t="e">
        <f ca="1">[1]!BexGetData("DP_1","00O2TNJGODT0G5Z4TTKYMMUX1","GSON1112110345")</f>
        <v>#NAME?</v>
      </c>
      <c r="V1238" s="4" t="e">
        <f ca="1">[1]!BexGetData("DP_1","00O2TNJGODT0G5Z4TTKYMN18L","GSON1112110345")</f>
        <v>#NAME?</v>
      </c>
      <c r="W1238" s="4" t="e">
        <f ca="1">[1]!BexGetData("DP_1","00O2TNJGODT0G5Z4TTKYMN7K5","GSON1112110345")</f>
        <v>#NAME?</v>
      </c>
    </row>
    <row r="1239" spans="1:23" x14ac:dyDescent="0.2">
      <c r="A1239" s="16" t="s">
        <v>3518</v>
      </c>
      <c r="B1239" s="7" t="s">
        <v>3519</v>
      </c>
      <c r="C1239" s="3" t="e">
        <f ca="1">[1]!BexGetData("DP_1","003N8EMH8GTFRCSWKMPXRR8GU","GSON1112110350")</f>
        <v>#NAME?</v>
      </c>
      <c r="D1239" s="3" t="e">
        <f ca="1">[1]!BexGetData("DP_1","003N8EMH8GTFRCSWKMPXRRESE","GSON1112110350")</f>
        <v>#NAME?</v>
      </c>
      <c r="E1239" s="3" t="e">
        <f ca="1">[1]!BexGetData("DP_1","003N8EMH8GTFRCSWKMPXRRL3Y","GSON1112110350")</f>
        <v>#NAME?</v>
      </c>
      <c r="F1239" s="4" t="e">
        <f ca="1">[1]!BexGetData("DP_1","003N8EMH8GTFRCSWKMPXRRRFI","GSON1112110350")</f>
        <v>#NAME?</v>
      </c>
      <c r="G1239" s="4" t="e">
        <f ca="1">[1]!BexGetData("DP_1","003N8EMH8GTFRCSWKMPXRRXR2","GSON1112110350")</f>
        <v>#NAME?</v>
      </c>
      <c r="H1239" s="4" t="e">
        <f ca="1">[1]!BexGetData("DP_1","003N8EMH8GTFRCSWKMPXRS42M","GSON1112110350")</f>
        <v>#NAME?</v>
      </c>
      <c r="I1239" s="4" t="e">
        <f ca="1">[1]!BexGetData("DP_1","003N8EMH8GTFRCSWKMPXRSAE6","GSON1112110350")</f>
        <v>#NAME?</v>
      </c>
      <c r="J1239" s="4" t="e">
        <f ca="1">[1]!BexGetData("DP_1","003N8EMH8GTFRCSWKMPXRSGPQ","GSON1112110350")</f>
        <v>#NAME?</v>
      </c>
      <c r="K1239" s="3" t="e">
        <f ca="1">[1]!BexGetData("DP_1","003N8EMH8GTFRIVNUPY288VJH","GSON1112110350")</f>
        <v>#NAME?</v>
      </c>
      <c r="L1239" s="3" t="e">
        <f ca="1">[1]!BexGetData("DP_1","003N8EMH8GTFRIVNUPY2891V1","GSON1112110350")</f>
        <v>#NAME?</v>
      </c>
      <c r="M1239" s="8" t="e">
        <f ca="1">[1]!BexGetData("DP_1","003N8EMH8GTFRIVOG7KG9IQXA","GSON1112110350")</f>
        <v>#NAME?</v>
      </c>
      <c r="N1239" s="3" t="e">
        <f ca="1">[1]!BexGetData("DP_1","003N8EMH8GTFRIVOG7KG9IX8U","GSON1112110350")</f>
        <v>#NAME?</v>
      </c>
      <c r="O1239" s="8" t="e">
        <f ca="1">[1]!BexGetData("DP_1","003N8EMH8GTFRIVOG7KG9J3KE","GSON1112110350")</f>
        <v>#NAME?</v>
      </c>
      <c r="P1239" s="3" t="e">
        <f ca="1">[1]!BexGetData("DP_1","003N8EMH8GTFRIVOG7KG9J9VY","GSON1112110350")</f>
        <v>#NAME?</v>
      </c>
      <c r="Q1239" s="4" t="e">
        <f ca="1">[1]!BexGetData("DP_1","00O2TNJGODT0G5Z4TTKYMM5MT","GSON1112110350")</f>
        <v>#NAME?</v>
      </c>
      <c r="R1239" s="4" t="e">
        <f ca="1">[1]!BexGetData("DP_1","00O2TNJGODT0G5Z4TTKYMMBYD","GSON1112110350")</f>
        <v>#NAME?</v>
      </c>
      <c r="S1239" s="4" t="e">
        <f ca="1">[1]!BexGetData("DP_1","00O2TNJGODT0G5Z4TTKYMMI9X","GSON1112110350")</f>
        <v>#NAME?</v>
      </c>
      <c r="T1239" s="4" t="e">
        <f ca="1">[1]!BexGetData("DP_1","00O2TNJGODT0G5Z4TTKYMMOLH","GSON1112110350")</f>
        <v>#NAME?</v>
      </c>
      <c r="U1239" s="4" t="e">
        <f ca="1">[1]!BexGetData("DP_1","00O2TNJGODT0G5Z4TTKYMMUX1","GSON1112110350")</f>
        <v>#NAME?</v>
      </c>
      <c r="V1239" s="4" t="e">
        <f ca="1">[1]!BexGetData("DP_1","00O2TNJGODT0G5Z4TTKYMN18L","GSON1112110350")</f>
        <v>#NAME?</v>
      </c>
      <c r="W1239" s="4" t="e">
        <f ca="1">[1]!BexGetData("DP_1","00O2TNJGODT0G5Z4TTKYMN7K5","GSON1112110350")</f>
        <v>#NAME?</v>
      </c>
    </row>
    <row r="1240" spans="1:23" x14ac:dyDescent="0.2">
      <c r="A1240" s="16" t="s">
        <v>3520</v>
      </c>
      <c r="B1240" s="7" t="s">
        <v>3521</v>
      </c>
      <c r="C1240" s="3" t="e">
        <f ca="1">[1]!BexGetData("DP_1","003N8EMH8GTFRCSWKMPXRR8GU","GSON1112110351")</f>
        <v>#NAME?</v>
      </c>
      <c r="D1240" s="3" t="e">
        <f ca="1">[1]!BexGetData("DP_1","003N8EMH8GTFRCSWKMPXRRESE","GSON1112110351")</f>
        <v>#NAME?</v>
      </c>
      <c r="E1240" s="8" t="e">
        <f ca="1">[1]!BexGetData("DP_1","003N8EMH8GTFRCSWKMPXRRL3Y","GSON1112110351")</f>
        <v>#NAME?</v>
      </c>
      <c r="F1240" s="4" t="e">
        <f ca="1">[1]!BexGetData("DP_1","003N8EMH8GTFRCSWKMPXRRRFI","GSON1112110351")</f>
        <v>#NAME?</v>
      </c>
      <c r="G1240" s="4" t="e">
        <f ca="1">[1]!BexGetData("DP_1","003N8EMH8GTFRCSWKMPXRRXR2","GSON1112110351")</f>
        <v>#NAME?</v>
      </c>
      <c r="H1240" s="4" t="e">
        <f ca="1">[1]!BexGetData("DP_1","003N8EMH8GTFRCSWKMPXRS42M","GSON1112110351")</f>
        <v>#NAME?</v>
      </c>
      <c r="I1240" s="4" t="e">
        <f ca="1">[1]!BexGetData("DP_1","003N8EMH8GTFRCSWKMPXRSAE6","GSON1112110351")</f>
        <v>#NAME?</v>
      </c>
      <c r="J1240" s="4" t="e">
        <f ca="1">[1]!BexGetData("DP_1","003N8EMH8GTFRCSWKMPXRSGPQ","GSON1112110351")</f>
        <v>#NAME?</v>
      </c>
      <c r="K1240" s="8" t="e">
        <f ca="1">[1]!BexGetData("DP_1","003N8EMH8GTFRIVNUPY288VJH","GSON1112110351")</f>
        <v>#NAME?</v>
      </c>
      <c r="L1240" s="8" t="e">
        <f ca="1">[1]!BexGetData("DP_1","003N8EMH8GTFRIVNUPY2891V1","GSON1112110351")</f>
        <v>#NAME?</v>
      </c>
      <c r="M1240" s="8" t="e">
        <f ca="1">[1]!BexGetData("DP_1","003N8EMH8GTFRIVOG7KG9IQXA","GSON1112110351")</f>
        <v>#NAME?</v>
      </c>
      <c r="N1240" s="8" t="e">
        <f ca="1">[1]!BexGetData("DP_1","003N8EMH8GTFRIVOG7KG9IX8U","GSON1112110351")</f>
        <v>#NAME?</v>
      </c>
      <c r="O1240" s="8" t="e">
        <f ca="1">[1]!BexGetData("DP_1","003N8EMH8GTFRIVOG7KG9J3KE","GSON1112110351")</f>
        <v>#NAME?</v>
      </c>
      <c r="P1240" s="8" t="e">
        <f ca="1">[1]!BexGetData("DP_1","003N8EMH8GTFRIVOG7KG9J9VY","GSON1112110351")</f>
        <v>#NAME?</v>
      </c>
      <c r="Q1240" s="4" t="e">
        <f ca="1">[1]!BexGetData("DP_1","00O2TNJGODT0G5Z4TTKYMM5MT","GSON1112110351")</f>
        <v>#NAME?</v>
      </c>
      <c r="R1240" s="4" t="e">
        <f ca="1">[1]!BexGetData("DP_1","00O2TNJGODT0G5Z4TTKYMMBYD","GSON1112110351")</f>
        <v>#NAME?</v>
      </c>
      <c r="S1240" s="4" t="e">
        <f ca="1">[1]!BexGetData("DP_1","00O2TNJGODT0G5Z4TTKYMMI9X","GSON1112110351")</f>
        <v>#NAME?</v>
      </c>
      <c r="T1240" s="4" t="e">
        <f ca="1">[1]!BexGetData("DP_1","00O2TNJGODT0G5Z4TTKYMMOLH","GSON1112110351")</f>
        <v>#NAME?</v>
      </c>
      <c r="U1240" s="4" t="e">
        <f ca="1">[1]!BexGetData("DP_1","00O2TNJGODT0G5Z4TTKYMMUX1","GSON1112110351")</f>
        <v>#NAME?</v>
      </c>
      <c r="V1240" s="4" t="e">
        <f ca="1">[1]!BexGetData("DP_1","00O2TNJGODT0G5Z4TTKYMN18L","GSON1112110351")</f>
        <v>#NAME?</v>
      </c>
      <c r="W1240" s="4" t="e">
        <f ca="1">[1]!BexGetData("DP_1","00O2TNJGODT0G5Z4TTKYMN7K5","GSON1112110351")</f>
        <v>#NAME?</v>
      </c>
    </row>
    <row r="1241" spans="1:23" x14ac:dyDescent="0.2">
      <c r="A1241" s="16" t="s">
        <v>3522</v>
      </c>
      <c r="B1241" s="7" t="s">
        <v>3523</v>
      </c>
      <c r="C1241" s="3" t="e">
        <f ca="1">[1]!BexGetData("DP_1","003N8EMH8GTFRCSWKMPXRR8GU","GSON1112110353")</f>
        <v>#NAME?</v>
      </c>
      <c r="D1241" s="3" t="e">
        <f ca="1">[1]!BexGetData("DP_1","003N8EMH8GTFRCSWKMPXRRESE","GSON1112110353")</f>
        <v>#NAME?</v>
      </c>
      <c r="E1241" s="8" t="e">
        <f ca="1">[1]!BexGetData("DP_1","003N8EMH8GTFRCSWKMPXRRL3Y","GSON1112110353")</f>
        <v>#NAME?</v>
      </c>
      <c r="F1241" s="4" t="e">
        <f ca="1">[1]!BexGetData("DP_1","003N8EMH8GTFRCSWKMPXRRRFI","GSON1112110353")</f>
        <v>#NAME?</v>
      </c>
      <c r="G1241" s="4" t="e">
        <f ca="1">[1]!BexGetData("DP_1","003N8EMH8GTFRCSWKMPXRRXR2","GSON1112110353")</f>
        <v>#NAME?</v>
      </c>
      <c r="H1241" s="4" t="e">
        <f ca="1">[1]!BexGetData("DP_1","003N8EMH8GTFRCSWKMPXRS42M","GSON1112110353")</f>
        <v>#NAME?</v>
      </c>
      <c r="I1241" s="4" t="e">
        <f ca="1">[1]!BexGetData("DP_1","003N8EMH8GTFRCSWKMPXRSAE6","GSON1112110353")</f>
        <v>#NAME?</v>
      </c>
      <c r="J1241" s="4" t="e">
        <f ca="1">[1]!BexGetData("DP_1","003N8EMH8GTFRCSWKMPXRSGPQ","GSON1112110353")</f>
        <v>#NAME?</v>
      </c>
      <c r="K1241" s="8" t="e">
        <f ca="1">[1]!BexGetData("DP_1","003N8EMH8GTFRIVNUPY288VJH","GSON1112110353")</f>
        <v>#NAME?</v>
      </c>
      <c r="L1241" s="8" t="e">
        <f ca="1">[1]!BexGetData("DP_1","003N8EMH8GTFRIVNUPY2891V1","GSON1112110353")</f>
        <v>#NAME?</v>
      </c>
      <c r="M1241" s="8" t="e">
        <f ca="1">[1]!BexGetData("DP_1","003N8EMH8GTFRIVOG7KG9IQXA","GSON1112110353")</f>
        <v>#NAME?</v>
      </c>
      <c r="N1241" s="8" t="e">
        <f ca="1">[1]!BexGetData("DP_1","003N8EMH8GTFRIVOG7KG9IX8U","GSON1112110353")</f>
        <v>#NAME?</v>
      </c>
      <c r="O1241" s="8" t="e">
        <f ca="1">[1]!BexGetData("DP_1","003N8EMH8GTFRIVOG7KG9J3KE","GSON1112110353")</f>
        <v>#NAME?</v>
      </c>
      <c r="P1241" s="8" t="e">
        <f ca="1">[1]!BexGetData("DP_1","003N8EMH8GTFRIVOG7KG9J9VY","GSON1112110353")</f>
        <v>#NAME?</v>
      </c>
      <c r="Q1241" s="4" t="e">
        <f ca="1">[1]!BexGetData("DP_1","00O2TNJGODT0G5Z4TTKYMM5MT","GSON1112110353")</f>
        <v>#NAME?</v>
      </c>
      <c r="R1241" s="4" t="e">
        <f ca="1">[1]!BexGetData("DP_1","00O2TNJGODT0G5Z4TTKYMMBYD","GSON1112110353")</f>
        <v>#NAME?</v>
      </c>
      <c r="S1241" s="4" t="e">
        <f ca="1">[1]!BexGetData("DP_1","00O2TNJGODT0G5Z4TTKYMMI9X","GSON1112110353")</f>
        <v>#NAME?</v>
      </c>
      <c r="T1241" s="4" t="e">
        <f ca="1">[1]!BexGetData("DP_1","00O2TNJGODT0G5Z4TTKYMMOLH","GSON1112110353")</f>
        <v>#NAME?</v>
      </c>
      <c r="U1241" s="4" t="e">
        <f ca="1">[1]!BexGetData("DP_1","00O2TNJGODT0G5Z4TTKYMMUX1","GSON1112110353")</f>
        <v>#NAME?</v>
      </c>
      <c r="V1241" s="4" t="e">
        <f ca="1">[1]!BexGetData("DP_1","00O2TNJGODT0G5Z4TTKYMN18L","GSON1112110353")</f>
        <v>#NAME?</v>
      </c>
      <c r="W1241" s="4" t="e">
        <f ca="1">[1]!BexGetData("DP_1","00O2TNJGODT0G5Z4TTKYMN7K5","GSON1112110353")</f>
        <v>#NAME?</v>
      </c>
    </row>
    <row r="1242" spans="1:23" x14ac:dyDescent="0.2">
      <c r="A1242" s="16" t="s">
        <v>3524</v>
      </c>
      <c r="B1242" s="7" t="s">
        <v>3525</v>
      </c>
      <c r="C1242" s="3" t="e">
        <f ca="1">[1]!BexGetData("DP_1","003N8EMH8GTFRCSWKMPXRR8GU","GSON1112110354")</f>
        <v>#NAME?</v>
      </c>
      <c r="D1242" s="3" t="e">
        <f ca="1">[1]!BexGetData("DP_1","003N8EMH8GTFRCSWKMPXRRESE","GSON1112110354")</f>
        <v>#NAME?</v>
      </c>
      <c r="E1242" s="8" t="e">
        <f ca="1">[1]!BexGetData("DP_1","003N8EMH8GTFRCSWKMPXRRL3Y","GSON1112110354")</f>
        <v>#NAME?</v>
      </c>
      <c r="F1242" s="4" t="e">
        <f ca="1">[1]!BexGetData("DP_1","003N8EMH8GTFRCSWKMPXRRRFI","GSON1112110354")</f>
        <v>#NAME?</v>
      </c>
      <c r="G1242" s="4" t="e">
        <f ca="1">[1]!BexGetData("DP_1","003N8EMH8GTFRCSWKMPXRRXR2","GSON1112110354")</f>
        <v>#NAME?</v>
      </c>
      <c r="H1242" s="4" t="e">
        <f ca="1">[1]!BexGetData("DP_1","003N8EMH8GTFRCSWKMPXRS42M","GSON1112110354")</f>
        <v>#NAME?</v>
      </c>
      <c r="I1242" s="4" t="e">
        <f ca="1">[1]!BexGetData("DP_1","003N8EMH8GTFRCSWKMPXRSAE6","GSON1112110354")</f>
        <v>#NAME?</v>
      </c>
      <c r="J1242" s="4" t="e">
        <f ca="1">[1]!BexGetData("DP_1","003N8EMH8GTFRCSWKMPXRSGPQ","GSON1112110354")</f>
        <v>#NAME?</v>
      </c>
      <c r="K1242" s="8" t="e">
        <f ca="1">[1]!BexGetData("DP_1","003N8EMH8GTFRIVNUPY288VJH","GSON1112110354")</f>
        <v>#NAME?</v>
      </c>
      <c r="L1242" s="8" t="e">
        <f ca="1">[1]!BexGetData("DP_1","003N8EMH8GTFRIVNUPY2891V1","GSON1112110354")</f>
        <v>#NAME?</v>
      </c>
      <c r="M1242" s="8" t="e">
        <f ca="1">[1]!BexGetData("DP_1","003N8EMH8GTFRIVOG7KG9IQXA","GSON1112110354")</f>
        <v>#NAME?</v>
      </c>
      <c r="N1242" s="8" t="e">
        <f ca="1">[1]!BexGetData("DP_1","003N8EMH8GTFRIVOG7KG9IX8U","GSON1112110354")</f>
        <v>#NAME?</v>
      </c>
      <c r="O1242" s="8" t="e">
        <f ca="1">[1]!BexGetData("DP_1","003N8EMH8GTFRIVOG7KG9J3KE","GSON1112110354")</f>
        <v>#NAME?</v>
      </c>
      <c r="P1242" s="8" t="e">
        <f ca="1">[1]!BexGetData("DP_1","003N8EMH8GTFRIVOG7KG9J9VY","GSON1112110354")</f>
        <v>#NAME?</v>
      </c>
      <c r="Q1242" s="4" t="e">
        <f ca="1">[1]!BexGetData("DP_1","00O2TNJGODT0G5Z4TTKYMM5MT","GSON1112110354")</f>
        <v>#NAME?</v>
      </c>
      <c r="R1242" s="4" t="e">
        <f ca="1">[1]!BexGetData("DP_1","00O2TNJGODT0G5Z4TTKYMMBYD","GSON1112110354")</f>
        <v>#NAME?</v>
      </c>
      <c r="S1242" s="4" t="e">
        <f ca="1">[1]!BexGetData("DP_1","00O2TNJGODT0G5Z4TTKYMMI9X","GSON1112110354")</f>
        <v>#NAME?</v>
      </c>
      <c r="T1242" s="4" t="e">
        <f ca="1">[1]!BexGetData("DP_1","00O2TNJGODT0G5Z4TTKYMMOLH","GSON1112110354")</f>
        <v>#NAME?</v>
      </c>
      <c r="U1242" s="4" t="e">
        <f ca="1">[1]!BexGetData("DP_1","00O2TNJGODT0G5Z4TTKYMMUX1","GSON1112110354")</f>
        <v>#NAME?</v>
      </c>
      <c r="V1242" s="4" t="e">
        <f ca="1">[1]!BexGetData("DP_1","00O2TNJGODT0G5Z4TTKYMN18L","GSON1112110354")</f>
        <v>#NAME?</v>
      </c>
      <c r="W1242" s="4" t="e">
        <f ca="1">[1]!BexGetData("DP_1","00O2TNJGODT0G5Z4TTKYMN7K5","GSON1112110354")</f>
        <v>#NAME?</v>
      </c>
    </row>
    <row r="1243" spans="1:23" x14ac:dyDescent="0.2">
      <c r="A1243" s="16" t="s">
        <v>3526</v>
      </c>
      <c r="B1243" s="7" t="s">
        <v>3527</v>
      </c>
      <c r="C1243" s="3" t="e">
        <f ca="1">[1]!BexGetData("DP_1","003N8EMH8GTFRCSWKMPXRR8GU","GSON1112110355")</f>
        <v>#NAME?</v>
      </c>
      <c r="D1243" s="3" t="e">
        <f ca="1">[1]!BexGetData("DP_1","003N8EMH8GTFRCSWKMPXRRESE","GSON1112110355")</f>
        <v>#NAME?</v>
      </c>
      <c r="E1243" s="8" t="e">
        <f ca="1">[1]!BexGetData("DP_1","003N8EMH8GTFRCSWKMPXRRL3Y","GSON1112110355")</f>
        <v>#NAME?</v>
      </c>
      <c r="F1243" s="4" t="e">
        <f ca="1">[1]!BexGetData("DP_1","003N8EMH8GTFRCSWKMPXRRRFI","GSON1112110355")</f>
        <v>#NAME?</v>
      </c>
      <c r="G1243" s="4" t="e">
        <f ca="1">[1]!BexGetData("DP_1","003N8EMH8GTFRCSWKMPXRRXR2","GSON1112110355")</f>
        <v>#NAME?</v>
      </c>
      <c r="H1243" s="4" t="e">
        <f ca="1">[1]!BexGetData("DP_1","003N8EMH8GTFRCSWKMPXRS42M","GSON1112110355")</f>
        <v>#NAME?</v>
      </c>
      <c r="I1243" s="4" t="e">
        <f ca="1">[1]!BexGetData("DP_1","003N8EMH8GTFRCSWKMPXRSAE6","GSON1112110355")</f>
        <v>#NAME?</v>
      </c>
      <c r="J1243" s="4" t="e">
        <f ca="1">[1]!BexGetData("DP_1","003N8EMH8GTFRCSWKMPXRSGPQ","GSON1112110355")</f>
        <v>#NAME?</v>
      </c>
      <c r="K1243" s="8" t="e">
        <f ca="1">[1]!BexGetData("DP_1","003N8EMH8GTFRIVNUPY288VJH","GSON1112110355")</f>
        <v>#NAME?</v>
      </c>
      <c r="L1243" s="8" t="e">
        <f ca="1">[1]!BexGetData("DP_1","003N8EMH8GTFRIVNUPY2891V1","GSON1112110355")</f>
        <v>#NAME?</v>
      </c>
      <c r="M1243" s="8" t="e">
        <f ca="1">[1]!BexGetData("DP_1","003N8EMH8GTFRIVOG7KG9IQXA","GSON1112110355")</f>
        <v>#NAME?</v>
      </c>
      <c r="N1243" s="8" t="e">
        <f ca="1">[1]!BexGetData("DP_1","003N8EMH8GTFRIVOG7KG9IX8U","GSON1112110355")</f>
        <v>#NAME?</v>
      </c>
      <c r="O1243" s="8" t="e">
        <f ca="1">[1]!BexGetData("DP_1","003N8EMH8GTFRIVOG7KG9J3KE","GSON1112110355")</f>
        <v>#NAME?</v>
      </c>
      <c r="P1243" s="8" t="e">
        <f ca="1">[1]!BexGetData("DP_1","003N8EMH8GTFRIVOG7KG9J9VY","GSON1112110355")</f>
        <v>#NAME?</v>
      </c>
      <c r="Q1243" s="4" t="e">
        <f ca="1">[1]!BexGetData("DP_1","00O2TNJGODT0G5Z4TTKYMM5MT","GSON1112110355")</f>
        <v>#NAME?</v>
      </c>
      <c r="R1243" s="4" t="e">
        <f ca="1">[1]!BexGetData("DP_1","00O2TNJGODT0G5Z4TTKYMMBYD","GSON1112110355")</f>
        <v>#NAME?</v>
      </c>
      <c r="S1243" s="4" t="e">
        <f ca="1">[1]!BexGetData("DP_1","00O2TNJGODT0G5Z4TTKYMMI9X","GSON1112110355")</f>
        <v>#NAME?</v>
      </c>
      <c r="T1243" s="4" t="e">
        <f ca="1">[1]!BexGetData("DP_1","00O2TNJGODT0G5Z4TTKYMMOLH","GSON1112110355")</f>
        <v>#NAME?</v>
      </c>
      <c r="U1243" s="4" t="e">
        <f ca="1">[1]!BexGetData("DP_1","00O2TNJGODT0G5Z4TTKYMMUX1","GSON1112110355")</f>
        <v>#NAME?</v>
      </c>
      <c r="V1243" s="4" t="e">
        <f ca="1">[1]!BexGetData("DP_1","00O2TNJGODT0G5Z4TTKYMN18L","GSON1112110355")</f>
        <v>#NAME?</v>
      </c>
      <c r="W1243" s="4" t="e">
        <f ca="1">[1]!BexGetData("DP_1","00O2TNJGODT0G5Z4TTKYMN7K5","GSON1112110355")</f>
        <v>#NAME?</v>
      </c>
    </row>
    <row r="1244" spans="1:23" x14ac:dyDescent="0.2">
      <c r="A1244" s="16" t="s">
        <v>3528</v>
      </c>
      <c r="B1244" s="7" t="s">
        <v>3529</v>
      </c>
      <c r="C1244" s="3" t="e">
        <f ca="1">[1]!BexGetData("DP_1","003N8EMH8GTFRCSWKMPXRR8GU","GSON1112110360")</f>
        <v>#NAME?</v>
      </c>
      <c r="D1244" s="3" t="e">
        <f ca="1">[1]!BexGetData("DP_1","003N8EMH8GTFRCSWKMPXRRESE","GSON1112110360")</f>
        <v>#NAME?</v>
      </c>
      <c r="E1244" s="3" t="e">
        <f ca="1">[1]!BexGetData("DP_1","003N8EMH8GTFRCSWKMPXRRL3Y","GSON1112110360")</f>
        <v>#NAME?</v>
      </c>
      <c r="F1244" s="4" t="e">
        <f ca="1">[1]!BexGetData("DP_1","003N8EMH8GTFRCSWKMPXRRRFI","GSON1112110360")</f>
        <v>#NAME?</v>
      </c>
      <c r="G1244" s="4" t="e">
        <f ca="1">[1]!BexGetData("DP_1","003N8EMH8GTFRCSWKMPXRRXR2","GSON1112110360")</f>
        <v>#NAME?</v>
      </c>
      <c r="H1244" s="4" t="e">
        <f ca="1">[1]!BexGetData("DP_1","003N8EMH8GTFRCSWKMPXRS42M","GSON1112110360")</f>
        <v>#NAME?</v>
      </c>
      <c r="I1244" s="4" t="e">
        <f ca="1">[1]!BexGetData("DP_1","003N8EMH8GTFRCSWKMPXRSAE6","GSON1112110360")</f>
        <v>#NAME?</v>
      </c>
      <c r="J1244" s="4" t="e">
        <f ca="1">[1]!BexGetData("DP_1","003N8EMH8GTFRCSWKMPXRSGPQ","GSON1112110360")</f>
        <v>#NAME?</v>
      </c>
      <c r="K1244" s="3" t="e">
        <f ca="1">[1]!BexGetData("DP_1","003N8EMH8GTFRIVNUPY288VJH","GSON1112110360")</f>
        <v>#NAME?</v>
      </c>
      <c r="L1244" s="3" t="e">
        <f ca="1">[1]!BexGetData("DP_1","003N8EMH8GTFRIVNUPY2891V1","GSON1112110360")</f>
        <v>#NAME?</v>
      </c>
      <c r="M1244" s="8" t="e">
        <f ca="1">[1]!BexGetData("DP_1","003N8EMH8GTFRIVOG7KG9IQXA","GSON1112110360")</f>
        <v>#NAME?</v>
      </c>
      <c r="N1244" s="3" t="e">
        <f ca="1">[1]!BexGetData("DP_1","003N8EMH8GTFRIVOG7KG9IX8U","GSON1112110360")</f>
        <v>#NAME?</v>
      </c>
      <c r="O1244" s="8" t="e">
        <f ca="1">[1]!BexGetData("DP_1","003N8EMH8GTFRIVOG7KG9J3KE","GSON1112110360")</f>
        <v>#NAME?</v>
      </c>
      <c r="P1244" s="3" t="e">
        <f ca="1">[1]!BexGetData("DP_1","003N8EMH8GTFRIVOG7KG9J9VY","GSON1112110360")</f>
        <v>#NAME?</v>
      </c>
      <c r="Q1244" s="4" t="e">
        <f ca="1">[1]!BexGetData("DP_1","00O2TNJGODT0G5Z4TTKYMM5MT","GSON1112110360")</f>
        <v>#NAME?</v>
      </c>
      <c r="R1244" s="4" t="e">
        <f ca="1">[1]!BexGetData("DP_1","00O2TNJGODT0G5Z4TTKYMMBYD","GSON1112110360")</f>
        <v>#NAME?</v>
      </c>
      <c r="S1244" s="4" t="e">
        <f ca="1">[1]!BexGetData("DP_1","00O2TNJGODT0G5Z4TTKYMMI9X","GSON1112110360")</f>
        <v>#NAME?</v>
      </c>
      <c r="T1244" s="4" t="e">
        <f ca="1">[1]!BexGetData("DP_1","00O2TNJGODT0G5Z4TTKYMMOLH","GSON1112110360")</f>
        <v>#NAME?</v>
      </c>
      <c r="U1244" s="4" t="e">
        <f ca="1">[1]!BexGetData("DP_1","00O2TNJGODT0G5Z4TTKYMMUX1","GSON1112110360")</f>
        <v>#NAME?</v>
      </c>
      <c r="V1244" s="4" t="e">
        <f ca="1">[1]!BexGetData("DP_1","00O2TNJGODT0G5Z4TTKYMN18L","GSON1112110360")</f>
        <v>#NAME?</v>
      </c>
      <c r="W1244" s="4" t="e">
        <f ca="1">[1]!BexGetData("DP_1","00O2TNJGODT0G5Z4TTKYMN7K5","GSON1112110360")</f>
        <v>#NAME?</v>
      </c>
    </row>
    <row r="1245" spans="1:23" x14ac:dyDescent="0.2">
      <c r="A1245" s="16" t="s">
        <v>3530</v>
      </c>
      <c r="B1245" s="7" t="s">
        <v>3531</v>
      </c>
      <c r="C1245" s="3" t="e">
        <f ca="1">[1]!BexGetData("DP_1","003N8EMH8GTFRCSWKMPXRR8GU","GSON1112110361")</f>
        <v>#NAME?</v>
      </c>
      <c r="D1245" s="3" t="e">
        <f ca="1">[1]!BexGetData("DP_1","003N8EMH8GTFRCSWKMPXRRESE","GSON1112110361")</f>
        <v>#NAME?</v>
      </c>
      <c r="E1245" s="8" t="e">
        <f ca="1">[1]!BexGetData("DP_1","003N8EMH8GTFRCSWKMPXRRL3Y","GSON1112110361")</f>
        <v>#NAME?</v>
      </c>
      <c r="F1245" s="4" t="e">
        <f ca="1">[1]!BexGetData("DP_1","003N8EMH8GTFRCSWKMPXRRRFI","GSON1112110361")</f>
        <v>#NAME?</v>
      </c>
      <c r="G1245" s="4" t="e">
        <f ca="1">[1]!BexGetData("DP_1","003N8EMH8GTFRCSWKMPXRRXR2","GSON1112110361")</f>
        <v>#NAME?</v>
      </c>
      <c r="H1245" s="4" t="e">
        <f ca="1">[1]!BexGetData("DP_1","003N8EMH8GTFRCSWKMPXRS42M","GSON1112110361")</f>
        <v>#NAME?</v>
      </c>
      <c r="I1245" s="4" t="e">
        <f ca="1">[1]!BexGetData("DP_1","003N8EMH8GTFRCSWKMPXRSAE6","GSON1112110361")</f>
        <v>#NAME?</v>
      </c>
      <c r="J1245" s="4" t="e">
        <f ca="1">[1]!BexGetData("DP_1","003N8EMH8GTFRCSWKMPXRSGPQ","GSON1112110361")</f>
        <v>#NAME?</v>
      </c>
      <c r="K1245" s="8" t="e">
        <f ca="1">[1]!BexGetData("DP_1","003N8EMH8GTFRIVNUPY288VJH","GSON1112110361")</f>
        <v>#NAME?</v>
      </c>
      <c r="L1245" s="8" t="e">
        <f ca="1">[1]!BexGetData("DP_1","003N8EMH8GTFRIVNUPY2891V1","GSON1112110361")</f>
        <v>#NAME?</v>
      </c>
      <c r="M1245" s="8" t="e">
        <f ca="1">[1]!BexGetData("DP_1","003N8EMH8GTFRIVOG7KG9IQXA","GSON1112110361")</f>
        <v>#NAME?</v>
      </c>
      <c r="N1245" s="8" t="e">
        <f ca="1">[1]!BexGetData("DP_1","003N8EMH8GTFRIVOG7KG9IX8U","GSON1112110361")</f>
        <v>#NAME?</v>
      </c>
      <c r="O1245" s="8" t="e">
        <f ca="1">[1]!BexGetData("DP_1","003N8EMH8GTFRIVOG7KG9J3KE","GSON1112110361")</f>
        <v>#NAME?</v>
      </c>
      <c r="P1245" s="8" t="e">
        <f ca="1">[1]!BexGetData("DP_1","003N8EMH8GTFRIVOG7KG9J9VY","GSON1112110361")</f>
        <v>#NAME?</v>
      </c>
      <c r="Q1245" s="4" t="e">
        <f ca="1">[1]!BexGetData("DP_1","00O2TNJGODT0G5Z4TTKYMM5MT","GSON1112110361")</f>
        <v>#NAME?</v>
      </c>
      <c r="R1245" s="4" t="e">
        <f ca="1">[1]!BexGetData("DP_1","00O2TNJGODT0G5Z4TTKYMMBYD","GSON1112110361")</f>
        <v>#NAME?</v>
      </c>
      <c r="S1245" s="4" t="e">
        <f ca="1">[1]!BexGetData("DP_1","00O2TNJGODT0G5Z4TTKYMMI9X","GSON1112110361")</f>
        <v>#NAME?</v>
      </c>
      <c r="T1245" s="4" t="e">
        <f ca="1">[1]!BexGetData("DP_1","00O2TNJGODT0G5Z4TTKYMMOLH","GSON1112110361")</f>
        <v>#NAME?</v>
      </c>
      <c r="U1245" s="4" t="e">
        <f ca="1">[1]!BexGetData("DP_1","00O2TNJGODT0G5Z4TTKYMMUX1","GSON1112110361")</f>
        <v>#NAME?</v>
      </c>
      <c r="V1245" s="4" t="e">
        <f ca="1">[1]!BexGetData("DP_1","00O2TNJGODT0G5Z4TTKYMN18L","GSON1112110361")</f>
        <v>#NAME?</v>
      </c>
      <c r="W1245" s="4" t="e">
        <f ca="1">[1]!BexGetData("DP_1","00O2TNJGODT0G5Z4TTKYMN7K5","GSON1112110361")</f>
        <v>#NAME?</v>
      </c>
    </row>
    <row r="1246" spans="1:23" x14ac:dyDescent="0.2">
      <c r="A1246" s="16" t="s">
        <v>3532</v>
      </c>
      <c r="B1246" s="7" t="s">
        <v>3533</v>
      </c>
      <c r="C1246" s="3" t="e">
        <f ca="1">[1]!BexGetData("DP_1","003N8EMH8GTFRCSWKMPXRR8GU","GSON1112110364")</f>
        <v>#NAME?</v>
      </c>
      <c r="D1246" s="3" t="e">
        <f ca="1">[1]!BexGetData("DP_1","003N8EMH8GTFRCSWKMPXRRESE","GSON1112110364")</f>
        <v>#NAME?</v>
      </c>
      <c r="E1246" s="8" t="e">
        <f ca="1">[1]!BexGetData("DP_1","003N8EMH8GTFRCSWKMPXRRL3Y","GSON1112110364")</f>
        <v>#NAME?</v>
      </c>
      <c r="F1246" s="4" t="e">
        <f ca="1">[1]!BexGetData("DP_1","003N8EMH8GTFRCSWKMPXRRRFI","GSON1112110364")</f>
        <v>#NAME?</v>
      </c>
      <c r="G1246" s="4" t="e">
        <f ca="1">[1]!BexGetData("DP_1","003N8EMH8GTFRCSWKMPXRRXR2","GSON1112110364")</f>
        <v>#NAME?</v>
      </c>
      <c r="H1246" s="4" t="e">
        <f ca="1">[1]!BexGetData("DP_1","003N8EMH8GTFRCSWKMPXRS42M","GSON1112110364")</f>
        <v>#NAME?</v>
      </c>
      <c r="I1246" s="4" t="e">
        <f ca="1">[1]!BexGetData("DP_1","003N8EMH8GTFRCSWKMPXRSAE6","GSON1112110364")</f>
        <v>#NAME?</v>
      </c>
      <c r="J1246" s="4" t="e">
        <f ca="1">[1]!BexGetData("DP_1","003N8EMH8GTFRCSWKMPXRSGPQ","GSON1112110364")</f>
        <v>#NAME?</v>
      </c>
      <c r="K1246" s="8" t="e">
        <f ca="1">[1]!BexGetData("DP_1","003N8EMH8GTFRIVNUPY288VJH","GSON1112110364")</f>
        <v>#NAME?</v>
      </c>
      <c r="L1246" s="8" t="e">
        <f ca="1">[1]!BexGetData("DP_1","003N8EMH8GTFRIVNUPY2891V1","GSON1112110364")</f>
        <v>#NAME?</v>
      </c>
      <c r="M1246" s="8" t="e">
        <f ca="1">[1]!BexGetData("DP_1","003N8EMH8GTFRIVOG7KG9IQXA","GSON1112110364")</f>
        <v>#NAME?</v>
      </c>
      <c r="N1246" s="8" t="e">
        <f ca="1">[1]!BexGetData("DP_1","003N8EMH8GTFRIVOG7KG9IX8U","GSON1112110364")</f>
        <v>#NAME?</v>
      </c>
      <c r="O1246" s="8" t="e">
        <f ca="1">[1]!BexGetData("DP_1","003N8EMH8GTFRIVOG7KG9J3KE","GSON1112110364")</f>
        <v>#NAME?</v>
      </c>
      <c r="P1246" s="8" t="e">
        <f ca="1">[1]!BexGetData("DP_1","003N8EMH8GTFRIVOG7KG9J9VY","GSON1112110364")</f>
        <v>#NAME?</v>
      </c>
      <c r="Q1246" s="4" t="e">
        <f ca="1">[1]!BexGetData("DP_1","00O2TNJGODT0G5Z4TTKYMM5MT","GSON1112110364")</f>
        <v>#NAME?</v>
      </c>
      <c r="R1246" s="4" t="e">
        <f ca="1">[1]!BexGetData("DP_1","00O2TNJGODT0G5Z4TTKYMMBYD","GSON1112110364")</f>
        <v>#NAME?</v>
      </c>
      <c r="S1246" s="4" t="e">
        <f ca="1">[1]!BexGetData("DP_1","00O2TNJGODT0G5Z4TTKYMMI9X","GSON1112110364")</f>
        <v>#NAME?</v>
      </c>
      <c r="T1246" s="4" t="e">
        <f ca="1">[1]!BexGetData("DP_1","00O2TNJGODT0G5Z4TTKYMMOLH","GSON1112110364")</f>
        <v>#NAME?</v>
      </c>
      <c r="U1246" s="4" t="e">
        <f ca="1">[1]!BexGetData("DP_1","00O2TNJGODT0G5Z4TTKYMMUX1","GSON1112110364")</f>
        <v>#NAME?</v>
      </c>
      <c r="V1246" s="4" t="e">
        <f ca="1">[1]!BexGetData("DP_1","00O2TNJGODT0G5Z4TTKYMN18L","GSON1112110364")</f>
        <v>#NAME?</v>
      </c>
      <c r="W1246" s="4" t="e">
        <f ca="1">[1]!BexGetData("DP_1","00O2TNJGODT0G5Z4TTKYMN7K5","GSON1112110364")</f>
        <v>#NAME?</v>
      </c>
    </row>
    <row r="1247" spans="1:23" x14ac:dyDescent="0.2">
      <c r="A1247" s="16" t="s">
        <v>3534</v>
      </c>
      <c r="B1247" s="7" t="s">
        <v>3535</v>
      </c>
      <c r="C1247" s="3" t="e">
        <f ca="1">[1]!BexGetData("DP_1","003N8EMH8GTFRCSWKMPXRR8GU","GSON1112110365")</f>
        <v>#NAME?</v>
      </c>
      <c r="D1247" s="3" t="e">
        <f ca="1">[1]!BexGetData("DP_1","003N8EMH8GTFRCSWKMPXRRESE","GSON1112110365")</f>
        <v>#NAME?</v>
      </c>
      <c r="E1247" s="8" t="e">
        <f ca="1">[1]!BexGetData("DP_1","003N8EMH8GTFRCSWKMPXRRL3Y","GSON1112110365")</f>
        <v>#NAME?</v>
      </c>
      <c r="F1247" s="4" t="e">
        <f ca="1">[1]!BexGetData("DP_1","003N8EMH8GTFRCSWKMPXRRRFI","GSON1112110365")</f>
        <v>#NAME?</v>
      </c>
      <c r="G1247" s="4" t="e">
        <f ca="1">[1]!BexGetData("DP_1","003N8EMH8GTFRCSWKMPXRRXR2","GSON1112110365")</f>
        <v>#NAME?</v>
      </c>
      <c r="H1247" s="4" t="e">
        <f ca="1">[1]!BexGetData("DP_1","003N8EMH8GTFRCSWKMPXRS42M","GSON1112110365")</f>
        <v>#NAME?</v>
      </c>
      <c r="I1247" s="4" t="e">
        <f ca="1">[1]!BexGetData("DP_1","003N8EMH8GTFRCSWKMPXRSAE6","GSON1112110365")</f>
        <v>#NAME?</v>
      </c>
      <c r="J1247" s="4" t="e">
        <f ca="1">[1]!BexGetData("DP_1","003N8EMH8GTFRCSWKMPXRSGPQ","GSON1112110365")</f>
        <v>#NAME?</v>
      </c>
      <c r="K1247" s="8" t="e">
        <f ca="1">[1]!BexGetData("DP_1","003N8EMH8GTFRIVNUPY288VJH","GSON1112110365")</f>
        <v>#NAME?</v>
      </c>
      <c r="L1247" s="8" t="e">
        <f ca="1">[1]!BexGetData("DP_1","003N8EMH8GTFRIVNUPY2891V1","GSON1112110365")</f>
        <v>#NAME?</v>
      </c>
      <c r="M1247" s="8" t="e">
        <f ca="1">[1]!BexGetData("DP_1","003N8EMH8GTFRIVOG7KG9IQXA","GSON1112110365")</f>
        <v>#NAME?</v>
      </c>
      <c r="N1247" s="8" t="e">
        <f ca="1">[1]!BexGetData("DP_1","003N8EMH8GTFRIVOG7KG9IX8U","GSON1112110365")</f>
        <v>#NAME?</v>
      </c>
      <c r="O1247" s="8" t="e">
        <f ca="1">[1]!BexGetData("DP_1","003N8EMH8GTFRIVOG7KG9J3KE","GSON1112110365")</f>
        <v>#NAME?</v>
      </c>
      <c r="P1247" s="8" t="e">
        <f ca="1">[1]!BexGetData("DP_1","003N8EMH8GTFRIVOG7KG9J9VY","GSON1112110365")</f>
        <v>#NAME?</v>
      </c>
      <c r="Q1247" s="4" t="e">
        <f ca="1">[1]!BexGetData("DP_1","00O2TNJGODT0G5Z4TTKYMM5MT","GSON1112110365")</f>
        <v>#NAME?</v>
      </c>
      <c r="R1247" s="4" t="e">
        <f ca="1">[1]!BexGetData("DP_1","00O2TNJGODT0G5Z4TTKYMMBYD","GSON1112110365")</f>
        <v>#NAME?</v>
      </c>
      <c r="S1247" s="4" t="e">
        <f ca="1">[1]!BexGetData("DP_1","00O2TNJGODT0G5Z4TTKYMMI9X","GSON1112110365")</f>
        <v>#NAME?</v>
      </c>
      <c r="T1247" s="4" t="e">
        <f ca="1">[1]!BexGetData("DP_1","00O2TNJGODT0G5Z4TTKYMMOLH","GSON1112110365")</f>
        <v>#NAME?</v>
      </c>
      <c r="U1247" s="4" t="e">
        <f ca="1">[1]!BexGetData("DP_1","00O2TNJGODT0G5Z4TTKYMMUX1","GSON1112110365")</f>
        <v>#NAME?</v>
      </c>
      <c r="V1247" s="4" t="e">
        <f ca="1">[1]!BexGetData("DP_1","00O2TNJGODT0G5Z4TTKYMN18L","GSON1112110365")</f>
        <v>#NAME?</v>
      </c>
      <c r="W1247" s="4" t="e">
        <f ca="1">[1]!BexGetData("DP_1","00O2TNJGODT0G5Z4TTKYMN7K5","GSON1112110365")</f>
        <v>#NAME?</v>
      </c>
    </row>
    <row r="1248" spans="1:23" x14ac:dyDescent="0.2">
      <c r="A1248" s="16" t="s">
        <v>3536</v>
      </c>
      <c r="B1248" s="7" t="s">
        <v>3537</v>
      </c>
      <c r="C1248" s="3" t="e">
        <f ca="1">[1]!BexGetData("DP_1","003N8EMH8GTFRCSWKMPXRR8GU","GSON1112110370")</f>
        <v>#NAME?</v>
      </c>
      <c r="D1248" s="3" t="e">
        <f ca="1">[1]!BexGetData("DP_1","003N8EMH8GTFRCSWKMPXRRESE","GSON1112110370")</f>
        <v>#NAME?</v>
      </c>
      <c r="E1248" s="3" t="e">
        <f ca="1">[1]!BexGetData("DP_1","003N8EMH8GTFRCSWKMPXRRL3Y","GSON1112110370")</f>
        <v>#NAME?</v>
      </c>
      <c r="F1248" s="4" t="e">
        <f ca="1">[1]!BexGetData("DP_1","003N8EMH8GTFRCSWKMPXRRRFI","GSON1112110370")</f>
        <v>#NAME?</v>
      </c>
      <c r="G1248" s="4" t="e">
        <f ca="1">[1]!BexGetData("DP_1","003N8EMH8GTFRCSWKMPXRRXR2","GSON1112110370")</f>
        <v>#NAME?</v>
      </c>
      <c r="H1248" s="4" t="e">
        <f ca="1">[1]!BexGetData("DP_1","003N8EMH8GTFRCSWKMPXRS42M","GSON1112110370")</f>
        <v>#NAME?</v>
      </c>
      <c r="I1248" s="4" t="e">
        <f ca="1">[1]!BexGetData("DP_1","003N8EMH8GTFRCSWKMPXRSAE6","GSON1112110370")</f>
        <v>#NAME?</v>
      </c>
      <c r="J1248" s="4" t="e">
        <f ca="1">[1]!BexGetData("DP_1","003N8EMH8GTFRCSWKMPXRSGPQ","GSON1112110370")</f>
        <v>#NAME?</v>
      </c>
      <c r="K1248" s="3" t="e">
        <f ca="1">[1]!BexGetData("DP_1","003N8EMH8GTFRIVNUPY288VJH","GSON1112110370")</f>
        <v>#NAME?</v>
      </c>
      <c r="L1248" s="3" t="e">
        <f ca="1">[1]!BexGetData("DP_1","003N8EMH8GTFRIVNUPY2891V1","GSON1112110370")</f>
        <v>#NAME?</v>
      </c>
      <c r="M1248" s="8" t="e">
        <f ca="1">[1]!BexGetData("DP_1","003N8EMH8GTFRIVOG7KG9IQXA","GSON1112110370")</f>
        <v>#NAME?</v>
      </c>
      <c r="N1248" s="3" t="e">
        <f ca="1">[1]!BexGetData("DP_1","003N8EMH8GTFRIVOG7KG9IX8U","GSON1112110370")</f>
        <v>#NAME?</v>
      </c>
      <c r="O1248" s="8" t="e">
        <f ca="1">[1]!BexGetData("DP_1","003N8EMH8GTFRIVOG7KG9J3KE","GSON1112110370")</f>
        <v>#NAME?</v>
      </c>
      <c r="P1248" s="3" t="e">
        <f ca="1">[1]!BexGetData("DP_1","003N8EMH8GTFRIVOG7KG9J9VY","GSON1112110370")</f>
        <v>#NAME?</v>
      </c>
      <c r="Q1248" s="4" t="e">
        <f ca="1">[1]!BexGetData("DP_1","00O2TNJGODT0G5Z4TTKYMM5MT","GSON1112110370")</f>
        <v>#NAME?</v>
      </c>
      <c r="R1248" s="4" t="e">
        <f ca="1">[1]!BexGetData("DP_1","00O2TNJGODT0G5Z4TTKYMMBYD","GSON1112110370")</f>
        <v>#NAME?</v>
      </c>
      <c r="S1248" s="4" t="e">
        <f ca="1">[1]!BexGetData("DP_1","00O2TNJGODT0G5Z4TTKYMMI9X","GSON1112110370")</f>
        <v>#NAME?</v>
      </c>
      <c r="T1248" s="4" t="e">
        <f ca="1">[1]!BexGetData("DP_1","00O2TNJGODT0G5Z4TTKYMMOLH","GSON1112110370")</f>
        <v>#NAME?</v>
      </c>
      <c r="U1248" s="4" t="e">
        <f ca="1">[1]!BexGetData("DP_1","00O2TNJGODT0G5Z4TTKYMMUX1","GSON1112110370")</f>
        <v>#NAME?</v>
      </c>
      <c r="V1248" s="4" t="e">
        <f ca="1">[1]!BexGetData("DP_1","00O2TNJGODT0G5Z4TTKYMN18L","GSON1112110370")</f>
        <v>#NAME?</v>
      </c>
      <c r="W1248" s="4" t="e">
        <f ca="1">[1]!BexGetData("DP_1","00O2TNJGODT0G5Z4TTKYMN7K5","GSON1112110370")</f>
        <v>#NAME?</v>
      </c>
    </row>
    <row r="1249" spans="1:23" x14ac:dyDescent="0.2">
      <c r="A1249" s="16" t="s">
        <v>3538</v>
      </c>
      <c r="B1249" s="7" t="s">
        <v>3539</v>
      </c>
      <c r="C1249" s="3" t="e">
        <f ca="1">[1]!BexGetData("DP_1","003N8EMH8GTFRCSWKMPXRR8GU","GSON1112110371")</f>
        <v>#NAME?</v>
      </c>
      <c r="D1249" s="3" t="e">
        <f ca="1">[1]!BexGetData("DP_1","003N8EMH8GTFRCSWKMPXRRESE","GSON1112110371")</f>
        <v>#NAME?</v>
      </c>
      <c r="E1249" s="8" t="e">
        <f ca="1">[1]!BexGetData("DP_1","003N8EMH8GTFRCSWKMPXRRL3Y","GSON1112110371")</f>
        <v>#NAME?</v>
      </c>
      <c r="F1249" s="4" t="e">
        <f ca="1">[1]!BexGetData("DP_1","003N8EMH8GTFRCSWKMPXRRRFI","GSON1112110371")</f>
        <v>#NAME?</v>
      </c>
      <c r="G1249" s="4" t="e">
        <f ca="1">[1]!BexGetData("DP_1","003N8EMH8GTFRCSWKMPXRRXR2","GSON1112110371")</f>
        <v>#NAME?</v>
      </c>
      <c r="H1249" s="4" t="e">
        <f ca="1">[1]!BexGetData("DP_1","003N8EMH8GTFRCSWKMPXRS42M","GSON1112110371")</f>
        <v>#NAME?</v>
      </c>
      <c r="I1249" s="4" t="e">
        <f ca="1">[1]!BexGetData("DP_1","003N8EMH8GTFRCSWKMPXRSAE6","GSON1112110371")</f>
        <v>#NAME?</v>
      </c>
      <c r="J1249" s="4" t="e">
        <f ca="1">[1]!BexGetData("DP_1","003N8EMH8GTFRCSWKMPXRSGPQ","GSON1112110371")</f>
        <v>#NAME?</v>
      </c>
      <c r="K1249" s="8" t="e">
        <f ca="1">[1]!BexGetData("DP_1","003N8EMH8GTFRIVNUPY288VJH","GSON1112110371")</f>
        <v>#NAME?</v>
      </c>
      <c r="L1249" s="8" t="e">
        <f ca="1">[1]!BexGetData("DP_1","003N8EMH8GTFRIVNUPY2891V1","GSON1112110371")</f>
        <v>#NAME?</v>
      </c>
      <c r="M1249" s="8" t="e">
        <f ca="1">[1]!BexGetData("DP_1","003N8EMH8GTFRIVOG7KG9IQXA","GSON1112110371")</f>
        <v>#NAME?</v>
      </c>
      <c r="N1249" s="8" t="e">
        <f ca="1">[1]!BexGetData("DP_1","003N8EMH8GTFRIVOG7KG9IX8U","GSON1112110371")</f>
        <v>#NAME?</v>
      </c>
      <c r="O1249" s="8" t="e">
        <f ca="1">[1]!BexGetData("DP_1","003N8EMH8GTFRIVOG7KG9J3KE","GSON1112110371")</f>
        <v>#NAME?</v>
      </c>
      <c r="P1249" s="8" t="e">
        <f ca="1">[1]!BexGetData("DP_1","003N8EMH8GTFRIVOG7KG9J9VY","GSON1112110371")</f>
        <v>#NAME?</v>
      </c>
      <c r="Q1249" s="4" t="e">
        <f ca="1">[1]!BexGetData("DP_1","00O2TNJGODT0G5Z4TTKYMM5MT","GSON1112110371")</f>
        <v>#NAME?</v>
      </c>
      <c r="R1249" s="4" t="e">
        <f ca="1">[1]!BexGetData("DP_1","00O2TNJGODT0G5Z4TTKYMMBYD","GSON1112110371")</f>
        <v>#NAME?</v>
      </c>
      <c r="S1249" s="4" t="e">
        <f ca="1">[1]!BexGetData("DP_1","00O2TNJGODT0G5Z4TTKYMMI9X","GSON1112110371")</f>
        <v>#NAME?</v>
      </c>
      <c r="T1249" s="4" t="e">
        <f ca="1">[1]!BexGetData("DP_1","00O2TNJGODT0G5Z4TTKYMMOLH","GSON1112110371")</f>
        <v>#NAME?</v>
      </c>
      <c r="U1249" s="4" t="e">
        <f ca="1">[1]!BexGetData("DP_1","00O2TNJGODT0G5Z4TTKYMMUX1","GSON1112110371")</f>
        <v>#NAME?</v>
      </c>
      <c r="V1249" s="4" t="e">
        <f ca="1">[1]!BexGetData("DP_1","00O2TNJGODT0G5Z4TTKYMN18L","GSON1112110371")</f>
        <v>#NAME?</v>
      </c>
      <c r="W1249" s="4" t="e">
        <f ca="1">[1]!BexGetData("DP_1","00O2TNJGODT0G5Z4TTKYMN7K5","GSON1112110371")</f>
        <v>#NAME?</v>
      </c>
    </row>
    <row r="1250" spans="1:23" x14ac:dyDescent="0.2">
      <c r="A1250" s="16" t="s">
        <v>3540</v>
      </c>
      <c r="B1250" s="7" t="s">
        <v>3541</v>
      </c>
      <c r="C1250" s="3" t="e">
        <f ca="1">[1]!BexGetData("DP_1","003N8EMH8GTFRCSWKMPXRR8GU","GSON1112110374")</f>
        <v>#NAME?</v>
      </c>
      <c r="D1250" s="3" t="e">
        <f ca="1">[1]!BexGetData("DP_1","003N8EMH8GTFRCSWKMPXRRESE","GSON1112110374")</f>
        <v>#NAME?</v>
      </c>
      <c r="E1250" s="8" t="e">
        <f ca="1">[1]!BexGetData("DP_1","003N8EMH8GTFRCSWKMPXRRL3Y","GSON1112110374")</f>
        <v>#NAME?</v>
      </c>
      <c r="F1250" s="4" t="e">
        <f ca="1">[1]!BexGetData("DP_1","003N8EMH8GTFRCSWKMPXRRRFI","GSON1112110374")</f>
        <v>#NAME?</v>
      </c>
      <c r="G1250" s="4" t="e">
        <f ca="1">[1]!BexGetData("DP_1","003N8EMH8GTFRCSWKMPXRRXR2","GSON1112110374")</f>
        <v>#NAME?</v>
      </c>
      <c r="H1250" s="4" t="e">
        <f ca="1">[1]!BexGetData("DP_1","003N8EMH8GTFRCSWKMPXRS42M","GSON1112110374")</f>
        <v>#NAME?</v>
      </c>
      <c r="I1250" s="4" t="e">
        <f ca="1">[1]!BexGetData("DP_1","003N8EMH8GTFRCSWKMPXRSAE6","GSON1112110374")</f>
        <v>#NAME?</v>
      </c>
      <c r="J1250" s="4" t="e">
        <f ca="1">[1]!BexGetData("DP_1","003N8EMH8GTFRCSWKMPXRSGPQ","GSON1112110374")</f>
        <v>#NAME?</v>
      </c>
      <c r="K1250" s="8" t="e">
        <f ca="1">[1]!BexGetData("DP_1","003N8EMH8GTFRIVNUPY288VJH","GSON1112110374")</f>
        <v>#NAME?</v>
      </c>
      <c r="L1250" s="8" t="e">
        <f ca="1">[1]!BexGetData("DP_1","003N8EMH8GTFRIVNUPY2891V1","GSON1112110374")</f>
        <v>#NAME?</v>
      </c>
      <c r="M1250" s="8" t="e">
        <f ca="1">[1]!BexGetData("DP_1","003N8EMH8GTFRIVOG7KG9IQXA","GSON1112110374")</f>
        <v>#NAME?</v>
      </c>
      <c r="N1250" s="8" t="e">
        <f ca="1">[1]!BexGetData("DP_1","003N8EMH8GTFRIVOG7KG9IX8U","GSON1112110374")</f>
        <v>#NAME?</v>
      </c>
      <c r="O1250" s="8" t="e">
        <f ca="1">[1]!BexGetData("DP_1","003N8EMH8GTFRIVOG7KG9J3KE","GSON1112110374")</f>
        <v>#NAME?</v>
      </c>
      <c r="P1250" s="8" t="e">
        <f ca="1">[1]!BexGetData("DP_1","003N8EMH8GTFRIVOG7KG9J9VY","GSON1112110374")</f>
        <v>#NAME?</v>
      </c>
      <c r="Q1250" s="4" t="e">
        <f ca="1">[1]!BexGetData("DP_1","00O2TNJGODT0G5Z4TTKYMM5MT","GSON1112110374")</f>
        <v>#NAME?</v>
      </c>
      <c r="R1250" s="4" t="e">
        <f ca="1">[1]!BexGetData("DP_1","00O2TNJGODT0G5Z4TTKYMMBYD","GSON1112110374")</f>
        <v>#NAME?</v>
      </c>
      <c r="S1250" s="4" t="e">
        <f ca="1">[1]!BexGetData("DP_1","00O2TNJGODT0G5Z4TTKYMMI9X","GSON1112110374")</f>
        <v>#NAME?</v>
      </c>
      <c r="T1250" s="4" t="e">
        <f ca="1">[1]!BexGetData("DP_1","00O2TNJGODT0G5Z4TTKYMMOLH","GSON1112110374")</f>
        <v>#NAME?</v>
      </c>
      <c r="U1250" s="4" t="e">
        <f ca="1">[1]!BexGetData("DP_1","00O2TNJGODT0G5Z4TTKYMMUX1","GSON1112110374")</f>
        <v>#NAME?</v>
      </c>
      <c r="V1250" s="4" t="e">
        <f ca="1">[1]!BexGetData("DP_1","00O2TNJGODT0G5Z4TTKYMN18L","GSON1112110374")</f>
        <v>#NAME?</v>
      </c>
      <c r="W1250" s="4" t="e">
        <f ca="1">[1]!BexGetData("DP_1","00O2TNJGODT0G5Z4TTKYMN7K5","GSON1112110374")</f>
        <v>#NAME?</v>
      </c>
    </row>
    <row r="1251" spans="1:23" x14ac:dyDescent="0.2">
      <c r="A1251" s="16" t="s">
        <v>3542</v>
      </c>
      <c r="B1251" s="7" t="s">
        <v>3543</v>
      </c>
      <c r="C1251" s="3" t="e">
        <f ca="1">[1]!BexGetData("DP_1","003N8EMH8GTFRCSWKMPXRR8GU","GSON1112110380")</f>
        <v>#NAME?</v>
      </c>
      <c r="D1251" s="3" t="e">
        <f ca="1">[1]!BexGetData("DP_1","003N8EMH8GTFRCSWKMPXRRESE","GSON1112110380")</f>
        <v>#NAME?</v>
      </c>
      <c r="E1251" s="3" t="e">
        <f ca="1">[1]!BexGetData("DP_1","003N8EMH8GTFRCSWKMPXRRL3Y","GSON1112110380")</f>
        <v>#NAME?</v>
      </c>
      <c r="F1251" s="4" t="e">
        <f ca="1">[1]!BexGetData("DP_1","003N8EMH8GTFRCSWKMPXRRRFI","GSON1112110380")</f>
        <v>#NAME?</v>
      </c>
      <c r="G1251" s="4" t="e">
        <f ca="1">[1]!BexGetData("DP_1","003N8EMH8GTFRCSWKMPXRRXR2","GSON1112110380")</f>
        <v>#NAME?</v>
      </c>
      <c r="H1251" s="4" t="e">
        <f ca="1">[1]!BexGetData("DP_1","003N8EMH8GTFRCSWKMPXRS42M","GSON1112110380")</f>
        <v>#NAME?</v>
      </c>
      <c r="I1251" s="4" t="e">
        <f ca="1">[1]!BexGetData("DP_1","003N8EMH8GTFRCSWKMPXRSAE6","GSON1112110380")</f>
        <v>#NAME?</v>
      </c>
      <c r="J1251" s="4" t="e">
        <f ca="1">[1]!BexGetData("DP_1","003N8EMH8GTFRCSWKMPXRSGPQ","GSON1112110380")</f>
        <v>#NAME?</v>
      </c>
      <c r="K1251" s="3" t="e">
        <f ca="1">[1]!BexGetData("DP_1","003N8EMH8GTFRIVNUPY288VJH","GSON1112110380")</f>
        <v>#NAME?</v>
      </c>
      <c r="L1251" s="3" t="e">
        <f ca="1">[1]!BexGetData("DP_1","003N8EMH8GTFRIVNUPY2891V1","GSON1112110380")</f>
        <v>#NAME?</v>
      </c>
      <c r="M1251" s="8" t="e">
        <f ca="1">[1]!BexGetData("DP_1","003N8EMH8GTFRIVOG7KG9IQXA","GSON1112110380")</f>
        <v>#NAME?</v>
      </c>
      <c r="N1251" s="3" t="e">
        <f ca="1">[1]!BexGetData("DP_1","003N8EMH8GTFRIVOG7KG9IX8U","GSON1112110380")</f>
        <v>#NAME?</v>
      </c>
      <c r="O1251" s="8" t="e">
        <f ca="1">[1]!BexGetData("DP_1","003N8EMH8GTFRIVOG7KG9J3KE","GSON1112110380")</f>
        <v>#NAME?</v>
      </c>
      <c r="P1251" s="3" t="e">
        <f ca="1">[1]!BexGetData("DP_1","003N8EMH8GTFRIVOG7KG9J9VY","GSON1112110380")</f>
        <v>#NAME?</v>
      </c>
      <c r="Q1251" s="4" t="e">
        <f ca="1">[1]!BexGetData("DP_1","00O2TNJGODT0G5Z4TTKYMM5MT","GSON1112110380")</f>
        <v>#NAME?</v>
      </c>
      <c r="R1251" s="4" t="e">
        <f ca="1">[1]!BexGetData("DP_1","00O2TNJGODT0G5Z4TTKYMMBYD","GSON1112110380")</f>
        <v>#NAME?</v>
      </c>
      <c r="S1251" s="4" t="e">
        <f ca="1">[1]!BexGetData("DP_1","00O2TNJGODT0G5Z4TTKYMMI9X","GSON1112110380")</f>
        <v>#NAME?</v>
      </c>
      <c r="T1251" s="4" t="e">
        <f ca="1">[1]!BexGetData("DP_1","00O2TNJGODT0G5Z4TTKYMMOLH","GSON1112110380")</f>
        <v>#NAME?</v>
      </c>
      <c r="U1251" s="4" t="e">
        <f ca="1">[1]!BexGetData("DP_1","00O2TNJGODT0G5Z4TTKYMMUX1","GSON1112110380")</f>
        <v>#NAME?</v>
      </c>
      <c r="V1251" s="4" t="e">
        <f ca="1">[1]!BexGetData("DP_1","00O2TNJGODT0G5Z4TTKYMN18L","GSON1112110380")</f>
        <v>#NAME?</v>
      </c>
      <c r="W1251" s="4" t="e">
        <f ca="1">[1]!BexGetData("DP_1","00O2TNJGODT0G5Z4TTKYMN7K5","GSON1112110380")</f>
        <v>#NAME?</v>
      </c>
    </row>
    <row r="1252" spans="1:23" x14ac:dyDescent="0.2">
      <c r="A1252" s="16" t="s">
        <v>3544</v>
      </c>
      <c r="B1252" s="7" t="s">
        <v>3545</v>
      </c>
      <c r="C1252" s="3" t="e">
        <f ca="1">[1]!BexGetData("DP_1","003N8EMH8GTFRCSWKMPXRR8GU","GSON1112110381")</f>
        <v>#NAME?</v>
      </c>
      <c r="D1252" s="3" t="e">
        <f ca="1">[1]!BexGetData("DP_1","003N8EMH8GTFRCSWKMPXRRESE","GSON1112110381")</f>
        <v>#NAME?</v>
      </c>
      <c r="E1252" s="8" t="e">
        <f ca="1">[1]!BexGetData("DP_1","003N8EMH8GTFRCSWKMPXRRL3Y","GSON1112110381")</f>
        <v>#NAME?</v>
      </c>
      <c r="F1252" s="4" t="e">
        <f ca="1">[1]!BexGetData("DP_1","003N8EMH8GTFRCSWKMPXRRRFI","GSON1112110381")</f>
        <v>#NAME?</v>
      </c>
      <c r="G1252" s="4" t="e">
        <f ca="1">[1]!BexGetData("DP_1","003N8EMH8GTFRCSWKMPXRRXR2","GSON1112110381")</f>
        <v>#NAME?</v>
      </c>
      <c r="H1252" s="4" t="e">
        <f ca="1">[1]!BexGetData("DP_1","003N8EMH8GTFRCSWKMPXRS42M","GSON1112110381")</f>
        <v>#NAME?</v>
      </c>
      <c r="I1252" s="4" t="e">
        <f ca="1">[1]!BexGetData("DP_1","003N8EMH8GTFRCSWKMPXRSAE6","GSON1112110381")</f>
        <v>#NAME?</v>
      </c>
      <c r="J1252" s="4" t="e">
        <f ca="1">[1]!BexGetData("DP_1","003N8EMH8GTFRCSWKMPXRSGPQ","GSON1112110381")</f>
        <v>#NAME?</v>
      </c>
      <c r="K1252" s="8" t="e">
        <f ca="1">[1]!BexGetData("DP_1","003N8EMH8GTFRIVNUPY288VJH","GSON1112110381")</f>
        <v>#NAME?</v>
      </c>
      <c r="L1252" s="8" t="e">
        <f ca="1">[1]!BexGetData("DP_1","003N8EMH8GTFRIVNUPY2891V1","GSON1112110381")</f>
        <v>#NAME?</v>
      </c>
      <c r="M1252" s="8" t="e">
        <f ca="1">[1]!BexGetData("DP_1","003N8EMH8GTFRIVOG7KG9IQXA","GSON1112110381")</f>
        <v>#NAME?</v>
      </c>
      <c r="N1252" s="8" t="e">
        <f ca="1">[1]!BexGetData("DP_1","003N8EMH8GTFRIVOG7KG9IX8U","GSON1112110381")</f>
        <v>#NAME?</v>
      </c>
      <c r="O1252" s="8" t="e">
        <f ca="1">[1]!BexGetData("DP_1","003N8EMH8GTFRIVOG7KG9J3KE","GSON1112110381")</f>
        <v>#NAME?</v>
      </c>
      <c r="P1252" s="8" t="e">
        <f ca="1">[1]!BexGetData("DP_1","003N8EMH8GTFRIVOG7KG9J9VY","GSON1112110381")</f>
        <v>#NAME?</v>
      </c>
      <c r="Q1252" s="4" t="e">
        <f ca="1">[1]!BexGetData("DP_1","00O2TNJGODT0G5Z4TTKYMM5MT","GSON1112110381")</f>
        <v>#NAME?</v>
      </c>
      <c r="R1252" s="4" t="e">
        <f ca="1">[1]!BexGetData("DP_1","00O2TNJGODT0G5Z4TTKYMMBYD","GSON1112110381")</f>
        <v>#NAME?</v>
      </c>
      <c r="S1252" s="4" t="e">
        <f ca="1">[1]!BexGetData("DP_1","00O2TNJGODT0G5Z4TTKYMMI9X","GSON1112110381")</f>
        <v>#NAME?</v>
      </c>
      <c r="T1252" s="4" t="e">
        <f ca="1">[1]!BexGetData("DP_1","00O2TNJGODT0G5Z4TTKYMMOLH","GSON1112110381")</f>
        <v>#NAME?</v>
      </c>
      <c r="U1252" s="4" t="e">
        <f ca="1">[1]!BexGetData("DP_1","00O2TNJGODT0G5Z4TTKYMMUX1","GSON1112110381")</f>
        <v>#NAME?</v>
      </c>
      <c r="V1252" s="4" t="e">
        <f ca="1">[1]!BexGetData("DP_1","00O2TNJGODT0G5Z4TTKYMN18L","GSON1112110381")</f>
        <v>#NAME?</v>
      </c>
      <c r="W1252" s="4" t="e">
        <f ca="1">[1]!BexGetData("DP_1","00O2TNJGODT0G5Z4TTKYMN7K5","GSON1112110381")</f>
        <v>#NAME?</v>
      </c>
    </row>
    <row r="1253" spans="1:23" x14ac:dyDescent="0.2">
      <c r="A1253" s="16" t="s">
        <v>3546</v>
      </c>
      <c r="B1253" s="7" t="s">
        <v>3547</v>
      </c>
      <c r="C1253" s="3" t="e">
        <f ca="1">[1]!BexGetData("DP_1","003N8EMH8GTFRCSWKMPXRR8GU","GSON1112110383")</f>
        <v>#NAME?</v>
      </c>
      <c r="D1253" s="3" t="e">
        <f ca="1">[1]!BexGetData("DP_1","003N8EMH8GTFRCSWKMPXRRESE","GSON1112110383")</f>
        <v>#NAME?</v>
      </c>
      <c r="E1253" s="8" t="e">
        <f ca="1">[1]!BexGetData("DP_1","003N8EMH8GTFRCSWKMPXRRL3Y","GSON1112110383")</f>
        <v>#NAME?</v>
      </c>
      <c r="F1253" s="4" t="e">
        <f ca="1">[1]!BexGetData("DP_1","003N8EMH8GTFRCSWKMPXRRRFI","GSON1112110383")</f>
        <v>#NAME?</v>
      </c>
      <c r="G1253" s="4" t="e">
        <f ca="1">[1]!BexGetData("DP_1","003N8EMH8GTFRCSWKMPXRRXR2","GSON1112110383")</f>
        <v>#NAME?</v>
      </c>
      <c r="H1253" s="4" t="e">
        <f ca="1">[1]!BexGetData("DP_1","003N8EMH8GTFRCSWKMPXRS42M","GSON1112110383")</f>
        <v>#NAME?</v>
      </c>
      <c r="I1253" s="4" t="e">
        <f ca="1">[1]!BexGetData("DP_1","003N8EMH8GTFRCSWKMPXRSAE6","GSON1112110383")</f>
        <v>#NAME?</v>
      </c>
      <c r="J1253" s="4" t="e">
        <f ca="1">[1]!BexGetData("DP_1","003N8EMH8GTFRCSWKMPXRSGPQ","GSON1112110383")</f>
        <v>#NAME?</v>
      </c>
      <c r="K1253" s="8" t="e">
        <f ca="1">[1]!BexGetData("DP_1","003N8EMH8GTFRIVNUPY288VJH","GSON1112110383")</f>
        <v>#NAME?</v>
      </c>
      <c r="L1253" s="8" t="e">
        <f ca="1">[1]!BexGetData("DP_1","003N8EMH8GTFRIVNUPY2891V1","GSON1112110383")</f>
        <v>#NAME?</v>
      </c>
      <c r="M1253" s="8" t="e">
        <f ca="1">[1]!BexGetData("DP_1","003N8EMH8GTFRIVOG7KG9IQXA","GSON1112110383")</f>
        <v>#NAME?</v>
      </c>
      <c r="N1253" s="8" t="e">
        <f ca="1">[1]!BexGetData("DP_1","003N8EMH8GTFRIVOG7KG9IX8U","GSON1112110383")</f>
        <v>#NAME?</v>
      </c>
      <c r="O1253" s="8" t="e">
        <f ca="1">[1]!BexGetData("DP_1","003N8EMH8GTFRIVOG7KG9J3KE","GSON1112110383")</f>
        <v>#NAME?</v>
      </c>
      <c r="P1253" s="8" t="e">
        <f ca="1">[1]!BexGetData("DP_1","003N8EMH8GTFRIVOG7KG9J9VY","GSON1112110383")</f>
        <v>#NAME?</v>
      </c>
      <c r="Q1253" s="4" t="e">
        <f ca="1">[1]!BexGetData("DP_1","00O2TNJGODT0G5Z4TTKYMM5MT","GSON1112110383")</f>
        <v>#NAME?</v>
      </c>
      <c r="R1253" s="4" t="e">
        <f ca="1">[1]!BexGetData("DP_1","00O2TNJGODT0G5Z4TTKYMMBYD","GSON1112110383")</f>
        <v>#NAME?</v>
      </c>
      <c r="S1253" s="4" t="e">
        <f ca="1">[1]!BexGetData("DP_1","00O2TNJGODT0G5Z4TTKYMMI9X","GSON1112110383")</f>
        <v>#NAME?</v>
      </c>
      <c r="T1253" s="4" t="e">
        <f ca="1">[1]!BexGetData("DP_1","00O2TNJGODT0G5Z4TTKYMMOLH","GSON1112110383")</f>
        <v>#NAME?</v>
      </c>
      <c r="U1253" s="4" t="e">
        <f ca="1">[1]!BexGetData("DP_1","00O2TNJGODT0G5Z4TTKYMMUX1","GSON1112110383")</f>
        <v>#NAME?</v>
      </c>
      <c r="V1253" s="4" t="e">
        <f ca="1">[1]!BexGetData("DP_1","00O2TNJGODT0G5Z4TTKYMN18L","GSON1112110383")</f>
        <v>#NAME?</v>
      </c>
      <c r="W1253" s="4" t="e">
        <f ca="1">[1]!BexGetData("DP_1","00O2TNJGODT0G5Z4TTKYMN7K5","GSON1112110383")</f>
        <v>#NAME?</v>
      </c>
    </row>
    <row r="1254" spans="1:23" x14ac:dyDescent="0.2">
      <c r="A1254" s="16" t="s">
        <v>3548</v>
      </c>
      <c r="B1254" s="7" t="s">
        <v>3549</v>
      </c>
      <c r="C1254" s="3" t="e">
        <f ca="1">[1]!BexGetData("DP_1","003N8EMH8GTFRCSWKMPXRR8GU","GSON1112110384")</f>
        <v>#NAME?</v>
      </c>
      <c r="D1254" s="3" t="e">
        <f ca="1">[1]!BexGetData("DP_1","003N8EMH8GTFRCSWKMPXRRESE","GSON1112110384")</f>
        <v>#NAME?</v>
      </c>
      <c r="E1254" s="8" t="e">
        <f ca="1">[1]!BexGetData("DP_1","003N8EMH8GTFRCSWKMPXRRL3Y","GSON1112110384")</f>
        <v>#NAME?</v>
      </c>
      <c r="F1254" s="4" t="e">
        <f ca="1">[1]!BexGetData("DP_1","003N8EMH8GTFRCSWKMPXRRRFI","GSON1112110384")</f>
        <v>#NAME?</v>
      </c>
      <c r="G1254" s="4" t="e">
        <f ca="1">[1]!BexGetData("DP_1","003N8EMH8GTFRCSWKMPXRRXR2","GSON1112110384")</f>
        <v>#NAME?</v>
      </c>
      <c r="H1254" s="4" t="e">
        <f ca="1">[1]!BexGetData("DP_1","003N8EMH8GTFRCSWKMPXRS42M","GSON1112110384")</f>
        <v>#NAME?</v>
      </c>
      <c r="I1254" s="4" t="e">
        <f ca="1">[1]!BexGetData("DP_1","003N8EMH8GTFRCSWKMPXRSAE6","GSON1112110384")</f>
        <v>#NAME?</v>
      </c>
      <c r="J1254" s="4" t="e">
        <f ca="1">[1]!BexGetData("DP_1","003N8EMH8GTFRCSWKMPXRSGPQ","GSON1112110384")</f>
        <v>#NAME?</v>
      </c>
      <c r="K1254" s="8" t="e">
        <f ca="1">[1]!BexGetData("DP_1","003N8EMH8GTFRIVNUPY288VJH","GSON1112110384")</f>
        <v>#NAME?</v>
      </c>
      <c r="L1254" s="8" t="e">
        <f ca="1">[1]!BexGetData("DP_1","003N8EMH8GTFRIVNUPY2891V1","GSON1112110384")</f>
        <v>#NAME?</v>
      </c>
      <c r="M1254" s="8" t="e">
        <f ca="1">[1]!BexGetData("DP_1","003N8EMH8GTFRIVOG7KG9IQXA","GSON1112110384")</f>
        <v>#NAME?</v>
      </c>
      <c r="N1254" s="8" t="e">
        <f ca="1">[1]!BexGetData("DP_1","003N8EMH8GTFRIVOG7KG9IX8U","GSON1112110384")</f>
        <v>#NAME?</v>
      </c>
      <c r="O1254" s="8" t="e">
        <f ca="1">[1]!BexGetData("DP_1","003N8EMH8GTFRIVOG7KG9J3KE","GSON1112110384")</f>
        <v>#NAME?</v>
      </c>
      <c r="P1254" s="8" t="e">
        <f ca="1">[1]!BexGetData("DP_1","003N8EMH8GTFRIVOG7KG9J9VY","GSON1112110384")</f>
        <v>#NAME?</v>
      </c>
      <c r="Q1254" s="4" t="e">
        <f ca="1">[1]!BexGetData("DP_1","00O2TNJGODT0G5Z4TTKYMM5MT","GSON1112110384")</f>
        <v>#NAME?</v>
      </c>
      <c r="R1254" s="4" t="e">
        <f ca="1">[1]!BexGetData("DP_1","00O2TNJGODT0G5Z4TTKYMMBYD","GSON1112110384")</f>
        <v>#NAME?</v>
      </c>
      <c r="S1254" s="4" t="e">
        <f ca="1">[1]!BexGetData("DP_1","00O2TNJGODT0G5Z4TTKYMMI9X","GSON1112110384")</f>
        <v>#NAME?</v>
      </c>
      <c r="T1254" s="4" t="e">
        <f ca="1">[1]!BexGetData("DP_1","00O2TNJGODT0G5Z4TTKYMMOLH","GSON1112110384")</f>
        <v>#NAME?</v>
      </c>
      <c r="U1254" s="4" t="e">
        <f ca="1">[1]!BexGetData("DP_1","00O2TNJGODT0G5Z4TTKYMMUX1","GSON1112110384")</f>
        <v>#NAME?</v>
      </c>
      <c r="V1254" s="4" t="e">
        <f ca="1">[1]!BexGetData("DP_1","00O2TNJGODT0G5Z4TTKYMN18L","GSON1112110384")</f>
        <v>#NAME?</v>
      </c>
      <c r="W1254" s="4" t="e">
        <f ca="1">[1]!BexGetData("DP_1","00O2TNJGODT0G5Z4TTKYMN7K5","GSON1112110384")</f>
        <v>#NAME?</v>
      </c>
    </row>
    <row r="1255" spans="1:23" x14ac:dyDescent="0.2">
      <c r="A1255" s="16" t="s">
        <v>3550</v>
      </c>
      <c r="B1255" s="7" t="s">
        <v>3551</v>
      </c>
      <c r="C1255" s="3" t="e">
        <f ca="1">[1]!BexGetData("DP_1","003N8EMH8GTFRCSWKMPXRR8GU","GSON1112110385")</f>
        <v>#NAME?</v>
      </c>
      <c r="D1255" s="3" t="e">
        <f ca="1">[1]!BexGetData("DP_1","003N8EMH8GTFRCSWKMPXRRESE","GSON1112110385")</f>
        <v>#NAME?</v>
      </c>
      <c r="E1255" s="8" t="e">
        <f ca="1">[1]!BexGetData("DP_1","003N8EMH8GTFRCSWKMPXRRL3Y","GSON1112110385")</f>
        <v>#NAME?</v>
      </c>
      <c r="F1255" s="4" t="e">
        <f ca="1">[1]!BexGetData("DP_1","003N8EMH8GTFRCSWKMPXRRRFI","GSON1112110385")</f>
        <v>#NAME?</v>
      </c>
      <c r="G1255" s="4" t="e">
        <f ca="1">[1]!BexGetData("DP_1","003N8EMH8GTFRCSWKMPXRRXR2","GSON1112110385")</f>
        <v>#NAME?</v>
      </c>
      <c r="H1255" s="4" t="e">
        <f ca="1">[1]!BexGetData("DP_1","003N8EMH8GTFRCSWKMPXRS42M","GSON1112110385")</f>
        <v>#NAME?</v>
      </c>
      <c r="I1255" s="4" t="e">
        <f ca="1">[1]!BexGetData("DP_1","003N8EMH8GTFRCSWKMPXRSAE6","GSON1112110385")</f>
        <v>#NAME?</v>
      </c>
      <c r="J1255" s="4" t="e">
        <f ca="1">[1]!BexGetData("DP_1","003N8EMH8GTFRCSWKMPXRSGPQ","GSON1112110385")</f>
        <v>#NAME?</v>
      </c>
      <c r="K1255" s="8" t="e">
        <f ca="1">[1]!BexGetData("DP_1","003N8EMH8GTFRIVNUPY288VJH","GSON1112110385")</f>
        <v>#NAME?</v>
      </c>
      <c r="L1255" s="8" t="e">
        <f ca="1">[1]!BexGetData("DP_1","003N8EMH8GTFRIVNUPY2891V1","GSON1112110385")</f>
        <v>#NAME?</v>
      </c>
      <c r="M1255" s="8" t="e">
        <f ca="1">[1]!BexGetData("DP_1","003N8EMH8GTFRIVOG7KG9IQXA","GSON1112110385")</f>
        <v>#NAME?</v>
      </c>
      <c r="N1255" s="8" t="e">
        <f ca="1">[1]!BexGetData("DP_1","003N8EMH8GTFRIVOG7KG9IX8U","GSON1112110385")</f>
        <v>#NAME?</v>
      </c>
      <c r="O1255" s="8" t="e">
        <f ca="1">[1]!BexGetData("DP_1","003N8EMH8GTFRIVOG7KG9J3KE","GSON1112110385")</f>
        <v>#NAME?</v>
      </c>
      <c r="P1255" s="8" t="e">
        <f ca="1">[1]!BexGetData("DP_1","003N8EMH8GTFRIVOG7KG9J9VY","GSON1112110385")</f>
        <v>#NAME?</v>
      </c>
      <c r="Q1255" s="4" t="e">
        <f ca="1">[1]!BexGetData("DP_1","00O2TNJGODT0G5Z4TTKYMM5MT","GSON1112110385")</f>
        <v>#NAME?</v>
      </c>
      <c r="R1255" s="4" t="e">
        <f ca="1">[1]!BexGetData("DP_1","00O2TNJGODT0G5Z4TTKYMMBYD","GSON1112110385")</f>
        <v>#NAME?</v>
      </c>
      <c r="S1255" s="4" t="e">
        <f ca="1">[1]!BexGetData("DP_1","00O2TNJGODT0G5Z4TTKYMMI9X","GSON1112110385")</f>
        <v>#NAME?</v>
      </c>
      <c r="T1255" s="4" t="e">
        <f ca="1">[1]!BexGetData("DP_1","00O2TNJGODT0G5Z4TTKYMMOLH","GSON1112110385")</f>
        <v>#NAME?</v>
      </c>
      <c r="U1255" s="4" t="e">
        <f ca="1">[1]!BexGetData("DP_1","00O2TNJGODT0G5Z4TTKYMMUX1","GSON1112110385")</f>
        <v>#NAME?</v>
      </c>
      <c r="V1255" s="4" t="e">
        <f ca="1">[1]!BexGetData("DP_1","00O2TNJGODT0G5Z4TTKYMN18L","GSON1112110385")</f>
        <v>#NAME?</v>
      </c>
      <c r="W1255" s="4" t="e">
        <f ca="1">[1]!BexGetData("DP_1","00O2TNJGODT0G5Z4TTKYMN7K5","GSON1112110385")</f>
        <v>#NAME?</v>
      </c>
    </row>
    <row r="1256" spans="1:23" x14ac:dyDescent="0.2">
      <c r="A1256" s="16" t="s">
        <v>3552</v>
      </c>
      <c r="B1256" s="7" t="s">
        <v>3553</v>
      </c>
      <c r="C1256" s="3" t="e">
        <f ca="1">[1]!BexGetData("DP_1","003N8EMH8GTFRCSWKMPXRR8GU","GSON1112110390")</f>
        <v>#NAME?</v>
      </c>
      <c r="D1256" s="3" t="e">
        <f ca="1">[1]!BexGetData("DP_1","003N8EMH8GTFRCSWKMPXRRESE","GSON1112110390")</f>
        <v>#NAME?</v>
      </c>
      <c r="E1256" s="3" t="e">
        <f ca="1">[1]!BexGetData("DP_1","003N8EMH8GTFRCSWKMPXRRL3Y","GSON1112110390")</f>
        <v>#NAME?</v>
      </c>
      <c r="F1256" s="4" t="e">
        <f ca="1">[1]!BexGetData("DP_1","003N8EMH8GTFRCSWKMPXRRRFI","GSON1112110390")</f>
        <v>#NAME?</v>
      </c>
      <c r="G1256" s="4" t="e">
        <f ca="1">[1]!BexGetData("DP_1","003N8EMH8GTFRCSWKMPXRRXR2","GSON1112110390")</f>
        <v>#NAME?</v>
      </c>
      <c r="H1256" s="4" t="e">
        <f ca="1">[1]!BexGetData("DP_1","003N8EMH8GTFRCSWKMPXRS42M","GSON1112110390")</f>
        <v>#NAME?</v>
      </c>
      <c r="I1256" s="4" t="e">
        <f ca="1">[1]!BexGetData("DP_1","003N8EMH8GTFRCSWKMPXRSAE6","GSON1112110390")</f>
        <v>#NAME?</v>
      </c>
      <c r="J1256" s="4" t="e">
        <f ca="1">[1]!BexGetData("DP_1","003N8EMH8GTFRCSWKMPXRSGPQ","GSON1112110390")</f>
        <v>#NAME?</v>
      </c>
      <c r="K1256" s="3" t="e">
        <f ca="1">[1]!BexGetData("DP_1","003N8EMH8GTFRIVNUPY288VJH","GSON1112110390")</f>
        <v>#NAME?</v>
      </c>
      <c r="L1256" s="3" t="e">
        <f ca="1">[1]!BexGetData("DP_1","003N8EMH8GTFRIVNUPY2891V1","GSON1112110390")</f>
        <v>#NAME?</v>
      </c>
      <c r="M1256" s="8" t="e">
        <f ca="1">[1]!BexGetData("DP_1","003N8EMH8GTFRIVOG7KG9IQXA","GSON1112110390")</f>
        <v>#NAME?</v>
      </c>
      <c r="N1256" s="3" t="e">
        <f ca="1">[1]!BexGetData("DP_1","003N8EMH8GTFRIVOG7KG9IX8U","GSON1112110390")</f>
        <v>#NAME?</v>
      </c>
      <c r="O1256" s="8" t="e">
        <f ca="1">[1]!BexGetData("DP_1","003N8EMH8GTFRIVOG7KG9J3KE","GSON1112110390")</f>
        <v>#NAME?</v>
      </c>
      <c r="P1256" s="3" t="e">
        <f ca="1">[1]!BexGetData("DP_1","003N8EMH8GTFRIVOG7KG9J9VY","GSON1112110390")</f>
        <v>#NAME?</v>
      </c>
      <c r="Q1256" s="4" t="e">
        <f ca="1">[1]!BexGetData("DP_1","00O2TNJGODT0G5Z4TTKYMM5MT","GSON1112110390")</f>
        <v>#NAME?</v>
      </c>
      <c r="R1256" s="4" t="e">
        <f ca="1">[1]!BexGetData("DP_1","00O2TNJGODT0G5Z4TTKYMMBYD","GSON1112110390")</f>
        <v>#NAME?</v>
      </c>
      <c r="S1256" s="4" t="e">
        <f ca="1">[1]!BexGetData("DP_1","00O2TNJGODT0G5Z4TTKYMMI9X","GSON1112110390")</f>
        <v>#NAME?</v>
      </c>
      <c r="T1256" s="4" t="e">
        <f ca="1">[1]!BexGetData("DP_1","00O2TNJGODT0G5Z4TTKYMMOLH","GSON1112110390")</f>
        <v>#NAME?</v>
      </c>
      <c r="U1256" s="4" t="e">
        <f ca="1">[1]!BexGetData("DP_1","00O2TNJGODT0G5Z4TTKYMMUX1","GSON1112110390")</f>
        <v>#NAME?</v>
      </c>
      <c r="V1256" s="4" t="e">
        <f ca="1">[1]!BexGetData("DP_1","00O2TNJGODT0G5Z4TTKYMN18L","GSON1112110390")</f>
        <v>#NAME?</v>
      </c>
      <c r="W1256" s="4" t="e">
        <f ca="1">[1]!BexGetData("DP_1","00O2TNJGODT0G5Z4TTKYMN7K5","GSON1112110390")</f>
        <v>#NAME?</v>
      </c>
    </row>
    <row r="1257" spans="1:23" x14ac:dyDescent="0.2">
      <c r="A1257" s="16" t="s">
        <v>3554</v>
      </c>
      <c r="B1257" s="7" t="s">
        <v>3555</v>
      </c>
      <c r="C1257" s="3" t="e">
        <f ca="1">[1]!BexGetData("DP_1","003N8EMH8GTFRCSWKMPXRR8GU","GSON1112110391")</f>
        <v>#NAME?</v>
      </c>
      <c r="D1257" s="3" t="e">
        <f ca="1">[1]!BexGetData("DP_1","003N8EMH8GTFRCSWKMPXRRESE","GSON1112110391")</f>
        <v>#NAME?</v>
      </c>
      <c r="E1257" s="8" t="e">
        <f ca="1">[1]!BexGetData("DP_1","003N8EMH8GTFRCSWKMPXRRL3Y","GSON1112110391")</f>
        <v>#NAME?</v>
      </c>
      <c r="F1257" s="4" t="e">
        <f ca="1">[1]!BexGetData("DP_1","003N8EMH8GTFRCSWKMPXRRRFI","GSON1112110391")</f>
        <v>#NAME?</v>
      </c>
      <c r="G1257" s="4" t="e">
        <f ca="1">[1]!BexGetData("DP_1","003N8EMH8GTFRCSWKMPXRRXR2","GSON1112110391")</f>
        <v>#NAME?</v>
      </c>
      <c r="H1257" s="4" t="e">
        <f ca="1">[1]!BexGetData("DP_1","003N8EMH8GTFRCSWKMPXRS42M","GSON1112110391")</f>
        <v>#NAME?</v>
      </c>
      <c r="I1257" s="4" t="e">
        <f ca="1">[1]!BexGetData("DP_1","003N8EMH8GTFRCSWKMPXRSAE6","GSON1112110391")</f>
        <v>#NAME?</v>
      </c>
      <c r="J1257" s="4" t="e">
        <f ca="1">[1]!BexGetData("DP_1","003N8EMH8GTFRCSWKMPXRSGPQ","GSON1112110391")</f>
        <v>#NAME?</v>
      </c>
      <c r="K1257" s="8" t="e">
        <f ca="1">[1]!BexGetData("DP_1","003N8EMH8GTFRIVNUPY288VJH","GSON1112110391")</f>
        <v>#NAME?</v>
      </c>
      <c r="L1257" s="8" t="e">
        <f ca="1">[1]!BexGetData("DP_1","003N8EMH8GTFRIVNUPY2891V1","GSON1112110391")</f>
        <v>#NAME?</v>
      </c>
      <c r="M1257" s="8" t="e">
        <f ca="1">[1]!BexGetData("DP_1","003N8EMH8GTFRIVOG7KG9IQXA","GSON1112110391")</f>
        <v>#NAME?</v>
      </c>
      <c r="N1257" s="8" t="e">
        <f ca="1">[1]!BexGetData("DP_1","003N8EMH8GTFRIVOG7KG9IX8U","GSON1112110391")</f>
        <v>#NAME?</v>
      </c>
      <c r="O1257" s="8" t="e">
        <f ca="1">[1]!BexGetData("DP_1","003N8EMH8GTFRIVOG7KG9J3KE","GSON1112110391")</f>
        <v>#NAME?</v>
      </c>
      <c r="P1257" s="8" t="e">
        <f ca="1">[1]!BexGetData("DP_1","003N8EMH8GTFRIVOG7KG9J9VY","GSON1112110391")</f>
        <v>#NAME?</v>
      </c>
      <c r="Q1257" s="4" t="e">
        <f ca="1">[1]!BexGetData("DP_1","00O2TNJGODT0G5Z4TTKYMM5MT","GSON1112110391")</f>
        <v>#NAME?</v>
      </c>
      <c r="R1257" s="4" t="e">
        <f ca="1">[1]!BexGetData("DP_1","00O2TNJGODT0G5Z4TTKYMMBYD","GSON1112110391")</f>
        <v>#NAME?</v>
      </c>
      <c r="S1257" s="4" t="e">
        <f ca="1">[1]!BexGetData("DP_1","00O2TNJGODT0G5Z4TTKYMMI9X","GSON1112110391")</f>
        <v>#NAME?</v>
      </c>
      <c r="T1257" s="4" t="e">
        <f ca="1">[1]!BexGetData("DP_1","00O2TNJGODT0G5Z4TTKYMMOLH","GSON1112110391")</f>
        <v>#NAME?</v>
      </c>
      <c r="U1257" s="4" t="e">
        <f ca="1">[1]!BexGetData("DP_1","00O2TNJGODT0G5Z4TTKYMMUX1","GSON1112110391")</f>
        <v>#NAME?</v>
      </c>
      <c r="V1257" s="4" t="e">
        <f ca="1">[1]!BexGetData("DP_1","00O2TNJGODT0G5Z4TTKYMN18L","GSON1112110391")</f>
        <v>#NAME?</v>
      </c>
      <c r="W1257" s="4" t="e">
        <f ca="1">[1]!BexGetData("DP_1","00O2TNJGODT0G5Z4TTKYMN7K5","GSON1112110391")</f>
        <v>#NAME?</v>
      </c>
    </row>
    <row r="1258" spans="1:23" x14ac:dyDescent="0.2">
      <c r="A1258" s="16" t="s">
        <v>3556</v>
      </c>
      <c r="B1258" s="7" t="s">
        <v>3557</v>
      </c>
      <c r="C1258" s="3" t="e">
        <f ca="1">[1]!BexGetData("DP_1","003N8EMH8GTFRCSWKMPXRR8GU","GSON1112110393")</f>
        <v>#NAME?</v>
      </c>
      <c r="D1258" s="3" t="e">
        <f ca="1">[1]!BexGetData("DP_1","003N8EMH8GTFRCSWKMPXRRESE","GSON1112110393")</f>
        <v>#NAME?</v>
      </c>
      <c r="E1258" s="8" t="e">
        <f ca="1">[1]!BexGetData("DP_1","003N8EMH8GTFRCSWKMPXRRL3Y","GSON1112110393")</f>
        <v>#NAME?</v>
      </c>
      <c r="F1258" s="4" t="e">
        <f ca="1">[1]!BexGetData("DP_1","003N8EMH8GTFRCSWKMPXRRRFI","GSON1112110393")</f>
        <v>#NAME?</v>
      </c>
      <c r="G1258" s="4" t="e">
        <f ca="1">[1]!BexGetData("DP_1","003N8EMH8GTFRCSWKMPXRRXR2","GSON1112110393")</f>
        <v>#NAME?</v>
      </c>
      <c r="H1258" s="4" t="e">
        <f ca="1">[1]!BexGetData("DP_1","003N8EMH8GTFRCSWKMPXRS42M","GSON1112110393")</f>
        <v>#NAME?</v>
      </c>
      <c r="I1258" s="4" t="e">
        <f ca="1">[1]!BexGetData("DP_1","003N8EMH8GTFRCSWKMPXRSAE6","GSON1112110393")</f>
        <v>#NAME?</v>
      </c>
      <c r="J1258" s="4" t="e">
        <f ca="1">[1]!BexGetData("DP_1","003N8EMH8GTFRCSWKMPXRSGPQ","GSON1112110393")</f>
        <v>#NAME?</v>
      </c>
      <c r="K1258" s="8" t="e">
        <f ca="1">[1]!BexGetData("DP_1","003N8EMH8GTFRIVNUPY288VJH","GSON1112110393")</f>
        <v>#NAME?</v>
      </c>
      <c r="L1258" s="8" t="e">
        <f ca="1">[1]!BexGetData("DP_1","003N8EMH8GTFRIVNUPY2891V1","GSON1112110393")</f>
        <v>#NAME?</v>
      </c>
      <c r="M1258" s="8" t="e">
        <f ca="1">[1]!BexGetData("DP_1","003N8EMH8GTFRIVOG7KG9IQXA","GSON1112110393")</f>
        <v>#NAME?</v>
      </c>
      <c r="N1258" s="8" t="e">
        <f ca="1">[1]!BexGetData("DP_1","003N8EMH8GTFRIVOG7KG9IX8U","GSON1112110393")</f>
        <v>#NAME?</v>
      </c>
      <c r="O1258" s="8" t="e">
        <f ca="1">[1]!BexGetData("DP_1","003N8EMH8GTFRIVOG7KG9J3KE","GSON1112110393")</f>
        <v>#NAME?</v>
      </c>
      <c r="P1258" s="8" t="e">
        <f ca="1">[1]!BexGetData("DP_1","003N8EMH8GTFRIVOG7KG9J9VY","GSON1112110393")</f>
        <v>#NAME?</v>
      </c>
      <c r="Q1258" s="4" t="e">
        <f ca="1">[1]!BexGetData("DP_1","00O2TNJGODT0G5Z4TTKYMM5MT","GSON1112110393")</f>
        <v>#NAME?</v>
      </c>
      <c r="R1258" s="4" t="e">
        <f ca="1">[1]!BexGetData("DP_1","00O2TNJGODT0G5Z4TTKYMMBYD","GSON1112110393")</f>
        <v>#NAME?</v>
      </c>
      <c r="S1258" s="4" t="e">
        <f ca="1">[1]!BexGetData("DP_1","00O2TNJGODT0G5Z4TTKYMMI9X","GSON1112110393")</f>
        <v>#NAME?</v>
      </c>
      <c r="T1258" s="4" t="e">
        <f ca="1">[1]!BexGetData("DP_1","00O2TNJGODT0G5Z4TTKYMMOLH","GSON1112110393")</f>
        <v>#NAME?</v>
      </c>
      <c r="U1258" s="4" t="e">
        <f ca="1">[1]!BexGetData("DP_1","00O2TNJGODT0G5Z4TTKYMMUX1","GSON1112110393")</f>
        <v>#NAME?</v>
      </c>
      <c r="V1258" s="4" t="e">
        <f ca="1">[1]!BexGetData("DP_1","00O2TNJGODT0G5Z4TTKYMN18L","GSON1112110393")</f>
        <v>#NAME?</v>
      </c>
      <c r="W1258" s="4" t="e">
        <f ca="1">[1]!BexGetData("DP_1","00O2TNJGODT0G5Z4TTKYMN7K5","GSON1112110393")</f>
        <v>#NAME?</v>
      </c>
    </row>
    <row r="1259" spans="1:23" x14ac:dyDescent="0.2">
      <c r="A1259" s="16" t="s">
        <v>3558</v>
      </c>
      <c r="B1259" s="7" t="s">
        <v>3559</v>
      </c>
      <c r="C1259" s="3" t="e">
        <f ca="1">[1]!BexGetData("DP_1","003N8EMH8GTFRCSWKMPXRR8GU","GSON1112110394")</f>
        <v>#NAME?</v>
      </c>
      <c r="D1259" s="3" t="e">
        <f ca="1">[1]!BexGetData("DP_1","003N8EMH8GTFRCSWKMPXRRESE","GSON1112110394")</f>
        <v>#NAME?</v>
      </c>
      <c r="E1259" s="8" t="e">
        <f ca="1">[1]!BexGetData("DP_1","003N8EMH8GTFRCSWKMPXRRL3Y","GSON1112110394")</f>
        <v>#NAME?</v>
      </c>
      <c r="F1259" s="4" t="e">
        <f ca="1">[1]!BexGetData("DP_1","003N8EMH8GTFRCSWKMPXRRRFI","GSON1112110394")</f>
        <v>#NAME?</v>
      </c>
      <c r="G1259" s="4" t="e">
        <f ca="1">[1]!BexGetData("DP_1","003N8EMH8GTFRCSWKMPXRRXR2","GSON1112110394")</f>
        <v>#NAME?</v>
      </c>
      <c r="H1259" s="4" t="e">
        <f ca="1">[1]!BexGetData("DP_1","003N8EMH8GTFRCSWKMPXRS42M","GSON1112110394")</f>
        <v>#NAME?</v>
      </c>
      <c r="I1259" s="4" t="e">
        <f ca="1">[1]!BexGetData("DP_1","003N8EMH8GTFRCSWKMPXRSAE6","GSON1112110394")</f>
        <v>#NAME?</v>
      </c>
      <c r="J1259" s="4" t="e">
        <f ca="1">[1]!BexGetData("DP_1","003N8EMH8GTFRCSWKMPXRSGPQ","GSON1112110394")</f>
        <v>#NAME?</v>
      </c>
      <c r="K1259" s="8" t="e">
        <f ca="1">[1]!BexGetData("DP_1","003N8EMH8GTFRIVNUPY288VJH","GSON1112110394")</f>
        <v>#NAME?</v>
      </c>
      <c r="L1259" s="8" t="e">
        <f ca="1">[1]!BexGetData("DP_1","003N8EMH8GTFRIVNUPY2891V1","GSON1112110394")</f>
        <v>#NAME?</v>
      </c>
      <c r="M1259" s="8" t="e">
        <f ca="1">[1]!BexGetData("DP_1","003N8EMH8GTFRIVOG7KG9IQXA","GSON1112110394")</f>
        <v>#NAME?</v>
      </c>
      <c r="N1259" s="8" t="e">
        <f ca="1">[1]!BexGetData("DP_1","003N8EMH8GTFRIVOG7KG9IX8U","GSON1112110394")</f>
        <v>#NAME?</v>
      </c>
      <c r="O1259" s="8" t="e">
        <f ca="1">[1]!BexGetData("DP_1","003N8EMH8GTFRIVOG7KG9J3KE","GSON1112110394")</f>
        <v>#NAME?</v>
      </c>
      <c r="P1259" s="8" t="e">
        <f ca="1">[1]!BexGetData("DP_1","003N8EMH8GTFRIVOG7KG9J9VY","GSON1112110394")</f>
        <v>#NAME?</v>
      </c>
      <c r="Q1259" s="4" t="e">
        <f ca="1">[1]!BexGetData("DP_1","00O2TNJGODT0G5Z4TTKYMM5MT","GSON1112110394")</f>
        <v>#NAME?</v>
      </c>
      <c r="R1259" s="4" t="e">
        <f ca="1">[1]!BexGetData("DP_1","00O2TNJGODT0G5Z4TTKYMMBYD","GSON1112110394")</f>
        <v>#NAME?</v>
      </c>
      <c r="S1259" s="4" t="e">
        <f ca="1">[1]!BexGetData("DP_1","00O2TNJGODT0G5Z4TTKYMMI9X","GSON1112110394")</f>
        <v>#NAME?</v>
      </c>
      <c r="T1259" s="4" t="e">
        <f ca="1">[1]!BexGetData("DP_1","00O2TNJGODT0G5Z4TTKYMMOLH","GSON1112110394")</f>
        <v>#NAME?</v>
      </c>
      <c r="U1259" s="4" t="e">
        <f ca="1">[1]!BexGetData("DP_1","00O2TNJGODT0G5Z4TTKYMMUX1","GSON1112110394")</f>
        <v>#NAME?</v>
      </c>
      <c r="V1259" s="4" t="e">
        <f ca="1">[1]!BexGetData("DP_1","00O2TNJGODT0G5Z4TTKYMN18L","GSON1112110394")</f>
        <v>#NAME?</v>
      </c>
      <c r="W1259" s="4" t="e">
        <f ca="1">[1]!BexGetData("DP_1","00O2TNJGODT0G5Z4TTKYMN7K5","GSON1112110394")</f>
        <v>#NAME?</v>
      </c>
    </row>
    <row r="1260" spans="1:23" x14ac:dyDescent="0.2">
      <c r="A1260" s="16" t="s">
        <v>3560</v>
      </c>
      <c r="B1260" s="7" t="s">
        <v>3561</v>
      </c>
      <c r="C1260" s="3" t="e">
        <f ca="1">[1]!BexGetData("DP_1","003N8EMH8GTFRCSWKMPXRR8GU","GSON1112110395")</f>
        <v>#NAME?</v>
      </c>
      <c r="D1260" s="3" t="e">
        <f ca="1">[1]!BexGetData("DP_1","003N8EMH8GTFRCSWKMPXRRESE","GSON1112110395")</f>
        <v>#NAME?</v>
      </c>
      <c r="E1260" s="8" t="e">
        <f ca="1">[1]!BexGetData("DP_1","003N8EMH8GTFRCSWKMPXRRL3Y","GSON1112110395")</f>
        <v>#NAME?</v>
      </c>
      <c r="F1260" s="4" t="e">
        <f ca="1">[1]!BexGetData("DP_1","003N8EMH8GTFRCSWKMPXRRRFI","GSON1112110395")</f>
        <v>#NAME?</v>
      </c>
      <c r="G1260" s="4" t="e">
        <f ca="1">[1]!BexGetData("DP_1","003N8EMH8GTFRCSWKMPXRRXR2","GSON1112110395")</f>
        <v>#NAME?</v>
      </c>
      <c r="H1260" s="4" t="e">
        <f ca="1">[1]!BexGetData("DP_1","003N8EMH8GTFRCSWKMPXRS42M","GSON1112110395")</f>
        <v>#NAME?</v>
      </c>
      <c r="I1260" s="4" t="e">
        <f ca="1">[1]!BexGetData("DP_1","003N8EMH8GTFRCSWKMPXRSAE6","GSON1112110395")</f>
        <v>#NAME?</v>
      </c>
      <c r="J1260" s="4" t="e">
        <f ca="1">[1]!BexGetData("DP_1","003N8EMH8GTFRCSWKMPXRSGPQ","GSON1112110395")</f>
        <v>#NAME?</v>
      </c>
      <c r="K1260" s="8" t="e">
        <f ca="1">[1]!BexGetData("DP_1","003N8EMH8GTFRIVNUPY288VJH","GSON1112110395")</f>
        <v>#NAME?</v>
      </c>
      <c r="L1260" s="8" t="e">
        <f ca="1">[1]!BexGetData("DP_1","003N8EMH8GTFRIVNUPY2891V1","GSON1112110395")</f>
        <v>#NAME?</v>
      </c>
      <c r="M1260" s="8" t="e">
        <f ca="1">[1]!BexGetData("DP_1","003N8EMH8GTFRIVOG7KG9IQXA","GSON1112110395")</f>
        <v>#NAME?</v>
      </c>
      <c r="N1260" s="8" t="e">
        <f ca="1">[1]!BexGetData("DP_1","003N8EMH8GTFRIVOG7KG9IX8U","GSON1112110395")</f>
        <v>#NAME?</v>
      </c>
      <c r="O1260" s="8" t="e">
        <f ca="1">[1]!BexGetData("DP_1","003N8EMH8GTFRIVOG7KG9J3KE","GSON1112110395")</f>
        <v>#NAME?</v>
      </c>
      <c r="P1260" s="8" t="e">
        <f ca="1">[1]!BexGetData("DP_1","003N8EMH8GTFRIVOG7KG9J9VY","GSON1112110395")</f>
        <v>#NAME?</v>
      </c>
      <c r="Q1260" s="4" t="e">
        <f ca="1">[1]!BexGetData("DP_1","00O2TNJGODT0G5Z4TTKYMM5MT","GSON1112110395")</f>
        <v>#NAME?</v>
      </c>
      <c r="R1260" s="4" t="e">
        <f ca="1">[1]!BexGetData("DP_1","00O2TNJGODT0G5Z4TTKYMMBYD","GSON1112110395")</f>
        <v>#NAME?</v>
      </c>
      <c r="S1260" s="4" t="e">
        <f ca="1">[1]!BexGetData("DP_1","00O2TNJGODT0G5Z4TTKYMMI9X","GSON1112110395")</f>
        <v>#NAME?</v>
      </c>
      <c r="T1260" s="4" t="e">
        <f ca="1">[1]!BexGetData("DP_1","00O2TNJGODT0G5Z4TTKYMMOLH","GSON1112110395")</f>
        <v>#NAME?</v>
      </c>
      <c r="U1260" s="4" t="e">
        <f ca="1">[1]!BexGetData("DP_1","00O2TNJGODT0G5Z4TTKYMMUX1","GSON1112110395")</f>
        <v>#NAME?</v>
      </c>
      <c r="V1260" s="4" t="e">
        <f ca="1">[1]!BexGetData("DP_1","00O2TNJGODT0G5Z4TTKYMN18L","GSON1112110395")</f>
        <v>#NAME?</v>
      </c>
      <c r="W1260" s="4" t="e">
        <f ca="1">[1]!BexGetData("DP_1","00O2TNJGODT0G5Z4TTKYMN7K5","GSON1112110395")</f>
        <v>#NAME?</v>
      </c>
    </row>
    <row r="1261" spans="1:23" x14ac:dyDescent="0.2">
      <c r="A1261" s="16" t="s">
        <v>3562</v>
      </c>
      <c r="B1261" s="7" t="s">
        <v>3563</v>
      </c>
      <c r="C1261" s="3" t="e">
        <f ca="1">[1]!BexGetData("DP_1","003N8EMH8GTFRCSWKMPXRR8GU","GSON1112110440")</f>
        <v>#NAME?</v>
      </c>
      <c r="D1261" s="8" t="e">
        <f ca="1">[1]!BexGetData("DP_1","003N8EMH8GTFRCSWKMPXRRESE","GSON1112110440")</f>
        <v>#NAME?</v>
      </c>
      <c r="E1261" s="3" t="e">
        <f ca="1">[1]!BexGetData("DP_1","003N8EMH8GTFRCSWKMPXRRL3Y","GSON1112110440")</f>
        <v>#NAME?</v>
      </c>
      <c r="F1261" s="4" t="e">
        <f ca="1">[1]!BexGetData("DP_1","003N8EMH8GTFRCSWKMPXRRRFI","GSON1112110440")</f>
        <v>#NAME?</v>
      </c>
      <c r="G1261" s="4" t="e">
        <f ca="1">[1]!BexGetData("DP_1","003N8EMH8GTFRCSWKMPXRRXR2","GSON1112110440")</f>
        <v>#NAME?</v>
      </c>
      <c r="H1261" s="4" t="e">
        <f ca="1">[1]!BexGetData("DP_1","003N8EMH8GTFRCSWKMPXRS42M","GSON1112110440")</f>
        <v>#NAME?</v>
      </c>
      <c r="I1261" s="4" t="e">
        <f ca="1">[1]!BexGetData("DP_1","003N8EMH8GTFRCSWKMPXRSAE6","GSON1112110440")</f>
        <v>#NAME?</v>
      </c>
      <c r="J1261" s="4" t="e">
        <f ca="1">[1]!BexGetData("DP_1","003N8EMH8GTFRCSWKMPXRSGPQ","GSON1112110440")</f>
        <v>#NAME?</v>
      </c>
      <c r="K1261" s="3" t="e">
        <f ca="1">[1]!BexGetData("DP_1","003N8EMH8GTFRIVNUPY288VJH","GSON1112110440")</f>
        <v>#NAME?</v>
      </c>
      <c r="L1261" s="3" t="e">
        <f ca="1">[1]!BexGetData("DP_1","003N8EMH8GTFRIVNUPY2891V1","GSON1112110440")</f>
        <v>#NAME?</v>
      </c>
      <c r="M1261" s="8" t="e">
        <f ca="1">[1]!BexGetData("DP_1","003N8EMH8GTFRIVOG7KG9IQXA","GSON1112110440")</f>
        <v>#NAME?</v>
      </c>
      <c r="N1261" s="3" t="e">
        <f ca="1">[1]!BexGetData("DP_1","003N8EMH8GTFRIVOG7KG9IX8U","GSON1112110440")</f>
        <v>#NAME?</v>
      </c>
      <c r="O1261" s="8" t="e">
        <f ca="1">[1]!BexGetData("DP_1","003N8EMH8GTFRIVOG7KG9J3KE","GSON1112110440")</f>
        <v>#NAME?</v>
      </c>
      <c r="P1261" s="3" t="e">
        <f ca="1">[1]!BexGetData("DP_1","003N8EMH8GTFRIVOG7KG9J9VY","GSON1112110440")</f>
        <v>#NAME?</v>
      </c>
      <c r="Q1261" s="4" t="e">
        <f ca="1">[1]!BexGetData("DP_1","00O2TNJGODT0G5Z4TTKYMM5MT","GSON1112110440")</f>
        <v>#NAME?</v>
      </c>
      <c r="R1261" s="4" t="e">
        <f ca="1">[1]!BexGetData("DP_1","00O2TNJGODT0G5Z4TTKYMMBYD","GSON1112110440")</f>
        <v>#NAME?</v>
      </c>
      <c r="S1261" s="4" t="e">
        <f ca="1">[1]!BexGetData("DP_1","00O2TNJGODT0G5Z4TTKYMMI9X","GSON1112110440")</f>
        <v>#NAME?</v>
      </c>
      <c r="T1261" s="4" t="e">
        <f ca="1">[1]!BexGetData("DP_1","00O2TNJGODT0G5Z4TTKYMMOLH","GSON1112110440")</f>
        <v>#NAME?</v>
      </c>
      <c r="U1261" s="4" t="e">
        <f ca="1">[1]!BexGetData("DP_1","00O2TNJGODT0G5Z4TTKYMMUX1","GSON1112110440")</f>
        <v>#NAME?</v>
      </c>
      <c r="V1261" s="4" t="e">
        <f ca="1">[1]!BexGetData("DP_1","00O2TNJGODT0G5Z4TTKYMN18L","GSON1112110440")</f>
        <v>#NAME?</v>
      </c>
      <c r="W1261" s="4" t="e">
        <f ca="1">[1]!BexGetData("DP_1","00O2TNJGODT0G5Z4TTKYMN7K5","GSON1112110440")</f>
        <v>#NAME?</v>
      </c>
    </row>
    <row r="1262" spans="1:23" x14ac:dyDescent="0.2">
      <c r="A1262" s="16" t="s">
        <v>3564</v>
      </c>
      <c r="B1262" s="7" t="s">
        <v>3565</v>
      </c>
      <c r="C1262" s="3" t="e">
        <f ca="1">[1]!BexGetData("DP_1","003N8EMH8GTFRCSWKMPXRR8GU","GSON1112110441")</f>
        <v>#NAME?</v>
      </c>
      <c r="D1262" s="3" t="e">
        <f ca="1">[1]!BexGetData("DP_1","003N8EMH8GTFRCSWKMPXRRESE","GSON1112110441")</f>
        <v>#NAME?</v>
      </c>
      <c r="E1262" s="8" t="e">
        <f ca="1">[1]!BexGetData("DP_1","003N8EMH8GTFRCSWKMPXRRL3Y","GSON1112110441")</f>
        <v>#NAME?</v>
      </c>
      <c r="F1262" s="4" t="e">
        <f ca="1">[1]!BexGetData("DP_1","003N8EMH8GTFRCSWKMPXRRRFI","GSON1112110441")</f>
        <v>#NAME?</v>
      </c>
      <c r="G1262" s="4" t="e">
        <f ca="1">[1]!BexGetData("DP_1","003N8EMH8GTFRCSWKMPXRRXR2","GSON1112110441")</f>
        <v>#NAME?</v>
      </c>
      <c r="H1262" s="4" t="e">
        <f ca="1">[1]!BexGetData("DP_1","003N8EMH8GTFRCSWKMPXRS42M","GSON1112110441")</f>
        <v>#NAME?</v>
      </c>
      <c r="I1262" s="4" t="e">
        <f ca="1">[1]!BexGetData("DP_1","003N8EMH8GTFRCSWKMPXRSAE6","GSON1112110441")</f>
        <v>#NAME?</v>
      </c>
      <c r="J1262" s="4" t="e">
        <f ca="1">[1]!BexGetData("DP_1","003N8EMH8GTFRCSWKMPXRSGPQ","GSON1112110441")</f>
        <v>#NAME?</v>
      </c>
      <c r="K1262" s="8" t="e">
        <f ca="1">[1]!BexGetData("DP_1","003N8EMH8GTFRIVNUPY288VJH","GSON1112110441")</f>
        <v>#NAME?</v>
      </c>
      <c r="L1262" s="8" t="e">
        <f ca="1">[1]!BexGetData("DP_1","003N8EMH8GTFRIVNUPY2891V1","GSON1112110441")</f>
        <v>#NAME?</v>
      </c>
      <c r="M1262" s="8" t="e">
        <f ca="1">[1]!BexGetData("DP_1","003N8EMH8GTFRIVOG7KG9IQXA","GSON1112110441")</f>
        <v>#NAME?</v>
      </c>
      <c r="N1262" s="8" t="e">
        <f ca="1">[1]!BexGetData("DP_1","003N8EMH8GTFRIVOG7KG9IX8U","GSON1112110441")</f>
        <v>#NAME?</v>
      </c>
      <c r="O1262" s="8" t="e">
        <f ca="1">[1]!BexGetData("DP_1","003N8EMH8GTFRIVOG7KG9J3KE","GSON1112110441")</f>
        <v>#NAME?</v>
      </c>
      <c r="P1262" s="8" t="e">
        <f ca="1">[1]!BexGetData("DP_1","003N8EMH8GTFRIVOG7KG9J9VY","GSON1112110441")</f>
        <v>#NAME?</v>
      </c>
      <c r="Q1262" s="4" t="e">
        <f ca="1">[1]!BexGetData("DP_1","00O2TNJGODT0G5Z4TTKYMM5MT","GSON1112110441")</f>
        <v>#NAME?</v>
      </c>
      <c r="R1262" s="4" t="e">
        <f ca="1">[1]!BexGetData("DP_1","00O2TNJGODT0G5Z4TTKYMMBYD","GSON1112110441")</f>
        <v>#NAME?</v>
      </c>
      <c r="S1262" s="4" t="e">
        <f ca="1">[1]!BexGetData("DP_1","00O2TNJGODT0G5Z4TTKYMMI9X","GSON1112110441")</f>
        <v>#NAME?</v>
      </c>
      <c r="T1262" s="4" t="e">
        <f ca="1">[1]!BexGetData("DP_1","00O2TNJGODT0G5Z4TTKYMMOLH","GSON1112110441")</f>
        <v>#NAME?</v>
      </c>
      <c r="U1262" s="4" t="e">
        <f ca="1">[1]!BexGetData("DP_1","00O2TNJGODT0G5Z4TTKYMMUX1","GSON1112110441")</f>
        <v>#NAME?</v>
      </c>
      <c r="V1262" s="4" t="e">
        <f ca="1">[1]!BexGetData("DP_1","00O2TNJGODT0G5Z4TTKYMN18L","GSON1112110441")</f>
        <v>#NAME?</v>
      </c>
      <c r="W1262" s="4" t="e">
        <f ca="1">[1]!BexGetData("DP_1","00O2TNJGODT0G5Z4TTKYMN7K5","GSON1112110441")</f>
        <v>#NAME?</v>
      </c>
    </row>
    <row r="1263" spans="1:23" x14ac:dyDescent="0.2">
      <c r="A1263" s="16" t="s">
        <v>3566</v>
      </c>
      <c r="B1263" s="7" t="s">
        <v>3567</v>
      </c>
      <c r="C1263" s="3" t="e">
        <f ca="1">[1]!BexGetData("DP_1","003N8EMH8GTFRCSWKMPXRR8GU","GSON1112110445")</f>
        <v>#NAME?</v>
      </c>
      <c r="D1263" s="3" t="e">
        <f ca="1">[1]!BexGetData("DP_1","003N8EMH8GTFRCSWKMPXRRESE","GSON1112110445")</f>
        <v>#NAME?</v>
      </c>
      <c r="E1263" s="8" t="e">
        <f ca="1">[1]!BexGetData("DP_1","003N8EMH8GTFRCSWKMPXRRL3Y","GSON1112110445")</f>
        <v>#NAME?</v>
      </c>
      <c r="F1263" s="4" t="e">
        <f ca="1">[1]!BexGetData("DP_1","003N8EMH8GTFRCSWKMPXRRRFI","GSON1112110445")</f>
        <v>#NAME?</v>
      </c>
      <c r="G1263" s="4" t="e">
        <f ca="1">[1]!BexGetData("DP_1","003N8EMH8GTFRCSWKMPXRRXR2","GSON1112110445")</f>
        <v>#NAME?</v>
      </c>
      <c r="H1263" s="4" t="e">
        <f ca="1">[1]!BexGetData("DP_1","003N8EMH8GTFRCSWKMPXRS42M","GSON1112110445")</f>
        <v>#NAME?</v>
      </c>
      <c r="I1263" s="4" t="e">
        <f ca="1">[1]!BexGetData("DP_1","003N8EMH8GTFRCSWKMPXRSAE6","GSON1112110445")</f>
        <v>#NAME?</v>
      </c>
      <c r="J1263" s="4" t="e">
        <f ca="1">[1]!BexGetData("DP_1","003N8EMH8GTFRCSWKMPXRSGPQ","GSON1112110445")</f>
        <v>#NAME?</v>
      </c>
      <c r="K1263" s="8" t="e">
        <f ca="1">[1]!BexGetData("DP_1","003N8EMH8GTFRIVNUPY288VJH","GSON1112110445")</f>
        <v>#NAME?</v>
      </c>
      <c r="L1263" s="8" t="e">
        <f ca="1">[1]!BexGetData("DP_1","003N8EMH8GTFRIVNUPY2891V1","GSON1112110445")</f>
        <v>#NAME?</v>
      </c>
      <c r="M1263" s="8" t="e">
        <f ca="1">[1]!BexGetData("DP_1","003N8EMH8GTFRIVOG7KG9IQXA","GSON1112110445")</f>
        <v>#NAME?</v>
      </c>
      <c r="N1263" s="8" t="e">
        <f ca="1">[1]!BexGetData("DP_1","003N8EMH8GTFRIVOG7KG9IX8U","GSON1112110445")</f>
        <v>#NAME?</v>
      </c>
      <c r="O1263" s="8" t="e">
        <f ca="1">[1]!BexGetData("DP_1","003N8EMH8GTFRIVOG7KG9J3KE","GSON1112110445")</f>
        <v>#NAME?</v>
      </c>
      <c r="P1263" s="8" t="e">
        <f ca="1">[1]!BexGetData("DP_1","003N8EMH8GTFRIVOG7KG9J9VY","GSON1112110445")</f>
        <v>#NAME?</v>
      </c>
      <c r="Q1263" s="4" t="e">
        <f ca="1">[1]!BexGetData("DP_1","00O2TNJGODT0G5Z4TTKYMM5MT","GSON1112110445")</f>
        <v>#NAME?</v>
      </c>
      <c r="R1263" s="4" t="e">
        <f ca="1">[1]!BexGetData("DP_1","00O2TNJGODT0G5Z4TTKYMMBYD","GSON1112110445")</f>
        <v>#NAME?</v>
      </c>
      <c r="S1263" s="4" t="e">
        <f ca="1">[1]!BexGetData("DP_1","00O2TNJGODT0G5Z4TTKYMMI9X","GSON1112110445")</f>
        <v>#NAME?</v>
      </c>
      <c r="T1263" s="4" t="e">
        <f ca="1">[1]!BexGetData("DP_1","00O2TNJGODT0G5Z4TTKYMMOLH","GSON1112110445")</f>
        <v>#NAME?</v>
      </c>
      <c r="U1263" s="4" t="e">
        <f ca="1">[1]!BexGetData("DP_1","00O2TNJGODT0G5Z4TTKYMMUX1","GSON1112110445")</f>
        <v>#NAME?</v>
      </c>
      <c r="V1263" s="4" t="e">
        <f ca="1">[1]!BexGetData("DP_1","00O2TNJGODT0G5Z4TTKYMN18L","GSON1112110445")</f>
        <v>#NAME?</v>
      </c>
      <c r="W1263" s="4" t="e">
        <f ca="1">[1]!BexGetData("DP_1","00O2TNJGODT0G5Z4TTKYMN7K5","GSON1112110445")</f>
        <v>#NAME?</v>
      </c>
    </row>
    <row r="1264" spans="1:23" x14ac:dyDescent="0.2">
      <c r="A1264" s="16" t="s">
        <v>3568</v>
      </c>
      <c r="B1264" s="7" t="s">
        <v>3569</v>
      </c>
      <c r="C1264" s="3" t="e">
        <f ca="1">[1]!BexGetData("DP_1","003N8EMH8GTFRCSWKMPXRR8GU","GSON1112110450")</f>
        <v>#NAME?</v>
      </c>
      <c r="D1264" s="8" t="e">
        <f ca="1">[1]!BexGetData("DP_1","003N8EMH8GTFRCSWKMPXRRESE","GSON1112110450")</f>
        <v>#NAME?</v>
      </c>
      <c r="E1264" s="3" t="e">
        <f ca="1">[1]!BexGetData("DP_1","003N8EMH8GTFRCSWKMPXRRL3Y","GSON1112110450")</f>
        <v>#NAME?</v>
      </c>
      <c r="F1264" s="4" t="e">
        <f ca="1">[1]!BexGetData("DP_1","003N8EMH8GTFRCSWKMPXRRRFI","GSON1112110450")</f>
        <v>#NAME?</v>
      </c>
      <c r="G1264" s="4" t="e">
        <f ca="1">[1]!BexGetData("DP_1","003N8EMH8GTFRCSWKMPXRRXR2","GSON1112110450")</f>
        <v>#NAME?</v>
      </c>
      <c r="H1264" s="4" t="e">
        <f ca="1">[1]!BexGetData("DP_1","003N8EMH8GTFRCSWKMPXRS42M","GSON1112110450")</f>
        <v>#NAME?</v>
      </c>
      <c r="I1264" s="4" t="e">
        <f ca="1">[1]!BexGetData("DP_1","003N8EMH8GTFRCSWKMPXRSAE6","GSON1112110450")</f>
        <v>#NAME?</v>
      </c>
      <c r="J1264" s="4" t="e">
        <f ca="1">[1]!BexGetData("DP_1","003N8EMH8GTFRCSWKMPXRSGPQ","GSON1112110450")</f>
        <v>#NAME?</v>
      </c>
      <c r="K1264" s="3" t="e">
        <f ca="1">[1]!BexGetData("DP_1","003N8EMH8GTFRIVNUPY288VJH","GSON1112110450")</f>
        <v>#NAME?</v>
      </c>
      <c r="L1264" s="3" t="e">
        <f ca="1">[1]!BexGetData("DP_1","003N8EMH8GTFRIVNUPY2891V1","GSON1112110450")</f>
        <v>#NAME?</v>
      </c>
      <c r="M1264" s="8" t="e">
        <f ca="1">[1]!BexGetData("DP_1","003N8EMH8GTFRIVOG7KG9IQXA","GSON1112110450")</f>
        <v>#NAME?</v>
      </c>
      <c r="N1264" s="3" t="e">
        <f ca="1">[1]!BexGetData("DP_1","003N8EMH8GTFRIVOG7KG9IX8U","GSON1112110450")</f>
        <v>#NAME?</v>
      </c>
      <c r="O1264" s="8" t="e">
        <f ca="1">[1]!BexGetData("DP_1","003N8EMH8GTFRIVOG7KG9J3KE","GSON1112110450")</f>
        <v>#NAME?</v>
      </c>
      <c r="P1264" s="3" t="e">
        <f ca="1">[1]!BexGetData("DP_1","003N8EMH8GTFRIVOG7KG9J9VY","GSON1112110450")</f>
        <v>#NAME?</v>
      </c>
      <c r="Q1264" s="4" t="e">
        <f ca="1">[1]!BexGetData("DP_1","00O2TNJGODT0G5Z4TTKYMM5MT","GSON1112110450")</f>
        <v>#NAME?</v>
      </c>
      <c r="R1264" s="4" t="e">
        <f ca="1">[1]!BexGetData("DP_1","00O2TNJGODT0G5Z4TTKYMMBYD","GSON1112110450")</f>
        <v>#NAME?</v>
      </c>
      <c r="S1264" s="4" t="e">
        <f ca="1">[1]!BexGetData("DP_1","00O2TNJGODT0G5Z4TTKYMMI9X","GSON1112110450")</f>
        <v>#NAME?</v>
      </c>
      <c r="T1264" s="4" t="e">
        <f ca="1">[1]!BexGetData("DP_1","00O2TNJGODT0G5Z4TTKYMMOLH","GSON1112110450")</f>
        <v>#NAME?</v>
      </c>
      <c r="U1264" s="4" t="e">
        <f ca="1">[1]!BexGetData("DP_1","00O2TNJGODT0G5Z4TTKYMMUX1","GSON1112110450")</f>
        <v>#NAME?</v>
      </c>
      <c r="V1264" s="4" t="e">
        <f ca="1">[1]!BexGetData("DP_1","00O2TNJGODT0G5Z4TTKYMN18L","GSON1112110450")</f>
        <v>#NAME?</v>
      </c>
      <c r="W1264" s="4" t="e">
        <f ca="1">[1]!BexGetData("DP_1","00O2TNJGODT0G5Z4TTKYMN7K5","GSON1112110450")</f>
        <v>#NAME?</v>
      </c>
    </row>
    <row r="1265" spans="1:23" x14ac:dyDescent="0.2">
      <c r="A1265" s="16" t="s">
        <v>3570</v>
      </c>
      <c r="B1265" s="7" t="s">
        <v>3571</v>
      </c>
      <c r="C1265" s="3" t="e">
        <f ca="1">[1]!BexGetData("DP_1","003N8EMH8GTFRCSWKMPXRR8GU","GSON1112110451")</f>
        <v>#NAME?</v>
      </c>
      <c r="D1265" s="3" t="e">
        <f ca="1">[1]!BexGetData("DP_1","003N8EMH8GTFRCSWKMPXRRESE","GSON1112110451")</f>
        <v>#NAME?</v>
      </c>
      <c r="E1265" s="8" t="e">
        <f ca="1">[1]!BexGetData("DP_1","003N8EMH8GTFRCSWKMPXRRL3Y","GSON1112110451")</f>
        <v>#NAME?</v>
      </c>
      <c r="F1265" s="4" t="e">
        <f ca="1">[1]!BexGetData("DP_1","003N8EMH8GTFRCSWKMPXRRRFI","GSON1112110451")</f>
        <v>#NAME?</v>
      </c>
      <c r="G1265" s="4" t="e">
        <f ca="1">[1]!BexGetData("DP_1","003N8EMH8GTFRCSWKMPXRRXR2","GSON1112110451")</f>
        <v>#NAME?</v>
      </c>
      <c r="H1265" s="4" t="e">
        <f ca="1">[1]!BexGetData("DP_1","003N8EMH8GTFRCSWKMPXRS42M","GSON1112110451")</f>
        <v>#NAME?</v>
      </c>
      <c r="I1265" s="4" t="e">
        <f ca="1">[1]!BexGetData("DP_1","003N8EMH8GTFRCSWKMPXRSAE6","GSON1112110451")</f>
        <v>#NAME?</v>
      </c>
      <c r="J1265" s="4" t="e">
        <f ca="1">[1]!BexGetData("DP_1","003N8EMH8GTFRCSWKMPXRSGPQ","GSON1112110451")</f>
        <v>#NAME?</v>
      </c>
      <c r="K1265" s="8" t="e">
        <f ca="1">[1]!BexGetData("DP_1","003N8EMH8GTFRIVNUPY288VJH","GSON1112110451")</f>
        <v>#NAME?</v>
      </c>
      <c r="L1265" s="8" t="e">
        <f ca="1">[1]!BexGetData("DP_1","003N8EMH8GTFRIVNUPY2891V1","GSON1112110451")</f>
        <v>#NAME?</v>
      </c>
      <c r="M1265" s="8" t="e">
        <f ca="1">[1]!BexGetData("DP_1","003N8EMH8GTFRIVOG7KG9IQXA","GSON1112110451")</f>
        <v>#NAME?</v>
      </c>
      <c r="N1265" s="8" t="e">
        <f ca="1">[1]!BexGetData("DP_1","003N8EMH8GTFRIVOG7KG9IX8U","GSON1112110451")</f>
        <v>#NAME?</v>
      </c>
      <c r="O1265" s="8" t="e">
        <f ca="1">[1]!BexGetData("DP_1","003N8EMH8GTFRIVOG7KG9J3KE","GSON1112110451")</f>
        <v>#NAME?</v>
      </c>
      <c r="P1265" s="8" t="e">
        <f ca="1">[1]!BexGetData("DP_1","003N8EMH8GTFRIVOG7KG9J9VY","GSON1112110451")</f>
        <v>#NAME?</v>
      </c>
      <c r="Q1265" s="4" t="e">
        <f ca="1">[1]!BexGetData("DP_1","00O2TNJGODT0G5Z4TTKYMM5MT","GSON1112110451")</f>
        <v>#NAME?</v>
      </c>
      <c r="R1265" s="4" t="e">
        <f ca="1">[1]!BexGetData("DP_1","00O2TNJGODT0G5Z4TTKYMMBYD","GSON1112110451")</f>
        <v>#NAME?</v>
      </c>
      <c r="S1265" s="4" t="e">
        <f ca="1">[1]!BexGetData("DP_1","00O2TNJGODT0G5Z4TTKYMMI9X","GSON1112110451")</f>
        <v>#NAME?</v>
      </c>
      <c r="T1265" s="4" t="e">
        <f ca="1">[1]!BexGetData("DP_1","00O2TNJGODT0G5Z4TTKYMMOLH","GSON1112110451")</f>
        <v>#NAME?</v>
      </c>
      <c r="U1265" s="4" t="e">
        <f ca="1">[1]!BexGetData("DP_1","00O2TNJGODT0G5Z4TTKYMMUX1","GSON1112110451")</f>
        <v>#NAME?</v>
      </c>
      <c r="V1265" s="4" t="e">
        <f ca="1">[1]!BexGetData("DP_1","00O2TNJGODT0G5Z4TTKYMN18L","GSON1112110451")</f>
        <v>#NAME?</v>
      </c>
      <c r="W1265" s="4" t="e">
        <f ca="1">[1]!BexGetData("DP_1","00O2TNJGODT0G5Z4TTKYMN7K5","GSON1112110451")</f>
        <v>#NAME?</v>
      </c>
    </row>
    <row r="1266" spans="1:23" x14ac:dyDescent="0.2">
      <c r="A1266" s="16" t="s">
        <v>3572</v>
      </c>
      <c r="B1266" s="7" t="s">
        <v>3573</v>
      </c>
      <c r="C1266" s="3" t="e">
        <f ca="1">[1]!BexGetData("DP_1","003N8EMH8GTFRCSWKMPXRR8GU","GSON1112120010")</f>
        <v>#NAME?</v>
      </c>
      <c r="D1266" s="3" t="e">
        <f ca="1">[1]!BexGetData("DP_1","003N8EMH8GTFRCSWKMPXRRESE","GSON1112120010")</f>
        <v>#NAME?</v>
      </c>
      <c r="E1266" s="3" t="e">
        <f ca="1">[1]!BexGetData("DP_1","003N8EMH8GTFRCSWKMPXRRL3Y","GSON1112120010")</f>
        <v>#NAME?</v>
      </c>
      <c r="F1266" s="3" t="e">
        <f ca="1">[1]!BexGetData("DP_1","003N8EMH8GTFRCSWKMPXRRRFI","GSON1112120010")</f>
        <v>#NAME?</v>
      </c>
      <c r="G1266" s="3" t="e">
        <f ca="1">[1]!BexGetData("DP_1","003N8EMH8GTFRCSWKMPXRRXR2","GSON1112120010")</f>
        <v>#NAME?</v>
      </c>
      <c r="H1266" s="8" t="e">
        <f ca="1">[1]!BexGetData("DP_1","003N8EMH8GTFRCSWKMPXRS42M","GSON1112120010")</f>
        <v>#NAME?</v>
      </c>
      <c r="I1266" s="3" t="e">
        <f ca="1">[1]!BexGetData("DP_1","003N8EMH8GTFRCSWKMPXRSAE6","GSON1112120010")</f>
        <v>#NAME?</v>
      </c>
      <c r="J1266" s="4" t="e">
        <f ca="1">[1]!BexGetData("DP_1","003N8EMH8GTFRCSWKMPXRSGPQ","GSON1112120010")</f>
        <v>#NAME?</v>
      </c>
      <c r="K1266" s="3" t="e">
        <f ca="1">[1]!BexGetData("DP_1","003N8EMH8GTFRIVNUPY288VJH","GSON1112120010")</f>
        <v>#NAME?</v>
      </c>
      <c r="L1266" s="3" t="e">
        <f ca="1">[1]!BexGetData("DP_1","003N8EMH8GTFRIVNUPY2891V1","GSON1112120010")</f>
        <v>#NAME?</v>
      </c>
      <c r="M1266" s="8" t="e">
        <f ca="1">[1]!BexGetData("DP_1","003N8EMH8GTFRIVOG7KG9IQXA","GSON1112120010")</f>
        <v>#NAME?</v>
      </c>
      <c r="N1266" s="3" t="e">
        <f ca="1">[1]!BexGetData("DP_1","003N8EMH8GTFRIVOG7KG9IX8U","GSON1112120010")</f>
        <v>#NAME?</v>
      </c>
      <c r="O1266" s="8" t="e">
        <f ca="1">[1]!BexGetData("DP_1","003N8EMH8GTFRIVOG7KG9J3KE","GSON1112120010")</f>
        <v>#NAME?</v>
      </c>
      <c r="P1266" s="3" t="e">
        <f ca="1">[1]!BexGetData("DP_1","003N8EMH8GTFRIVOG7KG9J9VY","GSON1112120010")</f>
        <v>#NAME?</v>
      </c>
      <c r="Q1266" s="4" t="e">
        <f ca="1">[1]!BexGetData("DP_1","00O2TNJGODT0G5Z4TTKYMM5MT","GSON1112120010")</f>
        <v>#NAME?</v>
      </c>
      <c r="R1266" s="3" t="e">
        <f ca="1">[1]!BexGetData("DP_1","00O2TNJGODT0G5Z4TTKYMMBYD","GSON1112120010")</f>
        <v>#NAME?</v>
      </c>
      <c r="S1266" s="3" t="e">
        <f ca="1">[1]!BexGetData("DP_1","00O2TNJGODT0G5Z4TTKYMMI9X","GSON1112120010")</f>
        <v>#NAME?</v>
      </c>
      <c r="T1266" s="8" t="e">
        <f ca="1">[1]!BexGetData("DP_1","00O2TNJGODT0G5Z4TTKYMMOLH","GSON1112120010")</f>
        <v>#NAME?</v>
      </c>
      <c r="U1266" s="3" t="e">
        <f ca="1">[1]!BexGetData("DP_1","00O2TNJGODT0G5Z4TTKYMMUX1","GSON1112120010")</f>
        <v>#NAME?</v>
      </c>
      <c r="V1266" s="8" t="e">
        <f ca="1">[1]!BexGetData("DP_1","00O2TNJGODT0G5Z4TTKYMN18L","GSON1112120010")</f>
        <v>#NAME?</v>
      </c>
      <c r="W1266" s="3" t="e">
        <f ca="1">[1]!BexGetData("DP_1","00O2TNJGODT0G5Z4TTKYMN7K5","GSON1112120010")</f>
        <v>#NAME?</v>
      </c>
    </row>
    <row r="1267" spans="1:23" x14ac:dyDescent="0.2">
      <c r="A1267" s="16" t="s">
        <v>3574</v>
      </c>
      <c r="B1267" s="7" t="s">
        <v>3575</v>
      </c>
      <c r="C1267" s="3" t="e">
        <f ca="1">[1]!BexGetData("DP_1","003N8EMH8GTFRCSWKMPXRR8GU","GSON1112120014")</f>
        <v>#NAME?</v>
      </c>
      <c r="D1267" s="3" t="e">
        <f ca="1">[1]!BexGetData("DP_1","003N8EMH8GTFRCSWKMPXRRESE","GSON1112120014")</f>
        <v>#NAME?</v>
      </c>
      <c r="E1267" s="8" t="e">
        <f ca="1">[1]!BexGetData("DP_1","003N8EMH8GTFRCSWKMPXRRL3Y","GSON1112120014")</f>
        <v>#NAME?</v>
      </c>
      <c r="F1267" s="4" t="e">
        <f ca="1">[1]!BexGetData("DP_1","003N8EMH8GTFRCSWKMPXRRRFI","GSON1112120014")</f>
        <v>#NAME?</v>
      </c>
      <c r="G1267" s="4" t="e">
        <f ca="1">[1]!BexGetData("DP_1","003N8EMH8GTFRCSWKMPXRRXR2","GSON1112120014")</f>
        <v>#NAME?</v>
      </c>
      <c r="H1267" s="4" t="e">
        <f ca="1">[1]!BexGetData("DP_1","003N8EMH8GTFRCSWKMPXRS42M","GSON1112120014")</f>
        <v>#NAME?</v>
      </c>
      <c r="I1267" s="4" t="e">
        <f ca="1">[1]!BexGetData("DP_1","003N8EMH8GTFRCSWKMPXRSAE6","GSON1112120014")</f>
        <v>#NAME?</v>
      </c>
      <c r="J1267" s="4" t="e">
        <f ca="1">[1]!BexGetData("DP_1","003N8EMH8GTFRCSWKMPXRSGPQ","GSON1112120014")</f>
        <v>#NAME?</v>
      </c>
      <c r="K1267" s="8" t="e">
        <f ca="1">[1]!BexGetData("DP_1","003N8EMH8GTFRIVNUPY288VJH","GSON1112120014")</f>
        <v>#NAME?</v>
      </c>
      <c r="L1267" s="8" t="e">
        <f ca="1">[1]!BexGetData("DP_1","003N8EMH8GTFRIVNUPY2891V1","GSON1112120014")</f>
        <v>#NAME?</v>
      </c>
      <c r="M1267" s="8" t="e">
        <f ca="1">[1]!BexGetData("DP_1","003N8EMH8GTFRIVOG7KG9IQXA","GSON1112120014")</f>
        <v>#NAME?</v>
      </c>
      <c r="N1267" s="8" t="e">
        <f ca="1">[1]!BexGetData("DP_1","003N8EMH8GTFRIVOG7KG9IX8U","GSON1112120014")</f>
        <v>#NAME?</v>
      </c>
      <c r="O1267" s="8" t="e">
        <f ca="1">[1]!BexGetData("DP_1","003N8EMH8GTFRIVOG7KG9J3KE","GSON1112120014")</f>
        <v>#NAME?</v>
      </c>
      <c r="P1267" s="8" t="e">
        <f ca="1">[1]!BexGetData("DP_1","003N8EMH8GTFRIVOG7KG9J9VY","GSON1112120014")</f>
        <v>#NAME?</v>
      </c>
      <c r="Q1267" s="4" t="e">
        <f ca="1">[1]!BexGetData("DP_1","00O2TNJGODT0G5Z4TTKYMM5MT","GSON1112120014")</f>
        <v>#NAME?</v>
      </c>
      <c r="R1267" s="4" t="e">
        <f ca="1">[1]!BexGetData("DP_1","00O2TNJGODT0G5Z4TTKYMMBYD","GSON1112120014")</f>
        <v>#NAME?</v>
      </c>
      <c r="S1267" s="4" t="e">
        <f ca="1">[1]!BexGetData("DP_1","00O2TNJGODT0G5Z4TTKYMMI9X","GSON1112120014")</f>
        <v>#NAME?</v>
      </c>
      <c r="T1267" s="4" t="e">
        <f ca="1">[1]!BexGetData("DP_1","00O2TNJGODT0G5Z4TTKYMMOLH","GSON1112120014")</f>
        <v>#NAME?</v>
      </c>
      <c r="U1267" s="4" t="e">
        <f ca="1">[1]!BexGetData("DP_1","00O2TNJGODT0G5Z4TTKYMMUX1","GSON1112120014")</f>
        <v>#NAME?</v>
      </c>
      <c r="V1267" s="4" t="e">
        <f ca="1">[1]!BexGetData("DP_1","00O2TNJGODT0G5Z4TTKYMN18L","GSON1112120014")</f>
        <v>#NAME?</v>
      </c>
      <c r="W1267" s="4" t="e">
        <f ca="1">[1]!BexGetData("DP_1","00O2TNJGODT0G5Z4TTKYMN7K5","GSON1112120014")</f>
        <v>#NAME?</v>
      </c>
    </row>
    <row r="1268" spans="1:23" x14ac:dyDescent="0.2">
      <c r="A1268" s="16" t="s">
        <v>3576</v>
      </c>
      <c r="B1268" s="7" t="s">
        <v>3577</v>
      </c>
      <c r="C1268" s="3" t="e">
        <f ca="1">[1]!BexGetData("DP_1","003N8EMH8GTFRCSWKMPXRR8GU","GSON1112120015")</f>
        <v>#NAME?</v>
      </c>
      <c r="D1268" s="3" t="e">
        <f ca="1">[1]!BexGetData("DP_1","003N8EMH8GTFRCSWKMPXRRESE","GSON1112120015")</f>
        <v>#NAME?</v>
      </c>
      <c r="E1268" s="8" t="e">
        <f ca="1">[1]!BexGetData("DP_1","003N8EMH8GTFRCSWKMPXRRL3Y","GSON1112120015")</f>
        <v>#NAME?</v>
      </c>
      <c r="F1268" s="4" t="e">
        <f ca="1">[1]!BexGetData("DP_1","003N8EMH8GTFRCSWKMPXRRRFI","GSON1112120015")</f>
        <v>#NAME?</v>
      </c>
      <c r="G1268" s="4" t="e">
        <f ca="1">[1]!BexGetData("DP_1","003N8EMH8GTFRCSWKMPXRRXR2","GSON1112120015")</f>
        <v>#NAME?</v>
      </c>
      <c r="H1268" s="4" t="e">
        <f ca="1">[1]!BexGetData("DP_1","003N8EMH8GTFRCSWKMPXRS42M","GSON1112120015")</f>
        <v>#NAME?</v>
      </c>
      <c r="I1268" s="4" t="e">
        <f ca="1">[1]!BexGetData("DP_1","003N8EMH8GTFRCSWKMPXRSAE6","GSON1112120015")</f>
        <v>#NAME?</v>
      </c>
      <c r="J1268" s="4" t="e">
        <f ca="1">[1]!BexGetData("DP_1","003N8EMH8GTFRCSWKMPXRSGPQ","GSON1112120015")</f>
        <v>#NAME?</v>
      </c>
      <c r="K1268" s="8" t="e">
        <f ca="1">[1]!BexGetData("DP_1","003N8EMH8GTFRIVNUPY288VJH","GSON1112120015")</f>
        <v>#NAME?</v>
      </c>
      <c r="L1268" s="8" t="e">
        <f ca="1">[1]!BexGetData("DP_1","003N8EMH8GTFRIVNUPY2891V1","GSON1112120015")</f>
        <v>#NAME?</v>
      </c>
      <c r="M1268" s="8" t="e">
        <f ca="1">[1]!BexGetData("DP_1","003N8EMH8GTFRIVOG7KG9IQXA","GSON1112120015")</f>
        <v>#NAME?</v>
      </c>
      <c r="N1268" s="8" t="e">
        <f ca="1">[1]!BexGetData("DP_1","003N8EMH8GTFRIVOG7KG9IX8U","GSON1112120015")</f>
        <v>#NAME?</v>
      </c>
      <c r="O1268" s="8" t="e">
        <f ca="1">[1]!BexGetData("DP_1","003N8EMH8GTFRIVOG7KG9J3KE","GSON1112120015")</f>
        <v>#NAME?</v>
      </c>
      <c r="P1268" s="8" t="e">
        <f ca="1">[1]!BexGetData("DP_1","003N8EMH8GTFRIVOG7KG9J9VY","GSON1112120015")</f>
        <v>#NAME?</v>
      </c>
      <c r="Q1268" s="4" t="e">
        <f ca="1">[1]!BexGetData("DP_1","00O2TNJGODT0G5Z4TTKYMM5MT","GSON1112120015")</f>
        <v>#NAME?</v>
      </c>
      <c r="R1268" s="4" t="e">
        <f ca="1">[1]!BexGetData("DP_1","00O2TNJGODT0G5Z4TTKYMMBYD","GSON1112120015")</f>
        <v>#NAME?</v>
      </c>
      <c r="S1268" s="4" t="e">
        <f ca="1">[1]!BexGetData("DP_1","00O2TNJGODT0G5Z4TTKYMMI9X","GSON1112120015")</f>
        <v>#NAME?</v>
      </c>
      <c r="T1268" s="4" t="e">
        <f ca="1">[1]!BexGetData("DP_1","00O2TNJGODT0G5Z4TTKYMMOLH","GSON1112120015")</f>
        <v>#NAME?</v>
      </c>
      <c r="U1268" s="4" t="e">
        <f ca="1">[1]!BexGetData("DP_1","00O2TNJGODT0G5Z4TTKYMMUX1","GSON1112120015")</f>
        <v>#NAME?</v>
      </c>
      <c r="V1268" s="4" t="e">
        <f ca="1">[1]!BexGetData("DP_1","00O2TNJGODT0G5Z4TTKYMN18L","GSON1112120015")</f>
        <v>#NAME?</v>
      </c>
      <c r="W1268" s="4" t="e">
        <f ca="1">[1]!BexGetData("DP_1","00O2TNJGODT0G5Z4TTKYMN7K5","GSON1112120015")</f>
        <v>#NAME?</v>
      </c>
    </row>
    <row r="1269" spans="1:23" x14ac:dyDescent="0.2">
      <c r="A1269" s="16" t="s">
        <v>431</v>
      </c>
      <c r="B1269" s="7" t="s">
        <v>432</v>
      </c>
      <c r="C1269" s="3" t="e">
        <f ca="1">[1]!BexGetData("DP_1","003N8EMH8GTFRCSWKMPXRR8GU","GSON1112120021")</f>
        <v>#NAME?</v>
      </c>
      <c r="D1269" s="3" t="e">
        <f ca="1">[1]!BexGetData("DP_1","003N8EMH8GTFRCSWKMPXRRESE","GSON1112120021")</f>
        <v>#NAME?</v>
      </c>
      <c r="E1269" s="3" t="e">
        <f ca="1">[1]!BexGetData("DP_1","003N8EMH8GTFRCSWKMPXRRL3Y","GSON1112120021")</f>
        <v>#NAME?</v>
      </c>
      <c r="F1269" s="4" t="e">
        <f ca="1">[1]!BexGetData("DP_1","003N8EMH8GTFRCSWKMPXRRRFI","GSON1112120021")</f>
        <v>#NAME?</v>
      </c>
      <c r="G1269" s="4" t="e">
        <f ca="1">[1]!BexGetData("DP_1","003N8EMH8GTFRCSWKMPXRRXR2","GSON1112120021")</f>
        <v>#NAME?</v>
      </c>
      <c r="H1269" s="4" t="e">
        <f ca="1">[1]!BexGetData("DP_1","003N8EMH8GTFRCSWKMPXRS42M","GSON1112120021")</f>
        <v>#NAME?</v>
      </c>
      <c r="I1269" s="4" t="e">
        <f ca="1">[1]!BexGetData("DP_1","003N8EMH8GTFRCSWKMPXRSAE6","GSON1112120021")</f>
        <v>#NAME?</v>
      </c>
      <c r="J1269" s="4" t="e">
        <f ca="1">[1]!BexGetData("DP_1","003N8EMH8GTFRCSWKMPXRSGPQ","GSON1112120021")</f>
        <v>#NAME?</v>
      </c>
      <c r="K1269" s="3" t="e">
        <f ca="1">[1]!BexGetData("DP_1","003N8EMH8GTFRIVNUPY288VJH","GSON1112120021")</f>
        <v>#NAME?</v>
      </c>
      <c r="L1269" s="3" t="e">
        <f ca="1">[1]!BexGetData("DP_1","003N8EMH8GTFRIVNUPY2891V1","GSON1112120021")</f>
        <v>#NAME?</v>
      </c>
      <c r="M1269" s="8" t="e">
        <f ca="1">[1]!BexGetData("DP_1","003N8EMH8GTFRIVOG7KG9IQXA","GSON1112120021")</f>
        <v>#NAME?</v>
      </c>
      <c r="N1269" s="3" t="e">
        <f ca="1">[1]!BexGetData("DP_1","003N8EMH8GTFRIVOG7KG9IX8U","GSON1112120021")</f>
        <v>#NAME?</v>
      </c>
      <c r="O1269" s="8" t="e">
        <f ca="1">[1]!BexGetData("DP_1","003N8EMH8GTFRIVOG7KG9J3KE","GSON1112120021")</f>
        <v>#NAME?</v>
      </c>
      <c r="P1269" s="3" t="e">
        <f ca="1">[1]!BexGetData("DP_1","003N8EMH8GTFRIVOG7KG9J9VY","GSON1112120021")</f>
        <v>#NAME?</v>
      </c>
      <c r="Q1269" s="4" t="e">
        <f ca="1">[1]!BexGetData("DP_1","00O2TNJGODT0G5Z4TTKYMM5MT","GSON1112120021")</f>
        <v>#NAME?</v>
      </c>
      <c r="R1269" s="4" t="e">
        <f ca="1">[1]!BexGetData("DP_1","00O2TNJGODT0G5Z4TTKYMMBYD","GSON1112120021")</f>
        <v>#NAME?</v>
      </c>
      <c r="S1269" s="4" t="e">
        <f ca="1">[1]!BexGetData("DP_1","00O2TNJGODT0G5Z4TTKYMMI9X","GSON1112120021")</f>
        <v>#NAME?</v>
      </c>
      <c r="T1269" s="4" t="e">
        <f ca="1">[1]!BexGetData("DP_1","00O2TNJGODT0G5Z4TTKYMMOLH","GSON1112120021")</f>
        <v>#NAME?</v>
      </c>
      <c r="U1269" s="4" t="e">
        <f ca="1">[1]!BexGetData("DP_1","00O2TNJGODT0G5Z4TTKYMMUX1","GSON1112120021")</f>
        <v>#NAME?</v>
      </c>
      <c r="V1269" s="4" t="e">
        <f ca="1">[1]!BexGetData("DP_1","00O2TNJGODT0G5Z4TTKYMN18L","GSON1112120021")</f>
        <v>#NAME?</v>
      </c>
      <c r="W1269" s="4" t="e">
        <f ca="1">[1]!BexGetData("DP_1","00O2TNJGODT0G5Z4TTKYMN7K5","GSON1112120021")</f>
        <v>#NAME?</v>
      </c>
    </row>
    <row r="1270" spans="1:23" x14ac:dyDescent="0.2">
      <c r="A1270" s="16" t="s">
        <v>3578</v>
      </c>
      <c r="B1270" s="7" t="s">
        <v>1136</v>
      </c>
      <c r="C1270" s="3" t="e">
        <f ca="1">[1]!BexGetData("DP_1","003N8EMH8GTFRCSWKMPXRR8GU","GSON1112130010")</f>
        <v>#NAME?</v>
      </c>
      <c r="D1270" s="3" t="e">
        <f ca="1">[1]!BexGetData("DP_1","003N8EMH8GTFRCSWKMPXRRESE","GSON1112130010")</f>
        <v>#NAME?</v>
      </c>
      <c r="E1270" s="8" t="e">
        <f ca="1">[1]!BexGetData("DP_1","003N8EMH8GTFRCSWKMPXRRL3Y","GSON1112130010")</f>
        <v>#NAME?</v>
      </c>
      <c r="F1270" s="3" t="e">
        <f ca="1">[1]!BexGetData("DP_1","003N8EMH8GTFRCSWKMPXRRRFI","GSON1112130010")</f>
        <v>#NAME?</v>
      </c>
      <c r="G1270" s="3" t="e">
        <f ca="1">[1]!BexGetData("DP_1","003N8EMH8GTFRCSWKMPXRRXR2","GSON1112130010")</f>
        <v>#NAME?</v>
      </c>
      <c r="H1270" s="8" t="e">
        <f ca="1">[1]!BexGetData("DP_1","003N8EMH8GTFRCSWKMPXRS42M","GSON1112130010")</f>
        <v>#NAME?</v>
      </c>
      <c r="I1270" s="3" t="e">
        <f ca="1">[1]!BexGetData("DP_1","003N8EMH8GTFRCSWKMPXRSAE6","GSON1112130010")</f>
        <v>#NAME?</v>
      </c>
      <c r="J1270" s="4" t="e">
        <f ca="1">[1]!BexGetData("DP_1","003N8EMH8GTFRCSWKMPXRSGPQ","GSON1112130010")</f>
        <v>#NAME?</v>
      </c>
      <c r="K1270" s="3" t="e">
        <f ca="1">[1]!BexGetData("DP_1","003N8EMH8GTFRIVNUPY288VJH","GSON1112130010")</f>
        <v>#NAME?</v>
      </c>
      <c r="L1270" s="3" t="e">
        <f ca="1">[1]!BexGetData("DP_1","003N8EMH8GTFRIVNUPY2891V1","GSON1112130010")</f>
        <v>#NAME?</v>
      </c>
      <c r="M1270" s="3" t="e">
        <f ca="1">[1]!BexGetData("DP_1","003N8EMH8GTFRIVOG7KG9IQXA","GSON1112130010")</f>
        <v>#NAME?</v>
      </c>
      <c r="N1270" s="8" t="e">
        <f ca="1">[1]!BexGetData("DP_1","003N8EMH8GTFRIVOG7KG9IX8U","GSON1112130010")</f>
        <v>#NAME?</v>
      </c>
      <c r="O1270" s="3" t="e">
        <f ca="1">[1]!BexGetData("DP_1","003N8EMH8GTFRIVOG7KG9J3KE","GSON1112130010")</f>
        <v>#NAME?</v>
      </c>
      <c r="P1270" s="8" t="e">
        <f ca="1">[1]!BexGetData("DP_1","003N8EMH8GTFRIVOG7KG9J9VY","GSON1112130010")</f>
        <v>#NAME?</v>
      </c>
      <c r="Q1270" s="4" t="e">
        <f ca="1">[1]!BexGetData("DP_1","00O2TNJGODT0G5Z4TTKYMM5MT","GSON1112130010")</f>
        <v>#NAME?</v>
      </c>
      <c r="R1270" s="3" t="e">
        <f ca="1">[1]!BexGetData("DP_1","00O2TNJGODT0G5Z4TTKYMMBYD","GSON1112130010")</f>
        <v>#NAME?</v>
      </c>
      <c r="S1270" s="3" t="e">
        <f ca="1">[1]!BexGetData("DP_1","00O2TNJGODT0G5Z4TTKYMMI9X","GSON1112130010")</f>
        <v>#NAME?</v>
      </c>
      <c r="T1270" s="8" t="e">
        <f ca="1">[1]!BexGetData("DP_1","00O2TNJGODT0G5Z4TTKYMMOLH","GSON1112130010")</f>
        <v>#NAME?</v>
      </c>
      <c r="U1270" s="3" t="e">
        <f ca="1">[1]!BexGetData("DP_1","00O2TNJGODT0G5Z4TTKYMMUX1","GSON1112130010")</f>
        <v>#NAME?</v>
      </c>
      <c r="V1270" s="8" t="e">
        <f ca="1">[1]!BexGetData("DP_1","00O2TNJGODT0G5Z4TTKYMN18L","GSON1112130010")</f>
        <v>#NAME?</v>
      </c>
      <c r="W1270" s="3" t="e">
        <f ca="1">[1]!BexGetData("DP_1","00O2TNJGODT0G5Z4TTKYMN7K5","GSON1112130010")</f>
        <v>#NAME?</v>
      </c>
    </row>
    <row r="1271" spans="1:23" x14ac:dyDescent="0.2">
      <c r="A1271" s="16" t="s">
        <v>1137</v>
      </c>
      <c r="B1271" s="7" t="s">
        <v>1138</v>
      </c>
      <c r="C1271" s="3" t="e">
        <f ca="1">[1]!BexGetData("DP_1","003N8EMH8GTFRCSWKMPXRR8GU","GSON1112130011")</f>
        <v>#NAME?</v>
      </c>
      <c r="D1271" s="3" t="e">
        <f ca="1">[1]!BexGetData("DP_1","003N8EMH8GTFRCSWKMPXRRESE","GSON1112130011")</f>
        <v>#NAME?</v>
      </c>
      <c r="E1271" s="8" t="e">
        <f ca="1">[1]!BexGetData("DP_1","003N8EMH8GTFRCSWKMPXRRL3Y","GSON1112130011")</f>
        <v>#NAME?</v>
      </c>
      <c r="F1271" s="8" t="e">
        <f ca="1">[1]!BexGetData("DP_1","003N8EMH8GTFRCSWKMPXRRRFI","GSON1112130011")</f>
        <v>#NAME?</v>
      </c>
      <c r="G1271" s="3" t="e">
        <f ca="1">[1]!BexGetData("DP_1","003N8EMH8GTFRCSWKMPXRRXR2","GSON1112130011")</f>
        <v>#NAME?</v>
      </c>
      <c r="H1271" s="3" t="e">
        <f ca="1">[1]!BexGetData("DP_1","003N8EMH8GTFRCSWKMPXRS42M","GSON1112130011")</f>
        <v>#NAME?</v>
      </c>
      <c r="I1271" s="8" t="e">
        <f ca="1">[1]!BexGetData("DP_1","003N8EMH8GTFRCSWKMPXRSAE6","GSON1112130011")</f>
        <v>#NAME?</v>
      </c>
      <c r="J1271" s="4" t="e">
        <f ca="1">[1]!BexGetData("DP_1","003N8EMH8GTFRCSWKMPXRSGPQ","GSON1112130011")</f>
        <v>#NAME?</v>
      </c>
      <c r="K1271" s="8" t="e">
        <f ca="1">[1]!BexGetData("DP_1","003N8EMH8GTFRIVNUPY288VJH","GSON1112130011")</f>
        <v>#NAME?</v>
      </c>
      <c r="L1271" s="8" t="e">
        <f ca="1">[1]!BexGetData("DP_1","003N8EMH8GTFRIVNUPY2891V1","GSON1112130011")</f>
        <v>#NAME?</v>
      </c>
      <c r="M1271" s="8" t="e">
        <f ca="1">[1]!BexGetData("DP_1","003N8EMH8GTFRIVOG7KG9IQXA","GSON1112130011")</f>
        <v>#NAME?</v>
      </c>
      <c r="N1271" s="8" t="e">
        <f ca="1">[1]!BexGetData("DP_1","003N8EMH8GTFRIVOG7KG9IX8U","GSON1112130011")</f>
        <v>#NAME?</v>
      </c>
      <c r="O1271" s="8" t="e">
        <f ca="1">[1]!BexGetData("DP_1","003N8EMH8GTFRIVOG7KG9J3KE","GSON1112130011")</f>
        <v>#NAME?</v>
      </c>
      <c r="P1271" s="8" t="e">
        <f ca="1">[1]!BexGetData("DP_1","003N8EMH8GTFRIVOG7KG9J9VY","GSON1112130011")</f>
        <v>#NAME?</v>
      </c>
      <c r="Q1271" s="4" t="e">
        <f ca="1">[1]!BexGetData("DP_1","00O2TNJGODT0G5Z4TTKYMM5MT","GSON1112130011")</f>
        <v>#NAME?</v>
      </c>
      <c r="R1271" s="8" t="e">
        <f ca="1">[1]!BexGetData("DP_1","00O2TNJGODT0G5Z4TTKYMMBYD","GSON1112130011")</f>
        <v>#NAME?</v>
      </c>
      <c r="S1271" s="8" t="e">
        <f ca="1">[1]!BexGetData("DP_1","00O2TNJGODT0G5Z4TTKYMMI9X","GSON1112130011")</f>
        <v>#NAME?</v>
      </c>
      <c r="T1271" s="8" t="e">
        <f ca="1">[1]!BexGetData("DP_1","00O2TNJGODT0G5Z4TTKYMMOLH","GSON1112130011")</f>
        <v>#NAME?</v>
      </c>
      <c r="U1271" s="8" t="e">
        <f ca="1">[1]!BexGetData("DP_1","00O2TNJGODT0G5Z4TTKYMMUX1","GSON1112130011")</f>
        <v>#NAME?</v>
      </c>
      <c r="V1271" s="8" t="e">
        <f ca="1">[1]!BexGetData("DP_1","00O2TNJGODT0G5Z4TTKYMN18L","GSON1112130011")</f>
        <v>#NAME?</v>
      </c>
      <c r="W1271" s="8" t="e">
        <f ca="1">[1]!BexGetData("DP_1","00O2TNJGODT0G5Z4TTKYMN7K5","GSON1112130011")</f>
        <v>#NAME?</v>
      </c>
    </row>
    <row r="1272" spans="1:23" x14ac:dyDescent="0.2">
      <c r="A1272" s="16" t="s">
        <v>1139</v>
      </c>
      <c r="B1272" s="7" t="s">
        <v>1140</v>
      </c>
      <c r="C1272" s="3" t="e">
        <f ca="1">[1]!BexGetData("DP_1","003N8EMH8GTFRCSWKMPXRR8GU","GSON1112130013")</f>
        <v>#NAME?</v>
      </c>
      <c r="D1272" s="3" t="e">
        <f ca="1">[1]!BexGetData("DP_1","003N8EMH8GTFRCSWKMPXRRESE","GSON1112130013")</f>
        <v>#NAME?</v>
      </c>
      <c r="E1272" s="8" t="e">
        <f ca="1">[1]!BexGetData("DP_1","003N8EMH8GTFRCSWKMPXRRL3Y","GSON1112130013")</f>
        <v>#NAME?</v>
      </c>
      <c r="F1272" s="4" t="e">
        <f ca="1">[1]!BexGetData("DP_1","003N8EMH8GTFRCSWKMPXRRRFI","GSON1112130013")</f>
        <v>#NAME?</v>
      </c>
      <c r="G1272" s="4" t="e">
        <f ca="1">[1]!BexGetData("DP_1","003N8EMH8GTFRCSWKMPXRRXR2","GSON1112130013")</f>
        <v>#NAME?</v>
      </c>
      <c r="H1272" s="4" t="e">
        <f ca="1">[1]!BexGetData("DP_1","003N8EMH8GTFRCSWKMPXRS42M","GSON1112130013")</f>
        <v>#NAME?</v>
      </c>
      <c r="I1272" s="4" t="e">
        <f ca="1">[1]!BexGetData("DP_1","003N8EMH8GTFRCSWKMPXRSAE6","GSON1112130013")</f>
        <v>#NAME?</v>
      </c>
      <c r="J1272" s="4" t="e">
        <f ca="1">[1]!BexGetData("DP_1","003N8EMH8GTFRCSWKMPXRSGPQ","GSON1112130013")</f>
        <v>#NAME?</v>
      </c>
      <c r="K1272" s="8" t="e">
        <f ca="1">[1]!BexGetData("DP_1","003N8EMH8GTFRIVNUPY288VJH","GSON1112130013")</f>
        <v>#NAME?</v>
      </c>
      <c r="L1272" s="8" t="e">
        <f ca="1">[1]!BexGetData("DP_1","003N8EMH8GTFRIVNUPY2891V1","GSON1112130013")</f>
        <v>#NAME?</v>
      </c>
      <c r="M1272" s="8" t="e">
        <f ca="1">[1]!BexGetData("DP_1","003N8EMH8GTFRIVOG7KG9IQXA","GSON1112130013")</f>
        <v>#NAME?</v>
      </c>
      <c r="N1272" s="8" t="e">
        <f ca="1">[1]!BexGetData("DP_1","003N8EMH8GTFRIVOG7KG9IX8U","GSON1112130013")</f>
        <v>#NAME?</v>
      </c>
      <c r="O1272" s="8" t="e">
        <f ca="1">[1]!BexGetData("DP_1","003N8EMH8GTFRIVOG7KG9J3KE","GSON1112130013")</f>
        <v>#NAME?</v>
      </c>
      <c r="P1272" s="8" t="e">
        <f ca="1">[1]!BexGetData("DP_1","003N8EMH8GTFRIVOG7KG9J9VY","GSON1112130013")</f>
        <v>#NAME?</v>
      </c>
      <c r="Q1272" s="4" t="e">
        <f ca="1">[1]!BexGetData("DP_1","00O2TNJGODT0G5Z4TTKYMM5MT","GSON1112130013")</f>
        <v>#NAME?</v>
      </c>
      <c r="R1272" s="4" t="e">
        <f ca="1">[1]!BexGetData("DP_1","00O2TNJGODT0G5Z4TTKYMMBYD","GSON1112130013")</f>
        <v>#NAME?</v>
      </c>
      <c r="S1272" s="4" t="e">
        <f ca="1">[1]!BexGetData("DP_1","00O2TNJGODT0G5Z4TTKYMMI9X","GSON1112130013")</f>
        <v>#NAME?</v>
      </c>
      <c r="T1272" s="4" t="e">
        <f ca="1">[1]!BexGetData("DP_1","00O2TNJGODT0G5Z4TTKYMMOLH","GSON1112130013")</f>
        <v>#NAME?</v>
      </c>
      <c r="U1272" s="4" t="e">
        <f ca="1">[1]!BexGetData("DP_1","00O2TNJGODT0G5Z4TTKYMMUX1","GSON1112130013")</f>
        <v>#NAME?</v>
      </c>
      <c r="V1272" s="4" t="e">
        <f ca="1">[1]!BexGetData("DP_1","00O2TNJGODT0G5Z4TTKYMN18L","GSON1112130013")</f>
        <v>#NAME?</v>
      </c>
      <c r="W1272" s="4" t="e">
        <f ca="1">[1]!BexGetData("DP_1","00O2TNJGODT0G5Z4TTKYMN7K5","GSON1112130013")</f>
        <v>#NAME?</v>
      </c>
    </row>
    <row r="1273" spans="1:23" x14ac:dyDescent="0.2">
      <c r="A1273" s="16" t="s">
        <v>3579</v>
      </c>
      <c r="B1273" s="7" t="s">
        <v>3580</v>
      </c>
      <c r="C1273" s="3" t="e">
        <f ca="1">[1]!BexGetData("DP_1","003N8EMH8GTFRCSWKMPXRR8GU","GSON1112130014")</f>
        <v>#NAME?</v>
      </c>
      <c r="D1273" s="3" t="e">
        <f ca="1">[1]!BexGetData("DP_1","003N8EMH8GTFRCSWKMPXRRESE","GSON1112130014")</f>
        <v>#NAME?</v>
      </c>
      <c r="E1273" s="8" t="e">
        <f ca="1">[1]!BexGetData("DP_1","003N8EMH8GTFRCSWKMPXRRL3Y","GSON1112130014")</f>
        <v>#NAME?</v>
      </c>
      <c r="F1273" s="4" t="e">
        <f ca="1">[1]!BexGetData("DP_1","003N8EMH8GTFRCSWKMPXRRRFI","GSON1112130014")</f>
        <v>#NAME?</v>
      </c>
      <c r="G1273" s="4" t="e">
        <f ca="1">[1]!BexGetData("DP_1","003N8EMH8GTFRCSWKMPXRRXR2","GSON1112130014")</f>
        <v>#NAME?</v>
      </c>
      <c r="H1273" s="4" t="e">
        <f ca="1">[1]!BexGetData("DP_1","003N8EMH8GTFRCSWKMPXRS42M","GSON1112130014")</f>
        <v>#NAME?</v>
      </c>
      <c r="I1273" s="4" t="e">
        <f ca="1">[1]!BexGetData("DP_1","003N8EMH8GTFRCSWKMPXRSAE6","GSON1112130014")</f>
        <v>#NAME?</v>
      </c>
      <c r="J1273" s="4" t="e">
        <f ca="1">[1]!BexGetData("DP_1","003N8EMH8GTFRCSWKMPXRSGPQ","GSON1112130014")</f>
        <v>#NAME?</v>
      </c>
      <c r="K1273" s="8" t="e">
        <f ca="1">[1]!BexGetData("DP_1","003N8EMH8GTFRIVNUPY288VJH","GSON1112130014")</f>
        <v>#NAME?</v>
      </c>
      <c r="L1273" s="8" t="e">
        <f ca="1">[1]!BexGetData("DP_1","003N8EMH8GTFRIVNUPY2891V1","GSON1112130014")</f>
        <v>#NAME?</v>
      </c>
      <c r="M1273" s="8" t="e">
        <f ca="1">[1]!BexGetData("DP_1","003N8EMH8GTFRIVOG7KG9IQXA","GSON1112130014")</f>
        <v>#NAME?</v>
      </c>
      <c r="N1273" s="8" t="e">
        <f ca="1">[1]!BexGetData("DP_1","003N8EMH8GTFRIVOG7KG9IX8U","GSON1112130014")</f>
        <v>#NAME?</v>
      </c>
      <c r="O1273" s="8" t="e">
        <f ca="1">[1]!BexGetData("DP_1","003N8EMH8GTFRIVOG7KG9J3KE","GSON1112130014")</f>
        <v>#NAME?</v>
      </c>
      <c r="P1273" s="8" t="e">
        <f ca="1">[1]!BexGetData("DP_1","003N8EMH8GTFRIVOG7KG9J9VY","GSON1112130014")</f>
        <v>#NAME?</v>
      </c>
      <c r="Q1273" s="4" t="e">
        <f ca="1">[1]!BexGetData("DP_1","00O2TNJGODT0G5Z4TTKYMM5MT","GSON1112130014")</f>
        <v>#NAME?</v>
      </c>
      <c r="R1273" s="4" t="e">
        <f ca="1">[1]!BexGetData("DP_1","00O2TNJGODT0G5Z4TTKYMMBYD","GSON1112130014")</f>
        <v>#NAME?</v>
      </c>
      <c r="S1273" s="4" t="e">
        <f ca="1">[1]!BexGetData("DP_1","00O2TNJGODT0G5Z4TTKYMMI9X","GSON1112130014")</f>
        <v>#NAME?</v>
      </c>
      <c r="T1273" s="4" t="e">
        <f ca="1">[1]!BexGetData("DP_1","00O2TNJGODT0G5Z4TTKYMMOLH","GSON1112130014")</f>
        <v>#NAME?</v>
      </c>
      <c r="U1273" s="4" t="e">
        <f ca="1">[1]!BexGetData("DP_1","00O2TNJGODT0G5Z4TTKYMMUX1","GSON1112130014")</f>
        <v>#NAME?</v>
      </c>
      <c r="V1273" s="4" t="e">
        <f ca="1">[1]!BexGetData("DP_1","00O2TNJGODT0G5Z4TTKYMN18L","GSON1112130014")</f>
        <v>#NAME?</v>
      </c>
      <c r="W1273" s="4" t="e">
        <f ca="1">[1]!BexGetData("DP_1","00O2TNJGODT0G5Z4TTKYMN7K5","GSON1112130014")</f>
        <v>#NAME?</v>
      </c>
    </row>
    <row r="1274" spans="1:23" x14ac:dyDescent="0.2">
      <c r="A1274" s="16" t="s">
        <v>3581</v>
      </c>
      <c r="B1274" s="7" t="s">
        <v>3582</v>
      </c>
      <c r="C1274" s="3" t="e">
        <f ca="1">[1]!BexGetData("DP_1","003N8EMH8GTFRCSWKMPXRR8GU","GSON1112130030")</f>
        <v>#NAME?</v>
      </c>
      <c r="D1274" s="3" t="e">
        <f ca="1">[1]!BexGetData("DP_1","003N8EMH8GTFRCSWKMPXRRESE","GSON1112130030")</f>
        <v>#NAME?</v>
      </c>
      <c r="E1274" s="3" t="e">
        <f ca="1">[1]!BexGetData("DP_1","003N8EMH8GTFRCSWKMPXRRL3Y","GSON1112130030")</f>
        <v>#NAME?</v>
      </c>
      <c r="F1274" s="3" t="e">
        <f ca="1">[1]!BexGetData("DP_1","003N8EMH8GTFRCSWKMPXRRRFI","GSON1112130030")</f>
        <v>#NAME?</v>
      </c>
      <c r="G1274" s="3" t="e">
        <f ca="1">[1]!BexGetData("DP_1","003N8EMH8GTFRCSWKMPXRRXR2","GSON1112130030")</f>
        <v>#NAME?</v>
      </c>
      <c r="H1274" s="8" t="e">
        <f ca="1">[1]!BexGetData("DP_1","003N8EMH8GTFRCSWKMPXRS42M","GSON1112130030")</f>
        <v>#NAME?</v>
      </c>
      <c r="I1274" s="3" t="e">
        <f ca="1">[1]!BexGetData("DP_1","003N8EMH8GTFRCSWKMPXRSAE6","GSON1112130030")</f>
        <v>#NAME?</v>
      </c>
      <c r="J1274" s="4" t="e">
        <f ca="1">[1]!BexGetData("DP_1","003N8EMH8GTFRCSWKMPXRSGPQ","GSON1112130030")</f>
        <v>#NAME?</v>
      </c>
      <c r="K1274" s="3" t="e">
        <f ca="1">[1]!BexGetData("DP_1","003N8EMH8GTFRIVNUPY288VJH","GSON1112130030")</f>
        <v>#NAME?</v>
      </c>
      <c r="L1274" s="3" t="e">
        <f ca="1">[1]!BexGetData("DP_1","003N8EMH8GTFRIVNUPY2891V1","GSON1112130030")</f>
        <v>#NAME?</v>
      </c>
      <c r="M1274" s="8" t="e">
        <f ca="1">[1]!BexGetData("DP_1","003N8EMH8GTFRIVOG7KG9IQXA","GSON1112130030")</f>
        <v>#NAME?</v>
      </c>
      <c r="N1274" s="3" t="e">
        <f ca="1">[1]!BexGetData("DP_1","003N8EMH8GTFRIVOG7KG9IX8U","GSON1112130030")</f>
        <v>#NAME?</v>
      </c>
      <c r="O1274" s="8" t="e">
        <f ca="1">[1]!BexGetData("DP_1","003N8EMH8GTFRIVOG7KG9J3KE","GSON1112130030")</f>
        <v>#NAME?</v>
      </c>
      <c r="P1274" s="3" t="e">
        <f ca="1">[1]!BexGetData("DP_1","003N8EMH8GTFRIVOG7KG9J9VY","GSON1112130030")</f>
        <v>#NAME?</v>
      </c>
      <c r="Q1274" s="4" t="e">
        <f ca="1">[1]!BexGetData("DP_1","00O2TNJGODT0G5Z4TTKYMM5MT","GSON1112130030")</f>
        <v>#NAME?</v>
      </c>
      <c r="R1274" s="3" t="e">
        <f ca="1">[1]!BexGetData("DP_1","00O2TNJGODT0G5Z4TTKYMMBYD","GSON1112130030")</f>
        <v>#NAME?</v>
      </c>
      <c r="S1274" s="3" t="e">
        <f ca="1">[1]!BexGetData("DP_1","00O2TNJGODT0G5Z4TTKYMMI9X","GSON1112130030")</f>
        <v>#NAME?</v>
      </c>
      <c r="T1274" s="8" t="e">
        <f ca="1">[1]!BexGetData("DP_1","00O2TNJGODT0G5Z4TTKYMMOLH","GSON1112130030")</f>
        <v>#NAME?</v>
      </c>
      <c r="U1274" s="3" t="e">
        <f ca="1">[1]!BexGetData("DP_1","00O2TNJGODT0G5Z4TTKYMMUX1","GSON1112130030")</f>
        <v>#NAME?</v>
      </c>
      <c r="V1274" s="8" t="e">
        <f ca="1">[1]!BexGetData("DP_1","00O2TNJGODT0G5Z4TTKYMN18L","GSON1112130030")</f>
        <v>#NAME?</v>
      </c>
      <c r="W1274" s="3" t="e">
        <f ca="1">[1]!BexGetData("DP_1","00O2TNJGODT0G5Z4TTKYMN7K5","GSON1112130030")</f>
        <v>#NAME?</v>
      </c>
    </row>
    <row r="1275" spans="1:23" x14ac:dyDescent="0.2">
      <c r="A1275" s="16" t="s">
        <v>3583</v>
      </c>
      <c r="B1275" s="7" t="s">
        <v>3584</v>
      </c>
      <c r="C1275" s="3" t="e">
        <f ca="1">[1]!BexGetData("DP_1","003N8EMH8GTFRCSWKMPXRR8GU","GSON1112130033")</f>
        <v>#NAME?</v>
      </c>
      <c r="D1275" s="3" t="e">
        <f ca="1">[1]!BexGetData("DP_1","003N8EMH8GTFRCSWKMPXRRESE","GSON1112130033")</f>
        <v>#NAME?</v>
      </c>
      <c r="E1275" s="8" t="e">
        <f ca="1">[1]!BexGetData("DP_1","003N8EMH8GTFRCSWKMPXRRL3Y","GSON1112130033")</f>
        <v>#NAME?</v>
      </c>
      <c r="F1275" s="4" t="e">
        <f ca="1">[1]!BexGetData("DP_1","003N8EMH8GTFRCSWKMPXRRRFI","GSON1112130033")</f>
        <v>#NAME?</v>
      </c>
      <c r="G1275" s="4" t="e">
        <f ca="1">[1]!BexGetData("DP_1","003N8EMH8GTFRCSWKMPXRRXR2","GSON1112130033")</f>
        <v>#NAME?</v>
      </c>
      <c r="H1275" s="4" t="e">
        <f ca="1">[1]!BexGetData("DP_1","003N8EMH8GTFRCSWKMPXRS42M","GSON1112130033")</f>
        <v>#NAME?</v>
      </c>
      <c r="I1275" s="4" t="e">
        <f ca="1">[1]!BexGetData("DP_1","003N8EMH8GTFRCSWKMPXRSAE6","GSON1112130033")</f>
        <v>#NAME?</v>
      </c>
      <c r="J1275" s="4" t="e">
        <f ca="1">[1]!BexGetData("DP_1","003N8EMH8GTFRCSWKMPXRSGPQ","GSON1112130033")</f>
        <v>#NAME?</v>
      </c>
      <c r="K1275" s="8" t="e">
        <f ca="1">[1]!BexGetData("DP_1","003N8EMH8GTFRIVNUPY288VJH","GSON1112130033")</f>
        <v>#NAME?</v>
      </c>
      <c r="L1275" s="8" t="e">
        <f ca="1">[1]!BexGetData("DP_1","003N8EMH8GTFRIVNUPY2891V1","GSON1112130033")</f>
        <v>#NAME?</v>
      </c>
      <c r="M1275" s="8" t="e">
        <f ca="1">[1]!BexGetData("DP_1","003N8EMH8GTFRIVOG7KG9IQXA","GSON1112130033")</f>
        <v>#NAME?</v>
      </c>
      <c r="N1275" s="8" t="e">
        <f ca="1">[1]!BexGetData("DP_1","003N8EMH8GTFRIVOG7KG9IX8U","GSON1112130033")</f>
        <v>#NAME?</v>
      </c>
      <c r="O1275" s="8" t="e">
        <f ca="1">[1]!BexGetData("DP_1","003N8EMH8GTFRIVOG7KG9J3KE","GSON1112130033")</f>
        <v>#NAME?</v>
      </c>
      <c r="P1275" s="8" t="e">
        <f ca="1">[1]!BexGetData("DP_1","003N8EMH8GTFRIVOG7KG9J9VY","GSON1112130033")</f>
        <v>#NAME?</v>
      </c>
      <c r="Q1275" s="4" t="e">
        <f ca="1">[1]!BexGetData("DP_1","00O2TNJGODT0G5Z4TTKYMM5MT","GSON1112130033")</f>
        <v>#NAME?</v>
      </c>
      <c r="R1275" s="4" t="e">
        <f ca="1">[1]!BexGetData("DP_1","00O2TNJGODT0G5Z4TTKYMMBYD","GSON1112130033")</f>
        <v>#NAME?</v>
      </c>
      <c r="S1275" s="4" t="e">
        <f ca="1">[1]!BexGetData("DP_1","00O2TNJGODT0G5Z4TTKYMMI9X","GSON1112130033")</f>
        <v>#NAME?</v>
      </c>
      <c r="T1275" s="4" t="e">
        <f ca="1">[1]!BexGetData("DP_1","00O2TNJGODT0G5Z4TTKYMMOLH","GSON1112130033")</f>
        <v>#NAME?</v>
      </c>
      <c r="U1275" s="4" t="e">
        <f ca="1">[1]!BexGetData("DP_1","00O2TNJGODT0G5Z4TTKYMMUX1","GSON1112130033")</f>
        <v>#NAME?</v>
      </c>
      <c r="V1275" s="4" t="e">
        <f ca="1">[1]!BexGetData("DP_1","00O2TNJGODT0G5Z4TTKYMN18L","GSON1112130033")</f>
        <v>#NAME?</v>
      </c>
      <c r="W1275" s="4" t="e">
        <f ca="1">[1]!BexGetData("DP_1","00O2TNJGODT0G5Z4TTKYMN7K5","GSON1112130033")</f>
        <v>#NAME?</v>
      </c>
    </row>
    <row r="1276" spans="1:23" x14ac:dyDescent="0.2">
      <c r="A1276" s="16" t="s">
        <v>3585</v>
      </c>
      <c r="B1276" s="7" t="s">
        <v>3586</v>
      </c>
      <c r="C1276" s="3" t="e">
        <f ca="1">[1]!BexGetData("DP_1","003N8EMH8GTFRCSWKMPXRR8GU","GSON1112130035")</f>
        <v>#NAME?</v>
      </c>
      <c r="D1276" s="3" t="e">
        <f ca="1">[1]!BexGetData("DP_1","003N8EMH8GTFRCSWKMPXRRESE","GSON1112130035")</f>
        <v>#NAME?</v>
      </c>
      <c r="E1276" s="8" t="e">
        <f ca="1">[1]!BexGetData("DP_1","003N8EMH8GTFRCSWKMPXRRL3Y","GSON1112130035")</f>
        <v>#NAME?</v>
      </c>
      <c r="F1276" s="4" t="e">
        <f ca="1">[1]!BexGetData("DP_1","003N8EMH8GTFRCSWKMPXRRRFI","GSON1112130035")</f>
        <v>#NAME?</v>
      </c>
      <c r="G1276" s="4" t="e">
        <f ca="1">[1]!BexGetData("DP_1","003N8EMH8GTFRCSWKMPXRRXR2","GSON1112130035")</f>
        <v>#NAME?</v>
      </c>
      <c r="H1276" s="4" t="e">
        <f ca="1">[1]!BexGetData("DP_1","003N8EMH8GTFRCSWKMPXRS42M","GSON1112130035")</f>
        <v>#NAME?</v>
      </c>
      <c r="I1276" s="4" t="e">
        <f ca="1">[1]!BexGetData("DP_1","003N8EMH8GTFRCSWKMPXRSAE6","GSON1112130035")</f>
        <v>#NAME?</v>
      </c>
      <c r="J1276" s="4" t="e">
        <f ca="1">[1]!BexGetData("DP_1","003N8EMH8GTFRCSWKMPXRSGPQ","GSON1112130035")</f>
        <v>#NAME?</v>
      </c>
      <c r="K1276" s="8" t="e">
        <f ca="1">[1]!BexGetData("DP_1","003N8EMH8GTFRIVNUPY288VJH","GSON1112130035")</f>
        <v>#NAME?</v>
      </c>
      <c r="L1276" s="8" t="e">
        <f ca="1">[1]!BexGetData("DP_1","003N8EMH8GTFRIVNUPY2891V1","GSON1112130035")</f>
        <v>#NAME?</v>
      </c>
      <c r="M1276" s="8" t="e">
        <f ca="1">[1]!BexGetData("DP_1","003N8EMH8GTFRIVOG7KG9IQXA","GSON1112130035")</f>
        <v>#NAME?</v>
      </c>
      <c r="N1276" s="8" t="e">
        <f ca="1">[1]!BexGetData("DP_1","003N8EMH8GTFRIVOG7KG9IX8U","GSON1112130035")</f>
        <v>#NAME?</v>
      </c>
      <c r="O1276" s="8" t="e">
        <f ca="1">[1]!BexGetData("DP_1","003N8EMH8GTFRIVOG7KG9J3KE","GSON1112130035")</f>
        <v>#NAME?</v>
      </c>
      <c r="P1276" s="8" t="e">
        <f ca="1">[1]!BexGetData("DP_1","003N8EMH8GTFRIVOG7KG9J9VY","GSON1112130035")</f>
        <v>#NAME?</v>
      </c>
      <c r="Q1276" s="4" t="e">
        <f ca="1">[1]!BexGetData("DP_1","00O2TNJGODT0G5Z4TTKYMM5MT","GSON1112130035")</f>
        <v>#NAME?</v>
      </c>
      <c r="R1276" s="4" t="e">
        <f ca="1">[1]!BexGetData("DP_1","00O2TNJGODT0G5Z4TTKYMMBYD","GSON1112130035")</f>
        <v>#NAME?</v>
      </c>
      <c r="S1276" s="4" t="e">
        <f ca="1">[1]!BexGetData("DP_1","00O2TNJGODT0G5Z4TTKYMMI9X","GSON1112130035")</f>
        <v>#NAME?</v>
      </c>
      <c r="T1276" s="4" t="e">
        <f ca="1">[1]!BexGetData("DP_1","00O2TNJGODT0G5Z4TTKYMMOLH","GSON1112130035")</f>
        <v>#NAME?</v>
      </c>
      <c r="U1276" s="4" t="e">
        <f ca="1">[1]!BexGetData("DP_1","00O2TNJGODT0G5Z4TTKYMMUX1","GSON1112130035")</f>
        <v>#NAME?</v>
      </c>
      <c r="V1276" s="4" t="e">
        <f ca="1">[1]!BexGetData("DP_1","00O2TNJGODT0G5Z4TTKYMN18L","GSON1112130035")</f>
        <v>#NAME?</v>
      </c>
      <c r="W1276" s="4" t="e">
        <f ca="1">[1]!BexGetData("DP_1","00O2TNJGODT0G5Z4TTKYMN7K5","GSON1112130035")</f>
        <v>#NAME?</v>
      </c>
    </row>
    <row r="1277" spans="1:23" x14ac:dyDescent="0.2">
      <c r="A1277" s="16" t="s">
        <v>3587</v>
      </c>
      <c r="B1277" s="7" t="s">
        <v>1141</v>
      </c>
      <c r="C1277" s="3" t="e">
        <f ca="1">[1]!BexGetData("DP_1","003N8EMH8GTFRCSWKMPXRR8GU","GSON1112130050")</f>
        <v>#NAME?</v>
      </c>
      <c r="D1277" s="3" t="e">
        <f ca="1">[1]!BexGetData("DP_1","003N8EMH8GTFRCSWKMPXRRESE","GSON1112130050")</f>
        <v>#NAME?</v>
      </c>
      <c r="E1277" s="3" t="e">
        <f ca="1">[1]!BexGetData("DP_1","003N8EMH8GTFRCSWKMPXRRL3Y","GSON1112130050")</f>
        <v>#NAME?</v>
      </c>
      <c r="F1277" s="3" t="e">
        <f ca="1">[1]!BexGetData("DP_1","003N8EMH8GTFRCSWKMPXRRRFI","GSON1112130050")</f>
        <v>#NAME?</v>
      </c>
      <c r="G1277" s="3" t="e">
        <f ca="1">[1]!BexGetData("DP_1","003N8EMH8GTFRCSWKMPXRRXR2","GSON1112130050")</f>
        <v>#NAME?</v>
      </c>
      <c r="H1277" s="8" t="e">
        <f ca="1">[1]!BexGetData("DP_1","003N8EMH8GTFRCSWKMPXRS42M","GSON1112130050")</f>
        <v>#NAME?</v>
      </c>
      <c r="I1277" s="3" t="e">
        <f ca="1">[1]!BexGetData("DP_1","003N8EMH8GTFRCSWKMPXRSAE6","GSON1112130050")</f>
        <v>#NAME?</v>
      </c>
      <c r="J1277" s="4" t="e">
        <f ca="1">[1]!BexGetData("DP_1","003N8EMH8GTFRCSWKMPXRSGPQ","GSON1112130050")</f>
        <v>#NAME?</v>
      </c>
      <c r="K1277" s="3" t="e">
        <f ca="1">[1]!BexGetData("DP_1","003N8EMH8GTFRIVNUPY288VJH","GSON1112130050")</f>
        <v>#NAME?</v>
      </c>
      <c r="L1277" s="3" t="e">
        <f ca="1">[1]!BexGetData("DP_1","003N8EMH8GTFRIVNUPY2891V1","GSON1112130050")</f>
        <v>#NAME?</v>
      </c>
      <c r="M1277" s="3" t="e">
        <f ca="1">[1]!BexGetData("DP_1","003N8EMH8GTFRIVOG7KG9IQXA","GSON1112130050")</f>
        <v>#NAME?</v>
      </c>
      <c r="N1277" s="8" t="e">
        <f ca="1">[1]!BexGetData("DP_1","003N8EMH8GTFRIVOG7KG9IX8U","GSON1112130050")</f>
        <v>#NAME?</v>
      </c>
      <c r="O1277" s="3" t="e">
        <f ca="1">[1]!BexGetData("DP_1","003N8EMH8GTFRIVOG7KG9J3KE","GSON1112130050")</f>
        <v>#NAME?</v>
      </c>
      <c r="P1277" s="8" t="e">
        <f ca="1">[1]!BexGetData("DP_1","003N8EMH8GTFRIVOG7KG9J9VY","GSON1112130050")</f>
        <v>#NAME?</v>
      </c>
      <c r="Q1277" s="4" t="e">
        <f ca="1">[1]!BexGetData("DP_1","00O2TNJGODT0G5Z4TTKYMM5MT","GSON1112130050")</f>
        <v>#NAME?</v>
      </c>
      <c r="R1277" s="3" t="e">
        <f ca="1">[1]!BexGetData("DP_1","00O2TNJGODT0G5Z4TTKYMMBYD","GSON1112130050")</f>
        <v>#NAME?</v>
      </c>
      <c r="S1277" s="3" t="e">
        <f ca="1">[1]!BexGetData("DP_1","00O2TNJGODT0G5Z4TTKYMMI9X","GSON1112130050")</f>
        <v>#NAME?</v>
      </c>
      <c r="T1277" s="8" t="e">
        <f ca="1">[1]!BexGetData("DP_1","00O2TNJGODT0G5Z4TTKYMMOLH","GSON1112130050")</f>
        <v>#NAME?</v>
      </c>
      <c r="U1277" s="3" t="e">
        <f ca="1">[1]!BexGetData("DP_1","00O2TNJGODT0G5Z4TTKYMMUX1","GSON1112130050")</f>
        <v>#NAME?</v>
      </c>
      <c r="V1277" s="8" t="e">
        <f ca="1">[1]!BexGetData("DP_1","00O2TNJGODT0G5Z4TTKYMN18L","GSON1112130050")</f>
        <v>#NAME?</v>
      </c>
      <c r="W1277" s="3" t="e">
        <f ca="1">[1]!BexGetData("DP_1","00O2TNJGODT0G5Z4TTKYMN7K5","GSON1112130050")</f>
        <v>#NAME?</v>
      </c>
    </row>
    <row r="1278" spans="1:23" x14ac:dyDescent="0.2">
      <c r="A1278" s="16" t="s">
        <v>1142</v>
      </c>
      <c r="B1278" s="7" t="s">
        <v>1143</v>
      </c>
      <c r="C1278" s="3" t="e">
        <f ca="1">[1]!BexGetData("DP_1","003N8EMH8GTFRCSWKMPXRR8GU","GSON1112130051")</f>
        <v>#NAME?</v>
      </c>
      <c r="D1278" s="3" t="e">
        <f ca="1">[1]!BexGetData("DP_1","003N8EMH8GTFRCSWKMPXRRESE","GSON1112130051")</f>
        <v>#NAME?</v>
      </c>
      <c r="E1278" s="8" t="e">
        <f ca="1">[1]!BexGetData("DP_1","003N8EMH8GTFRCSWKMPXRRL3Y","GSON1112130051")</f>
        <v>#NAME?</v>
      </c>
      <c r="F1278" s="4" t="e">
        <f ca="1">[1]!BexGetData("DP_1","003N8EMH8GTFRCSWKMPXRRRFI","GSON1112130051")</f>
        <v>#NAME?</v>
      </c>
      <c r="G1278" s="4" t="e">
        <f ca="1">[1]!BexGetData("DP_1","003N8EMH8GTFRCSWKMPXRRXR2","GSON1112130051")</f>
        <v>#NAME?</v>
      </c>
      <c r="H1278" s="4" t="e">
        <f ca="1">[1]!BexGetData("DP_1","003N8EMH8GTFRCSWKMPXRS42M","GSON1112130051")</f>
        <v>#NAME?</v>
      </c>
      <c r="I1278" s="4" t="e">
        <f ca="1">[1]!BexGetData("DP_1","003N8EMH8GTFRCSWKMPXRSAE6","GSON1112130051")</f>
        <v>#NAME?</v>
      </c>
      <c r="J1278" s="4" t="e">
        <f ca="1">[1]!BexGetData("DP_1","003N8EMH8GTFRCSWKMPXRSGPQ","GSON1112130051")</f>
        <v>#NAME?</v>
      </c>
      <c r="K1278" s="8" t="e">
        <f ca="1">[1]!BexGetData("DP_1","003N8EMH8GTFRIVNUPY288VJH","GSON1112130051")</f>
        <v>#NAME?</v>
      </c>
      <c r="L1278" s="8" t="e">
        <f ca="1">[1]!BexGetData("DP_1","003N8EMH8GTFRIVNUPY2891V1","GSON1112130051")</f>
        <v>#NAME?</v>
      </c>
      <c r="M1278" s="8" t="e">
        <f ca="1">[1]!BexGetData("DP_1","003N8EMH8GTFRIVOG7KG9IQXA","GSON1112130051")</f>
        <v>#NAME?</v>
      </c>
      <c r="N1278" s="8" t="e">
        <f ca="1">[1]!BexGetData("DP_1","003N8EMH8GTFRIVOG7KG9IX8U","GSON1112130051")</f>
        <v>#NAME?</v>
      </c>
      <c r="O1278" s="8" t="e">
        <f ca="1">[1]!BexGetData("DP_1","003N8EMH8GTFRIVOG7KG9J3KE","GSON1112130051")</f>
        <v>#NAME?</v>
      </c>
      <c r="P1278" s="8" t="e">
        <f ca="1">[1]!BexGetData("DP_1","003N8EMH8GTFRIVOG7KG9J9VY","GSON1112130051")</f>
        <v>#NAME?</v>
      </c>
      <c r="Q1278" s="4" t="e">
        <f ca="1">[1]!BexGetData("DP_1","00O2TNJGODT0G5Z4TTKYMM5MT","GSON1112130051")</f>
        <v>#NAME?</v>
      </c>
      <c r="R1278" s="4" t="e">
        <f ca="1">[1]!BexGetData("DP_1","00O2TNJGODT0G5Z4TTKYMMBYD","GSON1112130051")</f>
        <v>#NAME?</v>
      </c>
      <c r="S1278" s="4" t="e">
        <f ca="1">[1]!BexGetData("DP_1","00O2TNJGODT0G5Z4TTKYMMI9X","GSON1112130051")</f>
        <v>#NAME?</v>
      </c>
      <c r="T1278" s="4" t="e">
        <f ca="1">[1]!BexGetData("DP_1","00O2TNJGODT0G5Z4TTKYMMOLH","GSON1112130051")</f>
        <v>#NAME?</v>
      </c>
      <c r="U1278" s="4" t="e">
        <f ca="1">[1]!BexGetData("DP_1","00O2TNJGODT0G5Z4TTKYMMUX1","GSON1112130051")</f>
        <v>#NAME?</v>
      </c>
      <c r="V1278" s="4" t="e">
        <f ca="1">[1]!BexGetData("DP_1","00O2TNJGODT0G5Z4TTKYMN18L","GSON1112130051")</f>
        <v>#NAME?</v>
      </c>
      <c r="W1278" s="4" t="e">
        <f ca="1">[1]!BexGetData("DP_1","00O2TNJGODT0G5Z4TTKYMN7K5","GSON1112130051")</f>
        <v>#NAME?</v>
      </c>
    </row>
    <row r="1279" spans="1:23" x14ac:dyDescent="0.2">
      <c r="A1279" s="16" t="s">
        <v>1144</v>
      </c>
      <c r="B1279" s="7" t="s">
        <v>1145</v>
      </c>
      <c r="C1279" s="3" t="e">
        <f ca="1">[1]!BexGetData("DP_1","003N8EMH8GTFRCSWKMPXRR8GU","GSON1112130053")</f>
        <v>#NAME?</v>
      </c>
      <c r="D1279" s="3" t="e">
        <f ca="1">[1]!BexGetData("DP_1","003N8EMH8GTFRCSWKMPXRRESE","GSON1112130053")</f>
        <v>#NAME?</v>
      </c>
      <c r="E1279" s="8" t="e">
        <f ca="1">[1]!BexGetData("DP_1","003N8EMH8GTFRCSWKMPXRRL3Y","GSON1112130053")</f>
        <v>#NAME?</v>
      </c>
      <c r="F1279" s="4" t="e">
        <f ca="1">[1]!BexGetData("DP_1","003N8EMH8GTFRCSWKMPXRRRFI","GSON1112130053")</f>
        <v>#NAME?</v>
      </c>
      <c r="G1279" s="4" t="e">
        <f ca="1">[1]!BexGetData("DP_1","003N8EMH8GTFRCSWKMPXRRXR2","GSON1112130053")</f>
        <v>#NAME?</v>
      </c>
      <c r="H1279" s="4" t="e">
        <f ca="1">[1]!BexGetData("DP_1","003N8EMH8GTFRCSWKMPXRS42M","GSON1112130053")</f>
        <v>#NAME?</v>
      </c>
      <c r="I1279" s="4" t="e">
        <f ca="1">[1]!BexGetData("DP_1","003N8EMH8GTFRCSWKMPXRSAE6","GSON1112130053")</f>
        <v>#NAME?</v>
      </c>
      <c r="J1279" s="4" t="e">
        <f ca="1">[1]!BexGetData("DP_1","003N8EMH8GTFRCSWKMPXRSGPQ","GSON1112130053")</f>
        <v>#NAME?</v>
      </c>
      <c r="K1279" s="8" t="e">
        <f ca="1">[1]!BexGetData("DP_1","003N8EMH8GTFRIVNUPY288VJH","GSON1112130053")</f>
        <v>#NAME?</v>
      </c>
      <c r="L1279" s="8" t="e">
        <f ca="1">[1]!BexGetData("DP_1","003N8EMH8GTFRIVNUPY2891V1","GSON1112130053")</f>
        <v>#NAME?</v>
      </c>
      <c r="M1279" s="8" t="e">
        <f ca="1">[1]!BexGetData("DP_1","003N8EMH8GTFRIVOG7KG9IQXA","GSON1112130053")</f>
        <v>#NAME?</v>
      </c>
      <c r="N1279" s="8" t="e">
        <f ca="1">[1]!BexGetData("DP_1","003N8EMH8GTFRIVOG7KG9IX8U","GSON1112130053")</f>
        <v>#NAME?</v>
      </c>
      <c r="O1279" s="8" t="e">
        <f ca="1">[1]!BexGetData("DP_1","003N8EMH8GTFRIVOG7KG9J3KE","GSON1112130053")</f>
        <v>#NAME?</v>
      </c>
      <c r="P1279" s="8" t="e">
        <f ca="1">[1]!BexGetData("DP_1","003N8EMH8GTFRIVOG7KG9J9VY","GSON1112130053")</f>
        <v>#NAME?</v>
      </c>
      <c r="Q1279" s="4" t="e">
        <f ca="1">[1]!BexGetData("DP_1","00O2TNJGODT0G5Z4TTKYMM5MT","GSON1112130053")</f>
        <v>#NAME?</v>
      </c>
      <c r="R1279" s="4" t="e">
        <f ca="1">[1]!BexGetData("DP_1","00O2TNJGODT0G5Z4TTKYMMBYD","GSON1112130053")</f>
        <v>#NAME?</v>
      </c>
      <c r="S1279" s="4" t="e">
        <f ca="1">[1]!BexGetData("DP_1","00O2TNJGODT0G5Z4TTKYMMI9X","GSON1112130053")</f>
        <v>#NAME?</v>
      </c>
      <c r="T1279" s="4" t="e">
        <f ca="1">[1]!BexGetData("DP_1","00O2TNJGODT0G5Z4TTKYMMOLH","GSON1112130053")</f>
        <v>#NAME?</v>
      </c>
      <c r="U1279" s="4" t="e">
        <f ca="1">[1]!BexGetData("DP_1","00O2TNJGODT0G5Z4TTKYMMUX1","GSON1112130053")</f>
        <v>#NAME?</v>
      </c>
      <c r="V1279" s="4" t="e">
        <f ca="1">[1]!BexGetData("DP_1","00O2TNJGODT0G5Z4TTKYMN18L","GSON1112130053")</f>
        <v>#NAME?</v>
      </c>
      <c r="W1279" s="4" t="e">
        <f ca="1">[1]!BexGetData("DP_1","00O2TNJGODT0G5Z4TTKYMN7K5","GSON1112130053")</f>
        <v>#NAME?</v>
      </c>
    </row>
    <row r="1280" spans="1:23" x14ac:dyDescent="0.2">
      <c r="A1280" s="16" t="s">
        <v>3588</v>
      </c>
      <c r="B1280" s="7" t="s">
        <v>3589</v>
      </c>
      <c r="C1280" s="3" t="e">
        <f ca="1">[1]!BexGetData("DP_1","003N8EMH8GTFRCSWKMPXRR8GU","GSON1112130060")</f>
        <v>#NAME?</v>
      </c>
      <c r="D1280" s="3" t="e">
        <f ca="1">[1]!BexGetData("DP_1","003N8EMH8GTFRCSWKMPXRRESE","GSON1112130060")</f>
        <v>#NAME?</v>
      </c>
      <c r="E1280" s="3" t="e">
        <f ca="1">[1]!BexGetData("DP_1","003N8EMH8GTFRCSWKMPXRRL3Y","GSON1112130060")</f>
        <v>#NAME?</v>
      </c>
      <c r="F1280" s="3" t="e">
        <f ca="1">[1]!BexGetData("DP_1","003N8EMH8GTFRCSWKMPXRRRFI","GSON1112130060")</f>
        <v>#NAME?</v>
      </c>
      <c r="G1280" s="3" t="e">
        <f ca="1">[1]!BexGetData("DP_1","003N8EMH8GTFRCSWKMPXRRXR2","GSON1112130060")</f>
        <v>#NAME?</v>
      </c>
      <c r="H1280" s="8" t="e">
        <f ca="1">[1]!BexGetData("DP_1","003N8EMH8GTFRCSWKMPXRS42M","GSON1112130060")</f>
        <v>#NAME?</v>
      </c>
      <c r="I1280" s="3" t="e">
        <f ca="1">[1]!BexGetData("DP_1","003N8EMH8GTFRCSWKMPXRSAE6","GSON1112130060")</f>
        <v>#NAME?</v>
      </c>
      <c r="J1280" s="4" t="e">
        <f ca="1">[1]!BexGetData("DP_1","003N8EMH8GTFRCSWKMPXRSGPQ","GSON1112130060")</f>
        <v>#NAME?</v>
      </c>
      <c r="K1280" s="3" t="e">
        <f ca="1">[1]!BexGetData("DP_1","003N8EMH8GTFRIVNUPY288VJH","GSON1112130060")</f>
        <v>#NAME?</v>
      </c>
      <c r="L1280" s="3" t="e">
        <f ca="1">[1]!BexGetData("DP_1","003N8EMH8GTFRIVNUPY2891V1","GSON1112130060")</f>
        <v>#NAME?</v>
      </c>
      <c r="M1280" s="3" t="e">
        <f ca="1">[1]!BexGetData("DP_1","003N8EMH8GTFRIVOG7KG9IQXA","GSON1112130060")</f>
        <v>#NAME?</v>
      </c>
      <c r="N1280" s="8" t="e">
        <f ca="1">[1]!BexGetData("DP_1","003N8EMH8GTFRIVOG7KG9IX8U","GSON1112130060")</f>
        <v>#NAME?</v>
      </c>
      <c r="O1280" s="3" t="e">
        <f ca="1">[1]!BexGetData("DP_1","003N8EMH8GTFRIVOG7KG9J3KE","GSON1112130060")</f>
        <v>#NAME?</v>
      </c>
      <c r="P1280" s="8" t="e">
        <f ca="1">[1]!BexGetData("DP_1","003N8EMH8GTFRIVOG7KG9J9VY","GSON1112130060")</f>
        <v>#NAME?</v>
      </c>
      <c r="Q1280" s="4" t="e">
        <f ca="1">[1]!BexGetData("DP_1","00O2TNJGODT0G5Z4TTKYMM5MT","GSON1112130060")</f>
        <v>#NAME?</v>
      </c>
      <c r="R1280" s="3" t="e">
        <f ca="1">[1]!BexGetData("DP_1","00O2TNJGODT0G5Z4TTKYMMBYD","GSON1112130060")</f>
        <v>#NAME?</v>
      </c>
      <c r="S1280" s="3" t="e">
        <f ca="1">[1]!BexGetData("DP_1","00O2TNJGODT0G5Z4TTKYMMI9X","GSON1112130060")</f>
        <v>#NAME?</v>
      </c>
      <c r="T1280" s="8" t="e">
        <f ca="1">[1]!BexGetData("DP_1","00O2TNJGODT0G5Z4TTKYMMOLH","GSON1112130060")</f>
        <v>#NAME?</v>
      </c>
      <c r="U1280" s="3" t="e">
        <f ca="1">[1]!BexGetData("DP_1","00O2TNJGODT0G5Z4TTKYMMUX1","GSON1112130060")</f>
        <v>#NAME?</v>
      </c>
      <c r="V1280" s="8" t="e">
        <f ca="1">[1]!BexGetData("DP_1","00O2TNJGODT0G5Z4TTKYMN18L","GSON1112130060")</f>
        <v>#NAME?</v>
      </c>
      <c r="W1280" s="3" t="e">
        <f ca="1">[1]!BexGetData("DP_1","00O2TNJGODT0G5Z4TTKYMN7K5","GSON1112130060")</f>
        <v>#NAME?</v>
      </c>
    </row>
    <row r="1281" spans="1:23" x14ac:dyDescent="0.2">
      <c r="A1281" s="16" t="s">
        <v>3590</v>
      </c>
      <c r="B1281" s="7" t="s">
        <v>3591</v>
      </c>
      <c r="C1281" s="3" t="e">
        <f ca="1">[1]!BexGetData("DP_1","003N8EMH8GTFRCSWKMPXRR8GU","GSON1112130063")</f>
        <v>#NAME?</v>
      </c>
      <c r="D1281" s="3" t="e">
        <f ca="1">[1]!BexGetData("DP_1","003N8EMH8GTFRCSWKMPXRRESE","GSON1112130063")</f>
        <v>#NAME?</v>
      </c>
      <c r="E1281" s="8" t="e">
        <f ca="1">[1]!BexGetData("DP_1","003N8EMH8GTFRCSWKMPXRRL3Y","GSON1112130063")</f>
        <v>#NAME?</v>
      </c>
      <c r="F1281" s="4" t="e">
        <f ca="1">[1]!BexGetData("DP_1","003N8EMH8GTFRCSWKMPXRRRFI","GSON1112130063")</f>
        <v>#NAME?</v>
      </c>
      <c r="G1281" s="4" t="e">
        <f ca="1">[1]!BexGetData("DP_1","003N8EMH8GTFRCSWKMPXRRXR2","GSON1112130063")</f>
        <v>#NAME?</v>
      </c>
      <c r="H1281" s="4" t="e">
        <f ca="1">[1]!BexGetData("DP_1","003N8EMH8GTFRCSWKMPXRS42M","GSON1112130063")</f>
        <v>#NAME?</v>
      </c>
      <c r="I1281" s="4" t="e">
        <f ca="1">[1]!BexGetData("DP_1","003N8EMH8GTFRCSWKMPXRSAE6","GSON1112130063")</f>
        <v>#NAME?</v>
      </c>
      <c r="J1281" s="4" t="e">
        <f ca="1">[1]!BexGetData("DP_1","003N8EMH8GTFRCSWKMPXRSGPQ","GSON1112130063")</f>
        <v>#NAME?</v>
      </c>
      <c r="K1281" s="8" t="e">
        <f ca="1">[1]!BexGetData("DP_1","003N8EMH8GTFRIVNUPY288VJH","GSON1112130063")</f>
        <v>#NAME?</v>
      </c>
      <c r="L1281" s="8" t="e">
        <f ca="1">[1]!BexGetData("DP_1","003N8EMH8GTFRIVNUPY2891V1","GSON1112130063")</f>
        <v>#NAME?</v>
      </c>
      <c r="M1281" s="8" t="e">
        <f ca="1">[1]!BexGetData("DP_1","003N8EMH8GTFRIVOG7KG9IQXA","GSON1112130063")</f>
        <v>#NAME?</v>
      </c>
      <c r="N1281" s="8" t="e">
        <f ca="1">[1]!BexGetData("DP_1","003N8EMH8GTFRIVOG7KG9IX8U","GSON1112130063")</f>
        <v>#NAME?</v>
      </c>
      <c r="O1281" s="8" t="e">
        <f ca="1">[1]!BexGetData("DP_1","003N8EMH8GTFRIVOG7KG9J3KE","GSON1112130063")</f>
        <v>#NAME?</v>
      </c>
      <c r="P1281" s="8" t="e">
        <f ca="1">[1]!BexGetData("DP_1","003N8EMH8GTFRIVOG7KG9J9VY","GSON1112130063")</f>
        <v>#NAME?</v>
      </c>
      <c r="Q1281" s="4" t="e">
        <f ca="1">[1]!BexGetData("DP_1","00O2TNJGODT0G5Z4TTKYMM5MT","GSON1112130063")</f>
        <v>#NAME?</v>
      </c>
      <c r="R1281" s="4" t="e">
        <f ca="1">[1]!BexGetData("DP_1","00O2TNJGODT0G5Z4TTKYMMBYD","GSON1112130063")</f>
        <v>#NAME?</v>
      </c>
      <c r="S1281" s="4" t="e">
        <f ca="1">[1]!BexGetData("DP_1","00O2TNJGODT0G5Z4TTKYMMI9X","GSON1112130063")</f>
        <v>#NAME?</v>
      </c>
      <c r="T1281" s="4" t="e">
        <f ca="1">[1]!BexGetData("DP_1","00O2TNJGODT0G5Z4TTKYMMOLH","GSON1112130063")</f>
        <v>#NAME?</v>
      </c>
      <c r="U1281" s="4" t="e">
        <f ca="1">[1]!BexGetData("DP_1","00O2TNJGODT0G5Z4TTKYMMUX1","GSON1112130063")</f>
        <v>#NAME?</v>
      </c>
      <c r="V1281" s="4" t="e">
        <f ca="1">[1]!BexGetData("DP_1","00O2TNJGODT0G5Z4TTKYMN18L","GSON1112130063")</f>
        <v>#NAME?</v>
      </c>
      <c r="W1281" s="4" t="e">
        <f ca="1">[1]!BexGetData("DP_1","00O2TNJGODT0G5Z4TTKYMN7K5","GSON1112130063")</f>
        <v>#NAME?</v>
      </c>
    </row>
    <row r="1282" spans="1:23" x14ac:dyDescent="0.2">
      <c r="A1282" s="16" t="s">
        <v>3592</v>
      </c>
      <c r="B1282" s="7" t="s">
        <v>3593</v>
      </c>
      <c r="C1282" s="3" t="e">
        <f ca="1">[1]!BexGetData("DP_1","003N8EMH8GTFRCSWKMPXRR8GU","GSON1112130065")</f>
        <v>#NAME?</v>
      </c>
      <c r="D1282" s="3" t="e">
        <f ca="1">[1]!BexGetData("DP_1","003N8EMH8GTFRCSWKMPXRRESE","GSON1112130065")</f>
        <v>#NAME?</v>
      </c>
      <c r="E1282" s="8" t="e">
        <f ca="1">[1]!BexGetData("DP_1","003N8EMH8GTFRCSWKMPXRRL3Y","GSON1112130065")</f>
        <v>#NAME?</v>
      </c>
      <c r="F1282" s="4" t="e">
        <f ca="1">[1]!BexGetData("DP_1","003N8EMH8GTFRCSWKMPXRRRFI","GSON1112130065")</f>
        <v>#NAME?</v>
      </c>
      <c r="G1282" s="4" t="e">
        <f ca="1">[1]!BexGetData("DP_1","003N8EMH8GTFRCSWKMPXRRXR2","GSON1112130065")</f>
        <v>#NAME?</v>
      </c>
      <c r="H1282" s="4" t="e">
        <f ca="1">[1]!BexGetData("DP_1","003N8EMH8GTFRCSWKMPXRS42M","GSON1112130065")</f>
        <v>#NAME?</v>
      </c>
      <c r="I1282" s="4" t="e">
        <f ca="1">[1]!BexGetData("DP_1","003N8EMH8GTFRCSWKMPXRSAE6","GSON1112130065")</f>
        <v>#NAME?</v>
      </c>
      <c r="J1282" s="4" t="e">
        <f ca="1">[1]!BexGetData("DP_1","003N8EMH8GTFRCSWKMPXRSGPQ","GSON1112130065")</f>
        <v>#NAME?</v>
      </c>
      <c r="K1282" s="8" t="e">
        <f ca="1">[1]!BexGetData("DP_1","003N8EMH8GTFRIVNUPY288VJH","GSON1112130065")</f>
        <v>#NAME?</v>
      </c>
      <c r="L1282" s="8" t="e">
        <f ca="1">[1]!BexGetData("DP_1","003N8EMH8GTFRIVNUPY2891V1","GSON1112130065")</f>
        <v>#NAME?</v>
      </c>
      <c r="M1282" s="8" t="e">
        <f ca="1">[1]!BexGetData("DP_1","003N8EMH8GTFRIVOG7KG9IQXA","GSON1112130065")</f>
        <v>#NAME?</v>
      </c>
      <c r="N1282" s="8" t="e">
        <f ca="1">[1]!BexGetData("DP_1","003N8EMH8GTFRIVOG7KG9IX8U","GSON1112130065")</f>
        <v>#NAME?</v>
      </c>
      <c r="O1282" s="8" t="e">
        <f ca="1">[1]!BexGetData("DP_1","003N8EMH8GTFRIVOG7KG9J3KE","GSON1112130065")</f>
        <v>#NAME?</v>
      </c>
      <c r="P1282" s="8" t="e">
        <f ca="1">[1]!BexGetData("DP_1","003N8EMH8GTFRIVOG7KG9J9VY","GSON1112130065")</f>
        <v>#NAME?</v>
      </c>
      <c r="Q1282" s="4" t="e">
        <f ca="1">[1]!BexGetData("DP_1","00O2TNJGODT0G5Z4TTKYMM5MT","GSON1112130065")</f>
        <v>#NAME?</v>
      </c>
      <c r="R1282" s="4" t="e">
        <f ca="1">[1]!BexGetData("DP_1","00O2TNJGODT0G5Z4TTKYMMBYD","GSON1112130065")</f>
        <v>#NAME?</v>
      </c>
      <c r="S1282" s="4" t="e">
        <f ca="1">[1]!BexGetData("DP_1","00O2TNJGODT0G5Z4TTKYMMI9X","GSON1112130065")</f>
        <v>#NAME?</v>
      </c>
      <c r="T1282" s="4" t="e">
        <f ca="1">[1]!BexGetData("DP_1","00O2TNJGODT0G5Z4TTKYMMOLH","GSON1112130065")</f>
        <v>#NAME?</v>
      </c>
      <c r="U1282" s="4" t="e">
        <f ca="1">[1]!BexGetData("DP_1","00O2TNJGODT0G5Z4TTKYMMUX1","GSON1112130065")</f>
        <v>#NAME?</v>
      </c>
      <c r="V1282" s="4" t="e">
        <f ca="1">[1]!BexGetData("DP_1","00O2TNJGODT0G5Z4TTKYMN18L","GSON1112130065")</f>
        <v>#NAME?</v>
      </c>
      <c r="W1282" s="4" t="e">
        <f ca="1">[1]!BexGetData("DP_1","00O2TNJGODT0G5Z4TTKYMN7K5","GSON1112130065")</f>
        <v>#NAME?</v>
      </c>
    </row>
    <row r="1283" spans="1:23" x14ac:dyDescent="0.2">
      <c r="A1283" s="16" t="s">
        <v>3594</v>
      </c>
      <c r="B1283" s="7" t="s">
        <v>3595</v>
      </c>
      <c r="C1283" s="3" t="e">
        <f ca="1">[1]!BexGetData("DP_1","003N8EMH8GTFRCSWKMPXRR8GU","GSON1112130080")</f>
        <v>#NAME?</v>
      </c>
      <c r="D1283" s="3" t="e">
        <f ca="1">[1]!BexGetData("DP_1","003N8EMH8GTFRCSWKMPXRRESE","GSON1112130080")</f>
        <v>#NAME?</v>
      </c>
      <c r="E1283" s="3" t="e">
        <f ca="1">[1]!BexGetData("DP_1","003N8EMH8GTFRCSWKMPXRRL3Y","GSON1112130080")</f>
        <v>#NAME?</v>
      </c>
      <c r="F1283" s="3" t="e">
        <f ca="1">[1]!BexGetData("DP_1","003N8EMH8GTFRCSWKMPXRRRFI","GSON1112130080")</f>
        <v>#NAME?</v>
      </c>
      <c r="G1283" s="3" t="e">
        <f ca="1">[1]!BexGetData("DP_1","003N8EMH8GTFRCSWKMPXRRXR2","GSON1112130080")</f>
        <v>#NAME?</v>
      </c>
      <c r="H1283" s="8" t="e">
        <f ca="1">[1]!BexGetData("DP_1","003N8EMH8GTFRCSWKMPXRS42M","GSON1112130080")</f>
        <v>#NAME?</v>
      </c>
      <c r="I1283" s="3" t="e">
        <f ca="1">[1]!BexGetData("DP_1","003N8EMH8GTFRCSWKMPXRSAE6","GSON1112130080")</f>
        <v>#NAME?</v>
      </c>
      <c r="J1283" s="4" t="e">
        <f ca="1">[1]!BexGetData("DP_1","003N8EMH8GTFRCSWKMPXRSGPQ","GSON1112130080")</f>
        <v>#NAME?</v>
      </c>
      <c r="K1283" s="3" t="e">
        <f ca="1">[1]!BexGetData("DP_1","003N8EMH8GTFRIVNUPY288VJH","GSON1112130080")</f>
        <v>#NAME?</v>
      </c>
      <c r="L1283" s="3" t="e">
        <f ca="1">[1]!BexGetData("DP_1","003N8EMH8GTFRIVNUPY2891V1","GSON1112130080")</f>
        <v>#NAME?</v>
      </c>
      <c r="M1283" s="8" t="e">
        <f ca="1">[1]!BexGetData("DP_1","003N8EMH8GTFRIVOG7KG9IQXA","GSON1112130080")</f>
        <v>#NAME?</v>
      </c>
      <c r="N1283" s="3" t="e">
        <f ca="1">[1]!BexGetData("DP_1","003N8EMH8GTFRIVOG7KG9IX8U","GSON1112130080")</f>
        <v>#NAME?</v>
      </c>
      <c r="O1283" s="8" t="e">
        <f ca="1">[1]!BexGetData("DP_1","003N8EMH8GTFRIVOG7KG9J3KE","GSON1112130080")</f>
        <v>#NAME?</v>
      </c>
      <c r="P1283" s="3" t="e">
        <f ca="1">[1]!BexGetData("DP_1","003N8EMH8GTFRIVOG7KG9J9VY","GSON1112130080")</f>
        <v>#NAME?</v>
      </c>
      <c r="Q1283" s="4" t="e">
        <f ca="1">[1]!BexGetData("DP_1","00O2TNJGODT0G5Z4TTKYMM5MT","GSON1112130080")</f>
        <v>#NAME?</v>
      </c>
      <c r="R1283" s="3" t="e">
        <f ca="1">[1]!BexGetData("DP_1","00O2TNJGODT0G5Z4TTKYMMBYD","GSON1112130080")</f>
        <v>#NAME?</v>
      </c>
      <c r="S1283" s="3" t="e">
        <f ca="1">[1]!BexGetData("DP_1","00O2TNJGODT0G5Z4TTKYMMI9X","GSON1112130080")</f>
        <v>#NAME?</v>
      </c>
      <c r="T1283" s="8" t="e">
        <f ca="1">[1]!BexGetData("DP_1","00O2TNJGODT0G5Z4TTKYMMOLH","GSON1112130080")</f>
        <v>#NAME?</v>
      </c>
      <c r="U1283" s="3" t="e">
        <f ca="1">[1]!BexGetData("DP_1","00O2TNJGODT0G5Z4TTKYMMUX1","GSON1112130080")</f>
        <v>#NAME?</v>
      </c>
      <c r="V1283" s="8" t="e">
        <f ca="1">[1]!BexGetData("DP_1","00O2TNJGODT0G5Z4TTKYMN18L","GSON1112130080")</f>
        <v>#NAME?</v>
      </c>
      <c r="W1283" s="3" t="e">
        <f ca="1">[1]!BexGetData("DP_1","00O2TNJGODT0G5Z4TTKYMN7K5","GSON1112130080")</f>
        <v>#NAME?</v>
      </c>
    </row>
    <row r="1284" spans="1:23" x14ac:dyDescent="0.2">
      <c r="A1284" s="16" t="s">
        <v>3596</v>
      </c>
      <c r="B1284" s="7" t="s">
        <v>3597</v>
      </c>
      <c r="C1284" s="3" t="e">
        <f ca="1">[1]!BexGetData("DP_1","003N8EMH8GTFRCSWKMPXRR8GU","GSON1112130081")</f>
        <v>#NAME?</v>
      </c>
      <c r="D1284" s="3" t="e">
        <f ca="1">[1]!BexGetData("DP_1","003N8EMH8GTFRCSWKMPXRRESE","GSON1112130081")</f>
        <v>#NAME?</v>
      </c>
      <c r="E1284" s="8" t="e">
        <f ca="1">[1]!BexGetData("DP_1","003N8EMH8GTFRCSWKMPXRRL3Y","GSON1112130081")</f>
        <v>#NAME?</v>
      </c>
      <c r="F1284" s="4" t="e">
        <f ca="1">[1]!BexGetData("DP_1","003N8EMH8GTFRCSWKMPXRRRFI","GSON1112130081")</f>
        <v>#NAME?</v>
      </c>
      <c r="G1284" s="4" t="e">
        <f ca="1">[1]!BexGetData("DP_1","003N8EMH8GTFRCSWKMPXRRXR2","GSON1112130081")</f>
        <v>#NAME?</v>
      </c>
      <c r="H1284" s="4" t="e">
        <f ca="1">[1]!BexGetData("DP_1","003N8EMH8GTFRCSWKMPXRS42M","GSON1112130081")</f>
        <v>#NAME?</v>
      </c>
      <c r="I1284" s="4" t="e">
        <f ca="1">[1]!BexGetData("DP_1","003N8EMH8GTFRCSWKMPXRSAE6","GSON1112130081")</f>
        <v>#NAME?</v>
      </c>
      <c r="J1284" s="4" t="e">
        <f ca="1">[1]!BexGetData("DP_1","003N8EMH8GTFRCSWKMPXRSGPQ","GSON1112130081")</f>
        <v>#NAME?</v>
      </c>
      <c r="K1284" s="8" t="e">
        <f ca="1">[1]!BexGetData("DP_1","003N8EMH8GTFRIVNUPY288VJH","GSON1112130081")</f>
        <v>#NAME?</v>
      </c>
      <c r="L1284" s="8" t="e">
        <f ca="1">[1]!BexGetData("DP_1","003N8EMH8GTFRIVNUPY2891V1","GSON1112130081")</f>
        <v>#NAME?</v>
      </c>
      <c r="M1284" s="8" t="e">
        <f ca="1">[1]!BexGetData("DP_1","003N8EMH8GTFRIVOG7KG9IQXA","GSON1112130081")</f>
        <v>#NAME?</v>
      </c>
      <c r="N1284" s="8" t="e">
        <f ca="1">[1]!BexGetData("DP_1","003N8EMH8GTFRIVOG7KG9IX8U","GSON1112130081")</f>
        <v>#NAME?</v>
      </c>
      <c r="O1284" s="8" t="e">
        <f ca="1">[1]!BexGetData("DP_1","003N8EMH8GTFRIVOG7KG9J3KE","GSON1112130081")</f>
        <v>#NAME?</v>
      </c>
      <c r="P1284" s="8" t="e">
        <f ca="1">[1]!BexGetData("DP_1","003N8EMH8GTFRIVOG7KG9J9VY","GSON1112130081")</f>
        <v>#NAME?</v>
      </c>
      <c r="Q1284" s="4" t="e">
        <f ca="1">[1]!BexGetData("DP_1","00O2TNJGODT0G5Z4TTKYMM5MT","GSON1112130081")</f>
        <v>#NAME?</v>
      </c>
      <c r="R1284" s="4" t="e">
        <f ca="1">[1]!BexGetData("DP_1","00O2TNJGODT0G5Z4TTKYMMBYD","GSON1112130081")</f>
        <v>#NAME?</v>
      </c>
      <c r="S1284" s="4" t="e">
        <f ca="1">[1]!BexGetData("DP_1","00O2TNJGODT0G5Z4TTKYMMI9X","GSON1112130081")</f>
        <v>#NAME?</v>
      </c>
      <c r="T1284" s="4" t="e">
        <f ca="1">[1]!BexGetData("DP_1","00O2TNJGODT0G5Z4TTKYMMOLH","GSON1112130081")</f>
        <v>#NAME?</v>
      </c>
      <c r="U1284" s="4" t="e">
        <f ca="1">[1]!BexGetData("DP_1","00O2TNJGODT0G5Z4TTKYMMUX1","GSON1112130081")</f>
        <v>#NAME?</v>
      </c>
      <c r="V1284" s="4" t="e">
        <f ca="1">[1]!BexGetData("DP_1","00O2TNJGODT0G5Z4TTKYMN18L","GSON1112130081")</f>
        <v>#NAME?</v>
      </c>
      <c r="W1284" s="4" t="e">
        <f ca="1">[1]!BexGetData("DP_1","00O2TNJGODT0G5Z4TTKYMN7K5","GSON1112130081")</f>
        <v>#NAME?</v>
      </c>
    </row>
    <row r="1285" spans="1:23" x14ac:dyDescent="0.2">
      <c r="A1285" s="16" t="s">
        <v>3598</v>
      </c>
      <c r="B1285" s="7" t="s">
        <v>3599</v>
      </c>
      <c r="C1285" s="3" t="e">
        <f ca="1">[1]!BexGetData("DP_1","003N8EMH8GTFRCSWKMPXRR8GU","GSON1112130085")</f>
        <v>#NAME?</v>
      </c>
      <c r="D1285" s="3" t="e">
        <f ca="1">[1]!BexGetData("DP_1","003N8EMH8GTFRCSWKMPXRRESE","GSON1112130085")</f>
        <v>#NAME?</v>
      </c>
      <c r="E1285" s="8" t="e">
        <f ca="1">[1]!BexGetData("DP_1","003N8EMH8GTFRCSWKMPXRRL3Y","GSON1112130085")</f>
        <v>#NAME?</v>
      </c>
      <c r="F1285" s="4" t="e">
        <f ca="1">[1]!BexGetData("DP_1","003N8EMH8GTFRCSWKMPXRRRFI","GSON1112130085")</f>
        <v>#NAME?</v>
      </c>
      <c r="G1285" s="4" t="e">
        <f ca="1">[1]!BexGetData("DP_1","003N8EMH8GTFRCSWKMPXRRXR2","GSON1112130085")</f>
        <v>#NAME?</v>
      </c>
      <c r="H1285" s="4" t="e">
        <f ca="1">[1]!BexGetData("DP_1","003N8EMH8GTFRCSWKMPXRS42M","GSON1112130085")</f>
        <v>#NAME?</v>
      </c>
      <c r="I1285" s="4" t="e">
        <f ca="1">[1]!BexGetData("DP_1","003N8EMH8GTFRCSWKMPXRSAE6","GSON1112130085")</f>
        <v>#NAME?</v>
      </c>
      <c r="J1285" s="4" t="e">
        <f ca="1">[1]!BexGetData("DP_1","003N8EMH8GTFRCSWKMPXRSGPQ","GSON1112130085")</f>
        <v>#NAME?</v>
      </c>
      <c r="K1285" s="8" t="e">
        <f ca="1">[1]!BexGetData("DP_1","003N8EMH8GTFRIVNUPY288VJH","GSON1112130085")</f>
        <v>#NAME?</v>
      </c>
      <c r="L1285" s="8" t="e">
        <f ca="1">[1]!BexGetData("DP_1","003N8EMH8GTFRIVNUPY2891V1","GSON1112130085")</f>
        <v>#NAME?</v>
      </c>
      <c r="M1285" s="8" t="e">
        <f ca="1">[1]!BexGetData("DP_1","003N8EMH8GTFRIVOG7KG9IQXA","GSON1112130085")</f>
        <v>#NAME?</v>
      </c>
      <c r="N1285" s="8" t="e">
        <f ca="1">[1]!BexGetData("DP_1","003N8EMH8GTFRIVOG7KG9IX8U","GSON1112130085")</f>
        <v>#NAME?</v>
      </c>
      <c r="O1285" s="8" t="e">
        <f ca="1">[1]!BexGetData("DP_1","003N8EMH8GTFRIVOG7KG9J3KE","GSON1112130085")</f>
        <v>#NAME?</v>
      </c>
      <c r="P1285" s="8" t="e">
        <f ca="1">[1]!BexGetData("DP_1","003N8EMH8GTFRIVOG7KG9J9VY","GSON1112130085")</f>
        <v>#NAME?</v>
      </c>
      <c r="Q1285" s="4" t="e">
        <f ca="1">[1]!BexGetData("DP_1","00O2TNJGODT0G5Z4TTKYMM5MT","GSON1112130085")</f>
        <v>#NAME?</v>
      </c>
      <c r="R1285" s="4" t="e">
        <f ca="1">[1]!BexGetData("DP_1","00O2TNJGODT0G5Z4TTKYMMBYD","GSON1112130085")</f>
        <v>#NAME?</v>
      </c>
      <c r="S1285" s="4" t="e">
        <f ca="1">[1]!BexGetData("DP_1","00O2TNJGODT0G5Z4TTKYMMI9X","GSON1112130085")</f>
        <v>#NAME?</v>
      </c>
      <c r="T1285" s="4" t="e">
        <f ca="1">[1]!BexGetData("DP_1","00O2TNJGODT0G5Z4TTKYMMOLH","GSON1112130085")</f>
        <v>#NAME?</v>
      </c>
      <c r="U1285" s="4" t="e">
        <f ca="1">[1]!BexGetData("DP_1","00O2TNJGODT0G5Z4TTKYMMUX1","GSON1112130085")</f>
        <v>#NAME?</v>
      </c>
      <c r="V1285" s="4" t="e">
        <f ca="1">[1]!BexGetData("DP_1","00O2TNJGODT0G5Z4TTKYMN18L","GSON1112130085")</f>
        <v>#NAME?</v>
      </c>
      <c r="W1285" s="4" t="e">
        <f ca="1">[1]!BexGetData("DP_1","00O2TNJGODT0G5Z4TTKYMN7K5","GSON1112130085")</f>
        <v>#NAME?</v>
      </c>
    </row>
    <row r="1286" spans="1:23" x14ac:dyDescent="0.2">
      <c r="A1286" s="16" t="s">
        <v>3600</v>
      </c>
      <c r="B1286" s="7" t="s">
        <v>3601</v>
      </c>
      <c r="C1286" s="3" t="e">
        <f ca="1">[1]!BexGetData("DP_1","003N8EMH8GTFRCSWKMPXRR8GU","GSON1112130090")</f>
        <v>#NAME?</v>
      </c>
      <c r="D1286" s="3" t="e">
        <f ca="1">[1]!BexGetData("DP_1","003N8EMH8GTFRCSWKMPXRRESE","GSON1112130090")</f>
        <v>#NAME?</v>
      </c>
      <c r="E1286" s="3" t="e">
        <f ca="1">[1]!BexGetData("DP_1","003N8EMH8GTFRCSWKMPXRRL3Y","GSON1112130090")</f>
        <v>#NAME?</v>
      </c>
      <c r="F1286" s="3" t="e">
        <f ca="1">[1]!BexGetData("DP_1","003N8EMH8GTFRCSWKMPXRRRFI","GSON1112130090")</f>
        <v>#NAME?</v>
      </c>
      <c r="G1286" s="3" t="e">
        <f ca="1">[1]!BexGetData("DP_1","003N8EMH8GTFRCSWKMPXRRXR2","GSON1112130090")</f>
        <v>#NAME?</v>
      </c>
      <c r="H1286" s="8" t="e">
        <f ca="1">[1]!BexGetData("DP_1","003N8EMH8GTFRCSWKMPXRS42M","GSON1112130090")</f>
        <v>#NAME?</v>
      </c>
      <c r="I1286" s="3" t="e">
        <f ca="1">[1]!BexGetData("DP_1","003N8EMH8GTFRCSWKMPXRSAE6","GSON1112130090")</f>
        <v>#NAME?</v>
      </c>
      <c r="J1286" s="4" t="e">
        <f ca="1">[1]!BexGetData("DP_1","003N8EMH8GTFRCSWKMPXRSGPQ","GSON1112130090")</f>
        <v>#NAME?</v>
      </c>
      <c r="K1286" s="3" t="e">
        <f ca="1">[1]!BexGetData("DP_1","003N8EMH8GTFRIVNUPY288VJH","GSON1112130090")</f>
        <v>#NAME?</v>
      </c>
      <c r="L1286" s="3" t="e">
        <f ca="1">[1]!BexGetData("DP_1","003N8EMH8GTFRIVNUPY2891V1","GSON1112130090")</f>
        <v>#NAME?</v>
      </c>
      <c r="M1286" s="8" t="e">
        <f ca="1">[1]!BexGetData("DP_1","003N8EMH8GTFRIVOG7KG9IQXA","GSON1112130090")</f>
        <v>#NAME?</v>
      </c>
      <c r="N1286" s="3" t="e">
        <f ca="1">[1]!BexGetData("DP_1","003N8EMH8GTFRIVOG7KG9IX8U","GSON1112130090")</f>
        <v>#NAME?</v>
      </c>
      <c r="O1286" s="8" t="e">
        <f ca="1">[1]!BexGetData("DP_1","003N8EMH8GTFRIVOG7KG9J3KE","GSON1112130090")</f>
        <v>#NAME?</v>
      </c>
      <c r="P1286" s="3" t="e">
        <f ca="1">[1]!BexGetData("DP_1","003N8EMH8GTFRIVOG7KG9J9VY","GSON1112130090")</f>
        <v>#NAME?</v>
      </c>
      <c r="Q1286" s="4" t="e">
        <f ca="1">[1]!BexGetData("DP_1","00O2TNJGODT0G5Z4TTKYMM5MT","GSON1112130090")</f>
        <v>#NAME?</v>
      </c>
      <c r="R1286" s="3" t="e">
        <f ca="1">[1]!BexGetData("DP_1","00O2TNJGODT0G5Z4TTKYMMBYD","GSON1112130090")</f>
        <v>#NAME?</v>
      </c>
      <c r="S1286" s="3" t="e">
        <f ca="1">[1]!BexGetData("DP_1","00O2TNJGODT0G5Z4TTKYMMI9X","GSON1112130090")</f>
        <v>#NAME?</v>
      </c>
      <c r="T1286" s="8" t="e">
        <f ca="1">[1]!BexGetData("DP_1","00O2TNJGODT0G5Z4TTKYMMOLH","GSON1112130090")</f>
        <v>#NAME?</v>
      </c>
      <c r="U1286" s="3" t="e">
        <f ca="1">[1]!BexGetData("DP_1","00O2TNJGODT0G5Z4TTKYMMUX1","GSON1112130090")</f>
        <v>#NAME?</v>
      </c>
      <c r="V1286" s="8" t="e">
        <f ca="1">[1]!BexGetData("DP_1","00O2TNJGODT0G5Z4TTKYMN18L","GSON1112130090")</f>
        <v>#NAME?</v>
      </c>
      <c r="W1286" s="3" t="e">
        <f ca="1">[1]!BexGetData("DP_1","00O2TNJGODT0G5Z4TTKYMN7K5","GSON1112130090")</f>
        <v>#NAME?</v>
      </c>
    </row>
    <row r="1287" spans="1:23" x14ac:dyDescent="0.2">
      <c r="A1287" s="16" t="s">
        <v>3602</v>
      </c>
      <c r="B1287" s="7" t="s">
        <v>3603</v>
      </c>
      <c r="C1287" s="3" t="e">
        <f ca="1">[1]!BexGetData("DP_1","003N8EMH8GTFRCSWKMPXRR8GU","GSON1112130095")</f>
        <v>#NAME?</v>
      </c>
      <c r="D1287" s="3" t="e">
        <f ca="1">[1]!BexGetData("DP_1","003N8EMH8GTFRCSWKMPXRRESE","GSON1112130095")</f>
        <v>#NAME?</v>
      </c>
      <c r="E1287" s="8" t="e">
        <f ca="1">[1]!BexGetData("DP_1","003N8EMH8GTFRCSWKMPXRRL3Y","GSON1112130095")</f>
        <v>#NAME?</v>
      </c>
      <c r="F1287" s="4" t="e">
        <f ca="1">[1]!BexGetData("DP_1","003N8EMH8GTFRCSWKMPXRRRFI","GSON1112130095")</f>
        <v>#NAME?</v>
      </c>
      <c r="G1287" s="4" t="e">
        <f ca="1">[1]!BexGetData("DP_1","003N8EMH8GTFRCSWKMPXRRXR2","GSON1112130095")</f>
        <v>#NAME?</v>
      </c>
      <c r="H1287" s="4" t="e">
        <f ca="1">[1]!BexGetData("DP_1","003N8EMH8GTFRCSWKMPXRS42M","GSON1112130095")</f>
        <v>#NAME?</v>
      </c>
      <c r="I1287" s="4" t="e">
        <f ca="1">[1]!BexGetData("DP_1","003N8EMH8GTFRCSWKMPXRSAE6","GSON1112130095")</f>
        <v>#NAME?</v>
      </c>
      <c r="J1287" s="4" t="e">
        <f ca="1">[1]!BexGetData("DP_1","003N8EMH8GTFRCSWKMPXRSGPQ","GSON1112130095")</f>
        <v>#NAME?</v>
      </c>
      <c r="K1287" s="8" t="e">
        <f ca="1">[1]!BexGetData("DP_1","003N8EMH8GTFRIVNUPY288VJH","GSON1112130095")</f>
        <v>#NAME?</v>
      </c>
      <c r="L1287" s="8" t="e">
        <f ca="1">[1]!BexGetData("DP_1","003N8EMH8GTFRIVNUPY2891V1","GSON1112130095")</f>
        <v>#NAME?</v>
      </c>
      <c r="M1287" s="8" t="e">
        <f ca="1">[1]!BexGetData("DP_1","003N8EMH8GTFRIVOG7KG9IQXA","GSON1112130095")</f>
        <v>#NAME?</v>
      </c>
      <c r="N1287" s="8" t="e">
        <f ca="1">[1]!BexGetData("DP_1","003N8EMH8GTFRIVOG7KG9IX8U","GSON1112130095")</f>
        <v>#NAME?</v>
      </c>
      <c r="O1287" s="8" t="e">
        <f ca="1">[1]!BexGetData("DP_1","003N8EMH8GTFRIVOG7KG9J3KE","GSON1112130095")</f>
        <v>#NAME?</v>
      </c>
      <c r="P1287" s="8" t="e">
        <f ca="1">[1]!BexGetData("DP_1","003N8EMH8GTFRIVOG7KG9J9VY","GSON1112130095")</f>
        <v>#NAME?</v>
      </c>
      <c r="Q1287" s="4" t="e">
        <f ca="1">[1]!BexGetData("DP_1","00O2TNJGODT0G5Z4TTKYMM5MT","GSON1112130095")</f>
        <v>#NAME?</v>
      </c>
      <c r="R1287" s="4" t="e">
        <f ca="1">[1]!BexGetData("DP_1","00O2TNJGODT0G5Z4TTKYMMBYD","GSON1112130095")</f>
        <v>#NAME?</v>
      </c>
      <c r="S1287" s="4" t="e">
        <f ca="1">[1]!BexGetData("DP_1","00O2TNJGODT0G5Z4TTKYMMI9X","GSON1112130095")</f>
        <v>#NAME?</v>
      </c>
      <c r="T1287" s="4" t="e">
        <f ca="1">[1]!BexGetData("DP_1","00O2TNJGODT0G5Z4TTKYMMOLH","GSON1112130095")</f>
        <v>#NAME?</v>
      </c>
      <c r="U1287" s="4" t="e">
        <f ca="1">[1]!BexGetData("DP_1","00O2TNJGODT0G5Z4TTKYMMUX1","GSON1112130095")</f>
        <v>#NAME?</v>
      </c>
      <c r="V1287" s="4" t="e">
        <f ca="1">[1]!BexGetData("DP_1","00O2TNJGODT0G5Z4TTKYMN18L","GSON1112130095")</f>
        <v>#NAME?</v>
      </c>
      <c r="W1287" s="4" t="e">
        <f ca="1">[1]!BexGetData("DP_1","00O2TNJGODT0G5Z4TTKYMN7K5","GSON1112130095")</f>
        <v>#NAME?</v>
      </c>
    </row>
    <row r="1288" spans="1:23" x14ac:dyDescent="0.2">
      <c r="A1288" s="16" t="s">
        <v>3604</v>
      </c>
      <c r="B1288" s="7" t="s">
        <v>3605</v>
      </c>
      <c r="C1288" s="3" t="e">
        <f ca="1">[1]!BexGetData("DP_1","003N8EMH8GTFRCSWKMPXRR8GU","GSON1112130100")</f>
        <v>#NAME?</v>
      </c>
      <c r="D1288" s="3" t="e">
        <f ca="1">[1]!BexGetData("DP_1","003N8EMH8GTFRCSWKMPXRRESE","GSON1112130100")</f>
        <v>#NAME?</v>
      </c>
      <c r="E1288" s="3" t="e">
        <f ca="1">[1]!BexGetData("DP_1","003N8EMH8GTFRCSWKMPXRRL3Y","GSON1112130100")</f>
        <v>#NAME?</v>
      </c>
      <c r="F1288" s="3" t="e">
        <f ca="1">[1]!BexGetData("DP_1","003N8EMH8GTFRCSWKMPXRRRFI","GSON1112130100")</f>
        <v>#NAME?</v>
      </c>
      <c r="G1288" s="3" t="e">
        <f ca="1">[1]!BexGetData("DP_1","003N8EMH8GTFRCSWKMPXRRXR2","GSON1112130100")</f>
        <v>#NAME?</v>
      </c>
      <c r="H1288" s="8" t="e">
        <f ca="1">[1]!BexGetData("DP_1","003N8EMH8GTFRCSWKMPXRS42M","GSON1112130100")</f>
        <v>#NAME?</v>
      </c>
      <c r="I1288" s="3" t="e">
        <f ca="1">[1]!BexGetData("DP_1","003N8EMH8GTFRCSWKMPXRSAE6","GSON1112130100")</f>
        <v>#NAME?</v>
      </c>
      <c r="J1288" s="4" t="e">
        <f ca="1">[1]!BexGetData("DP_1","003N8EMH8GTFRCSWKMPXRSGPQ","GSON1112130100")</f>
        <v>#NAME?</v>
      </c>
      <c r="K1288" s="3" t="e">
        <f ca="1">[1]!BexGetData("DP_1","003N8EMH8GTFRIVNUPY288VJH","GSON1112130100")</f>
        <v>#NAME?</v>
      </c>
      <c r="L1288" s="3" t="e">
        <f ca="1">[1]!BexGetData("DP_1","003N8EMH8GTFRIVNUPY2891V1","GSON1112130100")</f>
        <v>#NAME?</v>
      </c>
      <c r="M1288" s="8" t="e">
        <f ca="1">[1]!BexGetData("DP_1","003N8EMH8GTFRIVOG7KG9IQXA","GSON1112130100")</f>
        <v>#NAME?</v>
      </c>
      <c r="N1288" s="3" t="e">
        <f ca="1">[1]!BexGetData("DP_1","003N8EMH8GTFRIVOG7KG9IX8U","GSON1112130100")</f>
        <v>#NAME?</v>
      </c>
      <c r="O1288" s="8" t="e">
        <f ca="1">[1]!BexGetData("DP_1","003N8EMH8GTFRIVOG7KG9J3KE","GSON1112130100")</f>
        <v>#NAME?</v>
      </c>
      <c r="P1288" s="3" t="e">
        <f ca="1">[1]!BexGetData("DP_1","003N8EMH8GTFRIVOG7KG9J9VY","GSON1112130100")</f>
        <v>#NAME?</v>
      </c>
      <c r="Q1288" s="4" t="e">
        <f ca="1">[1]!BexGetData("DP_1","00O2TNJGODT0G5Z4TTKYMM5MT","GSON1112130100")</f>
        <v>#NAME?</v>
      </c>
      <c r="R1288" s="3" t="e">
        <f ca="1">[1]!BexGetData("DP_1","00O2TNJGODT0G5Z4TTKYMMBYD","GSON1112130100")</f>
        <v>#NAME?</v>
      </c>
      <c r="S1288" s="3" t="e">
        <f ca="1">[1]!BexGetData("DP_1","00O2TNJGODT0G5Z4TTKYMMI9X","GSON1112130100")</f>
        <v>#NAME?</v>
      </c>
      <c r="T1288" s="8" t="e">
        <f ca="1">[1]!BexGetData("DP_1","00O2TNJGODT0G5Z4TTKYMMOLH","GSON1112130100")</f>
        <v>#NAME?</v>
      </c>
      <c r="U1288" s="3" t="e">
        <f ca="1">[1]!BexGetData("DP_1","00O2TNJGODT0G5Z4TTKYMMUX1","GSON1112130100")</f>
        <v>#NAME?</v>
      </c>
      <c r="V1288" s="8" t="e">
        <f ca="1">[1]!BexGetData("DP_1","00O2TNJGODT0G5Z4TTKYMN18L","GSON1112130100")</f>
        <v>#NAME?</v>
      </c>
      <c r="W1288" s="3" t="e">
        <f ca="1">[1]!BexGetData("DP_1","00O2TNJGODT0G5Z4TTKYMN7K5","GSON1112130100")</f>
        <v>#NAME?</v>
      </c>
    </row>
    <row r="1289" spans="1:23" x14ac:dyDescent="0.2">
      <c r="A1289" s="16" t="s">
        <v>3606</v>
      </c>
      <c r="B1289" s="7" t="s">
        <v>3607</v>
      </c>
      <c r="C1289" s="3" t="e">
        <f ca="1">[1]!BexGetData("DP_1","003N8EMH8GTFRCSWKMPXRR8GU","GSON1112130105")</f>
        <v>#NAME?</v>
      </c>
      <c r="D1289" s="3" t="e">
        <f ca="1">[1]!BexGetData("DP_1","003N8EMH8GTFRCSWKMPXRRESE","GSON1112130105")</f>
        <v>#NAME?</v>
      </c>
      <c r="E1289" s="8" t="e">
        <f ca="1">[1]!BexGetData("DP_1","003N8EMH8GTFRCSWKMPXRRL3Y","GSON1112130105")</f>
        <v>#NAME?</v>
      </c>
      <c r="F1289" s="4" t="e">
        <f ca="1">[1]!BexGetData("DP_1","003N8EMH8GTFRCSWKMPXRRRFI","GSON1112130105")</f>
        <v>#NAME?</v>
      </c>
      <c r="G1289" s="4" t="e">
        <f ca="1">[1]!BexGetData("DP_1","003N8EMH8GTFRCSWKMPXRRXR2","GSON1112130105")</f>
        <v>#NAME?</v>
      </c>
      <c r="H1289" s="4" t="e">
        <f ca="1">[1]!BexGetData("DP_1","003N8EMH8GTFRCSWKMPXRS42M","GSON1112130105")</f>
        <v>#NAME?</v>
      </c>
      <c r="I1289" s="4" t="e">
        <f ca="1">[1]!BexGetData("DP_1","003N8EMH8GTFRCSWKMPXRSAE6","GSON1112130105")</f>
        <v>#NAME?</v>
      </c>
      <c r="J1289" s="4" t="e">
        <f ca="1">[1]!BexGetData("DP_1","003N8EMH8GTFRCSWKMPXRSGPQ","GSON1112130105")</f>
        <v>#NAME?</v>
      </c>
      <c r="K1289" s="8" t="e">
        <f ca="1">[1]!BexGetData("DP_1","003N8EMH8GTFRIVNUPY288VJH","GSON1112130105")</f>
        <v>#NAME?</v>
      </c>
      <c r="L1289" s="8" t="e">
        <f ca="1">[1]!BexGetData("DP_1","003N8EMH8GTFRIVNUPY2891V1","GSON1112130105")</f>
        <v>#NAME?</v>
      </c>
      <c r="M1289" s="8" t="e">
        <f ca="1">[1]!BexGetData("DP_1","003N8EMH8GTFRIVOG7KG9IQXA","GSON1112130105")</f>
        <v>#NAME?</v>
      </c>
      <c r="N1289" s="8" t="e">
        <f ca="1">[1]!BexGetData("DP_1","003N8EMH8GTFRIVOG7KG9IX8U","GSON1112130105")</f>
        <v>#NAME?</v>
      </c>
      <c r="O1289" s="8" t="e">
        <f ca="1">[1]!BexGetData("DP_1","003N8EMH8GTFRIVOG7KG9J3KE","GSON1112130105")</f>
        <v>#NAME?</v>
      </c>
      <c r="P1289" s="8" t="e">
        <f ca="1">[1]!BexGetData("DP_1","003N8EMH8GTFRIVOG7KG9J9VY","GSON1112130105")</f>
        <v>#NAME?</v>
      </c>
      <c r="Q1289" s="4" t="e">
        <f ca="1">[1]!BexGetData("DP_1","00O2TNJGODT0G5Z4TTKYMM5MT","GSON1112130105")</f>
        <v>#NAME?</v>
      </c>
      <c r="R1289" s="4" t="e">
        <f ca="1">[1]!BexGetData("DP_1","00O2TNJGODT0G5Z4TTKYMMBYD","GSON1112130105")</f>
        <v>#NAME?</v>
      </c>
      <c r="S1289" s="4" t="e">
        <f ca="1">[1]!BexGetData("DP_1","00O2TNJGODT0G5Z4TTKYMMI9X","GSON1112130105")</f>
        <v>#NAME?</v>
      </c>
      <c r="T1289" s="4" t="e">
        <f ca="1">[1]!BexGetData("DP_1","00O2TNJGODT0G5Z4TTKYMMOLH","GSON1112130105")</f>
        <v>#NAME?</v>
      </c>
      <c r="U1289" s="4" t="e">
        <f ca="1">[1]!BexGetData("DP_1","00O2TNJGODT0G5Z4TTKYMMUX1","GSON1112130105")</f>
        <v>#NAME?</v>
      </c>
      <c r="V1289" s="4" t="e">
        <f ca="1">[1]!BexGetData("DP_1","00O2TNJGODT0G5Z4TTKYMN18L","GSON1112130105")</f>
        <v>#NAME?</v>
      </c>
      <c r="W1289" s="4" t="e">
        <f ca="1">[1]!BexGetData("DP_1","00O2TNJGODT0G5Z4TTKYMN7K5","GSON1112130105")</f>
        <v>#NAME?</v>
      </c>
    </row>
    <row r="1290" spans="1:23" x14ac:dyDescent="0.2">
      <c r="A1290" s="16" t="s">
        <v>3608</v>
      </c>
      <c r="B1290" s="7" t="s">
        <v>3609</v>
      </c>
      <c r="C1290" s="8" t="e">
        <f ca="1">[1]!BexGetData("DP_1","003N8EMH8GTFRCSWKMPXRR8GU","GSON1112130110")</f>
        <v>#NAME?</v>
      </c>
      <c r="D1290" s="8" t="e">
        <f ca="1">[1]!BexGetData("DP_1","003N8EMH8GTFRCSWKMPXRRESE","GSON1112130110")</f>
        <v>#NAME?</v>
      </c>
      <c r="E1290" s="3" t="e">
        <f ca="1">[1]!BexGetData("DP_1","003N8EMH8GTFRCSWKMPXRRL3Y","GSON1112130110")</f>
        <v>#NAME?</v>
      </c>
      <c r="F1290" s="3" t="e">
        <f ca="1">[1]!BexGetData("DP_1","003N8EMH8GTFRCSWKMPXRRRFI","GSON1112130110")</f>
        <v>#NAME?</v>
      </c>
      <c r="G1290" s="3" t="e">
        <f ca="1">[1]!BexGetData("DP_1","003N8EMH8GTFRCSWKMPXRRXR2","GSON1112130110")</f>
        <v>#NAME?</v>
      </c>
      <c r="H1290" s="8" t="e">
        <f ca="1">[1]!BexGetData("DP_1","003N8EMH8GTFRCSWKMPXRS42M","GSON1112130110")</f>
        <v>#NAME?</v>
      </c>
      <c r="I1290" s="3" t="e">
        <f ca="1">[1]!BexGetData("DP_1","003N8EMH8GTFRCSWKMPXRSAE6","GSON1112130110")</f>
        <v>#NAME?</v>
      </c>
      <c r="J1290" s="4" t="e">
        <f ca="1">[1]!BexGetData("DP_1","003N8EMH8GTFRCSWKMPXRSGPQ","GSON1112130110")</f>
        <v>#NAME?</v>
      </c>
      <c r="K1290" s="8" t="e">
        <f ca="1">[1]!BexGetData("DP_1","003N8EMH8GTFRIVNUPY288VJH","GSON1112130110")</f>
        <v>#NAME?</v>
      </c>
      <c r="L1290" s="8" t="e">
        <f ca="1">[1]!BexGetData("DP_1","003N8EMH8GTFRIVNUPY2891V1","GSON1112130110")</f>
        <v>#NAME?</v>
      </c>
      <c r="M1290" s="8" t="e">
        <f ca="1">[1]!BexGetData("DP_1","003N8EMH8GTFRIVOG7KG9IQXA","GSON1112130110")</f>
        <v>#NAME?</v>
      </c>
      <c r="N1290" s="8" t="e">
        <f ca="1">[1]!BexGetData("DP_1","003N8EMH8GTFRIVOG7KG9IX8U","GSON1112130110")</f>
        <v>#NAME?</v>
      </c>
      <c r="O1290" s="8" t="e">
        <f ca="1">[1]!BexGetData("DP_1","003N8EMH8GTFRIVOG7KG9J3KE","GSON1112130110")</f>
        <v>#NAME?</v>
      </c>
      <c r="P1290" s="8" t="e">
        <f ca="1">[1]!BexGetData("DP_1","003N8EMH8GTFRIVOG7KG9J9VY","GSON1112130110")</f>
        <v>#NAME?</v>
      </c>
      <c r="Q1290" s="4" t="e">
        <f ca="1">[1]!BexGetData("DP_1","00O2TNJGODT0G5Z4TTKYMM5MT","GSON1112130110")</f>
        <v>#NAME?</v>
      </c>
      <c r="R1290" s="3" t="e">
        <f ca="1">[1]!BexGetData("DP_1","00O2TNJGODT0G5Z4TTKYMMBYD","GSON1112130110")</f>
        <v>#NAME?</v>
      </c>
      <c r="S1290" s="3" t="e">
        <f ca="1">[1]!BexGetData("DP_1","00O2TNJGODT0G5Z4TTKYMMI9X","GSON1112130110")</f>
        <v>#NAME?</v>
      </c>
      <c r="T1290" s="8" t="e">
        <f ca="1">[1]!BexGetData("DP_1","00O2TNJGODT0G5Z4TTKYMMOLH","GSON1112130110")</f>
        <v>#NAME?</v>
      </c>
      <c r="U1290" s="3" t="e">
        <f ca="1">[1]!BexGetData("DP_1","00O2TNJGODT0G5Z4TTKYMMUX1","GSON1112130110")</f>
        <v>#NAME?</v>
      </c>
      <c r="V1290" s="8" t="e">
        <f ca="1">[1]!BexGetData("DP_1","00O2TNJGODT0G5Z4TTKYMN18L","GSON1112130110")</f>
        <v>#NAME?</v>
      </c>
      <c r="W1290" s="3" t="e">
        <f ca="1">[1]!BexGetData("DP_1","00O2TNJGODT0G5Z4TTKYMN7K5","GSON1112130110")</f>
        <v>#NAME?</v>
      </c>
    </row>
    <row r="1291" spans="1:23" x14ac:dyDescent="0.2">
      <c r="A1291" s="16" t="s">
        <v>3610</v>
      </c>
      <c r="B1291" s="7" t="s">
        <v>3611</v>
      </c>
      <c r="C1291" s="3" t="e">
        <f ca="1">[1]!BexGetData("DP_1","003N8EMH8GTFRCSWKMPXRR8GU","GSON1112130170")</f>
        <v>#NAME?</v>
      </c>
      <c r="D1291" s="3" t="e">
        <f ca="1">[1]!BexGetData("DP_1","003N8EMH8GTFRCSWKMPXRRESE","GSON1112130170")</f>
        <v>#NAME?</v>
      </c>
      <c r="E1291" s="3" t="e">
        <f ca="1">[1]!BexGetData("DP_1","003N8EMH8GTFRCSWKMPXRRL3Y","GSON1112130170")</f>
        <v>#NAME?</v>
      </c>
      <c r="F1291" s="3" t="e">
        <f ca="1">[1]!BexGetData("DP_1","003N8EMH8GTFRCSWKMPXRRRFI","GSON1112130170")</f>
        <v>#NAME?</v>
      </c>
      <c r="G1291" s="3" t="e">
        <f ca="1">[1]!BexGetData("DP_1","003N8EMH8GTFRCSWKMPXRRXR2","GSON1112130170")</f>
        <v>#NAME?</v>
      </c>
      <c r="H1291" s="8" t="e">
        <f ca="1">[1]!BexGetData("DP_1","003N8EMH8GTFRCSWKMPXRS42M","GSON1112130170")</f>
        <v>#NAME?</v>
      </c>
      <c r="I1291" s="3" t="e">
        <f ca="1">[1]!BexGetData("DP_1","003N8EMH8GTFRCSWKMPXRSAE6","GSON1112130170")</f>
        <v>#NAME?</v>
      </c>
      <c r="J1291" s="4" t="e">
        <f ca="1">[1]!BexGetData("DP_1","003N8EMH8GTFRCSWKMPXRSGPQ","GSON1112130170")</f>
        <v>#NAME?</v>
      </c>
      <c r="K1291" s="3" t="e">
        <f ca="1">[1]!BexGetData("DP_1","003N8EMH8GTFRIVNUPY288VJH","GSON1112130170")</f>
        <v>#NAME?</v>
      </c>
      <c r="L1291" s="3" t="e">
        <f ca="1">[1]!BexGetData("DP_1","003N8EMH8GTFRIVNUPY2891V1","GSON1112130170")</f>
        <v>#NAME?</v>
      </c>
      <c r="M1291" s="3" t="e">
        <f ca="1">[1]!BexGetData("DP_1","003N8EMH8GTFRIVOG7KG9IQXA","GSON1112130170")</f>
        <v>#NAME?</v>
      </c>
      <c r="N1291" s="8" t="e">
        <f ca="1">[1]!BexGetData("DP_1","003N8EMH8GTFRIVOG7KG9IX8U","GSON1112130170")</f>
        <v>#NAME?</v>
      </c>
      <c r="O1291" s="3" t="e">
        <f ca="1">[1]!BexGetData("DP_1","003N8EMH8GTFRIVOG7KG9J3KE","GSON1112130170")</f>
        <v>#NAME?</v>
      </c>
      <c r="P1291" s="8" t="e">
        <f ca="1">[1]!BexGetData("DP_1","003N8EMH8GTFRIVOG7KG9J9VY","GSON1112130170")</f>
        <v>#NAME?</v>
      </c>
      <c r="Q1291" s="4" t="e">
        <f ca="1">[1]!BexGetData("DP_1","00O2TNJGODT0G5Z4TTKYMM5MT","GSON1112130170")</f>
        <v>#NAME?</v>
      </c>
      <c r="R1291" s="3" t="e">
        <f ca="1">[1]!BexGetData("DP_1","00O2TNJGODT0G5Z4TTKYMMBYD","GSON1112130170")</f>
        <v>#NAME?</v>
      </c>
      <c r="S1291" s="3" t="e">
        <f ca="1">[1]!BexGetData("DP_1","00O2TNJGODT0G5Z4TTKYMMI9X","GSON1112130170")</f>
        <v>#NAME?</v>
      </c>
      <c r="T1291" s="8" t="e">
        <f ca="1">[1]!BexGetData("DP_1","00O2TNJGODT0G5Z4TTKYMMOLH","GSON1112130170")</f>
        <v>#NAME?</v>
      </c>
      <c r="U1291" s="3" t="e">
        <f ca="1">[1]!BexGetData("DP_1","00O2TNJGODT0G5Z4TTKYMMUX1","GSON1112130170")</f>
        <v>#NAME?</v>
      </c>
      <c r="V1291" s="8" t="e">
        <f ca="1">[1]!BexGetData("DP_1","00O2TNJGODT0G5Z4TTKYMN18L","GSON1112130170")</f>
        <v>#NAME?</v>
      </c>
      <c r="W1291" s="3" t="e">
        <f ca="1">[1]!BexGetData("DP_1","00O2TNJGODT0G5Z4TTKYMN7K5","GSON1112130170")</f>
        <v>#NAME?</v>
      </c>
    </row>
    <row r="1292" spans="1:23" x14ac:dyDescent="0.2">
      <c r="A1292" s="16" t="s">
        <v>3612</v>
      </c>
      <c r="B1292" s="7" t="s">
        <v>3613</v>
      </c>
      <c r="C1292" s="3" t="e">
        <f ca="1">[1]!BexGetData("DP_1","003N8EMH8GTFRCSWKMPXRR8GU","GSON1112130171")</f>
        <v>#NAME?</v>
      </c>
      <c r="D1292" s="3" t="e">
        <f ca="1">[1]!BexGetData("DP_1","003N8EMH8GTFRCSWKMPXRRESE","GSON1112130171")</f>
        <v>#NAME?</v>
      </c>
      <c r="E1292" s="8" t="e">
        <f ca="1">[1]!BexGetData("DP_1","003N8EMH8GTFRCSWKMPXRRL3Y","GSON1112130171")</f>
        <v>#NAME?</v>
      </c>
      <c r="F1292" s="4" t="e">
        <f ca="1">[1]!BexGetData("DP_1","003N8EMH8GTFRCSWKMPXRRRFI","GSON1112130171")</f>
        <v>#NAME?</v>
      </c>
      <c r="G1292" s="4" t="e">
        <f ca="1">[1]!BexGetData("DP_1","003N8EMH8GTFRCSWKMPXRRXR2","GSON1112130171")</f>
        <v>#NAME?</v>
      </c>
      <c r="H1292" s="4" t="e">
        <f ca="1">[1]!BexGetData("DP_1","003N8EMH8GTFRCSWKMPXRS42M","GSON1112130171")</f>
        <v>#NAME?</v>
      </c>
      <c r="I1292" s="4" t="e">
        <f ca="1">[1]!BexGetData("DP_1","003N8EMH8GTFRCSWKMPXRSAE6","GSON1112130171")</f>
        <v>#NAME?</v>
      </c>
      <c r="J1292" s="4" t="e">
        <f ca="1">[1]!BexGetData("DP_1","003N8EMH8GTFRCSWKMPXRSGPQ","GSON1112130171")</f>
        <v>#NAME?</v>
      </c>
      <c r="K1292" s="8" t="e">
        <f ca="1">[1]!BexGetData("DP_1","003N8EMH8GTFRIVNUPY288VJH","GSON1112130171")</f>
        <v>#NAME?</v>
      </c>
      <c r="L1292" s="8" t="e">
        <f ca="1">[1]!BexGetData("DP_1","003N8EMH8GTFRIVNUPY2891V1","GSON1112130171")</f>
        <v>#NAME?</v>
      </c>
      <c r="M1292" s="8" t="e">
        <f ca="1">[1]!BexGetData("DP_1","003N8EMH8GTFRIVOG7KG9IQXA","GSON1112130171")</f>
        <v>#NAME?</v>
      </c>
      <c r="N1292" s="8" t="e">
        <f ca="1">[1]!BexGetData("DP_1","003N8EMH8GTFRIVOG7KG9IX8U","GSON1112130171")</f>
        <v>#NAME?</v>
      </c>
      <c r="O1292" s="8" t="e">
        <f ca="1">[1]!BexGetData("DP_1","003N8EMH8GTFRIVOG7KG9J3KE","GSON1112130171")</f>
        <v>#NAME?</v>
      </c>
      <c r="P1292" s="8" t="e">
        <f ca="1">[1]!BexGetData("DP_1","003N8EMH8GTFRIVOG7KG9J9VY","GSON1112130171")</f>
        <v>#NAME?</v>
      </c>
      <c r="Q1292" s="4" t="e">
        <f ca="1">[1]!BexGetData("DP_1","00O2TNJGODT0G5Z4TTKYMM5MT","GSON1112130171")</f>
        <v>#NAME?</v>
      </c>
      <c r="R1292" s="4" t="e">
        <f ca="1">[1]!BexGetData("DP_1","00O2TNJGODT0G5Z4TTKYMMBYD","GSON1112130171")</f>
        <v>#NAME?</v>
      </c>
      <c r="S1292" s="4" t="e">
        <f ca="1">[1]!BexGetData("DP_1","00O2TNJGODT0G5Z4TTKYMMI9X","GSON1112130171")</f>
        <v>#NAME?</v>
      </c>
      <c r="T1292" s="4" t="e">
        <f ca="1">[1]!BexGetData("DP_1","00O2TNJGODT0G5Z4TTKYMMOLH","GSON1112130171")</f>
        <v>#NAME?</v>
      </c>
      <c r="U1292" s="4" t="e">
        <f ca="1">[1]!BexGetData("DP_1","00O2TNJGODT0G5Z4TTKYMMUX1","GSON1112130171")</f>
        <v>#NAME?</v>
      </c>
      <c r="V1292" s="4" t="e">
        <f ca="1">[1]!BexGetData("DP_1","00O2TNJGODT0G5Z4TTKYMN18L","GSON1112130171")</f>
        <v>#NAME?</v>
      </c>
      <c r="W1292" s="4" t="e">
        <f ca="1">[1]!BexGetData("DP_1","00O2TNJGODT0G5Z4TTKYMN7K5","GSON1112130171")</f>
        <v>#NAME?</v>
      </c>
    </row>
    <row r="1293" spans="1:23" x14ac:dyDescent="0.2">
      <c r="A1293" s="16" t="s">
        <v>3614</v>
      </c>
      <c r="B1293" s="7" t="s">
        <v>3615</v>
      </c>
      <c r="C1293" s="3" t="e">
        <f ca="1">[1]!BexGetData("DP_1","003N8EMH8GTFRCSWKMPXRR8GU","GSON1112130172")</f>
        <v>#NAME?</v>
      </c>
      <c r="D1293" s="3" t="e">
        <f ca="1">[1]!BexGetData("DP_1","003N8EMH8GTFRCSWKMPXRRESE","GSON1112130172")</f>
        <v>#NAME?</v>
      </c>
      <c r="E1293" s="3" t="e">
        <f ca="1">[1]!BexGetData("DP_1","003N8EMH8GTFRCSWKMPXRRL3Y","GSON1112130172")</f>
        <v>#NAME?</v>
      </c>
      <c r="F1293" s="3" t="e">
        <f ca="1">[1]!BexGetData("DP_1","003N8EMH8GTFRCSWKMPXRRRFI","GSON1112130172")</f>
        <v>#NAME?</v>
      </c>
      <c r="G1293" s="8" t="e">
        <f ca="1">[1]!BexGetData("DP_1","003N8EMH8GTFRCSWKMPXRRXR2","GSON1112130172")</f>
        <v>#NAME?</v>
      </c>
      <c r="H1293" s="3" t="e">
        <f ca="1">[1]!BexGetData("DP_1","003N8EMH8GTFRCSWKMPXRS42M","GSON1112130172")</f>
        <v>#NAME?</v>
      </c>
      <c r="I1293" s="3" t="e">
        <f ca="1">[1]!BexGetData("DP_1","003N8EMH8GTFRCSWKMPXRSAE6","GSON1112130172")</f>
        <v>#NAME?</v>
      </c>
      <c r="J1293" s="4" t="e">
        <f ca="1">[1]!BexGetData("DP_1","003N8EMH8GTFRCSWKMPXRSGPQ","GSON1112130172")</f>
        <v>#NAME?</v>
      </c>
      <c r="K1293" s="3" t="e">
        <f ca="1">[1]!BexGetData("DP_1","003N8EMH8GTFRIVNUPY288VJH","GSON1112130172")</f>
        <v>#NAME?</v>
      </c>
      <c r="L1293" s="3" t="e">
        <f ca="1">[1]!BexGetData("DP_1","003N8EMH8GTFRIVNUPY2891V1","GSON1112130172")</f>
        <v>#NAME?</v>
      </c>
      <c r="M1293" s="8" t="e">
        <f ca="1">[1]!BexGetData("DP_1","003N8EMH8GTFRIVOG7KG9IQXA","GSON1112130172")</f>
        <v>#NAME?</v>
      </c>
      <c r="N1293" s="3" t="e">
        <f ca="1">[1]!BexGetData("DP_1","003N8EMH8GTFRIVOG7KG9IX8U","GSON1112130172")</f>
        <v>#NAME?</v>
      </c>
      <c r="O1293" s="8" t="e">
        <f ca="1">[1]!BexGetData("DP_1","003N8EMH8GTFRIVOG7KG9J3KE","GSON1112130172")</f>
        <v>#NAME?</v>
      </c>
      <c r="P1293" s="3" t="e">
        <f ca="1">[1]!BexGetData("DP_1","003N8EMH8GTFRIVOG7KG9J9VY","GSON1112130172")</f>
        <v>#NAME?</v>
      </c>
      <c r="Q1293" s="4" t="e">
        <f ca="1">[1]!BexGetData("DP_1","00O2TNJGODT0G5Z4TTKYMM5MT","GSON1112130172")</f>
        <v>#NAME?</v>
      </c>
      <c r="R1293" s="3" t="e">
        <f ca="1">[1]!BexGetData("DP_1","00O2TNJGODT0G5Z4TTKYMMBYD","GSON1112130172")</f>
        <v>#NAME?</v>
      </c>
      <c r="S1293" s="3" t="e">
        <f ca="1">[1]!BexGetData("DP_1","00O2TNJGODT0G5Z4TTKYMMI9X","GSON1112130172")</f>
        <v>#NAME?</v>
      </c>
      <c r="T1293" s="3" t="e">
        <f ca="1">[1]!BexGetData("DP_1","00O2TNJGODT0G5Z4TTKYMMOLH","GSON1112130172")</f>
        <v>#NAME?</v>
      </c>
      <c r="U1293" s="8" t="e">
        <f ca="1">[1]!BexGetData("DP_1","00O2TNJGODT0G5Z4TTKYMMUX1","GSON1112130172")</f>
        <v>#NAME?</v>
      </c>
      <c r="V1293" s="3" t="e">
        <f ca="1">[1]!BexGetData("DP_1","00O2TNJGODT0G5Z4TTKYMN18L","GSON1112130172")</f>
        <v>#NAME?</v>
      </c>
      <c r="W1293" s="8" t="e">
        <f ca="1">[1]!BexGetData("DP_1","00O2TNJGODT0G5Z4TTKYMN7K5","GSON1112130172")</f>
        <v>#NAME?</v>
      </c>
    </row>
    <row r="1294" spans="1:23" x14ac:dyDescent="0.2">
      <c r="A1294" s="16" t="s">
        <v>3616</v>
      </c>
      <c r="B1294" s="7" t="s">
        <v>3617</v>
      </c>
      <c r="C1294" s="3" t="e">
        <f ca="1">[1]!BexGetData("DP_1","003N8EMH8GTFRCSWKMPXRR8GU","GSON1112130173")</f>
        <v>#NAME?</v>
      </c>
      <c r="D1294" s="3" t="e">
        <f ca="1">[1]!BexGetData("DP_1","003N8EMH8GTFRCSWKMPXRRESE","GSON1112130173")</f>
        <v>#NAME?</v>
      </c>
      <c r="E1294" s="8" t="e">
        <f ca="1">[1]!BexGetData("DP_1","003N8EMH8GTFRCSWKMPXRRL3Y","GSON1112130173")</f>
        <v>#NAME?</v>
      </c>
      <c r="F1294" s="4" t="e">
        <f ca="1">[1]!BexGetData("DP_1","003N8EMH8GTFRCSWKMPXRRRFI","GSON1112130173")</f>
        <v>#NAME?</v>
      </c>
      <c r="G1294" s="4" t="e">
        <f ca="1">[1]!BexGetData("DP_1","003N8EMH8GTFRCSWKMPXRRXR2","GSON1112130173")</f>
        <v>#NAME?</v>
      </c>
      <c r="H1294" s="4" t="e">
        <f ca="1">[1]!BexGetData("DP_1","003N8EMH8GTFRCSWKMPXRS42M","GSON1112130173")</f>
        <v>#NAME?</v>
      </c>
      <c r="I1294" s="4" t="e">
        <f ca="1">[1]!BexGetData("DP_1","003N8EMH8GTFRCSWKMPXRSAE6","GSON1112130173")</f>
        <v>#NAME?</v>
      </c>
      <c r="J1294" s="4" t="e">
        <f ca="1">[1]!BexGetData("DP_1","003N8EMH8GTFRCSWKMPXRSGPQ","GSON1112130173")</f>
        <v>#NAME?</v>
      </c>
      <c r="K1294" s="8" t="e">
        <f ca="1">[1]!BexGetData("DP_1","003N8EMH8GTFRIVNUPY288VJH","GSON1112130173")</f>
        <v>#NAME?</v>
      </c>
      <c r="L1294" s="8" t="e">
        <f ca="1">[1]!BexGetData("DP_1","003N8EMH8GTFRIVNUPY2891V1","GSON1112130173")</f>
        <v>#NAME?</v>
      </c>
      <c r="M1294" s="8" t="e">
        <f ca="1">[1]!BexGetData("DP_1","003N8EMH8GTFRIVOG7KG9IQXA","GSON1112130173")</f>
        <v>#NAME?</v>
      </c>
      <c r="N1294" s="8" t="e">
        <f ca="1">[1]!BexGetData("DP_1","003N8EMH8GTFRIVOG7KG9IX8U","GSON1112130173")</f>
        <v>#NAME?</v>
      </c>
      <c r="O1294" s="8" t="e">
        <f ca="1">[1]!BexGetData("DP_1","003N8EMH8GTFRIVOG7KG9J3KE","GSON1112130173")</f>
        <v>#NAME?</v>
      </c>
      <c r="P1294" s="8" t="e">
        <f ca="1">[1]!BexGetData("DP_1","003N8EMH8GTFRIVOG7KG9J9VY","GSON1112130173")</f>
        <v>#NAME?</v>
      </c>
      <c r="Q1294" s="4" t="e">
        <f ca="1">[1]!BexGetData("DP_1","00O2TNJGODT0G5Z4TTKYMM5MT","GSON1112130173")</f>
        <v>#NAME?</v>
      </c>
      <c r="R1294" s="4" t="e">
        <f ca="1">[1]!BexGetData("DP_1","00O2TNJGODT0G5Z4TTKYMMBYD","GSON1112130173")</f>
        <v>#NAME?</v>
      </c>
      <c r="S1294" s="4" t="e">
        <f ca="1">[1]!BexGetData("DP_1","00O2TNJGODT0G5Z4TTKYMMI9X","GSON1112130173")</f>
        <v>#NAME?</v>
      </c>
      <c r="T1294" s="4" t="e">
        <f ca="1">[1]!BexGetData("DP_1","00O2TNJGODT0G5Z4TTKYMMOLH","GSON1112130173")</f>
        <v>#NAME?</v>
      </c>
      <c r="U1294" s="4" t="e">
        <f ca="1">[1]!BexGetData("DP_1","00O2TNJGODT0G5Z4TTKYMMUX1","GSON1112130173")</f>
        <v>#NAME?</v>
      </c>
      <c r="V1294" s="4" t="e">
        <f ca="1">[1]!BexGetData("DP_1","00O2TNJGODT0G5Z4TTKYMN18L","GSON1112130173")</f>
        <v>#NAME?</v>
      </c>
      <c r="W1294" s="4" t="e">
        <f ca="1">[1]!BexGetData("DP_1","00O2TNJGODT0G5Z4TTKYMN7K5","GSON1112130173")</f>
        <v>#NAME?</v>
      </c>
    </row>
    <row r="1295" spans="1:23" x14ac:dyDescent="0.2">
      <c r="A1295" s="16" t="s">
        <v>3618</v>
      </c>
      <c r="B1295" s="7" t="s">
        <v>3619</v>
      </c>
      <c r="C1295" s="3" t="e">
        <f ca="1">[1]!BexGetData("DP_1","003N8EMH8GTFRCSWKMPXRR8GU","GSON1112130175")</f>
        <v>#NAME?</v>
      </c>
      <c r="D1295" s="3" t="e">
        <f ca="1">[1]!BexGetData("DP_1","003N8EMH8GTFRCSWKMPXRRESE","GSON1112130175")</f>
        <v>#NAME?</v>
      </c>
      <c r="E1295" s="8" t="e">
        <f ca="1">[1]!BexGetData("DP_1","003N8EMH8GTFRCSWKMPXRRL3Y","GSON1112130175")</f>
        <v>#NAME?</v>
      </c>
      <c r="F1295" s="4" t="e">
        <f ca="1">[1]!BexGetData("DP_1","003N8EMH8GTFRCSWKMPXRRRFI","GSON1112130175")</f>
        <v>#NAME?</v>
      </c>
      <c r="G1295" s="4" t="e">
        <f ca="1">[1]!BexGetData("DP_1","003N8EMH8GTFRCSWKMPXRRXR2","GSON1112130175")</f>
        <v>#NAME?</v>
      </c>
      <c r="H1295" s="4" t="e">
        <f ca="1">[1]!BexGetData("DP_1","003N8EMH8GTFRCSWKMPXRS42M","GSON1112130175")</f>
        <v>#NAME?</v>
      </c>
      <c r="I1295" s="4" t="e">
        <f ca="1">[1]!BexGetData("DP_1","003N8EMH8GTFRCSWKMPXRSAE6","GSON1112130175")</f>
        <v>#NAME?</v>
      </c>
      <c r="J1295" s="4" t="e">
        <f ca="1">[1]!BexGetData("DP_1","003N8EMH8GTFRCSWKMPXRSGPQ","GSON1112130175")</f>
        <v>#NAME?</v>
      </c>
      <c r="K1295" s="8" t="e">
        <f ca="1">[1]!BexGetData("DP_1","003N8EMH8GTFRIVNUPY288VJH","GSON1112130175")</f>
        <v>#NAME?</v>
      </c>
      <c r="L1295" s="8" t="e">
        <f ca="1">[1]!BexGetData("DP_1","003N8EMH8GTFRIVNUPY2891V1","GSON1112130175")</f>
        <v>#NAME?</v>
      </c>
      <c r="M1295" s="8" t="e">
        <f ca="1">[1]!BexGetData("DP_1","003N8EMH8GTFRIVOG7KG9IQXA","GSON1112130175")</f>
        <v>#NAME?</v>
      </c>
      <c r="N1295" s="8" t="e">
        <f ca="1">[1]!BexGetData("DP_1","003N8EMH8GTFRIVOG7KG9IX8U","GSON1112130175")</f>
        <v>#NAME?</v>
      </c>
      <c r="O1295" s="8" t="e">
        <f ca="1">[1]!BexGetData("DP_1","003N8EMH8GTFRIVOG7KG9J3KE","GSON1112130175")</f>
        <v>#NAME?</v>
      </c>
      <c r="P1295" s="8" t="e">
        <f ca="1">[1]!BexGetData("DP_1","003N8EMH8GTFRIVOG7KG9J9VY","GSON1112130175")</f>
        <v>#NAME?</v>
      </c>
      <c r="Q1295" s="4" t="e">
        <f ca="1">[1]!BexGetData("DP_1","00O2TNJGODT0G5Z4TTKYMM5MT","GSON1112130175")</f>
        <v>#NAME?</v>
      </c>
      <c r="R1295" s="4" t="e">
        <f ca="1">[1]!BexGetData("DP_1","00O2TNJGODT0G5Z4TTKYMMBYD","GSON1112130175")</f>
        <v>#NAME?</v>
      </c>
      <c r="S1295" s="4" t="e">
        <f ca="1">[1]!BexGetData("DP_1","00O2TNJGODT0G5Z4TTKYMMI9X","GSON1112130175")</f>
        <v>#NAME?</v>
      </c>
      <c r="T1295" s="4" t="e">
        <f ca="1">[1]!BexGetData("DP_1","00O2TNJGODT0G5Z4TTKYMMOLH","GSON1112130175")</f>
        <v>#NAME?</v>
      </c>
      <c r="U1295" s="4" t="e">
        <f ca="1">[1]!BexGetData("DP_1","00O2TNJGODT0G5Z4TTKYMMUX1","GSON1112130175")</f>
        <v>#NAME?</v>
      </c>
      <c r="V1295" s="4" t="e">
        <f ca="1">[1]!BexGetData("DP_1","00O2TNJGODT0G5Z4TTKYMN18L","GSON1112130175")</f>
        <v>#NAME?</v>
      </c>
      <c r="W1295" s="4" t="e">
        <f ca="1">[1]!BexGetData("DP_1","00O2TNJGODT0G5Z4TTKYMN7K5","GSON1112130175")</f>
        <v>#NAME?</v>
      </c>
    </row>
    <row r="1296" spans="1:23" x14ac:dyDescent="0.2">
      <c r="A1296" s="16" t="s">
        <v>3620</v>
      </c>
      <c r="B1296" s="7" t="s">
        <v>3621</v>
      </c>
      <c r="C1296" s="3" t="e">
        <f ca="1">[1]!BexGetData("DP_1","003N8EMH8GTFRCSWKMPXRR8GU","GSON1112130180")</f>
        <v>#NAME?</v>
      </c>
      <c r="D1296" s="3" t="e">
        <f ca="1">[1]!BexGetData("DP_1","003N8EMH8GTFRCSWKMPXRRESE","GSON1112130180")</f>
        <v>#NAME?</v>
      </c>
      <c r="E1296" s="3" t="e">
        <f ca="1">[1]!BexGetData("DP_1","003N8EMH8GTFRCSWKMPXRRL3Y","GSON1112130180")</f>
        <v>#NAME?</v>
      </c>
      <c r="F1296" s="4" t="e">
        <f ca="1">[1]!BexGetData("DP_1","003N8EMH8GTFRCSWKMPXRRRFI","GSON1112130180")</f>
        <v>#NAME?</v>
      </c>
      <c r="G1296" s="4" t="e">
        <f ca="1">[1]!BexGetData("DP_1","003N8EMH8GTFRCSWKMPXRRXR2","GSON1112130180")</f>
        <v>#NAME?</v>
      </c>
      <c r="H1296" s="4" t="e">
        <f ca="1">[1]!BexGetData("DP_1","003N8EMH8GTFRCSWKMPXRS42M","GSON1112130180")</f>
        <v>#NAME?</v>
      </c>
      <c r="I1296" s="4" t="e">
        <f ca="1">[1]!BexGetData("DP_1","003N8EMH8GTFRCSWKMPXRSAE6","GSON1112130180")</f>
        <v>#NAME?</v>
      </c>
      <c r="J1296" s="4" t="e">
        <f ca="1">[1]!BexGetData("DP_1","003N8EMH8GTFRCSWKMPXRSGPQ","GSON1112130180")</f>
        <v>#NAME?</v>
      </c>
      <c r="K1296" s="3" t="e">
        <f ca="1">[1]!BexGetData("DP_1","003N8EMH8GTFRIVNUPY288VJH","GSON1112130180")</f>
        <v>#NAME?</v>
      </c>
      <c r="L1296" s="3" t="e">
        <f ca="1">[1]!BexGetData("DP_1","003N8EMH8GTFRIVNUPY2891V1","GSON1112130180")</f>
        <v>#NAME?</v>
      </c>
      <c r="M1296" s="8" t="e">
        <f ca="1">[1]!BexGetData("DP_1","003N8EMH8GTFRIVOG7KG9IQXA","GSON1112130180")</f>
        <v>#NAME?</v>
      </c>
      <c r="N1296" s="3" t="e">
        <f ca="1">[1]!BexGetData("DP_1","003N8EMH8GTFRIVOG7KG9IX8U","GSON1112130180")</f>
        <v>#NAME?</v>
      </c>
      <c r="O1296" s="8" t="e">
        <f ca="1">[1]!BexGetData("DP_1","003N8EMH8GTFRIVOG7KG9J3KE","GSON1112130180")</f>
        <v>#NAME?</v>
      </c>
      <c r="P1296" s="3" t="e">
        <f ca="1">[1]!BexGetData("DP_1","003N8EMH8GTFRIVOG7KG9J9VY","GSON1112130180")</f>
        <v>#NAME?</v>
      </c>
      <c r="Q1296" s="4" t="e">
        <f ca="1">[1]!BexGetData("DP_1","00O2TNJGODT0G5Z4TTKYMM5MT","GSON1112130180")</f>
        <v>#NAME?</v>
      </c>
      <c r="R1296" s="4" t="e">
        <f ca="1">[1]!BexGetData("DP_1","00O2TNJGODT0G5Z4TTKYMMBYD","GSON1112130180")</f>
        <v>#NAME?</v>
      </c>
      <c r="S1296" s="4" t="e">
        <f ca="1">[1]!BexGetData("DP_1","00O2TNJGODT0G5Z4TTKYMMI9X","GSON1112130180")</f>
        <v>#NAME?</v>
      </c>
      <c r="T1296" s="4" t="e">
        <f ca="1">[1]!BexGetData("DP_1","00O2TNJGODT0G5Z4TTKYMMOLH","GSON1112130180")</f>
        <v>#NAME?</v>
      </c>
      <c r="U1296" s="4" t="e">
        <f ca="1">[1]!BexGetData("DP_1","00O2TNJGODT0G5Z4TTKYMMUX1","GSON1112130180")</f>
        <v>#NAME?</v>
      </c>
      <c r="V1296" s="4" t="e">
        <f ca="1">[1]!BexGetData("DP_1","00O2TNJGODT0G5Z4TTKYMN18L","GSON1112130180")</f>
        <v>#NAME?</v>
      </c>
      <c r="W1296" s="4" t="e">
        <f ca="1">[1]!BexGetData("DP_1","00O2TNJGODT0G5Z4TTKYMN7K5","GSON1112130180")</f>
        <v>#NAME?</v>
      </c>
    </row>
    <row r="1297" spans="1:23" x14ac:dyDescent="0.2">
      <c r="A1297" s="16" t="s">
        <v>3622</v>
      </c>
      <c r="B1297" s="7" t="s">
        <v>3623</v>
      </c>
      <c r="C1297" s="3" t="e">
        <f ca="1">[1]!BexGetData("DP_1","003N8EMH8GTFRCSWKMPXRR8GU","GSON1112130181")</f>
        <v>#NAME?</v>
      </c>
      <c r="D1297" s="3" t="e">
        <f ca="1">[1]!BexGetData("DP_1","003N8EMH8GTFRCSWKMPXRRESE","GSON1112130181")</f>
        <v>#NAME?</v>
      </c>
      <c r="E1297" s="8" t="e">
        <f ca="1">[1]!BexGetData("DP_1","003N8EMH8GTFRCSWKMPXRRL3Y","GSON1112130181")</f>
        <v>#NAME?</v>
      </c>
      <c r="F1297" s="4" t="e">
        <f ca="1">[1]!BexGetData("DP_1","003N8EMH8GTFRCSWKMPXRRRFI","GSON1112130181")</f>
        <v>#NAME?</v>
      </c>
      <c r="G1297" s="4" t="e">
        <f ca="1">[1]!BexGetData("DP_1","003N8EMH8GTFRCSWKMPXRRXR2","GSON1112130181")</f>
        <v>#NAME?</v>
      </c>
      <c r="H1297" s="4" t="e">
        <f ca="1">[1]!BexGetData("DP_1","003N8EMH8GTFRCSWKMPXRS42M","GSON1112130181")</f>
        <v>#NAME?</v>
      </c>
      <c r="I1297" s="4" t="e">
        <f ca="1">[1]!BexGetData("DP_1","003N8EMH8GTFRCSWKMPXRSAE6","GSON1112130181")</f>
        <v>#NAME?</v>
      </c>
      <c r="J1297" s="4" t="e">
        <f ca="1">[1]!BexGetData("DP_1","003N8EMH8GTFRCSWKMPXRSGPQ","GSON1112130181")</f>
        <v>#NAME?</v>
      </c>
      <c r="K1297" s="8" t="e">
        <f ca="1">[1]!BexGetData("DP_1","003N8EMH8GTFRIVNUPY288VJH","GSON1112130181")</f>
        <v>#NAME?</v>
      </c>
      <c r="L1297" s="8" t="e">
        <f ca="1">[1]!BexGetData("DP_1","003N8EMH8GTFRIVNUPY2891V1","GSON1112130181")</f>
        <v>#NAME?</v>
      </c>
      <c r="M1297" s="8" t="e">
        <f ca="1">[1]!BexGetData("DP_1","003N8EMH8GTFRIVOG7KG9IQXA","GSON1112130181")</f>
        <v>#NAME?</v>
      </c>
      <c r="N1297" s="8" t="e">
        <f ca="1">[1]!BexGetData("DP_1","003N8EMH8GTFRIVOG7KG9IX8U","GSON1112130181")</f>
        <v>#NAME?</v>
      </c>
      <c r="O1297" s="8" t="e">
        <f ca="1">[1]!BexGetData("DP_1","003N8EMH8GTFRIVOG7KG9J3KE","GSON1112130181")</f>
        <v>#NAME?</v>
      </c>
      <c r="P1297" s="8" t="e">
        <f ca="1">[1]!BexGetData("DP_1","003N8EMH8GTFRIVOG7KG9J9VY","GSON1112130181")</f>
        <v>#NAME?</v>
      </c>
      <c r="Q1297" s="4" t="e">
        <f ca="1">[1]!BexGetData("DP_1","00O2TNJGODT0G5Z4TTKYMM5MT","GSON1112130181")</f>
        <v>#NAME?</v>
      </c>
      <c r="R1297" s="4" t="e">
        <f ca="1">[1]!BexGetData("DP_1","00O2TNJGODT0G5Z4TTKYMMBYD","GSON1112130181")</f>
        <v>#NAME?</v>
      </c>
      <c r="S1297" s="4" t="e">
        <f ca="1">[1]!BexGetData("DP_1","00O2TNJGODT0G5Z4TTKYMMI9X","GSON1112130181")</f>
        <v>#NAME?</v>
      </c>
      <c r="T1297" s="4" t="e">
        <f ca="1">[1]!BexGetData("DP_1","00O2TNJGODT0G5Z4TTKYMMOLH","GSON1112130181")</f>
        <v>#NAME?</v>
      </c>
      <c r="U1297" s="4" t="e">
        <f ca="1">[1]!BexGetData("DP_1","00O2TNJGODT0G5Z4TTKYMMUX1","GSON1112130181")</f>
        <v>#NAME?</v>
      </c>
      <c r="V1297" s="4" t="e">
        <f ca="1">[1]!BexGetData("DP_1","00O2TNJGODT0G5Z4TTKYMN18L","GSON1112130181")</f>
        <v>#NAME?</v>
      </c>
      <c r="W1297" s="4" t="e">
        <f ca="1">[1]!BexGetData("DP_1","00O2TNJGODT0G5Z4TTKYMN7K5","GSON1112130181")</f>
        <v>#NAME?</v>
      </c>
    </row>
    <row r="1298" spans="1:23" x14ac:dyDescent="0.2">
      <c r="A1298" s="16" t="s">
        <v>3624</v>
      </c>
      <c r="B1298" s="7" t="s">
        <v>3625</v>
      </c>
      <c r="C1298" s="3" t="e">
        <f ca="1">[1]!BexGetData("DP_1","003N8EMH8GTFRCSWKMPXRR8GU","GSON1112130183")</f>
        <v>#NAME?</v>
      </c>
      <c r="D1298" s="3" t="e">
        <f ca="1">[1]!BexGetData("DP_1","003N8EMH8GTFRCSWKMPXRRESE","GSON1112130183")</f>
        <v>#NAME?</v>
      </c>
      <c r="E1298" s="8" t="e">
        <f ca="1">[1]!BexGetData("DP_1","003N8EMH8GTFRCSWKMPXRRL3Y","GSON1112130183")</f>
        <v>#NAME?</v>
      </c>
      <c r="F1298" s="4" t="e">
        <f ca="1">[1]!BexGetData("DP_1","003N8EMH8GTFRCSWKMPXRRRFI","GSON1112130183")</f>
        <v>#NAME?</v>
      </c>
      <c r="G1298" s="4" t="e">
        <f ca="1">[1]!BexGetData("DP_1","003N8EMH8GTFRCSWKMPXRRXR2","GSON1112130183")</f>
        <v>#NAME?</v>
      </c>
      <c r="H1298" s="4" t="e">
        <f ca="1">[1]!BexGetData("DP_1","003N8EMH8GTFRCSWKMPXRS42M","GSON1112130183")</f>
        <v>#NAME?</v>
      </c>
      <c r="I1298" s="4" t="e">
        <f ca="1">[1]!BexGetData("DP_1","003N8EMH8GTFRCSWKMPXRSAE6","GSON1112130183")</f>
        <v>#NAME?</v>
      </c>
      <c r="J1298" s="4" t="e">
        <f ca="1">[1]!BexGetData("DP_1","003N8EMH8GTFRCSWKMPXRSGPQ","GSON1112130183")</f>
        <v>#NAME?</v>
      </c>
      <c r="K1298" s="8" t="e">
        <f ca="1">[1]!BexGetData("DP_1","003N8EMH8GTFRIVNUPY288VJH","GSON1112130183")</f>
        <v>#NAME?</v>
      </c>
      <c r="L1298" s="8" t="e">
        <f ca="1">[1]!BexGetData("DP_1","003N8EMH8GTFRIVNUPY2891V1","GSON1112130183")</f>
        <v>#NAME?</v>
      </c>
      <c r="M1298" s="8" t="e">
        <f ca="1">[1]!BexGetData("DP_1","003N8EMH8GTFRIVOG7KG9IQXA","GSON1112130183")</f>
        <v>#NAME?</v>
      </c>
      <c r="N1298" s="8" t="e">
        <f ca="1">[1]!BexGetData("DP_1","003N8EMH8GTFRIVOG7KG9IX8U","GSON1112130183")</f>
        <v>#NAME?</v>
      </c>
      <c r="O1298" s="8" t="e">
        <f ca="1">[1]!BexGetData("DP_1","003N8EMH8GTFRIVOG7KG9J3KE","GSON1112130183")</f>
        <v>#NAME?</v>
      </c>
      <c r="P1298" s="8" t="e">
        <f ca="1">[1]!BexGetData("DP_1","003N8EMH8GTFRIVOG7KG9J9VY","GSON1112130183")</f>
        <v>#NAME?</v>
      </c>
      <c r="Q1298" s="4" t="e">
        <f ca="1">[1]!BexGetData("DP_1","00O2TNJGODT0G5Z4TTKYMM5MT","GSON1112130183")</f>
        <v>#NAME?</v>
      </c>
      <c r="R1298" s="4" t="e">
        <f ca="1">[1]!BexGetData("DP_1","00O2TNJGODT0G5Z4TTKYMMBYD","GSON1112130183")</f>
        <v>#NAME?</v>
      </c>
      <c r="S1298" s="4" t="e">
        <f ca="1">[1]!BexGetData("DP_1","00O2TNJGODT0G5Z4TTKYMMI9X","GSON1112130183")</f>
        <v>#NAME?</v>
      </c>
      <c r="T1298" s="4" t="e">
        <f ca="1">[1]!BexGetData("DP_1","00O2TNJGODT0G5Z4TTKYMMOLH","GSON1112130183")</f>
        <v>#NAME?</v>
      </c>
      <c r="U1298" s="4" t="e">
        <f ca="1">[1]!BexGetData("DP_1","00O2TNJGODT0G5Z4TTKYMMUX1","GSON1112130183")</f>
        <v>#NAME?</v>
      </c>
      <c r="V1298" s="4" t="e">
        <f ca="1">[1]!BexGetData("DP_1","00O2TNJGODT0G5Z4TTKYMN18L","GSON1112130183")</f>
        <v>#NAME?</v>
      </c>
      <c r="W1298" s="4" t="e">
        <f ca="1">[1]!BexGetData("DP_1","00O2TNJGODT0G5Z4TTKYMN7K5","GSON1112130183")</f>
        <v>#NAME?</v>
      </c>
    </row>
    <row r="1299" spans="1:23" x14ac:dyDescent="0.2">
      <c r="A1299" s="16" t="s">
        <v>3626</v>
      </c>
      <c r="B1299" s="7" t="s">
        <v>3627</v>
      </c>
      <c r="C1299" s="3" t="e">
        <f ca="1">[1]!BexGetData("DP_1","003N8EMH8GTFRCSWKMPXRR8GU","GSON1112130185")</f>
        <v>#NAME?</v>
      </c>
      <c r="D1299" s="3" t="e">
        <f ca="1">[1]!BexGetData("DP_1","003N8EMH8GTFRCSWKMPXRRESE","GSON1112130185")</f>
        <v>#NAME?</v>
      </c>
      <c r="E1299" s="8" t="e">
        <f ca="1">[1]!BexGetData("DP_1","003N8EMH8GTFRCSWKMPXRRL3Y","GSON1112130185")</f>
        <v>#NAME?</v>
      </c>
      <c r="F1299" s="4" t="e">
        <f ca="1">[1]!BexGetData("DP_1","003N8EMH8GTFRCSWKMPXRRRFI","GSON1112130185")</f>
        <v>#NAME?</v>
      </c>
      <c r="G1299" s="4" t="e">
        <f ca="1">[1]!BexGetData("DP_1","003N8EMH8GTFRCSWKMPXRRXR2","GSON1112130185")</f>
        <v>#NAME?</v>
      </c>
      <c r="H1299" s="4" t="e">
        <f ca="1">[1]!BexGetData("DP_1","003N8EMH8GTFRCSWKMPXRS42M","GSON1112130185")</f>
        <v>#NAME?</v>
      </c>
      <c r="I1299" s="4" t="e">
        <f ca="1">[1]!BexGetData("DP_1","003N8EMH8GTFRCSWKMPXRSAE6","GSON1112130185")</f>
        <v>#NAME?</v>
      </c>
      <c r="J1299" s="4" t="e">
        <f ca="1">[1]!BexGetData("DP_1","003N8EMH8GTFRCSWKMPXRSGPQ","GSON1112130185")</f>
        <v>#NAME?</v>
      </c>
      <c r="K1299" s="8" t="e">
        <f ca="1">[1]!BexGetData("DP_1","003N8EMH8GTFRIVNUPY288VJH","GSON1112130185")</f>
        <v>#NAME?</v>
      </c>
      <c r="L1299" s="8" t="e">
        <f ca="1">[1]!BexGetData("DP_1","003N8EMH8GTFRIVNUPY2891V1","GSON1112130185")</f>
        <v>#NAME?</v>
      </c>
      <c r="M1299" s="8" t="e">
        <f ca="1">[1]!BexGetData("DP_1","003N8EMH8GTFRIVOG7KG9IQXA","GSON1112130185")</f>
        <v>#NAME?</v>
      </c>
      <c r="N1299" s="8" t="e">
        <f ca="1">[1]!BexGetData("DP_1","003N8EMH8GTFRIVOG7KG9IX8U","GSON1112130185")</f>
        <v>#NAME?</v>
      </c>
      <c r="O1299" s="8" t="e">
        <f ca="1">[1]!BexGetData("DP_1","003N8EMH8GTFRIVOG7KG9J3KE","GSON1112130185")</f>
        <v>#NAME?</v>
      </c>
      <c r="P1299" s="8" t="e">
        <f ca="1">[1]!BexGetData("DP_1","003N8EMH8GTFRIVOG7KG9J9VY","GSON1112130185")</f>
        <v>#NAME?</v>
      </c>
      <c r="Q1299" s="4" t="e">
        <f ca="1">[1]!BexGetData("DP_1","00O2TNJGODT0G5Z4TTKYMM5MT","GSON1112130185")</f>
        <v>#NAME?</v>
      </c>
      <c r="R1299" s="4" t="e">
        <f ca="1">[1]!BexGetData("DP_1","00O2TNJGODT0G5Z4TTKYMMBYD","GSON1112130185")</f>
        <v>#NAME?</v>
      </c>
      <c r="S1299" s="4" t="e">
        <f ca="1">[1]!BexGetData("DP_1","00O2TNJGODT0G5Z4TTKYMMI9X","GSON1112130185")</f>
        <v>#NAME?</v>
      </c>
      <c r="T1299" s="4" t="e">
        <f ca="1">[1]!BexGetData("DP_1","00O2TNJGODT0G5Z4TTKYMMOLH","GSON1112130185")</f>
        <v>#NAME?</v>
      </c>
      <c r="U1299" s="4" t="e">
        <f ca="1">[1]!BexGetData("DP_1","00O2TNJGODT0G5Z4TTKYMMUX1","GSON1112130185")</f>
        <v>#NAME?</v>
      </c>
      <c r="V1299" s="4" t="e">
        <f ca="1">[1]!BexGetData("DP_1","00O2TNJGODT0G5Z4TTKYMN18L","GSON1112130185")</f>
        <v>#NAME?</v>
      </c>
      <c r="W1299" s="4" t="e">
        <f ca="1">[1]!BexGetData("DP_1","00O2TNJGODT0G5Z4TTKYMN7K5","GSON1112130185")</f>
        <v>#NAME?</v>
      </c>
    </row>
    <row r="1300" spans="1:23" x14ac:dyDescent="0.2">
      <c r="A1300" s="16" t="s">
        <v>3628</v>
      </c>
      <c r="B1300" s="7" t="s">
        <v>3629</v>
      </c>
      <c r="C1300" s="3" t="e">
        <f ca="1">[1]!BexGetData("DP_1","003N8EMH8GTFRCSWKMPXRR8GU","GSON1112130200")</f>
        <v>#NAME?</v>
      </c>
      <c r="D1300" s="3" t="e">
        <f ca="1">[1]!BexGetData("DP_1","003N8EMH8GTFRCSWKMPXRRESE","GSON1112130200")</f>
        <v>#NAME?</v>
      </c>
      <c r="E1300" s="3" t="e">
        <f ca="1">[1]!BexGetData("DP_1","003N8EMH8GTFRCSWKMPXRRL3Y","GSON1112130200")</f>
        <v>#NAME?</v>
      </c>
      <c r="F1300" s="4" t="e">
        <f ca="1">[1]!BexGetData("DP_1","003N8EMH8GTFRCSWKMPXRRRFI","GSON1112130200")</f>
        <v>#NAME?</v>
      </c>
      <c r="G1300" s="4" t="e">
        <f ca="1">[1]!BexGetData("DP_1","003N8EMH8GTFRCSWKMPXRRXR2","GSON1112130200")</f>
        <v>#NAME?</v>
      </c>
      <c r="H1300" s="4" t="e">
        <f ca="1">[1]!BexGetData("DP_1","003N8EMH8GTFRCSWKMPXRS42M","GSON1112130200")</f>
        <v>#NAME?</v>
      </c>
      <c r="I1300" s="4" t="e">
        <f ca="1">[1]!BexGetData("DP_1","003N8EMH8GTFRCSWKMPXRSAE6","GSON1112130200")</f>
        <v>#NAME?</v>
      </c>
      <c r="J1300" s="4" t="e">
        <f ca="1">[1]!BexGetData("DP_1","003N8EMH8GTFRCSWKMPXRSGPQ","GSON1112130200")</f>
        <v>#NAME?</v>
      </c>
      <c r="K1300" s="3" t="e">
        <f ca="1">[1]!BexGetData("DP_1","003N8EMH8GTFRIVNUPY288VJH","GSON1112130200")</f>
        <v>#NAME?</v>
      </c>
      <c r="L1300" s="3" t="e">
        <f ca="1">[1]!BexGetData("DP_1","003N8EMH8GTFRIVNUPY2891V1","GSON1112130200")</f>
        <v>#NAME?</v>
      </c>
      <c r="M1300" s="8" t="e">
        <f ca="1">[1]!BexGetData("DP_1","003N8EMH8GTFRIVOG7KG9IQXA","GSON1112130200")</f>
        <v>#NAME?</v>
      </c>
      <c r="N1300" s="3" t="e">
        <f ca="1">[1]!BexGetData("DP_1","003N8EMH8GTFRIVOG7KG9IX8U","GSON1112130200")</f>
        <v>#NAME?</v>
      </c>
      <c r="O1300" s="8" t="e">
        <f ca="1">[1]!BexGetData("DP_1","003N8EMH8GTFRIVOG7KG9J3KE","GSON1112130200")</f>
        <v>#NAME?</v>
      </c>
      <c r="P1300" s="3" t="e">
        <f ca="1">[1]!BexGetData("DP_1","003N8EMH8GTFRIVOG7KG9J9VY","GSON1112130200")</f>
        <v>#NAME?</v>
      </c>
      <c r="Q1300" s="4" t="e">
        <f ca="1">[1]!BexGetData("DP_1","00O2TNJGODT0G5Z4TTKYMM5MT","GSON1112130200")</f>
        <v>#NAME?</v>
      </c>
      <c r="R1300" s="4" t="e">
        <f ca="1">[1]!BexGetData("DP_1","00O2TNJGODT0G5Z4TTKYMMBYD","GSON1112130200")</f>
        <v>#NAME?</v>
      </c>
      <c r="S1300" s="4" t="e">
        <f ca="1">[1]!BexGetData("DP_1","00O2TNJGODT0G5Z4TTKYMMI9X","GSON1112130200")</f>
        <v>#NAME?</v>
      </c>
      <c r="T1300" s="4" t="e">
        <f ca="1">[1]!BexGetData("DP_1","00O2TNJGODT0G5Z4TTKYMMOLH","GSON1112130200")</f>
        <v>#NAME?</v>
      </c>
      <c r="U1300" s="4" t="e">
        <f ca="1">[1]!BexGetData("DP_1","00O2TNJGODT0G5Z4TTKYMMUX1","GSON1112130200")</f>
        <v>#NAME?</v>
      </c>
      <c r="V1300" s="4" t="e">
        <f ca="1">[1]!BexGetData("DP_1","00O2TNJGODT0G5Z4TTKYMN18L","GSON1112130200")</f>
        <v>#NAME?</v>
      </c>
      <c r="W1300" s="4" t="e">
        <f ca="1">[1]!BexGetData("DP_1","00O2TNJGODT0G5Z4TTKYMN7K5","GSON1112130200")</f>
        <v>#NAME?</v>
      </c>
    </row>
    <row r="1301" spans="1:23" x14ac:dyDescent="0.2">
      <c r="A1301" s="16" t="s">
        <v>3630</v>
      </c>
      <c r="B1301" s="7" t="s">
        <v>3631</v>
      </c>
      <c r="C1301" s="3" t="e">
        <f ca="1">[1]!BexGetData("DP_1","003N8EMH8GTFRCSWKMPXRR8GU","GSON1112130201")</f>
        <v>#NAME?</v>
      </c>
      <c r="D1301" s="3" t="e">
        <f ca="1">[1]!BexGetData("DP_1","003N8EMH8GTFRCSWKMPXRRESE","GSON1112130201")</f>
        <v>#NAME?</v>
      </c>
      <c r="E1301" s="8" t="e">
        <f ca="1">[1]!BexGetData("DP_1","003N8EMH8GTFRCSWKMPXRRL3Y","GSON1112130201")</f>
        <v>#NAME?</v>
      </c>
      <c r="F1301" s="4" t="e">
        <f ca="1">[1]!BexGetData("DP_1","003N8EMH8GTFRCSWKMPXRRRFI","GSON1112130201")</f>
        <v>#NAME?</v>
      </c>
      <c r="G1301" s="4" t="e">
        <f ca="1">[1]!BexGetData("DP_1","003N8EMH8GTFRCSWKMPXRRXR2","GSON1112130201")</f>
        <v>#NAME?</v>
      </c>
      <c r="H1301" s="4" t="e">
        <f ca="1">[1]!BexGetData("DP_1","003N8EMH8GTFRCSWKMPXRS42M","GSON1112130201")</f>
        <v>#NAME?</v>
      </c>
      <c r="I1301" s="4" t="e">
        <f ca="1">[1]!BexGetData("DP_1","003N8EMH8GTFRCSWKMPXRSAE6","GSON1112130201")</f>
        <v>#NAME?</v>
      </c>
      <c r="J1301" s="4" t="e">
        <f ca="1">[1]!BexGetData("DP_1","003N8EMH8GTFRCSWKMPXRSGPQ","GSON1112130201")</f>
        <v>#NAME?</v>
      </c>
      <c r="K1301" s="8" t="e">
        <f ca="1">[1]!BexGetData("DP_1","003N8EMH8GTFRIVNUPY288VJH","GSON1112130201")</f>
        <v>#NAME?</v>
      </c>
      <c r="L1301" s="8" t="e">
        <f ca="1">[1]!BexGetData("DP_1","003N8EMH8GTFRIVNUPY2891V1","GSON1112130201")</f>
        <v>#NAME?</v>
      </c>
      <c r="M1301" s="8" t="e">
        <f ca="1">[1]!BexGetData("DP_1","003N8EMH8GTFRIVOG7KG9IQXA","GSON1112130201")</f>
        <v>#NAME?</v>
      </c>
      <c r="N1301" s="8" t="e">
        <f ca="1">[1]!BexGetData("DP_1","003N8EMH8GTFRIVOG7KG9IX8U","GSON1112130201")</f>
        <v>#NAME?</v>
      </c>
      <c r="O1301" s="8" t="e">
        <f ca="1">[1]!BexGetData("DP_1","003N8EMH8GTFRIVOG7KG9J3KE","GSON1112130201")</f>
        <v>#NAME?</v>
      </c>
      <c r="P1301" s="8" t="e">
        <f ca="1">[1]!BexGetData("DP_1","003N8EMH8GTFRIVOG7KG9J9VY","GSON1112130201")</f>
        <v>#NAME?</v>
      </c>
      <c r="Q1301" s="4" t="e">
        <f ca="1">[1]!BexGetData("DP_1","00O2TNJGODT0G5Z4TTKYMM5MT","GSON1112130201")</f>
        <v>#NAME?</v>
      </c>
      <c r="R1301" s="4" t="e">
        <f ca="1">[1]!BexGetData("DP_1","00O2TNJGODT0G5Z4TTKYMMBYD","GSON1112130201")</f>
        <v>#NAME?</v>
      </c>
      <c r="S1301" s="4" t="e">
        <f ca="1">[1]!BexGetData("DP_1","00O2TNJGODT0G5Z4TTKYMMI9X","GSON1112130201")</f>
        <v>#NAME?</v>
      </c>
      <c r="T1301" s="4" t="e">
        <f ca="1">[1]!BexGetData("DP_1","00O2TNJGODT0G5Z4TTKYMMOLH","GSON1112130201")</f>
        <v>#NAME?</v>
      </c>
      <c r="U1301" s="4" t="e">
        <f ca="1">[1]!BexGetData("DP_1","00O2TNJGODT0G5Z4TTKYMMUX1","GSON1112130201")</f>
        <v>#NAME?</v>
      </c>
      <c r="V1301" s="4" t="e">
        <f ca="1">[1]!BexGetData("DP_1","00O2TNJGODT0G5Z4TTKYMN18L","GSON1112130201")</f>
        <v>#NAME?</v>
      </c>
      <c r="W1301" s="4" t="e">
        <f ca="1">[1]!BexGetData("DP_1","00O2TNJGODT0G5Z4TTKYMN7K5","GSON1112130201")</f>
        <v>#NAME?</v>
      </c>
    </row>
    <row r="1302" spans="1:23" x14ac:dyDescent="0.2">
      <c r="A1302" s="16" t="s">
        <v>3632</v>
      </c>
      <c r="B1302" s="7" t="s">
        <v>3633</v>
      </c>
      <c r="C1302" s="3" t="e">
        <f ca="1">[1]!BexGetData("DP_1","003N8EMH8GTFRCSWKMPXRR8GU","GSON1112130203")</f>
        <v>#NAME?</v>
      </c>
      <c r="D1302" s="3" t="e">
        <f ca="1">[1]!BexGetData("DP_1","003N8EMH8GTFRCSWKMPXRRESE","GSON1112130203")</f>
        <v>#NAME?</v>
      </c>
      <c r="E1302" s="8" t="e">
        <f ca="1">[1]!BexGetData("DP_1","003N8EMH8GTFRCSWKMPXRRL3Y","GSON1112130203")</f>
        <v>#NAME?</v>
      </c>
      <c r="F1302" s="4" t="e">
        <f ca="1">[1]!BexGetData("DP_1","003N8EMH8GTFRCSWKMPXRRRFI","GSON1112130203")</f>
        <v>#NAME?</v>
      </c>
      <c r="G1302" s="4" t="e">
        <f ca="1">[1]!BexGetData("DP_1","003N8EMH8GTFRCSWKMPXRRXR2","GSON1112130203")</f>
        <v>#NAME?</v>
      </c>
      <c r="H1302" s="4" t="e">
        <f ca="1">[1]!BexGetData("DP_1","003N8EMH8GTFRCSWKMPXRS42M","GSON1112130203")</f>
        <v>#NAME?</v>
      </c>
      <c r="I1302" s="4" t="e">
        <f ca="1">[1]!BexGetData("DP_1","003N8EMH8GTFRCSWKMPXRSAE6","GSON1112130203")</f>
        <v>#NAME?</v>
      </c>
      <c r="J1302" s="4" t="e">
        <f ca="1">[1]!BexGetData("DP_1","003N8EMH8GTFRCSWKMPXRSGPQ","GSON1112130203")</f>
        <v>#NAME?</v>
      </c>
      <c r="K1302" s="8" t="e">
        <f ca="1">[1]!BexGetData("DP_1","003N8EMH8GTFRIVNUPY288VJH","GSON1112130203")</f>
        <v>#NAME?</v>
      </c>
      <c r="L1302" s="8" t="e">
        <f ca="1">[1]!BexGetData("DP_1","003N8EMH8GTFRIVNUPY2891V1","GSON1112130203")</f>
        <v>#NAME?</v>
      </c>
      <c r="M1302" s="8" t="e">
        <f ca="1">[1]!BexGetData("DP_1","003N8EMH8GTFRIVOG7KG9IQXA","GSON1112130203")</f>
        <v>#NAME?</v>
      </c>
      <c r="N1302" s="8" t="e">
        <f ca="1">[1]!BexGetData("DP_1","003N8EMH8GTFRIVOG7KG9IX8U","GSON1112130203")</f>
        <v>#NAME?</v>
      </c>
      <c r="O1302" s="8" t="e">
        <f ca="1">[1]!BexGetData("DP_1","003N8EMH8GTFRIVOG7KG9J3KE","GSON1112130203")</f>
        <v>#NAME?</v>
      </c>
      <c r="P1302" s="8" t="e">
        <f ca="1">[1]!BexGetData("DP_1","003N8EMH8GTFRIVOG7KG9J9VY","GSON1112130203")</f>
        <v>#NAME?</v>
      </c>
      <c r="Q1302" s="4" t="e">
        <f ca="1">[1]!BexGetData("DP_1","00O2TNJGODT0G5Z4TTKYMM5MT","GSON1112130203")</f>
        <v>#NAME?</v>
      </c>
      <c r="R1302" s="4" t="e">
        <f ca="1">[1]!BexGetData("DP_1","00O2TNJGODT0G5Z4TTKYMMBYD","GSON1112130203")</f>
        <v>#NAME?</v>
      </c>
      <c r="S1302" s="4" t="e">
        <f ca="1">[1]!BexGetData("DP_1","00O2TNJGODT0G5Z4TTKYMMI9X","GSON1112130203")</f>
        <v>#NAME?</v>
      </c>
      <c r="T1302" s="4" t="e">
        <f ca="1">[1]!BexGetData("DP_1","00O2TNJGODT0G5Z4TTKYMMOLH","GSON1112130203")</f>
        <v>#NAME?</v>
      </c>
      <c r="U1302" s="4" t="e">
        <f ca="1">[1]!BexGetData("DP_1","00O2TNJGODT0G5Z4TTKYMMUX1","GSON1112130203")</f>
        <v>#NAME?</v>
      </c>
      <c r="V1302" s="4" t="e">
        <f ca="1">[1]!BexGetData("DP_1","00O2TNJGODT0G5Z4TTKYMN18L","GSON1112130203")</f>
        <v>#NAME?</v>
      </c>
      <c r="W1302" s="4" t="e">
        <f ca="1">[1]!BexGetData("DP_1","00O2TNJGODT0G5Z4TTKYMN7K5","GSON1112130203")</f>
        <v>#NAME?</v>
      </c>
    </row>
    <row r="1303" spans="1:23" x14ac:dyDescent="0.2">
      <c r="A1303" s="16" t="s">
        <v>3634</v>
      </c>
      <c r="B1303" s="7" t="s">
        <v>3635</v>
      </c>
      <c r="C1303" s="3" t="e">
        <f ca="1">[1]!BexGetData("DP_1","003N8EMH8GTFRCSWKMPXRR8GU","GSON1112130204")</f>
        <v>#NAME?</v>
      </c>
      <c r="D1303" s="3" t="e">
        <f ca="1">[1]!BexGetData("DP_1","003N8EMH8GTFRCSWKMPXRRESE","GSON1112130204")</f>
        <v>#NAME?</v>
      </c>
      <c r="E1303" s="8" t="e">
        <f ca="1">[1]!BexGetData("DP_1","003N8EMH8GTFRCSWKMPXRRL3Y","GSON1112130204")</f>
        <v>#NAME?</v>
      </c>
      <c r="F1303" s="4" t="e">
        <f ca="1">[1]!BexGetData("DP_1","003N8EMH8GTFRCSWKMPXRRRFI","GSON1112130204")</f>
        <v>#NAME?</v>
      </c>
      <c r="G1303" s="4" t="e">
        <f ca="1">[1]!BexGetData("DP_1","003N8EMH8GTFRCSWKMPXRRXR2","GSON1112130204")</f>
        <v>#NAME?</v>
      </c>
      <c r="H1303" s="4" t="e">
        <f ca="1">[1]!BexGetData("DP_1","003N8EMH8GTFRCSWKMPXRS42M","GSON1112130204")</f>
        <v>#NAME?</v>
      </c>
      <c r="I1303" s="4" t="e">
        <f ca="1">[1]!BexGetData("DP_1","003N8EMH8GTFRCSWKMPXRSAE6","GSON1112130204")</f>
        <v>#NAME?</v>
      </c>
      <c r="J1303" s="4" t="e">
        <f ca="1">[1]!BexGetData("DP_1","003N8EMH8GTFRCSWKMPXRSGPQ","GSON1112130204")</f>
        <v>#NAME?</v>
      </c>
      <c r="K1303" s="8" t="e">
        <f ca="1">[1]!BexGetData("DP_1","003N8EMH8GTFRIVNUPY288VJH","GSON1112130204")</f>
        <v>#NAME?</v>
      </c>
      <c r="L1303" s="8" t="e">
        <f ca="1">[1]!BexGetData("DP_1","003N8EMH8GTFRIVNUPY2891V1","GSON1112130204")</f>
        <v>#NAME?</v>
      </c>
      <c r="M1303" s="8" t="e">
        <f ca="1">[1]!BexGetData("DP_1","003N8EMH8GTFRIVOG7KG9IQXA","GSON1112130204")</f>
        <v>#NAME?</v>
      </c>
      <c r="N1303" s="8" t="e">
        <f ca="1">[1]!BexGetData("DP_1","003N8EMH8GTFRIVOG7KG9IX8U","GSON1112130204")</f>
        <v>#NAME?</v>
      </c>
      <c r="O1303" s="8" t="e">
        <f ca="1">[1]!BexGetData("DP_1","003N8EMH8GTFRIVOG7KG9J3KE","GSON1112130204")</f>
        <v>#NAME?</v>
      </c>
      <c r="P1303" s="8" t="e">
        <f ca="1">[1]!BexGetData("DP_1","003N8EMH8GTFRIVOG7KG9J9VY","GSON1112130204")</f>
        <v>#NAME?</v>
      </c>
      <c r="Q1303" s="4" t="e">
        <f ca="1">[1]!BexGetData("DP_1","00O2TNJGODT0G5Z4TTKYMM5MT","GSON1112130204")</f>
        <v>#NAME?</v>
      </c>
      <c r="R1303" s="4" t="e">
        <f ca="1">[1]!BexGetData("DP_1","00O2TNJGODT0G5Z4TTKYMMBYD","GSON1112130204")</f>
        <v>#NAME?</v>
      </c>
      <c r="S1303" s="4" t="e">
        <f ca="1">[1]!BexGetData("DP_1","00O2TNJGODT0G5Z4TTKYMMI9X","GSON1112130204")</f>
        <v>#NAME?</v>
      </c>
      <c r="T1303" s="4" t="e">
        <f ca="1">[1]!BexGetData("DP_1","00O2TNJGODT0G5Z4TTKYMMOLH","GSON1112130204")</f>
        <v>#NAME?</v>
      </c>
      <c r="U1303" s="4" t="e">
        <f ca="1">[1]!BexGetData("DP_1","00O2TNJGODT0G5Z4TTKYMMUX1","GSON1112130204")</f>
        <v>#NAME?</v>
      </c>
      <c r="V1303" s="4" t="e">
        <f ca="1">[1]!BexGetData("DP_1","00O2TNJGODT0G5Z4TTKYMN18L","GSON1112130204")</f>
        <v>#NAME?</v>
      </c>
      <c r="W1303" s="4" t="e">
        <f ca="1">[1]!BexGetData("DP_1","00O2TNJGODT0G5Z4TTKYMN7K5","GSON1112130204")</f>
        <v>#NAME?</v>
      </c>
    </row>
    <row r="1304" spans="1:23" x14ac:dyDescent="0.2">
      <c r="A1304" s="16" t="s">
        <v>3636</v>
      </c>
      <c r="B1304" s="7" t="s">
        <v>3637</v>
      </c>
      <c r="C1304" s="3" t="e">
        <f ca="1">[1]!BexGetData("DP_1","003N8EMH8GTFRCSWKMPXRR8GU","GSON1112130205")</f>
        <v>#NAME?</v>
      </c>
      <c r="D1304" s="3" t="e">
        <f ca="1">[1]!BexGetData("DP_1","003N8EMH8GTFRCSWKMPXRRESE","GSON1112130205")</f>
        <v>#NAME?</v>
      </c>
      <c r="E1304" s="8" t="e">
        <f ca="1">[1]!BexGetData("DP_1","003N8EMH8GTFRCSWKMPXRRL3Y","GSON1112130205")</f>
        <v>#NAME?</v>
      </c>
      <c r="F1304" s="4" t="e">
        <f ca="1">[1]!BexGetData("DP_1","003N8EMH8GTFRCSWKMPXRRRFI","GSON1112130205")</f>
        <v>#NAME?</v>
      </c>
      <c r="G1304" s="4" t="e">
        <f ca="1">[1]!BexGetData("DP_1","003N8EMH8GTFRCSWKMPXRRXR2","GSON1112130205")</f>
        <v>#NAME?</v>
      </c>
      <c r="H1304" s="4" t="e">
        <f ca="1">[1]!BexGetData("DP_1","003N8EMH8GTFRCSWKMPXRS42M","GSON1112130205")</f>
        <v>#NAME?</v>
      </c>
      <c r="I1304" s="4" t="e">
        <f ca="1">[1]!BexGetData("DP_1","003N8EMH8GTFRCSWKMPXRSAE6","GSON1112130205")</f>
        <v>#NAME?</v>
      </c>
      <c r="J1304" s="4" t="e">
        <f ca="1">[1]!BexGetData("DP_1","003N8EMH8GTFRCSWKMPXRSGPQ","GSON1112130205")</f>
        <v>#NAME?</v>
      </c>
      <c r="K1304" s="8" t="e">
        <f ca="1">[1]!BexGetData("DP_1","003N8EMH8GTFRIVNUPY288VJH","GSON1112130205")</f>
        <v>#NAME?</v>
      </c>
      <c r="L1304" s="8" t="e">
        <f ca="1">[1]!BexGetData("DP_1","003N8EMH8GTFRIVNUPY2891V1","GSON1112130205")</f>
        <v>#NAME?</v>
      </c>
      <c r="M1304" s="8" t="e">
        <f ca="1">[1]!BexGetData("DP_1","003N8EMH8GTFRIVOG7KG9IQXA","GSON1112130205")</f>
        <v>#NAME?</v>
      </c>
      <c r="N1304" s="8" t="e">
        <f ca="1">[1]!BexGetData("DP_1","003N8EMH8GTFRIVOG7KG9IX8U","GSON1112130205")</f>
        <v>#NAME?</v>
      </c>
      <c r="O1304" s="8" t="e">
        <f ca="1">[1]!BexGetData("DP_1","003N8EMH8GTFRIVOG7KG9J3KE","GSON1112130205")</f>
        <v>#NAME?</v>
      </c>
      <c r="P1304" s="8" t="e">
        <f ca="1">[1]!BexGetData("DP_1","003N8EMH8GTFRIVOG7KG9J9VY","GSON1112130205")</f>
        <v>#NAME?</v>
      </c>
      <c r="Q1304" s="4" t="e">
        <f ca="1">[1]!BexGetData("DP_1","00O2TNJGODT0G5Z4TTKYMM5MT","GSON1112130205")</f>
        <v>#NAME?</v>
      </c>
      <c r="R1304" s="4" t="e">
        <f ca="1">[1]!BexGetData("DP_1","00O2TNJGODT0G5Z4TTKYMMBYD","GSON1112130205")</f>
        <v>#NAME?</v>
      </c>
      <c r="S1304" s="4" t="e">
        <f ca="1">[1]!BexGetData("DP_1","00O2TNJGODT0G5Z4TTKYMMI9X","GSON1112130205")</f>
        <v>#NAME?</v>
      </c>
      <c r="T1304" s="4" t="e">
        <f ca="1">[1]!BexGetData("DP_1","00O2TNJGODT0G5Z4TTKYMMOLH","GSON1112130205")</f>
        <v>#NAME?</v>
      </c>
      <c r="U1304" s="4" t="e">
        <f ca="1">[1]!BexGetData("DP_1","00O2TNJGODT0G5Z4TTKYMMUX1","GSON1112130205")</f>
        <v>#NAME?</v>
      </c>
      <c r="V1304" s="4" t="e">
        <f ca="1">[1]!BexGetData("DP_1","00O2TNJGODT0G5Z4TTKYMN18L","GSON1112130205")</f>
        <v>#NAME?</v>
      </c>
      <c r="W1304" s="4" t="e">
        <f ca="1">[1]!BexGetData("DP_1","00O2TNJGODT0G5Z4TTKYMN7K5","GSON1112130205")</f>
        <v>#NAME?</v>
      </c>
    </row>
    <row r="1305" spans="1:23" x14ac:dyDescent="0.2">
      <c r="A1305" s="16" t="s">
        <v>3638</v>
      </c>
      <c r="B1305" s="7" t="s">
        <v>3639</v>
      </c>
      <c r="C1305" s="3" t="e">
        <f ca="1">[1]!BexGetData("DP_1","003N8EMH8GTFRCSWKMPXRR8GU","GSON1112140010")</f>
        <v>#NAME?</v>
      </c>
      <c r="D1305" s="3" t="e">
        <f ca="1">[1]!BexGetData("DP_1","003N8EMH8GTFRCSWKMPXRRESE","GSON1112140010")</f>
        <v>#NAME?</v>
      </c>
      <c r="E1305" s="3" t="e">
        <f ca="1">[1]!BexGetData("DP_1","003N8EMH8GTFRCSWKMPXRRL3Y","GSON1112140010")</f>
        <v>#NAME?</v>
      </c>
      <c r="F1305" s="3" t="e">
        <f ca="1">[1]!BexGetData("DP_1","003N8EMH8GTFRCSWKMPXRRRFI","GSON1112140010")</f>
        <v>#NAME?</v>
      </c>
      <c r="G1305" s="3" t="e">
        <f ca="1">[1]!BexGetData("DP_1","003N8EMH8GTFRCSWKMPXRRXR2","GSON1112140010")</f>
        <v>#NAME?</v>
      </c>
      <c r="H1305" s="8" t="e">
        <f ca="1">[1]!BexGetData("DP_1","003N8EMH8GTFRCSWKMPXRS42M","GSON1112140010")</f>
        <v>#NAME?</v>
      </c>
      <c r="I1305" s="3" t="e">
        <f ca="1">[1]!BexGetData("DP_1","003N8EMH8GTFRCSWKMPXRSAE6","GSON1112140010")</f>
        <v>#NAME?</v>
      </c>
      <c r="J1305" s="4" t="e">
        <f ca="1">[1]!BexGetData("DP_1","003N8EMH8GTFRCSWKMPXRSGPQ","GSON1112140010")</f>
        <v>#NAME?</v>
      </c>
      <c r="K1305" s="3" t="e">
        <f ca="1">[1]!BexGetData("DP_1","003N8EMH8GTFRIVNUPY288VJH","GSON1112140010")</f>
        <v>#NAME?</v>
      </c>
      <c r="L1305" s="3" t="e">
        <f ca="1">[1]!BexGetData("DP_1","003N8EMH8GTFRIVNUPY2891V1","GSON1112140010")</f>
        <v>#NAME?</v>
      </c>
      <c r="M1305" s="8" t="e">
        <f ca="1">[1]!BexGetData("DP_1","003N8EMH8GTFRIVOG7KG9IQXA","GSON1112140010")</f>
        <v>#NAME?</v>
      </c>
      <c r="N1305" s="3" t="e">
        <f ca="1">[1]!BexGetData("DP_1","003N8EMH8GTFRIVOG7KG9IX8U","GSON1112140010")</f>
        <v>#NAME?</v>
      </c>
      <c r="O1305" s="8" t="e">
        <f ca="1">[1]!BexGetData("DP_1","003N8EMH8GTFRIVOG7KG9J3KE","GSON1112140010")</f>
        <v>#NAME?</v>
      </c>
      <c r="P1305" s="3" t="e">
        <f ca="1">[1]!BexGetData("DP_1","003N8EMH8GTFRIVOG7KG9J9VY","GSON1112140010")</f>
        <v>#NAME?</v>
      </c>
      <c r="Q1305" s="4" t="e">
        <f ca="1">[1]!BexGetData("DP_1","00O2TNJGODT0G5Z4TTKYMM5MT","GSON1112140010")</f>
        <v>#NAME?</v>
      </c>
      <c r="R1305" s="3" t="e">
        <f ca="1">[1]!BexGetData("DP_1","00O2TNJGODT0G5Z4TTKYMMBYD","GSON1112140010")</f>
        <v>#NAME?</v>
      </c>
      <c r="S1305" s="3" t="e">
        <f ca="1">[1]!BexGetData("DP_1","00O2TNJGODT0G5Z4TTKYMMI9X","GSON1112140010")</f>
        <v>#NAME?</v>
      </c>
      <c r="T1305" s="8" t="e">
        <f ca="1">[1]!BexGetData("DP_1","00O2TNJGODT0G5Z4TTKYMMOLH","GSON1112140010")</f>
        <v>#NAME?</v>
      </c>
      <c r="U1305" s="3" t="e">
        <f ca="1">[1]!BexGetData("DP_1","00O2TNJGODT0G5Z4TTKYMMUX1","GSON1112140010")</f>
        <v>#NAME?</v>
      </c>
      <c r="V1305" s="8" t="e">
        <f ca="1">[1]!BexGetData("DP_1","00O2TNJGODT0G5Z4TTKYMN18L","GSON1112140010")</f>
        <v>#NAME?</v>
      </c>
      <c r="W1305" s="3" t="e">
        <f ca="1">[1]!BexGetData("DP_1","00O2TNJGODT0G5Z4TTKYMN7K5","GSON1112140010")</f>
        <v>#NAME?</v>
      </c>
    </row>
    <row r="1306" spans="1:23" x14ac:dyDescent="0.2">
      <c r="A1306" s="16" t="s">
        <v>3640</v>
      </c>
      <c r="B1306" s="7" t="s">
        <v>3641</v>
      </c>
      <c r="C1306" s="3" t="e">
        <f ca="1">[1]!BexGetData("DP_1","003N8EMH8GTFRCSWKMPXRR8GU","GSON1112140011")</f>
        <v>#NAME?</v>
      </c>
      <c r="D1306" s="3" t="e">
        <f ca="1">[1]!BexGetData("DP_1","003N8EMH8GTFRCSWKMPXRRESE","GSON1112140011")</f>
        <v>#NAME?</v>
      </c>
      <c r="E1306" s="3" t="e">
        <f ca="1">[1]!BexGetData("DP_1","003N8EMH8GTFRCSWKMPXRRL3Y","GSON1112140011")</f>
        <v>#NAME?</v>
      </c>
      <c r="F1306" s="4" t="e">
        <f ca="1">[1]!BexGetData("DP_1","003N8EMH8GTFRCSWKMPXRRRFI","GSON1112140011")</f>
        <v>#NAME?</v>
      </c>
      <c r="G1306" s="4" t="e">
        <f ca="1">[1]!BexGetData("DP_1","003N8EMH8GTFRCSWKMPXRRXR2","GSON1112140011")</f>
        <v>#NAME?</v>
      </c>
      <c r="H1306" s="4" t="e">
        <f ca="1">[1]!BexGetData("DP_1","003N8EMH8GTFRCSWKMPXRS42M","GSON1112140011")</f>
        <v>#NAME?</v>
      </c>
      <c r="I1306" s="4" t="e">
        <f ca="1">[1]!BexGetData("DP_1","003N8EMH8GTFRCSWKMPXRSAE6","GSON1112140011")</f>
        <v>#NAME?</v>
      </c>
      <c r="J1306" s="4" t="e">
        <f ca="1">[1]!BexGetData("DP_1","003N8EMH8GTFRCSWKMPXRSGPQ","GSON1112140011")</f>
        <v>#NAME?</v>
      </c>
      <c r="K1306" s="3" t="e">
        <f ca="1">[1]!BexGetData("DP_1","003N8EMH8GTFRIVNUPY288VJH","GSON1112140011")</f>
        <v>#NAME?</v>
      </c>
      <c r="L1306" s="3" t="e">
        <f ca="1">[1]!BexGetData("DP_1","003N8EMH8GTFRIVNUPY2891V1","GSON1112140011")</f>
        <v>#NAME?</v>
      </c>
      <c r="M1306" s="3" t="e">
        <f ca="1">[1]!BexGetData("DP_1","003N8EMH8GTFRIVOG7KG9IQXA","GSON1112140011")</f>
        <v>#NAME?</v>
      </c>
      <c r="N1306" s="8" t="e">
        <f ca="1">[1]!BexGetData("DP_1","003N8EMH8GTFRIVOG7KG9IX8U","GSON1112140011")</f>
        <v>#NAME?</v>
      </c>
      <c r="O1306" s="3" t="e">
        <f ca="1">[1]!BexGetData("DP_1","003N8EMH8GTFRIVOG7KG9J3KE","GSON1112140011")</f>
        <v>#NAME?</v>
      </c>
      <c r="P1306" s="8" t="e">
        <f ca="1">[1]!BexGetData("DP_1","003N8EMH8GTFRIVOG7KG9J9VY","GSON1112140011")</f>
        <v>#NAME?</v>
      </c>
      <c r="Q1306" s="4" t="e">
        <f ca="1">[1]!BexGetData("DP_1","00O2TNJGODT0G5Z4TTKYMM5MT","GSON1112140011")</f>
        <v>#NAME?</v>
      </c>
      <c r="R1306" s="4" t="e">
        <f ca="1">[1]!BexGetData("DP_1","00O2TNJGODT0G5Z4TTKYMMBYD","GSON1112140011")</f>
        <v>#NAME?</v>
      </c>
      <c r="S1306" s="4" t="e">
        <f ca="1">[1]!BexGetData("DP_1","00O2TNJGODT0G5Z4TTKYMMI9X","GSON1112140011")</f>
        <v>#NAME?</v>
      </c>
      <c r="T1306" s="4" t="e">
        <f ca="1">[1]!BexGetData("DP_1","00O2TNJGODT0G5Z4TTKYMMOLH","GSON1112140011")</f>
        <v>#NAME?</v>
      </c>
      <c r="U1306" s="4" t="e">
        <f ca="1">[1]!BexGetData("DP_1","00O2TNJGODT0G5Z4TTKYMMUX1","GSON1112140011")</f>
        <v>#NAME?</v>
      </c>
      <c r="V1306" s="4" t="e">
        <f ca="1">[1]!BexGetData("DP_1","00O2TNJGODT0G5Z4TTKYMN18L","GSON1112140011")</f>
        <v>#NAME?</v>
      </c>
      <c r="W1306" s="4" t="e">
        <f ca="1">[1]!BexGetData("DP_1","00O2TNJGODT0G5Z4TTKYMN7K5","GSON1112140011")</f>
        <v>#NAME?</v>
      </c>
    </row>
    <row r="1307" spans="1:23" x14ac:dyDescent="0.2">
      <c r="A1307" s="16" t="s">
        <v>1146</v>
      </c>
      <c r="B1307" s="7" t="s">
        <v>1147</v>
      </c>
      <c r="C1307" s="3" t="e">
        <f ca="1">[1]!BexGetData("DP_1","003N8EMH8GTFRCSWKMPXRR8GU","GSON1112140013")</f>
        <v>#NAME?</v>
      </c>
      <c r="D1307" s="3" t="e">
        <f ca="1">[1]!BexGetData("DP_1","003N8EMH8GTFRCSWKMPXRRESE","GSON1112140013")</f>
        <v>#NAME?</v>
      </c>
      <c r="E1307" s="8" t="e">
        <f ca="1">[1]!BexGetData("DP_1","003N8EMH8GTFRCSWKMPXRRL3Y","GSON1112140013")</f>
        <v>#NAME?</v>
      </c>
      <c r="F1307" s="4" t="e">
        <f ca="1">[1]!BexGetData("DP_1","003N8EMH8GTFRCSWKMPXRRRFI","GSON1112140013")</f>
        <v>#NAME?</v>
      </c>
      <c r="G1307" s="4" t="e">
        <f ca="1">[1]!BexGetData("DP_1","003N8EMH8GTFRCSWKMPXRRXR2","GSON1112140013")</f>
        <v>#NAME?</v>
      </c>
      <c r="H1307" s="4" t="e">
        <f ca="1">[1]!BexGetData("DP_1","003N8EMH8GTFRCSWKMPXRS42M","GSON1112140013")</f>
        <v>#NAME?</v>
      </c>
      <c r="I1307" s="4" t="e">
        <f ca="1">[1]!BexGetData("DP_1","003N8EMH8GTFRCSWKMPXRSAE6","GSON1112140013")</f>
        <v>#NAME?</v>
      </c>
      <c r="J1307" s="4" t="e">
        <f ca="1">[1]!BexGetData("DP_1","003N8EMH8GTFRCSWKMPXRSGPQ","GSON1112140013")</f>
        <v>#NAME?</v>
      </c>
      <c r="K1307" s="8" t="e">
        <f ca="1">[1]!BexGetData("DP_1","003N8EMH8GTFRIVNUPY288VJH","GSON1112140013")</f>
        <v>#NAME?</v>
      </c>
      <c r="L1307" s="8" t="e">
        <f ca="1">[1]!BexGetData("DP_1","003N8EMH8GTFRIVNUPY2891V1","GSON1112140013")</f>
        <v>#NAME?</v>
      </c>
      <c r="M1307" s="8" t="e">
        <f ca="1">[1]!BexGetData("DP_1","003N8EMH8GTFRIVOG7KG9IQXA","GSON1112140013")</f>
        <v>#NAME?</v>
      </c>
      <c r="N1307" s="8" t="e">
        <f ca="1">[1]!BexGetData("DP_1","003N8EMH8GTFRIVOG7KG9IX8U","GSON1112140013")</f>
        <v>#NAME?</v>
      </c>
      <c r="O1307" s="8" t="e">
        <f ca="1">[1]!BexGetData("DP_1","003N8EMH8GTFRIVOG7KG9J3KE","GSON1112140013")</f>
        <v>#NAME?</v>
      </c>
      <c r="P1307" s="8" t="e">
        <f ca="1">[1]!BexGetData("DP_1","003N8EMH8GTFRIVOG7KG9J9VY","GSON1112140013")</f>
        <v>#NAME?</v>
      </c>
      <c r="Q1307" s="4" t="e">
        <f ca="1">[1]!BexGetData("DP_1","00O2TNJGODT0G5Z4TTKYMM5MT","GSON1112140013")</f>
        <v>#NAME?</v>
      </c>
      <c r="R1307" s="4" t="e">
        <f ca="1">[1]!BexGetData("DP_1","00O2TNJGODT0G5Z4TTKYMMBYD","GSON1112140013")</f>
        <v>#NAME?</v>
      </c>
      <c r="S1307" s="4" t="e">
        <f ca="1">[1]!BexGetData("DP_1","00O2TNJGODT0G5Z4TTKYMMI9X","GSON1112140013")</f>
        <v>#NAME?</v>
      </c>
      <c r="T1307" s="4" t="e">
        <f ca="1">[1]!BexGetData("DP_1","00O2TNJGODT0G5Z4TTKYMMOLH","GSON1112140013")</f>
        <v>#NAME?</v>
      </c>
      <c r="U1307" s="4" t="e">
        <f ca="1">[1]!BexGetData("DP_1","00O2TNJGODT0G5Z4TTKYMMUX1","GSON1112140013")</f>
        <v>#NAME?</v>
      </c>
      <c r="V1307" s="4" t="e">
        <f ca="1">[1]!BexGetData("DP_1","00O2TNJGODT0G5Z4TTKYMN18L","GSON1112140013")</f>
        <v>#NAME?</v>
      </c>
      <c r="W1307" s="4" t="e">
        <f ca="1">[1]!BexGetData("DP_1","00O2TNJGODT0G5Z4TTKYMN7K5","GSON1112140013")</f>
        <v>#NAME?</v>
      </c>
    </row>
    <row r="1308" spans="1:23" x14ac:dyDescent="0.2">
      <c r="A1308" s="16" t="s">
        <v>3642</v>
      </c>
      <c r="B1308" s="7" t="s">
        <v>3643</v>
      </c>
      <c r="C1308" s="3" t="e">
        <f ca="1">[1]!BexGetData("DP_1","003N8EMH8GTFRCSWKMPXRR8GU","GSON1112140014")</f>
        <v>#NAME?</v>
      </c>
      <c r="D1308" s="3" t="e">
        <f ca="1">[1]!BexGetData("DP_1","003N8EMH8GTFRCSWKMPXRRESE","GSON1112140014")</f>
        <v>#NAME?</v>
      </c>
      <c r="E1308" s="8" t="e">
        <f ca="1">[1]!BexGetData("DP_1","003N8EMH8GTFRCSWKMPXRRL3Y","GSON1112140014")</f>
        <v>#NAME?</v>
      </c>
      <c r="F1308" s="4" t="e">
        <f ca="1">[1]!BexGetData("DP_1","003N8EMH8GTFRCSWKMPXRRRFI","GSON1112140014")</f>
        <v>#NAME?</v>
      </c>
      <c r="G1308" s="4" t="e">
        <f ca="1">[1]!BexGetData("DP_1","003N8EMH8GTFRCSWKMPXRRXR2","GSON1112140014")</f>
        <v>#NAME?</v>
      </c>
      <c r="H1308" s="4" t="e">
        <f ca="1">[1]!BexGetData("DP_1","003N8EMH8GTFRCSWKMPXRS42M","GSON1112140014")</f>
        <v>#NAME?</v>
      </c>
      <c r="I1308" s="4" t="e">
        <f ca="1">[1]!BexGetData("DP_1","003N8EMH8GTFRCSWKMPXRSAE6","GSON1112140014")</f>
        <v>#NAME?</v>
      </c>
      <c r="J1308" s="4" t="e">
        <f ca="1">[1]!BexGetData("DP_1","003N8EMH8GTFRCSWKMPXRSGPQ","GSON1112140014")</f>
        <v>#NAME?</v>
      </c>
      <c r="K1308" s="8" t="e">
        <f ca="1">[1]!BexGetData("DP_1","003N8EMH8GTFRIVNUPY288VJH","GSON1112140014")</f>
        <v>#NAME?</v>
      </c>
      <c r="L1308" s="8" t="e">
        <f ca="1">[1]!BexGetData("DP_1","003N8EMH8GTFRIVNUPY2891V1","GSON1112140014")</f>
        <v>#NAME?</v>
      </c>
      <c r="M1308" s="8" t="e">
        <f ca="1">[1]!BexGetData("DP_1","003N8EMH8GTFRIVOG7KG9IQXA","GSON1112140014")</f>
        <v>#NAME?</v>
      </c>
      <c r="N1308" s="8" t="e">
        <f ca="1">[1]!BexGetData("DP_1","003N8EMH8GTFRIVOG7KG9IX8U","GSON1112140014")</f>
        <v>#NAME?</v>
      </c>
      <c r="O1308" s="8" t="e">
        <f ca="1">[1]!BexGetData("DP_1","003N8EMH8GTFRIVOG7KG9J3KE","GSON1112140014")</f>
        <v>#NAME?</v>
      </c>
      <c r="P1308" s="8" t="e">
        <f ca="1">[1]!BexGetData("DP_1","003N8EMH8GTFRIVOG7KG9J9VY","GSON1112140014")</f>
        <v>#NAME?</v>
      </c>
      <c r="Q1308" s="4" t="e">
        <f ca="1">[1]!BexGetData("DP_1","00O2TNJGODT0G5Z4TTKYMM5MT","GSON1112140014")</f>
        <v>#NAME?</v>
      </c>
      <c r="R1308" s="4" t="e">
        <f ca="1">[1]!BexGetData("DP_1","00O2TNJGODT0G5Z4TTKYMMBYD","GSON1112140014")</f>
        <v>#NAME?</v>
      </c>
      <c r="S1308" s="4" t="e">
        <f ca="1">[1]!BexGetData("DP_1","00O2TNJGODT0G5Z4TTKYMMI9X","GSON1112140014")</f>
        <v>#NAME?</v>
      </c>
      <c r="T1308" s="4" t="e">
        <f ca="1">[1]!BexGetData("DP_1","00O2TNJGODT0G5Z4TTKYMMOLH","GSON1112140014")</f>
        <v>#NAME?</v>
      </c>
      <c r="U1308" s="4" t="e">
        <f ca="1">[1]!BexGetData("DP_1","00O2TNJGODT0G5Z4TTKYMMUX1","GSON1112140014")</f>
        <v>#NAME?</v>
      </c>
      <c r="V1308" s="4" t="e">
        <f ca="1">[1]!BexGetData("DP_1","00O2TNJGODT0G5Z4TTKYMN18L","GSON1112140014")</f>
        <v>#NAME?</v>
      </c>
      <c r="W1308" s="4" t="e">
        <f ca="1">[1]!BexGetData("DP_1","00O2TNJGODT0G5Z4TTKYMN7K5","GSON1112140014")</f>
        <v>#NAME?</v>
      </c>
    </row>
    <row r="1309" spans="1:23" x14ac:dyDescent="0.2">
      <c r="A1309" s="16" t="s">
        <v>3644</v>
      </c>
      <c r="B1309" s="7" t="s">
        <v>3645</v>
      </c>
      <c r="C1309" s="3" t="e">
        <f ca="1">[1]!BexGetData("DP_1","003N8EMH8GTFRCSWKMPXRR8GU","GSON1112140015")</f>
        <v>#NAME?</v>
      </c>
      <c r="D1309" s="3" t="e">
        <f ca="1">[1]!BexGetData("DP_1","003N8EMH8GTFRCSWKMPXRRESE","GSON1112140015")</f>
        <v>#NAME?</v>
      </c>
      <c r="E1309" s="8" t="e">
        <f ca="1">[1]!BexGetData("DP_1","003N8EMH8GTFRCSWKMPXRRL3Y","GSON1112140015")</f>
        <v>#NAME?</v>
      </c>
      <c r="F1309" s="4" t="e">
        <f ca="1">[1]!BexGetData("DP_1","003N8EMH8GTFRCSWKMPXRRRFI","GSON1112140015")</f>
        <v>#NAME?</v>
      </c>
      <c r="G1309" s="4" t="e">
        <f ca="1">[1]!BexGetData("DP_1","003N8EMH8GTFRCSWKMPXRRXR2","GSON1112140015")</f>
        <v>#NAME?</v>
      </c>
      <c r="H1309" s="4" t="e">
        <f ca="1">[1]!BexGetData("DP_1","003N8EMH8GTFRCSWKMPXRS42M","GSON1112140015")</f>
        <v>#NAME?</v>
      </c>
      <c r="I1309" s="4" t="e">
        <f ca="1">[1]!BexGetData("DP_1","003N8EMH8GTFRCSWKMPXRSAE6","GSON1112140015")</f>
        <v>#NAME?</v>
      </c>
      <c r="J1309" s="4" t="e">
        <f ca="1">[1]!BexGetData("DP_1","003N8EMH8GTFRCSWKMPXRSGPQ","GSON1112140015")</f>
        <v>#NAME?</v>
      </c>
      <c r="K1309" s="8" t="e">
        <f ca="1">[1]!BexGetData("DP_1","003N8EMH8GTFRIVNUPY288VJH","GSON1112140015")</f>
        <v>#NAME?</v>
      </c>
      <c r="L1309" s="8" t="e">
        <f ca="1">[1]!BexGetData("DP_1","003N8EMH8GTFRIVNUPY2891V1","GSON1112140015")</f>
        <v>#NAME?</v>
      </c>
      <c r="M1309" s="8" t="e">
        <f ca="1">[1]!BexGetData("DP_1","003N8EMH8GTFRIVOG7KG9IQXA","GSON1112140015")</f>
        <v>#NAME?</v>
      </c>
      <c r="N1309" s="8" t="e">
        <f ca="1">[1]!BexGetData("DP_1","003N8EMH8GTFRIVOG7KG9IX8U","GSON1112140015")</f>
        <v>#NAME?</v>
      </c>
      <c r="O1309" s="8" t="e">
        <f ca="1">[1]!BexGetData("DP_1","003N8EMH8GTFRIVOG7KG9J3KE","GSON1112140015")</f>
        <v>#NAME?</v>
      </c>
      <c r="P1309" s="8" t="e">
        <f ca="1">[1]!BexGetData("DP_1","003N8EMH8GTFRIVOG7KG9J9VY","GSON1112140015")</f>
        <v>#NAME?</v>
      </c>
      <c r="Q1309" s="4" t="e">
        <f ca="1">[1]!BexGetData("DP_1","00O2TNJGODT0G5Z4TTKYMM5MT","GSON1112140015")</f>
        <v>#NAME?</v>
      </c>
      <c r="R1309" s="4" t="e">
        <f ca="1">[1]!BexGetData("DP_1","00O2TNJGODT0G5Z4TTKYMMBYD","GSON1112140015")</f>
        <v>#NAME?</v>
      </c>
      <c r="S1309" s="4" t="e">
        <f ca="1">[1]!BexGetData("DP_1","00O2TNJGODT0G5Z4TTKYMMI9X","GSON1112140015")</f>
        <v>#NAME?</v>
      </c>
      <c r="T1309" s="4" t="e">
        <f ca="1">[1]!BexGetData("DP_1","00O2TNJGODT0G5Z4TTKYMMOLH","GSON1112140015")</f>
        <v>#NAME?</v>
      </c>
      <c r="U1309" s="4" t="e">
        <f ca="1">[1]!BexGetData("DP_1","00O2TNJGODT0G5Z4TTKYMMUX1","GSON1112140015")</f>
        <v>#NAME?</v>
      </c>
      <c r="V1309" s="4" t="e">
        <f ca="1">[1]!BexGetData("DP_1","00O2TNJGODT0G5Z4TTKYMN18L","GSON1112140015")</f>
        <v>#NAME?</v>
      </c>
      <c r="W1309" s="4" t="e">
        <f ca="1">[1]!BexGetData("DP_1","00O2TNJGODT0G5Z4TTKYMN7K5","GSON1112140015")</f>
        <v>#NAME?</v>
      </c>
    </row>
    <row r="1310" spans="1:23" x14ac:dyDescent="0.2">
      <c r="A1310" s="16" t="s">
        <v>1148</v>
      </c>
      <c r="B1310" s="7" t="s">
        <v>1149</v>
      </c>
      <c r="C1310" s="3" t="e">
        <f ca="1">[1]!BexGetData("DP_1","003N8EMH8GTFRCSWKMPXRR8GU","GSON1112150030")</f>
        <v>#NAME?</v>
      </c>
      <c r="D1310" s="3" t="e">
        <f ca="1">[1]!BexGetData("DP_1","003N8EMH8GTFRCSWKMPXRRESE","GSON1112150030")</f>
        <v>#NAME?</v>
      </c>
      <c r="E1310" s="3" t="e">
        <f ca="1">[1]!BexGetData("DP_1","003N8EMH8GTFRCSWKMPXRRL3Y","GSON1112150030")</f>
        <v>#NAME?</v>
      </c>
      <c r="F1310" s="3" t="e">
        <f ca="1">[1]!BexGetData("DP_1","003N8EMH8GTFRCSWKMPXRRRFI","GSON1112150030")</f>
        <v>#NAME?</v>
      </c>
      <c r="G1310" s="3" t="e">
        <f ca="1">[1]!BexGetData("DP_1","003N8EMH8GTFRCSWKMPXRRXR2","GSON1112150030")</f>
        <v>#NAME?</v>
      </c>
      <c r="H1310" s="8" t="e">
        <f ca="1">[1]!BexGetData("DP_1","003N8EMH8GTFRCSWKMPXRS42M","GSON1112150030")</f>
        <v>#NAME?</v>
      </c>
      <c r="I1310" s="3" t="e">
        <f ca="1">[1]!BexGetData("DP_1","003N8EMH8GTFRCSWKMPXRSAE6","GSON1112150030")</f>
        <v>#NAME?</v>
      </c>
      <c r="J1310" s="4" t="e">
        <f ca="1">[1]!BexGetData("DP_1","003N8EMH8GTFRCSWKMPXRSGPQ","GSON1112150030")</f>
        <v>#NAME?</v>
      </c>
      <c r="K1310" s="3" t="e">
        <f ca="1">[1]!BexGetData("DP_1","003N8EMH8GTFRIVNUPY288VJH","GSON1112150030")</f>
        <v>#NAME?</v>
      </c>
      <c r="L1310" s="3" t="e">
        <f ca="1">[1]!BexGetData("DP_1","003N8EMH8GTFRIVNUPY2891V1","GSON1112150030")</f>
        <v>#NAME?</v>
      </c>
      <c r="M1310" s="3" t="e">
        <f ca="1">[1]!BexGetData("DP_1","003N8EMH8GTFRIVOG7KG9IQXA","GSON1112150030")</f>
        <v>#NAME?</v>
      </c>
      <c r="N1310" s="8" t="e">
        <f ca="1">[1]!BexGetData("DP_1","003N8EMH8GTFRIVOG7KG9IX8U","GSON1112150030")</f>
        <v>#NAME?</v>
      </c>
      <c r="O1310" s="3" t="e">
        <f ca="1">[1]!BexGetData("DP_1","003N8EMH8GTFRIVOG7KG9J3KE","GSON1112150030")</f>
        <v>#NAME?</v>
      </c>
      <c r="P1310" s="8" t="e">
        <f ca="1">[1]!BexGetData("DP_1","003N8EMH8GTFRIVOG7KG9J9VY","GSON1112150030")</f>
        <v>#NAME?</v>
      </c>
      <c r="Q1310" s="4" t="e">
        <f ca="1">[1]!BexGetData("DP_1","00O2TNJGODT0G5Z4TTKYMM5MT","GSON1112150030")</f>
        <v>#NAME?</v>
      </c>
      <c r="R1310" s="3" t="e">
        <f ca="1">[1]!BexGetData("DP_1","00O2TNJGODT0G5Z4TTKYMMBYD","GSON1112150030")</f>
        <v>#NAME?</v>
      </c>
      <c r="S1310" s="3" t="e">
        <f ca="1">[1]!BexGetData("DP_1","00O2TNJGODT0G5Z4TTKYMMI9X","GSON1112150030")</f>
        <v>#NAME?</v>
      </c>
      <c r="T1310" s="8" t="e">
        <f ca="1">[1]!BexGetData("DP_1","00O2TNJGODT0G5Z4TTKYMMOLH","GSON1112150030")</f>
        <v>#NAME?</v>
      </c>
      <c r="U1310" s="3" t="e">
        <f ca="1">[1]!BexGetData("DP_1","00O2TNJGODT0G5Z4TTKYMMUX1","GSON1112150030")</f>
        <v>#NAME?</v>
      </c>
      <c r="V1310" s="8" t="e">
        <f ca="1">[1]!BexGetData("DP_1","00O2TNJGODT0G5Z4TTKYMN18L","GSON1112150030")</f>
        <v>#NAME?</v>
      </c>
      <c r="W1310" s="3" t="e">
        <f ca="1">[1]!BexGetData("DP_1","00O2TNJGODT0G5Z4TTKYMN7K5","GSON1112150030")</f>
        <v>#NAME?</v>
      </c>
    </row>
    <row r="1311" spans="1:23" x14ac:dyDescent="0.2">
      <c r="A1311" s="16" t="s">
        <v>1150</v>
      </c>
      <c r="B1311" s="7" t="s">
        <v>1151</v>
      </c>
      <c r="C1311" s="3" t="e">
        <f ca="1">[1]!BexGetData("DP_1","003N8EMH8GTFRCSWKMPXRR8GU","GSON1112150031")</f>
        <v>#NAME?</v>
      </c>
      <c r="D1311" s="3" t="e">
        <f ca="1">[1]!BexGetData("DP_1","003N8EMH8GTFRCSWKMPXRRESE","GSON1112150031")</f>
        <v>#NAME?</v>
      </c>
      <c r="E1311" s="8" t="e">
        <f ca="1">[1]!BexGetData("DP_1","003N8EMH8GTFRCSWKMPXRRL3Y","GSON1112150031")</f>
        <v>#NAME?</v>
      </c>
      <c r="F1311" s="4" t="e">
        <f ca="1">[1]!BexGetData("DP_1","003N8EMH8GTFRCSWKMPXRRRFI","GSON1112150031")</f>
        <v>#NAME?</v>
      </c>
      <c r="G1311" s="4" t="e">
        <f ca="1">[1]!BexGetData("DP_1","003N8EMH8GTFRCSWKMPXRRXR2","GSON1112150031")</f>
        <v>#NAME?</v>
      </c>
      <c r="H1311" s="4" t="e">
        <f ca="1">[1]!BexGetData("DP_1","003N8EMH8GTFRCSWKMPXRS42M","GSON1112150031")</f>
        <v>#NAME?</v>
      </c>
      <c r="I1311" s="4" t="e">
        <f ca="1">[1]!BexGetData("DP_1","003N8EMH8GTFRCSWKMPXRSAE6","GSON1112150031")</f>
        <v>#NAME?</v>
      </c>
      <c r="J1311" s="4" t="e">
        <f ca="1">[1]!BexGetData("DP_1","003N8EMH8GTFRCSWKMPXRSGPQ","GSON1112150031")</f>
        <v>#NAME?</v>
      </c>
      <c r="K1311" s="8" t="e">
        <f ca="1">[1]!BexGetData("DP_1","003N8EMH8GTFRIVNUPY288VJH","GSON1112150031")</f>
        <v>#NAME?</v>
      </c>
      <c r="L1311" s="8" t="e">
        <f ca="1">[1]!BexGetData("DP_1","003N8EMH8GTFRIVNUPY2891V1","GSON1112150031")</f>
        <v>#NAME?</v>
      </c>
      <c r="M1311" s="8" t="e">
        <f ca="1">[1]!BexGetData("DP_1","003N8EMH8GTFRIVOG7KG9IQXA","GSON1112150031")</f>
        <v>#NAME?</v>
      </c>
      <c r="N1311" s="8" t="e">
        <f ca="1">[1]!BexGetData("DP_1","003N8EMH8GTFRIVOG7KG9IX8U","GSON1112150031")</f>
        <v>#NAME?</v>
      </c>
      <c r="O1311" s="8" t="e">
        <f ca="1">[1]!BexGetData("DP_1","003N8EMH8GTFRIVOG7KG9J3KE","GSON1112150031")</f>
        <v>#NAME?</v>
      </c>
      <c r="P1311" s="8" t="e">
        <f ca="1">[1]!BexGetData("DP_1","003N8EMH8GTFRIVOG7KG9J9VY","GSON1112150031")</f>
        <v>#NAME?</v>
      </c>
      <c r="Q1311" s="4" t="e">
        <f ca="1">[1]!BexGetData("DP_1","00O2TNJGODT0G5Z4TTKYMM5MT","GSON1112150031")</f>
        <v>#NAME?</v>
      </c>
      <c r="R1311" s="4" t="e">
        <f ca="1">[1]!BexGetData("DP_1","00O2TNJGODT0G5Z4TTKYMMBYD","GSON1112150031")</f>
        <v>#NAME?</v>
      </c>
      <c r="S1311" s="4" t="e">
        <f ca="1">[1]!BexGetData("DP_1","00O2TNJGODT0G5Z4TTKYMMI9X","GSON1112150031")</f>
        <v>#NAME?</v>
      </c>
      <c r="T1311" s="4" t="e">
        <f ca="1">[1]!BexGetData("DP_1","00O2TNJGODT0G5Z4TTKYMMOLH","GSON1112150031")</f>
        <v>#NAME?</v>
      </c>
      <c r="U1311" s="4" t="e">
        <f ca="1">[1]!BexGetData("DP_1","00O2TNJGODT0G5Z4TTKYMMUX1","GSON1112150031")</f>
        <v>#NAME?</v>
      </c>
      <c r="V1311" s="4" t="e">
        <f ca="1">[1]!BexGetData("DP_1","00O2TNJGODT0G5Z4TTKYMN18L","GSON1112150031")</f>
        <v>#NAME?</v>
      </c>
      <c r="W1311" s="4" t="e">
        <f ca="1">[1]!BexGetData("DP_1","00O2TNJGODT0G5Z4TTKYMN7K5","GSON1112150031")</f>
        <v>#NAME?</v>
      </c>
    </row>
    <row r="1312" spans="1:23" x14ac:dyDescent="0.2">
      <c r="A1312" s="16" t="s">
        <v>1152</v>
      </c>
      <c r="B1312" s="7" t="s">
        <v>1153</v>
      </c>
      <c r="C1312" s="3" t="e">
        <f ca="1">[1]!BexGetData("DP_1","003N8EMH8GTFRCSWKMPXRR8GU","GSON1112150033")</f>
        <v>#NAME?</v>
      </c>
      <c r="D1312" s="3" t="e">
        <f ca="1">[1]!BexGetData("DP_1","003N8EMH8GTFRCSWKMPXRRESE","GSON1112150033")</f>
        <v>#NAME?</v>
      </c>
      <c r="E1312" s="8" t="e">
        <f ca="1">[1]!BexGetData("DP_1","003N8EMH8GTFRCSWKMPXRRL3Y","GSON1112150033")</f>
        <v>#NAME?</v>
      </c>
      <c r="F1312" s="4" t="e">
        <f ca="1">[1]!BexGetData("DP_1","003N8EMH8GTFRCSWKMPXRRRFI","GSON1112150033")</f>
        <v>#NAME?</v>
      </c>
      <c r="G1312" s="4" t="e">
        <f ca="1">[1]!BexGetData("DP_1","003N8EMH8GTFRCSWKMPXRRXR2","GSON1112150033")</f>
        <v>#NAME?</v>
      </c>
      <c r="H1312" s="4" t="e">
        <f ca="1">[1]!BexGetData("DP_1","003N8EMH8GTFRCSWKMPXRS42M","GSON1112150033")</f>
        <v>#NAME?</v>
      </c>
      <c r="I1312" s="4" t="e">
        <f ca="1">[1]!BexGetData("DP_1","003N8EMH8GTFRCSWKMPXRSAE6","GSON1112150033")</f>
        <v>#NAME?</v>
      </c>
      <c r="J1312" s="4" t="e">
        <f ca="1">[1]!BexGetData("DP_1","003N8EMH8GTFRCSWKMPXRSGPQ","GSON1112150033")</f>
        <v>#NAME?</v>
      </c>
      <c r="K1312" s="8" t="e">
        <f ca="1">[1]!BexGetData("DP_1","003N8EMH8GTFRIVNUPY288VJH","GSON1112150033")</f>
        <v>#NAME?</v>
      </c>
      <c r="L1312" s="8" t="e">
        <f ca="1">[1]!BexGetData("DP_1","003N8EMH8GTFRIVNUPY2891V1","GSON1112150033")</f>
        <v>#NAME?</v>
      </c>
      <c r="M1312" s="8" t="e">
        <f ca="1">[1]!BexGetData("DP_1","003N8EMH8GTFRIVOG7KG9IQXA","GSON1112150033")</f>
        <v>#NAME?</v>
      </c>
      <c r="N1312" s="8" t="e">
        <f ca="1">[1]!BexGetData("DP_1","003N8EMH8GTFRIVOG7KG9IX8U","GSON1112150033")</f>
        <v>#NAME?</v>
      </c>
      <c r="O1312" s="8" t="e">
        <f ca="1">[1]!BexGetData("DP_1","003N8EMH8GTFRIVOG7KG9J3KE","GSON1112150033")</f>
        <v>#NAME?</v>
      </c>
      <c r="P1312" s="8" t="e">
        <f ca="1">[1]!BexGetData("DP_1","003N8EMH8GTFRIVOG7KG9J9VY","GSON1112150033")</f>
        <v>#NAME?</v>
      </c>
      <c r="Q1312" s="4" t="e">
        <f ca="1">[1]!BexGetData("DP_1","00O2TNJGODT0G5Z4TTKYMM5MT","GSON1112150033")</f>
        <v>#NAME?</v>
      </c>
      <c r="R1312" s="4" t="e">
        <f ca="1">[1]!BexGetData("DP_1","00O2TNJGODT0G5Z4TTKYMMBYD","GSON1112150033")</f>
        <v>#NAME?</v>
      </c>
      <c r="S1312" s="4" t="e">
        <f ca="1">[1]!BexGetData("DP_1","00O2TNJGODT0G5Z4TTKYMMI9X","GSON1112150033")</f>
        <v>#NAME?</v>
      </c>
      <c r="T1312" s="4" t="e">
        <f ca="1">[1]!BexGetData("DP_1","00O2TNJGODT0G5Z4TTKYMMOLH","GSON1112150033")</f>
        <v>#NAME?</v>
      </c>
      <c r="U1312" s="4" t="e">
        <f ca="1">[1]!BexGetData("DP_1","00O2TNJGODT0G5Z4TTKYMMUX1","GSON1112150033")</f>
        <v>#NAME?</v>
      </c>
      <c r="V1312" s="4" t="e">
        <f ca="1">[1]!BexGetData("DP_1","00O2TNJGODT0G5Z4TTKYMN18L","GSON1112150033")</f>
        <v>#NAME?</v>
      </c>
      <c r="W1312" s="4" t="e">
        <f ca="1">[1]!BexGetData("DP_1","00O2TNJGODT0G5Z4TTKYMN7K5","GSON1112150033")</f>
        <v>#NAME?</v>
      </c>
    </row>
    <row r="1313" spans="1:23" x14ac:dyDescent="0.2">
      <c r="A1313" s="16" t="s">
        <v>3646</v>
      </c>
      <c r="B1313" s="7" t="s">
        <v>3647</v>
      </c>
      <c r="C1313" s="3" t="e">
        <f ca="1">[1]!BexGetData("DP_1","003N8EMH8GTFRCSWKMPXRR8GU","GSON1112150034")</f>
        <v>#NAME?</v>
      </c>
      <c r="D1313" s="3" t="e">
        <f ca="1">[1]!BexGetData("DP_1","003N8EMH8GTFRCSWKMPXRRESE","GSON1112150034")</f>
        <v>#NAME?</v>
      </c>
      <c r="E1313" s="8" t="e">
        <f ca="1">[1]!BexGetData("DP_1","003N8EMH8GTFRCSWKMPXRRL3Y","GSON1112150034")</f>
        <v>#NAME?</v>
      </c>
      <c r="F1313" s="4" t="e">
        <f ca="1">[1]!BexGetData("DP_1","003N8EMH8GTFRCSWKMPXRRRFI","GSON1112150034")</f>
        <v>#NAME?</v>
      </c>
      <c r="G1313" s="4" t="e">
        <f ca="1">[1]!BexGetData("DP_1","003N8EMH8GTFRCSWKMPXRRXR2","GSON1112150034")</f>
        <v>#NAME?</v>
      </c>
      <c r="H1313" s="4" t="e">
        <f ca="1">[1]!BexGetData("DP_1","003N8EMH8GTFRCSWKMPXRS42M","GSON1112150034")</f>
        <v>#NAME?</v>
      </c>
      <c r="I1313" s="4" t="e">
        <f ca="1">[1]!BexGetData("DP_1","003N8EMH8GTFRCSWKMPXRSAE6","GSON1112150034")</f>
        <v>#NAME?</v>
      </c>
      <c r="J1313" s="4" t="e">
        <f ca="1">[1]!BexGetData("DP_1","003N8EMH8GTFRCSWKMPXRSGPQ","GSON1112150034")</f>
        <v>#NAME?</v>
      </c>
      <c r="K1313" s="8" t="e">
        <f ca="1">[1]!BexGetData("DP_1","003N8EMH8GTFRIVNUPY288VJH","GSON1112150034")</f>
        <v>#NAME?</v>
      </c>
      <c r="L1313" s="8" t="e">
        <f ca="1">[1]!BexGetData("DP_1","003N8EMH8GTFRIVNUPY2891V1","GSON1112150034")</f>
        <v>#NAME?</v>
      </c>
      <c r="M1313" s="8" t="e">
        <f ca="1">[1]!BexGetData("DP_1","003N8EMH8GTFRIVOG7KG9IQXA","GSON1112150034")</f>
        <v>#NAME?</v>
      </c>
      <c r="N1313" s="8" t="e">
        <f ca="1">[1]!BexGetData("DP_1","003N8EMH8GTFRIVOG7KG9IX8U","GSON1112150034")</f>
        <v>#NAME?</v>
      </c>
      <c r="O1313" s="8" t="e">
        <f ca="1">[1]!BexGetData("DP_1","003N8EMH8GTFRIVOG7KG9J3KE","GSON1112150034")</f>
        <v>#NAME?</v>
      </c>
      <c r="P1313" s="8" t="e">
        <f ca="1">[1]!BexGetData("DP_1","003N8EMH8GTFRIVOG7KG9J9VY","GSON1112150034")</f>
        <v>#NAME?</v>
      </c>
      <c r="Q1313" s="4" t="e">
        <f ca="1">[1]!BexGetData("DP_1","00O2TNJGODT0G5Z4TTKYMM5MT","GSON1112150034")</f>
        <v>#NAME?</v>
      </c>
      <c r="R1313" s="4" t="e">
        <f ca="1">[1]!BexGetData("DP_1","00O2TNJGODT0G5Z4TTKYMMBYD","GSON1112150034")</f>
        <v>#NAME?</v>
      </c>
      <c r="S1313" s="4" t="e">
        <f ca="1">[1]!BexGetData("DP_1","00O2TNJGODT0G5Z4TTKYMMI9X","GSON1112150034")</f>
        <v>#NAME?</v>
      </c>
      <c r="T1313" s="4" t="e">
        <f ca="1">[1]!BexGetData("DP_1","00O2TNJGODT0G5Z4TTKYMMOLH","GSON1112150034")</f>
        <v>#NAME?</v>
      </c>
      <c r="U1313" s="4" t="e">
        <f ca="1">[1]!BexGetData("DP_1","00O2TNJGODT0G5Z4TTKYMMUX1","GSON1112150034")</f>
        <v>#NAME?</v>
      </c>
      <c r="V1313" s="4" t="e">
        <f ca="1">[1]!BexGetData("DP_1","00O2TNJGODT0G5Z4TTKYMN18L","GSON1112150034")</f>
        <v>#NAME?</v>
      </c>
      <c r="W1313" s="4" t="e">
        <f ca="1">[1]!BexGetData("DP_1","00O2TNJGODT0G5Z4TTKYMN7K5","GSON1112150034")</f>
        <v>#NAME?</v>
      </c>
    </row>
    <row r="1314" spans="1:23" x14ac:dyDescent="0.2">
      <c r="A1314" s="16" t="s">
        <v>1674</v>
      </c>
      <c r="B1314" s="7" t="s">
        <v>1675</v>
      </c>
      <c r="C1314" s="3" t="e">
        <f ca="1">[1]!BexGetData("DP_1","003N8EMH8GTFRCSWKMPXRR8GU","GSON1112150040")</f>
        <v>#NAME?</v>
      </c>
      <c r="D1314" s="3" t="e">
        <f ca="1">[1]!BexGetData("DP_1","003N8EMH8GTFRCSWKMPXRRESE","GSON1112150040")</f>
        <v>#NAME?</v>
      </c>
      <c r="E1314" s="3" t="e">
        <f ca="1">[1]!BexGetData("DP_1","003N8EMH8GTFRCSWKMPXRRL3Y","GSON1112150040")</f>
        <v>#NAME?</v>
      </c>
      <c r="F1314" s="3" t="e">
        <f ca="1">[1]!BexGetData("DP_1","003N8EMH8GTFRCSWKMPXRRRFI","GSON1112150040")</f>
        <v>#NAME?</v>
      </c>
      <c r="G1314" s="3" t="e">
        <f ca="1">[1]!BexGetData("DP_1","003N8EMH8GTFRCSWKMPXRRXR2","GSON1112150040")</f>
        <v>#NAME?</v>
      </c>
      <c r="H1314" s="8" t="e">
        <f ca="1">[1]!BexGetData("DP_1","003N8EMH8GTFRCSWKMPXRS42M","GSON1112150040")</f>
        <v>#NAME?</v>
      </c>
      <c r="I1314" s="3" t="e">
        <f ca="1">[1]!BexGetData("DP_1","003N8EMH8GTFRCSWKMPXRSAE6","GSON1112150040")</f>
        <v>#NAME?</v>
      </c>
      <c r="J1314" s="4" t="e">
        <f ca="1">[1]!BexGetData("DP_1","003N8EMH8GTFRCSWKMPXRSGPQ","GSON1112150040")</f>
        <v>#NAME?</v>
      </c>
      <c r="K1314" s="3" t="e">
        <f ca="1">[1]!BexGetData("DP_1","003N8EMH8GTFRIVNUPY288VJH","GSON1112150040")</f>
        <v>#NAME?</v>
      </c>
      <c r="L1314" s="3" t="e">
        <f ca="1">[1]!BexGetData("DP_1","003N8EMH8GTFRIVNUPY2891V1","GSON1112150040")</f>
        <v>#NAME?</v>
      </c>
      <c r="M1314" s="3" t="e">
        <f ca="1">[1]!BexGetData("DP_1","003N8EMH8GTFRIVOG7KG9IQXA","GSON1112150040")</f>
        <v>#NAME?</v>
      </c>
      <c r="N1314" s="8" t="e">
        <f ca="1">[1]!BexGetData("DP_1","003N8EMH8GTFRIVOG7KG9IX8U","GSON1112150040")</f>
        <v>#NAME?</v>
      </c>
      <c r="O1314" s="3" t="e">
        <f ca="1">[1]!BexGetData("DP_1","003N8EMH8GTFRIVOG7KG9J3KE","GSON1112150040")</f>
        <v>#NAME?</v>
      </c>
      <c r="P1314" s="8" t="e">
        <f ca="1">[1]!BexGetData("DP_1","003N8EMH8GTFRIVOG7KG9J9VY","GSON1112150040")</f>
        <v>#NAME?</v>
      </c>
      <c r="Q1314" s="4" t="e">
        <f ca="1">[1]!BexGetData("DP_1","00O2TNJGODT0G5Z4TTKYMM5MT","GSON1112150040")</f>
        <v>#NAME?</v>
      </c>
      <c r="R1314" s="3" t="e">
        <f ca="1">[1]!BexGetData("DP_1","00O2TNJGODT0G5Z4TTKYMMBYD","GSON1112150040")</f>
        <v>#NAME?</v>
      </c>
      <c r="S1314" s="3" t="e">
        <f ca="1">[1]!BexGetData("DP_1","00O2TNJGODT0G5Z4TTKYMMI9X","GSON1112150040")</f>
        <v>#NAME?</v>
      </c>
      <c r="T1314" s="8" t="e">
        <f ca="1">[1]!BexGetData("DP_1","00O2TNJGODT0G5Z4TTKYMMOLH","GSON1112150040")</f>
        <v>#NAME?</v>
      </c>
      <c r="U1314" s="3" t="e">
        <f ca="1">[1]!BexGetData("DP_1","00O2TNJGODT0G5Z4TTKYMMUX1","GSON1112150040")</f>
        <v>#NAME?</v>
      </c>
      <c r="V1314" s="8" t="e">
        <f ca="1">[1]!BexGetData("DP_1","00O2TNJGODT0G5Z4TTKYMN18L","GSON1112150040")</f>
        <v>#NAME?</v>
      </c>
      <c r="W1314" s="3" t="e">
        <f ca="1">[1]!BexGetData("DP_1","00O2TNJGODT0G5Z4TTKYMN7K5","GSON1112150040")</f>
        <v>#NAME?</v>
      </c>
    </row>
    <row r="1315" spans="1:23" x14ac:dyDescent="0.2">
      <c r="A1315" s="16" t="s">
        <v>3648</v>
      </c>
      <c r="B1315" s="7" t="s">
        <v>1676</v>
      </c>
      <c r="C1315" s="3" t="e">
        <f ca="1">[1]!BexGetData("DP_1","003N8EMH8GTFRCSWKMPXRR8GU","GSON1112150044")</f>
        <v>#NAME?</v>
      </c>
      <c r="D1315" s="3" t="e">
        <f ca="1">[1]!BexGetData("DP_1","003N8EMH8GTFRCSWKMPXRRESE","GSON1112150044")</f>
        <v>#NAME?</v>
      </c>
      <c r="E1315" s="8" t="e">
        <f ca="1">[1]!BexGetData("DP_1","003N8EMH8GTFRCSWKMPXRRL3Y","GSON1112150044")</f>
        <v>#NAME?</v>
      </c>
      <c r="F1315" s="4" t="e">
        <f ca="1">[1]!BexGetData("DP_1","003N8EMH8GTFRCSWKMPXRRRFI","GSON1112150044")</f>
        <v>#NAME?</v>
      </c>
      <c r="G1315" s="4" t="e">
        <f ca="1">[1]!BexGetData("DP_1","003N8EMH8GTFRCSWKMPXRRXR2","GSON1112150044")</f>
        <v>#NAME?</v>
      </c>
      <c r="H1315" s="4" t="e">
        <f ca="1">[1]!BexGetData("DP_1","003N8EMH8GTFRCSWKMPXRS42M","GSON1112150044")</f>
        <v>#NAME?</v>
      </c>
      <c r="I1315" s="4" t="e">
        <f ca="1">[1]!BexGetData("DP_1","003N8EMH8GTFRCSWKMPXRSAE6","GSON1112150044")</f>
        <v>#NAME?</v>
      </c>
      <c r="J1315" s="4" t="e">
        <f ca="1">[1]!BexGetData("DP_1","003N8EMH8GTFRCSWKMPXRSGPQ","GSON1112150044")</f>
        <v>#NAME?</v>
      </c>
      <c r="K1315" s="8" t="e">
        <f ca="1">[1]!BexGetData("DP_1","003N8EMH8GTFRIVNUPY288VJH","GSON1112150044")</f>
        <v>#NAME?</v>
      </c>
      <c r="L1315" s="8" t="e">
        <f ca="1">[1]!BexGetData("DP_1","003N8EMH8GTFRIVNUPY2891V1","GSON1112150044")</f>
        <v>#NAME?</v>
      </c>
      <c r="M1315" s="8" t="e">
        <f ca="1">[1]!BexGetData("DP_1","003N8EMH8GTFRIVOG7KG9IQXA","GSON1112150044")</f>
        <v>#NAME?</v>
      </c>
      <c r="N1315" s="8" t="e">
        <f ca="1">[1]!BexGetData("DP_1","003N8EMH8GTFRIVOG7KG9IX8U","GSON1112150044")</f>
        <v>#NAME?</v>
      </c>
      <c r="O1315" s="8" t="e">
        <f ca="1">[1]!BexGetData("DP_1","003N8EMH8GTFRIVOG7KG9J3KE","GSON1112150044")</f>
        <v>#NAME?</v>
      </c>
      <c r="P1315" s="8" t="e">
        <f ca="1">[1]!BexGetData("DP_1","003N8EMH8GTFRIVOG7KG9J9VY","GSON1112150044")</f>
        <v>#NAME?</v>
      </c>
      <c r="Q1315" s="4" t="e">
        <f ca="1">[1]!BexGetData("DP_1","00O2TNJGODT0G5Z4TTKYMM5MT","GSON1112150044")</f>
        <v>#NAME?</v>
      </c>
      <c r="R1315" s="4" t="e">
        <f ca="1">[1]!BexGetData("DP_1","00O2TNJGODT0G5Z4TTKYMMBYD","GSON1112150044")</f>
        <v>#NAME?</v>
      </c>
      <c r="S1315" s="4" t="e">
        <f ca="1">[1]!BexGetData("DP_1","00O2TNJGODT0G5Z4TTKYMMI9X","GSON1112150044")</f>
        <v>#NAME?</v>
      </c>
      <c r="T1315" s="4" t="e">
        <f ca="1">[1]!BexGetData("DP_1","00O2TNJGODT0G5Z4TTKYMMOLH","GSON1112150044")</f>
        <v>#NAME?</v>
      </c>
      <c r="U1315" s="4" t="e">
        <f ca="1">[1]!BexGetData("DP_1","00O2TNJGODT0G5Z4TTKYMMUX1","GSON1112150044")</f>
        <v>#NAME?</v>
      </c>
      <c r="V1315" s="4" t="e">
        <f ca="1">[1]!BexGetData("DP_1","00O2TNJGODT0G5Z4TTKYMN18L","GSON1112150044")</f>
        <v>#NAME?</v>
      </c>
      <c r="W1315" s="4" t="e">
        <f ca="1">[1]!BexGetData("DP_1","00O2TNJGODT0G5Z4TTKYMN7K5","GSON1112150044")</f>
        <v>#NAME?</v>
      </c>
    </row>
    <row r="1316" spans="1:23" x14ac:dyDescent="0.2">
      <c r="A1316" s="16" t="s">
        <v>1677</v>
      </c>
      <c r="B1316" s="7" t="s">
        <v>1678</v>
      </c>
      <c r="C1316" s="3" t="e">
        <f ca="1">[1]!BexGetData("DP_1","003N8EMH8GTFRCSWKMPXRR8GU","GSON1112150045")</f>
        <v>#NAME?</v>
      </c>
      <c r="D1316" s="3" t="e">
        <f ca="1">[1]!BexGetData("DP_1","003N8EMH8GTFRCSWKMPXRRESE","GSON1112150045")</f>
        <v>#NAME?</v>
      </c>
      <c r="E1316" s="8" t="e">
        <f ca="1">[1]!BexGetData("DP_1","003N8EMH8GTFRCSWKMPXRRL3Y","GSON1112150045")</f>
        <v>#NAME?</v>
      </c>
      <c r="F1316" s="4" t="e">
        <f ca="1">[1]!BexGetData("DP_1","003N8EMH8GTFRCSWKMPXRRRFI","GSON1112150045")</f>
        <v>#NAME?</v>
      </c>
      <c r="G1316" s="4" t="e">
        <f ca="1">[1]!BexGetData("DP_1","003N8EMH8GTFRCSWKMPXRRXR2","GSON1112150045")</f>
        <v>#NAME?</v>
      </c>
      <c r="H1316" s="4" t="e">
        <f ca="1">[1]!BexGetData("DP_1","003N8EMH8GTFRCSWKMPXRS42M","GSON1112150045")</f>
        <v>#NAME?</v>
      </c>
      <c r="I1316" s="4" t="e">
        <f ca="1">[1]!BexGetData("DP_1","003N8EMH8GTFRCSWKMPXRSAE6","GSON1112150045")</f>
        <v>#NAME?</v>
      </c>
      <c r="J1316" s="4" t="e">
        <f ca="1">[1]!BexGetData("DP_1","003N8EMH8GTFRCSWKMPXRSGPQ","GSON1112150045")</f>
        <v>#NAME?</v>
      </c>
      <c r="K1316" s="8" t="e">
        <f ca="1">[1]!BexGetData("DP_1","003N8EMH8GTFRIVNUPY288VJH","GSON1112150045")</f>
        <v>#NAME?</v>
      </c>
      <c r="L1316" s="8" t="e">
        <f ca="1">[1]!BexGetData("DP_1","003N8EMH8GTFRIVNUPY2891V1","GSON1112150045")</f>
        <v>#NAME?</v>
      </c>
      <c r="M1316" s="8" t="e">
        <f ca="1">[1]!BexGetData("DP_1","003N8EMH8GTFRIVOG7KG9IQXA","GSON1112150045")</f>
        <v>#NAME?</v>
      </c>
      <c r="N1316" s="8" t="e">
        <f ca="1">[1]!BexGetData("DP_1","003N8EMH8GTFRIVOG7KG9IX8U","GSON1112150045")</f>
        <v>#NAME?</v>
      </c>
      <c r="O1316" s="8" t="e">
        <f ca="1">[1]!BexGetData("DP_1","003N8EMH8GTFRIVOG7KG9J3KE","GSON1112150045")</f>
        <v>#NAME?</v>
      </c>
      <c r="P1316" s="8" t="e">
        <f ca="1">[1]!BexGetData("DP_1","003N8EMH8GTFRIVOG7KG9J9VY","GSON1112150045")</f>
        <v>#NAME?</v>
      </c>
      <c r="Q1316" s="4" t="e">
        <f ca="1">[1]!BexGetData("DP_1","00O2TNJGODT0G5Z4TTKYMM5MT","GSON1112150045")</f>
        <v>#NAME?</v>
      </c>
      <c r="R1316" s="4" t="e">
        <f ca="1">[1]!BexGetData("DP_1","00O2TNJGODT0G5Z4TTKYMMBYD","GSON1112150045")</f>
        <v>#NAME?</v>
      </c>
      <c r="S1316" s="4" t="e">
        <f ca="1">[1]!BexGetData("DP_1","00O2TNJGODT0G5Z4TTKYMMI9X","GSON1112150045")</f>
        <v>#NAME?</v>
      </c>
      <c r="T1316" s="4" t="e">
        <f ca="1">[1]!BexGetData("DP_1","00O2TNJGODT0G5Z4TTKYMMOLH","GSON1112150045")</f>
        <v>#NAME?</v>
      </c>
      <c r="U1316" s="4" t="e">
        <f ca="1">[1]!BexGetData("DP_1","00O2TNJGODT0G5Z4TTKYMMUX1","GSON1112150045")</f>
        <v>#NAME?</v>
      </c>
      <c r="V1316" s="4" t="e">
        <f ca="1">[1]!BexGetData("DP_1","00O2TNJGODT0G5Z4TTKYMN18L","GSON1112150045")</f>
        <v>#NAME?</v>
      </c>
      <c r="W1316" s="4" t="e">
        <f ca="1">[1]!BexGetData("DP_1","00O2TNJGODT0G5Z4TTKYMN7K5","GSON1112150045")</f>
        <v>#NAME?</v>
      </c>
    </row>
    <row r="1317" spans="1:23" x14ac:dyDescent="0.2">
      <c r="A1317" s="16" t="s">
        <v>3649</v>
      </c>
      <c r="B1317" s="7" t="s">
        <v>3650</v>
      </c>
      <c r="C1317" s="8" t="e">
        <f ca="1">[1]!BexGetData("DP_1","003N8EMH8GTFRCSWKMPXRR8GU","GSON1112150050")</f>
        <v>#NAME?</v>
      </c>
      <c r="D1317" s="3" t="e">
        <f ca="1">[1]!BexGetData("DP_1","003N8EMH8GTFRCSWKMPXRRESE","GSON1112150050")</f>
        <v>#NAME?</v>
      </c>
      <c r="E1317" s="8" t="e">
        <f ca="1">[1]!BexGetData("DP_1","003N8EMH8GTFRCSWKMPXRRL3Y","GSON1112150050")</f>
        <v>#NAME?</v>
      </c>
      <c r="F1317" s="3" t="e">
        <f ca="1">[1]!BexGetData("DP_1","003N8EMH8GTFRCSWKMPXRRRFI","GSON1112150050")</f>
        <v>#NAME?</v>
      </c>
      <c r="G1317" s="3" t="e">
        <f ca="1">[1]!BexGetData("DP_1","003N8EMH8GTFRCSWKMPXRRXR2","GSON1112150050")</f>
        <v>#NAME?</v>
      </c>
      <c r="H1317" s="8" t="e">
        <f ca="1">[1]!BexGetData("DP_1","003N8EMH8GTFRCSWKMPXRS42M","GSON1112150050")</f>
        <v>#NAME?</v>
      </c>
      <c r="I1317" s="3" t="e">
        <f ca="1">[1]!BexGetData("DP_1","003N8EMH8GTFRCSWKMPXRSAE6","GSON1112150050")</f>
        <v>#NAME?</v>
      </c>
      <c r="J1317" s="4" t="e">
        <f ca="1">[1]!BexGetData("DP_1","003N8EMH8GTFRCSWKMPXRSGPQ","GSON1112150050")</f>
        <v>#NAME?</v>
      </c>
      <c r="K1317" s="3" t="e">
        <f ca="1">[1]!BexGetData("DP_1","003N8EMH8GTFRIVNUPY288VJH","GSON1112150050")</f>
        <v>#NAME?</v>
      </c>
      <c r="L1317" s="3" t="e">
        <f ca="1">[1]!BexGetData("DP_1","003N8EMH8GTFRIVNUPY2891V1","GSON1112150050")</f>
        <v>#NAME?</v>
      </c>
      <c r="M1317" s="3" t="e">
        <f ca="1">[1]!BexGetData("DP_1","003N8EMH8GTFRIVOG7KG9IQXA","GSON1112150050")</f>
        <v>#NAME?</v>
      </c>
      <c r="N1317" s="8" t="e">
        <f ca="1">[1]!BexGetData("DP_1","003N8EMH8GTFRIVOG7KG9IX8U","GSON1112150050")</f>
        <v>#NAME?</v>
      </c>
      <c r="O1317" s="3" t="e">
        <f ca="1">[1]!BexGetData("DP_1","003N8EMH8GTFRIVOG7KG9J3KE","GSON1112150050")</f>
        <v>#NAME?</v>
      </c>
      <c r="P1317" s="8" t="e">
        <f ca="1">[1]!BexGetData("DP_1","003N8EMH8GTFRIVOG7KG9J9VY","GSON1112150050")</f>
        <v>#NAME?</v>
      </c>
      <c r="Q1317" s="4" t="e">
        <f ca="1">[1]!BexGetData("DP_1","00O2TNJGODT0G5Z4TTKYMM5MT","GSON1112150050")</f>
        <v>#NAME?</v>
      </c>
      <c r="R1317" s="3" t="e">
        <f ca="1">[1]!BexGetData("DP_1","00O2TNJGODT0G5Z4TTKYMMBYD","GSON1112150050")</f>
        <v>#NAME?</v>
      </c>
      <c r="S1317" s="3" t="e">
        <f ca="1">[1]!BexGetData("DP_1","00O2TNJGODT0G5Z4TTKYMMI9X","GSON1112150050")</f>
        <v>#NAME?</v>
      </c>
      <c r="T1317" s="8" t="e">
        <f ca="1">[1]!BexGetData("DP_1","00O2TNJGODT0G5Z4TTKYMMOLH","GSON1112150050")</f>
        <v>#NAME?</v>
      </c>
      <c r="U1317" s="3" t="e">
        <f ca="1">[1]!BexGetData("DP_1","00O2TNJGODT0G5Z4TTKYMMUX1","GSON1112150050")</f>
        <v>#NAME?</v>
      </c>
      <c r="V1317" s="8" t="e">
        <f ca="1">[1]!BexGetData("DP_1","00O2TNJGODT0G5Z4TTKYMN18L","GSON1112150050")</f>
        <v>#NAME?</v>
      </c>
      <c r="W1317" s="3" t="e">
        <f ca="1">[1]!BexGetData("DP_1","00O2TNJGODT0G5Z4TTKYMN7K5","GSON1112150050")</f>
        <v>#NAME?</v>
      </c>
    </row>
    <row r="1318" spans="1:23" x14ac:dyDescent="0.2">
      <c r="A1318" s="16" t="s">
        <v>1154</v>
      </c>
      <c r="B1318" s="7" t="s">
        <v>1155</v>
      </c>
      <c r="C1318" s="3" t="e">
        <f ca="1">[1]!BexGetData("DP_1","003N8EMH8GTFRCSWKMPXRR8GU","GSON1112150051")</f>
        <v>#NAME?</v>
      </c>
      <c r="D1318" s="3" t="e">
        <f ca="1">[1]!BexGetData("DP_1","003N8EMH8GTFRCSWKMPXRRESE","GSON1112150051")</f>
        <v>#NAME?</v>
      </c>
      <c r="E1318" s="8" t="e">
        <f ca="1">[1]!BexGetData("DP_1","003N8EMH8GTFRCSWKMPXRRL3Y","GSON1112150051")</f>
        <v>#NAME?</v>
      </c>
      <c r="F1318" s="4" t="e">
        <f ca="1">[1]!BexGetData("DP_1","003N8EMH8GTFRCSWKMPXRRRFI","GSON1112150051")</f>
        <v>#NAME?</v>
      </c>
      <c r="G1318" s="4" t="e">
        <f ca="1">[1]!BexGetData("DP_1","003N8EMH8GTFRCSWKMPXRRXR2","GSON1112150051")</f>
        <v>#NAME?</v>
      </c>
      <c r="H1318" s="4" t="e">
        <f ca="1">[1]!BexGetData("DP_1","003N8EMH8GTFRCSWKMPXRS42M","GSON1112150051")</f>
        <v>#NAME?</v>
      </c>
      <c r="I1318" s="4" t="e">
        <f ca="1">[1]!BexGetData("DP_1","003N8EMH8GTFRCSWKMPXRSAE6","GSON1112150051")</f>
        <v>#NAME?</v>
      </c>
      <c r="J1318" s="4" t="e">
        <f ca="1">[1]!BexGetData("DP_1","003N8EMH8GTFRCSWKMPXRSGPQ","GSON1112150051")</f>
        <v>#NAME?</v>
      </c>
      <c r="K1318" s="8" t="e">
        <f ca="1">[1]!BexGetData("DP_1","003N8EMH8GTFRIVNUPY288VJH","GSON1112150051")</f>
        <v>#NAME?</v>
      </c>
      <c r="L1318" s="8" t="e">
        <f ca="1">[1]!BexGetData("DP_1","003N8EMH8GTFRIVNUPY2891V1","GSON1112150051")</f>
        <v>#NAME?</v>
      </c>
      <c r="M1318" s="8" t="e">
        <f ca="1">[1]!BexGetData("DP_1","003N8EMH8GTFRIVOG7KG9IQXA","GSON1112150051")</f>
        <v>#NAME?</v>
      </c>
      <c r="N1318" s="8" t="e">
        <f ca="1">[1]!BexGetData("DP_1","003N8EMH8GTFRIVOG7KG9IX8U","GSON1112150051")</f>
        <v>#NAME?</v>
      </c>
      <c r="O1318" s="8" t="e">
        <f ca="1">[1]!BexGetData("DP_1","003N8EMH8GTFRIVOG7KG9J3KE","GSON1112150051")</f>
        <v>#NAME?</v>
      </c>
      <c r="P1318" s="8" t="e">
        <f ca="1">[1]!BexGetData("DP_1","003N8EMH8GTFRIVOG7KG9J9VY","GSON1112150051")</f>
        <v>#NAME?</v>
      </c>
      <c r="Q1318" s="4" t="e">
        <f ca="1">[1]!BexGetData("DP_1","00O2TNJGODT0G5Z4TTKYMM5MT","GSON1112150051")</f>
        <v>#NAME?</v>
      </c>
      <c r="R1318" s="4" t="e">
        <f ca="1">[1]!BexGetData("DP_1","00O2TNJGODT0G5Z4TTKYMMBYD","GSON1112150051")</f>
        <v>#NAME?</v>
      </c>
      <c r="S1318" s="4" t="e">
        <f ca="1">[1]!BexGetData("DP_1","00O2TNJGODT0G5Z4TTKYMMI9X","GSON1112150051")</f>
        <v>#NAME?</v>
      </c>
      <c r="T1318" s="4" t="e">
        <f ca="1">[1]!BexGetData("DP_1","00O2TNJGODT0G5Z4TTKYMMOLH","GSON1112150051")</f>
        <v>#NAME?</v>
      </c>
      <c r="U1318" s="4" t="e">
        <f ca="1">[1]!BexGetData("DP_1","00O2TNJGODT0G5Z4TTKYMMUX1","GSON1112150051")</f>
        <v>#NAME?</v>
      </c>
      <c r="V1318" s="4" t="e">
        <f ca="1">[1]!BexGetData("DP_1","00O2TNJGODT0G5Z4TTKYMN18L","GSON1112150051")</f>
        <v>#NAME?</v>
      </c>
      <c r="W1318" s="4" t="e">
        <f ca="1">[1]!BexGetData("DP_1","00O2TNJGODT0G5Z4TTKYMN7K5","GSON1112150051")</f>
        <v>#NAME?</v>
      </c>
    </row>
    <row r="1319" spans="1:23" x14ac:dyDescent="0.2">
      <c r="A1319" s="16" t="s">
        <v>3651</v>
      </c>
      <c r="B1319" s="7" t="s">
        <v>3652</v>
      </c>
      <c r="C1319" s="3" t="e">
        <f ca="1">[1]!BexGetData("DP_1","003N8EMH8GTFRCSWKMPXRR8GU","GSON1112150054")</f>
        <v>#NAME?</v>
      </c>
      <c r="D1319" s="3" t="e">
        <f ca="1">[1]!BexGetData("DP_1","003N8EMH8GTFRCSWKMPXRRESE","GSON1112150054")</f>
        <v>#NAME?</v>
      </c>
      <c r="E1319" s="8" t="e">
        <f ca="1">[1]!BexGetData("DP_1","003N8EMH8GTFRCSWKMPXRRL3Y","GSON1112150054")</f>
        <v>#NAME?</v>
      </c>
      <c r="F1319" s="4" t="e">
        <f ca="1">[1]!BexGetData("DP_1","003N8EMH8GTFRCSWKMPXRRRFI","GSON1112150054")</f>
        <v>#NAME?</v>
      </c>
      <c r="G1319" s="4" t="e">
        <f ca="1">[1]!BexGetData("DP_1","003N8EMH8GTFRCSWKMPXRRXR2","GSON1112150054")</f>
        <v>#NAME?</v>
      </c>
      <c r="H1319" s="4" t="e">
        <f ca="1">[1]!BexGetData("DP_1","003N8EMH8GTFRCSWKMPXRS42M","GSON1112150054")</f>
        <v>#NAME?</v>
      </c>
      <c r="I1319" s="4" t="e">
        <f ca="1">[1]!BexGetData("DP_1","003N8EMH8GTFRCSWKMPXRSAE6","GSON1112150054")</f>
        <v>#NAME?</v>
      </c>
      <c r="J1319" s="4" t="e">
        <f ca="1">[1]!BexGetData("DP_1","003N8EMH8GTFRCSWKMPXRSGPQ","GSON1112150054")</f>
        <v>#NAME?</v>
      </c>
      <c r="K1319" s="8" t="e">
        <f ca="1">[1]!BexGetData("DP_1","003N8EMH8GTFRIVNUPY288VJH","GSON1112150054")</f>
        <v>#NAME?</v>
      </c>
      <c r="L1319" s="8" t="e">
        <f ca="1">[1]!BexGetData("DP_1","003N8EMH8GTFRIVNUPY2891V1","GSON1112150054")</f>
        <v>#NAME?</v>
      </c>
      <c r="M1319" s="8" t="e">
        <f ca="1">[1]!BexGetData("DP_1","003N8EMH8GTFRIVOG7KG9IQXA","GSON1112150054")</f>
        <v>#NAME?</v>
      </c>
      <c r="N1319" s="8" t="e">
        <f ca="1">[1]!BexGetData("DP_1","003N8EMH8GTFRIVOG7KG9IX8U","GSON1112150054")</f>
        <v>#NAME?</v>
      </c>
      <c r="O1319" s="8" t="e">
        <f ca="1">[1]!BexGetData("DP_1","003N8EMH8GTFRIVOG7KG9J3KE","GSON1112150054")</f>
        <v>#NAME?</v>
      </c>
      <c r="P1319" s="8" t="e">
        <f ca="1">[1]!BexGetData("DP_1","003N8EMH8GTFRIVOG7KG9J9VY","GSON1112150054")</f>
        <v>#NAME?</v>
      </c>
      <c r="Q1319" s="4" t="e">
        <f ca="1">[1]!BexGetData("DP_1","00O2TNJGODT0G5Z4TTKYMM5MT","GSON1112150054")</f>
        <v>#NAME?</v>
      </c>
      <c r="R1319" s="4" t="e">
        <f ca="1">[1]!BexGetData("DP_1","00O2TNJGODT0G5Z4TTKYMMBYD","GSON1112150054")</f>
        <v>#NAME?</v>
      </c>
      <c r="S1319" s="4" t="e">
        <f ca="1">[1]!BexGetData("DP_1","00O2TNJGODT0G5Z4TTKYMMI9X","GSON1112150054")</f>
        <v>#NAME?</v>
      </c>
      <c r="T1319" s="4" t="e">
        <f ca="1">[1]!BexGetData("DP_1","00O2TNJGODT0G5Z4TTKYMMOLH","GSON1112150054")</f>
        <v>#NAME?</v>
      </c>
      <c r="U1319" s="4" t="e">
        <f ca="1">[1]!BexGetData("DP_1","00O2TNJGODT0G5Z4TTKYMMUX1","GSON1112150054")</f>
        <v>#NAME?</v>
      </c>
      <c r="V1319" s="4" t="e">
        <f ca="1">[1]!BexGetData("DP_1","00O2TNJGODT0G5Z4TTKYMN18L","GSON1112150054")</f>
        <v>#NAME?</v>
      </c>
      <c r="W1319" s="4" t="e">
        <f ca="1">[1]!BexGetData("DP_1","00O2TNJGODT0G5Z4TTKYMN7K5","GSON1112150054")</f>
        <v>#NAME?</v>
      </c>
    </row>
    <row r="1320" spans="1:23" x14ac:dyDescent="0.2">
      <c r="A1320" s="16" t="s">
        <v>3653</v>
      </c>
      <c r="B1320" s="7" t="s">
        <v>3654</v>
      </c>
      <c r="C1320" s="3" t="e">
        <f ca="1">[1]!BexGetData("DP_1","003N8EMH8GTFRCSWKMPXRR8GU","GSON1112150060")</f>
        <v>#NAME?</v>
      </c>
      <c r="D1320" s="3" t="e">
        <f ca="1">[1]!BexGetData("DP_1","003N8EMH8GTFRCSWKMPXRRESE","GSON1112150060")</f>
        <v>#NAME?</v>
      </c>
      <c r="E1320" s="3" t="e">
        <f ca="1">[1]!BexGetData("DP_1","003N8EMH8GTFRCSWKMPXRRL3Y","GSON1112150060")</f>
        <v>#NAME?</v>
      </c>
      <c r="F1320" s="3" t="e">
        <f ca="1">[1]!BexGetData("DP_1","003N8EMH8GTFRCSWKMPXRRRFI","GSON1112150060")</f>
        <v>#NAME?</v>
      </c>
      <c r="G1320" s="3" t="e">
        <f ca="1">[1]!BexGetData("DP_1","003N8EMH8GTFRCSWKMPXRRXR2","GSON1112150060")</f>
        <v>#NAME?</v>
      </c>
      <c r="H1320" s="8" t="e">
        <f ca="1">[1]!BexGetData("DP_1","003N8EMH8GTFRCSWKMPXRS42M","GSON1112150060")</f>
        <v>#NAME?</v>
      </c>
      <c r="I1320" s="3" t="e">
        <f ca="1">[1]!BexGetData("DP_1","003N8EMH8GTFRCSWKMPXRSAE6","GSON1112150060")</f>
        <v>#NAME?</v>
      </c>
      <c r="J1320" s="4" t="e">
        <f ca="1">[1]!BexGetData("DP_1","003N8EMH8GTFRCSWKMPXRSGPQ","GSON1112150060")</f>
        <v>#NAME?</v>
      </c>
      <c r="K1320" s="3" t="e">
        <f ca="1">[1]!BexGetData("DP_1","003N8EMH8GTFRIVNUPY288VJH","GSON1112150060")</f>
        <v>#NAME?</v>
      </c>
      <c r="L1320" s="3" t="e">
        <f ca="1">[1]!BexGetData("DP_1","003N8EMH8GTFRIVNUPY2891V1","GSON1112150060")</f>
        <v>#NAME?</v>
      </c>
      <c r="M1320" s="3" t="e">
        <f ca="1">[1]!BexGetData("DP_1","003N8EMH8GTFRIVOG7KG9IQXA","GSON1112150060")</f>
        <v>#NAME?</v>
      </c>
      <c r="N1320" s="8" t="e">
        <f ca="1">[1]!BexGetData("DP_1","003N8EMH8GTFRIVOG7KG9IX8U","GSON1112150060")</f>
        <v>#NAME?</v>
      </c>
      <c r="O1320" s="3" t="e">
        <f ca="1">[1]!BexGetData("DP_1","003N8EMH8GTFRIVOG7KG9J3KE","GSON1112150060")</f>
        <v>#NAME?</v>
      </c>
      <c r="P1320" s="8" t="e">
        <f ca="1">[1]!BexGetData("DP_1","003N8EMH8GTFRIVOG7KG9J9VY","GSON1112150060")</f>
        <v>#NAME?</v>
      </c>
      <c r="Q1320" s="4" t="e">
        <f ca="1">[1]!BexGetData("DP_1","00O2TNJGODT0G5Z4TTKYMM5MT","GSON1112150060")</f>
        <v>#NAME?</v>
      </c>
      <c r="R1320" s="3" t="e">
        <f ca="1">[1]!BexGetData("DP_1","00O2TNJGODT0G5Z4TTKYMMBYD","GSON1112150060")</f>
        <v>#NAME?</v>
      </c>
      <c r="S1320" s="3" t="e">
        <f ca="1">[1]!BexGetData("DP_1","00O2TNJGODT0G5Z4TTKYMMI9X","GSON1112150060")</f>
        <v>#NAME?</v>
      </c>
      <c r="T1320" s="8" t="e">
        <f ca="1">[1]!BexGetData("DP_1","00O2TNJGODT0G5Z4TTKYMMOLH","GSON1112150060")</f>
        <v>#NAME?</v>
      </c>
      <c r="U1320" s="3" t="e">
        <f ca="1">[1]!BexGetData("DP_1","00O2TNJGODT0G5Z4TTKYMMUX1","GSON1112150060")</f>
        <v>#NAME?</v>
      </c>
      <c r="V1320" s="8" t="e">
        <f ca="1">[1]!BexGetData("DP_1","00O2TNJGODT0G5Z4TTKYMN18L","GSON1112150060")</f>
        <v>#NAME?</v>
      </c>
      <c r="W1320" s="3" t="e">
        <f ca="1">[1]!BexGetData("DP_1","00O2TNJGODT0G5Z4TTKYMN7K5","GSON1112150060")</f>
        <v>#NAME?</v>
      </c>
    </row>
    <row r="1321" spans="1:23" x14ac:dyDescent="0.2">
      <c r="A1321" s="16" t="s">
        <v>3655</v>
      </c>
      <c r="B1321" s="7" t="s">
        <v>3656</v>
      </c>
      <c r="C1321" s="3" t="e">
        <f ca="1">[1]!BexGetData("DP_1","003N8EMH8GTFRCSWKMPXRR8GU","GSON1112150061")</f>
        <v>#NAME?</v>
      </c>
      <c r="D1321" s="3" t="e">
        <f ca="1">[1]!BexGetData("DP_1","003N8EMH8GTFRCSWKMPXRRESE","GSON1112150061")</f>
        <v>#NAME?</v>
      </c>
      <c r="E1321" s="8" t="e">
        <f ca="1">[1]!BexGetData("DP_1","003N8EMH8GTFRCSWKMPXRRL3Y","GSON1112150061")</f>
        <v>#NAME?</v>
      </c>
      <c r="F1321" s="4" t="e">
        <f ca="1">[1]!BexGetData("DP_1","003N8EMH8GTFRCSWKMPXRRRFI","GSON1112150061")</f>
        <v>#NAME?</v>
      </c>
      <c r="G1321" s="4" t="e">
        <f ca="1">[1]!BexGetData("DP_1","003N8EMH8GTFRCSWKMPXRRXR2","GSON1112150061")</f>
        <v>#NAME?</v>
      </c>
      <c r="H1321" s="4" t="e">
        <f ca="1">[1]!BexGetData("DP_1","003N8EMH8GTFRCSWKMPXRS42M","GSON1112150061")</f>
        <v>#NAME?</v>
      </c>
      <c r="I1321" s="4" t="e">
        <f ca="1">[1]!BexGetData("DP_1","003N8EMH8GTFRCSWKMPXRSAE6","GSON1112150061")</f>
        <v>#NAME?</v>
      </c>
      <c r="J1321" s="4" t="e">
        <f ca="1">[1]!BexGetData("DP_1","003N8EMH8GTFRCSWKMPXRSGPQ","GSON1112150061")</f>
        <v>#NAME?</v>
      </c>
      <c r="K1321" s="8" t="e">
        <f ca="1">[1]!BexGetData("DP_1","003N8EMH8GTFRIVNUPY288VJH","GSON1112150061")</f>
        <v>#NAME?</v>
      </c>
      <c r="L1321" s="8" t="e">
        <f ca="1">[1]!BexGetData("DP_1","003N8EMH8GTFRIVNUPY2891V1","GSON1112150061")</f>
        <v>#NAME?</v>
      </c>
      <c r="M1321" s="8" t="e">
        <f ca="1">[1]!BexGetData("DP_1","003N8EMH8GTFRIVOG7KG9IQXA","GSON1112150061")</f>
        <v>#NAME?</v>
      </c>
      <c r="N1321" s="8" t="e">
        <f ca="1">[1]!BexGetData("DP_1","003N8EMH8GTFRIVOG7KG9IX8U","GSON1112150061")</f>
        <v>#NAME?</v>
      </c>
      <c r="O1321" s="8" t="e">
        <f ca="1">[1]!BexGetData("DP_1","003N8EMH8GTFRIVOG7KG9J3KE","GSON1112150061")</f>
        <v>#NAME?</v>
      </c>
      <c r="P1321" s="8" t="e">
        <f ca="1">[1]!BexGetData("DP_1","003N8EMH8GTFRIVOG7KG9J9VY","GSON1112150061")</f>
        <v>#NAME?</v>
      </c>
      <c r="Q1321" s="4" t="e">
        <f ca="1">[1]!BexGetData("DP_1","00O2TNJGODT0G5Z4TTKYMM5MT","GSON1112150061")</f>
        <v>#NAME?</v>
      </c>
      <c r="R1321" s="4" t="e">
        <f ca="1">[1]!BexGetData("DP_1","00O2TNJGODT0G5Z4TTKYMMBYD","GSON1112150061")</f>
        <v>#NAME?</v>
      </c>
      <c r="S1321" s="4" t="e">
        <f ca="1">[1]!BexGetData("DP_1","00O2TNJGODT0G5Z4TTKYMMI9X","GSON1112150061")</f>
        <v>#NAME?</v>
      </c>
      <c r="T1321" s="4" t="e">
        <f ca="1">[1]!BexGetData("DP_1","00O2TNJGODT0G5Z4TTKYMMOLH","GSON1112150061")</f>
        <v>#NAME?</v>
      </c>
      <c r="U1321" s="4" t="e">
        <f ca="1">[1]!BexGetData("DP_1","00O2TNJGODT0G5Z4TTKYMMUX1","GSON1112150061")</f>
        <v>#NAME?</v>
      </c>
      <c r="V1321" s="4" t="e">
        <f ca="1">[1]!BexGetData("DP_1","00O2TNJGODT0G5Z4TTKYMN18L","GSON1112150061")</f>
        <v>#NAME?</v>
      </c>
      <c r="W1321" s="4" t="e">
        <f ca="1">[1]!BexGetData("DP_1","00O2TNJGODT0G5Z4TTKYMN7K5","GSON1112150061")</f>
        <v>#NAME?</v>
      </c>
    </row>
    <row r="1322" spans="1:23" x14ac:dyDescent="0.2">
      <c r="A1322" s="16" t="s">
        <v>3657</v>
      </c>
      <c r="B1322" s="7" t="s">
        <v>3658</v>
      </c>
      <c r="C1322" s="3" t="e">
        <f ca="1">[1]!BexGetData("DP_1","003N8EMH8GTFRCSWKMPXRR8GU","GSON1112150063")</f>
        <v>#NAME?</v>
      </c>
      <c r="D1322" s="3" t="e">
        <f ca="1">[1]!BexGetData("DP_1","003N8EMH8GTFRCSWKMPXRRESE","GSON1112150063")</f>
        <v>#NAME?</v>
      </c>
      <c r="E1322" s="8" t="e">
        <f ca="1">[1]!BexGetData("DP_1","003N8EMH8GTFRCSWKMPXRRL3Y","GSON1112150063")</f>
        <v>#NAME?</v>
      </c>
      <c r="F1322" s="4" t="e">
        <f ca="1">[1]!BexGetData("DP_1","003N8EMH8GTFRCSWKMPXRRRFI","GSON1112150063")</f>
        <v>#NAME?</v>
      </c>
      <c r="G1322" s="4" t="e">
        <f ca="1">[1]!BexGetData("DP_1","003N8EMH8GTFRCSWKMPXRRXR2","GSON1112150063")</f>
        <v>#NAME?</v>
      </c>
      <c r="H1322" s="4" t="e">
        <f ca="1">[1]!BexGetData("DP_1","003N8EMH8GTFRCSWKMPXRS42M","GSON1112150063")</f>
        <v>#NAME?</v>
      </c>
      <c r="I1322" s="4" t="e">
        <f ca="1">[1]!BexGetData("DP_1","003N8EMH8GTFRCSWKMPXRSAE6","GSON1112150063")</f>
        <v>#NAME?</v>
      </c>
      <c r="J1322" s="4" t="e">
        <f ca="1">[1]!BexGetData("DP_1","003N8EMH8GTFRCSWKMPXRSGPQ","GSON1112150063")</f>
        <v>#NAME?</v>
      </c>
      <c r="K1322" s="8" t="e">
        <f ca="1">[1]!BexGetData("DP_1","003N8EMH8GTFRIVNUPY288VJH","GSON1112150063")</f>
        <v>#NAME?</v>
      </c>
      <c r="L1322" s="8" t="e">
        <f ca="1">[1]!BexGetData("DP_1","003N8EMH8GTFRIVNUPY2891V1","GSON1112150063")</f>
        <v>#NAME?</v>
      </c>
      <c r="M1322" s="8" t="e">
        <f ca="1">[1]!BexGetData("DP_1","003N8EMH8GTFRIVOG7KG9IQXA","GSON1112150063")</f>
        <v>#NAME?</v>
      </c>
      <c r="N1322" s="8" t="e">
        <f ca="1">[1]!BexGetData("DP_1","003N8EMH8GTFRIVOG7KG9IX8U","GSON1112150063")</f>
        <v>#NAME?</v>
      </c>
      <c r="O1322" s="8" t="e">
        <f ca="1">[1]!BexGetData("DP_1","003N8EMH8GTFRIVOG7KG9J3KE","GSON1112150063")</f>
        <v>#NAME?</v>
      </c>
      <c r="P1322" s="8" t="e">
        <f ca="1">[1]!BexGetData("DP_1","003N8EMH8GTFRIVOG7KG9J9VY","GSON1112150063")</f>
        <v>#NAME?</v>
      </c>
      <c r="Q1322" s="4" t="e">
        <f ca="1">[1]!BexGetData("DP_1","00O2TNJGODT0G5Z4TTKYMM5MT","GSON1112150063")</f>
        <v>#NAME?</v>
      </c>
      <c r="R1322" s="4" t="e">
        <f ca="1">[1]!BexGetData("DP_1","00O2TNJGODT0G5Z4TTKYMMBYD","GSON1112150063")</f>
        <v>#NAME?</v>
      </c>
      <c r="S1322" s="4" t="e">
        <f ca="1">[1]!BexGetData("DP_1","00O2TNJGODT0G5Z4TTKYMMI9X","GSON1112150063")</f>
        <v>#NAME?</v>
      </c>
      <c r="T1322" s="4" t="e">
        <f ca="1">[1]!BexGetData("DP_1","00O2TNJGODT0G5Z4TTKYMMOLH","GSON1112150063")</f>
        <v>#NAME?</v>
      </c>
      <c r="U1322" s="4" t="e">
        <f ca="1">[1]!BexGetData("DP_1","00O2TNJGODT0G5Z4TTKYMMUX1","GSON1112150063")</f>
        <v>#NAME?</v>
      </c>
      <c r="V1322" s="4" t="e">
        <f ca="1">[1]!BexGetData("DP_1","00O2TNJGODT0G5Z4TTKYMN18L","GSON1112150063")</f>
        <v>#NAME?</v>
      </c>
      <c r="W1322" s="4" t="e">
        <f ca="1">[1]!BexGetData("DP_1","00O2TNJGODT0G5Z4TTKYMN7K5","GSON1112150063")</f>
        <v>#NAME?</v>
      </c>
    </row>
    <row r="1323" spans="1:23" x14ac:dyDescent="0.2">
      <c r="A1323" s="16" t="s">
        <v>3659</v>
      </c>
      <c r="B1323" s="7" t="s">
        <v>3660</v>
      </c>
      <c r="C1323" s="3" t="e">
        <f ca="1">[1]!BexGetData("DP_1","003N8EMH8GTFRCSWKMPXRR8GU","GSON1112150065")</f>
        <v>#NAME?</v>
      </c>
      <c r="D1323" s="3" t="e">
        <f ca="1">[1]!BexGetData("DP_1","003N8EMH8GTFRCSWKMPXRRESE","GSON1112150065")</f>
        <v>#NAME?</v>
      </c>
      <c r="E1323" s="8" t="e">
        <f ca="1">[1]!BexGetData("DP_1","003N8EMH8GTFRCSWKMPXRRL3Y","GSON1112150065")</f>
        <v>#NAME?</v>
      </c>
      <c r="F1323" s="4" t="e">
        <f ca="1">[1]!BexGetData("DP_1","003N8EMH8GTFRCSWKMPXRRRFI","GSON1112150065")</f>
        <v>#NAME?</v>
      </c>
      <c r="G1323" s="4" t="e">
        <f ca="1">[1]!BexGetData("DP_1","003N8EMH8GTFRCSWKMPXRRXR2","GSON1112150065")</f>
        <v>#NAME?</v>
      </c>
      <c r="H1323" s="4" t="e">
        <f ca="1">[1]!BexGetData("DP_1","003N8EMH8GTFRCSWKMPXRS42M","GSON1112150065")</f>
        <v>#NAME?</v>
      </c>
      <c r="I1323" s="4" t="e">
        <f ca="1">[1]!BexGetData("DP_1","003N8EMH8GTFRCSWKMPXRSAE6","GSON1112150065")</f>
        <v>#NAME?</v>
      </c>
      <c r="J1323" s="4" t="e">
        <f ca="1">[1]!BexGetData("DP_1","003N8EMH8GTFRCSWKMPXRSGPQ","GSON1112150065")</f>
        <v>#NAME?</v>
      </c>
      <c r="K1323" s="8" t="e">
        <f ca="1">[1]!BexGetData("DP_1","003N8EMH8GTFRIVNUPY288VJH","GSON1112150065")</f>
        <v>#NAME?</v>
      </c>
      <c r="L1323" s="8" t="e">
        <f ca="1">[1]!BexGetData("DP_1","003N8EMH8GTFRIVNUPY2891V1","GSON1112150065")</f>
        <v>#NAME?</v>
      </c>
      <c r="M1323" s="8" t="e">
        <f ca="1">[1]!BexGetData("DP_1","003N8EMH8GTFRIVOG7KG9IQXA","GSON1112150065")</f>
        <v>#NAME?</v>
      </c>
      <c r="N1323" s="8" t="e">
        <f ca="1">[1]!BexGetData("DP_1","003N8EMH8GTFRIVOG7KG9IX8U","GSON1112150065")</f>
        <v>#NAME?</v>
      </c>
      <c r="O1323" s="8" t="e">
        <f ca="1">[1]!BexGetData("DP_1","003N8EMH8GTFRIVOG7KG9J3KE","GSON1112150065")</f>
        <v>#NAME?</v>
      </c>
      <c r="P1323" s="8" t="e">
        <f ca="1">[1]!BexGetData("DP_1","003N8EMH8GTFRIVOG7KG9J9VY","GSON1112150065")</f>
        <v>#NAME?</v>
      </c>
      <c r="Q1323" s="4" t="e">
        <f ca="1">[1]!BexGetData("DP_1","00O2TNJGODT0G5Z4TTKYMM5MT","GSON1112150065")</f>
        <v>#NAME?</v>
      </c>
      <c r="R1323" s="4" t="e">
        <f ca="1">[1]!BexGetData("DP_1","00O2TNJGODT0G5Z4TTKYMMBYD","GSON1112150065")</f>
        <v>#NAME?</v>
      </c>
      <c r="S1323" s="4" t="e">
        <f ca="1">[1]!BexGetData("DP_1","00O2TNJGODT0G5Z4TTKYMMI9X","GSON1112150065")</f>
        <v>#NAME?</v>
      </c>
      <c r="T1323" s="4" t="e">
        <f ca="1">[1]!BexGetData("DP_1","00O2TNJGODT0G5Z4TTKYMMOLH","GSON1112150065")</f>
        <v>#NAME?</v>
      </c>
      <c r="U1323" s="4" t="e">
        <f ca="1">[1]!BexGetData("DP_1","00O2TNJGODT0G5Z4TTKYMMUX1","GSON1112150065")</f>
        <v>#NAME?</v>
      </c>
      <c r="V1323" s="4" t="e">
        <f ca="1">[1]!BexGetData("DP_1","00O2TNJGODT0G5Z4TTKYMN18L","GSON1112150065")</f>
        <v>#NAME?</v>
      </c>
      <c r="W1323" s="4" t="e">
        <f ca="1">[1]!BexGetData("DP_1","00O2TNJGODT0G5Z4TTKYMN7K5","GSON1112150065")</f>
        <v>#NAME?</v>
      </c>
    </row>
    <row r="1324" spans="1:23" x14ac:dyDescent="0.2">
      <c r="A1324" s="16" t="s">
        <v>3661</v>
      </c>
      <c r="B1324" s="7" t="s">
        <v>3662</v>
      </c>
      <c r="C1324" s="3" t="e">
        <f ca="1">[1]!BexGetData("DP_1","003N8EMH8GTFRCSWKMPXRR8GU","GSON1112150070")</f>
        <v>#NAME?</v>
      </c>
      <c r="D1324" s="3" t="e">
        <f ca="1">[1]!BexGetData("DP_1","003N8EMH8GTFRCSWKMPXRRESE","GSON1112150070")</f>
        <v>#NAME?</v>
      </c>
      <c r="E1324" s="3" t="e">
        <f ca="1">[1]!BexGetData("DP_1","003N8EMH8GTFRCSWKMPXRRL3Y","GSON1112150070")</f>
        <v>#NAME?</v>
      </c>
      <c r="F1324" s="3" t="e">
        <f ca="1">[1]!BexGetData("DP_1","003N8EMH8GTFRCSWKMPXRRRFI","GSON1112150070")</f>
        <v>#NAME?</v>
      </c>
      <c r="G1324" s="3" t="e">
        <f ca="1">[1]!BexGetData("DP_1","003N8EMH8GTFRCSWKMPXRRXR2","GSON1112150070")</f>
        <v>#NAME?</v>
      </c>
      <c r="H1324" s="8" t="e">
        <f ca="1">[1]!BexGetData("DP_1","003N8EMH8GTFRCSWKMPXRS42M","GSON1112150070")</f>
        <v>#NAME?</v>
      </c>
      <c r="I1324" s="3" t="e">
        <f ca="1">[1]!BexGetData("DP_1","003N8EMH8GTFRCSWKMPXRSAE6","GSON1112150070")</f>
        <v>#NAME?</v>
      </c>
      <c r="J1324" s="4" t="e">
        <f ca="1">[1]!BexGetData("DP_1","003N8EMH8GTFRCSWKMPXRSGPQ","GSON1112150070")</f>
        <v>#NAME?</v>
      </c>
      <c r="K1324" s="3" t="e">
        <f ca="1">[1]!BexGetData("DP_1","003N8EMH8GTFRIVNUPY288VJH","GSON1112150070")</f>
        <v>#NAME?</v>
      </c>
      <c r="L1324" s="3" t="e">
        <f ca="1">[1]!BexGetData("DP_1","003N8EMH8GTFRIVNUPY2891V1","GSON1112150070")</f>
        <v>#NAME?</v>
      </c>
      <c r="M1324" s="3" t="e">
        <f ca="1">[1]!BexGetData("DP_1","003N8EMH8GTFRIVOG7KG9IQXA","GSON1112150070")</f>
        <v>#NAME?</v>
      </c>
      <c r="N1324" s="8" t="e">
        <f ca="1">[1]!BexGetData("DP_1","003N8EMH8GTFRIVOG7KG9IX8U","GSON1112150070")</f>
        <v>#NAME?</v>
      </c>
      <c r="O1324" s="3" t="e">
        <f ca="1">[1]!BexGetData("DP_1","003N8EMH8GTFRIVOG7KG9J3KE","GSON1112150070")</f>
        <v>#NAME?</v>
      </c>
      <c r="P1324" s="8" t="e">
        <f ca="1">[1]!BexGetData("DP_1","003N8EMH8GTFRIVOG7KG9J9VY","GSON1112150070")</f>
        <v>#NAME?</v>
      </c>
      <c r="Q1324" s="4" t="e">
        <f ca="1">[1]!BexGetData("DP_1","00O2TNJGODT0G5Z4TTKYMM5MT","GSON1112150070")</f>
        <v>#NAME?</v>
      </c>
      <c r="R1324" s="3" t="e">
        <f ca="1">[1]!BexGetData("DP_1","00O2TNJGODT0G5Z4TTKYMMBYD","GSON1112150070")</f>
        <v>#NAME?</v>
      </c>
      <c r="S1324" s="3" t="e">
        <f ca="1">[1]!BexGetData("DP_1","00O2TNJGODT0G5Z4TTKYMMI9X","GSON1112150070")</f>
        <v>#NAME?</v>
      </c>
      <c r="T1324" s="8" t="e">
        <f ca="1">[1]!BexGetData("DP_1","00O2TNJGODT0G5Z4TTKYMMOLH","GSON1112150070")</f>
        <v>#NAME?</v>
      </c>
      <c r="U1324" s="3" t="e">
        <f ca="1">[1]!BexGetData("DP_1","00O2TNJGODT0G5Z4TTKYMMUX1","GSON1112150070")</f>
        <v>#NAME?</v>
      </c>
      <c r="V1324" s="8" t="e">
        <f ca="1">[1]!BexGetData("DP_1","00O2TNJGODT0G5Z4TTKYMN18L","GSON1112150070")</f>
        <v>#NAME?</v>
      </c>
      <c r="W1324" s="3" t="e">
        <f ca="1">[1]!BexGetData("DP_1","00O2TNJGODT0G5Z4TTKYMN7K5","GSON1112150070")</f>
        <v>#NAME?</v>
      </c>
    </row>
    <row r="1325" spans="1:23" x14ac:dyDescent="0.2">
      <c r="A1325" s="16" t="s">
        <v>3663</v>
      </c>
      <c r="B1325" s="7" t="s">
        <v>3664</v>
      </c>
      <c r="C1325" s="3" t="e">
        <f ca="1">[1]!BexGetData("DP_1","003N8EMH8GTFRCSWKMPXRR8GU","GSON1112150071")</f>
        <v>#NAME?</v>
      </c>
      <c r="D1325" s="3" t="e">
        <f ca="1">[1]!BexGetData("DP_1","003N8EMH8GTFRCSWKMPXRRESE","GSON1112150071")</f>
        <v>#NAME?</v>
      </c>
      <c r="E1325" s="8" t="e">
        <f ca="1">[1]!BexGetData("DP_1","003N8EMH8GTFRCSWKMPXRRL3Y","GSON1112150071")</f>
        <v>#NAME?</v>
      </c>
      <c r="F1325" s="4" t="e">
        <f ca="1">[1]!BexGetData("DP_1","003N8EMH8GTFRCSWKMPXRRRFI","GSON1112150071")</f>
        <v>#NAME?</v>
      </c>
      <c r="G1325" s="4" t="e">
        <f ca="1">[1]!BexGetData("DP_1","003N8EMH8GTFRCSWKMPXRRXR2","GSON1112150071")</f>
        <v>#NAME?</v>
      </c>
      <c r="H1325" s="4" t="e">
        <f ca="1">[1]!BexGetData("DP_1","003N8EMH8GTFRCSWKMPXRS42M","GSON1112150071")</f>
        <v>#NAME?</v>
      </c>
      <c r="I1325" s="4" t="e">
        <f ca="1">[1]!BexGetData("DP_1","003N8EMH8GTFRCSWKMPXRSAE6","GSON1112150071")</f>
        <v>#NAME?</v>
      </c>
      <c r="J1325" s="4" t="e">
        <f ca="1">[1]!BexGetData("DP_1","003N8EMH8GTFRCSWKMPXRSGPQ","GSON1112150071")</f>
        <v>#NAME?</v>
      </c>
      <c r="K1325" s="8" t="e">
        <f ca="1">[1]!BexGetData("DP_1","003N8EMH8GTFRIVNUPY288VJH","GSON1112150071")</f>
        <v>#NAME?</v>
      </c>
      <c r="L1325" s="8" t="e">
        <f ca="1">[1]!BexGetData("DP_1","003N8EMH8GTFRIVNUPY2891V1","GSON1112150071")</f>
        <v>#NAME?</v>
      </c>
      <c r="M1325" s="8" t="e">
        <f ca="1">[1]!BexGetData("DP_1","003N8EMH8GTFRIVOG7KG9IQXA","GSON1112150071")</f>
        <v>#NAME?</v>
      </c>
      <c r="N1325" s="8" t="e">
        <f ca="1">[1]!BexGetData("DP_1","003N8EMH8GTFRIVOG7KG9IX8U","GSON1112150071")</f>
        <v>#NAME?</v>
      </c>
      <c r="O1325" s="8" t="e">
        <f ca="1">[1]!BexGetData("DP_1","003N8EMH8GTFRIVOG7KG9J3KE","GSON1112150071")</f>
        <v>#NAME?</v>
      </c>
      <c r="P1325" s="8" t="e">
        <f ca="1">[1]!BexGetData("DP_1","003N8EMH8GTFRIVOG7KG9J9VY","GSON1112150071")</f>
        <v>#NAME?</v>
      </c>
      <c r="Q1325" s="4" t="e">
        <f ca="1">[1]!BexGetData("DP_1","00O2TNJGODT0G5Z4TTKYMM5MT","GSON1112150071")</f>
        <v>#NAME?</v>
      </c>
      <c r="R1325" s="4" t="e">
        <f ca="1">[1]!BexGetData("DP_1","00O2TNJGODT0G5Z4TTKYMMBYD","GSON1112150071")</f>
        <v>#NAME?</v>
      </c>
      <c r="S1325" s="4" t="e">
        <f ca="1">[1]!BexGetData("DP_1","00O2TNJGODT0G5Z4TTKYMMI9X","GSON1112150071")</f>
        <v>#NAME?</v>
      </c>
      <c r="T1325" s="4" t="e">
        <f ca="1">[1]!BexGetData("DP_1","00O2TNJGODT0G5Z4TTKYMMOLH","GSON1112150071")</f>
        <v>#NAME?</v>
      </c>
      <c r="U1325" s="4" t="e">
        <f ca="1">[1]!BexGetData("DP_1","00O2TNJGODT0G5Z4TTKYMMUX1","GSON1112150071")</f>
        <v>#NAME?</v>
      </c>
      <c r="V1325" s="4" t="e">
        <f ca="1">[1]!BexGetData("DP_1","00O2TNJGODT0G5Z4TTKYMN18L","GSON1112150071")</f>
        <v>#NAME?</v>
      </c>
      <c r="W1325" s="4" t="e">
        <f ca="1">[1]!BexGetData("DP_1","00O2TNJGODT0G5Z4TTKYMN7K5","GSON1112150071")</f>
        <v>#NAME?</v>
      </c>
    </row>
    <row r="1326" spans="1:23" x14ac:dyDescent="0.2">
      <c r="A1326" s="16" t="s">
        <v>3665</v>
      </c>
      <c r="B1326" s="7" t="s">
        <v>3666</v>
      </c>
      <c r="C1326" s="3" t="e">
        <f ca="1">[1]!BexGetData("DP_1","003N8EMH8GTFRCSWKMPXRR8GU","GSON1112150074")</f>
        <v>#NAME?</v>
      </c>
      <c r="D1326" s="3" t="e">
        <f ca="1">[1]!BexGetData("DP_1","003N8EMH8GTFRCSWKMPXRRESE","GSON1112150074")</f>
        <v>#NAME?</v>
      </c>
      <c r="E1326" s="8" t="e">
        <f ca="1">[1]!BexGetData("DP_1","003N8EMH8GTFRCSWKMPXRRL3Y","GSON1112150074")</f>
        <v>#NAME?</v>
      </c>
      <c r="F1326" s="4" t="e">
        <f ca="1">[1]!BexGetData("DP_1","003N8EMH8GTFRCSWKMPXRRRFI","GSON1112150074")</f>
        <v>#NAME?</v>
      </c>
      <c r="G1326" s="4" t="e">
        <f ca="1">[1]!BexGetData("DP_1","003N8EMH8GTFRCSWKMPXRRXR2","GSON1112150074")</f>
        <v>#NAME?</v>
      </c>
      <c r="H1326" s="4" t="e">
        <f ca="1">[1]!BexGetData("DP_1","003N8EMH8GTFRCSWKMPXRS42M","GSON1112150074")</f>
        <v>#NAME?</v>
      </c>
      <c r="I1326" s="4" t="e">
        <f ca="1">[1]!BexGetData("DP_1","003N8EMH8GTFRCSWKMPXRSAE6","GSON1112150074")</f>
        <v>#NAME?</v>
      </c>
      <c r="J1326" s="4" t="e">
        <f ca="1">[1]!BexGetData("DP_1","003N8EMH8GTFRCSWKMPXRSGPQ","GSON1112150074")</f>
        <v>#NAME?</v>
      </c>
      <c r="K1326" s="8" t="e">
        <f ca="1">[1]!BexGetData("DP_1","003N8EMH8GTFRIVNUPY288VJH","GSON1112150074")</f>
        <v>#NAME?</v>
      </c>
      <c r="L1326" s="8" t="e">
        <f ca="1">[1]!BexGetData("DP_1","003N8EMH8GTFRIVNUPY2891V1","GSON1112150074")</f>
        <v>#NAME?</v>
      </c>
      <c r="M1326" s="8" t="e">
        <f ca="1">[1]!BexGetData("DP_1","003N8EMH8GTFRIVOG7KG9IQXA","GSON1112150074")</f>
        <v>#NAME?</v>
      </c>
      <c r="N1326" s="8" t="e">
        <f ca="1">[1]!BexGetData("DP_1","003N8EMH8GTFRIVOG7KG9IX8U","GSON1112150074")</f>
        <v>#NAME?</v>
      </c>
      <c r="O1326" s="8" t="e">
        <f ca="1">[1]!BexGetData("DP_1","003N8EMH8GTFRIVOG7KG9J3KE","GSON1112150074")</f>
        <v>#NAME?</v>
      </c>
      <c r="P1326" s="8" t="e">
        <f ca="1">[1]!BexGetData("DP_1","003N8EMH8GTFRIVOG7KG9J9VY","GSON1112150074")</f>
        <v>#NAME?</v>
      </c>
      <c r="Q1326" s="4" t="e">
        <f ca="1">[1]!BexGetData("DP_1","00O2TNJGODT0G5Z4TTKYMM5MT","GSON1112150074")</f>
        <v>#NAME?</v>
      </c>
      <c r="R1326" s="4" t="e">
        <f ca="1">[1]!BexGetData("DP_1","00O2TNJGODT0G5Z4TTKYMMBYD","GSON1112150074")</f>
        <v>#NAME?</v>
      </c>
      <c r="S1326" s="4" t="e">
        <f ca="1">[1]!BexGetData("DP_1","00O2TNJGODT0G5Z4TTKYMMI9X","GSON1112150074")</f>
        <v>#NAME?</v>
      </c>
      <c r="T1326" s="4" t="e">
        <f ca="1">[1]!BexGetData("DP_1","00O2TNJGODT0G5Z4TTKYMMOLH","GSON1112150074")</f>
        <v>#NAME?</v>
      </c>
      <c r="U1326" s="4" t="e">
        <f ca="1">[1]!BexGetData("DP_1","00O2TNJGODT0G5Z4TTKYMMUX1","GSON1112150074")</f>
        <v>#NAME?</v>
      </c>
      <c r="V1326" s="4" t="e">
        <f ca="1">[1]!BexGetData("DP_1","00O2TNJGODT0G5Z4TTKYMN18L","GSON1112150074")</f>
        <v>#NAME?</v>
      </c>
      <c r="W1326" s="4" t="e">
        <f ca="1">[1]!BexGetData("DP_1","00O2TNJGODT0G5Z4TTKYMN7K5","GSON1112150074")</f>
        <v>#NAME?</v>
      </c>
    </row>
    <row r="1327" spans="1:23" x14ac:dyDescent="0.2">
      <c r="A1327" s="16" t="s">
        <v>3667</v>
      </c>
      <c r="B1327" s="7" t="s">
        <v>3668</v>
      </c>
      <c r="C1327" s="3" t="e">
        <f ca="1">[1]!BexGetData("DP_1","003N8EMH8GTFRCSWKMPXRR8GU","GSON1112150075")</f>
        <v>#NAME?</v>
      </c>
      <c r="D1327" s="3" t="e">
        <f ca="1">[1]!BexGetData("DP_1","003N8EMH8GTFRCSWKMPXRRESE","GSON1112150075")</f>
        <v>#NAME?</v>
      </c>
      <c r="E1327" s="8" t="e">
        <f ca="1">[1]!BexGetData("DP_1","003N8EMH8GTFRCSWKMPXRRL3Y","GSON1112150075")</f>
        <v>#NAME?</v>
      </c>
      <c r="F1327" s="4" t="e">
        <f ca="1">[1]!BexGetData("DP_1","003N8EMH8GTFRCSWKMPXRRRFI","GSON1112150075")</f>
        <v>#NAME?</v>
      </c>
      <c r="G1327" s="4" t="e">
        <f ca="1">[1]!BexGetData("DP_1","003N8EMH8GTFRCSWKMPXRRXR2","GSON1112150075")</f>
        <v>#NAME?</v>
      </c>
      <c r="H1327" s="4" t="e">
        <f ca="1">[1]!BexGetData("DP_1","003N8EMH8GTFRCSWKMPXRS42M","GSON1112150075")</f>
        <v>#NAME?</v>
      </c>
      <c r="I1327" s="4" t="e">
        <f ca="1">[1]!BexGetData("DP_1","003N8EMH8GTFRCSWKMPXRSAE6","GSON1112150075")</f>
        <v>#NAME?</v>
      </c>
      <c r="J1327" s="4" t="e">
        <f ca="1">[1]!BexGetData("DP_1","003N8EMH8GTFRCSWKMPXRSGPQ","GSON1112150075")</f>
        <v>#NAME?</v>
      </c>
      <c r="K1327" s="8" t="e">
        <f ca="1">[1]!BexGetData("DP_1","003N8EMH8GTFRIVNUPY288VJH","GSON1112150075")</f>
        <v>#NAME?</v>
      </c>
      <c r="L1327" s="8" t="e">
        <f ca="1">[1]!BexGetData("DP_1","003N8EMH8GTFRIVNUPY2891V1","GSON1112150075")</f>
        <v>#NAME?</v>
      </c>
      <c r="M1327" s="8" t="e">
        <f ca="1">[1]!BexGetData("DP_1","003N8EMH8GTFRIVOG7KG9IQXA","GSON1112150075")</f>
        <v>#NAME?</v>
      </c>
      <c r="N1327" s="8" t="e">
        <f ca="1">[1]!BexGetData("DP_1","003N8EMH8GTFRIVOG7KG9IX8U","GSON1112150075")</f>
        <v>#NAME?</v>
      </c>
      <c r="O1327" s="8" t="e">
        <f ca="1">[1]!BexGetData("DP_1","003N8EMH8GTFRIVOG7KG9J3KE","GSON1112150075")</f>
        <v>#NAME?</v>
      </c>
      <c r="P1327" s="8" t="e">
        <f ca="1">[1]!BexGetData("DP_1","003N8EMH8GTFRIVOG7KG9J9VY","GSON1112150075")</f>
        <v>#NAME?</v>
      </c>
      <c r="Q1327" s="4" t="e">
        <f ca="1">[1]!BexGetData("DP_1","00O2TNJGODT0G5Z4TTKYMM5MT","GSON1112150075")</f>
        <v>#NAME?</v>
      </c>
      <c r="R1327" s="4" t="e">
        <f ca="1">[1]!BexGetData("DP_1","00O2TNJGODT0G5Z4TTKYMMBYD","GSON1112150075")</f>
        <v>#NAME?</v>
      </c>
      <c r="S1327" s="4" t="e">
        <f ca="1">[1]!BexGetData("DP_1","00O2TNJGODT0G5Z4TTKYMMI9X","GSON1112150075")</f>
        <v>#NAME?</v>
      </c>
      <c r="T1327" s="4" t="e">
        <f ca="1">[1]!BexGetData("DP_1","00O2TNJGODT0G5Z4TTKYMMOLH","GSON1112150075")</f>
        <v>#NAME?</v>
      </c>
      <c r="U1327" s="4" t="e">
        <f ca="1">[1]!BexGetData("DP_1","00O2TNJGODT0G5Z4TTKYMMUX1","GSON1112150075")</f>
        <v>#NAME?</v>
      </c>
      <c r="V1327" s="4" t="e">
        <f ca="1">[1]!BexGetData("DP_1","00O2TNJGODT0G5Z4TTKYMN18L","GSON1112150075")</f>
        <v>#NAME?</v>
      </c>
      <c r="W1327" s="4" t="e">
        <f ca="1">[1]!BexGetData("DP_1","00O2TNJGODT0G5Z4TTKYMN7K5","GSON1112150075")</f>
        <v>#NAME?</v>
      </c>
    </row>
    <row r="1328" spans="1:23" x14ac:dyDescent="0.2">
      <c r="A1328" s="16" t="s">
        <v>3669</v>
      </c>
      <c r="B1328" s="7" t="s">
        <v>3670</v>
      </c>
      <c r="C1328" s="3" t="e">
        <f ca="1">[1]!BexGetData("DP_1","003N8EMH8GTFRCSWKMPXRR8GU","GSON1112150080")</f>
        <v>#NAME?</v>
      </c>
      <c r="D1328" s="3" t="e">
        <f ca="1">[1]!BexGetData("DP_1","003N8EMH8GTFRCSWKMPXRRESE","GSON1112150080")</f>
        <v>#NAME?</v>
      </c>
      <c r="E1328" s="3" t="e">
        <f ca="1">[1]!BexGetData("DP_1","003N8EMH8GTFRCSWKMPXRRL3Y","GSON1112150080")</f>
        <v>#NAME?</v>
      </c>
      <c r="F1328" s="3" t="e">
        <f ca="1">[1]!BexGetData("DP_1","003N8EMH8GTFRCSWKMPXRRRFI","GSON1112150080")</f>
        <v>#NAME?</v>
      </c>
      <c r="G1328" s="3" t="e">
        <f ca="1">[1]!BexGetData("DP_1","003N8EMH8GTFRCSWKMPXRRXR2","GSON1112150080")</f>
        <v>#NAME?</v>
      </c>
      <c r="H1328" s="8" t="e">
        <f ca="1">[1]!BexGetData("DP_1","003N8EMH8GTFRCSWKMPXRS42M","GSON1112150080")</f>
        <v>#NAME?</v>
      </c>
      <c r="I1328" s="3" t="e">
        <f ca="1">[1]!BexGetData("DP_1","003N8EMH8GTFRCSWKMPXRSAE6","GSON1112150080")</f>
        <v>#NAME?</v>
      </c>
      <c r="J1328" s="4" t="e">
        <f ca="1">[1]!BexGetData("DP_1","003N8EMH8GTFRCSWKMPXRSGPQ","GSON1112150080")</f>
        <v>#NAME?</v>
      </c>
      <c r="K1328" s="3" t="e">
        <f ca="1">[1]!BexGetData("DP_1","003N8EMH8GTFRIVNUPY288VJH","GSON1112150080")</f>
        <v>#NAME?</v>
      </c>
      <c r="L1328" s="3" t="e">
        <f ca="1">[1]!BexGetData("DP_1","003N8EMH8GTFRIVNUPY2891V1","GSON1112150080")</f>
        <v>#NAME?</v>
      </c>
      <c r="M1328" s="3" t="e">
        <f ca="1">[1]!BexGetData("DP_1","003N8EMH8GTFRIVOG7KG9IQXA","GSON1112150080")</f>
        <v>#NAME?</v>
      </c>
      <c r="N1328" s="8" t="e">
        <f ca="1">[1]!BexGetData("DP_1","003N8EMH8GTFRIVOG7KG9IX8U","GSON1112150080")</f>
        <v>#NAME?</v>
      </c>
      <c r="O1328" s="3" t="e">
        <f ca="1">[1]!BexGetData("DP_1","003N8EMH8GTFRIVOG7KG9J3KE","GSON1112150080")</f>
        <v>#NAME?</v>
      </c>
      <c r="P1328" s="8" t="e">
        <f ca="1">[1]!BexGetData("DP_1","003N8EMH8GTFRIVOG7KG9J9VY","GSON1112150080")</f>
        <v>#NAME?</v>
      </c>
      <c r="Q1328" s="4" t="e">
        <f ca="1">[1]!BexGetData("DP_1","00O2TNJGODT0G5Z4TTKYMM5MT","GSON1112150080")</f>
        <v>#NAME?</v>
      </c>
      <c r="R1328" s="3" t="e">
        <f ca="1">[1]!BexGetData("DP_1","00O2TNJGODT0G5Z4TTKYMMBYD","GSON1112150080")</f>
        <v>#NAME?</v>
      </c>
      <c r="S1328" s="3" t="e">
        <f ca="1">[1]!BexGetData("DP_1","00O2TNJGODT0G5Z4TTKYMMI9X","GSON1112150080")</f>
        <v>#NAME?</v>
      </c>
      <c r="T1328" s="8" t="e">
        <f ca="1">[1]!BexGetData("DP_1","00O2TNJGODT0G5Z4TTKYMMOLH","GSON1112150080")</f>
        <v>#NAME?</v>
      </c>
      <c r="U1328" s="3" t="e">
        <f ca="1">[1]!BexGetData("DP_1","00O2TNJGODT0G5Z4TTKYMMUX1","GSON1112150080")</f>
        <v>#NAME?</v>
      </c>
      <c r="V1328" s="8" t="e">
        <f ca="1">[1]!BexGetData("DP_1","00O2TNJGODT0G5Z4TTKYMN18L","GSON1112150080")</f>
        <v>#NAME?</v>
      </c>
      <c r="W1328" s="3" t="e">
        <f ca="1">[1]!BexGetData("DP_1","00O2TNJGODT0G5Z4TTKYMN7K5","GSON1112150080")</f>
        <v>#NAME?</v>
      </c>
    </row>
    <row r="1329" spans="1:23" x14ac:dyDescent="0.2">
      <c r="A1329" s="16" t="s">
        <v>3671</v>
      </c>
      <c r="B1329" s="7" t="s">
        <v>3672</v>
      </c>
      <c r="C1329" s="3" t="e">
        <f ca="1">[1]!BexGetData("DP_1","003N8EMH8GTFRCSWKMPXRR8GU","GSON1112150084")</f>
        <v>#NAME?</v>
      </c>
      <c r="D1329" s="3" t="e">
        <f ca="1">[1]!BexGetData("DP_1","003N8EMH8GTFRCSWKMPXRRESE","GSON1112150084")</f>
        <v>#NAME?</v>
      </c>
      <c r="E1329" s="8" t="e">
        <f ca="1">[1]!BexGetData("DP_1","003N8EMH8GTFRCSWKMPXRRL3Y","GSON1112150084")</f>
        <v>#NAME?</v>
      </c>
      <c r="F1329" s="4" t="e">
        <f ca="1">[1]!BexGetData("DP_1","003N8EMH8GTFRCSWKMPXRRRFI","GSON1112150084")</f>
        <v>#NAME?</v>
      </c>
      <c r="G1329" s="4" t="e">
        <f ca="1">[1]!BexGetData("DP_1","003N8EMH8GTFRCSWKMPXRRXR2","GSON1112150084")</f>
        <v>#NAME?</v>
      </c>
      <c r="H1329" s="4" t="e">
        <f ca="1">[1]!BexGetData("DP_1","003N8EMH8GTFRCSWKMPXRS42M","GSON1112150084")</f>
        <v>#NAME?</v>
      </c>
      <c r="I1329" s="4" t="e">
        <f ca="1">[1]!BexGetData("DP_1","003N8EMH8GTFRCSWKMPXRSAE6","GSON1112150084")</f>
        <v>#NAME?</v>
      </c>
      <c r="J1329" s="4" t="e">
        <f ca="1">[1]!BexGetData("DP_1","003N8EMH8GTFRCSWKMPXRSGPQ","GSON1112150084")</f>
        <v>#NAME?</v>
      </c>
      <c r="K1329" s="8" t="e">
        <f ca="1">[1]!BexGetData("DP_1","003N8EMH8GTFRIVNUPY288VJH","GSON1112150084")</f>
        <v>#NAME?</v>
      </c>
      <c r="L1329" s="8" t="e">
        <f ca="1">[1]!BexGetData("DP_1","003N8EMH8GTFRIVNUPY2891V1","GSON1112150084")</f>
        <v>#NAME?</v>
      </c>
      <c r="M1329" s="8" t="e">
        <f ca="1">[1]!BexGetData("DP_1","003N8EMH8GTFRIVOG7KG9IQXA","GSON1112150084")</f>
        <v>#NAME?</v>
      </c>
      <c r="N1329" s="8" t="e">
        <f ca="1">[1]!BexGetData("DP_1","003N8EMH8GTFRIVOG7KG9IX8U","GSON1112150084")</f>
        <v>#NAME?</v>
      </c>
      <c r="O1329" s="8" t="e">
        <f ca="1">[1]!BexGetData("DP_1","003N8EMH8GTFRIVOG7KG9J3KE","GSON1112150084")</f>
        <v>#NAME?</v>
      </c>
      <c r="P1329" s="8" t="e">
        <f ca="1">[1]!BexGetData("DP_1","003N8EMH8GTFRIVOG7KG9J9VY","GSON1112150084")</f>
        <v>#NAME?</v>
      </c>
      <c r="Q1329" s="4" t="e">
        <f ca="1">[1]!BexGetData("DP_1","00O2TNJGODT0G5Z4TTKYMM5MT","GSON1112150084")</f>
        <v>#NAME?</v>
      </c>
      <c r="R1329" s="4" t="e">
        <f ca="1">[1]!BexGetData("DP_1","00O2TNJGODT0G5Z4TTKYMMBYD","GSON1112150084")</f>
        <v>#NAME?</v>
      </c>
      <c r="S1329" s="4" t="e">
        <f ca="1">[1]!BexGetData("DP_1","00O2TNJGODT0G5Z4TTKYMMI9X","GSON1112150084")</f>
        <v>#NAME?</v>
      </c>
      <c r="T1329" s="4" t="e">
        <f ca="1">[1]!BexGetData("DP_1","00O2TNJGODT0G5Z4TTKYMMOLH","GSON1112150084")</f>
        <v>#NAME?</v>
      </c>
      <c r="U1329" s="4" t="e">
        <f ca="1">[1]!BexGetData("DP_1","00O2TNJGODT0G5Z4TTKYMMUX1","GSON1112150084")</f>
        <v>#NAME?</v>
      </c>
      <c r="V1329" s="4" t="e">
        <f ca="1">[1]!BexGetData("DP_1","00O2TNJGODT0G5Z4TTKYMN18L","GSON1112150084")</f>
        <v>#NAME?</v>
      </c>
      <c r="W1329" s="4" t="e">
        <f ca="1">[1]!BexGetData("DP_1","00O2TNJGODT0G5Z4TTKYMN7K5","GSON1112150084")</f>
        <v>#NAME?</v>
      </c>
    </row>
    <row r="1330" spans="1:23" x14ac:dyDescent="0.2">
      <c r="A1330" s="16" t="s">
        <v>3673</v>
      </c>
      <c r="B1330" s="7" t="s">
        <v>3674</v>
      </c>
      <c r="C1330" s="3" t="e">
        <f ca="1">[1]!BexGetData("DP_1","003N8EMH8GTFRCSWKMPXRR8GU","GSON1112150085")</f>
        <v>#NAME?</v>
      </c>
      <c r="D1330" s="3" t="e">
        <f ca="1">[1]!BexGetData("DP_1","003N8EMH8GTFRCSWKMPXRRESE","GSON1112150085")</f>
        <v>#NAME?</v>
      </c>
      <c r="E1330" s="8" t="e">
        <f ca="1">[1]!BexGetData("DP_1","003N8EMH8GTFRCSWKMPXRRL3Y","GSON1112150085")</f>
        <v>#NAME?</v>
      </c>
      <c r="F1330" s="4" t="e">
        <f ca="1">[1]!BexGetData("DP_1","003N8EMH8GTFRCSWKMPXRRRFI","GSON1112150085")</f>
        <v>#NAME?</v>
      </c>
      <c r="G1330" s="4" t="e">
        <f ca="1">[1]!BexGetData("DP_1","003N8EMH8GTFRCSWKMPXRRXR2","GSON1112150085")</f>
        <v>#NAME?</v>
      </c>
      <c r="H1330" s="4" t="e">
        <f ca="1">[1]!BexGetData("DP_1","003N8EMH8GTFRCSWKMPXRS42M","GSON1112150085")</f>
        <v>#NAME?</v>
      </c>
      <c r="I1330" s="4" t="e">
        <f ca="1">[1]!BexGetData("DP_1","003N8EMH8GTFRCSWKMPXRSAE6","GSON1112150085")</f>
        <v>#NAME?</v>
      </c>
      <c r="J1330" s="4" t="e">
        <f ca="1">[1]!BexGetData("DP_1","003N8EMH8GTFRCSWKMPXRSGPQ","GSON1112150085")</f>
        <v>#NAME?</v>
      </c>
      <c r="K1330" s="8" t="e">
        <f ca="1">[1]!BexGetData("DP_1","003N8EMH8GTFRIVNUPY288VJH","GSON1112150085")</f>
        <v>#NAME?</v>
      </c>
      <c r="L1330" s="8" t="e">
        <f ca="1">[1]!BexGetData("DP_1","003N8EMH8GTFRIVNUPY2891V1","GSON1112150085")</f>
        <v>#NAME?</v>
      </c>
      <c r="M1330" s="8" t="e">
        <f ca="1">[1]!BexGetData("DP_1","003N8EMH8GTFRIVOG7KG9IQXA","GSON1112150085")</f>
        <v>#NAME?</v>
      </c>
      <c r="N1330" s="8" t="e">
        <f ca="1">[1]!BexGetData("DP_1","003N8EMH8GTFRIVOG7KG9IX8U","GSON1112150085")</f>
        <v>#NAME?</v>
      </c>
      <c r="O1330" s="8" t="e">
        <f ca="1">[1]!BexGetData("DP_1","003N8EMH8GTFRIVOG7KG9J3KE","GSON1112150085")</f>
        <v>#NAME?</v>
      </c>
      <c r="P1330" s="8" t="e">
        <f ca="1">[1]!BexGetData("DP_1","003N8EMH8GTFRIVOG7KG9J9VY","GSON1112150085")</f>
        <v>#NAME?</v>
      </c>
      <c r="Q1330" s="4" t="e">
        <f ca="1">[1]!BexGetData("DP_1","00O2TNJGODT0G5Z4TTKYMM5MT","GSON1112150085")</f>
        <v>#NAME?</v>
      </c>
      <c r="R1330" s="4" t="e">
        <f ca="1">[1]!BexGetData("DP_1","00O2TNJGODT0G5Z4TTKYMMBYD","GSON1112150085")</f>
        <v>#NAME?</v>
      </c>
      <c r="S1330" s="4" t="e">
        <f ca="1">[1]!BexGetData("DP_1","00O2TNJGODT0G5Z4TTKYMMI9X","GSON1112150085")</f>
        <v>#NAME?</v>
      </c>
      <c r="T1330" s="4" t="e">
        <f ca="1">[1]!BexGetData("DP_1","00O2TNJGODT0G5Z4TTKYMMOLH","GSON1112150085")</f>
        <v>#NAME?</v>
      </c>
      <c r="U1330" s="4" t="e">
        <f ca="1">[1]!BexGetData("DP_1","00O2TNJGODT0G5Z4TTKYMMUX1","GSON1112150085")</f>
        <v>#NAME?</v>
      </c>
      <c r="V1330" s="4" t="e">
        <f ca="1">[1]!BexGetData("DP_1","00O2TNJGODT0G5Z4TTKYMN18L","GSON1112150085")</f>
        <v>#NAME?</v>
      </c>
      <c r="W1330" s="4" t="e">
        <f ca="1">[1]!BexGetData("DP_1","00O2TNJGODT0G5Z4TTKYMN7K5","GSON1112150085")</f>
        <v>#NAME?</v>
      </c>
    </row>
    <row r="1331" spans="1:23" x14ac:dyDescent="0.2">
      <c r="A1331" s="16" t="s">
        <v>3675</v>
      </c>
      <c r="B1331" s="7" t="s">
        <v>3676</v>
      </c>
      <c r="C1331" s="3" t="e">
        <f ca="1">[1]!BexGetData("DP_1","003N8EMH8GTFRCSWKMPXRR8GU","GSON1112150090")</f>
        <v>#NAME?</v>
      </c>
      <c r="D1331" s="3" t="e">
        <f ca="1">[1]!BexGetData("DP_1","003N8EMH8GTFRCSWKMPXRRESE","GSON1112150090")</f>
        <v>#NAME?</v>
      </c>
      <c r="E1331" s="3" t="e">
        <f ca="1">[1]!BexGetData("DP_1","003N8EMH8GTFRCSWKMPXRRL3Y","GSON1112150090")</f>
        <v>#NAME?</v>
      </c>
      <c r="F1331" s="3" t="e">
        <f ca="1">[1]!BexGetData("DP_1","003N8EMH8GTFRCSWKMPXRRRFI","GSON1112150090")</f>
        <v>#NAME?</v>
      </c>
      <c r="G1331" s="3" t="e">
        <f ca="1">[1]!BexGetData("DP_1","003N8EMH8GTFRCSWKMPXRRXR2","GSON1112150090")</f>
        <v>#NAME?</v>
      </c>
      <c r="H1331" s="8" t="e">
        <f ca="1">[1]!BexGetData("DP_1","003N8EMH8GTFRCSWKMPXRS42M","GSON1112150090")</f>
        <v>#NAME?</v>
      </c>
      <c r="I1331" s="3" t="e">
        <f ca="1">[1]!BexGetData("DP_1","003N8EMH8GTFRCSWKMPXRSAE6","GSON1112150090")</f>
        <v>#NAME?</v>
      </c>
      <c r="J1331" s="4" t="e">
        <f ca="1">[1]!BexGetData("DP_1","003N8EMH8GTFRCSWKMPXRSGPQ","GSON1112150090")</f>
        <v>#NAME?</v>
      </c>
      <c r="K1331" s="3" t="e">
        <f ca="1">[1]!BexGetData("DP_1","003N8EMH8GTFRIVNUPY288VJH","GSON1112150090")</f>
        <v>#NAME?</v>
      </c>
      <c r="L1331" s="3" t="e">
        <f ca="1">[1]!BexGetData("DP_1","003N8EMH8GTFRIVNUPY2891V1","GSON1112150090")</f>
        <v>#NAME?</v>
      </c>
      <c r="M1331" s="3" t="e">
        <f ca="1">[1]!BexGetData("DP_1","003N8EMH8GTFRIVOG7KG9IQXA","GSON1112150090")</f>
        <v>#NAME?</v>
      </c>
      <c r="N1331" s="8" t="e">
        <f ca="1">[1]!BexGetData("DP_1","003N8EMH8GTFRIVOG7KG9IX8U","GSON1112150090")</f>
        <v>#NAME?</v>
      </c>
      <c r="O1331" s="3" t="e">
        <f ca="1">[1]!BexGetData("DP_1","003N8EMH8GTFRIVOG7KG9J3KE","GSON1112150090")</f>
        <v>#NAME?</v>
      </c>
      <c r="P1331" s="8" t="e">
        <f ca="1">[1]!BexGetData("DP_1","003N8EMH8GTFRIVOG7KG9J9VY","GSON1112150090")</f>
        <v>#NAME?</v>
      </c>
      <c r="Q1331" s="4" t="e">
        <f ca="1">[1]!BexGetData("DP_1","00O2TNJGODT0G5Z4TTKYMM5MT","GSON1112150090")</f>
        <v>#NAME?</v>
      </c>
      <c r="R1331" s="3" t="e">
        <f ca="1">[1]!BexGetData("DP_1","00O2TNJGODT0G5Z4TTKYMMBYD","GSON1112150090")</f>
        <v>#NAME?</v>
      </c>
      <c r="S1331" s="3" t="e">
        <f ca="1">[1]!BexGetData("DP_1","00O2TNJGODT0G5Z4TTKYMMI9X","GSON1112150090")</f>
        <v>#NAME?</v>
      </c>
      <c r="T1331" s="8" t="e">
        <f ca="1">[1]!BexGetData("DP_1","00O2TNJGODT0G5Z4TTKYMMOLH","GSON1112150090")</f>
        <v>#NAME?</v>
      </c>
      <c r="U1331" s="3" t="e">
        <f ca="1">[1]!BexGetData("DP_1","00O2TNJGODT0G5Z4TTKYMMUX1","GSON1112150090")</f>
        <v>#NAME?</v>
      </c>
      <c r="V1331" s="8" t="e">
        <f ca="1">[1]!BexGetData("DP_1","00O2TNJGODT0G5Z4TTKYMN18L","GSON1112150090")</f>
        <v>#NAME?</v>
      </c>
      <c r="W1331" s="3" t="e">
        <f ca="1">[1]!BexGetData("DP_1","00O2TNJGODT0G5Z4TTKYMN7K5","GSON1112150090")</f>
        <v>#NAME?</v>
      </c>
    </row>
    <row r="1332" spans="1:23" x14ac:dyDescent="0.2">
      <c r="A1332" s="16" t="s">
        <v>3677</v>
      </c>
      <c r="B1332" s="7" t="s">
        <v>3678</v>
      </c>
      <c r="C1332" s="3" t="e">
        <f ca="1">[1]!BexGetData("DP_1","003N8EMH8GTFRCSWKMPXRR8GU","GSON1112150094")</f>
        <v>#NAME?</v>
      </c>
      <c r="D1332" s="3" t="e">
        <f ca="1">[1]!BexGetData("DP_1","003N8EMH8GTFRCSWKMPXRRESE","GSON1112150094")</f>
        <v>#NAME?</v>
      </c>
      <c r="E1332" s="8" t="e">
        <f ca="1">[1]!BexGetData("DP_1","003N8EMH8GTFRCSWKMPXRRL3Y","GSON1112150094")</f>
        <v>#NAME?</v>
      </c>
      <c r="F1332" s="4" t="e">
        <f ca="1">[1]!BexGetData("DP_1","003N8EMH8GTFRCSWKMPXRRRFI","GSON1112150094")</f>
        <v>#NAME?</v>
      </c>
      <c r="G1332" s="4" t="e">
        <f ca="1">[1]!BexGetData("DP_1","003N8EMH8GTFRCSWKMPXRRXR2","GSON1112150094")</f>
        <v>#NAME?</v>
      </c>
      <c r="H1332" s="4" t="e">
        <f ca="1">[1]!BexGetData("DP_1","003N8EMH8GTFRCSWKMPXRS42M","GSON1112150094")</f>
        <v>#NAME?</v>
      </c>
      <c r="I1332" s="4" t="e">
        <f ca="1">[1]!BexGetData("DP_1","003N8EMH8GTFRCSWKMPXRSAE6","GSON1112150094")</f>
        <v>#NAME?</v>
      </c>
      <c r="J1332" s="4" t="e">
        <f ca="1">[1]!BexGetData("DP_1","003N8EMH8GTFRCSWKMPXRSGPQ","GSON1112150094")</f>
        <v>#NAME?</v>
      </c>
      <c r="K1332" s="8" t="e">
        <f ca="1">[1]!BexGetData("DP_1","003N8EMH8GTFRIVNUPY288VJH","GSON1112150094")</f>
        <v>#NAME?</v>
      </c>
      <c r="L1332" s="8" t="e">
        <f ca="1">[1]!BexGetData("DP_1","003N8EMH8GTFRIVNUPY2891V1","GSON1112150094")</f>
        <v>#NAME?</v>
      </c>
      <c r="M1332" s="8" t="e">
        <f ca="1">[1]!BexGetData("DP_1","003N8EMH8GTFRIVOG7KG9IQXA","GSON1112150094")</f>
        <v>#NAME?</v>
      </c>
      <c r="N1332" s="8" t="e">
        <f ca="1">[1]!BexGetData("DP_1","003N8EMH8GTFRIVOG7KG9IX8U","GSON1112150094")</f>
        <v>#NAME?</v>
      </c>
      <c r="O1332" s="8" t="e">
        <f ca="1">[1]!BexGetData("DP_1","003N8EMH8GTFRIVOG7KG9J3KE","GSON1112150094")</f>
        <v>#NAME?</v>
      </c>
      <c r="P1332" s="8" t="e">
        <f ca="1">[1]!BexGetData("DP_1","003N8EMH8GTFRIVOG7KG9J9VY","GSON1112150094")</f>
        <v>#NAME?</v>
      </c>
      <c r="Q1332" s="4" t="e">
        <f ca="1">[1]!BexGetData("DP_1","00O2TNJGODT0G5Z4TTKYMM5MT","GSON1112150094")</f>
        <v>#NAME?</v>
      </c>
      <c r="R1332" s="4" t="e">
        <f ca="1">[1]!BexGetData("DP_1","00O2TNJGODT0G5Z4TTKYMMBYD","GSON1112150094")</f>
        <v>#NAME?</v>
      </c>
      <c r="S1332" s="4" t="e">
        <f ca="1">[1]!BexGetData("DP_1","00O2TNJGODT0G5Z4TTKYMMI9X","GSON1112150094")</f>
        <v>#NAME?</v>
      </c>
      <c r="T1332" s="4" t="e">
        <f ca="1">[1]!BexGetData("DP_1","00O2TNJGODT0G5Z4TTKYMMOLH","GSON1112150094")</f>
        <v>#NAME?</v>
      </c>
      <c r="U1332" s="4" t="e">
        <f ca="1">[1]!BexGetData("DP_1","00O2TNJGODT0G5Z4TTKYMMUX1","GSON1112150094")</f>
        <v>#NAME?</v>
      </c>
      <c r="V1332" s="4" t="e">
        <f ca="1">[1]!BexGetData("DP_1","00O2TNJGODT0G5Z4TTKYMN18L","GSON1112150094")</f>
        <v>#NAME?</v>
      </c>
      <c r="W1332" s="4" t="e">
        <f ca="1">[1]!BexGetData("DP_1","00O2TNJGODT0G5Z4TTKYMN7K5","GSON1112150094")</f>
        <v>#NAME?</v>
      </c>
    </row>
    <row r="1333" spans="1:23" x14ac:dyDescent="0.2">
      <c r="A1333" s="16" t="s">
        <v>3679</v>
      </c>
      <c r="B1333" s="7" t="s">
        <v>3680</v>
      </c>
      <c r="C1333" s="3" t="e">
        <f ca="1">[1]!BexGetData("DP_1","003N8EMH8GTFRCSWKMPXRR8GU","GSON1112150095")</f>
        <v>#NAME?</v>
      </c>
      <c r="D1333" s="3" t="e">
        <f ca="1">[1]!BexGetData("DP_1","003N8EMH8GTFRCSWKMPXRRESE","GSON1112150095")</f>
        <v>#NAME?</v>
      </c>
      <c r="E1333" s="8" t="e">
        <f ca="1">[1]!BexGetData("DP_1","003N8EMH8GTFRCSWKMPXRRL3Y","GSON1112150095")</f>
        <v>#NAME?</v>
      </c>
      <c r="F1333" s="4" t="e">
        <f ca="1">[1]!BexGetData("DP_1","003N8EMH8GTFRCSWKMPXRRRFI","GSON1112150095")</f>
        <v>#NAME?</v>
      </c>
      <c r="G1333" s="4" t="e">
        <f ca="1">[1]!BexGetData("DP_1","003N8EMH8GTFRCSWKMPXRRXR2","GSON1112150095")</f>
        <v>#NAME?</v>
      </c>
      <c r="H1333" s="4" t="e">
        <f ca="1">[1]!BexGetData("DP_1","003N8EMH8GTFRCSWKMPXRS42M","GSON1112150095")</f>
        <v>#NAME?</v>
      </c>
      <c r="I1333" s="4" t="e">
        <f ca="1">[1]!BexGetData("DP_1","003N8EMH8GTFRCSWKMPXRSAE6","GSON1112150095")</f>
        <v>#NAME?</v>
      </c>
      <c r="J1333" s="4" t="e">
        <f ca="1">[1]!BexGetData("DP_1","003N8EMH8GTFRCSWKMPXRSGPQ","GSON1112150095")</f>
        <v>#NAME?</v>
      </c>
      <c r="K1333" s="8" t="e">
        <f ca="1">[1]!BexGetData("DP_1","003N8EMH8GTFRIVNUPY288VJH","GSON1112150095")</f>
        <v>#NAME?</v>
      </c>
      <c r="L1333" s="8" t="e">
        <f ca="1">[1]!BexGetData("DP_1","003N8EMH8GTFRIVNUPY2891V1","GSON1112150095")</f>
        <v>#NAME?</v>
      </c>
      <c r="M1333" s="8" t="e">
        <f ca="1">[1]!BexGetData("DP_1","003N8EMH8GTFRIVOG7KG9IQXA","GSON1112150095")</f>
        <v>#NAME?</v>
      </c>
      <c r="N1333" s="8" t="e">
        <f ca="1">[1]!BexGetData("DP_1","003N8EMH8GTFRIVOG7KG9IX8U","GSON1112150095")</f>
        <v>#NAME?</v>
      </c>
      <c r="O1333" s="8" t="e">
        <f ca="1">[1]!BexGetData("DP_1","003N8EMH8GTFRIVOG7KG9J3KE","GSON1112150095")</f>
        <v>#NAME?</v>
      </c>
      <c r="P1333" s="8" t="e">
        <f ca="1">[1]!BexGetData("DP_1","003N8EMH8GTFRIVOG7KG9J9VY","GSON1112150095")</f>
        <v>#NAME?</v>
      </c>
      <c r="Q1333" s="4" t="e">
        <f ca="1">[1]!BexGetData("DP_1","00O2TNJGODT0G5Z4TTKYMM5MT","GSON1112150095")</f>
        <v>#NAME?</v>
      </c>
      <c r="R1333" s="4" t="e">
        <f ca="1">[1]!BexGetData("DP_1","00O2TNJGODT0G5Z4TTKYMMBYD","GSON1112150095")</f>
        <v>#NAME?</v>
      </c>
      <c r="S1333" s="4" t="e">
        <f ca="1">[1]!BexGetData("DP_1","00O2TNJGODT0G5Z4TTKYMMI9X","GSON1112150095")</f>
        <v>#NAME?</v>
      </c>
      <c r="T1333" s="4" t="e">
        <f ca="1">[1]!BexGetData("DP_1","00O2TNJGODT0G5Z4TTKYMMOLH","GSON1112150095")</f>
        <v>#NAME?</v>
      </c>
      <c r="U1333" s="4" t="e">
        <f ca="1">[1]!BexGetData("DP_1","00O2TNJGODT0G5Z4TTKYMMUX1","GSON1112150095")</f>
        <v>#NAME?</v>
      </c>
      <c r="V1333" s="4" t="e">
        <f ca="1">[1]!BexGetData("DP_1","00O2TNJGODT0G5Z4TTKYMN18L","GSON1112150095")</f>
        <v>#NAME?</v>
      </c>
      <c r="W1333" s="4" t="e">
        <f ca="1">[1]!BexGetData("DP_1","00O2TNJGODT0G5Z4TTKYMN7K5","GSON1112150095")</f>
        <v>#NAME?</v>
      </c>
    </row>
    <row r="1334" spans="1:23" x14ac:dyDescent="0.2">
      <c r="A1334" s="16" t="s">
        <v>3681</v>
      </c>
      <c r="B1334" s="7" t="s">
        <v>3682</v>
      </c>
      <c r="C1334" s="3" t="e">
        <f ca="1">[1]!BexGetData("DP_1","003N8EMH8GTFRCSWKMPXRR8GU","GSON1112150101")</f>
        <v>#NAME?</v>
      </c>
      <c r="D1334" s="3" t="e">
        <f ca="1">[1]!BexGetData("DP_1","003N8EMH8GTFRCSWKMPXRRESE","GSON1112150101")</f>
        <v>#NAME?</v>
      </c>
      <c r="E1334" s="8" t="e">
        <f ca="1">[1]!BexGetData("DP_1","003N8EMH8GTFRCSWKMPXRRL3Y","GSON1112150101")</f>
        <v>#NAME?</v>
      </c>
      <c r="F1334" s="4" t="e">
        <f ca="1">[1]!BexGetData("DP_1","003N8EMH8GTFRCSWKMPXRRRFI","GSON1112150101")</f>
        <v>#NAME?</v>
      </c>
      <c r="G1334" s="4" t="e">
        <f ca="1">[1]!BexGetData("DP_1","003N8EMH8GTFRCSWKMPXRRXR2","GSON1112150101")</f>
        <v>#NAME?</v>
      </c>
      <c r="H1334" s="4" t="e">
        <f ca="1">[1]!BexGetData("DP_1","003N8EMH8GTFRCSWKMPXRS42M","GSON1112150101")</f>
        <v>#NAME?</v>
      </c>
      <c r="I1334" s="4" t="e">
        <f ca="1">[1]!BexGetData("DP_1","003N8EMH8GTFRCSWKMPXRSAE6","GSON1112150101")</f>
        <v>#NAME?</v>
      </c>
      <c r="J1334" s="4" t="e">
        <f ca="1">[1]!BexGetData("DP_1","003N8EMH8GTFRCSWKMPXRSGPQ","GSON1112150101")</f>
        <v>#NAME?</v>
      </c>
      <c r="K1334" s="8" t="e">
        <f ca="1">[1]!BexGetData("DP_1","003N8EMH8GTFRIVNUPY288VJH","GSON1112150101")</f>
        <v>#NAME?</v>
      </c>
      <c r="L1334" s="8" t="e">
        <f ca="1">[1]!BexGetData("DP_1","003N8EMH8GTFRIVNUPY2891V1","GSON1112150101")</f>
        <v>#NAME?</v>
      </c>
      <c r="M1334" s="8" t="e">
        <f ca="1">[1]!BexGetData("DP_1","003N8EMH8GTFRIVOG7KG9IQXA","GSON1112150101")</f>
        <v>#NAME?</v>
      </c>
      <c r="N1334" s="8" t="e">
        <f ca="1">[1]!BexGetData("DP_1","003N8EMH8GTFRIVOG7KG9IX8U","GSON1112150101")</f>
        <v>#NAME?</v>
      </c>
      <c r="O1334" s="8" t="e">
        <f ca="1">[1]!BexGetData("DP_1","003N8EMH8GTFRIVOG7KG9J3KE","GSON1112150101")</f>
        <v>#NAME?</v>
      </c>
      <c r="P1334" s="8" t="e">
        <f ca="1">[1]!BexGetData("DP_1","003N8EMH8GTFRIVOG7KG9J9VY","GSON1112150101")</f>
        <v>#NAME?</v>
      </c>
      <c r="Q1334" s="4" t="e">
        <f ca="1">[1]!BexGetData("DP_1","00O2TNJGODT0G5Z4TTKYMM5MT","GSON1112150101")</f>
        <v>#NAME?</v>
      </c>
      <c r="R1334" s="4" t="e">
        <f ca="1">[1]!BexGetData("DP_1","00O2TNJGODT0G5Z4TTKYMMBYD","GSON1112150101")</f>
        <v>#NAME?</v>
      </c>
      <c r="S1334" s="4" t="e">
        <f ca="1">[1]!BexGetData("DP_1","00O2TNJGODT0G5Z4TTKYMMI9X","GSON1112150101")</f>
        <v>#NAME?</v>
      </c>
      <c r="T1334" s="4" t="e">
        <f ca="1">[1]!BexGetData("DP_1","00O2TNJGODT0G5Z4TTKYMMOLH","GSON1112150101")</f>
        <v>#NAME?</v>
      </c>
      <c r="U1334" s="4" t="e">
        <f ca="1">[1]!BexGetData("DP_1","00O2TNJGODT0G5Z4TTKYMMUX1","GSON1112150101")</f>
        <v>#NAME?</v>
      </c>
      <c r="V1334" s="4" t="e">
        <f ca="1">[1]!BexGetData("DP_1","00O2TNJGODT0G5Z4TTKYMN18L","GSON1112150101")</f>
        <v>#NAME?</v>
      </c>
      <c r="W1334" s="4" t="e">
        <f ca="1">[1]!BexGetData("DP_1","00O2TNJGODT0G5Z4TTKYMN7K5","GSON1112150101")</f>
        <v>#NAME?</v>
      </c>
    </row>
    <row r="1335" spans="1:23" x14ac:dyDescent="0.2">
      <c r="A1335" s="16" t="s">
        <v>3683</v>
      </c>
      <c r="B1335" s="7" t="s">
        <v>3684</v>
      </c>
      <c r="C1335" s="3" t="e">
        <f ca="1">[1]!BexGetData("DP_1","003N8EMH8GTFRCSWKMPXRR8GU","GSON1112150110")</f>
        <v>#NAME?</v>
      </c>
      <c r="D1335" s="3" t="e">
        <f ca="1">[1]!BexGetData("DP_1","003N8EMH8GTFRCSWKMPXRRESE","GSON1112150110")</f>
        <v>#NAME?</v>
      </c>
      <c r="E1335" s="3" t="e">
        <f ca="1">[1]!BexGetData("DP_1","003N8EMH8GTFRCSWKMPXRRL3Y","GSON1112150110")</f>
        <v>#NAME?</v>
      </c>
      <c r="F1335" s="3" t="e">
        <f ca="1">[1]!BexGetData("DP_1","003N8EMH8GTFRCSWKMPXRRRFI","GSON1112150110")</f>
        <v>#NAME?</v>
      </c>
      <c r="G1335" s="3" t="e">
        <f ca="1">[1]!BexGetData("DP_1","003N8EMH8GTFRCSWKMPXRRXR2","GSON1112150110")</f>
        <v>#NAME?</v>
      </c>
      <c r="H1335" s="8" t="e">
        <f ca="1">[1]!BexGetData("DP_1","003N8EMH8GTFRCSWKMPXRS42M","GSON1112150110")</f>
        <v>#NAME?</v>
      </c>
      <c r="I1335" s="3" t="e">
        <f ca="1">[1]!BexGetData("DP_1","003N8EMH8GTFRCSWKMPXRSAE6","GSON1112150110")</f>
        <v>#NAME?</v>
      </c>
      <c r="J1335" s="4" t="e">
        <f ca="1">[1]!BexGetData("DP_1","003N8EMH8GTFRCSWKMPXRSGPQ","GSON1112150110")</f>
        <v>#NAME?</v>
      </c>
      <c r="K1335" s="3" t="e">
        <f ca="1">[1]!BexGetData("DP_1","003N8EMH8GTFRIVNUPY288VJH","GSON1112150110")</f>
        <v>#NAME?</v>
      </c>
      <c r="L1335" s="3" t="e">
        <f ca="1">[1]!BexGetData("DP_1","003N8EMH8GTFRIVNUPY2891V1","GSON1112150110")</f>
        <v>#NAME?</v>
      </c>
      <c r="M1335" s="3" t="e">
        <f ca="1">[1]!BexGetData("DP_1","003N8EMH8GTFRIVOG7KG9IQXA","GSON1112150110")</f>
        <v>#NAME?</v>
      </c>
      <c r="N1335" s="8" t="e">
        <f ca="1">[1]!BexGetData("DP_1","003N8EMH8GTFRIVOG7KG9IX8U","GSON1112150110")</f>
        <v>#NAME?</v>
      </c>
      <c r="O1335" s="3" t="e">
        <f ca="1">[1]!BexGetData("DP_1","003N8EMH8GTFRIVOG7KG9J3KE","GSON1112150110")</f>
        <v>#NAME?</v>
      </c>
      <c r="P1335" s="8" t="e">
        <f ca="1">[1]!BexGetData("DP_1","003N8EMH8GTFRIVOG7KG9J9VY","GSON1112150110")</f>
        <v>#NAME?</v>
      </c>
      <c r="Q1335" s="4" t="e">
        <f ca="1">[1]!BexGetData("DP_1","00O2TNJGODT0G5Z4TTKYMM5MT","GSON1112150110")</f>
        <v>#NAME?</v>
      </c>
      <c r="R1335" s="3" t="e">
        <f ca="1">[1]!BexGetData("DP_1","00O2TNJGODT0G5Z4TTKYMMBYD","GSON1112150110")</f>
        <v>#NAME?</v>
      </c>
      <c r="S1335" s="3" t="e">
        <f ca="1">[1]!BexGetData("DP_1","00O2TNJGODT0G5Z4TTKYMMI9X","GSON1112150110")</f>
        <v>#NAME?</v>
      </c>
      <c r="T1335" s="8" t="e">
        <f ca="1">[1]!BexGetData("DP_1","00O2TNJGODT0G5Z4TTKYMMOLH","GSON1112150110")</f>
        <v>#NAME?</v>
      </c>
      <c r="U1335" s="3" t="e">
        <f ca="1">[1]!BexGetData("DP_1","00O2TNJGODT0G5Z4TTKYMMUX1","GSON1112150110")</f>
        <v>#NAME?</v>
      </c>
      <c r="V1335" s="8" t="e">
        <f ca="1">[1]!BexGetData("DP_1","00O2TNJGODT0G5Z4TTKYMN18L","GSON1112150110")</f>
        <v>#NAME?</v>
      </c>
      <c r="W1335" s="3" t="e">
        <f ca="1">[1]!BexGetData("DP_1","00O2TNJGODT0G5Z4TTKYMN7K5","GSON1112150110")</f>
        <v>#NAME?</v>
      </c>
    </row>
    <row r="1336" spans="1:23" x14ac:dyDescent="0.2">
      <c r="A1336" s="16" t="s">
        <v>3685</v>
      </c>
      <c r="B1336" s="7" t="s">
        <v>3686</v>
      </c>
      <c r="C1336" s="3" t="e">
        <f ca="1">[1]!BexGetData("DP_1","003N8EMH8GTFRCSWKMPXRR8GU","GSON1112150111")</f>
        <v>#NAME?</v>
      </c>
      <c r="D1336" s="3" t="e">
        <f ca="1">[1]!BexGetData("DP_1","003N8EMH8GTFRCSWKMPXRRESE","GSON1112150111")</f>
        <v>#NAME?</v>
      </c>
      <c r="E1336" s="8" t="e">
        <f ca="1">[1]!BexGetData("DP_1","003N8EMH8GTFRCSWKMPXRRL3Y","GSON1112150111")</f>
        <v>#NAME?</v>
      </c>
      <c r="F1336" s="4" t="e">
        <f ca="1">[1]!BexGetData("DP_1","003N8EMH8GTFRCSWKMPXRRRFI","GSON1112150111")</f>
        <v>#NAME?</v>
      </c>
      <c r="G1336" s="4" t="e">
        <f ca="1">[1]!BexGetData("DP_1","003N8EMH8GTFRCSWKMPXRRXR2","GSON1112150111")</f>
        <v>#NAME?</v>
      </c>
      <c r="H1336" s="4" t="e">
        <f ca="1">[1]!BexGetData("DP_1","003N8EMH8GTFRCSWKMPXRS42M","GSON1112150111")</f>
        <v>#NAME?</v>
      </c>
      <c r="I1336" s="4" t="e">
        <f ca="1">[1]!BexGetData("DP_1","003N8EMH8GTFRCSWKMPXRSAE6","GSON1112150111")</f>
        <v>#NAME?</v>
      </c>
      <c r="J1336" s="4" t="e">
        <f ca="1">[1]!BexGetData("DP_1","003N8EMH8GTFRCSWKMPXRSGPQ","GSON1112150111")</f>
        <v>#NAME?</v>
      </c>
      <c r="K1336" s="8" t="e">
        <f ca="1">[1]!BexGetData("DP_1","003N8EMH8GTFRIVNUPY288VJH","GSON1112150111")</f>
        <v>#NAME?</v>
      </c>
      <c r="L1336" s="8" t="e">
        <f ca="1">[1]!BexGetData("DP_1","003N8EMH8GTFRIVNUPY2891V1","GSON1112150111")</f>
        <v>#NAME?</v>
      </c>
      <c r="M1336" s="8" t="e">
        <f ca="1">[1]!BexGetData("DP_1","003N8EMH8GTFRIVOG7KG9IQXA","GSON1112150111")</f>
        <v>#NAME?</v>
      </c>
      <c r="N1336" s="8" t="e">
        <f ca="1">[1]!BexGetData("DP_1","003N8EMH8GTFRIVOG7KG9IX8U","GSON1112150111")</f>
        <v>#NAME?</v>
      </c>
      <c r="O1336" s="8" t="e">
        <f ca="1">[1]!BexGetData("DP_1","003N8EMH8GTFRIVOG7KG9J3KE","GSON1112150111")</f>
        <v>#NAME?</v>
      </c>
      <c r="P1336" s="8" t="e">
        <f ca="1">[1]!BexGetData("DP_1","003N8EMH8GTFRIVOG7KG9J9VY","GSON1112150111")</f>
        <v>#NAME?</v>
      </c>
      <c r="Q1336" s="4" t="e">
        <f ca="1">[1]!BexGetData("DP_1","00O2TNJGODT0G5Z4TTKYMM5MT","GSON1112150111")</f>
        <v>#NAME?</v>
      </c>
      <c r="R1336" s="4" t="e">
        <f ca="1">[1]!BexGetData("DP_1","00O2TNJGODT0G5Z4TTKYMMBYD","GSON1112150111")</f>
        <v>#NAME?</v>
      </c>
      <c r="S1336" s="4" t="e">
        <f ca="1">[1]!BexGetData("DP_1","00O2TNJGODT0G5Z4TTKYMMI9X","GSON1112150111")</f>
        <v>#NAME?</v>
      </c>
      <c r="T1336" s="4" t="e">
        <f ca="1">[1]!BexGetData("DP_1","00O2TNJGODT0G5Z4TTKYMMOLH","GSON1112150111")</f>
        <v>#NAME?</v>
      </c>
      <c r="U1336" s="4" t="e">
        <f ca="1">[1]!BexGetData("DP_1","00O2TNJGODT0G5Z4TTKYMMUX1","GSON1112150111")</f>
        <v>#NAME?</v>
      </c>
      <c r="V1336" s="4" t="e">
        <f ca="1">[1]!BexGetData("DP_1","00O2TNJGODT0G5Z4TTKYMN18L","GSON1112150111")</f>
        <v>#NAME?</v>
      </c>
      <c r="W1336" s="4" t="e">
        <f ca="1">[1]!BexGetData("DP_1","00O2TNJGODT0G5Z4TTKYMN7K5","GSON1112150111")</f>
        <v>#NAME?</v>
      </c>
    </row>
    <row r="1337" spans="1:23" x14ac:dyDescent="0.2">
      <c r="A1337" s="16" t="s">
        <v>3687</v>
      </c>
      <c r="B1337" s="7" t="s">
        <v>3688</v>
      </c>
      <c r="C1337" s="3" t="e">
        <f ca="1">[1]!BexGetData("DP_1","003N8EMH8GTFRCSWKMPXRR8GU","GSON1112150113")</f>
        <v>#NAME?</v>
      </c>
      <c r="D1337" s="3" t="e">
        <f ca="1">[1]!BexGetData("DP_1","003N8EMH8GTFRCSWKMPXRRESE","GSON1112150113")</f>
        <v>#NAME?</v>
      </c>
      <c r="E1337" s="8" t="e">
        <f ca="1">[1]!BexGetData("DP_1","003N8EMH8GTFRCSWKMPXRRL3Y","GSON1112150113")</f>
        <v>#NAME?</v>
      </c>
      <c r="F1337" s="4" t="e">
        <f ca="1">[1]!BexGetData("DP_1","003N8EMH8GTFRCSWKMPXRRRFI","GSON1112150113")</f>
        <v>#NAME?</v>
      </c>
      <c r="G1337" s="4" t="e">
        <f ca="1">[1]!BexGetData("DP_1","003N8EMH8GTFRCSWKMPXRRXR2","GSON1112150113")</f>
        <v>#NAME?</v>
      </c>
      <c r="H1337" s="4" t="e">
        <f ca="1">[1]!BexGetData("DP_1","003N8EMH8GTFRCSWKMPXRS42M","GSON1112150113")</f>
        <v>#NAME?</v>
      </c>
      <c r="I1337" s="4" t="e">
        <f ca="1">[1]!BexGetData("DP_1","003N8EMH8GTFRCSWKMPXRSAE6","GSON1112150113")</f>
        <v>#NAME?</v>
      </c>
      <c r="J1337" s="4" t="e">
        <f ca="1">[1]!BexGetData("DP_1","003N8EMH8GTFRCSWKMPXRSGPQ","GSON1112150113")</f>
        <v>#NAME?</v>
      </c>
      <c r="K1337" s="8" t="e">
        <f ca="1">[1]!BexGetData("DP_1","003N8EMH8GTFRIVNUPY288VJH","GSON1112150113")</f>
        <v>#NAME?</v>
      </c>
      <c r="L1337" s="8" t="e">
        <f ca="1">[1]!BexGetData("DP_1","003N8EMH8GTFRIVNUPY2891V1","GSON1112150113")</f>
        <v>#NAME?</v>
      </c>
      <c r="M1337" s="8" t="e">
        <f ca="1">[1]!BexGetData("DP_1","003N8EMH8GTFRIVOG7KG9IQXA","GSON1112150113")</f>
        <v>#NAME?</v>
      </c>
      <c r="N1337" s="8" t="e">
        <f ca="1">[1]!BexGetData("DP_1","003N8EMH8GTFRIVOG7KG9IX8U","GSON1112150113")</f>
        <v>#NAME?</v>
      </c>
      <c r="O1337" s="8" t="e">
        <f ca="1">[1]!BexGetData("DP_1","003N8EMH8GTFRIVOG7KG9J3KE","GSON1112150113")</f>
        <v>#NAME?</v>
      </c>
      <c r="P1337" s="8" t="e">
        <f ca="1">[1]!BexGetData("DP_1","003N8EMH8GTFRIVOG7KG9J9VY","GSON1112150113")</f>
        <v>#NAME?</v>
      </c>
      <c r="Q1337" s="4" t="e">
        <f ca="1">[1]!BexGetData("DP_1","00O2TNJGODT0G5Z4TTKYMM5MT","GSON1112150113")</f>
        <v>#NAME?</v>
      </c>
      <c r="R1337" s="4" t="e">
        <f ca="1">[1]!BexGetData("DP_1","00O2TNJGODT0G5Z4TTKYMMBYD","GSON1112150113")</f>
        <v>#NAME?</v>
      </c>
      <c r="S1337" s="4" t="e">
        <f ca="1">[1]!BexGetData("DP_1","00O2TNJGODT0G5Z4TTKYMMI9X","GSON1112150113")</f>
        <v>#NAME?</v>
      </c>
      <c r="T1337" s="4" t="e">
        <f ca="1">[1]!BexGetData("DP_1","00O2TNJGODT0G5Z4TTKYMMOLH","GSON1112150113")</f>
        <v>#NAME?</v>
      </c>
      <c r="U1337" s="4" t="e">
        <f ca="1">[1]!BexGetData("DP_1","00O2TNJGODT0G5Z4TTKYMMUX1","GSON1112150113")</f>
        <v>#NAME?</v>
      </c>
      <c r="V1337" s="4" t="e">
        <f ca="1">[1]!BexGetData("DP_1","00O2TNJGODT0G5Z4TTKYMN18L","GSON1112150113")</f>
        <v>#NAME?</v>
      </c>
      <c r="W1337" s="4" t="e">
        <f ca="1">[1]!BexGetData("DP_1","00O2TNJGODT0G5Z4TTKYMN7K5","GSON1112150113")</f>
        <v>#NAME?</v>
      </c>
    </row>
    <row r="1338" spans="1:23" x14ac:dyDescent="0.2">
      <c r="A1338" s="16" t="s">
        <v>3689</v>
      </c>
      <c r="B1338" s="7" t="s">
        <v>3690</v>
      </c>
      <c r="C1338" s="3" t="e">
        <f ca="1">[1]!BexGetData("DP_1","003N8EMH8GTFRCSWKMPXRR8GU","GSON1112150114")</f>
        <v>#NAME?</v>
      </c>
      <c r="D1338" s="3" t="e">
        <f ca="1">[1]!BexGetData("DP_1","003N8EMH8GTFRCSWKMPXRRESE","GSON1112150114")</f>
        <v>#NAME?</v>
      </c>
      <c r="E1338" s="8" t="e">
        <f ca="1">[1]!BexGetData("DP_1","003N8EMH8GTFRCSWKMPXRRL3Y","GSON1112150114")</f>
        <v>#NAME?</v>
      </c>
      <c r="F1338" s="4" t="e">
        <f ca="1">[1]!BexGetData("DP_1","003N8EMH8GTFRCSWKMPXRRRFI","GSON1112150114")</f>
        <v>#NAME?</v>
      </c>
      <c r="G1338" s="4" t="e">
        <f ca="1">[1]!BexGetData("DP_1","003N8EMH8GTFRCSWKMPXRRXR2","GSON1112150114")</f>
        <v>#NAME?</v>
      </c>
      <c r="H1338" s="4" t="e">
        <f ca="1">[1]!BexGetData("DP_1","003N8EMH8GTFRCSWKMPXRS42M","GSON1112150114")</f>
        <v>#NAME?</v>
      </c>
      <c r="I1338" s="4" t="e">
        <f ca="1">[1]!BexGetData("DP_1","003N8EMH8GTFRCSWKMPXRSAE6","GSON1112150114")</f>
        <v>#NAME?</v>
      </c>
      <c r="J1338" s="4" t="e">
        <f ca="1">[1]!BexGetData("DP_1","003N8EMH8GTFRCSWKMPXRSGPQ","GSON1112150114")</f>
        <v>#NAME?</v>
      </c>
      <c r="K1338" s="8" t="e">
        <f ca="1">[1]!BexGetData("DP_1","003N8EMH8GTFRIVNUPY288VJH","GSON1112150114")</f>
        <v>#NAME?</v>
      </c>
      <c r="L1338" s="8" t="e">
        <f ca="1">[1]!BexGetData("DP_1","003N8EMH8GTFRIVNUPY2891V1","GSON1112150114")</f>
        <v>#NAME?</v>
      </c>
      <c r="M1338" s="8" t="e">
        <f ca="1">[1]!BexGetData("DP_1","003N8EMH8GTFRIVOG7KG9IQXA","GSON1112150114")</f>
        <v>#NAME?</v>
      </c>
      <c r="N1338" s="8" t="e">
        <f ca="1">[1]!BexGetData("DP_1","003N8EMH8GTFRIVOG7KG9IX8U","GSON1112150114")</f>
        <v>#NAME?</v>
      </c>
      <c r="O1338" s="8" t="e">
        <f ca="1">[1]!BexGetData("DP_1","003N8EMH8GTFRIVOG7KG9J3KE","GSON1112150114")</f>
        <v>#NAME?</v>
      </c>
      <c r="P1338" s="8" t="e">
        <f ca="1">[1]!BexGetData("DP_1","003N8EMH8GTFRIVOG7KG9J9VY","GSON1112150114")</f>
        <v>#NAME?</v>
      </c>
      <c r="Q1338" s="4" t="e">
        <f ca="1">[1]!BexGetData("DP_1","00O2TNJGODT0G5Z4TTKYMM5MT","GSON1112150114")</f>
        <v>#NAME?</v>
      </c>
      <c r="R1338" s="4" t="e">
        <f ca="1">[1]!BexGetData("DP_1","00O2TNJGODT0G5Z4TTKYMMBYD","GSON1112150114")</f>
        <v>#NAME?</v>
      </c>
      <c r="S1338" s="4" t="e">
        <f ca="1">[1]!BexGetData("DP_1","00O2TNJGODT0G5Z4TTKYMMI9X","GSON1112150114")</f>
        <v>#NAME?</v>
      </c>
      <c r="T1338" s="4" t="e">
        <f ca="1">[1]!BexGetData("DP_1","00O2TNJGODT0G5Z4TTKYMMOLH","GSON1112150114")</f>
        <v>#NAME?</v>
      </c>
      <c r="U1338" s="4" t="e">
        <f ca="1">[1]!BexGetData("DP_1","00O2TNJGODT0G5Z4TTKYMMUX1","GSON1112150114")</f>
        <v>#NAME?</v>
      </c>
      <c r="V1338" s="4" t="e">
        <f ca="1">[1]!BexGetData("DP_1","00O2TNJGODT0G5Z4TTKYMN18L","GSON1112150114")</f>
        <v>#NAME?</v>
      </c>
      <c r="W1338" s="4" t="e">
        <f ca="1">[1]!BexGetData("DP_1","00O2TNJGODT0G5Z4TTKYMN7K5","GSON1112150114")</f>
        <v>#NAME?</v>
      </c>
    </row>
    <row r="1339" spans="1:23" x14ac:dyDescent="0.2">
      <c r="A1339" s="16" t="s">
        <v>3691</v>
      </c>
      <c r="B1339" s="7" t="s">
        <v>3692</v>
      </c>
      <c r="C1339" s="3" t="e">
        <f ca="1">[1]!BexGetData("DP_1","003N8EMH8GTFRCSWKMPXRR8GU","GSON1112150115")</f>
        <v>#NAME?</v>
      </c>
      <c r="D1339" s="3" t="e">
        <f ca="1">[1]!BexGetData("DP_1","003N8EMH8GTFRCSWKMPXRRESE","GSON1112150115")</f>
        <v>#NAME?</v>
      </c>
      <c r="E1339" s="8" t="e">
        <f ca="1">[1]!BexGetData("DP_1","003N8EMH8GTFRCSWKMPXRRL3Y","GSON1112150115")</f>
        <v>#NAME?</v>
      </c>
      <c r="F1339" s="4" t="e">
        <f ca="1">[1]!BexGetData("DP_1","003N8EMH8GTFRCSWKMPXRRRFI","GSON1112150115")</f>
        <v>#NAME?</v>
      </c>
      <c r="G1339" s="4" t="e">
        <f ca="1">[1]!BexGetData("DP_1","003N8EMH8GTFRCSWKMPXRRXR2","GSON1112150115")</f>
        <v>#NAME?</v>
      </c>
      <c r="H1339" s="4" t="e">
        <f ca="1">[1]!BexGetData("DP_1","003N8EMH8GTFRCSWKMPXRS42M","GSON1112150115")</f>
        <v>#NAME?</v>
      </c>
      <c r="I1339" s="4" t="e">
        <f ca="1">[1]!BexGetData("DP_1","003N8EMH8GTFRCSWKMPXRSAE6","GSON1112150115")</f>
        <v>#NAME?</v>
      </c>
      <c r="J1339" s="4" t="e">
        <f ca="1">[1]!BexGetData("DP_1","003N8EMH8GTFRCSWKMPXRSGPQ","GSON1112150115")</f>
        <v>#NAME?</v>
      </c>
      <c r="K1339" s="8" t="e">
        <f ca="1">[1]!BexGetData("DP_1","003N8EMH8GTFRIVNUPY288VJH","GSON1112150115")</f>
        <v>#NAME?</v>
      </c>
      <c r="L1339" s="8" t="e">
        <f ca="1">[1]!BexGetData("DP_1","003N8EMH8GTFRIVNUPY2891V1","GSON1112150115")</f>
        <v>#NAME?</v>
      </c>
      <c r="M1339" s="8" t="e">
        <f ca="1">[1]!BexGetData("DP_1","003N8EMH8GTFRIVOG7KG9IQXA","GSON1112150115")</f>
        <v>#NAME?</v>
      </c>
      <c r="N1339" s="8" t="e">
        <f ca="1">[1]!BexGetData("DP_1","003N8EMH8GTFRIVOG7KG9IX8U","GSON1112150115")</f>
        <v>#NAME?</v>
      </c>
      <c r="O1339" s="8" t="e">
        <f ca="1">[1]!BexGetData("DP_1","003N8EMH8GTFRIVOG7KG9J3KE","GSON1112150115")</f>
        <v>#NAME?</v>
      </c>
      <c r="P1339" s="8" t="e">
        <f ca="1">[1]!BexGetData("DP_1","003N8EMH8GTFRIVOG7KG9J9VY","GSON1112150115")</f>
        <v>#NAME?</v>
      </c>
      <c r="Q1339" s="4" t="e">
        <f ca="1">[1]!BexGetData("DP_1","00O2TNJGODT0G5Z4TTKYMM5MT","GSON1112150115")</f>
        <v>#NAME?</v>
      </c>
      <c r="R1339" s="4" t="e">
        <f ca="1">[1]!BexGetData("DP_1","00O2TNJGODT0G5Z4TTKYMMBYD","GSON1112150115")</f>
        <v>#NAME?</v>
      </c>
      <c r="S1339" s="4" t="e">
        <f ca="1">[1]!BexGetData("DP_1","00O2TNJGODT0G5Z4TTKYMMI9X","GSON1112150115")</f>
        <v>#NAME?</v>
      </c>
      <c r="T1339" s="4" t="e">
        <f ca="1">[1]!BexGetData("DP_1","00O2TNJGODT0G5Z4TTKYMMOLH","GSON1112150115")</f>
        <v>#NAME?</v>
      </c>
      <c r="U1339" s="4" t="e">
        <f ca="1">[1]!BexGetData("DP_1","00O2TNJGODT0G5Z4TTKYMMUX1","GSON1112150115")</f>
        <v>#NAME?</v>
      </c>
      <c r="V1339" s="4" t="e">
        <f ca="1">[1]!BexGetData("DP_1","00O2TNJGODT0G5Z4TTKYMN18L","GSON1112150115")</f>
        <v>#NAME?</v>
      </c>
      <c r="W1339" s="4" t="e">
        <f ca="1">[1]!BexGetData("DP_1","00O2TNJGODT0G5Z4TTKYMN7K5","GSON1112150115")</f>
        <v>#NAME?</v>
      </c>
    </row>
    <row r="1340" spans="1:23" x14ac:dyDescent="0.2">
      <c r="A1340" s="16" t="s">
        <v>3693</v>
      </c>
      <c r="B1340" s="7" t="s">
        <v>3694</v>
      </c>
      <c r="C1340" s="8" t="e">
        <f ca="1">[1]!BexGetData("DP_1","003N8EMH8GTFRCSWKMPXRR8GU","GSON1112150120")</f>
        <v>#NAME?</v>
      </c>
      <c r="D1340" s="3" t="e">
        <f ca="1">[1]!BexGetData("DP_1","003N8EMH8GTFRCSWKMPXRRESE","GSON1112150120")</f>
        <v>#NAME?</v>
      </c>
      <c r="E1340" s="3" t="e">
        <f ca="1">[1]!BexGetData("DP_1","003N8EMH8GTFRCSWKMPXRRL3Y","GSON1112150120")</f>
        <v>#NAME?</v>
      </c>
      <c r="F1340" s="3" t="e">
        <f ca="1">[1]!BexGetData("DP_1","003N8EMH8GTFRCSWKMPXRRRFI","GSON1112150120")</f>
        <v>#NAME?</v>
      </c>
      <c r="G1340" s="3" t="e">
        <f ca="1">[1]!BexGetData("DP_1","003N8EMH8GTFRCSWKMPXRRXR2","GSON1112150120")</f>
        <v>#NAME?</v>
      </c>
      <c r="H1340" s="8" t="e">
        <f ca="1">[1]!BexGetData("DP_1","003N8EMH8GTFRCSWKMPXRS42M","GSON1112150120")</f>
        <v>#NAME?</v>
      </c>
      <c r="I1340" s="3" t="e">
        <f ca="1">[1]!BexGetData("DP_1","003N8EMH8GTFRCSWKMPXRSAE6","GSON1112150120")</f>
        <v>#NAME?</v>
      </c>
      <c r="J1340" s="4" t="e">
        <f ca="1">[1]!BexGetData("DP_1","003N8EMH8GTFRCSWKMPXRSGPQ","GSON1112150120")</f>
        <v>#NAME?</v>
      </c>
      <c r="K1340" s="3" t="e">
        <f ca="1">[1]!BexGetData("DP_1","003N8EMH8GTFRIVNUPY288VJH","GSON1112150120")</f>
        <v>#NAME?</v>
      </c>
      <c r="L1340" s="3" t="e">
        <f ca="1">[1]!BexGetData("DP_1","003N8EMH8GTFRIVNUPY2891V1","GSON1112150120")</f>
        <v>#NAME?</v>
      </c>
      <c r="M1340" s="3" t="e">
        <f ca="1">[1]!BexGetData("DP_1","003N8EMH8GTFRIVOG7KG9IQXA","GSON1112150120")</f>
        <v>#NAME?</v>
      </c>
      <c r="N1340" s="8" t="e">
        <f ca="1">[1]!BexGetData("DP_1","003N8EMH8GTFRIVOG7KG9IX8U","GSON1112150120")</f>
        <v>#NAME?</v>
      </c>
      <c r="O1340" s="3" t="e">
        <f ca="1">[1]!BexGetData("DP_1","003N8EMH8GTFRIVOG7KG9J3KE","GSON1112150120")</f>
        <v>#NAME?</v>
      </c>
      <c r="P1340" s="8" t="e">
        <f ca="1">[1]!BexGetData("DP_1","003N8EMH8GTFRIVOG7KG9J9VY","GSON1112150120")</f>
        <v>#NAME?</v>
      </c>
      <c r="Q1340" s="4" t="e">
        <f ca="1">[1]!BexGetData("DP_1","00O2TNJGODT0G5Z4TTKYMM5MT","GSON1112150120")</f>
        <v>#NAME?</v>
      </c>
      <c r="R1340" s="3" t="e">
        <f ca="1">[1]!BexGetData("DP_1","00O2TNJGODT0G5Z4TTKYMMBYD","GSON1112150120")</f>
        <v>#NAME?</v>
      </c>
      <c r="S1340" s="3" t="e">
        <f ca="1">[1]!BexGetData("DP_1","00O2TNJGODT0G5Z4TTKYMMI9X","GSON1112150120")</f>
        <v>#NAME?</v>
      </c>
      <c r="T1340" s="8" t="e">
        <f ca="1">[1]!BexGetData("DP_1","00O2TNJGODT0G5Z4TTKYMMOLH","GSON1112150120")</f>
        <v>#NAME?</v>
      </c>
      <c r="U1340" s="3" t="e">
        <f ca="1">[1]!BexGetData("DP_1","00O2TNJGODT0G5Z4TTKYMMUX1","GSON1112150120")</f>
        <v>#NAME?</v>
      </c>
      <c r="V1340" s="8" t="e">
        <f ca="1">[1]!BexGetData("DP_1","00O2TNJGODT0G5Z4TTKYMN18L","GSON1112150120")</f>
        <v>#NAME?</v>
      </c>
      <c r="W1340" s="3" t="e">
        <f ca="1">[1]!BexGetData("DP_1","00O2TNJGODT0G5Z4TTKYMN7K5","GSON1112150120")</f>
        <v>#NAME?</v>
      </c>
    </row>
    <row r="1341" spans="1:23" x14ac:dyDescent="0.2">
      <c r="A1341" s="16" t="s">
        <v>3695</v>
      </c>
      <c r="B1341" s="7" t="s">
        <v>3696</v>
      </c>
      <c r="C1341" s="3" t="e">
        <f ca="1">[1]!BexGetData("DP_1","003N8EMH8GTFRCSWKMPXRR8GU","GSON1112150124")</f>
        <v>#NAME?</v>
      </c>
      <c r="D1341" s="3" t="e">
        <f ca="1">[1]!BexGetData("DP_1","003N8EMH8GTFRCSWKMPXRRESE","GSON1112150124")</f>
        <v>#NAME?</v>
      </c>
      <c r="E1341" s="8" t="e">
        <f ca="1">[1]!BexGetData("DP_1","003N8EMH8GTFRCSWKMPXRRL3Y","GSON1112150124")</f>
        <v>#NAME?</v>
      </c>
      <c r="F1341" s="4" t="e">
        <f ca="1">[1]!BexGetData("DP_1","003N8EMH8GTFRCSWKMPXRRRFI","GSON1112150124")</f>
        <v>#NAME?</v>
      </c>
      <c r="G1341" s="4" t="e">
        <f ca="1">[1]!BexGetData("DP_1","003N8EMH8GTFRCSWKMPXRRXR2","GSON1112150124")</f>
        <v>#NAME?</v>
      </c>
      <c r="H1341" s="4" t="e">
        <f ca="1">[1]!BexGetData("DP_1","003N8EMH8GTFRCSWKMPXRS42M","GSON1112150124")</f>
        <v>#NAME?</v>
      </c>
      <c r="I1341" s="4" t="e">
        <f ca="1">[1]!BexGetData("DP_1","003N8EMH8GTFRCSWKMPXRSAE6","GSON1112150124")</f>
        <v>#NAME?</v>
      </c>
      <c r="J1341" s="4" t="e">
        <f ca="1">[1]!BexGetData("DP_1","003N8EMH8GTFRCSWKMPXRSGPQ","GSON1112150124")</f>
        <v>#NAME?</v>
      </c>
      <c r="K1341" s="8" t="e">
        <f ca="1">[1]!BexGetData("DP_1","003N8EMH8GTFRIVNUPY288VJH","GSON1112150124")</f>
        <v>#NAME?</v>
      </c>
      <c r="L1341" s="8" t="e">
        <f ca="1">[1]!BexGetData("DP_1","003N8EMH8GTFRIVNUPY2891V1","GSON1112150124")</f>
        <v>#NAME?</v>
      </c>
      <c r="M1341" s="8" t="e">
        <f ca="1">[1]!BexGetData("DP_1","003N8EMH8GTFRIVOG7KG9IQXA","GSON1112150124")</f>
        <v>#NAME?</v>
      </c>
      <c r="N1341" s="8" t="e">
        <f ca="1">[1]!BexGetData("DP_1","003N8EMH8GTFRIVOG7KG9IX8U","GSON1112150124")</f>
        <v>#NAME?</v>
      </c>
      <c r="O1341" s="8" t="e">
        <f ca="1">[1]!BexGetData("DP_1","003N8EMH8GTFRIVOG7KG9J3KE","GSON1112150124")</f>
        <v>#NAME?</v>
      </c>
      <c r="P1341" s="8" t="e">
        <f ca="1">[1]!BexGetData("DP_1","003N8EMH8GTFRIVOG7KG9J9VY","GSON1112150124")</f>
        <v>#NAME?</v>
      </c>
      <c r="Q1341" s="4" t="e">
        <f ca="1">[1]!BexGetData("DP_1","00O2TNJGODT0G5Z4TTKYMM5MT","GSON1112150124")</f>
        <v>#NAME?</v>
      </c>
      <c r="R1341" s="4" t="e">
        <f ca="1">[1]!BexGetData("DP_1","00O2TNJGODT0G5Z4TTKYMMBYD","GSON1112150124")</f>
        <v>#NAME?</v>
      </c>
      <c r="S1341" s="4" t="e">
        <f ca="1">[1]!BexGetData("DP_1","00O2TNJGODT0G5Z4TTKYMMI9X","GSON1112150124")</f>
        <v>#NAME?</v>
      </c>
      <c r="T1341" s="4" t="e">
        <f ca="1">[1]!BexGetData("DP_1","00O2TNJGODT0G5Z4TTKYMMOLH","GSON1112150124")</f>
        <v>#NAME?</v>
      </c>
      <c r="U1341" s="4" t="e">
        <f ca="1">[1]!BexGetData("DP_1","00O2TNJGODT0G5Z4TTKYMMUX1","GSON1112150124")</f>
        <v>#NAME?</v>
      </c>
      <c r="V1341" s="4" t="e">
        <f ca="1">[1]!BexGetData("DP_1","00O2TNJGODT0G5Z4TTKYMN18L","GSON1112150124")</f>
        <v>#NAME?</v>
      </c>
      <c r="W1341" s="4" t="e">
        <f ca="1">[1]!BexGetData("DP_1","00O2TNJGODT0G5Z4TTKYMN7K5","GSON1112150124")</f>
        <v>#NAME?</v>
      </c>
    </row>
    <row r="1342" spans="1:23" x14ac:dyDescent="0.2">
      <c r="A1342" s="16" t="s">
        <v>3697</v>
      </c>
      <c r="B1342" s="7" t="s">
        <v>3698</v>
      </c>
      <c r="C1342" s="3" t="e">
        <f ca="1">[1]!BexGetData("DP_1","003N8EMH8GTFRCSWKMPXRR8GU","GSON1112150125")</f>
        <v>#NAME?</v>
      </c>
      <c r="D1342" s="3" t="e">
        <f ca="1">[1]!BexGetData("DP_1","003N8EMH8GTFRCSWKMPXRRESE","GSON1112150125")</f>
        <v>#NAME?</v>
      </c>
      <c r="E1342" s="8" t="e">
        <f ca="1">[1]!BexGetData("DP_1","003N8EMH8GTFRCSWKMPXRRL3Y","GSON1112150125")</f>
        <v>#NAME?</v>
      </c>
      <c r="F1342" s="4" t="e">
        <f ca="1">[1]!BexGetData("DP_1","003N8EMH8GTFRCSWKMPXRRRFI","GSON1112150125")</f>
        <v>#NAME?</v>
      </c>
      <c r="G1342" s="4" t="e">
        <f ca="1">[1]!BexGetData("DP_1","003N8EMH8GTFRCSWKMPXRRXR2","GSON1112150125")</f>
        <v>#NAME?</v>
      </c>
      <c r="H1342" s="4" t="e">
        <f ca="1">[1]!BexGetData("DP_1","003N8EMH8GTFRCSWKMPXRS42M","GSON1112150125")</f>
        <v>#NAME?</v>
      </c>
      <c r="I1342" s="4" t="e">
        <f ca="1">[1]!BexGetData("DP_1","003N8EMH8GTFRCSWKMPXRSAE6","GSON1112150125")</f>
        <v>#NAME?</v>
      </c>
      <c r="J1342" s="4" t="e">
        <f ca="1">[1]!BexGetData("DP_1","003N8EMH8GTFRCSWKMPXRSGPQ","GSON1112150125")</f>
        <v>#NAME?</v>
      </c>
      <c r="K1342" s="8" t="e">
        <f ca="1">[1]!BexGetData("DP_1","003N8EMH8GTFRIVNUPY288VJH","GSON1112150125")</f>
        <v>#NAME?</v>
      </c>
      <c r="L1342" s="8" t="e">
        <f ca="1">[1]!BexGetData("DP_1","003N8EMH8GTFRIVNUPY2891V1","GSON1112150125")</f>
        <v>#NAME?</v>
      </c>
      <c r="M1342" s="8" t="e">
        <f ca="1">[1]!BexGetData("DP_1","003N8EMH8GTFRIVOG7KG9IQXA","GSON1112150125")</f>
        <v>#NAME?</v>
      </c>
      <c r="N1342" s="8" t="e">
        <f ca="1">[1]!BexGetData("DP_1","003N8EMH8GTFRIVOG7KG9IX8U","GSON1112150125")</f>
        <v>#NAME?</v>
      </c>
      <c r="O1342" s="8" t="e">
        <f ca="1">[1]!BexGetData("DP_1","003N8EMH8GTFRIVOG7KG9J3KE","GSON1112150125")</f>
        <v>#NAME?</v>
      </c>
      <c r="P1342" s="8" t="e">
        <f ca="1">[1]!BexGetData("DP_1","003N8EMH8GTFRIVOG7KG9J9VY","GSON1112150125")</f>
        <v>#NAME?</v>
      </c>
      <c r="Q1342" s="4" t="e">
        <f ca="1">[1]!BexGetData("DP_1","00O2TNJGODT0G5Z4TTKYMM5MT","GSON1112150125")</f>
        <v>#NAME?</v>
      </c>
      <c r="R1342" s="4" t="e">
        <f ca="1">[1]!BexGetData("DP_1","00O2TNJGODT0G5Z4TTKYMMBYD","GSON1112150125")</f>
        <v>#NAME?</v>
      </c>
      <c r="S1342" s="4" t="e">
        <f ca="1">[1]!BexGetData("DP_1","00O2TNJGODT0G5Z4TTKYMMI9X","GSON1112150125")</f>
        <v>#NAME?</v>
      </c>
      <c r="T1342" s="4" t="e">
        <f ca="1">[1]!BexGetData("DP_1","00O2TNJGODT0G5Z4TTKYMMOLH","GSON1112150125")</f>
        <v>#NAME?</v>
      </c>
      <c r="U1342" s="4" t="e">
        <f ca="1">[1]!BexGetData("DP_1","00O2TNJGODT0G5Z4TTKYMMUX1","GSON1112150125")</f>
        <v>#NAME?</v>
      </c>
      <c r="V1342" s="4" t="e">
        <f ca="1">[1]!BexGetData("DP_1","00O2TNJGODT0G5Z4TTKYMN18L","GSON1112150125")</f>
        <v>#NAME?</v>
      </c>
      <c r="W1342" s="4" t="e">
        <f ca="1">[1]!BexGetData("DP_1","00O2TNJGODT0G5Z4TTKYMN7K5","GSON1112150125")</f>
        <v>#NAME?</v>
      </c>
    </row>
    <row r="1343" spans="1:23" x14ac:dyDescent="0.2">
      <c r="A1343" s="16" t="s">
        <v>3699</v>
      </c>
      <c r="B1343" s="7" t="s">
        <v>3700</v>
      </c>
      <c r="C1343" s="3" t="e">
        <f ca="1">[1]!BexGetData("DP_1","003N8EMH8GTFRCSWKMPXRR8GU","GSON1112150130")</f>
        <v>#NAME?</v>
      </c>
      <c r="D1343" s="3" t="e">
        <f ca="1">[1]!BexGetData("DP_1","003N8EMH8GTFRCSWKMPXRRESE","GSON1112150130")</f>
        <v>#NAME?</v>
      </c>
      <c r="E1343" s="3" t="e">
        <f ca="1">[1]!BexGetData("DP_1","003N8EMH8GTFRCSWKMPXRRL3Y","GSON1112150130")</f>
        <v>#NAME?</v>
      </c>
      <c r="F1343" s="3" t="e">
        <f ca="1">[1]!BexGetData("DP_1","003N8EMH8GTFRCSWKMPXRRRFI","GSON1112150130")</f>
        <v>#NAME?</v>
      </c>
      <c r="G1343" s="3" t="e">
        <f ca="1">[1]!BexGetData("DP_1","003N8EMH8GTFRCSWKMPXRRXR2","GSON1112150130")</f>
        <v>#NAME?</v>
      </c>
      <c r="H1343" s="8" t="e">
        <f ca="1">[1]!BexGetData("DP_1","003N8EMH8GTFRCSWKMPXRS42M","GSON1112150130")</f>
        <v>#NAME?</v>
      </c>
      <c r="I1343" s="3" t="e">
        <f ca="1">[1]!BexGetData("DP_1","003N8EMH8GTFRCSWKMPXRSAE6","GSON1112150130")</f>
        <v>#NAME?</v>
      </c>
      <c r="J1343" s="4" t="e">
        <f ca="1">[1]!BexGetData("DP_1","003N8EMH8GTFRCSWKMPXRSGPQ","GSON1112150130")</f>
        <v>#NAME?</v>
      </c>
      <c r="K1343" s="3" t="e">
        <f ca="1">[1]!BexGetData("DP_1","003N8EMH8GTFRIVNUPY288VJH","GSON1112150130")</f>
        <v>#NAME?</v>
      </c>
      <c r="L1343" s="3" t="e">
        <f ca="1">[1]!BexGetData("DP_1","003N8EMH8GTFRIVNUPY2891V1","GSON1112150130")</f>
        <v>#NAME?</v>
      </c>
      <c r="M1343" s="3" t="e">
        <f ca="1">[1]!BexGetData("DP_1","003N8EMH8GTFRIVOG7KG9IQXA","GSON1112150130")</f>
        <v>#NAME?</v>
      </c>
      <c r="N1343" s="8" t="e">
        <f ca="1">[1]!BexGetData("DP_1","003N8EMH8GTFRIVOG7KG9IX8U","GSON1112150130")</f>
        <v>#NAME?</v>
      </c>
      <c r="O1343" s="3" t="e">
        <f ca="1">[1]!BexGetData("DP_1","003N8EMH8GTFRIVOG7KG9J3KE","GSON1112150130")</f>
        <v>#NAME?</v>
      </c>
      <c r="P1343" s="8" t="e">
        <f ca="1">[1]!BexGetData("DP_1","003N8EMH8GTFRIVOG7KG9J9VY","GSON1112150130")</f>
        <v>#NAME?</v>
      </c>
      <c r="Q1343" s="4" t="e">
        <f ca="1">[1]!BexGetData("DP_1","00O2TNJGODT0G5Z4TTKYMM5MT","GSON1112150130")</f>
        <v>#NAME?</v>
      </c>
      <c r="R1343" s="3" t="e">
        <f ca="1">[1]!BexGetData("DP_1","00O2TNJGODT0G5Z4TTKYMMBYD","GSON1112150130")</f>
        <v>#NAME?</v>
      </c>
      <c r="S1343" s="3" t="e">
        <f ca="1">[1]!BexGetData("DP_1","00O2TNJGODT0G5Z4TTKYMMI9X","GSON1112150130")</f>
        <v>#NAME?</v>
      </c>
      <c r="T1343" s="8" t="e">
        <f ca="1">[1]!BexGetData("DP_1","00O2TNJGODT0G5Z4TTKYMMOLH","GSON1112150130")</f>
        <v>#NAME?</v>
      </c>
      <c r="U1343" s="3" t="e">
        <f ca="1">[1]!BexGetData("DP_1","00O2TNJGODT0G5Z4TTKYMMUX1","GSON1112150130")</f>
        <v>#NAME?</v>
      </c>
      <c r="V1343" s="8" t="e">
        <f ca="1">[1]!BexGetData("DP_1","00O2TNJGODT0G5Z4TTKYMN18L","GSON1112150130")</f>
        <v>#NAME?</v>
      </c>
      <c r="W1343" s="3" t="e">
        <f ca="1">[1]!BexGetData("DP_1","00O2TNJGODT0G5Z4TTKYMN7K5","GSON1112150130")</f>
        <v>#NAME?</v>
      </c>
    </row>
    <row r="1344" spans="1:23" x14ac:dyDescent="0.2">
      <c r="A1344" s="16" t="s">
        <v>3701</v>
      </c>
      <c r="B1344" s="7" t="s">
        <v>3702</v>
      </c>
      <c r="C1344" s="3" t="e">
        <f ca="1">[1]!BexGetData("DP_1","003N8EMH8GTFRCSWKMPXRR8GU","GSON1112150134")</f>
        <v>#NAME?</v>
      </c>
      <c r="D1344" s="3" t="e">
        <f ca="1">[1]!BexGetData("DP_1","003N8EMH8GTFRCSWKMPXRRESE","GSON1112150134")</f>
        <v>#NAME?</v>
      </c>
      <c r="E1344" s="8" t="e">
        <f ca="1">[1]!BexGetData("DP_1","003N8EMH8GTFRCSWKMPXRRL3Y","GSON1112150134")</f>
        <v>#NAME?</v>
      </c>
      <c r="F1344" s="4" t="e">
        <f ca="1">[1]!BexGetData("DP_1","003N8EMH8GTFRCSWKMPXRRRFI","GSON1112150134")</f>
        <v>#NAME?</v>
      </c>
      <c r="G1344" s="4" t="e">
        <f ca="1">[1]!BexGetData("DP_1","003N8EMH8GTFRCSWKMPXRRXR2","GSON1112150134")</f>
        <v>#NAME?</v>
      </c>
      <c r="H1344" s="4" t="e">
        <f ca="1">[1]!BexGetData("DP_1","003N8EMH8GTFRCSWKMPXRS42M","GSON1112150134")</f>
        <v>#NAME?</v>
      </c>
      <c r="I1344" s="4" t="e">
        <f ca="1">[1]!BexGetData("DP_1","003N8EMH8GTFRCSWKMPXRSAE6","GSON1112150134")</f>
        <v>#NAME?</v>
      </c>
      <c r="J1344" s="4" t="e">
        <f ca="1">[1]!BexGetData("DP_1","003N8EMH8GTFRCSWKMPXRSGPQ","GSON1112150134")</f>
        <v>#NAME?</v>
      </c>
      <c r="K1344" s="8" t="e">
        <f ca="1">[1]!BexGetData("DP_1","003N8EMH8GTFRIVNUPY288VJH","GSON1112150134")</f>
        <v>#NAME?</v>
      </c>
      <c r="L1344" s="8" t="e">
        <f ca="1">[1]!BexGetData("DP_1","003N8EMH8GTFRIVNUPY2891V1","GSON1112150134")</f>
        <v>#NAME?</v>
      </c>
      <c r="M1344" s="8" t="e">
        <f ca="1">[1]!BexGetData("DP_1","003N8EMH8GTFRIVOG7KG9IQXA","GSON1112150134")</f>
        <v>#NAME?</v>
      </c>
      <c r="N1344" s="8" t="e">
        <f ca="1">[1]!BexGetData("DP_1","003N8EMH8GTFRIVOG7KG9IX8U","GSON1112150134")</f>
        <v>#NAME?</v>
      </c>
      <c r="O1344" s="8" t="e">
        <f ca="1">[1]!BexGetData("DP_1","003N8EMH8GTFRIVOG7KG9J3KE","GSON1112150134")</f>
        <v>#NAME?</v>
      </c>
      <c r="P1344" s="8" t="e">
        <f ca="1">[1]!BexGetData("DP_1","003N8EMH8GTFRIVOG7KG9J9VY","GSON1112150134")</f>
        <v>#NAME?</v>
      </c>
      <c r="Q1344" s="4" t="e">
        <f ca="1">[1]!BexGetData("DP_1","00O2TNJGODT0G5Z4TTKYMM5MT","GSON1112150134")</f>
        <v>#NAME?</v>
      </c>
      <c r="R1344" s="4" t="e">
        <f ca="1">[1]!BexGetData("DP_1","00O2TNJGODT0G5Z4TTKYMMBYD","GSON1112150134")</f>
        <v>#NAME?</v>
      </c>
      <c r="S1344" s="4" t="e">
        <f ca="1">[1]!BexGetData("DP_1","00O2TNJGODT0G5Z4TTKYMMI9X","GSON1112150134")</f>
        <v>#NAME?</v>
      </c>
      <c r="T1344" s="4" t="e">
        <f ca="1">[1]!BexGetData("DP_1","00O2TNJGODT0G5Z4TTKYMMOLH","GSON1112150134")</f>
        <v>#NAME?</v>
      </c>
      <c r="U1344" s="4" t="e">
        <f ca="1">[1]!BexGetData("DP_1","00O2TNJGODT0G5Z4TTKYMMUX1","GSON1112150134")</f>
        <v>#NAME?</v>
      </c>
      <c r="V1344" s="4" t="e">
        <f ca="1">[1]!BexGetData("DP_1","00O2TNJGODT0G5Z4TTKYMN18L","GSON1112150134")</f>
        <v>#NAME?</v>
      </c>
      <c r="W1344" s="4" t="e">
        <f ca="1">[1]!BexGetData("DP_1","00O2TNJGODT0G5Z4TTKYMN7K5","GSON1112150134")</f>
        <v>#NAME?</v>
      </c>
    </row>
    <row r="1345" spans="1:23" x14ac:dyDescent="0.2">
      <c r="A1345" s="16" t="s">
        <v>3703</v>
      </c>
      <c r="B1345" s="7" t="s">
        <v>3704</v>
      </c>
      <c r="C1345" s="3" t="e">
        <f ca="1">[1]!BexGetData("DP_1","003N8EMH8GTFRCSWKMPXRR8GU","GSON1112150135")</f>
        <v>#NAME?</v>
      </c>
      <c r="D1345" s="3" t="e">
        <f ca="1">[1]!BexGetData("DP_1","003N8EMH8GTFRCSWKMPXRRESE","GSON1112150135")</f>
        <v>#NAME?</v>
      </c>
      <c r="E1345" s="8" t="e">
        <f ca="1">[1]!BexGetData("DP_1","003N8EMH8GTFRCSWKMPXRRL3Y","GSON1112150135")</f>
        <v>#NAME?</v>
      </c>
      <c r="F1345" s="4" t="e">
        <f ca="1">[1]!BexGetData("DP_1","003N8EMH8GTFRCSWKMPXRRRFI","GSON1112150135")</f>
        <v>#NAME?</v>
      </c>
      <c r="G1345" s="4" t="e">
        <f ca="1">[1]!BexGetData("DP_1","003N8EMH8GTFRCSWKMPXRRXR2","GSON1112150135")</f>
        <v>#NAME?</v>
      </c>
      <c r="H1345" s="4" t="e">
        <f ca="1">[1]!BexGetData("DP_1","003N8EMH8GTFRCSWKMPXRS42M","GSON1112150135")</f>
        <v>#NAME?</v>
      </c>
      <c r="I1345" s="4" t="e">
        <f ca="1">[1]!BexGetData("DP_1","003N8EMH8GTFRCSWKMPXRSAE6","GSON1112150135")</f>
        <v>#NAME?</v>
      </c>
      <c r="J1345" s="4" t="e">
        <f ca="1">[1]!BexGetData("DP_1","003N8EMH8GTFRCSWKMPXRSGPQ","GSON1112150135")</f>
        <v>#NAME?</v>
      </c>
      <c r="K1345" s="8" t="e">
        <f ca="1">[1]!BexGetData("DP_1","003N8EMH8GTFRIVNUPY288VJH","GSON1112150135")</f>
        <v>#NAME?</v>
      </c>
      <c r="L1345" s="8" t="e">
        <f ca="1">[1]!BexGetData("DP_1","003N8EMH8GTFRIVNUPY2891V1","GSON1112150135")</f>
        <v>#NAME?</v>
      </c>
      <c r="M1345" s="8" t="e">
        <f ca="1">[1]!BexGetData("DP_1","003N8EMH8GTFRIVOG7KG9IQXA","GSON1112150135")</f>
        <v>#NAME?</v>
      </c>
      <c r="N1345" s="8" t="e">
        <f ca="1">[1]!BexGetData("DP_1","003N8EMH8GTFRIVOG7KG9IX8U","GSON1112150135")</f>
        <v>#NAME?</v>
      </c>
      <c r="O1345" s="8" t="e">
        <f ca="1">[1]!BexGetData("DP_1","003N8EMH8GTFRIVOG7KG9J3KE","GSON1112150135")</f>
        <v>#NAME?</v>
      </c>
      <c r="P1345" s="8" t="e">
        <f ca="1">[1]!BexGetData("DP_1","003N8EMH8GTFRIVOG7KG9J9VY","GSON1112150135")</f>
        <v>#NAME?</v>
      </c>
      <c r="Q1345" s="4" t="e">
        <f ca="1">[1]!BexGetData("DP_1","00O2TNJGODT0G5Z4TTKYMM5MT","GSON1112150135")</f>
        <v>#NAME?</v>
      </c>
      <c r="R1345" s="4" t="e">
        <f ca="1">[1]!BexGetData("DP_1","00O2TNJGODT0G5Z4TTKYMMBYD","GSON1112150135")</f>
        <v>#NAME?</v>
      </c>
      <c r="S1345" s="4" t="e">
        <f ca="1">[1]!BexGetData("DP_1","00O2TNJGODT0G5Z4TTKYMMI9X","GSON1112150135")</f>
        <v>#NAME?</v>
      </c>
      <c r="T1345" s="4" t="e">
        <f ca="1">[1]!BexGetData("DP_1","00O2TNJGODT0G5Z4TTKYMMOLH","GSON1112150135")</f>
        <v>#NAME?</v>
      </c>
      <c r="U1345" s="4" t="e">
        <f ca="1">[1]!BexGetData("DP_1","00O2TNJGODT0G5Z4TTKYMMUX1","GSON1112150135")</f>
        <v>#NAME?</v>
      </c>
      <c r="V1345" s="4" t="e">
        <f ca="1">[1]!BexGetData("DP_1","00O2TNJGODT0G5Z4TTKYMN18L","GSON1112150135")</f>
        <v>#NAME?</v>
      </c>
      <c r="W1345" s="4" t="e">
        <f ca="1">[1]!BexGetData("DP_1","00O2TNJGODT0G5Z4TTKYMN7K5","GSON1112150135")</f>
        <v>#NAME?</v>
      </c>
    </row>
    <row r="1346" spans="1:23" x14ac:dyDescent="0.2">
      <c r="A1346" s="16" t="s">
        <v>3705</v>
      </c>
      <c r="B1346" s="7" t="s">
        <v>3706</v>
      </c>
      <c r="C1346" s="3" t="e">
        <f ca="1">[1]!BexGetData("DP_1","003N8EMH8GTFRCSWKMPXRR8GU","GSON1112150140")</f>
        <v>#NAME?</v>
      </c>
      <c r="D1346" s="3" t="e">
        <f ca="1">[1]!BexGetData("DP_1","003N8EMH8GTFRCSWKMPXRRESE","GSON1112150140")</f>
        <v>#NAME?</v>
      </c>
      <c r="E1346" s="3" t="e">
        <f ca="1">[1]!BexGetData("DP_1","003N8EMH8GTFRCSWKMPXRRL3Y","GSON1112150140")</f>
        <v>#NAME?</v>
      </c>
      <c r="F1346" s="3" t="e">
        <f ca="1">[1]!BexGetData("DP_1","003N8EMH8GTFRCSWKMPXRRRFI","GSON1112150140")</f>
        <v>#NAME?</v>
      </c>
      <c r="G1346" s="3" t="e">
        <f ca="1">[1]!BexGetData("DP_1","003N8EMH8GTFRCSWKMPXRRXR2","GSON1112150140")</f>
        <v>#NAME?</v>
      </c>
      <c r="H1346" s="8" t="e">
        <f ca="1">[1]!BexGetData("DP_1","003N8EMH8GTFRCSWKMPXRS42M","GSON1112150140")</f>
        <v>#NAME?</v>
      </c>
      <c r="I1346" s="3" t="e">
        <f ca="1">[1]!BexGetData("DP_1","003N8EMH8GTFRCSWKMPXRSAE6","GSON1112150140")</f>
        <v>#NAME?</v>
      </c>
      <c r="J1346" s="4" t="e">
        <f ca="1">[1]!BexGetData("DP_1","003N8EMH8GTFRCSWKMPXRSGPQ","GSON1112150140")</f>
        <v>#NAME?</v>
      </c>
      <c r="K1346" s="3" t="e">
        <f ca="1">[1]!BexGetData("DP_1","003N8EMH8GTFRIVNUPY288VJH","GSON1112150140")</f>
        <v>#NAME?</v>
      </c>
      <c r="L1346" s="3" t="e">
        <f ca="1">[1]!BexGetData("DP_1","003N8EMH8GTFRIVNUPY2891V1","GSON1112150140")</f>
        <v>#NAME?</v>
      </c>
      <c r="M1346" s="3" t="e">
        <f ca="1">[1]!BexGetData("DP_1","003N8EMH8GTFRIVOG7KG9IQXA","GSON1112150140")</f>
        <v>#NAME?</v>
      </c>
      <c r="N1346" s="8" t="e">
        <f ca="1">[1]!BexGetData("DP_1","003N8EMH8GTFRIVOG7KG9IX8U","GSON1112150140")</f>
        <v>#NAME?</v>
      </c>
      <c r="O1346" s="3" t="e">
        <f ca="1">[1]!BexGetData("DP_1","003N8EMH8GTFRIVOG7KG9J3KE","GSON1112150140")</f>
        <v>#NAME?</v>
      </c>
      <c r="P1346" s="8" t="e">
        <f ca="1">[1]!BexGetData("DP_1","003N8EMH8GTFRIVOG7KG9J9VY","GSON1112150140")</f>
        <v>#NAME?</v>
      </c>
      <c r="Q1346" s="4" t="e">
        <f ca="1">[1]!BexGetData("DP_1","00O2TNJGODT0G5Z4TTKYMM5MT","GSON1112150140")</f>
        <v>#NAME?</v>
      </c>
      <c r="R1346" s="3" t="e">
        <f ca="1">[1]!BexGetData("DP_1","00O2TNJGODT0G5Z4TTKYMMBYD","GSON1112150140")</f>
        <v>#NAME?</v>
      </c>
      <c r="S1346" s="3" t="e">
        <f ca="1">[1]!BexGetData("DP_1","00O2TNJGODT0G5Z4TTKYMMI9X","GSON1112150140")</f>
        <v>#NAME?</v>
      </c>
      <c r="T1346" s="8" t="e">
        <f ca="1">[1]!BexGetData("DP_1","00O2TNJGODT0G5Z4TTKYMMOLH","GSON1112150140")</f>
        <v>#NAME?</v>
      </c>
      <c r="U1346" s="3" t="e">
        <f ca="1">[1]!BexGetData("DP_1","00O2TNJGODT0G5Z4TTKYMMUX1","GSON1112150140")</f>
        <v>#NAME?</v>
      </c>
      <c r="V1346" s="8" t="e">
        <f ca="1">[1]!BexGetData("DP_1","00O2TNJGODT0G5Z4TTKYMN18L","GSON1112150140")</f>
        <v>#NAME?</v>
      </c>
      <c r="W1346" s="3" t="e">
        <f ca="1">[1]!BexGetData("DP_1","00O2TNJGODT0G5Z4TTKYMN7K5","GSON1112150140")</f>
        <v>#NAME?</v>
      </c>
    </row>
    <row r="1347" spans="1:23" x14ac:dyDescent="0.2">
      <c r="A1347" s="16" t="s">
        <v>3707</v>
      </c>
      <c r="B1347" s="7" t="s">
        <v>3708</v>
      </c>
      <c r="C1347" s="3" t="e">
        <f ca="1">[1]!BexGetData("DP_1","003N8EMH8GTFRCSWKMPXRR8GU","GSON1112150141")</f>
        <v>#NAME?</v>
      </c>
      <c r="D1347" s="3" t="e">
        <f ca="1">[1]!BexGetData("DP_1","003N8EMH8GTFRCSWKMPXRRESE","GSON1112150141")</f>
        <v>#NAME?</v>
      </c>
      <c r="E1347" s="8" t="e">
        <f ca="1">[1]!BexGetData("DP_1","003N8EMH8GTFRCSWKMPXRRL3Y","GSON1112150141")</f>
        <v>#NAME?</v>
      </c>
      <c r="F1347" s="4" t="e">
        <f ca="1">[1]!BexGetData("DP_1","003N8EMH8GTFRCSWKMPXRRRFI","GSON1112150141")</f>
        <v>#NAME?</v>
      </c>
      <c r="G1347" s="4" t="e">
        <f ca="1">[1]!BexGetData("DP_1","003N8EMH8GTFRCSWKMPXRRXR2","GSON1112150141")</f>
        <v>#NAME?</v>
      </c>
      <c r="H1347" s="4" t="e">
        <f ca="1">[1]!BexGetData("DP_1","003N8EMH8GTFRCSWKMPXRS42M","GSON1112150141")</f>
        <v>#NAME?</v>
      </c>
      <c r="I1347" s="4" t="e">
        <f ca="1">[1]!BexGetData("DP_1","003N8EMH8GTFRCSWKMPXRSAE6","GSON1112150141")</f>
        <v>#NAME?</v>
      </c>
      <c r="J1347" s="4" t="e">
        <f ca="1">[1]!BexGetData("DP_1","003N8EMH8GTFRCSWKMPXRSGPQ","GSON1112150141")</f>
        <v>#NAME?</v>
      </c>
      <c r="K1347" s="8" t="e">
        <f ca="1">[1]!BexGetData("DP_1","003N8EMH8GTFRIVNUPY288VJH","GSON1112150141")</f>
        <v>#NAME?</v>
      </c>
      <c r="L1347" s="8" t="e">
        <f ca="1">[1]!BexGetData("DP_1","003N8EMH8GTFRIVNUPY2891V1","GSON1112150141")</f>
        <v>#NAME?</v>
      </c>
      <c r="M1347" s="8" t="e">
        <f ca="1">[1]!BexGetData("DP_1","003N8EMH8GTFRIVOG7KG9IQXA","GSON1112150141")</f>
        <v>#NAME?</v>
      </c>
      <c r="N1347" s="8" t="e">
        <f ca="1">[1]!BexGetData("DP_1","003N8EMH8GTFRIVOG7KG9IX8U","GSON1112150141")</f>
        <v>#NAME?</v>
      </c>
      <c r="O1347" s="8" t="e">
        <f ca="1">[1]!BexGetData("DP_1","003N8EMH8GTFRIVOG7KG9J3KE","GSON1112150141")</f>
        <v>#NAME?</v>
      </c>
      <c r="P1347" s="8" t="e">
        <f ca="1">[1]!BexGetData("DP_1","003N8EMH8GTFRIVOG7KG9J9VY","GSON1112150141")</f>
        <v>#NAME?</v>
      </c>
      <c r="Q1347" s="4" t="e">
        <f ca="1">[1]!BexGetData("DP_1","00O2TNJGODT0G5Z4TTKYMM5MT","GSON1112150141")</f>
        <v>#NAME?</v>
      </c>
      <c r="R1347" s="4" t="e">
        <f ca="1">[1]!BexGetData("DP_1","00O2TNJGODT0G5Z4TTKYMMBYD","GSON1112150141")</f>
        <v>#NAME?</v>
      </c>
      <c r="S1347" s="4" t="e">
        <f ca="1">[1]!BexGetData("DP_1","00O2TNJGODT0G5Z4TTKYMMI9X","GSON1112150141")</f>
        <v>#NAME?</v>
      </c>
      <c r="T1347" s="4" t="e">
        <f ca="1">[1]!BexGetData("DP_1","00O2TNJGODT0G5Z4TTKYMMOLH","GSON1112150141")</f>
        <v>#NAME?</v>
      </c>
      <c r="U1347" s="4" t="e">
        <f ca="1">[1]!BexGetData("DP_1","00O2TNJGODT0G5Z4TTKYMMUX1","GSON1112150141")</f>
        <v>#NAME?</v>
      </c>
      <c r="V1347" s="4" t="e">
        <f ca="1">[1]!BexGetData("DP_1","00O2TNJGODT0G5Z4TTKYMN18L","GSON1112150141")</f>
        <v>#NAME?</v>
      </c>
      <c r="W1347" s="4" t="e">
        <f ca="1">[1]!BexGetData("DP_1","00O2TNJGODT0G5Z4TTKYMN7K5","GSON1112150141")</f>
        <v>#NAME?</v>
      </c>
    </row>
    <row r="1348" spans="1:23" x14ac:dyDescent="0.2">
      <c r="A1348" s="16" t="s">
        <v>3709</v>
      </c>
      <c r="B1348" s="7" t="s">
        <v>3710</v>
      </c>
      <c r="C1348" s="3" t="e">
        <f ca="1">[1]!BexGetData("DP_1","003N8EMH8GTFRCSWKMPXRR8GU","GSON1112150144")</f>
        <v>#NAME?</v>
      </c>
      <c r="D1348" s="3" t="e">
        <f ca="1">[1]!BexGetData("DP_1","003N8EMH8GTFRCSWKMPXRRESE","GSON1112150144")</f>
        <v>#NAME?</v>
      </c>
      <c r="E1348" s="8" t="e">
        <f ca="1">[1]!BexGetData("DP_1","003N8EMH8GTFRCSWKMPXRRL3Y","GSON1112150144")</f>
        <v>#NAME?</v>
      </c>
      <c r="F1348" s="4" t="e">
        <f ca="1">[1]!BexGetData("DP_1","003N8EMH8GTFRCSWKMPXRRRFI","GSON1112150144")</f>
        <v>#NAME?</v>
      </c>
      <c r="G1348" s="4" t="e">
        <f ca="1">[1]!BexGetData("DP_1","003N8EMH8GTFRCSWKMPXRRXR2","GSON1112150144")</f>
        <v>#NAME?</v>
      </c>
      <c r="H1348" s="4" t="e">
        <f ca="1">[1]!BexGetData("DP_1","003N8EMH8GTFRCSWKMPXRS42M","GSON1112150144")</f>
        <v>#NAME?</v>
      </c>
      <c r="I1348" s="4" t="e">
        <f ca="1">[1]!BexGetData("DP_1","003N8EMH8GTFRCSWKMPXRSAE6","GSON1112150144")</f>
        <v>#NAME?</v>
      </c>
      <c r="J1348" s="4" t="e">
        <f ca="1">[1]!BexGetData("DP_1","003N8EMH8GTFRCSWKMPXRSGPQ","GSON1112150144")</f>
        <v>#NAME?</v>
      </c>
      <c r="K1348" s="8" t="e">
        <f ca="1">[1]!BexGetData("DP_1","003N8EMH8GTFRIVNUPY288VJH","GSON1112150144")</f>
        <v>#NAME?</v>
      </c>
      <c r="L1348" s="8" t="e">
        <f ca="1">[1]!BexGetData("DP_1","003N8EMH8GTFRIVNUPY2891V1","GSON1112150144")</f>
        <v>#NAME?</v>
      </c>
      <c r="M1348" s="8" t="e">
        <f ca="1">[1]!BexGetData("DP_1","003N8EMH8GTFRIVOG7KG9IQXA","GSON1112150144")</f>
        <v>#NAME?</v>
      </c>
      <c r="N1348" s="8" t="e">
        <f ca="1">[1]!BexGetData("DP_1","003N8EMH8GTFRIVOG7KG9IX8U","GSON1112150144")</f>
        <v>#NAME?</v>
      </c>
      <c r="O1348" s="8" t="e">
        <f ca="1">[1]!BexGetData("DP_1","003N8EMH8GTFRIVOG7KG9J3KE","GSON1112150144")</f>
        <v>#NAME?</v>
      </c>
      <c r="P1348" s="8" t="e">
        <f ca="1">[1]!BexGetData("DP_1","003N8EMH8GTFRIVOG7KG9J9VY","GSON1112150144")</f>
        <v>#NAME?</v>
      </c>
      <c r="Q1348" s="4" t="e">
        <f ca="1">[1]!BexGetData("DP_1","00O2TNJGODT0G5Z4TTKYMM5MT","GSON1112150144")</f>
        <v>#NAME?</v>
      </c>
      <c r="R1348" s="4" t="e">
        <f ca="1">[1]!BexGetData("DP_1","00O2TNJGODT0G5Z4TTKYMMBYD","GSON1112150144")</f>
        <v>#NAME?</v>
      </c>
      <c r="S1348" s="4" t="e">
        <f ca="1">[1]!BexGetData("DP_1","00O2TNJGODT0G5Z4TTKYMMI9X","GSON1112150144")</f>
        <v>#NAME?</v>
      </c>
      <c r="T1348" s="4" t="e">
        <f ca="1">[1]!BexGetData("DP_1","00O2TNJGODT0G5Z4TTKYMMOLH","GSON1112150144")</f>
        <v>#NAME?</v>
      </c>
      <c r="U1348" s="4" t="e">
        <f ca="1">[1]!BexGetData("DP_1","00O2TNJGODT0G5Z4TTKYMMUX1","GSON1112150144")</f>
        <v>#NAME?</v>
      </c>
      <c r="V1348" s="4" t="e">
        <f ca="1">[1]!BexGetData("DP_1","00O2TNJGODT0G5Z4TTKYMN18L","GSON1112150144")</f>
        <v>#NAME?</v>
      </c>
      <c r="W1348" s="4" t="e">
        <f ca="1">[1]!BexGetData("DP_1","00O2TNJGODT0G5Z4TTKYMN7K5","GSON1112150144")</f>
        <v>#NAME?</v>
      </c>
    </row>
    <row r="1349" spans="1:23" x14ac:dyDescent="0.2">
      <c r="A1349" s="16" t="s">
        <v>3711</v>
      </c>
      <c r="B1349" s="7" t="s">
        <v>3712</v>
      </c>
      <c r="C1349" s="3" t="e">
        <f ca="1">[1]!BexGetData("DP_1","003N8EMH8GTFRCSWKMPXRR8GU","GSON1112150145")</f>
        <v>#NAME?</v>
      </c>
      <c r="D1349" s="3" t="e">
        <f ca="1">[1]!BexGetData("DP_1","003N8EMH8GTFRCSWKMPXRRESE","GSON1112150145")</f>
        <v>#NAME?</v>
      </c>
      <c r="E1349" s="8" t="e">
        <f ca="1">[1]!BexGetData("DP_1","003N8EMH8GTFRCSWKMPXRRL3Y","GSON1112150145")</f>
        <v>#NAME?</v>
      </c>
      <c r="F1349" s="4" t="e">
        <f ca="1">[1]!BexGetData("DP_1","003N8EMH8GTFRCSWKMPXRRRFI","GSON1112150145")</f>
        <v>#NAME?</v>
      </c>
      <c r="G1349" s="4" t="e">
        <f ca="1">[1]!BexGetData("DP_1","003N8EMH8GTFRCSWKMPXRRXR2","GSON1112150145")</f>
        <v>#NAME?</v>
      </c>
      <c r="H1349" s="4" t="e">
        <f ca="1">[1]!BexGetData("DP_1","003N8EMH8GTFRCSWKMPXRS42M","GSON1112150145")</f>
        <v>#NAME?</v>
      </c>
      <c r="I1349" s="4" t="e">
        <f ca="1">[1]!BexGetData("DP_1","003N8EMH8GTFRCSWKMPXRSAE6","GSON1112150145")</f>
        <v>#NAME?</v>
      </c>
      <c r="J1349" s="4" t="e">
        <f ca="1">[1]!BexGetData("DP_1","003N8EMH8GTFRCSWKMPXRSGPQ","GSON1112150145")</f>
        <v>#NAME?</v>
      </c>
      <c r="K1349" s="8" t="e">
        <f ca="1">[1]!BexGetData("DP_1","003N8EMH8GTFRIVNUPY288VJH","GSON1112150145")</f>
        <v>#NAME?</v>
      </c>
      <c r="L1349" s="8" t="e">
        <f ca="1">[1]!BexGetData("DP_1","003N8EMH8GTFRIVNUPY2891V1","GSON1112150145")</f>
        <v>#NAME?</v>
      </c>
      <c r="M1349" s="8" t="e">
        <f ca="1">[1]!BexGetData("DP_1","003N8EMH8GTFRIVOG7KG9IQXA","GSON1112150145")</f>
        <v>#NAME?</v>
      </c>
      <c r="N1349" s="8" t="e">
        <f ca="1">[1]!BexGetData("DP_1","003N8EMH8GTFRIVOG7KG9IX8U","GSON1112150145")</f>
        <v>#NAME?</v>
      </c>
      <c r="O1349" s="8" t="e">
        <f ca="1">[1]!BexGetData("DP_1","003N8EMH8GTFRIVOG7KG9J3KE","GSON1112150145")</f>
        <v>#NAME?</v>
      </c>
      <c r="P1349" s="8" t="e">
        <f ca="1">[1]!BexGetData("DP_1","003N8EMH8GTFRIVOG7KG9J9VY","GSON1112150145")</f>
        <v>#NAME?</v>
      </c>
      <c r="Q1349" s="4" t="e">
        <f ca="1">[1]!BexGetData("DP_1","00O2TNJGODT0G5Z4TTKYMM5MT","GSON1112150145")</f>
        <v>#NAME?</v>
      </c>
      <c r="R1349" s="4" t="e">
        <f ca="1">[1]!BexGetData("DP_1","00O2TNJGODT0G5Z4TTKYMMBYD","GSON1112150145")</f>
        <v>#NAME?</v>
      </c>
      <c r="S1349" s="4" t="e">
        <f ca="1">[1]!BexGetData("DP_1","00O2TNJGODT0G5Z4TTKYMMI9X","GSON1112150145")</f>
        <v>#NAME?</v>
      </c>
      <c r="T1349" s="4" t="e">
        <f ca="1">[1]!BexGetData("DP_1","00O2TNJGODT0G5Z4TTKYMMOLH","GSON1112150145")</f>
        <v>#NAME?</v>
      </c>
      <c r="U1349" s="4" t="e">
        <f ca="1">[1]!BexGetData("DP_1","00O2TNJGODT0G5Z4TTKYMMUX1","GSON1112150145")</f>
        <v>#NAME?</v>
      </c>
      <c r="V1349" s="4" t="e">
        <f ca="1">[1]!BexGetData("DP_1","00O2TNJGODT0G5Z4TTKYMN18L","GSON1112150145")</f>
        <v>#NAME?</v>
      </c>
      <c r="W1349" s="4" t="e">
        <f ca="1">[1]!BexGetData("DP_1","00O2TNJGODT0G5Z4TTKYMN7K5","GSON1112150145")</f>
        <v>#NAME?</v>
      </c>
    </row>
    <row r="1350" spans="1:23" x14ac:dyDescent="0.2">
      <c r="A1350" s="16" t="s">
        <v>3713</v>
      </c>
      <c r="B1350" s="7" t="s">
        <v>3714</v>
      </c>
      <c r="C1350" s="3" t="e">
        <f ca="1">[1]!BexGetData("DP_1","003N8EMH8GTFRCSWKMPXRR8GU","GSON1112150150")</f>
        <v>#NAME?</v>
      </c>
      <c r="D1350" s="3" t="e">
        <f ca="1">[1]!BexGetData("DP_1","003N8EMH8GTFRCSWKMPXRRESE","GSON1112150150")</f>
        <v>#NAME?</v>
      </c>
      <c r="E1350" s="3" t="e">
        <f ca="1">[1]!BexGetData("DP_1","003N8EMH8GTFRCSWKMPXRRL3Y","GSON1112150150")</f>
        <v>#NAME?</v>
      </c>
      <c r="F1350" s="3" t="e">
        <f ca="1">[1]!BexGetData("DP_1","003N8EMH8GTFRCSWKMPXRRRFI","GSON1112150150")</f>
        <v>#NAME?</v>
      </c>
      <c r="G1350" s="3" t="e">
        <f ca="1">[1]!BexGetData("DP_1","003N8EMH8GTFRCSWKMPXRRXR2","GSON1112150150")</f>
        <v>#NAME?</v>
      </c>
      <c r="H1350" s="8" t="e">
        <f ca="1">[1]!BexGetData("DP_1","003N8EMH8GTFRCSWKMPXRS42M","GSON1112150150")</f>
        <v>#NAME?</v>
      </c>
      <c r="I1350" s="3" t="e">
        <f ca="1">[1]!BexGetData("DP_1","003N8EMH8GTFRCSWKMPXRSAE6","GSON1112150150")</f>
        <v>#NAME?</v>
      </c>
      <c r="J1350" s="4" t="e">
        <f ca="1">[1]!BexGetData("DP_1","003N8EMH8GTFRCSWKMPXRSGPQ","GSON1112150150")</f>
        <v>#NAME?</v>
      </c>
      <c r="K1350" s="3" t="e">
        <f ca="1">[1]!BexGetData("DP_1","003N8EMH8GTFRIVNUPY288VJH","GSON1112150150")</f>
        <v>#NAME?</v>
      </c>
      <c r="L1350" s="3" t="e">
        <f ca="1">[1]!BexGetData("DP_1","003N8EMH8GTFRIVNUPY2891V1","GSON1112150150")</f>
        <v>#NAME?</v>
      </c>
      <c r="M1350" s="3" t="e">
        <f ca="1">[1]!BexGetData("DP_1","003N8EMH8GTFRIVOG7KG9IQXA","GSON1112150150")</f>
        <v>#NAME?</v>
      </c>
      <c r="N1350" s="8" t="e">
        <f ca="1">[1]!BexGetData("DP_1","003N8EMH8GTFRIVOG7KG9IX8U","GSON1112150150")</f>
        <v>#NAME?</v>
      </c>
      <c r="O1350" s="3" t="e">
        <f ca="1">[1]!BexGetData("DP_1","003N8EMH8GTFRIVOG7KG9J3KE","GSON1112150150")</f>
        <v>#NAME?</v>
      </c>
      <c r="P1350" s="8" t="e">
        <f ca="1">[1]!BexGetData("DP_1","003N8EMH8GTFRIVOG7KG9J9VY","GSON1112150150")</f>
        <v>#NAME?</v>
      </c>
      <c r="Q1350" s="4" t="e">
        <f ca="1">[1]!BexGetData("DP_1","00O2TNJGODT0G5Z4TTKYMM5MT","GSON1112150150")</f>
        <v>#NAME?</v>
      </c>
      <c r="R1350" s="3" t="e">
        <f ca="1">[1]!BexGetData("DP_1","00O2TNJGODT0G5Z4TTKYMMBYD","GSON1112150150")</f>
        <v>#NAME?</v>
      </c>
      <c r="S1350" s="3" t="e">
        <f ca="1">[1]!BexGetData("DP_1","00O2TNJGODT0G5Z4TTKYMMI9X","GSON1112150150")</f>
        <v>#NAME?</v>
      </c>
      <c r="T1350" s="8" t="e">
        <f ca="1">[1]!BexGetData("DP_1","00O2TNJGODT0G5Z4TTKYMMOLH","GSON1112150150")</f>
        <v>#NAME?</v>
      </c>
      <c r="U1350" s="3" t="e">
        <f ca="1">[1]!BexGetData("DP_1","00O2TNJGODT0G5Z4TTKYMMUX1","GSON1112150150")</f>
        <v>#NAME?</v>
      </c>
      <c r="V1350" s="8" t="e">
        <f ca="1">[1]!BexGetData("DP_1","00O2TNJGODT0G5Z4TTKYMN18L","GSON1112150150")</f>
        <v>#NAME?</v>
      </c>
      <c r="W1350" s="3" t="e">
        <f ca="1">[1]!BexGetData("DP_1","00O2TNJGODT0G5Z4TTKYMN7K5","GSON1112150150")</f>
        <v>#NAME?</v>
      </c>
    </row>
    <row r="1351" spans="1:23" x14ac:dyDescent="0.2">
      <c r="A1351" s="16" t="s">
        <v>3715</v>
      </c>
      <c r="B1351" s="7" t="s">
        <v>3716</v>
      </c>
      <c r="C1351" s="3" t="e">
        <f ca="1">[1]!BexGetData("DP_1","003N8EMH8GTFRCSWKMPXRR8GU","GSON1112150151")</f>
        <v>#NAME?</v>
      </c>
      <c r="D1351" s="3" t="e">
        <f ca="1">[1]!BexGetData("DP_1","003N8EMH8GTFRCSWKMPXRRESE","GSON1112150151")</f>
        <v>#NAME?</v>
      </c>
      <c r="E1351" s="8" t="e">
        <f ca="1">[1]!BexGetData("DP_1","003N8EMH8GTFRCSWKMPXRRL3Y","GSON1112150151")</f>
        <v>#NAME?</v>
      </c>
      <c r="F1351" s="4" t="e">
        <f ca="1">[1]!BexGetData("DP_1","003N8EMH8GTFRCSWKMPXRRRFI","GSON1112150151")</f>
        <v>#NAME?</v>
      </c>
      <c r="G1351" s="4" t="e">
        <f ca="1">[1]!BexGetData("DP_1","003N8EMH8GTFRCSWKMPXRRXR2","GSON1112150151")</f>
        <v>#NAME?</v>
      </c>
      <c r="H1351" s="4" t="e">
        <f ca="1">[1]!BexGetData("DP_1","003N8EMH8GTFRCSWKMPXRS42M","GSON1112150151")</f>
        <v>#NAME?</v>
      </c>
      <c r="I1351" s="4" t="e">
        <f ca="1">[1]!BexGetData("DP_1","003N8EMH8GTFRCSWKMPXRSAE6","GSON1112150151")</f>
        <v>#NAME?</v>
      </c>
      <c r="J1351" s="4" t="e">
        <f ca="1">[1]!BexGetData("DP_1","003N8EMH8GTFRCSWKMPXRSGPQ","GSON1112150151")</f>
        <v>#NAME?</v>
      </c>
      <c r="K1351" s="8" t="e">
        <f ca="1">[1]!BexGetData("DP_1","003N8EMH8GTFRIVNUPY288VJH","GSON1112150151")</f>
        <v>#NAME?</v>
      </c>
      <c r="L1351" s="8" t="e">
        <f ca="1">[1]!BexGetData("DP_1","003N8EMH8GTFRIVNUPY2891V1","GSON1112150151")</f>
        <v>#NAME?</v>
      </c>
      <c r="M1351" s="8" t="e">
        <f ca="1">[1]!BexGetData("DP_1","003N8EMH8GTFRIVOG7KG9IQXA","GSON1112150151")</f>
        <v>#NAME?</v>
      </c>
      <c r="N1351" s="8" t="e">
        <f ca="1">[1]!BexGetData("DP_1","003N8EMH8GTFRIVOG7KG9IX8U","GSON1112150151")</f>
        <v>#NAME?</v>
      </c>
      <c r="O1351" s="8" t="e">
        <f ca="1">[1]!BexGetData("DP_1","003N8EMH8GTFRIVOG7KG9J3KE","GSON1112150151")</f>
        <v>#NAME?</v>
      </c>
      <c r="P1351" s="8" t="e">
        <f ca="1">[1]!BexGetData("DP_1","003N8EMH8GTFRIVOG7KG9J9VY","GSON1112150151")</f>
        <v>#NAME?</v>
      </c>
      <c r="Q1351" s="4" t="e">
        <f ca="1">[1]!BexGetData("DP_1","00O2TNJGODT0G5Z4TTKYMM5MT","GSON1112150151")</f>
        <v>#NAME?</v>
      </c>
      <c r="R1351" s="4" t="e">
        <f ca="1">[1]!BexGetData("DP_1","00O2TNJGODT0G5Z4TTKYMMBYD","GSON1112150151")</f>
        <v>#NAME?</v>
      </c>
      <c r="S1351" s="4" t="e">
        <f ca="1">[1]!BexGetData("DP_1","00O2TNJGODT0G5Z4TTKYMMI9X","GSON1112150151")</f>
        <v>#NAME?</v>
      </c>
      <c r="T1351" s="4" t="e">
        <f ca="1">[1]!BexGetData("DP_1","00O2TNJGODT0G5Z4TTKYMMOLH","GSON1112150151")</f>
        <v>#NAME?</v>
      </c>
      <c r="U1351" s="4" t="e">
        <f ca="1">[1]!BexGetData("DP_1","00O2TNJGODT0G5Z4TTKYMMUX1","GSON1112150151")</f>
        <v>#NAME?</v>
      </c>
      <c r="V1351" s="4" t="e">
        <f ca="1">[1]!BexGetData("DP_1","00O2TNJGODT0G5Z4TTKYMN18L","GSON1112150151")</f>
        <v>#NAME?</v>
      </c>
      <c r="W1351" s="4" t="e">
        <f ca="1">[1]!BexGetData("DP_1","00O2TNJGODT0G5Z4TTKYMN7K5","GSON1112150151")</f>
        <v>#NAME?</v>
      </c>
    </row>
    <row r="1352" spans="1:23" x14ac:dyDescent="0.2">
      <c r="A1352" s="16" t="s">
        <v>3717</v>
      </c>
      <c r="B1352" s="7" t="s">
        <v>3718</v>
      </c>
      <c r="C1352" s="3" t="e">
        <f ca="1">[1]!BexGetData("DP_1","003N8EMH8GTFRCSWKMPXRR8GU","GSON1112150154")</f>
        <v>#NAME?</v>
      </c>
      <c r="D1352" s="3" t="e">
        <f ca="1">[1]!BexGetData("DP_1","003N8EMH8GTFRCSWKMPXRRESE","GSON1112150154")</f>
        <v>#NAME?</v>
      </c>
      <c r="E1352" s="8" t="e">
        <f ca="1">[1]!BexGetData("DP_1","003N8EMH8GTFRCSWKMPXRRL3Y","GSON1112150154")</f>
        <v>#NAME?</v>
      </c>
      <c r="F1352" s="4" t="e">
        <f ca="1">[1]!BexGetData("DP_1","003N8EMH8GTFRCSWKMPXRRRFI","GSON1112150154")</f>
        <v>#NAME?</v>
      </c>
      <c r="G1352" s="4" t="e">
        <f ca="1">[1]!BexGetData("DP_1","003N8EMH8GTFRCSWKMPXRRXR2","GSON1112150154")</f>
        <v>#NAME?</v>
      </c>
      <c r="H1352" s="4" t="e">
        <f ca="1">[1]!BexGetData("DP_1","003N8EMH8GTFRCSWKMPXRS42M","GSON1112150154")</f>
        <v>#NAME?</v>
      </c>
      <c r="I1352" s="4" t="e">
        <f ca="1">[1]!BexGetData("DP_1","003N8EMH8GTFRCSWKMPXRSAE6","GSON1112150154")</f>
        <v>#NAME?</v>
      </c>
      <c r="J1352" s="4" t="e">
        <f ca="1">[1]!BexGetData("DP_1","003N8EMH8GTFRCSWKMPXRSGPQ","GSON1112150154")</f>
        <v>#NAME?</v>
      </c>
      <c r="K1352" s="8" t="e">
        <f ca="1">[1]!BexGetData("DP_1","003N8EMH8GTFRIVNUPY288VJH","GSON1112150154")</f>
        <v>#NAME?</v>
      </c>
      <c r="L1352" s="8" t="e">
        <f ca="1">[1]!BexGetData("DP_1","003N8EMH8GTFRIVNUPY2891V1","GSON1112150154")</f>
        <v>#NAME?</v>
      </c>
      <c r="M1352" s="8" t="e">
        <f ca="1">[1]!BexGetData("DP_1","003N8EMH8GTFRIVOG7KG9IQXA","GSON1112150154")</f>
        <v>#NAME?</v>
      </c>
      <c r="N1352" s="8" t="e">
        <f ca="1">[1]!BexGetData("DP_1","003N8EMH8GTFRIVOG7KG9IX8U","GSON1112150154")</f>
        <v>#NAME?</v>
      </c>
      <c r="O1352" s="8" t="e">
        <f ca="1">[1]!BexGetData("DP_1","003N8EMH8GTFRIVOG7KG9J3KE","GSON1112150154")</f>
        <v>#NAME?</v>
      </c>
      <c r="P1352" s="8" t="e">
        <f ca="1">[1]!BexGetData("DP_1","003N8EMH8GTFRIVOG7KG9J9VY","GSON1112150154")</f>
        <v>#NAME?</v>
      </c>
      <c r="Q1352" s="4" t="e">
        <f ca="1">[1]!BexGetData("DP_1","00O2TNJGODT0G5Z4TTKYMM5MT","GSON1112150154")</f>
        <v>#NAME?</v>
      </c>
      <c r="R1352" s="4" t="e">
        <f ca="1">[1]!BexGetData("DP_1","00O2TNJGODT0G5Z4TTKYMMBYD","GSON1112150154")</f>
        <v>#NAME?</v>
      </c>
      <c r="S1352" s="4" t="e">
        <f ca="1">[1]!BexGetData("DP_1","00O2TNJGODT0G5Z4TTKYMMI9X","GSON1112150154")</f>
        <v>#NAME?</v>
      </c>
      <c r="T1352" s="4" t="e">
        <f ca="1">[1]!BexGetData("DP_1","00O2TNJGODT0G5Z4TTKYMMOLH","GSON1112150154")</f>
        <v>#NAME?</v>
      </c>
      <c r="U1352" s="4" t="e">
        <f ca="1">[1]!BexGetData("DP_1","00O2TNJGODT0G5Z4TTKYMMUX1","GSON1112150154")</f>
        <v>#NAME?</v>
      </c>
      <c r="V1352" s="4" t="e">
        <f ca="1">[1]!BexGetData("DP_1","00O2TNJGODT0G5Z4TTKYMN18L","GSON1112150154")</f>
        <v>#NAME?</v>
      </c>
      <c r="W1352" s="4" t="e">
        <f ca="1">[1]!BexGetData("DP_1","00O2TNJGODT0G5Z4TTKYMN7K5","GSON1112150154")</f>
        <v>#NAME?</v>
      </c>
    </row>
    <row r="1353" spans="1:23" x14ac:dyDescent="0.2">
      <c r="A1353" s="16" t="s">
        <v>3719</v>
      </c>
      <c r="B1353" s="7" t="s">
        <v>3720</v>
      </c>
      <c r="C1353" s="3" t="e">
        <f ca="1">[1]!BexGetData("DP_1","003N8EMH8GTFRCSWKMPXRR8GU","GSON1112150155")</f>
        <v>#NAME?</v>
      </c>
      <c r="D1353" s="3" t="e">
        <f ca="1">[1]!BexGetData("DP_1","003N8EMH8GTFRCSWKMPXRRESE","GSON1112150155")</f>
        <v>#NAME?</v>
      </c>
      <c r="E1353" s="8" t="e">
        <f ca="1">[1]!BexGetData("DP_1","003N8EMH8GTFRCSWKMPXRRL3Y","GSON1112150155")</f>
        <v>#NAME?</v>
      </c>
      <c r="F1353" s="4" t="e">
        <f ca="1">[1]!BexGetData("DP_1","003N8EMH8GTFRCSWKMPXRRRFI","GSON1112150155")</f>
        <v>#NAME?</v>
      </c>
      <c r="G1353" s="4" t="e">
        <f ca="1">[1]!BexGetData("DP_1","003N8EMH8GTFRCSWKMPXRRXR2","GSON1112150155")</f>
        <v>#NAME?</v>
      </c>
      <c r="H1353" s="4" t="e">
        <f ca="1">[1]!BexGetData("DP_1","003N8EMH8GTFRCSWKMPXRS42M","GSON1112150155")</f>
        <v>#NAME?</v>
      </c>
      <c r="I1353" s="4" t="e">
        <f ca="1">[1]!BexGetData("DP_1","003N8EMH8GTFRCSWKMPXRSAE6","GSON1112150155")</f>
        <v>#NAME?</v>
      </c>
      <c r="J1353" s="4" t="e">
        <f ca="1">[1]!BexGetData("DP_1","003N8EMH8GTFRCSWKMPXRSGPQ","GSON1112150155")</f>
        <v>#NAME?</v>
      </c>
      <c r="K1353" s="8" t="e">
        <f ca="1">[1]!BexGetData("DP_1","003N8EMH8GTFRIVNUPY288VJH","GSON1112150155")</f>
        <v>#NAME?</v>
      </c>
      <c r="L1353" s="8" t="e">
        <f ca="1">[1]!BexGetData("DP_1","003N8EMH8GTFRIVNUPY2891V1","GSON1112150155")</f>
        <v>#NAME?</v>
      </c>
      <c r="M1353" s="8" t="e">
        <f ca="1">[1]!BexGetData("DP_1","003N8EMH8GTFRIVOG7KG9IQXA","GSON1112150155")</f>
        <v>#NAME?</v>
      </c>
      <c r="N1353" s="8" t="e">
        <f ca="1">[1]!BexGetData("DP_1","003N8EMH8GTFRIVOG7KG9IX8U","GSON1112150155")</f>
        <v>#NAME?</v>
      </c>
      <c r="O1353" s="8" t="e">
        <f ca="1">[1]!BexGetData("DP_1","003N8EMH8GTFRIVOG7KG9J3KE","GSON1112150155")</f>
        <v>#NAME?</v>
      </c>
      <c r="P1353" s="8" t="e">
        <f ca="1">[1]!BexGetData("DP_1","003N8EMH8GTFRIVOG7KG9J9VY","GSON1112150155")</f>
        <v>#NAME?</v>
      </c>
      <c r="Q1353" s="4" t="e">
        <f ca="1">[1]!BexGetData("DP_1","00O2TNJGODT0G5Z4TTKYMM5MT","GSON1112150155")</f>
        <v>#NAME?</v>
      </c>
      <c r="R1353" s="4" t="e">
        <f ca="1">[1]!BexGetData("DP_1","00O2TNJGODT0G5Z4TTKYMMBYD","GSON1112150155")</f>
        <v>#NAME?</v>
      </c>
      <c r="S1353" s="4" t="e">
        <f ca="1">[1]!BexGetData("DP_1","00O2TNJGODT0G5Z4TTKYMMI9X","GSON1112150155")</f>
        <v>#NAME?</v>
      </c>
      <c r="T1353" s="4" t="e">
        <f ca="1">[1]!BexGetData("DP_1","00O2TNJGODT0G5Z4TTKYMMOLH","GSON1112150155")</f>
        <v>#NAME?</v>
      </c>
      <c r="U1353" s="4" t="e">
        <f ca="1">[1]!BexGetData("DP_1","00O2TNJGODT0G5Z4TTKYMMUX1","GSON1112150155")</f>
        <v>#NAME?</v>
      </c>
      <c r="V1353" s="4" t="e">
        <f ca="1">[1]!BexGetData("DP_1","00O2TNJGODT0G5Z4TTKYMN18L","GSON1112150155")</f>
        <v>#NAME?</v>
      </c>
      <c r="W1353" s="4" t="e">
        <f ca="1">[1]!BexGetData("DP_1","00O2TNJGODT0G5Z4TTKYMN7K5","GSON1112150155")</f>
        <v>#NAME?</v>
      </c>
    </row>
    <row r="1354" spans="1:23" x14ac:dyDescent="0.2">
      <c r="A1354" s="16" t="s">
        <v>3721</v>
      </c>
      <c r="B1354" s="7" t="s">
        <v>3722</v>
      </c>
      <c r="C1354" s="8" t="e">
        <f ca="1">[1]!BexGetData("DP_1","003N8EMH8GTFRCSWKMPXRR8GU","GSON1112150170")</f>
        <v>#NAME?</v>
      </c>
      <c r="D1354" s="3" t="e">
        <f ca="1">[1]!BexGetData("DP_1","003N8EMH8GTFRCSWKMPXRRESE","GSON1112150170")</f>
        <v>#NAME?</v>
      </c>
      <c r="E1354" s="8" t="e">
        <f ca="1">[1]!BexGetData("DP_1","003N8EMH8GTFRCSWKMPXRRL3Y","GSON1112150170")</f>
        <v>#NAME?</v>
      </c>
      <c r="F1354" s="3" t="e">
        <f ca="1">[1]!BexGetData("DP_1","003N8EMH8GTFRCSWKMPXRRRFI","GSON1112150170")</f>
        <v>#NAME?</v>
      </c>
      <c r="G1354" s="3" t="e">
        <f ca="1">[1]!BexGetData("DP_1","003N8EMH8GTFRCSWKMPXRRXR2","GSON1112150170")</f>
        <v>#NAME?</v>
      </c>
      <c r="H1354" s="8" t="e">
        <f ca="1">[1]!BexGetData("DP_1","003N8EMH8GTFRCSWKMPXRS42M","GSON1112150170")</f>
        <v>#NAME?</v>
      </c>
      <c r="I1354" s="3" t="e">
        <f ca="1">[1]!BexGetData("DP_1","003N8EMH8GTFRCSWKMPXRSAE6","GSON1112150170")</f>
        <v>#NAME?</v>
      </c>
      <c r="J1354" s="4" t="e">
        <f ca="1">[1]!BexGetData("DP_1","003N8EMH8GTFRCSWKMPXRSGPQ","GSON1112150170")</f>
        <v>#NAME?</v>
      </c>
      <c r="K1354" s="3" t="e">
        <f ca="1">[1]!BexGetData("DP_1","003N8EMH8GTFRIVNUPY288VJH","GSON1112150170")</f>
        <v>#NAME?</v>
      </c>
      <c r="L1354" s="3" t="e">
        <f ca="1">[1]!BexGetData("DP_1","003N8EMH8GTFRIVNUPY2891V1","GSON1112150170")</f>
        <v>#NAME?</v>
      </c>
      <c r="M1354" s="3" t="e">
        <f ca="1">[1]!BexGetData("DP_1","003N8EMH8GTFRIVOG7KG9IQXA","GSON1112150170")</f>
        <v>#NAME?</v>
      </c>
      <c r="N1354" s="8" t="e">
        <f ca="1">[1]!BexGetData("DP_1","003N8EMH8GTFRIVOG7KG9IX8U","GSON1112150170")</f>
        <v>#NAME?</v>
      </c>
      <c r="O1354" s="3" t="e">
        <f ca="1">[1]!BexGetData("DP_1","003N8EMH8GTFRIVOG7KG9J3KE","GSON1112150170")</f>
        <v>#NAME?</v>
      </c>
      <c r="P1354" s="8" t="e">
        <f ca="1">[1]!BexGetData("DP_1","003N8EMH8GTFRIVOG7KG9J9VY","GSON1112150170")</f>
        <v>#NAME?</v>
      </c>
      <c r="Q1354" s="4" t="e">
        <f ca="1">[1]!BexGetData("DP_1","00O2TNJGODT0G5Z4TTKYMM5MT","GSON1112150170")</f>
        <v>#NAME?</v>
      </c>
      <c r="R1354" s="3" t="e">
        <f ca="1">[1]!BexGetData("DP_1","00O2TNJGODT0G5Z4TTKYMMBYD","GSON1112150170")</f>
        <v>#NAME?</v>
      </c>
      <c r="S1354" s="3" t="e">
        <f ca="1">[1]!BexGetData("DP_1","00O2TNJGODT0G5Z4TTKYMMI9X","GSON1112150170")</f>
        <v>#NAME?</v>
      </c>
      <c r="T1354" s="8" t="e">
        <f ca="1">[1]!BexGetData("DP_1","00O2TNJGODT0G5Z4TTKYMMOLH","GSON1112150170")</f>
        <v>#NAME?</v>
      </c>
      <c r="U1354" s="3" t="e">
        <f ca="1">[1]!BexGetData("DP_1","00O2TNJGODT0G5Z4TTKYMMUX1","GSON1112150170")</f>
        <v>#NAME?</v>
      </c>
      <c r="V1354" s="8" t="e">
        <f ca="1">[1]!BexGetData("DP_1","00O2TNJGODT0G5Z4TTKYMN18L","GSON1112150170")</f>
        <v>#NAME?</v>
      </c>
      <c r="W1354" s="3" t="e">
        <f ca="1">[1]!BexGetData("DP_1","00O2TNJGODT0G5Z4TTKYMN7K5","GSON1112150170")</f>
        <v>#NAME?</v>
      </c>
    </row>
    <row r="1355" spans="1:23" x14ac:dyDescent="0.2">
      <c r="A1355" s="16" t="s">
        <v>3723</v>
      </c>
      <c r="B1355" s="7" t="s">
        <v>3724</v>
      </c>
      <c r="C1355" s="3" t="e">
        <f ca="1">[1]!BexGetData("DP_1","003N8EMH8GTFRCSWKMPXRR8GU","GSON1112150173")</f>
        <v>#NAME?</v>
      </c>
      <c r="D1355" s="3" t="e">
        <f ca="1">[1]!BexGetData("DP_1","003N8EMH8GTFRCSWKMPXRRESE","GSON1112150173")</f>
        <v>#NAME?</v>
      </c>
      <c r="E1355" s="8" t="e">
        <f ca="1">[1]!BexGetData("DP_1","003N8EMH8GTFRCSWKMPXRRL3Y","GSON1112150173")</f>
        <v>#NAME?</v>
      </c>
      <c r="F1355" s="4" t="e">
        <f ca="1">[1]!BexGetData("DP_1","003N8EMH8GTFRCSWKMPXRRRFI","GSON1112150173")</f>
        <v>#NAME?</v>
      </c>
      <c r="G1355" s="4" t="e">
        <f ca="1">[1]!BexGetData("DP_1","003N8EMH8GTFRCSWKMPXRRXR2","GSON1112150173")</f>
        <v>#NAME?</v>
      </c>
      <c r="H1355" s="4" t="e">
        <f ca="1">[1]!BexGetData("DP_1","003N8EMH8GTFRCSWKMPXRS42M","GSON1112150173")</f>
        <v>#NAME?</v>
      </c>
      <c r="I1355" s="4" t="e">
        <f ca="1">[1]!BexGetData("DP_1","003N8EMH8GTFRCSWKMPXRSAE6","GSON1112150173")</f>
        <v>#NAME?</v>
      </c>
      <c r="J1355" s="4" t="e">
        <f ca="1">[1]!BexGetData("DP_1","003N8EMH8GTFRCSWKMPXRSGPQ","GSON1112150173")</f>
        <v>#NAME?</v>
      </c>
      <c r="K1355" s="8" t="e">
        <f ca="1">[1]!BexGetData("DP_1","003N8EMH8GTFRIVNUPY288VJH","GSON1112150173")</f>
        <v>#NAME?</v>
      </c>
      <c r="L1355" s="8" t="e">
        <f ca="1">[1]!BexGetData("DP_1","003N8EMH8GTFRIVNUPY2891V1","GSON1112150173")</f>
        <v>#NAME?</v>
      </c>
      <c r="M1355" s="8" t="e">
        <f ca="1">[1]!BexGetData("DP_1","003N8EMH8GTFRIVOG7KG9IQXA","GSON1112150173")</f>
        <v>#NAME?</v>
      </c>
      <c r="N1355" s="8" t="e">
        <f ca="1">[1]!BexGetData("DP_1","003N8EMH8GTFRIVOG7KG9IX8U","GSON1112150173")</f>
        <v>#NAME?</v>
      </c>
      <c r="O1355" s="8" t="e">
        <f ca="1">[1]!BexGetData("DP_1","003N8EMH8GTFRIVOG7KG9J3KE","GSON1112150173")</f>
        <v>#NAME?</v>
      </c>
      <c r="P1355" s="8" t="e">
        <f ca="1">[1]!BexGetData("DP_1","003N8EMH8GTFRIVOG7KG9J9VY","GSON1112150173")</f>
        <v>#NAME?</v>
      </c>
      <c r="Q1355" s="4" t="e">
        <f ca="1">[1]!BexGetData("DP_1","00O2TNJGODT0G5Z4TTKYMM5MT","GSON1112150173")</f>
        <v>#NAME?</v>
      </c>
      <c r="R1355" s="4" t="e">
        <f ca="1">[1]!BexGetData("DP_1","00O2TNJGODT0G5Z4TTKYMMBYD","GSON1112150173")</f>
        <v>#NAME?</v>
      </c>
      <c r="S1355" s="4" t="e">
        <f ca="1">[1]!BexGetData("DP_1","00O2TNJGODT0G5Z4TTKYMMI9X","GSON1112150173")</f>
        <v>#NAME?</v>
      </c>
      <c r="T1355" s="4" t="e">
        <f ca="1">[1]!BexGetData("DP_1","00O2TNJGODT0G5Z4TTKYMMOLH","GSON1112150173")</f>
        <v>#NAME?</v>
      </c>
      <c r="U1355" s="4" t="e">
        <f ca="1">[1]!BexGetData("DP_1","00O2TNJGODT0G5Z4TTKYMMUX1","GSON1112150173")</f>
        <v>#NAME?</v>
      </c>
      <c r="V1355" s="4" t="e">
        <f ca="1">[1]!BexGetData("DP_1","00O2TNJGODT0G5Z4TTKYMN18L","GSON1112150173")</f>
        <v>#NAME?</v>
      </c>
      <c r="W1355" s="4" t="e">
        <f ca="1">[1]!BexGetData("DP_1","00O2TNJGODT0G5Z4TTKYMN7K5","GSON1112150173")</f>
        <v>#NAME?</v>
      </c>
    </row>
    <row r="1356" spans="1:23" x14ac:dyDescent="0.2">
      <c r="A1356" s="16" t="s">
        <v>3725</v>
      </c>
      <c r="B1356" s="7" t="s">
        <v>3726</v>
      </c>
      <c r="C1356" s="3" t="e">
        <f ca="1">[1]!BexGetData("DP_1","003N8EMH8GTFRCSWKMPXRR8GU","GSON1112150174")</f>
        <v>#NAME?</v>
      </c>
      <c r="D1356" s="3" t="e">
        <f ca="1">[1]!BexGetData("DP_1","003N8EMH8GTFRCSWKMPXRRESE","GSON1112150174")</f>
        <v>#NAME?</v>
      </c>
      <c r="E1356" s="8" t="e">
        <f ca="1">[1]!BexGetData("DP_1","003N8EMH8GTFRCSWKMPXRRL3Y","GSON1112150174")</f>
        <v>#NAME?</v>
      </c>
      <c r="F1356" s="4" t="e">
        <f ca="1">[1]!BexGetData("DP_1","003N8EMH8GTFRCSWKMPXRRRFI","GSON1112150174")</f>
        <v>#NAME?</v>
      </c>
      <c r="G1356" s="4" t="e">
        <f ca="1">[1]!BexGetData("DP_1","003N8EMH8GTFRCSWKMPXRRXR2","GSON1112150174")</f>
        <v>#NAME?</v>
      </c>
      <c r="H1356" s="4" t="e">
        <f ca="1">[1]!BexGetData("DP_1","003N8EMH8GTFRCSWKMPXRS42M","GSON1112150174")</f>
        <v>#NAME?</v>
      </c>
      <c r="I1356" s="4" t="e">
        <f ca="1">[1]!BexGetData("DP_1","003N8EMH8GTFRCSWKMPXRSAE6","GSON1112150174")</f>
        <v>#NAME?</v>
      </c>
      <c r="J1356" s="4" t="e">
        <f ca="1">[1]!BexGetData("DP_1","003N8EMH8GTFRCSWKMPXRSGPQ","GSON1112150174")</f>
        <v>#NAME?</v>
      </c>
      <c r="K1356" s="8" t="e">
        <f ca="1">[1]!BexGetData("DP_1","003N8EMH8GTFRIVNUPY288VJH","GSON1112150174")</f>
        <v>#NAME?</v>
      </c>
      <c r="L1356" s="8" t="e">
        <f ca="1">[1]!BexGetData("DP_1","003N8EMH8GTFRIVNUPY2891V1","GSON1112150174")</f>
        <v>#NAME?</v>
      </c>
      <c r="M1356" s="8" t="e">
        <f ca="1">[1]!BexGetData("DP_1","003N8EMH8GTFRIVOG7KG9IQXA","GSON1112150174")</f>
        <v>#NAME?</v>
      </c>
      <c r="N1356" s="8" t="e">
        <f ca="1">[1]!BexGetData("DP_1","003N8EMH8GTFRIVOG7KG9IX8U","GSON1112150174")</f>
        <v>#NAME?</v>
      </c>
      <c r="O1356" s="8" t="e">
        <f ca="1">[1]!BexGetData("DP_1","003N8EMH8GTFRIVOG7KG9J3KE","GSON1112150174")</f>
        <v>#NAME?</v>
      </c>
      <c r="P1356" s="8" t="e">
        <f ca="1">[1]!BexGetData("DP_1","003N8EMH8GTFRIVOG7KG9J9VY","GSON1112150174")</f>
        <v>#NAME?</v>
      </c>
      <c r="Q1356" s="4" t="e">
        <f ca="1">[1]!BexGetData("DP_1","00O2TNJGODT0G5Z4TTKYMM5MT","GSON1112150174")</f>
        <v>#NAME?</v>
      </c>
      <c r="R1356" s="4" t="e">
        <f ca="1">[1]!BexGetData("DP_1","00O2TNJGODT0G5Z4TTKYMMBYD","GSON1112150174")</f>
        <v>#NAME?</v>
      </c>
      <c r="S1356" s="4" t="e">
        <f ca="1">[1]!BexGetData("DP_1","00O2TNJGODT0G5Z4TTKYMMI9X","GSON1112150174")</f>
        <v>#NAME?</v>
      </c>
      <c r="T1356" s="4" t="e">
        <f ca="1">[1]!BexGetData("DP_1","00O2TNJGODT0G5Z4TTKYMMOLH","GSON1112150174")</f>
        <v>#NAME?</v>
      </c>
      <c r="U1356" s="4" t="e">
        <f ca="1">[1]!BexGetData("DP_1","00O2TNJGODT0G5Z4TTKYMMUX1","GSON1112150174")</f>
        <v>#NAME?</v>
      </c>
      <c r="V1356" s="4" t="e">
        <f ca="1">[1]!BexGetData("DP_1","00O2TNJGODT0G5Z4TTKYMN18L","GSON1112150174")</f>
        <v>#NAME?</v>
      </c>
      <c r="W1356" s="4" t="e">
        <f ca="1">[1]!BexGetData("DP_1","00O2TNJGODT0G5Z4TTKYMN7K5","GSON1112150174")</f>
        <v>#NAME?</v>
      </c>
    </row>
    <row r="1357" spans="1:23" x14ac:dyDescent="0.2">
      <c r="A1357" s="16" t="s">
        <v>3727</v>
      </c>
      <c r="B1357" s="7" t="s">
        <v>3728</v>
      </c>
      <c r="C1357" s="3" t="e">
        <f ca="1">[1]!BexGetData("DP_1","003N8EMH8GTFRCSWKMPXRR8GU","GSON1112150175")</f>
        <v>#NAME?</v>
      </c>
      <c r="D1357" s="3" t="e">
        <f ca="1">[1]!BexGetData("DP_1","003N8EMH8GTFRCSWKMPXRRESE","GSON1112150175")</f>
        <v>#NAME?</v>
      </c>
      <c r="E1357" s="8" t="e">
        <f ca="1">[1]!BexGetData("DP_1","003N8EMH8GTFRCSWKMPXRRL3Y","GSON1112150175")</f>
        <v>#NAME?</v>
      </c>
      <c r="F1357" s="4" t="e">
        <f ca="1">[1]!BexGetData("DP_1","003N8EMH8GTFRCSWKMPXRRRFI","GSON1112150175")</f>
        <v>#NAME?</v>
      </c>
      <c r="G1357" s="4" t="e">
        <f ca="1">[1]!BexGetData("DP_1","003N8EMH8GTFRCSWKMPXRRXR2","GSON1112150175")</f>
        <v>#NAME?</v>
      </c>
      <c r="H1357" s="4" t="e">
        <f ca="1">[1]!BexGetData("DP_1","003N8EMH8GTFRCSWKMPXRS42M","GSON1112150175")</f>
        <v>#NAME?</v>
      </c>
      <c r="I1357" s="4" t="e">
        <f ca="1">[1]!BexGetData("DP_1","003N8EMH8GTFRCSWKMPXRSAE6","GSON1112150175")</f>
        <v>#NAME?</v>
      </c>
      <c r="J1357" s="4" t="e">
        <f ca="1">[1]!BexGetData("DP_1","003N8EMH8GTFRCSWKMPXRSGPQ","GSON1112150175")</f>
        <v>#NAME?</v>
      </c>
      <c r="K1357" s="8" t="e">
        <f ca="1">[1]!BexGetData("DP_1","003N8EMH8GTFRIVNUPY288VJH","GSON1112150175")</f>
        <v>#NAME?</v>
      </c>
      <c r="L1357" s="8" t="e">
        <f ca="1">[1]!BexGetData("DP_1","003N8EMH8GTFRIVNUPY2891V1","GSON1112150175")</f>
        <v>#NAME?</v>
      </c>
      <c r="M1357" s="8" t="e">
        <f ca="1">[1]!BexGetData("DP_1","003N8EMH8GTFRIVOG7KG9IQXA","GSON1112150175")</f>
        <v>#NAME?</v>
      </c>
      <c r="N1357" s="8" t="e">
        <f ca="1">[1]!BexGetData("DP_1","003N8EMH8GTFRIVOG7KG9IX8U","GSON1112150175")</f>
        <v>#NAME?</v>
      </c>
      <c r="O1357" s="8" t="e">
        <f ca="1">[1]!BexGetData("DP_1","003N8EMH8GTFRIVOG7KG9J3KE","GSON1112150175")</f>
        <v>#NAME?</v>
      </c>
      <c r="P1357" s="8" t="e">
        <f ca="1">[1]!BexGetData("DP_1","003N8EMH8GTFRIVOG7KG9J9VY","GSON1112150175")</f>
        <v>#NAME?</v>
      </c>
      <c r="Q1357" s="4" t="e">
        <f ca="1">[1]!BexGetData("DP_1","00O2TNJGODT0G5Z4TTKYMM5MT","GSON1112150175")</f>
        <v>#NAME?</v>
      </c>
      <c r="R1357" s="4" t="e">
        <f ca="1">[1]!BexGetData("DP_1","00O2TNJGODT0G5Z4TTKYMMBYD","GSON1112150175")</f>
        <v>#NAME?</v>
      </c>
      <c r="S1357" s="4" t="e">
        <f ca="1">[1]!BexGetData("DP_1","00O2TNJGODT0G5Z4TTKYMMI9X","GSON1112150175")</f>
        <v>#NAME?</v>
      </c>
      <c r="T1357" s="4" t="e">
        <f ca="1">[1]!BexGetData("DP_1","00O2TNJGODT0G5Z4TTKYMMOLH","GSON1112150175")</f>
        <v>#NAME?</v>
      </c>
      <c r="U1357" s="4" t="e">
        <f ca="1">[1]!BexGetData("DP_1","00O2TNJGODT0G5Z4TTKYMMUX1","GSON1112150175")</f>
        <v>#NAME?</v>
      </c>
      <c r="V1357" s="4" t="e">
        <f ca="1">[1]!BexGetData("DP_1","00O2TNJGODT0G5Z4TTKYMN18L","GSON1112150175")</f>
        <v>#NAME?</v>
      </c>
      <c r="W1357" s="4" t="e">
        <f ca="1">[1]!BexGetData("DP_1","00O2TNJGODT0G5Z4TTKYMN7K5","GSON1112150175")</f>
        <v>#NAME?</v>
      </c>
    </row>
    <row r="1358" spans="1:23" x14ac:dyDescent="0.2">
      <c r="A1358" s="16" t="s">
        <v>3729</v>
      </c>
      <c r="B1358" s="7" t="s">
        <v>3730</v>
      </c>
      <c r="C1358" s="3" t="e">
        <f ca="1">[1]!BexGetData("DP_1","003N8EMH8GTFRCSWKMPXRR8GU","GSON1112150180")</f>
        <v>#NAME?</v>
      </c>
      <c r="D1358" s="3" t="e">
        <f ca="1">[1]!BexGetData("DP_1","003N8EMH8GTFRCSWKMPXRRESE","GSON1112150180")</f>
        <v>#NAME?</v>
      </c>
      <c r="E1358" s="3" t="e">
        <f ca="1">[1]!BexGetData("DP_1","003N8EMH8GTFRCSWKMPXRRL3Y","GSON1112150180")</f>
        <v>#NAME?</v>
      </c>
      <c r="F1358" s="3" t="e">
        <f ca="1">[1]!BexGetData("DP_1","003N8EMH8GTFRCSWKMPXRRRFI","GSON1112150180")</f>
        <v>#NAME?</v>
      </c>
      <c r="G1358" s="3" t="e">
        <f ca="1">[1]!BexGetData("DP_1","003N8EMH8GTFRCSWKMPXRRXR2","GSON1112150180")</f>
        <v>#NAME?</v>
      </c>
      <c r="H1358" s="8" t="e">
        <f ca="1">[1]!BexGetData("DP_1","003N8EMH8GTFRCSWKMPXRS42M","GSON1112150180")</f>
        <v>#NAME?</v>
      </c>
      <c r="I1358" s="3" t="e">
        <f ca="1">[1]!BexGetData("DP_1","003N8EMH8GTFRCSWKMPXRSAE6","GSON1112150180")</f>
        <v>#NAME?</v>
      </c>
      <c r="J1358" s="4" t="e">
        <f ca="1">[1]!BexGetData("DP_1","003N8EMH8GTFRCSWKMPXRSGPQ","GSON1112150180")</f>
        <v>#NAME?</v>
      </c>
      <c r="K1358" s="3" t="e">
        <f ca="1">[1]!BexGetData("DP_1","003N8EMH8GTFRIVNUPY288VJH","GSON1112150180")</f>
        <v>#NAME?</v>
      </c>
      <c r="L1358" s="3" t="e">
        <f ca="1">[1]!BexGetData("DP_1","003N8EMH8GTFRIVNUPY2891V1","GSON1112150180")</f>
        <v>#NAME?</v>
      </c>
      <c r="M1358" s="3" t="e">
        <f ca="1">[1]!BexGetData("DP_1","003N8EMH8GTFRIVOG7KG9IQXA","GSON1112150180")</f>
        <v>#NAME?</v>
      </c>
      <c r="N1358" s="8" t="e">
        <f ca="1">[1]!BexGetData("DP_1","003N8EMH8GTFRIVOG7KG9IX8U","GSON1112150180")</f>
        <v>#NAME?</v>
      </c>
      <c r="O1358" s="3" t="e">
        <f ca="1">[1]!BexGetData("DP_1","003N8EMH8GTFRIVOG7KG9J3KE","GSON1112150180")</f>
        <v>#NAME?</v>
      </c>
      <c r="P1358" s="8" t="e">
        <f ca="1">[1]!BexGetData("DP_1","003N8EMH8GTFRIVOG7KG9J9VY","GSON1112150180")</f>
        <v>#NAME?</v>
      </c>
      <c r="Q1358" s="4" t="e">
        <f ca="1">[1]!BexGetData("DP_1","00O2TNJGODT0G5Z4TTKYMM5MT","GSON1112150180")</f>
        <v>#NAME?</v>
      </c>
      <c r="R1358" s="3" t="e">
        <f ca="1">[1]!BexGetData("DP_1","00O2TNJGODT0G5Z4TTKYMMBYD","GSON1112150180")</f>
        <v>#NAME?</v>
      </c>
      <c r="S1358" s="3" t="e">
        <f ca="1">[1]!BexGetData("DP_1","00O2TNJGODT0G5Z4TTKYMMI9X","GSON1112150180")</f>
        <v>#NAME?</v>
      </c>
      <c r="T1358" s="8" t="e">
        <f ca="1">[1]!BexGetData("DP_1","00O2TNJGODT0G5Z4TTKYMMOLH","GSON1112150180")</f>
        <v>#NAME?</v>
      </c>
      <c r="U1358" s="3" t="e">
        <f ca="1">[1]!BexGetData("DP_1","00O2TNJGODT0G5Z4TTKYMMUX1","GSON1112150180")</f>
        <v>#NAME?</v>
      </c>
      <c r="V1358" s="8" t="e">
        <f ca="1">[1]!BexGetData("DP_1","00O2TNJGODT0G5Z4TTKYMN18L","GSON1112150180")</f>
        <v>#NAME?</v>
      </c>
      <c r="W1358" s="3" t="e">
        <f ca="1">[1]!BexGetData("DP_1","00O2TNJGODT0G5Z4TTKYMN7K5","GSON1112150180")</f>
        <v>#NAME?</v>
      </c>
    </row>
    <row r="1359" spans="1:23" x14ac:dyDescent="0.2">
      <c r="A1359" s="16" t="s">
        <v>3731</v>
      </c>
      <c r="B1359" s="7" t="s">
        <v>3732</v>
      </c>
      <c r="C1359" s="3" t="e">
        <f ca="1">[1]!BexGetData("DP_1","003N8EMH8GTFRCSWKMPXRR8GU","GSON1112150184")</f>
        <v>#NAME?</v>
      </c>
      <c r="D1359" s="3" t="e">
        <f ca="1">[1]!BexGetData("DP_1","003N8EMH8GTFRCSWKMPXRRESE","GSON1112150184")</f>
        <v>#NAME?</v>
      </c>
      <c r="E1359" s="8" t="e">
        <f ca="1">[1]!BexGetData("DP_1","003N8EMH8GTFRCSWKMPXRRL3Y","GSON1112150184")</f>
        <v>#NAME?</v>
      </c>
      <c r="F1359" s="4" t="e">
        <f ca="1">[1]!BexGetData("DP_1","003N8EMH8GTFRCSWKMPXRRRFI","GSON1112150184")</f>
        <v>#NAME?</v>
      </c>
      <c r="G1359" s="4" t="e">
        <f ca="1">[1]!BexGetData("DP_1","003N8EMH8GTFRCSWKMPXRRXR2","GSON1112150184")</f>
        <v>#NAME?</v>
      </c>
      <c r="H1359" s="4" t="e">
        <f ca="1">[1]!BexGetData("DP_1","003N8EMH8GTFRCSWKMPXRS42M","GSON1112150184")</f>
        <v>#NAME?</v>
      </c>
      <c r="I1359" s="4" t="e">
        <f ca="1">[1]!BexGetData("DP_1","003N8EMH8GTFRCSWKMPXRSAE6","GSON1112150184")</f>
        <v>#NAME?</v>
      </c>
      <c r="J1359" s="4" t="e">
        <f ca="1">[1]!BexGetData("DP_1","003N8EMH8GTFRCSWKMPXRSGPQ","GSON1112150184")</f>
        <v>#NAME?</v>
      </c>
      <c r="K1359" s="8" t="e">
        <f ca="1">[1]!BexGetData("DP_1","003N8EMH8GTFRIVNUPY288VJH","GSON1112150184")</f>
        <v>#NAME?</v>
      </c>
      <c r="L1359" s="8" t="e">
        <f ca="1">[1]!BexGetData("DP_1","003N8EMH8GTFRIVNUPY2891V1","GSON1112150184")</f>
        <v>#NAME?</v>
      </c>
      <c r="M1359" s="8" t="e">
        <f ca="1">[1]!BexGetData("DP_1","003N8EMH8GTFRIVOG7KG9IQXA","GSON1112150184")</f>
        <v>#NAME?</v>
      </c>
      <c r="N1359" s="8" t="e">
        <f ca="1">[1]!BexGetData("DP_1","003N8EMH8GTFRIVOG7KG9IX8U","GSON1112150184")</f>
        <v>#NAME?</v>
      </c>
      <c r="O1359" s="8" t="e">
        <f ca="1">[1]!BexGetData("DP_1","003N8EMH8GTFRIVOG7KG9J3KE","GSON1112150184")</f>
        <v>#NAME?</v>
      </c>
      <c r="P1359" s="8" t="e">
        <f ca="1">[1]!BexGetData("DP_1","003N8EMH8GTFRIVOG7KG9J9VY","GSON1112150184")</f>
        <v>#NAME?</v>
      </c>
      <c r="Q1359" s="4" t="e">
        <f ca="1">[1]!BexGetData("DP_1","00O2TNJGODT0G5Z4TTKYMM5MT","GSON1112150184")</f>
        <v>#NAME?</v>
      </c>
      <c r="R1359" s="4" t="e">
        <f ca="1">[1]!BexGetData("DP_1","00O2TNJGODT0G5Z4TTKYMMBYD","GSON1112150184")</f>
        <v>#NAME?</v>
      </c>
      <c r="S1359" s="4" t="e">
        <f ca="1">[1]!BexGetData("DP_1","00O2TNJGODT0G5Z4TTKYMMI9X","GSON1112150184")</f>
        <v>#NAME?</v>
      </c>
      <c r="T1359" s="4" t="e">
        <f ca="1">[1]!BexGetData("DP_1","00O2TNJGODT0G5Z4TTKYMMOLH","GSON1112150184")</f>
        <v>#NAME?</v>
      </c>
      <c r="U1359" s="4" t="e">
        <f ca="1">[1]!BexGetData("DP_1","00O2TNJGODT0G5Z4TTKYMMUX1","GSON1112150184")</f>
        <v>#NAME?</v>
      </c>
      <c r="V1359" s="4" t="e">
        <f ca="1">[1]!BexGetData("DP_1","00O2TNJGODT0G5Z4TTKYMN18L","GSON1112150184")</f>
        <v>#NAME?</v>
      </c>
      <c r="W1359" s="4" t="e">
        <f ca="1">[1]!BexGetData("DP_1","00O2TNJGODT0G5Z4TTKYMN7K5","GSON1112150184")</f>
        <v>#NAME?</v>
      </c>
    </row>
    <row r="1360" spans="1:23" x14ac:dyDescent="0.2">
      <c r="A1360" s="16" t="s">
        <v>3733</v>
      </c>
      <c r="B1360" s="7" t="s">
        <v>3734</v>
      </c>
      <c r="C1360" s="3" t="e">
        <f ca="1">[1]!BexGetData("DP_1","003N8EMH8GTFRCSWKMPXRR8GU","GSON1112150185")</f>
        <v>#NAME?</v>
      </c>
      <c r="D1360" s="3" t="e">
        <f ca="1">[1]!BexGetData("DP_1","003N8EMH8GTFRCSWKMPXRRESE","GSON1112150185")</f>
        <v>#NAME?</v>
      </c>
      <c r="E1360" s="8" t="e">
        <f ca="1">[1]!BexGetData("DP_1","003N8EMH8GTFRCSWKMPXRRL3Y","GSON1112150185")</f>
        <v>#NAME?</v>
      </c>
      <c r="F1360" s="4" t="e">
        <f ca="1">[1]!BexGetData("DP_1","003N8EMH8GTFRCSWKMPXRRRFI","GSON1112150185")</f>
        <v>#NAME?</v>
      </c>
      <c r="G1360" s="4" t="e">
        <f ca="1">[1]!BexGetData("DP_1","003N8EMH8GTFRCSWKMPXRRXR2","GSON1112150185")</f>
        <v>#NAME?</v>
      </c>
      <c r="H1360" s="4" t="e">
        <f ca="1">[1]!BexGetData("DP_1","003N8EMH8GTFRCSWKMPXRS42M","GSON1112150185")</f>
        <v>#NAME?</v>
      </c>
      <c r="I1360" s="4" t="e">
        <f ca="1">[1]!BexGetData("DP_1","003N8EMH8GTFRCSWKMPXRSAE6","GSON1112150185")</f>
        <v>#NAME?</v>
      </c>
      <c r="J1360" s="4" t="e">
        <f ca="1">[1]!BexGetData("DP_1","003N8EMH8GTFRCSWKMPXRSGPQ","GSON1112150185")</f>
        <v>#NAME?</v>
      </c>
      <c r="K1360" s="8" t="e">
        <f ca="1">[1]!BexGetData("DP_1","003N8EMH8GTFRIVNUPY288VJH","GSON1112150185")</f>
        <v>#NAME?</v>
      </c>
      <c r="L1360" s="8" t="e">
        <f ca="1">[1]!BexGetData("DP_1","003N8EMH8GTFRIVNUPY2891V1","GSON1112150185")</f>
        <v>#NAME?</v>
      </c>
      <c r="M1360" s="8" t="e">
        <f ca="1">[1]!BexGetData("DP_1","003N8EMH8GTFRIVOG7KG9IQXA","GSON1112150185")</f>
        <v>#NAME?</v>
      </c>
      <c r="N1360" s="8" t="e">
        <f ca="1">[1]!BexGetData("DP_1","003N8EMH8GTFRIVOG7KG9IX8U","GSON1112150185")</f>
        <v>#NAME?</v>
      </c>
      <c r="O1360" s="8" t="e">
        <f ca="1">[1]!BexGetData("DP_1","003N8EMH8GTFRIVOG7KG9J3KE","GSON1112150185")</f>
        <v>#NAME?</v>
      </c>
      <c r="P1360" s="8" t="e">
        <f ca="1">[1]!BexGetData("DP_1","003N8EMH8GTFRIVOG7KG9J9VY","GSON1112150185")</f>
        <v>#NAME?</v>
      </c>
      <c r="Q1360" s="4" t="e">
        <f ca="1">[1]!BexGetData("DP_1","00O2TNJGODT0G5Z4TTKYMM5MT","GSON1112150185")</f>
        <v>#NAME?</v>
      </c>
      <c r="R1360" s="4" t="e">
        <f ca="1">[1]!BexGetData("DP_1","00O2TNJGODT0G5Z4TTKYMMBYD","GSON1112150185")</f>
        <v>#NAME?</v>
      </c>
      <c r="S1360" s="4" t="e">
        <f ca="1">[1]!BexGetData("DP_1","00O2TNJGODT0G5Z4TTKYMMI9X","GSON1112150185")</f>
        <v>#NAME?</v>
      </c>
      <c r="T1360" s="4" t="e">
        <f ca="1">[1]!BexGetData("DP_1","00O2TNJGODT0G5Z4TTKYMMOLH","GSON1112150185")</f>
        <v>#NAME?</v>
      </c>
      <c r="U1360" s="4" t="e">
        <f ca="1">[1]!BexGetData("DP_1","00O2TNJGODT0G5Z4TTKYMMUX1","GSON1112150185")</f>
        <v>#NAME?</v>
      </c>
      <c r="V1360" s="4" t="e">
        <f ca="1">[1]!BexGetData("DP_1","00O2TNJGODT0G5Z4TTKYMN18L","GSON1112150185")</f>
        <v>#NAME?</v>
      </c>
      <c r="W1360" s="4" t="e">
        <f ca="1">[1]!BexGetData("DP_1","00O2TNJGODT0G5Z4TTKYMN7K5","GSON1112150185")</f>
        <v>#NAME?</v>
      </c>
    </row>
    <row r="1361" spans="1:23" x14ac:dyDescent="0.2">
      <c r="A1361" s="16" t="s">
        <v>3735</v>
      </c>
      <c r="B1361" s="7" t="s">
        <v>3736</v>
      </c>
      <c r="C1361" s="8" t="e">
        <f ca="1">[1]!BexGetData("DP_1","003N8EMH8GTFRCSWKMPXRR8GU","GSON1112150190")</f>
        <v>#NAME?</v>
      </c>
      <c r="D1361" s="3" t="e">
        <f ca="1">[1]!BexGetData("DP_1","003N8EMH8GTFRCSWKMPXRRESE","GSON1112150190")</f>
        <v>#NAME?</v>
      </c>
      <c r="E1361" s="3" t="e">
        <f ca="1">[1]!BexGetData("DP_1","003N8EMH8GTFRCSWKMPXRRL3Y","GSON1112150190")</f>
        <v>#NAME?</v>
      </c>
      <c r="F1361" s="3" t="e">
        <f ca="1">[1]!BexGetData("DP_1","003N8EMH8GTFRCSWKMPXRRRFI","GSON1112150190")</f>
        <v>#NAME?</v>
      </c>
      <c r="G1361" s="3" t="e">
        <f ca="1">[1]!BexGetData("DP_1","003N8EMH8GTFRCSWKMPXRRXR2","GSON1112150190")</f>
        <v>#NAME?</v>
      </c>
      <c r="H1361" s="8" t="e">
        <f ca="1">[1]!BexGetData("DP_1","003N8EMH8GTFRCSWKMPXRS42M","GSON1112150190")</f>
        <v>#NAME?</v>
      </c>
      <c r="I1361" s="3" t="e">
        <f ca="1">[1]!BexGetData("DP_1","003N8EMH8GTFRCSWKMPXRSAE6","GSON1112150190")</f>
        <v>#NAME?</v>
      </c>
      <c r="J1361" s="4" t="e">
        <f ca="1">[1]!BexGetData("DP_1","003N8EMH8GTFRCSWKMPXRSGPQ","GSON1112150190")</f>
        <v>#NAME?</v>
      </c>
      <c r="K1361" s="3" t="e">
        <f ca="1">[1]!BexGetData("DP_1","003N8EMH8GTFRIVNUPY288VJH","GSON1112150190")</f>
        <v>#NAME?</v>
      </c>
      <c r="L1361" s="3" t="e">
        <f ca="1">[1]!BexGetData("DP_1","003N8EMH8GTFRIVNUPY2891V1","GSON1112150190")</f>
        <v>#NAME?</v>
      </c>
      <c r="M1361" s="3" t="e">
        <f ca="1">[1]!BexGetData("DP_1","003N8EMH8GTFRIVOG7KG9IQXA","GSON1112150190")</f>
        <v>#NAME?</v>
      </c>
      <c r="N1361" s="8" t="e">
        <f ca="1">[1]!BexGetData("DP_1","003N8EMH8GTFRIVOG7KG9IX8U","GSON1112150190")</f>
        <v>#NAME?</v>
      </c>
      <c r="O1361" s="3" t="e">
        <f ca="1">[1]!BexGetData("DP_1","003N8EMH8GTFRIVOG7KG9J3KE","GSON1112150190")</f>
        <v>#NAME?</v>
      </c>
      <c r="P1361" s="8" t="e">
        <f ca="1">[1]!BexGetData("DP_1","003N8EMH8GTFRIVOG7KG9J9VY","GSON1112150190")</f>
        <v>#NAME?</v>
      </c>
      <c r="Q1361" s="4" t="e">
        <f ca="1">[1]!BexGetData("DP_1","00O2TNJGODT0G5Z4TTKYMM5MT","GSON1112150190")</f>
        <v>#NAME?</v>
      </c>
      <c r="R1361" s="3" t="e">
        <f ca="1">[1]!BexGetData("DP_1","00O2TNJGODT0G5Z4TTKYMMBYD","GSON1112150190")</f>
        <v>#NAME?</v>
      </c>
      <c r="S1361" s="3" t="e">
        <f ca="1">[1]!BexGetData("DP_1","00O2TNJGODT0G5Z4TTKYMMI9X","GSON1112150190")</f>
        <v>#NAME?</v>
      </c>
      <c r="T1361" s="8" t="e">
        <f ca="1">[1]!BexGetData("DP_1","00O2TNJGODT0G5Z4TTKYMMOLH","GSON1112150190")</f>
        <v>#NAME?</v>
      </c>
      <c r="U1361" s="3" t="e">
        <f ca="1">[1]!BexGetData("DP_1","00O2TNJGODT0G5Z4TTKYMMUX1","GSON1112150190")</f>
        <v>#NAME?</v>
      </c>
      <c r="V1361" s="8" t="e">
        <f ca="1">[1]!BexGetData("DP_1","00O2TNJGODT0G5Z4TTKYMN18L","GSON1112150190")</f>
        <v>#NAME?</v>
      </c>
      <c r="W1361" s="3" t="e">
        <f ca="1">[1]!BexGetData("DP_1","00O2TNJGODT0G5Z4TTKYMN7K5","GSON1112150190")</f>
        <v>#NAME?</v>
      </c>
    </row>
    <row r="1362" spans="1:23" x14ac:dyDescent="0.2">
      <c r="A1362" s="16" t="s">
        <v>3737</v>
      </c>
      <c r="B1362" s="7" t="s">
        <v>3738</v>
      </c>
      <c r="C1362" s="3" t="e">
        <f ca="1">[1]!BexGetData("DP_1","003N8EMH8GTFRCSWKMPXRR8GU","GSON1112150194")</f>
        <v>#NAME?</v>
      </c>
      <c r="D1362" s="3" t="e">
        <f ca="1">[1]!BexGetData("DP_1","003N8EMH8GTFRCSWKMPXRRESE","GSON1112150194")</f>
        <v>#NAME?</v>
      </c>
      <c r="E1362" s="8" t="e">
        <f ca="1">[1]!BexGetData("DP_1","003N8EMH8GTFRCSWKMPXRRL3Y","GSON1112150194")</f>
        <v>#NAME?</v>
      </c>
      <c r="F1362" s="4" t="e">
        <f ca="1">[1]!BexGetData("DP_1","003N8EMH8GTFRCSWKMPXRRRFI","GSON1112150194")</f>
        <v>#NAME?</v>
      </c>
      <c r="G1362" s="4" t="e">
        <f ca="1">[1]!BexGetData("DP_1","003N8EMH8GTFRCSWKMPXRRXR2","GSON1112150194")</f>
        <v>#NAME?</v>
      </c>
      <c r="H1362" s="4" t="e">
        <f ca="1">[1]!BexGetData("DP_1","003N8EMH8GTFRCSWKMPXRS42M","GSON1112150194")</f>
        <v>#NAME?</v>
      </c>
      <c r="I1362" s="4" t="e">
        <f ca="1">[1]!BexGetData("DP_1","003N8EMH8GTFRCSWKMPXRSAE6","GSON1112150194")</f>
        <v>#NAME?</v>
      </c>
      <c r="J1362" s="4" t="e">
        <f ca="1">[1]!BexGetData("DP_1","003N8EMH8GTFRCSWKMPXRSGPQ","GSON1112150194")</f>
        <v>#NAME?</v>
      </c>
      <c r="K1362" s="8" t="e">
        <f ca="1">[1]!BexGetData("DP_1","003N8EMH8GTFRIVNUPY288VJH","GSON1112150194")</f>
        <v>#NAME?</v>
      </c>
      <c r="L1362" s="8" t="e">
        <f ca="1">[1]!BexGetData("DP_1","003N8EMH8GTFRIVNUPY2891V1","GSON1112150194")</f>
        <v>#NAME?</v>
      </c>
      <c r="M1362" s="8" t="e">
        <f ca="1">[1]!BexGetData("DP_1","003N8EMH8GTFRIVOG7KG9IQXA","GSON1112150194")</f>
        <v>#NAME?</v>
      </c>
      <c r="N1362" s="8" t="e">
        <f ca="1">[1]!BexGetData("DP_1","003N8EMH8GTFRIVOG7KG9IX8U","GSON1112150194")</f>
        <v>#NAME?</v>
      </c>
      <c r="O1362" s="8" t="e">
        <f ca="1">[1]!BexGetData("DP_1","003N8EMH8GTFRIVOG7KG9J3KE","GSON1112150194")</f>
        <v>#NAME?</v>
      </c>
      <c r="P1362" s="8" t="e">
        <f ca="1">[1]!BexGetData("DP_1","003N8EMH8GTFRIVOG7KG9J9VY","GSON1112150194")</f>
        <v>#NAME?</v>
      </c>
      <c r="Q1362" s="4" t="e">
        <f ca="1">[1]!BexGetData("DP_1","00O2TNJGODT0G5Z4TTKYMM5MT","GSON1112150194")</f>
        <v>#NAME?</v>
      </c>
      <c r="R1362" s="4" t="e">
        <f ca="1">[1]!BexGetData("DP_1","00O2TNJGODT0G5Z4TTKYMMBYD","GSON1112150194")</f>
        <v>#NAME?</v>
      </c>
      <c r="S1362" s="4" t="e">
        <f ca="1">[1]!BexGetData("DP_1","00O2TNJGODT0G5Z4TTKYMMI9X","GSON1112150194")</f>
        <v>#NAME?</v>
      </c>
      <c r="T1362" s="4" t="e">
        <f ca="1">[1]!BexGetData("DP_1","00O2TNJGODT0G5Z4TTKYMMOLH","GSON1112150194")</f>
        <v>#NAME?</v>
      </c>
      <c r="U1362" s="4" t="e">
        <f ca="1">[1]!BexGetData("DP_1","00O2TNJGODT0G5Z4TTKYMMUX1","GSON1112150194")</f>
        <v>#NAME?</v>
      </c>
      <c r="V1362" s="4" t="e">
        <f ca="1">[1]!BexGetData("DP_1","00O2TNJGODT0G5Z4TTKYMN18L","GSON1112150194")</f>
        <v>#NAME?</v>
      </c>
      <c r="W1362" s="4" t="e">
        <f ca="1">[1]!BexGetData("DP_1","00O2TNJGODT0G5Z4TTKYMN7K5","GSON1112150194")</f>
        <v>#NAME?</v>
      </c>
    </row>
    <row r="1363" spans="1:23" x14ac:dyDescent="0.2">
      <c r="A1363" s="16" t="s">
        <v>3739</v>
      </c>
      <c r="B1363" s="7" t="s">
        <v>3740</v>
      </c>
      <c r="C1363" s="3" t="e">
        <f ca="1">[1]!BexGetData("DP_1","003N8EMH8GTFRCSWKMPXRR8GU","GSON1112150240")</f>
        <v>#NAME?</v>
      </c>
      <c r="D1363" s="3" t="e">
        <f ca="1">[1]!BexGetData("DP_1","003N8EMH8GTFRCSWKMPXRRESE","GSON1112150240")</f>
        <v>#NAME?</v>
      </c>
      <c r="E1363" s="3" t="e">
        <f ca="1">[1]!BexGetData("DP_1","003N8EMH8GTFRCSWKMPXRRL3Y","GSON1112150240")</f>
        <v>#NAME?</v>
      </c>
      <c r="F1363" s="3" t="e">
        <f ca="1">[1]!BexGetData("DP_1","003N8EMH8GTFRCSWKMPXRRRFI","GSON1112150240")</f>
        <v>#NAME?</v>
      </c>
      <c r="G1363" s="3" t="e">
        <f ca="1">[1]!BexGetData("DP_1","003N8EMH8GTFRCSWKMPXRRXR2","GSON1112150240")</f>
        <v>#NAME?</v>
      </c>
      <c r="H1363" s="8" t="e">
        <f ca="1">[1]!BexGetData("DP_1","003N8EMH8GTFRCSWKMPXRS42M","GSON1112150240")</f>
        <v>#NAME?</v>
      </c>
      <c r="I1363" s="3" t="e">
        <f ca="1">[1]!BexGetData("DP_1","003N8EMH8GTFRCSWKMPXRSAE6","GSON1112150240")</f>
        <v>#NAME?</v>
      </c>
      <c r="J1363" s="4" t="e">
        <f ca="1">[1]!BexGetData("DP_1","003N8EMH8GTFRCSWKMPXRSGPQ","GSON1112150240")</f>
        <v>#NAME?</v>
      </c>
      <c r="K1363" s="3" t="e">
        <f ca="1">[1]!BexGetData("DP_1","003N8EMH8GTFRIVNUPY288VJH","GSON1112150240")</f>
        <v>#NAME?</v>
      </c>
      <c r="L1363" s="3" t="e">
        <f ca="1">[1]!BexGetData("DP_1","003N8EMH8GTFRIVNUPY2891V1","GSON1112150240")</f>
        <v>#NAME?</v>
      </c>
      <c r="M1363" s="3" t="e">
        <f ca="1">[1]!BexGetData("DP_1","003N8EMH8GTFRIVOG7KG9IQXA","GSON1112150240")</f>
        <v>#NAME?</v>
      </c>
      <c r="N1363" s="8" t="e">
        <f ca="1">[1]!BexGetData("DP_1","003N8EMH8GTFRIVOG7KG9IX8U","GSON1112150240")</f>
        <v>#NAME?</v>
      </c>
      <c r="O1363" s="3" t="e">
        <f ca="1">[1]!BexGetData("DP_1","003N8EMH8GTFRIVOG7KG9J3KE","GSON1112150240")</f>
        <v>#NAME?</v>
      </c>
      <c r="P1363" s="8" t="e">
        <f ca="1">[1]!BexGetData("DP_1","003N8EMH8GTFRIVOG7KG9J9VY","GSON1112150240")</f>
        <v>#NAME?</v>
      </c>
      <c r="Q1363" s="4" t="e">
        <f ca="1">[1]!BexGetData("DP_1","00O2TNJGODT0G5Z4TTKYMM5MT","GSON1112150240")</f>
        <v>#NAME?</v>
      </c>
      <c r="R1363" s="3" t="e">
        <f ca="1">[1]!BexGetData("DP_1","00O2TNJGODT0G5Z4TTKYMMBYD","GSON1112150240")</f>
        <v>#NAME?</v>
      </c>
      <c r="S1363" s="3" t="e">
        <f ca="1">[1]!BexGetData("DP_1","00O2TNJGODT0G5Z4TTKYMMI9X","GSON1112150240")</f>
        <v>#NAME?</v>
      </c>
      <c r="T1363" s="8" t="e">
        <f ca="1">[1]!BexGetData("DP_1","00O2TNJGODT0G5Z4TTKYMMOLH","GSON1112150240")</f>
        <v>#NAME?</v>
      </c>
      <c r="U1363" s="3" t="e">
        <f ca="1">[1]!BexGetData("DP_1","00O2TNJGODT0G5Z4TTKYMMUX1","GSON1112150240")</f>
        <v>#NAME?</v>
      </c>
      <c r="V1363" s="8" t="e">
        <f ca="1">[1]!BexGetData("DP_1","00O2TNJGODT0G5Z4TTKYMN18L","GSON1112150240")</f>
        <v>#NAME?</v>
      </c>
      <c r="W1363" s="3" t="e">
        <f ca="1">[1]!BexGetData("DP_1","00O2TNJGODT0G5Z4TTKYMN7K5","GSON1112150240")</f>
        <v>#NAME?</v>
      </c>
    </row>
    <row r="1364" spans="1:23" x14ac:dyDescent="0.2">
      <c r="A1364" s="16" t="s">
        <v>3741</v>
      </c>
      <c r="B1364" s="7" t="s">
        <v>3742</v>
      </c>
      <c r="C1364" s="3" t="e">
        <f ca="1">[1]!BexGetData("DP_1","003N8EMH8GTFRCSWKMPXRR8GU","GSON1112150244")</f>
        <v>#NAME?</v>
      </c>
      <c r="D1364" s="3" t="e">
        <f ca="1">[1]!BexGetData("DP_1","003N8EMH8GTFRCSWKMPXRRESE","GSON1112150244")</f>
        <v>#NAME?</v>
      </c>
      <c r="E1364" s="8" t="e">
        <f ca="1">[1]!BexGetData("DP_1","003N8EMH8GTFRCSWKMPXRRL3Y","GSON1112150244")</f>
        <v>#NAME?</v>
      </c>
      <c r="F1364" s="4" t="e">
        <f ca="1">[1]!BexGetData("DP_1","003N8EMH8GTFRCSWKMPXRRRFI","GSON1112150244")</f>
        <v>#NAME?</v>
      </c>
      <c r="G1364" s="4" t="e">
        <f ca="1">[1]!BexGetData("DP_1","003N8EMH8GTFRCSWKMPXRRXR2","GSON1112150244")</f>
        <v>#NAME?</v>
      </c>
      <c r="H1364" s="4" t="e">
        <f ca="1">[1]!BexGetData("DP_1","003N8EMH8GTFRCSWKMPXRS42M","GSON1112150244")</f>
        <v>#NAME?</v>
      </c>
      <c r="I1364" s="4" t="e">
        <f ca="1">[1]!BexGetData("DP_1","003N8EMH8GTFRCSWKMPXRSAE6","GSON1112150244")</f>
        <v>#NAME?</v>
      </c>
      <c r="J1364" s="4" t="e">
        <f ca="1">[1]!BexGetData("DP_1","003N8EMH8GTFRCSWKMPXRSGPQ","GSON1112150244")</f>
        <v>#NAME?</v>
      </c>
      <c r="K1364" s="8" t="e">
        <f ca="1">[1]!BexGetData("DP_1","003N8EMH8GTFRIVNUPY288VJH","GSON1112150244")</f>
        <v>#NAME?</v>
      </c>
      <c r="L1364" s="8" t="e">
        <f ca="1">[1]!BexGetData("DP_1","003N8EMH8GTFRIVNUPY2891V1","GSON1112150244")</f>
        <v>#NAME?</v>
      </c>
      <c r="M1364" s="8" t="e">
        <f ca="1">[1]!BexGetData("DP_1","003N8EMH8GTFRIVOG7KG9IQXA","GSON1112150244")</f>
        <v>#NAME?</v>
      </c>
      <c r="N1364" s="8" t="e">
        <f ca="1">[1]!BexGetData("DP_1","003N8EMH8GTFRIVOG7KG9IX8U","GSON1112150244")</f>
        <v>#NAME?</v>
      </c>
      <c r="O1364" s="8" t="e">
        <f ca="1">[1]!BexGetData("DP_1","003N8EMH8GTFRIVOG7KG9J3KE","GSON1112150244")</f>
        <v>#NAME?</v>
      </c>
      <c r="P1364" s="8" t="e">
        <f ca="1">[1]!BexGetData("DP_1","003N8EMH8GTFRIVOG7KG9J9VY","GSON1112150244")</f>
        <v>#NAME?</v>
      </c>
      <c r="Q1364" s="4" t="e">
        <f ca="1">[1]!BexGetData("DP_1","00O2TNJGODT0G5Z4TTKYMM5MT","GSON1112150244")</f>
        <v>#NAME?</v>
      </c>
      <c r="R1364" s="4" t="e">
        <f ca="1">[1]!BexGetData("DP_1","00O2TNJGODT0G5Z4TTKYMMBYD","GSON1112150244")</f>
        <v>#NAME?</v>
      </c>
      <c r="S1364" s="4" t="e">
        <f ca="1">[1]!BexGetData("DP_1","00O2TNJGODT0G5Z4TTKYMMI9X","GSON1112150244")</f>
        <v>#NAME?</v>
      </c>
      <c r="T1364" s="4" t="e">
        <f ca="1">[1]!BexGetData("DP_1","00O2TNJGODT0G5Z4TTKYMMOLH","GSON1112150244")</f>
        <v>#NAME?</v>
      </c>
      <c r="U1364" s="4" t="e">
        <f ca="1">[1]!BexGetData("DP_1","00O2TNJGODT0G5Z4TTKYMMUX1","GSON1112150244")</f>
        <v>#NAME?</v>
      </c>
      <c r="V1364" s="4" t="e">
        <f ca="1">[1]!BexGetData("DP_1","00O2TNJGODT0G5Z4TTKYMN18L","GSON1112150244")</f>
        <v>#NAME?</v>
      </c>
      <c r="W1364" s="4" t="e">
        <f ca="1">[1]!BexGetData("DP_1","00O2TNJGODT0G5Z4TTKYMN7K5","GSON1112150244")</f>
        <v>#NAME?</v>
      </c>
    </row>
    <row r="1365" spans="1:23" x14ac:dyDescent="0.2">
      <c r="A1365" s="16" t="s">
        <v>3743</v>
      </c>
      <c r="B1365" s="7" t="s">
        <v>3744</v>
      </c>
      <c r="C1365" s="3" t="e">
        <f ca="1">[1]!BexGetData("DP_1","003N8EMH8GTFRCSWKMPXRR8GU","GSON1112150245")</f>
        <v>#NAME?</v>
      </c>
      <c r="D1365" s="3" t="e">
        <f ca="1">[1]!BexGetData("DP_1","003N8EMH8GTFRCSWKMPXRRESE","GSON1112150245")</f>
        <v>#NAME?</v>
      </c>
      <c r="E1365" s="8" t="e">
        <f ca="1">[1]!BexGetData("DP_1","003N8EMH8GTFRCSWKMPXRRL3Y","GSON1112150245")</f>
        <v>#NAME?</v>
      </c>
      <c r="F1365" s="4" t="e">
        <f ca="1">[1]!BexGetData("DP_1","003N8EMH8GTFRCSWKMPXRRRFI","GSON1112150245")</f>
        <v>#NAME?</v>
      </c>
      <c r="G1365" s="4" t="e">
        <f ca="1">[1]!BexGetData("DP_1","003N8EMH8GTFRCSWKMPXRRXR2","GSON1112150245")</f>
        <v>#NAME?</v>
      </c>
      <c r="H1365" s="4" t="e">
        <f ca="1">[1]!BexGetData("DP_1","003N8EMH8GTFRCSWKMPXRS42M","GSON1112150245")</f>
        <v>#NAME?</v>
      </c>
      <c r="I1365" s="4" t="e">
        <f ca="1">[1]!BexGetData("DP_1","003N8EMH8GTFRCSWKMPXRSAE6","GSON1112150245")</f>
        <v>#NAME?</v>
      </c>
      <c r="J1365" s="4" t="e">
        <f ca="1">[1]!BexGetData("DP_1","003N8EMH8GTFRCSWKMPXRSGPQ","GSON1112150245")</f>
        <v>#NAME?</v>
      </c>
      <c r="K1365" s="8" t="e">
        <f ca="1">[1]!BexGetData("DP_1","003N8EMH8GTFRIVNUPY288VJH","GSON1112150245")</f>
        <v>#NAME?</v>
      </c>
      <c r="L1365" s="8" t="e">
        <f ca="1">[1]!BexGetData("DP_1","003N8EMH8GTFRIVNUPY2891V1","GSON1112150245")</f>
        <v>#NAME?</v>
      </c>
      <c r="M1365" s="8" t="e">
        <f ca="1">[1]!BexGetData("DP_1","003N8EMH8GTFRIVOG7KG9IQXA","GSON1112150245")</f>
        <v>#NAME?</v>
      </c>
      <c r="N1365" s="8" t="e">
        <f ca="1">[1]!BexGetData("DP_1","003N8EMH8GTFRIVOG7KG9IX8U","GSON1112150245")</f>
        <v>#NAME?</v>
      </c>
      <c r="O1365" s="8" t="e">
        <f ca="1">[1]!BexGetData("DP_1","003N8EMH8GTFRIVOG7KG9J3KE","GSON1112150245")</f>
        <v>#NAME?</v>
      </c>
      <c r="P1365" s="8" t="e">
        <f ca="1">[1]!BexGetData("DP_1","003N8EMH8GTFRIVOG7KG9J9VY","GSON1112150245")</f>
        <v>#NAME?</v>
      </c>
      <c r="Q1365" s="4" t="e">
        <f ca="1">[1]!BexGetData("DP_1","00O2TNJGODT0G5Z4TTKYMM5MT","GSON1112150245")</f>
        <v>#NAME?</v>
      </c>
      <c r="R1365" s="4" t="e">
        <f ca="1">[1]!BexGetData("DP_1","00O2TNJGODT0G5Z4TTKYMMBYD","GSON1112150245")</f>
        <v>#NAME?</v>
      </c>
      <c r="S1365" s="4" t="e">
        <f ca="1">[1]!BexGetData("DP_1","00O2TNJGODT0G5Z4TTKYMMI9X","GSON1112150245")</f>
        <v>#NAME?</v>
      </c>
      <c r="T1365" s="4" t="e">
        <f ca="1">[1]!BexGetData("DP_1","00O2TNJGODT0G5Z4TTKYMMOLH","GSON1112150245")</f>
        <v>#NAME?</v>
      </c>
      <c r="U1365" s="4" t="e">
        <f ca="1">[1]!BexGetData("DP_1","00O2TNJGODT0G5Z4TTKYMMUX1","GSON1112150245")</f>
        <v>#NAME?</v>
      </c>
      <c r="V1365" s="4" t="e">
        <f ca="1">[1]!BexGetData("DP_1","00O2TNJGODT0G5Z4TTKYMN18L","GSON1112150245")</f>
        <v>#NAME?</v>
      </c>
      <c r="W1365" s="4" t="e">
        <f ca="1">[1]!BexGetData("DP_1","00O2TNJGODT0G5Z4TTKYMN7K5","GSON1112150245")</f>
        <v>#NAME?</v>
      </c>
    </row>
    <row r="1366" spans="1:23" x14ac:dyDescent="0.2">
      <c r="A1366" s="16" t="s">
        <v>3745</v>
      </c>
      <c r="B1366" s="7" t="s">
        <v>3746</v>
      </c>
      <c r="C1366" s="3" t="e">
        <f ca="1">[1]!BexGetData("DP_1","003N8EMH8GTFRCSWKMPXRR8GU","GSON1112150260")</f>
        <v>#NAME?</v>
      </c>
      <c r="D1366" s="3" t="e">
        <f ca="1">[1]!BexGetData("DP_1","003N8EMH8GTFRCSWKMPXRRESE","GSON1112150260")</f>
        <v>#NAME?</v>
      </c>
      <c r="E1366" s="3" t="e">
        <f ca="1">[1]!BexGetData("DP_1","003N8EMH8GTFRCSWKMPXRRL3Y","GSON1112150260")</f>
        <v>#NAME?</v>
      </c>
      <c r="F1366" s="3" t="e">
        <f ca="1">[1]!BexGetData("DP_1","003N8EMH8GTFRCSWKMPXRRRFI","GSON1112150260")</f>
        <v>#NAME?</v>
      </c>
      <c r="G1366" s="3" t="e">
        <f ca="1">[1]!BexGetData("DP_1","003N8EMH8GTFRCSWKMPXRRXR2","GSON1112150260")</f>
        <v>#NAME?</v>
      </c>
      <c r="H1366" s="8" t="e">
        <f ca="1">[1]!BexGetData("DP_1","003N8EMH8GTFRCSWKMPXRS42M","GSON1112150260")</f>
        <v>#NAME?</v>
      </c>
      <c r="I1366" s="3" t="e">
        <f ca="1">[1]!BexGetData("DP_1","003N8EMH8GTFRCSWKMPXRSAE6","GSON1112150260")</f>
        <v>#NAME?</v>
      </c>
      <c r="J1366" s="4" t="e">
        <f ca="1">[1]!BexGetData("DP_1","003N8EMH8GTFRCSWKMPXRSGPQ","GSON1112150260")</f>
        <v>#NAME?</v>
      </c>
      <c r="K1366" s="3" t="e">
        <f ca="1">[1]!BexGetData("DP_1","003N8EMH8GTFRIVNUPY288VJH","GSON1112150260")</f>
        <v>#NAME?</v>
      </c>
      <c r="L1366" s="3" t="e">
        <f ca="1">[1]!BexGetData("DP_1","003N8EMH8GTFRIVNUPY2891V1","GSON1112150260")</f>
        <v>#NAME?</v>
      </c>
      <c r="M1366" s="3" t="e">
        <f ca="1">[1]!BexGetData("DP_1","003N8EMH8GTFRIVOG7KG9IQXA","GSON1112150260")</f>
        <v>#NAME?</v>
      </c>
      <c r="N1366" s="8" t="e">
        <f ca="1">[1]!BexGetData("DP_1","003N8EMH8GTFRIVOG7KG9IX8U","GSON1112150260")</f>
        <v>#NAME?</v>
      </c>
      <c r="O1366" s="3" t="e">
        <f ca="1">[1]!BexGetData("DP_1","003N8EMH8GTFRIVOG7KG9J3KE","GSON1112150260")</f>
        <v>#NAME?</v>
      </c>
      <c r="P1366" s="8" t="e">
        <f ca="1">[1]!BexGetData("DP_1","003N8EMH8GTFRIVOG7KG9J9VY","GSON1112150260")</f>
        <v>#NAME?</v>
      </c>
      <c r="Q1366" s="4" t="e">
        <f ca="1">[1]!BexGetData("DP_1","00O2TNJGODT0G5Z4TTKYMM5MT","GSON1112150260")</f>
        <v>#NAME?</v>
      </c>
      <c r="R1366" s="3" t="e">
        <f ca="1">[1]!BexGetData("DP_1","00O2TNJGODT0G5Z4TTKYMMBYD","GSON1112150260")</f>
        <v>#NAME?</v>
      </c>
      <c r="S1366" s="3" t="e">
        <f ca="1">[1]!BexGetData("DP_1","00O2TNJGODT0G5Z4TTKYMMI9X","GSON1112150260")</f>
        <v>#NAME?</v>
      </c>
      <c r="T1366" s="8" t="e">
        <f ca="1">[1]!BexGetData("DP_1","00O2TNJGODT0G5Z4TTKYMMOLH","GSON1112150260")</f>
        <v>#NAME?</v>
      </c>
      <c r="U1366" s="3" t="e">
        <f ca="1">[1]!BexGetData("DP_1","00O2TNJGODT0G5Z4TTKYMMUX1","GSON1112150260")</f>
        <v>#NAME?</v>
      </c>
      <c r="V1366" s="8" t="e">
        <f ca="1">[1]!BexGetData("DP_1","00O2TNJGODT0G5Z4TTKYMN18L","GSON1112150260")</f>
        <v>#NAME?</v>
      </c>
      <c r="W1366" s="3" t="e">
        <f ca="1">[1]!BexGetData("DP_1","00O2TNJGODT0G5Z4TTKYMN7K5","GSON1112150260")</f>
        <v>#NAME?</v>
      </c>
    </row>
    <row r="1367" spans="1:23" x14ac:dyDescent="0.2">
      <c r="A1367" s="16" t="s">
        <v>3747</v>
      </c>
      <c r="B1367" s="7" t="s">
        <v>3748</v>
      </c>
      <c r="C1367" s="3" t="e">
        <f ca="1">[1]!BexGetData("DP_1","003N8EMH8GTFRCSWKMPXRR8GU","GSON1112150264")</f>
        <v>#NAME?</v>
      </c>
      <c r="D1367" s="3" t="e">
        <f ca="1">[1]!BexGetData("DP_1","003N8EMH8GTFRCSWKMPXRRESE","GSON1112150264")</f>
        <v>#NAME?</v>
      </c>
      <c r="E1367" s="8" t="e">
        <f ca="1">[1]!BexGetData("DP_1","003N8EMH8GTFRCSWKMPXRRL3Y","GSON1112150264")</f>
        <v>#NAME?</v>
      </c>
      <c r="F1367" s="4" t="e">
        <f ca="1">[1]!BexGetData("DP_1","003N8EMH8GTFRCSWKMPXRRRFI","GSON1112150264")</f>
        <v>#NAME?</v>
      </c>
      <c r="G1367" s="4" t="e">
        <f ca="1">[1]!BexGetData("DP_1","003N8EMH8GTFRCSWKMPXRRXR2","GSON1112150264")</f>
        <v>#NAME?</v>
      </c>
      <c r="H1367" s="4" t="e">
        <f ca="1">[1]!BexGetData("DP_1","003N8EMH8GTFRCSWKMPXRS42M","GSON1112150264")</f>
        <v>#NAME?</v>
      </c>
      <c r="I1367" s="4" t="e">
        <f ca="1">[1]!BexGetData("DP_1","003N8EMH8GTFRCSWKMPXRSAE6","GSON1112150264")</f>
        <v>#NAME?</v>
      </c>
      <c r="J1367" s="4" t="e">
        <f ca="1">[1]!BexGetData("DP_1","003N8EMH8GTFRCSWKMPXRSGPQ","GSON1112150264")</f>
        <v>#NAME?</v>
      </c>
      <c r="K1367" s="8" t="e">
        <f ca="1">[1]!BexGetData("DP_1","003N8EMH8GTFRIVNUPY288VJH","GSON1112150264")</f>
        <v>#NAME?</v>
      </c>
      <c r="L1367" s="8" t="e">
        <f ca="1">[1]!BexGetData("DP_1","003N8EMH8GTFRIVNUPY2891V1","GSON1112150264")</f>
        <v>#NAME?</v>
      </c>
      <c r="M1367" s="8" t="e">
        <f ca="1">[1]!BexGetData("DP_1","003N8EMH8GTFRIVOG7KG9IQXA","GSON1112150264")</f>
        <v>#NAME?</v>
      </c>
      <c r="N1367" s="8" t="e">
        <f ca="1">[1]!BexGetData("DP_1","003N8EMH8GTFRIVOG7KG9IX8U","GSON1112150264")</f>
        <v>#NAME?</v>
      </c>
      <c r="O1367" s="8" t="e">
        <f ca="1">[1]!BexGetData("DP_1","003N8EMH8GTFRIVOG7KG9J3KE","GSON1112150264")</f>
        <v>#NAME?</v>
      </c>
      <c r="P1367" s="8" t="e">
        <f ca="1">[1]!BexGetData("DP_1","003N8EMH8GTFRIVOG7KG9J9VY","GSON1112150264")</f>
        <v>#NAME?</v>
      </c>
      <c r="Q1367" s="4" t="e">
        <f ca="1">[1]!BexGetData("DP_1","00O2TNJGODT0G5Z4TTKYMM5MT","GSON1112150264")</f>
        <v>#NAME?</v>
      </c>
      <c r="R1367" s="4" t="e">
        <f ca="1">[1]!BexGetData("DP_1","00O2TNJGODT0G5Z4TTKYMMBYD","GSON1112150264")</f>
        <v>#NAME?</v>
      </c>
      <c r="S1367" s="4" t="e">
        <f ca="1">[1]!BexGetData("DP_1","00O2TNJGODT0G5Z4TTKYMMI9X","GSON1112150264")</f>
        <v>#NAME?</v>
      </c>
      <c r="T1367" s="4" t="e">
        <f ca="1">[1]!BexGetData("DP_1","00O2TNJGODT0G5Z4TTKYMMOLH","GSON1112150264")</f>
        <v>#NAME?</v>
      </c>
      <c r="U1367" s="4" t="e">
        <f ca="1">[1]!BexGetData("DP_1","00O2TNJGODT0G5Z4TTKYMMUX1","GSON1112150264")</f>
        <v>#NAME?</v>
      </c>
      <c r="V1367" s="4" t="e">
        <f ca="1">[1]!BexGetData("DP_1","00O2TNJGODT0G5Z4TTKYMN18L","GSON1112150264")</f>
        <v>#NAME?</v>
      </c>
      <c r="W1367" s="4" t="e">
        <f ca="1">[1]!BexGetData("DP_1","00O2TNJGODT0G5Z4TTKYMN7K5","GSON1112150264")</f>
        <v>#NAME?</v>
      </c>
    </row>
    <row r="1368" spans="1:23" x14ac:dyDescent="0.2">
      <c r="A1368" s="16" t="s">
        <v>3749</v>
      </c>
      <c r="B1368" s="7" t="s">
        <v>3750</v>
      </c>
      <c r="C1368" s="3" t="e">
        <f ca="1">[1]!BexGetData("DP_1","003N8EMH8GTFRCSWKMPXRR8GU","GSON1112150265")</f>
        <v>#NAME?</v>
      </c>
      <c r="D1368" s="3" t="e">
        <f ca="1">[1]!BexGetData("DP_1","003N8EMH8GTFRCSWKMPXRRESE","GSON1112150265")</f>
        <v>#NAME?</v>
      </c>
      <c r="E1368" s="8" t="e">
        <f ca="1">[1]!BexGetData("DP_1","003N8EMH8GTFRCSWKMPXRRL3Y","GSON1112150265")</f>
        <v>#NAME?</v>
      </c>
      <c r="F1368" s="4" t="e">
        <f ca="1">[1]!BexGetData("DP_1","003N8EMH8GTFRCSWKMPXRRRFI","GSON1112150265")</f>
        <v>#NAME?</v>
      </c>
      <c r="G1368" s="4" t="e">
        <f ca="1">[1]!BexGetData("DP_1","003N8EMH8GTFRCSWKMPXRRXR2","GSON1112150265")</f>
        <v>#NAME?</v>
      </c>
      <c r="H1368" s="4" t="e">
        <f ca="1">[1]!BexGetData("DP_1","003N8EMH8GTFRCSWKMPXRS42M","GSON1112150265")</f>
        <v>#NAME?</v>
      </c>
      <c r="I1368" s="4" t="e">
        <f ca="1">[1]!BexGetData("DP_1","003N8EMH8GTFRCSWKMPXRSAE6","GSON1112150265")</f>
        <v>#NAME?</v>
      </c>
      <c r="J1368" s="4" t="e">
        <f ca="1">[1]!BexGetData("DP_1","003N8EMH8GTFRCSWKMPXRSGPQ","GSON1112150265")</f>
        <v>#NAME?</v>
      </c>
      <c r="K1368" s="8" t="e">
        <f ca="1">[1]!BexGetData("DP_1","003N8EMH8GTFRIVNUPY288VJH","GSON1112150265")</f>
        <v>#NAME?</v>
      </c>
      <c r="L1368" s="8" t="e">
        <f ca="1">[1]!BexGetData("DP_1","003N8EMH8GTFRIVNUPY2891V1","GSON1112150265")</f>
        <v>#NAME?</v>
      </c>
      <c r="M1368" s="8" t="e">
        <f ca="1">[1]!BexGetData("DP_1","003N8EMH8GTFRIVOG7KG9IQXA","GSON1112150265")</f>
        <v>#NAME?</v>
      </c>
      <c r="N1368" s="8" t="e">
        <f ca="1">[1]!BexGetData("DP_1","003N8EMH8GTFRIVOG7KG9IX8U","GSON1112150265")</f>
        <v>#NAME?</v>
      </c>
      <c r="O1368" s="8" t="e">
        <f ca="1">[1]!BexGetData("DP_1","003N8EMH8GTFRIVOG7KG9J3KE","GSON1112150265")</f>
        <v>#NAME?</v>
      </c>
      <c r="P1368" s="8" t="e">
        <f ca="1">[1]!BexGetData("DP_1","003N8EMH8GTFRIVOG7KG9J9VY","GSON1112150265")</f>
        <v>#NAME?</v>
      </c>
      <c r="Q1368" s="4" t="e">
        <f ca="1">[1]!BexGetData("DP_1","00O2TNJGODT0G5Z4TTKYMM5MT","GSON1112150265")</f>
        <v>#NAME?</v>
      </c>
      <c r="R1368" s="4" t="e">
        <f ca="1">[1]!BexGetData("DP_1","00O2TNJGODT0G5Z4TTKYMMBYD","GSON1112150265")</f>
        <v>#NAME?</v>
      </c>
      <c r="S1368" s="4" t="e">
        <f ca="1">[1]!BexGetData("DP_1","00O2TNJGODT0G5Z4TTKYMMI9X","GSON1112150265")</f>
        <v>#NAME?</v>
      </c>
      <c r="T1368" s="4" t="e">
        <f ca="1">[1]!BexGetData("DP_1","00O2TNJGODT0G5Z4TTKYMMOLH","GSON1112150265")</f>
        <v>#NAME?</v>
      </c>
      <c r="U1368" s="4" t="e">
        <f ca="1">[1]!BexGetData("DP_1","00O2TNJGODT0G5Z4TTKYMMUX1","GSON1112150265")</f>
        <v>#NAME?</v>
      </c>
      <c r="V1368" s="4" t="e">
        <f ca="1">[1]!BexGetData("DP_1","00O2TNJGODT0G5Z4TTKYMN18L","GSON1112150265")</f>
        <v>#NAME?</v>
      </c>
      <c r="W1368" s="4" t="e">
        <f ca="1">[1]!BexGetData("DP_1","00O2TNJGODT0G5Z4TTKYMN7K5","GSON1112150265")</f>
        <v>#NAME?</v>
      </c>
    </row>
    <row r="1369" spans="1:23" x14ac:dyDescent="0.2">
      <c r="A1369" s="16" t="s">
        <v>3751</v>
      </c>
      <c r="B1369" s="7" t="s">
        <v>3752</v>
      </c>
      <c r="C1369" s="3" t="e">
        <f ca="1">[1]!BexGetData("DP_1","003N8EMH8GTFRCSWKMPXRR8GU","GSON1112150270")</f>
        <v>#NAME?</v>
      </c>
      <c r="D1369" s="3" t="e">
        <f ca="1">[1]!BexGetData("DP_1","003N8EMH8GTFRCSWKMPXRRESE","GSON1112150270")</f>
        <v>#NAME?</v>
      </c>
      <c r="E1369" s="3" t="e">
        <f ca="1">[1]!BexGetData("DP_1","003N8EMH8GTFRCSWKMPXRRL3Y","GSON1112150270")</f>
        <v>#NAME?</v>
      </c>
      <c r="F1369" s="3" t="e">
        <f ca="1">[1]!BexGetData("DP_1","003N8EMH8GTFRCSWKMPXRRRFI","GSON1112150270")</f>
        <v>#NAME?</v>
      </c>
      <c r="G1369" s="3" t="e">
        <f ca="1">[1]!BexGetData("DP_1","003N8EMH8GTFRCSWKMPXRRXR2","GSON1112150270")</f>
        <v>#NAME?</v>
      </c>
      <c r="H1369" s="8" t="e">
        <f ca="1">[1]!BexGetData("DP_1","003N8EMH8GTFRCSWKMPXRS42M","GSON1112150270")</f>
        <v>#NAME?</v>
      </c>
      <c r="I1369" s="3" t="e">
        <f ca="1">[1]!BexGetData("DP_1","003N8EMH8GTFRCSWKMPXRSAE6","GSON1112150270")</f>
        <v>#NAME?</v>
      </c>
      <c r="J1369" s="4" t="e">
        <f ca="1">[1]!BexGetData("DP_1","003N8EMH8GTFRCSWKMPXRSGPQ","GSON1112150270")</f>
        <v>#NAME?</v>
      </c>
      <c r="K1369" s="3" t="e">
        <f ca="1">[1]!BexGetData("DP_1","003N8EMH8GTFRIVNUPY288VJH","GSON1112150270")</f>
        <v>#NAME?</v>
      </c>
      <c r="L1369" s="3" t="e">
        <f ca="1">[1]!BexGetData("DP_1","003N8EMH8GTFRIVNUPY2891V1","GSON1112150270")</f>
        <v>#NAME?</v>
      </c>
      <c r="M1369" s="3" t="e">
        <f ca="1">[1]!BexGetData("DP_1","003N8EMH8GTFRIVOG7KG9IQXA","GSON1112150270")</f>
        <v>#NAME?</v>
      </c>
      <c r="N1369" s="8" t="e">
        <f ca="1">[1]!BexGetData("DP_1","003N8EMH8GTFRIVOG7KG9IX8U","GSON1112150270")</f>
        <v>#NAME?</v>
      </c>
      <c r="O1369" s="3" t="e">
        <f ca="1">[1]!BexGetData("DP_1","003N8EMH8GTFRIVOG7KG9J3KE","GSON1112150270")</f>
        <v>#NAME?</v>
      </c>
      <c r="P1369" s="8" t="e">
        <f ca="1">[1]!BexGetData("DP_1","003N8EMH8GTFRIVOG7KG9J9VY","GSON1112150270")</f>
        <v>#NAME?</v>
      </c>
      <c r="Q1369" s="4" t="e">
        <f ca="1">[1]!BexGetData("DP_1","00O2TNJGODT0G5Z4TTKYMM5MT","GSON1112150270")</f>
        <v>#NAME?</v>
      </c>
      <c r="R1369" s="3" t="e">
        <f ca="1">[1]!BexGetData("DP_1","00O2TNJGODT0G5Z4TTKYMMBYD","GSON1112150270")</f>
        <v>#NAME?</v>
      </c>
      <c r="S1369" s="3" t="e">
        <f ca="1">[1]!BexGetData("DP_1","00O2TNJGODT0G5Z4TTKYMMI9X","GSON1112150270")</f>
        <v>#NAME?</v>
      </c>
      <c r="T1369" s="8" t="e">
        <f ca="1">[1]!BexGetData("DP_1","00O2TNJGODT0G5Z4TTKYMMOLH","GSON1112150270")</f>
        <v>#NAME?</v>
      </c>
      <c r="U1369" s="3" t="e">
        <f ca="1">[1]!BexGetData("DP_1","00O2TNJGODT0G5Z4TTKYMMUX1","GSON1112150270")</f>
        <v>#NAME?</v>
      </c>
      <c r="V1369" s="8" t="e">
        <f ca="1">[1]!BexGetData("DP_1","00O2TNJGODT0G5Z4TTKYMN18L","GSON1112150270")</f>
        <v>#NAME?</v>
      </c>
      <c r="W1369" s="3" t="e">
        <f ca="1">[1]!BexGetData("DP_1","00O2TNJGODT0G5Z4TTKYMN7K5","GSON1112150270")</f>
        <v>#NAME?</v>
      </c>
    </row>
    <row r="1370" spans="1:23" x14ac:dyDescent="0.2">
      <c r="A1370" s="16" t="s">
        <v>3753</v>
      </c>
      <c r="B1370" s="7" t="s">
        <v>3754</v>
      </c>
      <c r="C1370" s="3" t="e">
        <f ca="1">[1]!BexGetData("DP_1","003N8EMH8GTFRCSWKMPXRR8GU","GSON1112150271")</f>
        <v>#NAME?</v>
      </c>
      <c r="D1370" s="3" t="e">
        <f ca="1">[1]!BexGetData("DP_1","003N8EMH8GTFRCSWKMPXRRESE","GSON1112150271")</f>
        <v>#NAME?</v>
      </c>
      <c r="E1370" s="8" t="e">
        <f ca="1">[1]!BexGetData("DP_1","003N8EMH8GTFRCSWKMPXRRL3Y","GSON1112150271")</f>
        <v>#NAME?</v>
      </c>
      <c r="F1370" s="4" t="e">
        <f ca="1">[1]!BexGetData("DP_1","003N8EMH8GTFRCSWKMPXRRRFI","GSON1112150271")</f>
        <v>#NAME?</v>
      </c>
      <c r="G1370" s="4" t="e">
        <f ca="1">[1]!BexGetData("DP_1","003N8EMH8GTFRCSWKMPXRRXR2","GSON1112150271")</f>
        <v>#NAME?</v>
      </c>
      <c r="H1370" s="4" t="e">
        <f ca="1">[1]!BexGetData("DP_1","003N8EMH8GTFRCSWKMPXRS42M","GSON1112150271")</f>
        <v>#NAME?</v>
      </c>
      <c r="I1370" s="4" t="e">
        <f ca="1">[1]!BexGetData("DP_1","003N8EMH8GTFRCSWKMPXRSAE6","GSON1112150271")</f>
        <v>#NAME?</v>
      </c>
      <c r="J1370" s="4" t="e">
        <f ca="1">[1]!BexGetData("DP_1","003N8EMH8GTFRCSWKMPXRSGPQ","GSON1112150271")</f>
        <v>#NAME?</v>
      </c>
      <c r="K1370" s="8" t="e">
        <f ca="1">[1]!BexGetData("DP_1","003N8EMH8GTFRIVNUPY288VJH","GSON1112150271")</f>
        <v>#NAME?</v>
      </c>
      <c r="L1370" s="8" t="e">
        <f ca="1">[1]!BexGetData("DP_1","003N8EMH8GTFRIVNUPY2891V1","GSON1112150271")</f>
        <v>#NAME?</v>
      </c>
      <c r="M1370" s="8" t="e">
        <f ca="1">[1]!BexGetData("DP_1","003N8EMH8GTFRIVOG7KG9IQXA","GSON1112150271")</f>
        <v>#NAME?</v>
      </c>
      <c r="N1370" s="8" t="e">
        <f ca="1">[1]!BexGetData("DP_1","003N8EMH8GTFRIVOG7KG9IX8U","GSON1112150271")</f>
        <v>#NAME?</v>
      </c>
      <c r="O1370" s="8" t="e">
        <f ca="1">[1]!BexGetData("DP_1","003N8EMH8GTFRIVOG7KG9J3KE","GSON1112150271")</f>
        <v>#NAME?</v>
      </c>
      <c r="P1370" s="8" t="e">
        <f ca="1">[1]!BexGetData("DP_1","003N8EMH8GTFRIVOG7KG9J9VY","GSON1112150271")</f>
        <v>#NAME?</v>
      </c>
      <c r="Q1370" s="4" t="e">
        <f ca="1">[1]!BexGetData("DP_1","00O2TNJGODT0G5Z4TTKYMM5MT","GSON1112150271")</f>
        <v>#NAME?</v>
      </c>
      <c r="R1370" s="4" t="e">
        <f ca="1">[1]!BexGetData("DP_1","00O2TNJGODT0G5Z4TTKYMMBYD","GSON1112150271")</f>
        <v>#NAME?</v>
      </c>
      <c r="S1370" s="4" t="e">
        <f ca="1">[1]!BexGetData("DP_1","00O2TNJGODT0G5Z4TTKYMMI9X","GSON1112150271")</f>
        <v>#NAME?</v>
      </c>
      <c r="T1370" s="4" t="e">
        <f ca="1">[1]!BexGetData("DP_1","00O2TNJGODT0G5Z4TTKYMMOLH","GSON1112150271")</f>
        <v>#NAME?</v>
      </c>
      <c r="U1370" s="4" t="e">
        <f ca="1">[1]!BexGetData("DP_1","00O2TNJGODT0G5Z4TTKYMMUX1","GSON1112150271")</f>
        <v>#NAME?</v>
      </c>
      <c r="V1370" s="4" t="e">
        <f ca="1">[1]!BexGetData("DP_1","00O2TNJGODT0G5Z4TTKYMN18L","GSON1112150271")</f>
        <v>#NAME?</v>
      </c>
      <c r="W1370" s="4" t="e">
        <f ca="1">[1]!BexGetData("DP_1","00O2TNJGODT0G5Z4TTKYMN7K5","GSON1112150271")</f>
        <v>#NAME?</v>
      </c>
    </row>
    <row r="1371" spans="1:23" x14ac:dyDescent="0.2">
      <c r="A1371" s="16" t="s">
        <v>3755</v>
      </c>
      <c r="B1371" s="7" t="s">
        <v>3756</v>
      </c>
      <c r="C1371" s="3" t="e">
        <f ca="1">[1]!BexGetData("DP_1","003N8EMH8GTFRCSWKMPXRR8GU","GSON1112150274")</f>
        <v>#NAME?</v>
      </c>
      <c r="D1371" s="3" t="e">
        <f ca="1">[1]!BexGetData("DP_1","003N8EMH8GTFRCSWKMPXRRESE","GSON1112150274")</f>
        <v>#NAME?</v>
      </c>
      <c r="E1371" s="8" t="e">
        <f ca="1">[1]!BexGetData("DP_1","003N8EMH8GTFRCSWKMPXRRL3Y","GSON1112150274")</f>
        <v>#NAME?</v>
      </c>
      <c r="F1371" s="4" t="e">
        <f ca="1">[1]!BexGetData("DP_1","003N8EMH8GTFRCSWKMPXRRRFI","GSON1112150274")</f>
        <v>#NAME?</v>
      </c>
      <c r="G1371" s="4" t="e">
        <f ca="1">[1]!BexGetData("DP_1","003N8EMH8GTFRCSWKMPXRRXR2","GSON1112150274")</f>
        <v>#NAME?</v>
      </c>
      <c r="H1371" s="4" t="e">
        <f ca="1">[1]!BexGetData("DP_1","003N8EMH8GTFRCSWKMPXRS42M","GSON1112150274")</f>
        <v>#NAME?</v>
      </c>
      <c r="I1371" s="4" t="e">
        <f ca="1">[1]!BexGetData("DP_1","003N8EMH8GTFRCSWKMPXRSAE6","GSON1112150274")</f>
        <v>#NAME?</v>
      </c>
      <c r="J1371" s="4" t="e">
        <f ca="1">[1]!BexGetData("DP_1","003N8EMH8GTFRCSWKMPXRSGPQ","GSON1112150274")</f>
        <v>#NAME?</v>
      </c>
      <c r="K1371" s="8" t="e">
        <f ca="1">[1]!BexGetData("DP_1","003N8EMH8GTFRIVNUPY288VJH","GSON1112150274")</f>
        <v>#NAME?</v>
      </c>
      <c r="L1371" s="8" t="e">
        <f ca="1">[1]!BexGetData("DP_1","003N8EMH8GTFRIVNUPY2891V1","GSON1112150274")</f>
        <v>#NAME?</v>
      </c>
      <c r="M1371" s="8" t="e">
        <f ca="1">[1]!BexGetData("DP_1","003N8EMH8GTFRIVOG7KG9IQXA","GSON1112150274")</f>
        <v>#NAME?</v>
      </c>
      <c r="N1371" s="8" t="e">
        <f ca="1">[1]!BexGetData("DP_1","003N8EMH8GTFRIVOG7KG9IX8U","GSON1112150274")</f>
        <v>#NAME?</v>
      </c>
      <c r="O1371" s="8" t="e">
        <f ca="1">[1]!BexGetData("DP_1","003N8EMH8GTFRIVOG7KG9J3KE","GSON1112150274")</f>
        <v>#NAME?</v>
      </c>
      <c r="P1371" s="8" t="e">
        <f ca="1">[1]!BexGetData("DP_1","003N8EMH8GTFRIVOG7KG9J9VY","GSON1112150274")</f>
        <v>#NAME?</v>
      </c>
      <c r="Q1371" s="4" t="e">
        <f ca="1">[1]!BexGetData("DP_1","00O2TNJGODT0G5Z4TTKYMM5MT","GSON1112150274")</f>
        <v>#NAME?</v>
      </c>
      <c r="R1371" s="4" t="e">
        <f ca="1">[1]!BexGetData("DP_1","00O2TNJGODT0G5Z4TTKYMMBYD","GSON1112150274")</f>
        <v>#NAME?</v>
      </c>
      <c r="S1371" s="4" t="e">
        <f ca="1">[1]!BexGetData("DP_1","00O2TNJGODT0G5Z4TTKYMMI9X","GSON1112150274")</f>
        <v>#NAME?</v>
      </c>
      <c r="T1371" s="4" t="e">
        <f ca="1">[1]!BexGetData("DP_1","00O2TNJGODT0G5Z4TTKYMMOLH","GSON1112150274")</f>
        <v>#NAME?</v>
      </c>
      <c r="U1371" s="4" t="e">
        <f ca="1">[1]!BexGetData("DP_1","00O2TNJGODT0G5Z4TTKYMMUX1","GSON1112150274")</f>
        <v>#NAME?</v>
      </c>
      <c r="V1371" s="4" t="e">
        <f ca="1">[1]!BexGetData("DP_1","00O2TNJGODT0G5Z4TTKYMN18L","GSON1112150274")</f>
        <v>#NAME?</v>
      </c>
      <c r="W1371" s="4" t="e">
        <f ca="1">[1]!BexGetData("DP_1","00O2TNJGODT0G5Z4TTKYMN7K5","GSON1112150274")</f>
        <v>#NAME?</v>
      </c>
    </row>
    <row r="1372" spans="1:23" x14ac:dyDescent="0.2">
      <c r="A1372" s="16" t="s">
        <v>3757</v>
      </c>
      <c r="B1372" s="7" t="s">
        <v>3758</v>
      </c>
      <c r="C1372" s="3" t="e">
        <f ca="1">[1]!BexGetData("DP_1","003N8EMH8GTFRCSWKMPXRR8GU","GSON1112150275")</f>
        <v>#NAME?</v>
      </c>
      <c r="D1372" s="3" t="e">
        <f ca="1">[1]!BexGetData("DP_1","003N8EMH8GTFRCSWKMPXRRESE","GSON1112150275")</f>
        <v>#NAME?</v>
      </c>
      <c r="E1372" s="8" t="e">
        <f ca="1">[1]!BexGetData("DP_1","003N8EMH8GTFRCSWKMPXRRL3Y","GSON1112150275")</f>
        <v>#NAME?</v>
      </c>
      <c r="F1372" s="4" t="e">
        <f ca="1">[1]!BexGetData("DP_1","003N8EMH8GTFRCSWKMPXRRRFI","GSON1112150275")</f>
        <v>#NAME?</v>
      </c>
      <c r="G1372" s="4" t="e">
        <f ca="1">[1]!BexGetData("DP_1","003N8EMH8GTFRCSWKMPXRRXR2","GSON1112150275")</f>
        <v>#NAME?</v>
      </c>
      <c r="H1372" s="4" t="e">
        <f ca="1">[1]!BexGetData("DP_1","003N8EMH8GTFRCSWKMPXRS42M","GSON1112150275")</f>
        <v>#NAME?</v>
      </c>
      <c r="I1372" s="4" t="e">
        <f ca="1">[1]!BexGetData("DP_1","003N8EMH8GTFRCSWKMPXRSAE6","GSON1112150275")</f>
        <v>#NAME?</v>
      </c>
      <c r="J1372" s="4" t="e">
        <f ca="1">[1]!BexGetData("DP_1","003N8EMH8GTFRCSWKMPXRSGPQ","GSON1112150275")</f>
        <v>#NAME?</v>
      </c>
      <c r="K1372" s="8" t="e">
        <f ca="1">[1]!BexGetData("DP_1","003N8EMH8GTFRIVNUPY288VJH","GSON1112150275")</f>
        <v>#NAME?</v>
      </c>
      <c r="L1372" s="8" t="e">
        <f ca="1">[1]!BexGetData("DP_1","003N8EMH8GTFRIVNUPY2891V1","GSON1112150275")</f>
        <v>#NAME?</v>
      </c>
      <c r="M1372" s="8" t="e">
        <f ca="1">[1]!BexGetData("DP_1","003N8EMH8GTFRIVOG7KG9IQXA","GSON1112150275")</f>
        <v>#NAME?</v>
      </c>
      <c r="N1372" s="8" t="e">
        <f ca="1">[1]!BexGetData("DP_1","003N8EMH8GTFRIVOG7KG9IX8U","GSON1112150275")</f>
        <v>#NAME?</v>
      </c>
      <c r="O1372" s="8" t="e">
        <f ca="1">[1]!BexGetData("DP_1","003N8EMH8GTFRIVOG7KG9J3KE","GSON1112150275")</f>
        <v>#NAME?</v>
      </c>
      <c r="P1372" s="8" t="e">
        <f ca="1">[1]!BexGetData("DP_1","003N8EMH8GTFRIVOG7KG9J9VY","GSON1112150275")</f>
        <v>#NAME?</v>
      </c>
      <c r="Q1372" s="4" t="e">
        <f ca="1">[1]!BexGetData("DP_1","00O2TNJGODT0G5Z4TTKYMM5MT","GSON1112150275")</f>
        <v>#NAME?</v>
      </c>
      <c r="R1372" s="4" t="e">
        <f ca="1">[1]!BexGetData("DP_1","00O2TNJGODT0G5Z4TTKYMMBYD","GSON1112150275")</f>
        <v>#NAME?</v>
      </c>
      <c r="S1372" s="4" t="e">
        <f ca="1">[1]!BexGetData("DP_1","00O2TNJGODT0G5Z4TTKYMMI9X","GSON1112150275")</f>
        <v>#NAME?</v>
      </c>
      <c r="T1372" s="4" t="e">
        <f ca="1">[1]!BexGetData("DP_1","00O2TNJGODT0G5Z4TTKYMMOLH","GSON1112150275")</f>
        <v>#NAME?</v>
      </c>
      <c r="U1372" s="4" t="e">
        <f ca="1">[1]!BexGetData("DP_1","00O2TNJGODT0G5Z4TTKYMMUX1","GSON1112150275")</f>
        <v>#NAME?</v>
      </c>
      <c r="V1372" s="4" t="e">
        <f ca="1">[1]!BexGetData("DP_1","00O2TNJGODT0G5Z4TTKYMN18L","GSON1112150275")</f>
        <v>#NAME?</v>
      </c>
      <c r="W1372" s="4" t="e">
        <f ca="1">[1]!BexGetData("DP_1","00O2TNJGODT0G5Z4TTKYMN7K5","GSON1112150275")</f>
        <v>#NAME?</v>
      </c>
    </row>
    <row r="1373" spans="1:23" x14ac:dyDescent="0.2">
      <c r="A1373" s="16" t="s">
        <v>3759</v>
      </c>
      <c r="B1373" s="7" t="s">
        <v>3760</v>
      </c>
      <c r="C1373" s="3" t="e">
        <f ca="1">[1]!BexGetData("DP_1","003N8EMH8GTFRCSWKMPXRR8GU","GSON1112150280")</f>
        <v>#NAME?</v>
      </c>
      <c r="D1373" s="3" t="e">
        <f ca="1">[1]!BexGetData("DP_1","003N8EMH8GTFRCSWKMPXRRESE","GSON1112150280")</f>
        <v>#NAME?</v>
      </c>
      <c r="E1373" s="3" t="e">
        <f ca="1">[1]!BexGetData("DP_1","003N8EMH8GTFRCSWKMPXRRL3Y","GSON1112150280")</f>
        <v>#NAME?</v>
      </c>
      <c r="F1373" s="3" t="e">
        <f ca="1">[1]!BexGetData("DP_1","003N8EMH8GTFRCSWKMPXRRRFI","GSON1112150280")</f>
        <v>#NAME?</v>
      </c>
      <c r="G1373" s="3" t="e">
        <f ca="1">[1]!BexGetData("DP_1","003N8EMH8GTFRCSWKMPXRRXR2","GSON1112150280")</f>
        <v>#NAME?</v>
      </c>
      <c r="H1373" s="8" t="e">
        <f ca="1">[1]!BexGetData("DP_1","003N8EMH8GTFRCSWKMPXRS42M","GSON1112150280")</f>
        <v>#NAME?</v>
      </c>
      <c r="I1373" s="3" t="e">
        <f ca="1">[1]!BexGetData("DP_1","003N8EMH8GTFRCSWKMPXRSAE6","GSON1112150280")</f>
        <v>#NAME?</v>
      </c>
      <c r="J1373" s="4" t="e">
        <f ca="1">[1]!BexGetData("DP_1","003N8EMH8GTFRCSWKMPXRSGPQ","GSON1112150280")</f>
        <v>#NAME?</v>
      </c>
      <c r="K1373" s="3" t="e">
        <f ca="1">[1]!BexGetData("DP_1","003N8EMH8GTFRIVNUPY288VJH","GSON1112150280")</f>
        <v>#NAME?</v>
      </c>
      <c r="L1373" s="3" t="e">
        <f ca="1">[1]!BexGetData("DP_1","003N8EMH8GTFRIVNUPY2891V1","GSON1112150280")</f>
        <v>#NAME?</v>
      </c>
      <c r="M1373" s="3" t="e">
        <f ca="1">[1]!BexGetData("DP_1","003N8EMH8GTFRIVOG7KG9IQXA","GSON1112150280")</f>
        <v>#NAME?</v>
      </c>
      <c r="N1373" s="8" t="e">
        <f ca="1">[1]!BexGetData("DP_1","003N8EMH8GTFRIVOG7KG9IX8U","GSON1112150280")</f>
        <v>#NAME?</v>
      </c>
      <c r="O1373" s="3" t="e">
        <f ca="1">[1]!BexGetData("DP_1","003N8EMH8GTFRIVOG7KG9J3KE","GSON1112150280")</f>
        <v>#NAME?</v>
      </c>
      <c r="P1373" s="8" t="e">
        <f ca="1">[1]!BexGetData("DP_1","003N8EMH8GTFRIVOG7KG9J9VY","GSON1112150280")</f>
        <v>#NAME?</v>
      </c>
      <c r="Q1373" s="4" t="e">
        <f ca="1">[1]!BexGetData("DP_1","00O2TNJGODT0G5Z4TTKYMM5MT","GSON1112150280")</f>
        <v>#NAME?</v>
      </c>
      <c r="R1373" s="3" t="e">
        <f ca="1">[1]!BexGetData("DP_1","00O2TNJGODT0G5Z4TTKYMMBYD","GSON1112150280")</f>
        <v>#NAME?</v>
      </c>
      <c r="S1373" s="3" t="e">
        <f ca="1">[1]!BexGetData("DP_1","00O2TNJGODT0G5Z4TTKYMMI9X","GSON1112150280")</f>
        <v>#NAME?</v>
      </c>
      <c r="T1373" s="8" t="e">
        <f ca="1">[1]!BexGetData("DP_1","00O2TNJGODT0G5Z4TTKYMMOLH","GSON1112150280")</f>
        <v>#NAME?</v>
      </c>
      <c r="U1373" s="3" t="e">
        <f ca="1">[1]!BexGetData("DP_1","00O2TNJGODT0G5Z4TTKYMMUX1","GSON1112150280")</f>
        <v>#NAME?</v>
      </c>
      <c r="V1373" s="8" t="e">
        <f ca="1">[1]!BexGetData("DP_1","00O2TNJGODT0G5Z4TTKYMN18L","GSON1112150280")</f>
        <v>#NAME?</v>
      </c>
      <c r="W1373" s="3" t="e">
        <f ca="1">[1]!BexGetData("DP_1","00O2TNJGODT0G5Z4TTKYMN7K5","GSON1112150280")</f>
        <v>#NAME?</v>
      </c>
    </row>
    <row r="1374" spans="1:23" x14ac:dyDescent="0.2">
      <c r="A1374" s="16" t="s">
        <v>3761</v>
      </c>
      <c r="B1374" s="7" t="s">
        <v>3762</v>
      </c>
      <c r="C1374" s="3" t="e">
        <f ca="1">[1]!BexGetData("DP_1","003N8EMH8GTFRCSWKMPXRR8GU","GSON1112150284")</f>
        <v>#NAME?</v>
      </c>
      <c r="D1374" s="3" t="e">
        <f ca="1">[1]!BexGetData("DP_1","003N8EMH8GTFRCSWKMPXRRESE","GSON1112150284")</f>
        <v>#NAME?</v>
      </c>
      <c r="E1374" s="8" t="e">
        <f ca="1">[1]!BexGetData("DP_1","003N8EMH8GTFRCSWKMPXRRL3Y","GSON1112150284")</f>
        <v>#NAME?</v>
      </c>
      <c r="F1374" s="4" t="e">
        <f ca="1">[1]!BexGetData("DP_1","003N8EMH8GTFRCSWKMPXRRRFI","GSON1112150284")</f>
        <v>#NAME?</v>
      </c>
      <c r="G1374" s="4" t="e">
        <f ca="1">[1]!BexGetData("DP_1","003N8EMH8GTFRCSWKMPXRRXR2","GSON1112150284")</f>
        <v>#NAME?</v>
      </c>
      <c r="H1374" s="4" t="e">
        <f ca="1">[1]!BexGetData("DP_1","003N8EMH8GTFRCSWKMPXRS42M","GSON1112150284")</f>
        <v>#NAME?</v>
      </c>
      <c r="I1374" s="4" t="e">
        <f ca="1">[1]!BexGetData("DP_1","003N8EMH8GTFRCSWKMPXRSAE6","GSON1112150284")</f>
        <v>#NAME?</v>
      </c>
      <c r="J1374" s="4" t="e">
        <f ca="1">[1]!BexGetData("DP_1","003N8EMH8GTFRCSWKMPXRSGPQ","GSON1112150284")</f>
        <v>#NAME?</v>
      </c>
      <c r="K1374" s="8" t="e">
        <f ca="1">[1]!BexGetData("DP_1","003N8EMH8GTFRIVNUPY288VJH","GSON1112150284")</f>
        <v>#NAME?</v>
      </c>
      <c r="L1374" s="8" t="e">
        <f ca="1">[1]!BexGetData("DP_1","003N8EMH8GTFRIVNUPY2891V1","GSON1112150284")</f>
        <v>#NAME?</v>
      </c>
      <c r="M1374" s="8" t="e">
        <f ca="1">[1]!BexGetData("DP_1","003N8EMH8GTFRIVOG7KG9IQXA","GSON1112150284")</f>
        <v>#NAME?</v>
      </c>
      <c r="N1374" s="8" t="e">
        <f ca="1">[1]!BexGetData("DP_1","003N8EMH8GTFRIVOG7KG9IX8U","GSON1112150284")</f>
        <v>#NAME?</v>
      </c>
      <c r="O1374" s="8" t="e">
        <f ca="1">[1]!BexGetData("DP_1","003N8EMH8GTFRIVOG7KG9J3KE","GSON1112150284")</f>
        <v>#NAME?</v>
      </c>
      <c r="P1374" s="8" t="e">
        <f ca="1">[1]!BexGetData("DP_1","003N8EMH8GTFRIVOG7KG9J9VY","GSON1112150284")</f>
        <v>#NAME?</v>
      </c>
      <c r="Q1374" s="4" t="e">
        <f ca="1">[1]!BexGetData("DP_1","00O2TNJGODT0G5Z4TTKYMM5MT","GSON1112150284")</f>
        <v>#NAME?</v>
      </c>
      <c r="R1374" s="4" t="e">
        <f ca="1">[1]!BexGetData("DP_1","00O2TNJGODT0G5Z4TTKYMMBYD","GSON1112150284")</f>
        <v>#NAME?</v>
      </c>
      <c r="S1374" s="4" t="e">
        <f ca="1">[1]!BexGetData("DP_1","00O2TNJGODT0G5Z4TTKYMMI9X","GSON1112150284")</f>
        <v>#NAME?</v>
      </c>
      <c r="T1374" s="4" t="e">
        <f ca="1">[1]!BexGetData("DP_1","00O2TNJGODT0G5Z4TTKYMMOLH","GSON1112150284")</f>
        <v>#NAME?</v>
      </c>
      <c r="U1374" s="4" t="e">
        <f ca="1">[1]!BexGetData("DP_1","00O2TNJGODT0G5Z4TTKYMMUX1","GSON1112150284")</f>
        <v>#NAME?</v>
      </c>
      <c r="V1374" s="4" t="e">
        <f ca="1">[1]!BexGetData("DP_1","00O2TNJGODT0G5Z4TTKYMN18L","GSON1112150284")</f>
        <v>#NAME?</v>
      </c>
      <c r="W1374" s="4" t="e">
        <f ca="1">[1]!BexGetData("DP_1","00O2TNJGODT0G5Z4TTKYMN7K5","GSON1112150284")</f>
        <v>#NAME?</v>
      </c>
    </row>
    <row r="1375" spans="1:23" x14ac:dyDescent="0.2">
      <c r="A1375" s="16" t="s">
        <v>3763</v>
      </c>
      <c r="B1375" s="7" t="s">
        <v>3764</v>
      </c>
      <c r="C1375" s="3" t="e">
        <f ca="1">[1]!BexGetData("DP_1","003N8EMH8GTFRCSWKMPXRR8GU","GSON1112150285")</f>
        <v>#NAME?</v>
      </c>
      <c r="D1375" s="3" t="e">
        <f ca="1">[1]!BexGetData("DP_1","003N8EMH8GTFRCSWKMPXRRESE","GSON1112150285")</f>
        <v>#NAME?</v>
      </c>
      <c r="E1375" s="8" t="e">
        <f ca="1">[1]!BexGetData("DP_1","003N8EMH8GTFRCSWKMPXRRL3Y","GSON1112150285")</f>
        <v>#NAME?</v>
      </c>
      <c r="F1375" s="4" t="e">
        <f ca="1">[1]!BexGetData("DP_1","003N8EMH8GTFRCSWKMPXRRRFI","GSON1112150285")</f>
        <v>#NAME?</v>
      </c>
      <c r="G1375" s="4" t="e">
        <f ca="1">[1]!BexGetData("DP_1","003N8EMH8GTFRCSWKMPXRRXR2","GSON1112150285")</f>
        <v>#NAME?</v>
      </c>
      <c r="H1375" s="4" t="e">
        <f ca="1">[1]!BexGetData("DP_1","003N8EMH8GTFRCSWKMPXRS42M","GSON1112150285")</f>
        <v>#NAME?</v>
      </c>
      <c r="I1375" s="4" t="e">
        <f ca="1">[1]!BexGetData("DP_1","003N8EMH8GTFRCSWKMPXRSAE6","GSON1112150285")</f>
        <v>#NAME?</v>
      </c>
      <c r="J1375" s="4" t="e">
        <f ca="1">[1]!BexGetData("DP_1","003N8EMH8GTFRCSWKMPXRSGPQ","GSON1112150285")</f>
        <v>#NAME?</v>
      </c>
      <c r="K1375" s="8" t="e">
        <f ca="1">[1]!BexGetData("DP_1","003N8EMH8GTFRIVNUPY288VJH","GSON1112150285")</f>
        <v>#NAME?</v>
      </c>
      <c r="L1375" s="8" t="e">
        <f ca="1">[1]!BexGetData("DP_1","003N8EMH8GTFRIVNUPY2891V1","GSON1112150285")</f>
        <v>#NAME?</v>
      </c>
      <c r="M1375" s="8" t="e">
        <f ca="1">[1]!BexGetData("DP_1","003N8EMH8GTFRIVOG7KG9IQXA","GSON1112150285")</f>
        <v>#NAME?</v>
      </c>
      <c r="N1375" s="8" t="e">
        <f ca="1">[1]!BexGetData("DP_1","003N8EMH8GTFRIVOG7KG9IX8U","GSON1112150285")</f>
        <v>#NAME?</v>
      </c>
      <c r="O1375" s="8" t="e">
        <f ca="1">[1]!BexGetData("DP_1","003N8EMH8GTFRIVOG7KG9J3KE","GSON1112150285")</f>
        <v>#NAME?</v>
      </c>
      <c r="P1375" s="8" t="e">
        <f ca="1">[1]!BexGetData("DP_1","003N8EMH8GTFRIVOG7KG9J9VY","GSON1112150285")</f>
        <v>#NAME?</v>
      </c>
      <c r="Q1375" s="4" t="e">
        <f ca="1">[1]!BexGetData("DP_1","00O2TNJGODT0G5Z4TTKYMM5MT","GSON1112150285")</f>
        <v>#NAME?</v>
      </c>
      <c r="R1375" s="4" t="e">
        <f ca="1">[1]!BexGetData("DP_1","00O2TNJGODT0G5Z4TTKYMMBYD","GSON1112150285")</f>
        <v>#NAME?</v>
      </c>
      <c r="S1375" s="4" t="e">
        <f ca="1">[1]!BexGetData("DP_1","00O2TNJGODT0G5Z4TTKYMMI9X","GSON1112150285")</f>
        <v>#NAME?</v>
      </c>
      <c r="T1375" s="4" t="e">
        <f ca="1">[1]!BexGetData("DP_1","00O2TNJGODT0G5Z4TTKYMMOLH","GSON1112150285")</f>
        <v>#NAME?</v>
      </c>
      <c r="U1375" s="4" t="e">
        <f ca="1">[1]!BexGetData("DP_1","00O2TNJGODT0G5Z4TTKYMMUX1","GSON1112150285")</f>
        <v>#NAME?</v>
      </c>
      <c r="V1375" s="4" t="e">
        <f ca="1">[1]!BexGetData("DP_1","00O2TNJGODT0G5Z4TTKYMN18L","GSON1112150285")</f>
        <v>#NAME?</v>
      </c>
      <c r="W1375" s="4" t="e">
        <f ca="1">[1]!BexGetData("DP_1","00O2TNJGODT0G5Z4TTKYMN7K5","GSON1112150285")</f>
        <v>#NAME?</v>
      </c>
    </row>
    <row r="1376" spans="1:23" x14ac:dyDescent="0.2">
      <c r="A1376" s="16" t="s">
        <v>3765</v>
      </c>
      <c r="B1376" s="7" t="s">
        <v>3766</v>
      </c>
      <c r="C1376" s="3" t="e">
        <f ca="1">[1]!BexGetData("DP_1","003N8EMH8GTFRCSWKMPXRR8GU","GSON1112150290")</f>
        <v>#NAME?</v>
      </c>
      <c r="D1376" s="3" t="e">
        <f ca="1">[1]!BexGetData("DP_1","003N8EMH8GTFRCSWKMPXRRESE","GSON1112150290")</f>
        <v>#NAME?</v>
      </c>
      <c r="E1376" s="3" t="e">
        <f ca="1">[1]!BexGetData("DP_1","003N8EMH8GTFRCSWKMPXRRL3Y","GSON1112150290")</f>
        <v>#NAME?</v>
      </c>
      <c r="F1376" s="3" t="e">
        <f ca="1">[1]!BexGetData("DP_1","003N8EMH8GTFRCSWKMPXRRRFI","GSON1112150290")</f>
        <v>#NAME?</v>
      </c>
      <c r="G1376" s="3" t="e">
        <f ca="1">[1]!BexGetData("DP_1","003N8EMH8GTFRCSWKMPXRRXR2","GSON1112150290")</f>
        <v>#NAME?</v>
      </c>
      <c r="H1376" s="8" t="e">
        <f ca="1">[1]!BexGetData("DP_1","003N8EMH8GTFRCSWKMPXRS42M","GSON1112150290")</f>
        <v>#NAME?</v>
      </c>
      <c r="I1376" s="3" t="e">
        <f ca="1">[1]!BexGetData("DP_1","003N8EMH8GTFRCSWKMPXRSAE6","GSON1112150290")</f>
        <v>#NAME?</v>
      </c>
      <c r="J1376" s="4" t="e">
        <f ca="1">[1]!BexGetData("DP_1","003N8EMH8GTFRCSWKMPXRSGPQ","GSON1112150290")</f>
        <v>#NAME?</v>
      </c>
      <c r="K1376" s="3" t="e">
        <f ca="1">[1]!BexGetData("DP_1","003N8EMH8GTFRIVNUPY288VJH","GSON1112150290")</f>
        <v>#NAME?</v>
      </c>
      <c r="L1376" s="3" t="e">
        <f ca="1">[1]!BexGetData("DP_1","003N8EMH8GTFRIVNUPY2891V1","GSON1112150290")</f>
        <v>#NAME?</v>
      </c>
      <c r="M1376" s="3" t="e">
        <f ca="1">[1]!BexGetData("DP_1","003N8EMH8GTFRIVOG7KG9IQXA","GSON1112150290")</f>
        <v>#NAME?</v>
      </c>
      <c r="N1376" s="8" t="e">
        <f ca="1">[1]!BexGetData("DP_1","003N8EMH8GTFRIVOG7KG9IX8U","GSON1112150290")</f>
        <v>#NAME?</v>
      </c>
      <c r="O1376" s="3" t="e">
        <f ca="1">[1]!BexGetData("DP_1","003N8EMH8GTFRIVOG7KG9J3KE","GSON1112150290")</f>
        <v>#NAME?</v>
      </c>
      <c r="P1376" s="8" t="e">
        <f ca="1">[1]!BexGetData("DP_1","003N8EMH8GTFRIVOG7KG9J9VY","GSON1112150290")</f>
        <v>#NAME?</v>
      </c>
      <c r="Q1376" s="4" t="e">
        <f ca="1">[1]!BexGetData("DP_1","00O2TNJGODT0G5Z4TTKYMM5MT","GSON1112150290")</f>
        <v>#NAME?</v>
      </c>
      <c r="R1376" s="3" t="e">
        <f ca="1">[1]!BexGetData("DP_1","00O2TNJGODT0G5Z4TTKYMMBYD","GSON1112150290")</f>
        <v>#NAME?</v>
      </c>
      <c r="S1376" s="3" t="e">
        <f ca="1">[1]!BexGetData("DP_1","00O2TNJGODT0G5Z4TTKYMMI9X","GSON1112150290")</f>
        <v>#NAME?</v>
      </c>
      <c r="T1376" s="8" t="e">
        <f ca="1">[1]!BexGetData("DP_1","00O2TNJGODT0G5Z4TTKYMMOLH","GSON1112150290")</f>
        <v>#NAME?</v>
      </c>
      <c r="U1376" s="3" t="e">
        <f ca="1">[1]!BexGetData("DP_1","00O2TNJGODT0G5Z4TTKYMMUX1","GSON1112150290")</f>
        <v>#NAME?</v>
      </c>
      <c r="V1376" s="8" t="e">
        <f ca="1">[1]!BexGetData("DP_1","00O2TNJGODT0G5Z4TTKYMN18L","GSON1112150290")</f>
        <v>#NAME?</v>
      </c>
      <c r="W1376" s="3" t="e">
        <f ca="1">[1]!BexGetData("DP_1","00O2TNJGODT0G5Z4TTKYMN7K5","GSON1112150290")</f>
        <v>#NAME?</v>
      </c>
    </row>
    <row r="1377" spans="1:23" x14ac:dyDescent="0.2">
      <c r="A1377" s="16" t="s">
        <v>3767</v>
      </c>
      <c r="B1377" s="7" t="s">
        <v>3768</v>
      </c>
      <c r="C1377" s="3" t="e">
        <f ca="1">[1]!BexGetData("DP_1","003N8EMH8GTFRCSWKMPXRR8GU","GSON1112150294")</f>
        <v>#NAME?</v>
      </c>
      <c r="D1377" s="3" t="e">
        <f ca="1">[1]!BexGetData("DP_1","003N8EMH8GTFRCSWKMPXRRESE","GSON1112150294")</f>
        <v>#NAME?</v>
      </c>
      <c r="E1377" s="8" t="e">
        <f ca="1">[1]!BexGetData("DP_1","003N8EMH8GTFRCSWKMPXRRL3Y","GSON1112150294")</f>
        <v>#NAME?</v>
      </c>
      <c r="F1377" s="4" t="e">
        <f ca="1">[1]!BexGetData("DP_1","003N8EMH8GTFRCSWKMPXRRRFI","GSON1112150294")</f>
        <v>#NAME?</v>
      </c>
      <c r="G1377" s="4" t="e">
        <f ca="1">[1]!BexGetData("DP_1","003N8EMH8GTFRCSWKMPXRRXR2","GSON1112150294")</f>
        <v>#NAME?</v>
      </c>
      <c r="H1377" s="4" t="e">
        <f ca="1">[1]!BexGetData("DP_1","003N8EMH8GTFRCSWKMPXRS42M","GSON1112150294")</f>
        <v>#NAME?</v>
      </c>
      <c r="I1377" s="4" t="e">
        <f ca="1">[1]!BexGetData("DP_1","003N8EMH8GTFRCSWKMPXRSAE6","GSON1112150294")</f>
        <v>#NAME?</v>
      </c>
      <c r="J1377" s="4" t="e">
        <f ca="1">[1]!BexGetData("DP_1","003N8EMH8GTFRCSWKMPXRSGPQ","GSON1112150294")</f>
        <v>#NAME?</v>
      </c>
      <c r="K1377" s="8" t="e">
        <f ca="1">[1]!BexGetData("DP_1","003N8EMH8GTFRIVNUPY288VJH","GSON1112150294")</f>
        <v>#NAME?</v>
      </c>
      <c r="L1377" s="8" t="e">
        <f ca="1">[1]!BexGetData("DP_1","003N8EMH8GTFRIVNUPY2891V1","GSON1112150294")</f>
        <v>#NAME?</v>
      </c>
      <c r="M1377" s="8" t="e">
        <f ca="1">[1]!BexGetData("DP_1","003N8EMH8GTFRIVOG7KG9IQXA","GSON1112150294")</f>
        <v>#NAME?</v>
      </c>
      <c r="N1377" s="8" t="e">
        <f ca="1">[1]!BexGetData("DP_1","003N8EMH8GTFRIVOG7KG9IX8U","GSON1112150294")</f>
        <v>#NAME?</v>
      </c>
      <c r="O1377" s="8" t="e">
        <f ca="1">[1]!BexGetData("DP_1","003N8EMH8GTFRIVOG7KG9J3KE","GSON1112150294")</f>
        <v>#NAME?</v>
      </c>
      <c r="P1377" s="8" t="e">
        <f ca="1">[1]!BexGetData("DP_1","003N8EMH8GTFRIVOG7KG9J9VY","GSON1112150294")</f>
        <v>#NAME?</v>
      </c>
      <c r="Q1377" s="4" t="e">
        <f ca="1">[1]!BexGetData("DP_1","00O2TNJGODT0G5Z4TTKYMM5MT","GSON1112150294")</f>
        <v>#NAME?</v>
      </c>
      <c r="R1377" s="4" t="e">
        <f ca="1">[1]!BexGetData("DP_1","00O2TNJGODT0G5Z4TTKYMMBYD","GSON1112150294")</f>
        <v>#NAME?</v>
      </c>
      <c r="S1377" s="4" t="e">
        <f ca="1">[1]!BexGetData("DP_1","00O2TNJGODT0G5Z4TTKYMMI9X","GSON1112150294")</f>
        <v>#NAME?</v>
      </c>
      <c r="T1377" s="4" t="e">
        <f ca="1">[1]!BexGetData("DP_1","00O2TNJGODT0G5Z4TTKYMMOLH","GSON1112150294")</f>
        <v>#NAME?</v>
      </c>
      <c r="U1377" s="4" t="e">
        <f ca="1">[1]!BexGetData("DP_1","00O2TNJGODT0G5Z4TTKYMMUX1","GSON1112150294")</f>
        <v>#NAME?</v>
      </c>
      <c r="V1377" s="4" t="e">
        <f ca="1">[1]!BexGetData("DP_1","00O2TNJGODT0G5Z4TTKYMN18L","GSON1112150294")</f>
        <v>#NAME?</v>
      </c>
      <c r="W1377" s="4" t="e">
        <f ca="1">[1]!BexGetData("DP_1","00O2TNJGODT0G5Z4TTKYMN7K5","GSON1112150294")</f>
        <v>#NAME?</v>
      </c>
    </row>
    <row r="1378" spans="1:23" x14ac:dyDescent="0.2">
      <c r="A1378" s="16" t="s">
        <v>3769</v>
      </c>
      <c r="B1378" s="7" t="s">
        <v>3770</v>
      </c>
      <c r="C1378" s="3" t="e">
        <f ca="1">[1]!BexGetData("DP_1","003N8EMH8GTFRCSWKMPXRR8GU","GSON1112150295")</f>
        <v>#NAME?</v>
      </c>
      <c r="D1378" s="3" t="e">
        <f ca="1">[1]!BexGetData("DP_1","003N8EMH8GTFRCSWKMPXRRESE","GSON1112150295")</f>
        <v>#NAME?</v>
      </c>
      <c r="E1378" s="8" t="e">
        <f ca="1">[1]!BexGetData("DP_1","003N8EMH8GTFRCSWKMPXRRL3Y","GSON1112150295")</f>
        <v>#NAME?</v>
      </c>
      <c r="F1378" s="4" t="e">
        <f ca="1">[1]!BexGetData("DP_1","003N8EMH8GTFRCSWKMPXRRRFI","GSON1112150295")</f>
        <v>#NAME?</v>
      </c>
      <c r="G1378" s="4" t="e">
        <f ca="1">[1]!BexGetData("DP_1","003N8EMH8GTFRCSWKMPXRRXR2","GSON1112150295")</f>
        <v>#NAME?</v>
      </c>
      <c r="H1378" s="4" t="e">
        <f ca="1">[1]!BexGetData("DP_1","003N8EMH8GTFRCSWKMPXRS42M","GSON1112150295")</f>
        <v>#NAME?</v>
      </c>
      <c r="I1378" s="4" t="e">
        <f ca="1">[1]!BexGetData("DP_1","003N8EMH8GTFRCSWKMPXRSAE6","GSON1112150295")</f>
        <v>#NAME?</v>
      </c>
      <c r="J1378" s="4" t="e">
        <f ca="1">[1]!BexGetData("DP_1","003N8EMH8GTFRCSWKMPXRSGPQ","GSON1112150295")</f>
        <v>#NAME?</v>
      </c>
      <c r="K1378" s="8" t="e">
        <f ca="1">[1]!BexGetData("DP_1","003N8EMH8GTFRIVNUPY288VJH","GSON1112150295")</f>
        <v>#NAME?</v>
      </c>
      <c r="L1378" s="8" t="e">
        <f ca="1">[1]!BexGetData("DP_1","003N8EMH8GTFRIVNUPY2891V1","GSON1112150295")</f>
        <v>#NAME?</v>
      </c>
      <c r="M1378" s="8" t="e">
        <f ca="1">[1]!BexGetData("DP_1","003N8EMH8GTFRIVOG7KG9IQXA","GSON1112150295")</f>
        <v>#NAME?</v>
      </c>
      <c r="N1378" s="8" t="e">
        <f ca="1">[1]!BexGetData("DP_1","003N8EMH8GTFRIVOG7KG9IX8U","GSON1112150295")</f>
        <v>#NAME?</v>
      </c>
      <c r="O1378" s="8" t="e">
        <f ca="1">[1]!BexGetData("DP_1","003N8EMH8GTFRIVOG7KG9J3KE","GSON1112150295")</f>
        <v>#NAME?</v>
      </c>
      <c r="P1378" s="8" t="e">
        <f ca="1">[1]!BexGetData("DP_1","003N8EMH8GTFRIVOG7KG9J9VY","GSON1112150295")</f>
        <v>#NAME?</v>
      </c>
      <c r="Q1378" s="4" t="e">
        <f ca="1">[1]!BexGetData("DP_1","00O2TNJGODT0G5Z4TTKYMM5MT","GSON1112150295")</f>
        <v>#NAME?</v>
      </c>
      <c r="R1378" s="4" t="e">
        <f ca="1">[1]!BexGetData("DP_1","00O2TNJGODT0G5Z4TTKYMMBYD","GSON1112150295")</f>
        <v>#NAME?</v>
      </c>
      <c r="S1378" s="4" t="e">
        <f ca="1">[1]!BexGetData("DP_1","00O2TNJGODT0G5Z4TTKYMMI9X","GSON1112150295")</f>
        <v>#NAME?</v>
      </c>
      <c r="T1378" s="4" t="e">
        <f ca="1">[1]!BexGetData("DP_1","00O2TNJGODT0G5Z4TTKYMMOLH","GSON1112150295")</f>
        <v>#NAME?</v>
      </c>
      <c r="U1378" s="4" t="e">
        <f ca="1">[1]!BexGetData("DP_1","00O2TNJGODT0G5Z4TTKYMMUX1","GSON1112150295")</f>
        <v>#NAME?</v>
      </c>
      <c r="V1378" s="4" t="e">
        <f ca="1">[1]!BexGetData("DP_1","00O2TNJGODT0G5Z4TTKYMN18L","GSON1112150295")</f>
        <v>#NAME?</v>
      </c>
      <c r="W1378" s="4" t="e">
        <f ca="1">[1]!BexGetData("DP_1","00O2TNJGODT0G5Z4TTKYMN7K5","GSON1112150295")</f>
        <v>#NAME?</v>
      </c>
    </row>
    <row r="1379" spans="1:23" x14ac:dyDescent="0.2">
      <c r="A1379" s="16" t="s">
        <v>3771</v>
      </c>
      <c r="B1379" s="7" t="s">
        <v>3772</v>
      </c>
      <c r="C1379" s="3" t="e">
        <f ca="1">[1]!BexGetData("DP_1","003N8EMH8GTFRCSWKMPXRR8GU","GSON1112150304")</f>
        <v>#NAME?</v>
      </c>
      <c r="D1379" s="3" t="e">
        <f ca="1">[1]!BexGetData("DP_1","003N8EMH8GTFRCSWKMPXRRESE","GSON1112150304")</f>
        <v>#NAME?</v>
      </c>
      <c r="E1379" s="8" t="e">
        <f ca="1">[1]!BexGetData("DP_1","003N8EMH8GTFRCSWKMPXRRL3Y","GSON1112150304")</f>
        <v>#NAME?</v>
      </c>
      <c r="F1379" s="4" t="e">
        <f ca="1">[1]!BexGetData("DP_1","003N8EMH8GTFRCSWKMPXRRRFI","GSON1112150304")</f>
        <v>#NAME?</v>
      </c>
      <c r="G1379" s="4" t="e">
        <f ca="1">[1]!BexGetData("DP_1","003N8EMH8GTFRCSWKMPXRRXR2","GSON1112150304")</f>
        <v>#NAME?</v>
      </c>
      <c r="H1379" s="4" t="e">
        <f ca="1">[1]!BexGetData("DP_1","003N8EMH8GTFRCSWKMPXRS42M","GSON1112150304")</f>
        <v>#NAME?</v>
      </c>
      <c r="I1379" s="4" t="e">
        <f ca="1">[1]!BexGetData("DP_1","003N8EMH8GTFRCSWKMPXRSAE6","GSON1112150304")</f>
        <v>#NAME?</v>
      </c>
      <c r="J1379" s="4" t="e">
        <f ca="1">[1]!BexGetData("DP_1","003N8EMH8GTFRCSWKMPXRSGPQ","GSON1112150304")</f>
        <v>#NAME?</v>
      </c>
      <c r="K1379" s="8" t="e">
        <f ca="1">[1]!BexGetData("DP_1","003N8EMH8GTFRIVNUPY288VJH","GSON1112150304")</f>
        <v>#NAME?</v>
      </c>
      <c r="L1379" s="8" t="e">
        <f ca="1">[1]!BexGetData("DP_1","003N8EMH8GTFRIVNUPY2891V1","GSON1112150304")</f>
        <v>#NAME?</v>
      </c>
      <c r="M1379" s="8" t="e">
        <f ca="1">[1]!BexGetData("DP_1","003N8EMH8GTFRIVOG7KG9IQXA","GSON1112150304")</f>
        <v>#NAME?</v>
      </c>
      <c r="N1379" s="8" t="e">
        <f ca="1">[1]!BexGetData("DP_1","003N8EMH8GTFRIVOG7KG9IX8U","GSON1112150304")</f>
        <v>#NAME?</v>
      </c>
      <c r="O1379" s="8" t="e">
        <f ca="1">[1]!BexGetData("DP_1","003N8EMH8GTFRIVOG7KG9J3KE","GSON1112150304")</f>
        <v>#NAME?</v>
      </c>
      <c r="P1379" s="8" t="e">
        <f ca="1">[1]!BexGetData("DP_1","003N8EMH8GTFRIVOG7KG9J9VY","GSON1112150304")</f>
        <v>#NAME?</v>
      </c>
      <c r="Q1379" s="4" t="e">
        <f ca="1">[1]!BexGetData("DP_1","00O2TNJGODT0G5Z4TTKYMM5MT","GSON1112150304")</f>
        <v>#NAME?</v>
      </c>
      <c r="R1379" s="4" t="e">
        <f ca="1">[1]!BexGetData("DP_1","00O2TNJGODT0G5Z4TTKYMMBYD","GSON1112150304")</f>
        <v>#NAME?</v>
      </c>
      <c r="S1379" s="4" t="e">
        <f ca="1">[1]!BexGetData("DP_1","00O2TNJGODT0G5Z4TTKYMMI9X","GSON1112150304")</f>
        <v>#NAME?</v>
      </c>
      <c r="T1379" s="4" t="e">
        <f ca="1">[1]!BexGetData("DP_1","00O2TNJGODT0G5Z4TTKYMMOLH","GSON1112150304")</f>
        <v>#NAME?</v>
      </c>
      <c r="U1379" s="4" t="e">
        <f ca="1">[1]!BexGetData("DP_1","00O2TNJGODT0G5Z4TTKYMMUX1","GSON1112150304")</f>
        <v>#NAME?</v>
      </c>
      <c r="V1379" s="4" t="e">
        <f ca="1">[1]!BexGetData("DP_1","00O2TNJGODT0G5Z4TTKYMN18L","GSON1112150304")</f>
        <v>#NAME?</v>
      </c>
      <c r="W1379" s="4" t="e">
        <f ca="1">[1]!BexGetData("DP_1","00O2TNJGODT0G5Z4TTKYMN7K5","GSON1112150304")</f>
        <v>#NAME?</v>
      </c>
    </row>
    <row r="1380" spans="1:23" x14ac:dyDescent="0.2">
      <c r="A1380" s="16" t="s">
        <v>3773</v>
      </c>
      <c r="B1380" s="7" t="s">
        <v>3774</v>
      </c>
      <c r="C1380" s="8" t="e">
        <f ca="1">[1]!BexGetData("DP_1","003N8EMH8GTFRCSWKMPXRR8GU","GSON1112150310")</f>
        <v>#NAME?</v>
      </c>
      <c r="D1380" s="8" t="e">
        <f ca="1">[1]!BexGetData("DP_1","003N8EMH8GTFRCSWKMPXRRESE","GSON1112150310")</f>
        <v>#NAME?</v>
      </c>
      <c r="E1380" s="3" t="e">
        <f ca="1">[1]!BexGetData("DP_1","003N8EMH8GTFRCSWKMPXRRL3Y","GSON1112150310")</f>
        <v>#NAME?</v>
      </c>
      <c r="F1380" s="3" t="e">
        <f ca="1">[1]!BexGetData("DP_1","003N8EMH8GTFRCSWKMPXRRRFI","GSON1112150310")</f>
        <v>#NAME?</v>
      </c>
      <c r="G1380" s="3" t="e">
        <f ca="1">[1]!BexGetData("DP_1","003N8EMH8GTFRCSWKMPXRRXR2","GSON1112150310")</f>
        <v>#NAME?</v>
      </c>
      <c r="H1380" s="8" t="e">
        <f ca="1">[1]!BexGetData("DP_1","003N8EMH8GTFRCSWKMPXRS42M","GSON1112150310")</f>
        <v>#NAME?</v>
      </c>
      <c r="I1380" s="3" t="e">
        <f ca="1">[1]!BexGetData("DP_1","003N8EMH8GTFRCSWKMPXRSAE6","GSON1112150310")</f>
        <v>#NAME?</v>
      </c>
      <c r="J1380" s="4" t="e">
        <f ca="1">[1]!BexGetData("DP_1","003N8EMH8GTFRCSWKMPXRSGPQ","GSON1112150310")</f>
        <v>#NAME?</v>
      </c>
      <c r="K1380" s="8" t="e">
        <f ca="1">[1]!BexGetData("DP_1","003N8EMH8GTFRIVNUPY288VJH","GSON1112150310")</f>
        <v>#NAME?</v>
      </c>
      <c r="L1380" s="8" t="e">
        <f ca="1">[1]!BexGetData("DP_1","003N8EMH8GTFRIVNUPY2891V1","GSON1112150310")</f>
        <v>#NAME?</v>
      </c>
      <c r="M1380" s="8" t="e">
        <f ca="1">[1]!BexGetData("DP_1","003N8EMH8GTFRIVOG7KG9IQXA","GSON1112150310")</f>
        <v>#NAME?</v>
      </c>
      <c r="N1380" s="8" t="e">
        <f ca="1">[1]!BexGetData("DP_1","003N8EMH8GTFRIVOG7KG9IX8U","GSON1112150310")</f>
        <v>#NAME?</v>
      </c>
      <c r="O1380" s="8" t="e">
        <f ca="1">[1]!BexGetData("DP_1","003N8EMH8GTFRIVOG7KG9J3KE","GSON1112150310")</f>
        <v>#NAME?</v>
      </c>
      <c r="P1380" s="8" t="e">
        <f ca="1">[1]!BexGetData("DP_1","003N8EMH8GTFRIVOG7KG9J9VY","GSON1112150310")</f>
        <v>#NAME?</v>
      </c>
      <c r="Q1380" s="4" t="e">
        <f ca="1">[1]!BexGetData("DP_1","00O2TNJGODT0G5Z4TTKYMM5MT","GSON1112150310")</f>
        <v>#NAME?</v>
      </c>
      <c r="R1380" s="3" t="e">
        <f ca="1">[1]!BexGetData("DP_1","00O2TNJGODT0G5Z4TTKYMMBYD","GSON1112150310")</f>
        <v>#NAME?</v>
      </c>
      <c r="S1380" s="3" t="e">
        <f ca="1">[1]!BexGetData("DP_1","00O2TNJGODT0G5Z4TTKYMMI9X","GSON1112150310")</f>
        <v>#NAME?</v>
      </c>
      <c r="T1380" s="8" t="e">
        <f ca="1">[1]!BexGetData("DP_1","00O2TNJGODT0G5Z4TTKYMMOLH","GSON1112150310")</f>
        <v>#NAME?</v>
      </c>
      <c r="U1380" s="3" t="e">
        <f ca="1">[1]!BexGetData("DP_1","00O2TNJGODT0G5Z4TTKYMMUX1","GSON1112150310")</f>
        <v>#NAME?</v>
      </c>
      <c r="V1380" s="8" t="e">
        <f ca="1">[1]!BexGetData("DP_1","00O2TNJGODT0G5Z4TTKYMN18L","GSON1112150310")</f>
        <v>#NAME?</v>
      </c>
      <c r="W1380" s="3" t="e">
        <f ca="1">[1]!BexGetData("DP_1","00O2TNJGODT0G5Z4TTKYMN7K5","GSON1112150310")</f>
        <v>#NAME?</v>
      </c>
    </row>
    <row r="1381" spans="1:23" x14ac:dyDescent="0.2">
      <c r="A1381" s="16" t="s">
        <v>3775</v>
      </c>
      <c r="B1381" s="7" t="s">
        <v>3776</v>
      </c>
      <c r="C1381" s="3" t="e">
        <f ca="1">[1]!BexGetData("DP_1","003N8EMH8GTFRCSWKMPXRR8GU","GSON1112150340")</f>
        <v>#NAME?</v>
      </c>
      <c r="D1381" s="3" t="e">
        <f ca="1">[1]!BexGetData("DP_1","003N8EMH8GTFRCSWKMPXRRESE","GSON1112150340")</f>
        <v>#NAME?</v>
      </c>
      <c r="E1381" s="3" t="e">
        <f ca="1">[1]!BexGetData("DP_1","003N8EMH8GTFRCSWKMPXRRL3Y","GSON1112150340")</f>
        <v>#NAME?</v>
      </c>
      <c r="F1381" s="3" t="e">
        <f ca="1">[1]!BexGetData("DP_1","003N8EMH8GTFRCSWKMPXRRRFI","GSON1112150340")</f>
        <v>#NAME?</v>
      </c>
      <c r="G1381" s="3" t="e">
        <f ca="1">[1]!BexGetData("DP_1","003N8EMH8GTFRCSWKMPXRRXR2","GSON1112150340")</f>
        <v>#NAME?</v>
      </c>
      <c r="H1381" s="8" t="e">
        <f ca="1">[1]!BexGetData("DP_1","003N8EMH8GTFRCSWKMPXRS42M","GSON1112150340")</f>
        <v>#NAME?</v>
      </c>
      <c r="I1381" s="3" t="e">
        <f ca="1">[1]!BexGetData("DP_1","003N8EMH8GTFRCSWKMPXRSAE6","GSON1112150340")</f>
        <v>#NAME?</v>
      </c>
      <c r="J1381" s="4" t="e">
        <f ca="1">[1]!BexGetData("DP_1","003N8EMH8GTFRCSWKMPXRSGPQ","GSON1112150340")</f>
        <v>#NAME?</v>
      </c>
      <c r="K1381" s="3" t="e">
        <f ca="1">[1]!BexGetData("DP_1","003N8EMH8GTFRIVNUPY288VJH","GSON1112150340")</f>
        <v>#NAME?</v>
      </c>
      <c r="L1381" s="3" t="e">
        <f ca="1">[1]!BexGetData("DP_1","003N8EMH8GTFRIVNUPY2891V1","GSON1112150340")</f>
        <v>#NAME?</v>
      </c>
      <c r="M1381" s="3" t="e">
        <f ca="1">[1]!BexGetData("DP_1","003N8EMH8GTFRIVOG7KG9IQXA","GSON1112150340")</f>
        <v>#NAME?</v>
      </c>
      <c r="N1381" s="8" t="e">
        <f ca="1">[1]!BexGetData("DP_1","003N8EMH8GTFRIVOG7KG9IX8U","GSON1112150340")</f>
        <v>#NAME?</v>
      </c>
      <c r="O1381" s="3" t="e">
        <f ca="1">[1]!BexGetData("DP_1","003N8EMH8GTFRIVOG7KG9J3KE","GSON1112150340")</f>
        <v>#NAME?</v>
      </c>
      <c r="P1381" s="8" t="e">
        <f ca="1">[1]!BexGetData("DP_1","003N8EMH8GTFRIVOG7KG9J9VY","GSON1112150340")</f>
        <v>#NAME?</v>
      </c>
      <c r="Q1381" s="4" t="e">
        <f ca="1">[1]!BexGetData("DP_1","00O2TNJGODT0G5Z4TTKYMM5MT","GSON1112150340")</f>
        <v>#NAME?</v>
      </c>
      <c r="R1381" s="3" t="e">
        <f ca="1">[1]!BexGetData("DP_1","00O2TNJGODT0G5Z4TTKYMMBYD","GSON1112150340")</f>
        <v>#NAME?</v>
      </c>
      <c r="S1381" s="3" t="e">
        <f ca="1">[1]!BexGetData("DP_1","00O2TNJGODT0G5Z4TTKYMMI9X","GSON1112150340")</f>
        <v>#NAME?</v>
      </c>
      <c r="T1381" s="8" t="e">
        <f ca="1">[1]!BexGetData("DP_1","00O2TNJGODT0G5Z4TTKYMMOLH","GSON1112150340")</f>
        <v>#NAME?</v>
      </c>
      <c r="U1381" s="3" t="e">
        <f ca="1">[1]!BexGetData("DP_1","00O2TNJGODT0G5Z4TTKYMMUX1","GSON1112150340")</f>
        <v>#NAME?</v>
      </c>
      <c r="V1381" s="8" t="e">
        <f ca="1">[1]!BexGetData("DP_1","00O2TNJGODT0G5Z4TTKYMN18L","GSON1112150340")</f>
        <v>#NAME?</v>
      </c>
      <c r="W1381" s="3" t="e">
        <f ca="1">[1]!BexGetData("DP_1","00O2TNJGODT0G5Z4TTKYMN7K5","GSON1112150340")</f>
        <v>#NAME?</v>
      </c>
    </row>
    <row r="1382" spans="1:23" x14ac:dyDescent="0.2">
      <c r="A1382" s="16" t="s">
        <v>3777</v>
      </c>
      <c r="B1382" s="7" t="s">
        <v>3778</v>
      </c>
      <c r="C1382" s="3" t="e">
        <f ca="1">[1]!BexGetData("DP_1","003N8EMH8GTFRCSWKMPXRR8GU","GSON1112150344")</f>
        <v>#NAME?</v>
      </c>
      <c r="D1382" s="3" t="e">
        <f ca="1">[1]!BexGetData("DP_1","003N8EMH8GTFRCSWKMPXRRESE","GSON1112150344")</f>
        <v>#NAME?</v>
      </c>
      <c r="E1382" s="8" t="e">
        <f ca="1">[1]!BexGetData("DP_1","003N8EMH8GTFRCSWKMPXRRL3Y","GSON1112150344")</f>
        <v>#NAME?</v>
      </c>
      <c r="F1382" s="4" t="e">
        <f ca="1">[1]!BexGetData("DP_1","003N8EMH8GTFRCSWKMPXRRRFI","GSON1112150344")</f>
        <v>#NAME?</v>
      </c>
      <c r="G1382" s="4" t="e">
        <f ca="1">[1]!BexGetData("DP_1","003N8EMH8GTFRCSWKMPXRRXR2","GSON1112150344")</f>
        <v>#NAME?</v>
      </c>
      <c r="H1382" s="4" t="e">
        <f ca="1">[1]!BexGetData("DP_1","003N8EMH8GTFRCSWKMPXRS42M","GSON1112150344")</f>
        <v>#NAME?</v>
      </c>
      <c r="I1382" s="4" t="e">
        <f ca="1">[1]!BexGetData("DP_1","003N8EMH8GTFRCSWKMPXRSAE6","GSON1112150344")</f>
        <v>#NAME?</v>
      </c>
      <c r="J1382" s="4" t="e">
        <f ca="1">[1]!BexGetData("DP_1","003N8EMH8GTFRCSWKMPXRSGPQ","GSON1112150344")</f>
        <v>#NAME?</v>
      </c>
      <c r="K1382" s="8" t="e">
        <f ca="1">[1]!BexGetData("DP_1","003N8EMH8GTFRIVNUPY288VJH","GSON1112150344")</f>
        <v>#NAME?</v>
      </c>
      <c r="L1382" s="8" t="e">
        <f ca="1">[1]!BexGetData("DP_1","003N8EMH8GTFRIVNUPY2891V1","GSON1112150344")</f>
        <v>#NAME?</v>
      </c>
      <c r="M1382" s="8" t="e">
        <f ca="1">[1]!BexGetData("DP_1","003N8EMH8GTFRIVOG7KG9IQXA","GSON1112150344")</f>
        <v>#NAME?</v>
      </c>
      <c r="N1382" s="8" t="e">
        <f ca="1">[1]!BexGetData("DP_1","003N8EMH8GTFRIVOG7KG9IX8U","GSON1112150344")</f>
        <v>#NAME?</v>
      </c>
      <c r="O1382" s="8" t="e">
        <f ca="1">[1]!BexGetData("DP_1","003N8EMH8GTFRIVOG7KG9J3KE","GSON1112150344")</f>
        <v>#NAME?</v>
      </c>
      <c r="P1382" s="8" t="e">
        <f ca="1">[1]!BexGetData("DP_1","003N8EMH8GTFRIVOG7KG9J9VY","GSON1112150344")</f>
        <v>#NAME?</v>
      </c>
      <c r="Q1382" s="4" t="e">
        <f ca="1">[1]!BexGetData("DP_1","00O2TNJGODT0G5Z4TTKYMM5MT","GSON1112150344")</f>
        <v>#NAME?</v>
      </c>
      <c r="R1382" s="4" t="e">
        <f ca="1">[1]!BexGetData("DP_1","00O2TNJGODT0G5Z4TTKYMMBYD","GSON1112150344")</f>
        <v>#NAME?</v>
      </c>
      <c r="S1382" s="4" t="e">
        <f ca="1">[1]!BexGetData("DP_1","00O2TNJGODT0G5Z4TTKYMMI9X","GSON1112150344")</f>
        <v>#NAME?</v>
      </c>
      <c r="T1382" s="4" t="e">
        <f ca="1">[1]!BexGetData("DP_1","00O2TNJGODT0G5Z4TTKYMMOLH","GSON1112150344")</f>
        <v>#NAME?</v>
      </c>
      <c r="U1382" s="4" t="e">
        <f ca="1">[1]!BexGetData("DP_1","00O2TNJGODT0G5Z4TTKYMMUX1","GSON1112150344")</f>
        <v>#NAME?</v>
      </c>
      <c r="V1382" s="4" t="e">
        <f ca="1">[1]!BexGetData("DP_1","00O2TNJGODT0G5Z4TTKYMN18L","GSON1112150344")</f>
        <v>#NAME?</v>
      </c>
      <c r="W1382" s="4" t="e">
        <f ca="1">[1]!BexGetData("DP_1","00O2TNJGODT0G5Z4TTKYMN7K5","GSON1112150344")</f>
        <v>#NAME?</v>
      </c>
    </row>
    <row r="1383" spans="1:23" x14ac:dyDescent="0.2">
      <c r="A1383" s="16" t="s">
        <v>3779</v>
      </c>
      <c r="B1383" s="7" t="s">
        <v>3780</v>
      </c>
      <c r="C1383" s="3" t="e">
        <f ca="1">[1]!BexGetData("DP_1","003N8EMH8GTFRCSWKMPXRR8GU","GSON1112150345")</f>
        <v>#NAME?</v>
      </c>
      <c r="D1383" s="3" t="e">
        <f ca="1">[1]!BexGetData("DP_1","003N8EMH8GTFRCSWKMPXRRESE","GSON1112150345")</f>
        <v>#NAME?</v>
      </c>
      <c r="E1383" s="8" t="e">
        <f ca="1">[1]!BexGetData("DP_1","003N8EMH8GTFRCSWKMPXRRL3Y","GSON1112150345")</f>
        <v>#NAME?</v>
      </c>
      <c r="F1383" s="4" t="e">
        <f ca="1">[1]!BexGetData("DP_1","003N8EMH8GTFRCSWKMPXRRRFI","GSON1112150345")</f>
        <v>#NAME?</v>
      </c>
      <c r="G1383" s="4" t="e">
        <f ca="1">[1]!BexGetData("DP_1","003N8EMH8GTFRCSWKMPXRRXR2","GSON1112150345")</f>
        <v>#NAME?</v>
      </c>
      <c r="H1383" s="4" t="e">
        <f ca="1">[1]!BexGetData("DP_1","003N8EMH8GTFRCSWKMPXRS42M","GSON1112150345")</f>
        <v>#NAME?</v>
      </c>
      <c r="I1383" s="4" t="e">
        <f ca="1">[1]!BexGetData("DP_1","003N8EMH8GTFRCSWKMPXRSAE6","GSON1112150345")</f>
        <v>#NAME?</v>
      </c>
      <c r="J1383" s="4" t="e">
        <f ca="1">[1]!BexGetData("DP_1","003N8EMH8GTFRCSWKMPXRSGPQ","GSON1112150345")</f>
        <v>#NAME?</v>
      </c>
      <c r="K1383" s="8" t="e">
        <f ca="1">[1]!BexGetData("DP_1","003N8EMH8GTFRIVNUPY288VJH","GSON1112150345")</f>
        <v>#NAME?</v>
      </c>
      <c r="L1383" s="8" t="e">
        <f ca="1">[1]!BexGetData("DP_1","003N8EMH8GTFRIVNUPY2891V1","GSON1112150345")</f>
        <v>#NAME?</v>
      </c>
      <c r="M1383" s="8" t="e">
        <f ca="1">[1]!BexGetData("DP_1","003N8EMH8GTFRIVOG7KG9IQXA","GSON1112150345")</f>
        <v>#NAME?</v>
      </c>
      <c r="N1383" s="8" t="e">
        <f ca="1">[1]!BexGetData("DP_1","003N8EMH8GTFRIVOG7KG9IX8U","GSON1112150345")</f>
        <v>#NAME?</v>
      </c>
      <c r="O1383" s="8" t="e">
        <f ca="1">[1]!BexGetData("DP_1","003N8EMH8GTFRIVOG7KG9J3KE","GSON1112150345")</f>
        <v>#NAME?</v>
      </c>
      <c r="P1383" s="8" t="e">
        <f ca="1">[1]!BexGetData("DP_1","003N8EMH8GTFRIVOG7KG9J9VY","GSON1112150345")</f>
        <v>#NAME?</v>
      </c>
      <c r="Q1383" s="4" t="e">
        <f ca="1">[1]!BexGetData("DP_1","00O2TNJGODT0G5Z4TTKYMM5MT","GSON1112150345")</f>
        <v>#NAME?</v>
      </c>
      <c r="R1383" s="4" t="e">
        <f ca="1">[1]!BexGetData("DP_1","00O2TNJGODT0G5Z4TTKYMMBYD","GSON1112150345")</f>
        <v>#NAME?</v>
      </c>
      <c r="S1383" s="4" t="e">
        <f ca="1">[1]!BexGetData("DP_1","00O2TNJGODT0G5Z4TTKYMMI9X","GSON1112150345")</f>
        <v>#NAME?</v>
      </c>
      <c r="T1383" s="4" t="e">
        <f ca="1">[1]!BexGetData("DP_1","00O2TNJGODT0G5Z4TTKYMMOLH","GSON1112150345")</f>
        <v>#NAME?</v>
      </c>
      <c r="U1383" s="4" t="e">
        <f ca="1">[1]!BexGetData("DP_1","00O2TNJGODT0G5Z4TTKYMMUX1","GSON1112150345")</f>
        <v>#NAME?</v>
      </c>
      <c r="V1383" s="4" t="e">
        <f ca="1">[1]!BexGetData("DP_1","00O2TNJGODT0G5Z4TTKYMN18L","GSON1112150345")</f>
        <v>#NAME?</v>
      </c>
      <c r="W1383" s="4" t="e">
        <f ca="1">[1]!BexGetData("DP_1","00O2TNJGODT0G5Z4TTKYMN7K5","GSON1112150345")</f>
        <v>#NAME?</v>
      </c>
    </row>
    <row r="1384" spans="1:23" x14ac:dyDescent="0.2">
      <c r="A1384" s="16" t="s">
        <v>3781</v>
      </c>
      <c r="B1384" s="7" t="s">
        <v>3782</v>
      </c>
      <c r="C1384" s="3" t="e">
        <f ca="1">[1]!BexGetData("DP_1","003N8EMH8GTFRCSWKMPXRR8GU","GSON1112150355")</f>
        <v>#NAME?</v>
      </c>
      <c r="D1384" s="3" t="e">
        <f ca="1">[1]!BexGetData("DP_1","003N8EMH8GTFRCSWKMPXRRESE","GSON1112150355")</f>
        <v>#NAME?</v>
      </c>
      <c r="E1384" s="8" t="e">
        <f ca="1">[1]!BexGetData("DP_1","003N8EMH8GTFRCSWKMPXRRL3Y","GSON1112150355")</f>
        <v>#NAME?</v>
      </c>
      <c r="F1384" s="4" t="e">
        <f ca="1">[1]!BexGetData("DP_1","003N8EMH8GTFRCSWKMPXRRRFI","GSON1112150355")</f>
        <v>#NAME?</v>
      </c>
      <c r="G1384" s="4" t="e">
        <f ca="1">[1]!BexGetData("DP_1","003N8EMH8GTFRCSWKMPXRRXR2","GSON1112150355")</f>
        <v>#NAME?</v>
      </c>
      <c r="H1384" s="4" t="e">
        <f ca="1">[1]!BexGetData("DP_1","003N8EMH8GTFRCSWKMPXRS42M","GSON1112150355")</f>
        <v>#NAME?</v>
      </c>
      <c r="I1384" s="4" t="e">
        <f ca="1">[1]!BexGetData("DP_1","003N8EMH8GTFRCSWKMPXRSAE6","GSON1112150355")</f>
        <v>#NAME?</v>
      </c>
      <c r="J1384" s="4" t="e">
        <f ca="1">[1]!BexGetData("DP_1","003N8EMH8GTFRCSWKMPXRSGPQ","GSON1112150355")</f>
        <v>#NAME?</v>
      </c>
      <c r="K1384" s="8" t="e">
        <f ca="1">[1]!BexGetData("DP_1","003N8EMH8GTFRIVNUPY288VJH","GSON1112150355")</f>
        <v>#NAME?</v>
      </c>
      <c r="L1384" s="8" t="e">
        <f ca="1">[1]!BexGetData("DP_1","003N8EMH8GTFRIVNUPY2891V1","GSON1112150355")</f>
        <v>#NAME?</v>
      </c>
      <c r="M1384" s="8" t="e">
        <f ca="1">[1]!BexGetData("DP_1","003N8EMH8GTFRIVOG7KG9IQXA","GSON1112150355")</f>
        <v>#NAME?</v>
      </c>
      <c r="N1384" s="8" t="e">
        <f ca="1">[1]!BexGetData("DP_1","003N8EMH8GTFRIVOG7KG9IX8U","GSON1112150355")</f>
        <v>#NAME?</v>
      </c>
      <c r="O1384" s="8" t="e">
        <f ca="1">[1]!BexGetData("DP_1","003N8EMH8GTFRIVOG7KG9J3KE","GSON1112150355")</f>
        <v>#NAME?</v>
      </c>
      <c r="P1384" s="8" t="e">
        <f ca="1">[1]!BexGetData("DP_1","003N8EMH8GTFRIVOG7KG9J9VY","GSON1112150355")</f>
        <v>#NAME?</v>
      </c>
      <c r="Q1384" s="4" t="e">
        <f ca="1">[1]!BexGetData("DP_1","00O2TNJGODT0G5Z4TTKYMM5MT","GSON1112150355")</f>
        <v>#NAME?</v>
      </c>
      <c r="R1384" s="4" t="e">
        <f ca="1">[1]!BexGetData("DP_1","00O2TNJGODT0G5Z4TTKYMMBYD","GSON1112150355")</f>
        <v>#NAME?</v>
      </c>
      <c r="S1384" s="4" t="e">
        <f ca="1">[1]!BexGetData("DP_1","00O2TNJGODT0G5Z4TTKYMMI9X","GSON1112150355")</f>
        <v>#NAME?</v>
      </c>
      <c r="T1384" s="4" t="e">
        <f ca="1">[1]!BexGetData("DP_1","00O2TNJGODT0G5Z4TTKYMMOLH","GSON1112150355")</f>
        <v>#NAME?</v>
      </c>
      <c r="U1384" s="4" t="e">
        <f ca="1">[1]!BexGetData("DP_1","00O2TNJGODT0G5Z4TTKYMMUX1","GSON1112150355")</f>
        <v>#NAME?</v>
      </c>
      <c r="V1384" s="4" t="e">
        <f ca="1">[1]!BexGetData("DP_1","00O2TNJGODT0G5Z4TTKYMN18L","GSON1112150355")</f>
        <v>#NAME?</v>
      </c>
      <c r="W1384" s="4" t="e">
        <f ca="1">[1]!BexGetData("DP_1","00O2TNJGODT0G5Z4TTKYMN7K5","GSON1112150355")</f>
        <v>#NAME?</v>
      </c>
    </row>
    <row r="1385" spans="1:23" x14ac:dyDescent="0.2">
      <c r="A1385" s="16" t="s">
        <v>296</v>
      </c>
      <c r="B1385" s="7" t="s">
        <v>297</v>
      </c>
      <c r="C1385" s="3" t="e">
        <f ca="1">[1]!BexGetData("DP_1","003N8EMH8GTFRCSWKMPXRR8GU","GSON1112150370")</f>
        <v>#NAME?</v>
      </c>
      <c r="D1385" s="3" t="e">
        <f ca="1">[1]!BexGetData("DP_1","003N8EMH8GTFRCSWKMPXRRESE","GSON1112150370")</f>
        <v>#NAME?</v>
      </c>
      <c r="E1385" s="3" t="e">
        <f ca="1">[1]!BexGetData("DP_1","003N8EMH8GTFRCSWKMPXRRL3Y","GSON1112150370")</f>
        <v>#NAME?</v>
      </c>
      <c r="F1385" s="3" t="e">
        <f ca="1">[1]!BexGetData("DP_1","003N8EMH8GTFRCSWKMPXRRRFI","GSON1112150370")</f>
        <v>#NAME?</v>
      </c>
      <c r="G1385" s="3" t="e">
        <f ca="1">[1]!BexGetData("DP_1","003N8EMH8GTFRCSWKMPXRRXR2","GSON1112150370")</f>
        <v>#NAME?</v>
      </c>
      <c r="H1385" s="8" t="e">
        <f ca="1">[1]!BexGetData("DP_1","003N8EMH8GTFRCSWKMPXRS42M","GSON1112150370")</f>
        <v>#NAME?</v>
      </c>
      <c r="I1385" s="3" t="e">
        <f ca="1">[1]!BexGetData("DP_1","003N8EMH8GTFRCSWKMPXRSAE6","GSON1112150370")</f>
        <v>#NAME?</v>
      </c>
      <c r="J1385" s="4" t="e">
        <f ca="1">[1]!BexGetData("DP_1","003N8EMH8GTFRCSWKMPXRSGPQ","GSON1112150370")</f>
        <v>#NAME?</v>
      </c>
      <c r="K1385" s="3" t="e">
        <f ca="1">[1]!BexGetData("DP_1","003N8EMH8GTFRIVNUPY288VJH","GSON1112150370")</f>
        <v>#NAME?</v>
      </c>
      <c r="L1385" s="3" t="e">
        <f ca="1">[1]!BexGetData("DP_1","003N8EMH8GTFRIVNUPY2891V1","GSON1112150370")</f>
        <v>#NAME?</v>
      </c>
      <c r="M1385" s="3" t="e">
        <f ca="1">[1]!BexGetData("DP_1","003N8EMH8GTFRIVOG7KG9IQXA","GSON1112150370")</f>
        <v>#NAME?</v>
      </c>
      <c r="N1385" s="8" t="e">
        <f ca="1">[1]!BexGetData("DP_1","003N8EMH8GTFRIVOG7KG9IX8U","GSON1112150370")</f>
        <v>#NAME?</v>
      </c>
      <c r="O1385" s="3" t="e">
        <f ca="1">[1]!BexGetData("DP_1","003N8EMH8GTFRIVOG7KG9J3KE","GSON1112150370")</f>
        <v>#NAME?</v>
      </c>
      <c r="P1385" s="8" t="e">
        <f ca="1">[1]!BexGetData("DP_1","003N8EMH8GTFRIVOG7KG9J9VY","GSON1112150370")</f>
        <v>#NAME?</v>
      </c>
      <c r="Q1385" s="4" t="e">
        <f ca="1">[1]!BexGetData("DP_1","00O2TNJGODT0G5Z4TTKYMM5MT","GSON1112150370")</f>
        <v>#NAME?</v>
      </c>
      <c r="R1385" s="3" t="e">
        <f ca="1">[1]!BexGetData("DP_1","00O2TNJGODT0G5Z4TTKYMMBYD","GSON1112150370")</f>
        <v>#NAME?</v>
      </c>
      <c r="S1385" s="3" t="e">
        <f ca="1">[1]!BexGetData("DP_1","00O2TNJGODT0G5Z4TTKYMMI9X","GSON1112150370")</f>
        <v>#NAME?</v>
      </c>
      <c r="T1385" s="8" t="e">
        <f ca="1">[1]!BexGetData("DP_1","00O2TNJGODT0G5Z4TTKYMMOLH","GSON1112150370")</f>
        <v>#NAME?</v>
      </c>
      <c r="U1385" s="3" t="e">
        <f ca="1">[1]!BexGetData("DP_1","00O2TNJGODT0G5Z4TTKYMMUX1","GSON1112150370")</f>
        <v>#NAME?</v>
      </c>
      <c r="V1385" s="8" t="e">
        <f ca="1">[1]!BexGetData("DP_1","00O2TNJGODT0G5Z4TTKYMN18L","GSON1112150370")</f>
        <v>#NAME?</v>
      </c>
      <c r="W1385" s="3" t="e">
        <f ca="1">[1]!BexGetData("DP_1","00O2TNJGODT0G5Z4TTKYMN7K5","GSON1112150370")</f>
        <v>#NAME?</v>
      </c>
    </row>
    <row r="1386" spans="1:23" x14ac:dyDescent="0.2">
      <c r="A1386" s="16" t="s">
        <v>298</v>
      </c>
      <c r="B1386" s="7" t="s">
        <v>299</v>
      </c>
      <c r="C1386" s="3" t="e">
        <f ca="1">[1]!BexGetData("DP_1","003N8EMH8GTFRCSWKMPXRR8GU","GSON1112150371")</f>
        <v>#NAME?</v>
      </c>
      <c r="D1386" s="3" t="e">
        <f ca="1">[1]!BexGetData("DP_1","003N8EMH8GTFRCSWKMPXRRESE","GSON1112150371")</f>
        <v>#NAME?</v>
      </c>
      <c r="E1386" s="8" t="e">
        <f ca="1">[1]!BexGetData("DP_1","003N8EMH8GTFRCSWKMPXRRL3Y","GSON1112150371")</f>
        <v>#NAME?</v>
      </c>
      <c r="F1386" s="3" t="e">
        <f ca="1">[1]!BexGetData("DP_1","003N8EMH8GTFRCSWKMPXRRRFI","GSON1112150371")</f>
        <v>#NAME?</v>
      </c>
      <c r="G1386" s="3" t="e">
        <f ca="1">[1]!BexGetData("DP_1","003N8EMH8GTFRCSWKMPXRRXR2","GSON1112150371")</f>
        <v>#NAME?</v>
      </c>
      <c r="H1386" s="8" t="e">
        <f ca="1">[1]!BexGetData("DP_1","003N8EMH8GTFRCSWKMPXRS42M","GSON1112150371")</f>
        <v>#NAME?</v>
      </c>
      <c r="I1386" s="3" t="e">
        <f ca="1">[1]!BexGetData("DP_1","003N8EMH8GTFRCSWKMPXRSAE6","GSON1112150371")</f>
        <v>#NAME?</v>
      </c>
      <c r="J1386" s="4" t="e">
        <f ca="1">[1]!BexGetData("DP_1","003N8EMH8GTFRCSWKMPXRSGPQ","GSON1112150371")</f>
        <v>#NAME?</v>
      </c>
      <c r="K1386" s="3" t="e">
        <f ca="1">[1]!BexGetData("DP_1","003N8EMH8GTFRIVNUPY288VJH","GSON1112150371")</f>
        <v>#NAME?</v>
      </c>
      <c r="L1386" s="3" t="e">
        <f ca="1">[1]!BexGetData("DP_1","003N8EMH8GTFRIVNUPY2891V1","GSON1112150371")</f>
        <v>#NAME?</v>
      </c>
      <c r="M1386" s="3" t="e">
        <f ca="1">[1]!BexGetData("DP_1","003N8EMH8GTFRIVOG7KG9IQXA","GSON1112150371")</f>
        <v>#NAME?</v>
      </c>
      <c r="N1386" s="8" t="e">
        <f ca="1">[1]!BexGetData("DP_1","003N8EMH8GTFRIVOG7KG9IX8U","GSON1112150371")</f>
        <v>#NAME?</v>
      </c>
      <c r="O1386" s="3" t="e">
        <f ca="1">[1]!BexGetData("DP_1","003N8EMH8GTFRIVOG7KG9J3KE","GSON1112150371")</f>
        <v>#NAME?</v>
      </c>
      <c r="P1386" s="8" t="e">
        <f ca="1">[1]!BexGetData("DP_1","003N8EMH8GTFRIVOG7KG9J9VY","GSON1112150371")</f>
        <v>#NAME?</v>
      </c>
      <c r="Q1386" s="4" t="e">
        <f ca="1">[1]!BexGetData("DP_1","00O2TNJGODT0G5Z4TTKYMM5MT","GSON1112150371")</f>
        <v>#NAME?</v>
      </c>
      <c r="R1386" s="3" t="e">
        <f ca="1">[1]!BexGetData("DP_1","00O2TNJGODT0G5Z4TTKYMMBYD","GSON1112150371")</f>
        <v>#NAME?</v>
      </c>
      <c r="S1386" s="3" t="e">
        <f ca="1">[1]!BexGetData("DP_1","00O2TNJGODT0G5Z4TTKYMMI9X","GSON1112150371")</f>
        <v>#NAME?</v>
      </c>
      <c r="T1386" s="8" t="e">
        <f ca="1">[1]!BexGetData("DP_1","00O2TNJGODT0G5Z4TTKYMMOLH","GSON1112150371")</f>
        <v>#NAME?</v>
      </c>
      <c r="U1386" s="3" t="e">
        <f ca="1">[1]!BexGetData("DP_1","00O2TNJGODT0G5Z4TTKYMMUX1","GSON1112150371")</f>
        <v>#NAME?</v>
      </c>
      <c r="V1386" s="8" t="e">
        <f ca="1">[1]!BexGetData("DP_1","00O2TNJGODT0G5Z4TTKYMN18L","GSON1112150371")</f>
        <v>#NAME?</v>
      </c>
      <c r="W1386" s="3" t="e">
        <f ca="1">[1]!BexGetData("DP_1","00O2TNJGODT0G5Z4TTKYMN7K5","GSON1112150371")</f>
        <v>#NAME?</v>
      </c>
    </row>
    <row r="1387" spans="1:23" x14ac:dyDescent="0.2">
      <c r="A1387" s="16" t="s">
        <v>3783</v>
      </c>
      <c r="B1387" s="7" t="s">
        <v>300</v>
      </c>
      <c r="C1387" s="3" t="e">
        <f ca="1">[1]!BexGetData("DP_1","003N8EMH8GTFRCSWKMPXRR8GU","GSON1112150372")</f>
        <v>#NAME?</v>
      </c>
      <c r="D1387" s="3" t="e">
        <f ca="1">[1]!BexGetData("DP_1","003N8EMH8GTFRCSWKMPXRRESE","GSON1112150372")</f>
        <v>#NAME?</v>
      </c>
      <c r="E1387" s="3" t="e">
        <f ca="1">[1]!BexGetData("DP_1","003N8EMH8GTFRCSWKMPXRRL3Y","GSON1112150372")</f>
        <v>#NAME?</v>
      </c>
      <c r="F1387" s="3" t="e">
        <f ca="1">[1]!BexGetData("DP_1","003N8EMH8GTFRCSWKMPXRRRFI","GSON1112150372")</f>
        <v>#NAME?</v>
      </c>
      <c r="G1387" s="8" t="e">
        <f ca="1">[1]!BexGetData("DP_1","003N8EMH8GTFRCSWKMPXRRXR2","GSON1112150372")</f>
        <v>#NAME?</v>
      </c>
      <c r="H1387" s="3" t="e">
        <f ca="1">[1]!BexGetData("DP_1","003N8EMH8GTFRCSWKMPXRS42M","GSON1112150372")</f>
        <v>#NAME?</v>
      </c>
      <c r="I1387" s="3" t="e">
        <f ca="1">[1]!BexGetData("DP_1","003N8EMH8GTFRCSWKMPXRSAE6","GSON1112150372")</f>
        <v>#NAME?</v>
      </c>
      <c r="J1387" s="4" t="e">
        <f ca="1">[1]!BexGetData("DP_1","003N8EMH8GTFRCSWKMPXRSGPQ","GSON1112150372")</f>
        <v>#NAME?</v>
      </c>
      <c r="K1387" s="3" t="e">
        <f ca="1">[1]!BexGetData("DP_1","003N8EMH8GTFRIVNUPY288VJH","GSON1112150372")</f>
        <v>#NAME?</v>
      </c>
      <c r="L1387" s="3" t="e">
        <f ca="1">[1]!BexGetData("DP_1","003N8EMH8GTFRIVNUPY2891V1","GSON1112150372")</f>
        <v>#NAME?</v>
      </c>
      <c r="M1387" s="3" t="e">
        <f ca="1">[1]!BexGetData("DP_1","003N8EMH8GTFRIVOG7KG9IQXA","GSON1112150372")</f>
        <v>#NAME?</v>
      </c>
      <c r="N1387" s="8" t="e">
        <f ca="1">[1]!BexGetData("DP_1","003N8EMH8GTFRIVOG7KG9IX8U","GSON1112150372")</f>
        <v>#NAME?</v>
      </c>
      <c r="O1387" s="3" t="e">
        <f ca="1">[1]!BexGetData("DP_1","003N8EMH8GTFRIVOG7KG9J3KE","GSON1112150372")</f>
        <v>#NAME?</v>
      </c>
      <c r="P1387" s="8" t="e">
        <f ca="1">[1]!BexGetData("DP_1","003N8EMH8GTFRIVOG7KG9J9VY","GSON1112150372")</f>
        <v>#NAME?</v>
      </c>
      <c r="Q1387" s="4" t="e">
        <f ca="1">[1]!BexGetData("DP_1","00O2TNJGODT0G5Z4TTKYMM5MT","GSON1112150372")</f>
        <v>#NAME?</v>
      </c>
      <c r="R1387" s="3" t="e">
        <f ca="1">[1]!BexGetData("DP_1","00O2TNJGODT0G5Z4TTKYMMBYD","GSON1112150372")</f>
        <v>#NAME?</v>
      </c>
      <c r="S1387" s="3" t="e">
        <f ca="1">[1]!BexGetData("DP_1","00O2TNJGODT0G5Z4TTKYMMI9X","GSON1112150372")</f>
        <v>#NAME?</v>
      </c>
      <c r="T1387" s="3" t="e">
        <f ca="1">[1]!BexGetData("DP_1","00O2TNJGODT0G5Z4TTKYMMOLH","GSON1112150372")</f>
        <v>#NAME?</v>
      </c>
      <c r="U1387" s="8" t="e">
        <f ca="1">[1]!BexGetData("DP_1","00O2TNJGODT0G5Z4TTKYMMUX1","GSON1112150372")</f>
        <v>#NAME?</v>
      </c>
      <c r="V1387" s="3" t="e">
        <f ca="1">[1]!BexGetData("DP_1","00O2TNJGODT0G5Z4TTKYMN18L","GSON1112150372")</f>
        <v>#NAME?</v>
      </c>
      <c r="W1387" s="8" t="e">
        <f ca="1">[1]!BexGetData("DP_1","00O2TNJGODT0G5Z4TTKYMN7K5","GSON1112150372")</f>
        <v>#NAME?</v>
      </c>
    </row>
    <row r="1388" spans="1:23" x14ac:dyDescent="0.2">
      <c r="A1388" s="16" t="s">
        <v>148</v>
      </c>
      <c r="B1388" s="7" t="s">
        <v>149</v>
      </c>
      <c r="C1388" s="3" t="e">
        <f ca="1">[1]!BexGetData("DP_1","003N8EMH8GTFRCSWKMPXRR8GU","GSON1112150373")</f>
        <v>#NAME?</v>
      </c>
      <c r="D1388" s="3" t="e">
        <f ca="1">[1]!BexGetData("DP_1","003N8EMH8GTFRCSWKMPXRRESE","GSON1112150373")</f>
        <v>#NAME?</v>
      </c>
      <c r="E1388" s="8" t="e">
        <f ca="1">[1]!BexGetData("DP_1","003N8EMH8GTFRCSWKMPXRRL3Y","GSON1112150373")</f>
        <v>#NAME?</v>
      </c>
      <c r="F1388" s="4" t="e">
        <f ca="1">[1]!BexGetData("DP_1","003N8EMH8GTFRCSWKMPXRRRFI","GSON1112150373")</f>
        <v>#NAME?</v>
      </c>
      <c r="G1388" s="4" t="e">
        <f ca="1">[1]!BexGetData("DP_1","003N8EMH8GTFRCSWKMPXRRXR2","GSON1112150373")</f>
        <v>#NAME?</v>
      </c>
      <c r="H1388" s="4" t="e">
        <f ca="1">[1]!BexGetData("DP_1","003N8EMH8GTFRCSWKMPXRS42M","GSON1112150373")</f>
        <v>#NAME?</v>
      </c>
      <c r="I1388" s="4" t="e">
        <f ca="1">[1]!BexGetData("DP_1","003N8EMH8GTFRCSWKMPXRSAE6","GSON1112150373")</f>
        <v>#NAME?</v>
      </c>
      <c r="J1388" s="4" t="e">
        <f ca="1">[1]!BexGetData("DP_1","003N8EMH8GTFRCSWKMPXRSGPQ","GSON1112150373")</f>
        <v>#NAME?</v>
      </c>
      <c r="K1388" s="8" t="e">
        <f ca="1">[1]!BexGetData("DP_1","003N8EMH8GTFRIVNUPY288VJH","GSON1112150373")</f>
        <v>#NAME?</v>
      </c>
      <c r="L1388" s="8" t="e">
        <f ca="1">[1]!BexGetData("DP_1","003N8EMH8GTFRIVNUPY2891V1","GSON1112150373")</f>
        <v>#NAME?</v>
      </c>
      <c r="M1388" s="8" t="e">
        <f ca="1">[1]!BexGetData("DP_1","003N8EMH8GTFRIVOG7KG9IQXA","GSON1112150373")</f>
        <v>#NAME?</v>
      </c>
      <c r="N1388" s="8" t="e">
        <f ca="1">[1]!BexGetData("DP_1","003N8EMH8GTFRIVOG7KG9IX8U","GSON1112150373")</f>
        <v>#NAME?</v>
      </c>
      <c r="O1388" s="8" t="e">
        <f ca="1">[1]!BexGetData("DP_1","003N8EMH8GTFRIVOG7KG9J3KE","GSON1112150373")</f>
        <v>#NAME?</v>
      </c>
      <c r="P1388" s="8" t="e">
        <f ca="1">[1]!BexGetData("DP_1","003N8EMH8GTFRIVOG7KG9J9VY","GSON1112150373")</f>
        <v>#NAME?</v>
      </c>
      <c r="Q1388" s="4" t="e">
        <f ca="1">[1]!BexGetData("DP_1","00O2TNJGODT0G5Z4TTKYMM5MT","GSON1112150373")</f>
        <v>#NAME?</v>
      </c>
      <c r="R1388" s="4" t="e">
        <f ca="1">[1]!BexGetData("DP_1","00O2TNJGODT0G5Z4TTKYMMBYD","GSON1112150373")</f>
        <v>#NAME?</v>
      </c>
      <c r="S1388" s="4" t="e">
        <f ca="1">[1]!BexGetData("DP_1","00O2TNJGODT0G5Z4TTKYMMI9X","GSON1112150373")</f>
        <v>#NAME?</v>
      </c>
      <c r="T1388" s="4" t="e">
        <f ca="1">[1]!BexGetData("DP_1","00O2TNJGODT0G5Z4TTKYMMOLH","GSON1112150373")</f>
        <v>#NAME?</v>
      </c>
      <c r="U1388" s="4" t="e">
        <f ca="1">[1]!BexGetData("DP_1","00O2TNJGODT0G5Z4TTKYMMUX1","GSON1112150373")</f>
        <v>#NAME?</v>
      </c>
      <c r="V1388" s="4" t="e">
        <f ca="1">[1]!BexGetData("DP_1","00O2TNJGODT0G5Z4TTKYMN18L","GSON1112150373")</f>
        <v>#NAME?</v>
      </c>
      <c r="W1388" s="4" t="e">
        <f ca="1">[1]!BexGetData("DP_1","00O2TNJGODT0G5Z4TTKYMN7K5","GSON1112150373")</f>
        <v>#NAME?</v>
      </c>
    </row>
    <row r="1389" spans="1:23" x14ac:dyDescent="0.2">
      <c r="A1389" s="16" t="s">
        <v>3784</v>
      </c>
      <c r="B1389" s="7" t="s">
        <v>1679</v>
      </c>
      <c r="C1389" s="3" t="e">
        <f ca="1">[1]!BexGetData("DP_1","003N8EMH8GTFRCSWKMPXRR8GU","GSON1112150374")</f>
        <v>#NAME?</v>
      </c>
      <c r="D1389" s="3" t="e">
        <f ca="1">[1]!BexGetData("DP_1","003N8EMH8GTFRCSWKMPXRRESE","GSON1112150374")</f>
        <v>#NAME?</v>
      </c>
      <c r="E1389" s="8" t="e">
        <f ca="1">[1]!BexGetData("DP_1","003N8EMH8GTFRCSWKMPXRRL3Y","GSON1112150374")</f>
        <v>#NAME?</v>
      </c>
      <c r="F1389" s="4" t="e">
        <f ca="1">[1]!BexGetData("DP_1","003N8EMH8GTFRCSWKMPXRRRFI","GSON1112150374")</f>
        <v>#NAME?</v>
      </c>
      <c r="G1389" s="4" t="e">
        <f ca="1">[1]!BexGetData("DP_1","003N8EMH8GTFRCSWKMPXRRXR2","GSON1112150374")</f>
        <v>#NAME?</v>
      </c>
      <c r="H1389" s="4" t="e">
        <f ca="1">[1]!BexGetData("DP_1","003N8EMH8GTFRCSWKMPXRS42M","GSON1112150374")</f>
        <v>#NAME?</v>
      </c>
      <c r="I1389" s="4" t="e">
        <f ca="1">[1]!BexGetData("DP_1","003N8EMH8GTFRCSWKMPXRSAE6","GSON1112150374")</f>
        <v>#NAME?</v>
      </c>
      <c r="J1389" s="4" t="e">
        <f ca="1">[1]!BexGetData("DP_1","003N8EMH8GTFRCSWKMPXRSGPQ","GSON1112150374")</f>
        <v>#NAME?</v>
      </c>
      <c r="K1389" s="8" t="e">
        <f ca="1">[1]!BexGetData("DP_1","003N8EMH8GTFRIVNUPY288VJH","GSON1112150374")</f>
        <v>#NAME?</v>
      </c>
      <c r="L1389" s="8" t="e">
        <f ca="1">[1]!BexGetData("DP_1","003N8EMH8GTFRIVNUPY2891V1","GSON1112150374")</f>
        <v>#NAME?</v>
      </c>
      <c r="M1389" s="8" t="e">
        <f ca="1">[1]!BexGetData("DP_1","003N8EMH8GTFRIVOG7KG9IQXA","GSON1112150374")</f>
        <v>#NAME?</v>
      </c>
      <c r="N1389" s="8" t="e">
        <f ca="1">[1]!BexGetData("DP_1","003N8EMH8GTFRIVOG7KG9IX8U","GSON1112150374")</f>
        <v>#NAME?</v>
      </c>
      <c r="O1389" s="8" t="e">
        <f ca="1">[1]!BexGetData("DP_1","003N8EMH8GTFRIVOG7KG9J3KE","GSON1112150374")</f>
        <v>#NAME?</v>
      </c>
      <c r="P1389" s="8" t="e">
        <f ca="1">[1]!BexGetData("DP_1","003N8EMH8GTFRIVOG7KG9J9VY","GSON1112150374")</f>
        <v>#NAME?</v>
      </c>
      <c r="Q1389" s="4" t="e">
        <f ca="1">[1]!BexGetData("DP_1","00O2TNJGODT0G5Z4TTKYMM5MT","GSON1112150374")</f>
        <v>#NAME?</v>
      </c>
      <c r="R1389" s="4" t="e">
        <f ca="1">[1]!BexGetData("DP_1","00O2TNJGODT0G5Z4TTKYMMBYD","GSON1112150374")</f>
        <v>#NAME?</v>
      </c>
      <c r="S1389" s="4" t="e">
        <f ca="1">[1]!BexGetData("DP_1","00O2TNJGODT0G5Z4TTKYMMI9X","GSON1112150374")</f>
        <v>#NAME?</v>
      </c>
      <c r="T1389" s="4" t="e">
        <f ca="1">[1]!BexGetData("DP_1","00O2TNJGODT0G5Z4TTKYMMOLH","GSON1112150374")</f>
        <v>#NAME?</v>
      </c>
      <c r="U1389" s="4" t="e">
        <f ca="1">[1]!BexGetData("DP_1","00O2TNJGODT0G5Z4TTKYMMUX1","GSON1112150374")</f>
        <v>#NAME?</v>
      </c>
      <c r="V1389" s="4" t="e">
        <f ca="1">[1]!BexGetData("DP_1","00O2TNJGODT0G5Z4TTKYMN18L","GSON1112150374")</f>
        <v>#NAME?</v>
      </c>
      <c r="W1389" s="4" t="e">
        <f ca="1">[1]!BexGetData("DP_1","00O2TNJGODT0G5Z4TTKYMN7K5","GSON1112150374")</f>
        <v>#NAME?</v>
      </c>
    </row>
    <row r="1390" spans="1:23" x14ac:dyDescent="0.2">
      <c r="A1390" s="16" t="s">
        <v>3785</v>
      </c>
      <c r="B1390" s="7" t="s">
        <v>3786</v>
      </c>
      <c r="C1390" s="3" t="e">
        <f ca="1">[1]!BexGetData("DP_1","003N8EMH8GTFRCSWKMPXRR8GU","GSON1112150375")</f>
        <v>#NAME?</v>
      </c>
      <c r="D1390" s="3" t="e">
        <f ca="1">[1]!BexGetData("DP_1","003N8EMH8GTFRCSWKMPXRRESE","GSON1112150375")</f>
        <v>#NAME?</v>
      </c>
      <c r="E1390" s="8" t="e">
        <f ca="1">[1]!BexGetData("DP_1","003N8EMH8GTFRCSWKMPXRRL3Y","GSON1112150375")</f>
        <v>#NAME?</v>
      </c>
      <c r="F1390" s="4" t="e">
        <f ca="1">[1]!BexGetData("DP_1","003N8EMH8GTFRCSWKMPXRRRFI","GSON1112150375")</f>
        <v>#NAME?</v>
      </c>
      <c r="G1390" s="4" t="e">
        <f ca="1">[1]!BexGetData("DP_1","003N8EMH8GTFRCSWKMPXRRXR2","GSON1112150375")</f>
        <v>#NAME?</v>
      </c>
      <c r="H1390" s="4" t="e">
        <f ca="1">[1]!BexGetData("DP_1","003N8EMH8GTFRCSWKMPXRS42M","GSON1112150375")</f>
        <v>#NAME?</v>
      </c>
      <c r="I1390" s="4" t="e">
        <f ca="1">[1]!BexGetData("DP_1","003N8EMH8GTFRCSWKMPXRSAE6","GSON1112150375")</f>
        <v>#NAME?</v>
      </c>
      <c r="J1390" s="4" t="e">
        <f ca="1">[1]!BexGetData("DP_1","003N8EMH8GTFRCSWKMPXRSGPQ","GSON1112150375")</f>
        <v>#NAME?</v>
      </c>
      <c r="K1390" s="8" t="e">
        <f ca="1">[1]!BexGetData("DP_1","003N8EMH8GTFRIVNUPY288VJH","GSON1112150375")</f>
        <v>#NAME?</v>
      </c>
      <c r="L1390" s="8" t="e">
        <f ca="1">[1]!BexGetData("DP_1","003N8EMH8GTFRIVNUPY2891V1","GSON1112150375")</f>
        <v>#NAME?</v>
      </c>
      <c r="M1390" s="8" t="e">
        <f ca="1">[1]!BexGetData("DP_1","003N8EMH8GTFRIVOG7KG9IQXA","GSON1112150375")</f>
        <v>#NAME?</v>
      </c>
      <c r="N1390" s="8" t="e">
        <f ca="1">[1]!BexGetData("DP_1","003N8EMH8GTFRIVOG7KG9IX8U","GSON1112150375")</f>
        <v>#NAME?</v>
      </c>
      <c r="O1390" s="8" t="e">
        <f ca="1">[1]!BexGetData("DP_1","003N8EMH8GTFRIVOG7KG9J3KE","GSON1112150375")</f>
        <v>#NAME?</v>
      </c>
      <c r="P1390" s="8" t="e">
        <f ca="1">[1]!BexGetData("DP_1","003N8EMH8GTFRIVOG7KG9J9VY","GSON1112150375")</f>
        <v>#NAME?</v>
      </c>
      <c r="Q1390" s="4" t="e">
        <f ca="1">[1]!BexGetData("DP_1","00O2TNJGODT0G5Z4TTKYMM5MT","GSON1112150375")</f>
        <v>#NAME?</v>
      </c>
      <c r="R1390" s="4" t="e">
        <f ca="1">[1]!BexGetData("DP_1","00O2TNJGODT0G5Z4TTKYMMBYD","GSON1112150375")</f>
        <v>#NAME?</v>
      </c>
      <c r="S1390" s="4" t="e">
        <f ca="1">[1]!BexGetData("DP_1","00O2TNJGODT0G5Z4TTKYMMI9X","GSON1112150375")</f>
        <v>#NAME?</v>
      </c>
      <c r="T1390" s="4" t="e">
        <f ca="1">[1]!BexGetData("DP_1","00O2TNJGODT0G5Z4TTKYMMOLH","GSON1112150375")</f>
        <v>#NAME?</v>
      </c>
      <c r="U1390" s="4" t="e">
        <f ca="1">[1]!BexGetData("DP_1","00O2TNJGODT0G5Z4TTKYMMUX1","GSON1112150375")</f>
        <v>#NAME?</v>
      </c>
      <c r="V1390" s="4" t="e">
        <f ca="1">[1]!BexGetData("DP_1","00O2TNJGODT0G5Z4TTKYMN18L","GSON1112150375")</f>
        <v>#NAME?</v>
      </c>
      <c r="W1390" s="4" t="e">
        <f ca="1">[1]!BexGetData("DP_1","00O2TNJGODT0G5Z4TTKYMN7K5","GSON1112150375")</f>
        <v>#NAME?</v>
      </c>
    </row>
    <row r="1391" spans="1:23" x14ac:dyDescent="0.2">
      <c r="A1391" s="16" t="s">
        <v>3787</v>
      </c>
      <c r="B1391" s="7" t="s">
        <v>3788</v>
      </c>
      <c r="C1391" s="3" t="e">
        <f ca="1">[1]!BexGetData("DP_1","003N8EMH8GTFRCSWKMPXRR8GU","GSON1112150390")</f>
        <v>#NAME?</v>
      </c>
      <c r="D1391" s="3" t="e">
        <f ca="1">[1]!BexGetData("DP_1","003N8EMH8GTFRCSWKMPXRRESE","GSON1112150390")</f>
        <v>#NAME?</v>
      </c>
      <c r="E1391" s="3" t="e">
        <f ca="1">[1]!BexGetData("DP_1","003N8EMH8GTFRCSWKMPXRRL3Y","GSON1112150390")</f>
        <v>#NAME?</v>
      </c>
      <c r="F1391" s="3" t="e">
        <f ca="1">[1]!BexGetData("DP_1","003N8EMH8GTFRCSWKMPXRRRFI","GSON1112150390")</f>
        <v>#NAME?</v>
      </c>
      <c r="G1391" s="3" t="e">
        <f ca="1">[1]!BexGetData("DP_1","003N8EMH8GTFRCSWKMPXRRXR2","GSON1112150390")</f>
        <v>#NAME?</v>
      </c>
      <c r="H1391" s="8" t="e">
        <f ca="1">[1]!BexGetData("DP_1","003N8EMH8GTFRCSWKMPXRS42M","GSON1112150390")</f>
        <v>#NAME?</v>
      </c>
      <c r="I1391" s="3" t="e">
        <f ca="1">[1]!BexGetData("DP_1","003N8EMH8GTFRCSWKMPXRSAE6","GSON1112150390")</f>
        <v>#NAME?</v>
      </c>
      <c r="J1391" s="4" t="e">
        <f ca="1">[1]!BexGetData("DP_1","003N8EMH8GTFRCSWKMPXRSGPQ","GSON1112150390")</f>
        <v>#NAME?</v>
      </c>
      <c r="K1391" s="3" t="e">
        <f ca="1">[1]!BexGetData("DP_1","003N8EMH8GTFRIVNUPY288VJH","GSON1112150390")</f>
        <v>#NAME?</v>
      </c>
      <c r="L1391" s="3" t="e">
        <f ca="1">[1]!BexGetData("DP_1","003N8EMH8GTFRIVNUPY2891V1","GSON1112150390")</f>
        <v>#NAME?</v>
      </c>
      <c r="M1391" s="3" t="e">
        <f ca="1">[1]!BexGetData("DP_1","003N8EMH8GTFRIVOG7KG9IQXA","GSON1112150390")</f>
        <v>#NAME?</v>
      </c>
      <c r="N1391" s="8" t="e">
        <f ca="1">[1]!BexGetData("DP_1","003N8EMH8GTFRIVOG7KG9IX8U","GSON1112150390")</f>
        <v>#NAME?</v>
      </c>
      <c r="O1391" s="3" t="e">
        <f ca="1">[1]!BexGetData("DP_1","003N8EMH8GTFRIVOG7KG9J3KE","GSON1112150390")</f>
        <v>#NAME?</v>
      </c>
      <c r="P1391" s="8" t="e">
        <f ca="1">[1]!BexGetData("DP_1","003N8EMH8GTFRIVOG7KG9J9VY","GSON1112150390")</f>
        <v>#NAME?</v>
      </c>
      <c r="Q1391" s="4" t="e">
        <f ca="1">[1]!BexGetData("DP_1","00O2TNJGODT0G5Z4TTKYMM5MT","GSON1112150390")</f>
        <v>#NAME?</v>
      </c>
      <c r="R1391" s="3" t="e">
        <f ca="1">[1]!BexGetData("DP_1","00O2TNJGODT0G5Z4TTKYMMBYD","GSON1112150390")</f>
        <v>#NAME?</v>
      </c>
      <c r="S1391" s="3" t="e">
        <f ca="1">[1]!BexGetData("DP_1","00O2TNJGODT0G5Z4TTKYMMI9X","GSON1112150390")</f>
        <v>#NAME?</v>
      </c>
      <c r="T1391" s="8" t="e">
        <f ca="1">[1]!BexGetData("DP_1","00O2TNJGODT0G5Z4TTKYMMOLH","GSON1112150390")</f>
        <v>#NAME?</v>
      </c>
      <c r="U1391" s="3" t="e">
        <f ca="1">[1]!BexGetData("DP_1","00O2TNJGODT0G5Z4TTKYMMUX1","GSON1112150390")</f>
        <v>#NAME?</v>
      </c>
      <c r="V1391" s="8" t="e">
        <f ca="1">[1]!BexGetData("DP_1","00O2TNJGODT0G5Z4TTKYMN18L","GSON1112150390")</f>
        <v>#NAME?</v>
      </c>
      <c r="W1391" s="3" t="e">
        <f ca="1">[1]!BexGetData("DP_1","00O2TNJGODT0G5Z4TTKYMN7K5","GSON1112150390")</f>
        <v>#NAME?</v>
      </c>
    </row>
    <row r="1392" spans="1:23" x14ac:dyDescent="0.2">
      <c r="A1392" s="16" t="s">
        <v>3789</v>
      </c>
      <c r="B1392" s="7" t="s">
        <v>3790</v>
      </c>
      <c r="C1392" s="3" t="e">
        <f ca="1">[1]!BexGetData("DP_1","003N8EMH8GTFRCSWKMPXRR8GU","GSON1112150394")</f>
        <v>#NAME?</v>
      </c>
      <c r="D1392" s="3" t="e">
        <f ca="1">[1]!BexGetData("DP_1","003N8EMH8GTFRCSWKMPXRRESE","GSON1112150394")</f>
        <v>#NAME?</v>
      </c>
      <c r="E1392" s="8" t="e">
        <f ca="1">[1]!BexGetData("DP_1","003N8EMH8GTFRCSWKMPXRRL3Y","GSON1112150394")</f>
        <v>#NAME?</v>
      </c>
      <c r="F1392" s="4" t="e">
        <f ca="1">[1]!BexGetData("DP_1","003N8EMH8GTFRCSWKMPXRRRFI","GSON1112150394")</f>
        <v>#NAME?</v>
      </c>
      <c r="G1392" s="4" t="e">
        <f ca="1">[1]!BexGetData("DP_1","003N8EMH8GTFRCSWKMPXRRXR2","GSON1112150394")</f>
        <v>#NAME?</v>
      </c>
      <c r="H1392" s="4" t="e">
        <f ca="1">[1]!BexGetData("DP_1","003N8EMH8GTFRCSWKMPXRS42M","GSON1112150394")</f>
        <v>#NAME?</v>
      </c>
      <c r="I1392" s="4" t="e">
        <f ca="1">[1]!BexGetData("DP_1","003N8EMH8GTFRCSWKMPXRSAE6","GSON1112150394")</f>
        <v>#NAME?</v>
      </c>
      <c r="J1392" s="4" t="e">
        <f ca="1">[1]!BexGetData("DP_1","003N8EMH8GTFRCSWKMPXRSGPQ","GSON1112150394")</f>
        <v>#NAME?</v>
      </c>
      <c r="K1392" s="8" t="e">
        <f ca="1">[1]!BexGetData("DP_1","003N8EMH8GTFRIVNUPY288VJH","GSON1112150394")</f>
        <v>#NAME?</v>
      </c>
      <c r="L1392" s="8" t="e">
        <f ca="1">[1]!BexGetData("DP_1","003N8EMH8GTFRIVNUPY2891V1","GSON1112150394")</f>
        <v>#NAME?</v>
      </c>
      <c r="M1392" s="8" t="e">
        <f ca="1">[1]!BexGetData("DP_1","003N8EMH8GTFRIVOG7KG9IQXA","GSON1112150394")</f>
        <v>#NAME?</v>
      </c>
      <c r="N1392" s="8" t="e">
        <f ca="1">[1]!BexGetData("DP_1","003N8EMH8GTFRIVOG7KG9IX8U","GSON1112150394")</f>
        <v>#NAME?</v>
      </c>
      <c r="O1392" s="8" t="e">
        <f ca="1">[1]!BexGetData("DP_1","003N8EMH8GTFRIVOG7KG9J3KE","GSON1112150394")</f>
        <v>#NAME?</v>
      </c>
      <c r="P1392" s="8" t="e">
        <f ca="1">[1]!BexGetData("DP_1","003N8EMH8GTFRIVOG7KG9J9VY","GSON1112150394")</f>
        <v>#NAME?</v>
      </c>
      <c r="Q1392" s="4" t="e">
        <f ca="1">[1]!BexGetData("DP_1","00O2TNJGODT0G5Z4TTKYMM5MT","GSON1112150394")</f>
        <v>#NAME?</v>
      </c>
      <c r="R1392" s="4" t="e">
        <f ca="1">[1]!BexGetData("DP_1","00O2TNJGODT0G5Z4TTKYMMBYD","GSON1112150394")</f>
        <v>#NAME?</v>
      </c>
      <c r="S1392" s="4" t="e">
        <f ca="1">[1]!BexGetData("DP_1","00O2TNJGODT0G5Z4TTKYMMI9X","GSON1112150394")</f>
        <v>#NAME?</v>
      </c>
      <c r="T1392" s="4" t="e">
        <f ca="1">[1]!BexGetData("DP_1","00O2TNJGODT0G5Z4TTKYMMOLH","GSON1112150394")</f>
        <v>#NAME?</v>
      </c>
      <c r="U1392" s="4" t="e">
        <f ca="1">[1]!BexGetData("DP_1","00O2TNJGODT0G5Z4TTKYMMUX1","GSON1112150394")</f>
        <v>#NAME?</v>
      </c>
      <c r="V1392" s="4" t="e">
        <f ca="1">[1]!BexGetData("DP_1","00O2TNJGODT0G5Z4TTKYMN18L","GSON1112150394")</f>
        <v>#NAME?</v>
      </c>
      <c r="W1392" s="4" t="e">
        <f ca="1">[1]!BexGetData("DP_1","00O2TNJGODT0G5Z4TTKYMN7K5","GSON1112150394")</f>
        <v>#NAME?</v>
      </c>
    </row>
    <row r="1393" spans="1:23" x14ac:dyDescent="0.2">
      <c r="A1393" s="16" t="s">
        <v>3791</v>
      </c>
      <c r="B1393" s="7" t="s">
        <v>3792</v>
      </c>
      <c r="C1393" s="3" t="e">
        <f ca="1">[1]!BexGetData("DP_1","003N8EMH8GTFRCSWKMPXRR8GU","GSON1112150395")</f>
        <v>#NAME?</v>
      </c>
      <c r="D1393" s="3" t="e">
        <f ca="1">[1]!BexGetData("DP_1","003N8EMH8GTFRCSWKMPXRRESE","GSON1112150395")</f>
        <v>#NAME?</v>
      </c>
      <c r="E1393" s="8" t="e">
        <f ca="1">[1]!BexGetData("DP_1","003N8EMH8GTFRCSWKMPXRRL3Y","GSON1112150395")</f>
        <v>#NAME?</v>
      </c>
      <c r="F1393" s="4" t="e">
        <f ca="1">[1]!BexGetData("DP_1","003N8EMH8GTFRCSWKMPXRRRFI","GSON1112150395")</f>
        <v>#NAME?</v>
      </c>
      <c r="G1393" s="4" t="e">
        <f ca="1">[1]!BexGetData("DP_1","003N8EMH8GTFRCSWKMPXRRXR2","GSON1112150395")</f>
        <v>#NAME?</v>
      </c>
      <c r="H1393" s="4" t="e">
        <f ca="1">[1]!BexGetData("DP_1","003N8EMH8GTFRCSWKMPXRS42M","GSON1112150395")</f>
        <v>#NAME?</v>
      </c>
      <c r="I1393" s="4" t="e">
        <f ca="1">[1]!BexGetData("DP_1","003N8EMH8GTFRCSWKMPXRSAE6","GSON1112150395")</f>
        <v>#NAME?</v>
      </c>
      <c r="J1393" s="4" t="e">
        <f ca="1">[1]!BexGetData("DP_1","003N8EMH8GTFRCSWKMPXRSGPQ","GSON1112150395")</f>
        <v>#NAME?</v>
      </c>
      <c r="K1393" s="8" t="e">
        <f ca="1">[1]!BexGetData("DP_1","003N8EMH8GTFRIVNUPY288VJH","GSON1112150395")</f>
        <v>#NAME?</v>
      </c>
      <c r="L1393" s="8" t="e">
        <f ca="1">[1]!BexGetData("DP_1","003N8EMH8GTFRIVNUPY2891V1","GSON1112150395")</f>
        <v>#NAME?</v>
      </c>
      <c r="M1393" s="8" t="e">
        <f ca="1">[1]!BexGetData("DP_1","003N8EMH8GTFRIVOG7KG9IQXA","GSON1112150395")</f>
        <v>#NAME?</v>
      </c>
      <c r="N1393" s="8" t="e">
        <f ca="1">[1]!BexGetData("DP_1","003N8EMH8GTFRIVOG7KG9IX8U","GSON1112150395")</f>
        <v>#NAME?</v>
      </c>
      <c r="O1393" s="8" t="e">
        <f ca="1">[1]!BexGetData("DP_1","003N8EMH8GTFRIVOG7KG9J3KE","GSON1112150395")</f>
        <v>#NAME?</v>
      </c>
      <c r="P1393" s="8" t="e">
        <f ca="1">[1]!BexGetData("DP_1","003N8EMH8GTFRIVOG7KG9J9VY","GSON1112150395")</f>
        <v>#NAME?</v>
      </c>
      <c r="Q1393" s="4" t="e">
        <f ca="1">[1]!BexGetData("DP_1","00O2TNJGODT0G5Z4TTKYMM5MT","GSON1112150395")</f>
        <v>#NAME?</v>
      </c>
      <c r="R1393" s="4" t="e">
        <f ca="1">[1]!BexGetData("DP_1","00O2TNJGODT0G5Z4TTKYMMBYD","GSON1112150395")</f>
        <v>#NAME?</v>
      </c>
      <c r="S1393" s="4" t="e">
        <f ca="1">[1]!BexGetData("DP_1","00O2TNJGODT0G5Z4TTKYMMI9X","GSON1112150395")</f>
        <v>#NAME?</v>
      </c>
      <c r="T1393" s="4" t="e">
        <f ca="1">[1]!BexGetData("DP_1","00O2TNJGODT0G5Z4TTKYMMOLH","GSON1112150395")</f>
        <v>#NAME?</v>
      </c>
      <c r="U1393" s="4" t="e">
        <f ca="1">[1]!BexGetData("DP_1","00O2TNJGODT0G5Z4TTKYMMUX1","GSON1112150395")</f>
        <v>#NAME?</v>
      </c>
      <c r="V1393" s="4" t="e">
        <f ca="1">[1]!BexGetData("DP_1","00O2TNJGODT0G5Z4TTKYMN18L","GSON1112150395")</f>
        <v>#NAME?</v>
      </c>
      <c r="W1393" s="4" t="e">
        <f ca="1">[1]!BexGetData("DP_1","00O2TNJGODT0G5Z4TTKYMN7K5","GSON1112150395")</f>
        <v>#NAME?</v>
      </c>
    </row>
    <row r="1394" spans="1:23" x14ac:dyDescent="0.2">
      <c r="A1394" s="16" t="s">
        <v>3793</v>
      </c>
      <c r="B1394" s="7" t="s">
        <v>3794</v>
      </c>
      <c r="C1394" s="3" t="e">
        <f ca="1">[1]!BexGetData("DP_1","003N8EMH8GTFRCSWKMPXRR8GU","GSON1112150400")</f>
        <v>#NAME?</v>
      </c>
      <c r="D1394" s="3" t="e">
        <f ca="1">[1]!BexGetData("DP_1","003N8EMH8GTFRCSWKMPXRRESE","GSON1112150400")</f>
        <v>#NAME?</v>
      </c>
      <c r="E1394" s="3" t="e">
        <f ca="1">[1]!BexGetData("DP_1","003N8EMH8GTFRCSWKMPXRRL3Y","GSON1112150400")</f>
        <v>#NAME?</v>
      </c>
      <c r="F1394" s="3" t="e">
        <f ca="1">[1]!BexGetData("DP_1","003N8EMH8GTFRCSWKMPXRRRFI","GSON1112150400")</f>
        <v>#NAME?</v>
      </c>
      <c r="G1394" s="3" t="e">
        <f ca="1">[1]!BexGetData("DP_1","003N8EMH8GTFRCSWKMPXRRXR2","GSON1112150400")</f>
        <v>#NAME?</v>
      </c>
      <c r="H1394" s="8" t="e">
        <f ca="1">[1]!BexGetData("DP_1","003N8EMH8GTFRCSWKMPXRS42M","GSON1112150400")</f>
        <v>#NAME?</v>
      </c>
      <c r="I1394" s="3" t="e">
        <f ca="1">[1]!BexGetData("DP_1","003N8EMH8GTFRCSWKMPXRSAE6","GSON1112150400")</f>
        <v>#NAME?</v>
      </c>
      <c r="J1394" s="4" t="e">
        <f ca="1">[1]!BexGetData("DP_1","003N8EMH8GTFRCSWKMPXRSGPQ","GSON1112150400")</f>
        <v>#NAME?</v>
      </c>
      <c r="K1394" s="3" t="e">
        <f ca="1">[1]!BexGetData("DP_1","003N8EMH8GTFRIVNUPY288VJH","GSON1112150400")</f>
        <v>#NAME?</v>
      </c>
      <c r="L1394" s="3" t="e">
        <f ca="1">[1]!BexGetData("DP_1","003N8EMH8GTFRIVNUPY2891V1","GSON1112150400")</f>
        <v>#NAME?</v>
      </c>
      <c r="M1394" s="8" t="e">
        <f ca="1">[1]!BexGetData("DP_1","003N8EMH8GTFRIVOG7KG9IQXA","GSON1112150400")</f>
        <v>#NAME?</v>
      </c>
      <c r="N1394" s="3" t="e">
        <f ca="1">[1]!BexGetData("DP_1","003N8EMH8GTFRIVOG7KG9IX8U","GSON1112150400")</f>
        <v>#NAME?</v>
      </c>
      <c r="O1394" s="8" t="e">
        <f ca="1">[1]!BexGetData("DP_1","003N8EMH8GTFRIVOG7KG9J3KE","GSON1112150400")</f>
        <v>#NAME?</v>
      </c>
      <c r="P1394" s="3" t="e">
        <f ca="1">[1]!BexGetData("DP_1","003N8EMH8GTFRIVOG7KG9J9VY","GSON1112150400")</f>
        <v>#NAME?</v>
      </c>
      <c r="Q1394" s="4" t="e">
        <f ca="1">[1]!BexGetData("DP_1","00O2TNJGODT0G5Z4TTKYMM5MT","GSON1112150400")</f>
        <v>#NAME?</v>
      </c>
      <c r="R1394" s="3" t="e">
        <f ca="1">[1]!BexGetData("DP_1","00O2TNJGODT0G5Z4TTKYMMBYD","GSON1112150400")</f>
        <v>#NAME?</v>
      </c>
      <c r="S1394" s="3" t="e">
        <f ca="1">[1]!BexGetData("DP_1","00O2TNJGODT0G5Z4TTKYMMI9X","GSON1112150400")</f>
        <v>#NAME?</v>
      </c>
      <c r="T1394" s="8" t="e">
        <f ca="1">[1]!BexGetData("DP_1","00O2TNJGODT0G5Z4TTKYMMOLH","GSON1112150400")</f>
        <v>#NAME?</v>
      </c>
      <c r="U1394" s="3" t="e">
        <f ca="1">[1]!BexGetData("DP_1","00O2TNJGODT0G5Z4TTKYMMUX1","GSON1112150400")</f>
        <v>#NAME?</v>
      </c>
      <c r="V1394" s="8" t="e">
        <f ca="1">[1]!BexGetData("DP_1","00O2TNJGODT0G5Z4TTKYMN18L","GSON1112150400")</f>
        <v>#NAME?</v>
      </c>
      <c r="W1394" s="3" t="e">
        <f ca="1">[1]!BexGetData("DP_1","00O2TNJGODT0G5Z4TTKYMN7K5","GSON1112150400")</f>
        <v>#NAME?</v>
      </c>
    </row>
    <row r="1395" spans="1:23" x14ac:dyDescent="0.2">
      <c r="A1395" s="16" t="s">
        <v>3795</v>
      </c>
      <c r="B1395" s="7" t="s">
        <v>3796</v>
      </c>
      <c r="C1395" s="3" t="e">
        <f ca="1">[1]!BexGetData("DP_1","003N8EMH8GTFRCSWKMPXRR8GU","GSON1112150401")</f>
        <v>#NAME?</v>
      </c>
      <c r="D1395" s="3" t="e">
        <f ca="1">[1]!BexGetData("DP_1","003N8EMH8GTFRCSWKMPXRRESE","GSON1112150401")</f>
        <v>#NAME?</v>
      </c>
      <c r="E1395" s="8" t="e">
        <f ca="1">[1]!BexGetData("DP_1","003N8EMH8GTFRCSWKMPXRRL3Y","GSON1112150401")</f>
        <v>#NAME?</v>
      </c>
      <c r="F1395" s="4" t="e">
        <f ca="1">[1]!BexGetData("DP_1","003N8EMH8GTFRCSWKMPXRRRFI","GSON1112150401")</f>
        <v>#NAME?</v>
      </c>
      <c r="G1395" s="4" t="e">
        <f ca="1">[1]!BexGetData("DP_1","003N8EMH8GTFRCSWKMPXRRXR2","GSON1112150401")</f>
        <v>#NAME?</v>
      </c>
      <c r="H1395" s="4" t="e">
        <f ca="1">[1]!BexGetData("DP_1","003N8EMH8GTFRCSWKMPXRS42M","GSON1112150401")</f>
        <v>#NAME?</v>
      </c>
      <c r="I1395" s="4" t="e">
        <f ca="1">[1]!BexGetData("DP_1","003N8EMH8GTFRCSWKMPXRSAE6","GSON1112150401")</f>
        <v>#NAME?</v>
      </c>
      <c r="J1395" s="4" t="e">
        <f ca="1">[1]!BexGetData("DP_1","003N8EMH8GTFRCSWKMPXRSGPQ","GSON1112150401")</f>
        <v>#NAME?</v>
      </c>
      <c r="K1395" s="8" t="e">
        <f ca="1">[1]!BexGetData("DP_1","003N8EMH8GTFRIVNUPY288VJH","GSON1112150401")</f>
        <v>#NAME?</v>
      </c>
      <c r="L1395" s="8" t="e">
        <f ca="1">[1]!BexGetData("DP_1","003N8EMH8GTFRIVNUPY2891V1","GSON1112150401")</f>
        <v>#NAME?</v>
      </c>
      <c r="M1395" s="8" t="e">
        <f ca="1">[1]!BexGetData("DP_1","003N8EMH8GTFRIVOG7KG9IQXA","GSON1112150401")</f>
        <v>#NAME?</v>
      </c>
      <c r="N1395" s="8" t="e">
        <f ca="1">[1]!BexGetData("DP_1","003N8EMH8GTFRIVOG7KG9IX8U","GSON1112150401")</f>
        <v>#NAME?</v>
      </c>
      <c r="O1395" s="8" t="e">
        <f ca="1">[1]!BexGetData("DP_1","003N8EMH8GTFRIVOG7KG9J3KE","GSON1112150401")</f>
        <v>#NAME?</v>
      </c>
      <c r="P1395" s="8" t="e">
        <f ca="1">[1]!BexGetData("DP_1","003N8EMH8GTFRIVOG7KG9J9VY","GSON1112150401")</f>
        <v>#NAME?</v>
      </c>
      <c r="Q1395" s="4" t="e">
        <f ca="1">[1]!BexGetData("DP_1","00O2TNJGODT0G5Z4TTKYMM5MT","GSON1112150401")</f>
        <v>#NAME?</v>
      </c>
      <c r="R1395" s="4" t="e">
        <f ca="1">[1]!BexGetData("DP_1","00O2TNJGODT0G5Z4TTKYMMBYD","GSON1112150401")</f>
        <v>#NAME?</v>
      </c>
      <c r="S1395" s="4" t="e">
        <f ca="1">[1]!BexGetData("DP_1","00O2TNJGODT0G5Z4TTKYMMI9X","GSON1112150401")</f>
        <v>#NAME?</v>
      </c>
      <c r="T1395" s="4" t="e">
        <f ca="1">[1]!BexGetData("DP_1","00O2TNJGODT0G5Z4TTKYMMOLH","GSON1112150401")</f>
        <v>#NAME?</v>
      </c>
      <c r="U1395" s="4" t="e">
        <f ca="1">[1]!BexGetData("DP_1","00O2TNJGODT0G5Z4TTKYMMUX1","GSON1112150401")</f>
        <v>#NAME?</v>
      </c>
      <c r="V1395" s="4" t="e">
        <f ca="1">[1]!BexGetData("DP_1","00O2TNJGODT0G5Z4TTKYMN18L","GSON1112150401")</f>
        <v>#NAME?</v>
      </c>
      <c r="W1395" s="4" t="e">
        <f ca="1">[1]!BexGetData("DP_1","00O2TNJGODT0G5Z4TTKYMN7K5","GSON1112150401")</f>
        <v>#NAME?</v>
      </c>
    </row>
    <row r="1396" spans="1:23" x14ac:dyDescent="0.2">
      <c r="A1396" s="16" t="s">
        <v>3797</v>
      </c>
      <c r="B1396" s="7" t="s">
        <v>3798</v>
      </c>
      <c r="C1396" s="3" t="e">
        <f ca="1">[1]!BexGetData("DP_1","003N8EMH8GTFRCSWKMPXRR8GU","GSON1112150403")</f>
        <v>#NAME?</v>
      </c>
      <c r="D1396" s="3" t="e">
        <f ca="1">[1]!BexGetData("DP_1","003N8EMH8GTFRCSWKMPXRRESE","GSON1112150403")</f>
        <v>#NAME?</v>
      </c>
      <c r="E1396" s="8" t="e">
        <f ca="1">[1]!BexGetData("DP_1","003N8EMH8GTFRCSWKMPXRRL3Y","GSON1112150403")</f>
        <v>#NAME?</v>
      </c>
      <c r="F1396" s="4" t="e">
        <f ca="1">[1]!BexGetData("DP_1","003N8EMH8GTFRCSWKMPXRRRFI","GSON1112150403")</f>
        <v>#NAME?</v>
      </c>
      <c r="G1396" s="4" t="e">
        <f ca="1">[1]!BexGetData("DP_1","003N8EMH8GTFRCSWKMPXRRXR2","GSON1112150403")</f>
        <v>#NAME?</v>
      </c>
      <c r="H1396" s="4" t="e">
        <f ca="1">[1]!BexGetData("DP_1","003N8EMH8GTFRCSWKMPXRS42M","GSON1112150403")</f>
        <v>#NAME?</v>
      </c>
      <c r="I1396" s="4" t="e">
        <f ca="1">[1]!BexGetData("DP_1","003N8EMH8GTFRCSWKMPXRSAE6","GSON1112150403")</f>
        <v>#NAME?</v>
      </c>
      <c r="J1396" s="4" t="e">
        <f ca="1">[1]!BexGetData("DP_1","003N8EMH8GTFRCSWKMPXRSGPQ","GSON1112150403")</f>
        <v>#NAME?</v>
      </c>
      <c r="K1396" s="8" t="e">
        <f ca="1">[1]!BexGetData("DP_1","003N8EMH8GTFRIVNUPY288VJH","GSON1112150403")</f>
        <v>#NAME?</v>
      </c>
      <c r="L1396" s="8" t="e">
        <f ca="1">[1]!BexGetData("DP_1","003N8EMH8GTFRIVNUPY2891V1","GSON1112150403")</f>
        <v>#NAME?</v>
      </c>
      <c r="M1396" s="8" t="e">
        <f ca="1">[1]!BexGetData("DP_1","003N8EMH8GTFRIVOG7KG9IQXA","GSON1112150403")</f>
        <v>#NAME?</v>
      </c>
      <c r="N1396" s="8" t="e">
        <f ca="1">[1]!BexGetData("DP_1","003N8EMH8GTFRIVOG7KG9IX8U","GSON1112150403")</f>
        <v>#NAME?</v>
      </c>
      <c r="O1396" s="8" t="e">
        <f ca="1">[1]!BexGetData("DP_1","003N8EMH8GTFRIVOG7KG9J3KE","GSON1112150403")</f>
        <v>#NAME?</v>
      </c>
      <c r="P1396" s="8" t="e">
        <f ca="1">[1]!BexGetData("DP_1","003N8EMH8GTFRIVOG7KG9J9VY","GSON1112150403")</f>
        <v>#NAME?</v>
      </c>
      <c r="Q1396" s="4" t="e">
        <f ca="1">[1]!BexGetData("DP_1","00O2TNJGODT0G5Z4TTKYMM5MT","GSON1112150403")</f>
        <v>#NAME?</v>
      </c>
      <c r="R1396" s="4" t="e">
        <f ca="1">[1]!BexGetData("DP_1","00O2TNJGODT0G5Z4TTKYMMBYD","GSON1112150403")</f>
        <v>#NAME?</v>
      </c>
      <c r="S1396" s="4" t="e">
        <f ca="1">[1]!BexGetData("DP_1","00O2TNJGODT0G5Z4TTKYMMI9X","GSON1112150403")</f>
        <v>#NAME?</v>
      </c>
      <c r="T1396" s="4" t="e">
        <f ca="1">[1]!BexGetData("DP_1","00O2TNJGODT0G5Z4TTKYMMOLH","GSON1112150403")</f>
        <v>#NAME?</v>
      </c>
      <c r="U1396" s="4" t="e">
        <f ca="1">[1]!BexGetData("DP_1","00O2TNJGODT0G5Z4TTKYMMUX1","GSON1112150403")</f>
        <v>#NAME?</v>
      </c>
      <c r="V1396" s="4" t="e">
        <f ca="1">[1]!BexGetData("DP_1","00O2TNJGODT0G5Z4TTKYMN18L","GSON1112150403")</f>
        <v>#NAME?</v>
      </c>
      <c r="W1396" s="4" t="e">
        <f ca="1">[1]!BexGetData("DP_1","00O2TNJGODT0G5Z4TTKYMN7K5","GSON1112150403")</f>
        <v>#NAME?</v>
      </c>
    </row>
    <row r="1397" spans="1:23" x14ac:dyDescent="0.2">
      <c r="A1397" s="16" t="s">
        <v>3799</v>
      </c>
      <c r="B1397" s="7" t="s">
        <v>3800</v>
      </c>
      <c r="C1397" s="3" t="e">
        <f ca="1">[1]!BexGetData("DP_1","003N8EMH8GTFRCSWKMPXRR8GU","GSON1112150404")</f>
        <v>#NAME?</v>
      </c>
      <c r="D1397" s="3" t="e">
        <f ca="1">[1]!BexGetData("DP_1","003N8EMH8GTFRCSWKMPXRRESE","GSON1112150404")</f>
        <v>#NAME?</v>
      </c>
      <c r="E1397" s="8" t="e">
        <f ca="1">[1]!BexGetData("DP_1","003N8EMH8GTFRCSWKMPXRRL3Y","GSON1112150404")</f>
        <v>#NAME?</v>
      </c>
      <c r="F1397" s="4" t="e">
        <f ca="1">[1]!BexGetData("DP_1","003N8EMH8GTFRCSWKMPXRRRFI","GSON1112150404")</f>
        <v>#NAME?</v>
      </c>
      <c r="G1397" s="4" t="e">
        <f ca="1">[1]!BexGetData("DP_1","003N8EMH8GTFRCSWKMPXRRXR2","GSON1112150404")</f>
        <v>#NAME?</v>
      </c>
      <c r="H1397" s="4" t="e">
        <f ca="1">[1]!BexGetData("DP_1","003N8EMH8GTFRCSWKMPXRS42M","GSON1112150404")</f>
        <v>#NAME?</v>
      </c>
      <c r="I1397" s="4" t="e">
        <f ca="1">[1]!BexGetData("DP_1","003N8EMH8GTFRCSWKMPXRSAE6","GSON1112150404")</f>
        <v>#NAME?</v>
      </c>
      <c r="J1397" s="4" t="e">
        <f ca="1">[1]!BexGetData("DP_1","003N8EMH8GTFRCSWKMPXRSGPQ","GSON1112150404")</f>
        <v>#NAME?</v>
      </c>
      <c r="K1397" s="8" t="e">
        <f ca="1">[1]!BexGetData("DP_1","003N8EMH8GTFRIVNUPY288VJH","GSON1112150404")</f>
        <v>#NAME?</v>
      </c>
      <c r="L1397" s="8" t="e">
        <f ca="1">[1]!BexGetData("DP_1","003N8EMH8GTFRIVNUPY2891V1","GSON1112150404")</f>
        <v>#NAME?</v>
      </c>
      <c r="M1397" s="8" t="e">
        <f ca="1">[1]!BexGetData("DP_1","003N8EMH8GTFRIVOG7KG9IQXA","GSON1112150404")</f>
        <v>#NAME?</v>
      </c>
      <c r="N1397" s="8" t="e">
        <f ca="1">[1]!BexGetData("DP_1","003N8EMH8GTFRIVOG7KG9IX8U","GSON1112150404")</f>
        <v>#NAME?</v>
      </c>
      <c r="O1397" s="8" t="e">
        <f ca="1">[1]!BexGetData("DP_1","003N8EMH8GTFRIVOG7KG9J3KE","GSON1112150404")</f>
        <v>#NAME?</v>
      </c>
      <c r="P1397" s="8" t="e">
        <f ca="1">[1]!BexGetData("DP_1","003N8EMH8GTFRIVOG7KG9J9VY","GSON1112150404")</f>
        <v>#NAME?</v>
      </c>
      <c r="Q1397" s="4" t="e">
        <f ca="1">[1]!BexGetData("DP_1","00O2TNJGODT0G5Z4TTKYMM5MT","GSON1112150404")</f>
        <v>#NAME?</v>
      </c>
      <c r="R1397" s="4" t="e">
        <f ca="1">[1]!BexGetData("DP_1","00O2TNJGODT0G5Z4TTKYMMBYD","GSON1112150404")</f>
        <v>#NAME?</v>
      </c>
      <c r="S1397" s="4" t="e">
        <f ca="1">[1]!BexGetData("DP_1","00O2TNJGODT0G5Z4TTKYMMI9X","GSON1112150404")</f>
        <v>#NAME?</v>
      </c>
      <c r="T1397" s="4" t="e">
        <f ca="1">[1]!BexGetData("DP_1","00O2TNJGODT0G5Z4TTKYMMOLH","GSON1112150404")</f>
        <v>#NAME?</v>
      </c>
      <c r="U1397" s="4" t="e">
        <f ca="1">[1]!BexGetData("DP_1","00O2TNJGODT0G5Z4TTKYMMUX1","GSON1112150404")</f>
        <v>#NAME?</v>
      </c>
      <c r="V1397" s="4" t="e">
        <f ca="1">[1]!BexGetData("DP_1","00O2TNJGODT0G5Z4TTKYMN18L","GSON1112150404")</f>
        <v>#NAME?</v>
      </c>
      <c r="W1397" s="4" t="e">
        <f ca="1">[1]!BexGetData("DP_1","00O2TNJGODT0G5Z4TTKYMN7K5","GSON1112150404")</f>
        <v>#NAME?</v>
      </c>
    </row>
    <row r="1398" spans="1:23" x14ac:dyDescent="0.2">
      <c r="A1398" s="16" t="s">
        <v>3801</v>
      </c>
      <c r="B1398" s="7" t="s">
        <v>3802</v>
      </c>
      <c r="C1398" s="3" t="e">
        <f ca="1">[1]!BexGetData("DP_1","003N8EMH8GTFRCSWKMPXRR8GU","GSON1112150405")</f>
        <v>#NAME?</v>
      </c>
      <c r="D1398" s="3" t="e">
        <f ca="1">[1]!BexGetData("DP_1","003N8EMH8GTFRCSWKMPXRRESE","GSON1112150405")</f>
        <v>#NAME?</v>
      </c>
      <c r="E1398" s="8" t="e">
        <f ca="1">[1]!BexGetData("DP_1","003N8EMH8GTFRCSWKMPXRRL3Y","GSON1112150405")</f>
        <v>#NAME?</v>
      </c>
      <c r="F1398" s="4" t="e">
        <f ca="1">[1]!BexGetData("DP_1","003N8EMH8GTFRCSWKMPXRRRFI","GSON1112150405")</f>
        <v>#NAME?</v>
      </c>
      <c r="G1398" s="4" t="e">
        <f ca="1">[1]!BexGetData("DP_1","003N8EMH8GTFRCSWKMPXRRXR2","GSON1112150405")</f>
        <v>#NAME?</v>
      </c>
      <c r="H1398" s="4" t="e">
        <f ca="1">[1]!BexGetData("DP_1","003N8EMH8GTFRCSWKMPXRS42M","GSON1112150405")</f>
        <v>#NAME?</v>
      </c>
      <c r="I1398" s="4" t="e">
        <f ca="1">[1]!BexGetData("DP_1","003N8EMH8GTFRCSWKMPXRSAE6","GSON1112150405")</f>
        <v>#NAME?</v>
      </c>
      <c r="J1398" s="4" t="e">
        <f ca="1">[1]!BexGetData("DP_1","003N8EMH8GTFRCSWKMPXRSGPQ","GSON1112150405")</f>
        <v>#NAME?</v>
      </c>
      <c r="K1398" s="8" t="e">
        <f ca="1">[1]!BexGetData("DP_1","003N8EMH8GTFRIVNUPY288VJH","GSON1112150405")</f>
        <v>#NAME?</v>
      </c>
      <c r="L1398" s="8" t="e">
        <f ca="1">[1]!BexGetData("DP_1","003N8EMH8GTFRIVNUPY2891V1","GSON1112150405")</f>
        <v>#NAME?</v>
      </c>
      <c r="M1398" s="8" t="e">
        <f ca="1">[1]!BexGetData("DP_1","003N8EMH8GTFRIVOG7KG9IQXA","GSON1112150405")</f>
        <v>#NAME?</v>
      </c>
      <c r="N1398" s="8" t="e">
        <f ca="1">[1]!BexGetData("DP_1","003N8EMH8GTFRIVOG7KG9IX8U","GSON1112150405")</f>
        <v>#NAME?</v>
      </c>
      <c r="O1398" s="8" t="e">
        <f ca="1">[1]!BexGetData("DP_1","003N8EMH8GTFRIVOG7KG9J3KE","GSON1112150405")</f>
        <v>#NAME?</v>
      </c>
      <c r="P1398" s="8" t="e">
        <f ca="1">[1]!BexGetData("DP_1","003N8EMH8GTFRIVOG7KG9J9VY","GSON1112150405")</f>
        <v>#NAME?</v>
      </c>
      <c r="Q1398" s="4" t="e">
        <f ca="1">[1]!BexGetData("DP_1","00O2TNJGODT0G5Z4TTKYMM5MT","GSON1112150405")</f>
        <v>#NAME?</v>
      </c>
      <c r="R1398" s="4" t="e">
        <f ca="1">[1]!BexGetData("DP_1","00O2TNJGODT0G5Z4TTKYMMBYD","GSON1112150405")</f>
        <v>#NAME?</v>
      </c>
      <c r="S1398" s="4" t="e">
        <f ca="1">[1]!BexGetData("DP_1","00O2TNJGODT0G5Z4TTKYMMI9X","GSON1112150405")</f>
        <v>#NAME?</v>
      </c>
      <c r="T1398" s="4" t="e">
        <f ca="1">[1]!BexGetData("DP_1","00O2TNJGODT0G5Z4TTKYMMOLH","GSON1112150405")</f>
        <v>#NAME?</v>
      </c>
      <c r="U1398" s="4" t="e">
        <f ca="1">[1]!BexGetData("DP_1","00O2TNJGODT0G5Z4TTKYMMUX1","GSON1112150405")</f>
        <v>#NAME?</v>
      </c>
      <c r="V1398" s="4" t="e">
        <f ca="1">[1]!BexGetData("DP_1","00O2TNJGODT0G5Z4TTKYMN18L","GSON1112150405")</f>
        <v>#NAME?</v>
      </c>
      <c r="W1398" s="4" t="e">
        <f ca="1">[1]!BexGetData("DP_1","00O2TNJGODT0G5Z4TTKYMN7K5","GSON1112150405")</f>
        <v>#NAME?</v>
      </c>
    </row>
    <row r="1399" spans="1:23" x14ac:dyDescent="0.2">
      <c r="A1399" s="16" t="s">
        <v>3803</v>
      </c>
      <c r="B1399" s="7" t="s">
        <v>3804</v>
      </c>
      <c r="C1399" s="8" t="e">
        <f ca="1">[1]!BexGetData("DP_1","003N8EMH8GTFRCSWKMPXRR8GU","GSON1112150410")</f>
        <v>#NAME?</v>
      </c>
      <c r="D1399" s="3" t="e">
        <f ca="1">[1]!BexGetData("DP_1","003N8EMH8GTFRCSWKMPXRRESE","GSON1112150410")</f>
        <v>#NAME?</v>
      </c>
      <c r="E1399" s="3" t="e">
        <f ca="1">[1]!BexGetData("DP_1","003N8EMH8GTFRCSWKMPXRRL3Y","GSON1112150410")</f>
        <v>#NAME?</v>
      </c>
      <c r="F1399" s="3" t="e">
        <f ca="1">[1]!BexGetData("DP_1","003N8EMH8GTFRCSWKMPXRRRFI","GSON1112150410")</f>
        <v>#NAME?</v>
      </c>
      <c r="G1399" s="3" t="e">
        <f ca="1">[1]!BexGetData("DP_1","003N8EMH8GTFRCSWKMPXRRXR2","GSON1112150410")</f>
        <v>#NAME?</v>
      </c>
      <c r="H1399" s="8" t="e">
        <f ca="1">[1]!BexGetData("DP_1","003N8EMH8GTFRCSWKMPXRS42M","GSON1112150410")</f>
        <v>#NAME?</v>
      </c>
      <c r="I1399" s="3" t="e">
        <f ca="1">[1]!BexGetData("DP_1","003N8EMH8GTFRCSWKMPXRSAE6","GSON1112150410")</f>
        <v>#NAME?</v>
      </c>
      <c r="J1399" s="4" t="e">
        <f ca="1">[1]!BexGetData("DP_1","003N8EMH8GTFRCSWKMPXRSGPQ","GSON1112150410")</f>
        <v>#NAME?</v>
      </c>
      <c r="K1399" s="3" t="e">
        <f ca="1">[1]!BexGetData("DP_1","003N8EMH8GTFRIVNUPY288VJH","GSON1112150410")</f>
        <v>#NAME?</v>
      </c>
      <c r="L1399" s="3" t="e">
        <f ca="1">[1]!BexGetData("DP_1","003N8EMH8GTFRIVNUPY2891V1","GSON1112150410")</f>
        <v>#NAME?</v>
      </c>
      <c r="M1399" s="3" t="e">
        <f ca="1">[1]!BexGetData("DP_1","003N8EMH8GTFRIVOG7KG9IQXA","GSON1112150410")</f>
        <v>#NAME?</v>
      </c>
      <c r="N1399" s="8" t="e">
        <f ca="1">[1]!BexGetData("DP_1","003N8EMH8GTFRIVOG7KG9IX8U","GSON1112150410")</f>
        <v>#NAME?</v>
      </c>
      <c r="O1399" s="3" t="e">
        <f ca="1">[1]!BexGetData("DP_1","003N8EMH8GTFRIVOG7KG9J3KE","GSON1112150410")</f>
        <v>#NAME?</v>
      </c>
      <c r="P1399" s="8" t="e">
        <f ca="1">[1]!BexGetData("DP_1","003N8EMH8GTFRIVOG7KG9J9VY","GSON1112150410")</f>
        <v>#NAME?</v>
      </c>
      <c r="Q1399" s="4" t="e">
        <f ca="1">[1]!BexGetData("DP_1","00O2TNJGODT0G5Z4TTKYMM5MT","GSON1112150410")</f>
        <v>#NAME?</v>
      </c>
      <c r="R1399" s="3" t="e">
        <f ca="1">[1]!BexGetData("DP_1","00O2TNJGODT0G5Z4TTKYMMBYD","GSON1112150410")</f>
        <v>#NAME?</v>
      </c>
      <c r="S1399" s="3" t="e">
        <f ca="1">[1]!BexGetData("DP_1","00O2TNJGODT0G5Z4TTKYMMI9X","GSON1112150410")</f>
        <v>#NAME?</v>
      </c>
      <c r="T1399" s="8" t="e">
        <f ca="1">[1]!BexGetData("DP_1","00O2TNJGODT0G5Z4TTKYMMOLH","GSON1112150410")</f>
        <v>#NAME?</v>
      </c>
      <c r="U1399" s="3" t="e">
        <f ca="1">[1]!BexGetData("DP_1","00O2TNJGODT0G5Z4TTKYMMUX1","GSON1112150410")</f>
        <v>#NAME?</v>
      </c>
      <c r="V1399" s="8" t="e">
        <f ca="1">[1]!BexGetData("DP_1","00O2TNJGODT0G5Z4TTKYMN18L","GSON1112150410")</f>
        <v>#NAME?</v>
      </c>
      <c r="W1399" s="3" t="e">
        <f ca="1">[1]!BexGetData("DP_1","00O2TNJGODT0G5Z4TTKYMN7K5","GSON1112150410")</f>
        <v>#NAME?</v>
      </c>
    </row>
    <row r="1400" spans="1:23" x14ac:dyDescent="0.2">
      <c r="A1400" s="16" t="s">
        <v>3805</v>
      </c>
      <c r="B1400" s="7" t="s">
        <v>3806</v>
      </c>
      <c r="C1400" s="3" t="e">
        <f ca="1">[1]!BexGetData("DP_1","003N8EMH8GTFRCSWKMPXRR8GU","GSON1112150414")</f>
        <v>#NAME?</v>
      </c>
      <c r="D1400" s="3" t="e">
        <f ca="1">[1]!BexGetData("DP_1","003N8EMH8GTFRCSWKMPXRRESE","GSON1112150414")</f>
        <v>#NAME?</v>
      </c>
      <c r="E1400" s="8" t="e">
        <f ca="1">[1]!BexGetData("DP_1","003N8EMH8GTFRCSWKMPXRRL3Y","GSON1112150414")</f>
        <v>#NAME?</v>
      </c>
      <c r="F1400" s="4" t="e">
        <f ca="1">[1]!BexGetData("DP_1","003N8EMH8GTFRCSWKMPXRRRFI","GSON1112150414")</f>
        <v>#NAME?</v>
      </c>
      <c r="G1400" s="4" t="e">
        <f ca="1">[1]!BexGetData("DP_1","003N8EMH8GTFRCSWKMPXRRXR2","GSON1112150414")</f>
        <v>#NAME?</v>
      </c>
      <c r="H1400" s="4" t="e">
        <f ca="1">[1]!BexGetData("DP_1","003N8EMH8GTFRCSWKMPXRS42M","GSON1112150414")</f>
        <v>#NAME?</v>
      </c>
      <c r="I1400" s="4" t="e">
        <f ca="1">[1]!BexGetData("DP_1","003N8EMH8GTFRCSWKMPXRSAE6","GSON1112150414")</f>
        <v>#NAME?</v>
      </c>
      <c r="J1400" s="4" t="e">
        <f ca="1">[1]!BexGetData("DP_1","003N8EMH8GTFRCSWKMPXRSGPQ","GSON1112150414")</f>
        <v>#NAME?</v>
      </c>
      <c r="K1400" s="8" t="e">
        <f ca="1">[1]!BexGetData("DP_1","003N8EMH8GTFRIVNUPY288VJH","GSON1112150414")</f>
        <v>#NAME?</v>
      </c>
      <c r="L1400" s="8" t="e">
        <f ca="1">[1]!BexGetData("DP_1","003N8EMH8GTFRIVNUPY2891V1","GSON1112150414")</f>
        <v>#NAME?</v>
      </c>
      <c r="M1400" s="8" t="e">
        <f ca="1">[1]!BexGetData("DP_1","003N8EMH8GTFRIVOG7KG9IQXA","GSON1112150414")</f>
        <v>#NAME?</v>
      </c>
      <c r="N1400" s="8" t="e">
        <f ca="1">[1]!BexGetData("DP_1","003N8EMH8GTFRIVOG7KG9IX8U","GSON1112150414")</f>
        <v>#NAME?</v>
      </c>
      <c r="O1400" s="8" t="e">
        <f ca="1">[1]!BexGetData("DP_1","003N8EMH8GTFRIVOG7KG9J3KE","GSON1112150414")</f>
        <v>#NAME?</v>
      </c>
      <c r="P1400" s="8" t="e">
        <f ca="1">[1]!BexGetData("DP_1","003N8EMH8GTFRIVOG7KG9J9VY","GSON1112150414")</f>
        <v>#NAME?</v>
      </c>
      <c r="Q1400" s="4" t="e">
        <f ca="1">[1]!BexGetData("DP_1","00O2TNJGODT0G5Z4TTKYMM5MT","GSON1112150414")</f>
        <v>#NAME?</v>
      </c>
      <c r="R1400" s="4" t="e">
        <f ca="1">[1]!BexGetData("DP_1","00O2TNJGODT0G5Z4TTKYMMBYD","GSON1112150414")</f>
        <v>#NAME?</v>
      </c>
      <c r="S1400" s="4" t="e">
        <f ca="1">[1]!BexGetData("DP_1","00O2TNJGODT0G5Z4TTKYMMI9X","GSON1112150414")</f>
        <v>#NAME?</v>
      </c>
      <c r="T1400" s="4" t="e">
        <f ca="1">[1]!BexGetData("DP_1","00O2TNJGODT0G5Z4TTKYMMOLH","GSON1112150414")</f>
        <v>#NAME?</v>
      </c>
      <c r="U1400" s="4" t="e">
        <f ca="1">[1]!BexGetData("DP_1","00O2TNJGODT0G5Z4TTKYMMUX1","GSON1112150414")</f>
        <v>#NAME?</v>
      </c>
      <c r="V1400" s="4" t="e">
        <f ca="1">[1]!BexGetData("DP_1","00O2TNJGODT0G5Z4TTKYMN18L","GSON1112150414")</f>
        <v>#NAME?</v>
      </c>
      <c r="W1400" s="4" t="e">
        <f ca="1">[1]!BexGetData("DP_1","00O2TNJGODT0G5Z4TTKYMN7K5","GSON1112150414")</f>
        <v>#NAME?</v>
      </c>
    </row>
    <row r="1401" spans="1:23" x14ac:dyDescent="0.2">
      <c r="A1401" s="16" t="s">
        <v>3807</v>
      </c>
      <c r="B1401" s="7" t="s">
        <v>3808</v>
      </c>
      <c r="C1401" s="3" t="e">
        <f ca="1">[1]!BexGetData("DP_1","003N8EMH8GTFRCSWKMPXRR8GU","GSON1112150420")</f>
        <v>#NAME?</v>
      </c>
      <c r="D1401" s="3" t="e">
        <f ca="1">[1]!BexGetData("DP_1","003N8EMH8GTFRCSWKMPXRRESE","GSON1112150420")</f>
        <v>#NAME?</v>
      </c>
      <c r="E1401" s="3" t="e">
        <f ca="1">[1]!BexGetData("DP_1","003N8EMH8GTFRCSWKMPXRRL3Y","GSON1112150420")</f>
        <v>#NAME?</v>
      </c>
      <c r="F1401" s="3" t="e">
        <f ca="1">[1]!BexGetData("DP_1","003N8EMH8GTFRCSWKMPXRRRFI","GSON1112150420")</f>
        <v>#NAME?</v>
      </c>
      <c r="G1401" s="3" t="e">
        <f ca="1">[1]!BexGetData("DP_1","003N8EMH8GTFRCSWKMPXRRXR2","GSON1112150420")</f>
        <v>#NAME?</v>
      </c>
      <c r="H1401" s="8" t="e">
        <f ca="1">[1]!BexGetData("DP_1","003N8EMH8GTFRCSWKMPXRS42M","GSON1112150420")</f>
        <v>#NAME?</v>
      </c>
      <c r="I1401" s="3" t="e">
        <f ca="1">[1]!BexGetData("DP_1","003N8EMH8GTFRCSWKMPXRSAE6","GSON1112150420")</f>
        <v>#NAME?</v>
      </c>
      <c r="J1401" s="4" t="e">
        <f ca="1">[1]!BexGetData("DP_1","003N8EMH8GTFRCSWKMPXRSGPQ","GSON1112150420")</f>
        <v>#NAME?</v>
      </c>
      <c r="K1401" s="3" t="e">
        <f ca="1">[1]!BexGetData("DP_1","003N8EMH8GTFRIVNUPY288VJH","GSON1112150420")</f>
        <v>#NAME?</v>
      </c>
      <c r="L1401" s="3" t="e">
        <f ca="1">[1]!BexGetData("DP_1","003N8EMH8GTFRIVNUPY2891V1","GSON1112150420")</f>
        <v>#NAME?</v>
      </c>
      <c r="M1401" s="3" t="e">
        <f ca="1">[1]!BexGetData("DP_1","003N8EMH8GTFRIVOG7KG9IQXA","GSON1112150420")</f>
        <v>#NAME?</v>
      </c>
      <c r="N1401" s="8" t="e">
        <f ca="1">[1]!BexGetData("DP_1","003N8EMH8GTFRIVOG7KG9IX8U","GSON1112150420")</f>
        <v>#NAME?</v>
      </c>
      <c r="O1401" s="3" t="e">
        <f ca="1">[1]!BexGetData("DP_1","003N8EMH8GTFRIVOG7KG9J3KE","GSON1112150420")</f>
        <v>#NAME?</v>
      </c>
      <c r="P1401" s="8" t="e">
        <f ca="1">[1]!BexGetData("DP_1","003N8EMH8GTFRIVOG7KG9J9VY","GSON1112150420")</f>
        <v>#NAME?</v>
      </c>
      <c r="Q1401" s="4" t="e">
        <f ca="1">[1]!BexGetData("DP_1","00O2TNJGODT0G5Z4TTKYMM5MT","GSON1112150420")</f>
        <v>#NAME?</v>
      </c>
      <c r="R1401" s="3" t="e">
        <f ca="1">[1]!BexGetData("DP_1","00O2TNJGODT0G5Z4TTKYMMBYD","GSON1112150420")</f>
        <v>#NAME?</v>
      </c>
      <c r="S1401" s="3" t="e">
        <f ca="1">[1]!BexGetData("DP_1","00O2TNJGODT0G5Z4TTKYMMI9X","GSON1112150420")</f>
        <v>#NAME?</v>
      </c>
      <c r="T1401" s="8" t="e">
        <f ca="1">[1]!BexGetData("DP_1","00O2TNJGODT0G5Z4TTKYMMOLH","GSON1112150420")</f>
        <v>#NAME?</v>
      </c>
      <c r="U1401" s="3" t="e">
        <f ca="1">[1]!BexGetData("DP_1","00O2TNJGODT0G5Z4TTKYMMUX1","GSON1112150420")</f>
        <v>#NAME?</v>
      </c>
      <c r="V1401" s="8" t="e">
        <f ca="1">[1]!BexGetData("DP_1","00O2TNJGODT0G5Z4TTKYMN18L","GSON1112150420")</f>
        <v>#NAME?</v>
      </c>
      <c r="W1401" s="3" t="e">
        <f ca="1">[1]!BexGetData("DP_1","00O2TNJGODT0G5Z4TTKYMN7K5","GSON1112150420")</f>
        <v>#NAME?</v>
      </c>
    </row>
    <row r="1402" spans="1:23" x14ac:dyDescent="0.2">
      <c r="A1402" s="16" t="s">
        <v>3809</v>
      </c>
      <c r="B1402" s="7" t="s">
        <v>3810</v>
      </c>
      <c r="C1402" s="3" t="e">
        <f ca="1">[1]!BexGetData("DP_1","003N8EMH8GTFRCSWKMPXRR8GU","GSON1112150421")</f>
        <v>#NAME?</v>
      </c>
      <c r="D1402" s="3" t="e">
        <f ca="1">[1]!BexGetData("DP_1","003N8EMH8GTFRCSWKMPXRRESE","GSON1112150421")</f>
        <v>#NAME?</v>
      </c>
      <c r="E1402" s="8" t="e">
        <f ca="1">[1]!BexGetData("DP_1","003N8EMH8GTFRCSWKMPXRRL3Y","GSON1112150421")</f>
        <v>#NAME?</v>
      </c>
      <c r="F1402" s="4" t="e">
        <f ca="1">[1]!BexGetData("DP_1","003N8EMH8GTFRCSWKMPXRRRFI","GSON1112150421")</f>
        <v>#NAME?</v>
      </c>
      <c r="G1402" s="4" t="e">
        <f ca="1">[1]!BexGetData("DP_1","003N8EMH8GTFRCSWKMPXRRXR2","GSON1112150421")</f>
        <v>#NAME?</v>
      </c>
      <c r="H1402" s="4" t="e">
        <f ca="1">[1]!BexGetData("DP_1","003N8EMH8GTFRCSWKMPXRS42M","GSON1112150421")</f>
        <v>#NAME?</v>
      </c>
      <c r="I1402" s="4" t="e">
        <f ca="1">[1]!BexGetData("DP_1","003N8EMH8GTFRCSWKMPXRSAE6","GSON1112150421")</f>
        <v>#NAME?</v>
      </c>
      <c r="J1402" s="4" t="e">
        <f ca="1">[1]!BexGetData("DP_1","003N8EMH8GTFRCSWKMPXRSGPQ","GSON1112150421")</f>
        <v>#NAME?</v>
      </c>
      <c r="K1402" s="8" t="e">
        <f ca="1">[1]!BexGetData("DP_1","003N8EMH8GTFRIVNUPY288VJH","GSON1112150421")</f>
        <v>#NAME?</v>
      </c>
      <c r="L1402" s="8" t="e">
        <f ca="1">[1]!BexGetData("DP_1","003N8EMH8GTFRIVNUPY2891V1","GSON1112150421")</f>
        <v>#NAME?</v>
      </c>
      <c r="M1402" s="8" t="e">
        <f ca="1">[1]!BexGetData("DP_1","003N8EMH8GTFRIVOG7KG9IQXA","GSON1112150421")</f>
        <v>#NAME?</v>
      </c>
      <c r="N1402" s="8" t="e">
        <f ca="1">[1]!BexGetData("DP_1","003N8EMH8GTFRIVOG7KG9IX8U","GSON1112150421")</f>
        <v>#NAME?</v>
      </c>
      <c r="O1402" s="8" t="e">
        <f ca="1">[1]!BexGetData("DP_1","003N8EMH8GTFRIVOG7KG9J3KE","GSON1112150421")</f>
        <v>#NAME?</v>
      </c>
      <c r="P1402" s="8" t="e">
        <f ca="1">[1]!BexGetData("DP_1","003N8EMH8GTFRIVOG7KG9J9VY","GSON1112150421")</f>
        <v>#NAME?</v>
      </c>
      <c r="Q1402" s="4" t="e">
        <f ca="1">[1]!BexGetData("DP_1","00O2TNJGODT0G5Z4TTKYMM5MT","GSON1112150421")</f>
        <v>#NAME?</v>
      </c>
      <c r="R1402" s="4" t="e">
        <f ca="1">[1]!BexGetData("DP_1","00O2TNJGODT0G5Z4TTKYMMBYD","GSON1112150421")</f>
        <v>#NAME?</v>
      </c>
      <c r="S1402" s="4" t="e">
        <f ca="1">[1]!BexGetData("DP_1","00O2TNJGODT0G5Z4TTKYMMI9X","GSON1112150421")</f>
        <v>#NAME?</v>
      </c>
      <c r="T1402" s="4" t="e">
        <f ca="1">[1]!BexGetData("DP_1","00O2TNJGODT0G5Z4TTKYMMOLH","GSON1112150421")</f>
        <v>#NAME?</v>
      </c>
      <c r="U1402" s="4" t="e">
        <f ca="1">[1]!BexGetData("DP_1","00O2TNJGODT0G5Z4TTKYMMUX1","GSON1112150421")</f>
        <v>#NAME?</v>
      </c>
      <c r="V1402" s="4" t="e">
        <f ca="1">[1]!BexGetData("DP_1","00O2TNJGODT0G5Z4TTKYMN18L","GSON1112150421")</f>
        <v>#NAME?</v>
      </c>
      <c r="W1402" s="4" t="e">
        <f ca="1">[1]!BexGetData("DP_1","00O2TNJGODT0G5Z4TTKYMN7K5","GSON1112150421")</f>
        <v>#NAME?</v>
      </c>
    </row>
    <row r="1403" spans="1:23" x14ac:dyDescent="0.2">
      <c r="A1403" s="16" t="s">
        <v>3811</v>
      </c>
      <c r="B1403" s="7" t="s">
        <v>3812</v>
      </c>
      <c r="C1403" s="3" t="e">
        <f ca="1">[1]!BexGetData("DP_1","003N8EMH8GTFRCSWKMPXRR8GU","GSON1112150423")</f>
        <v>#NAME?</v>
      </c>
      <c r="D1403" s="3" t="e">
        <f ca="1">[1]!BexGetData("DP_1","003N8EMH8GTFRCSWKMPXRRESE","GSON1112150423")</f>
        <v>#NAME?</v>
      </c>
      <c r="E1403" s="8" t="e">
        <f ca="1">[1]!BexGetData("DP_1","003N8EMH8GTFRCSWKMPXRRL3Y","GSON1112150423")</f>
        <v>#NAME?</v>
      </c>
      <c r="F1403" s="4" t="e">
        <f ca="1">[1]!BexGetData("DP_1","003N8EMH8GTFRCSWKMPXRRRFI","GSON1112150423")</f>
        <v>#NAME?</v>
      </c>
      <c r="G1403" s="4" t="e">
        <f ca="1">[1]!BexGetData("DP_1","003N8EMH8GTFRCSWKMPXRRXR2","GSON1112150423")</f>
        <v>#NAME?</v>
      </c>
      <c r="H1403" s="4" t="e">
        <f ca="1">[1]!BexGetData("DP_1","003N8EMH8GTFRCSWKMPXRS42M","GSON1112150423")</f>
        <v>#NAME?</v>
      </c>
      <c r="I1403" s="4" t="e">
        <f ca="1">[1]!BexGetData("DP_1","003N8EMH8GTFRCSWKMPXRSAE6","GSON1112150423")</f>
        <v>#NAME?</v>
      </c>
      <c r="J1403" s="4" t="e">
        <f ca="1">[1]!BexGetData("DP_1","003N8EMH8GTFRCSWKMPXRSGPQ","GSON1112150423")</f>
        <v>#NAME?</v>
      </c>
      <c r="K1403" s="8" t="e">
        <f ca="1">[1]!BexGetData("DP_1","003N8EMH8GTFRIVNUPY288VJH","GSON1112150423")</f>
        <v>#NAME?</v>
      </c>
      <c r="L1403" s="8" t="e">
        <f ca="1">[1]!BexGetData("DP_1","003N8EMH8GTFRIVNUPY2891V1","GSON1112150423")</f>
        <v>#NAME?</v>
      </c>
      <c r="M1403" s="8" t="e">
        <f ca="1">[1]!BexGetData("DP_1","003N8EMH8GTFRIVOG7KG9IQXA","GSON1112150423")</f>
        <v>#NAME?</v>
      </c>
      <c r="N1403" s="8" t="e">
        <f ca="1">[1]!BexGetData("DP_1","003N8EMH8GTFRIVOG7KG9IX8U","GSON1112150423")</f>
        <v>#NAME?</v>
      </c>
      <c r="O1403" s="8" t="e">
        <f ca="1">[1]!BexGetData("DP_1","003N8EMH8GTFRIVOG7KG9J3KE","GSON1112150423")</f>
        <v>#NAME?</v>
      </c>
      <c r="P1403" s="8" t="e">
        <f ca="1">[1]!BexGetData("DP_1","003N8EMH8GTFRIVOG7KG9J9VY","GSON1112150423")</f>
        <v>#NAME?</v>
      </c>
      <c r="Q1403" s="4" t="e">
        <f ca="1">[1]!BexGetData("DP_1","00O2TNJGODT0G5Z4TTKYMM5MT","GSON1112150423")</f>
        <v>#NAME?</v>
      </c>
      <c r="R1403" s="4" t="e">
        <f ca="1">[1]!BexGetData("DP_1","00O2TNJGODT0G5Z4TTKYMMBYD","GSON1112150423")</f>
        <v>#NAME?</v>
      </c>
      <c r="S1403" s="4" t="e">
        <f ca="1">[1]!BexGetData("DP_1","00O2TNJGODT0G5Z4TTKYMMI9X","GSON1112150423")</f>
        <v>#NAME?</v>
      </c>
      <c r="T1403" s="4" t="e">
        <f ca="1">[1]!BexGetData("DP_1","00O2TNJGODT0G5Z4TTKYMMOLH","GSON1112150423")</f>
        <v>#NAME?</v>
      </c>
      <c r="U1403" s="4" t="e">
        <f ca="1">[1]!BexGetData("DP_1","00O2TNJGODT0G5Z4TTKYMMUX1","GSON1112150423")</f>
        <v>#NAME?</v>
      </c>
      <c r="V1403" s="4" t="e">
        <f ca="1">[1]!BexGetData("DP_1","00O2TNJGODT0G5Z4TTKYMN18L","GSON1112150423")</f>
        <v>#NAME?</v>
      </c>
      <c r="W1403" s="4" t="e">
        <f ca="1">[1]!BexGetData("DP_1","00O2TNJGODT0G5Z4TTKYMN7K5","GSON1112150423")</f>
        <v>#NAME?</v>
      </c>
    </row>
    <row r="1404" spans="1:23" x14ac:dyDescent="0.2">
      <c r="A1404" s="16" t="s">
        <v>3813</v>
      </c>
      <c r="B1404" s="7" t="s">
        <v>3814</v>
      </c>
      <c r="C1404" s="3" t="e">
        <f ca="1">[1]!BexGetData("DP_1","003N8EMH8GTFRCSWKMPXRR8GU","GSON1112150424")</f>
        <v>#NAME?</v>
      </c>
      <c r="D1404" s="3" t="e">
        <f ca="1">[1]!BexGetData("DP_1","003N8EMH8GTFRCSWKMPXRRESE","GSON1112150424")</f>
        <v>#NAME?</v>
      </c>
      <c r="E1404" s="8" t="e">
        <f ca="1">[1]!BexGetData("DP_1","003N8EMH8GTFRCSWKMPXRRL3Y","GSON1112150424")</f>
        <v>#NAME?</v>
      </c>
      <c r="F1404" s="4" t="e">
        <f ca="1">[1]!BexGetData("DP_1","003N8EMH8GTFRCSWKMPXRRRFI","GSON1112150424")</f>
        <v>#NAME?</v>
      </c>
      <c r="G1404" s="4" t="e">
        <f ca="1">[1]!BexGetData("DP_1","003N8EMH8GTFRCSWKMPXRRXR2","GSON1112150424")</f>
        <v>#NAME?</v>
      </c>
      <c r="H1404" s="4" t="e">
        <f ca="1">[1]!BexGetData("DP_1","003N8EMH8GTFRCSWKMPXRS42M","GSON1112150424")</f>
        <v>#NAME?</v>
      </c>
      <c r="I1404" s="4" t="e">
        <f ca="1">[1]!BexGetData("DP_1","003N8EMH8GTFRCSWKMPXRSAE6","GSON1112150424")</f>
        <v>#NAME?</v>
      </c>
      <c r="J1404" s="4" t="e">
        <f ca="1">[1]!BexGetData("DP_1","003N8EMH8GTFRCSWKMPXRSGPQ","GSON1112150424")</f>
        <v>#NAME?</v>
      </c>
      <c r="K1404" s="8" t="e">
        <f ca="1">[1]!BexGetData("DP_1","003N8EMH8GTFRIVNUPY288VJH","GSON1112150424")</f>
        <v>#NAME?</v>
      </c>
      <c r="L1404" s="8" t="e">
        <f ca="1">[1]!BexGetData("DP_1","003N8EMH8GTFRIVNUPY2891V1","GSON1112150424")</f>
        <v>#NAME?</v>
      </c>
      <c r="M1404" s="8" t="e">
        <f ca="1">[1]!BexGetData("DP_1","003N8EMH8GTFRIVOG7KG9IQXA","GSON1112150424")</f>
        <v>#NAME?</v>
      </c>
      <c r="N1404" s="8" t="e">
        <f ca="1">[1]!BexGetData("DP_1","003N8EMH8GTFRIVOG7KG9IX8U","GSON1112150424")</f>
        <v>#NAME?</v>
      </c>
      <c r="O1404" s="8" t="e">
        <f ca="1">[1]!BexGetData("DP_1","003N8EMH8GTFRIVOG7KG9J3KE","GSON1112150424")</f>
        <v>#NAME?</v>
      </c>
      <c r="P1404" s="8" t="e">
        <f ca="1">[1]!BexGetData("DP_1","003N8EMH8GTFRIVOG7KG9J9VY","GSON1112150424")</f>
        <v>#NAME?</v>
      </c>
      <c r="Q1404" s="4" t="e">
        <f ca="1">[1]!BexGetData("DP_1","00O2TNJGODT0G5Z4TTKYMM5MT","GSON1112150424")</f>
        <v>#NAME?</v>
      </c>
      <c r="R1404" s="4" t="e">
        <f ca="1">[1]!BexGetData("DP_1","00O2TNJGODT0G5Z4TTKYMMBYD","GSON1112150424")</f>
        <v>#NAME?</v>
      </c>
      <c r="S1404" s="4" t="e">
        <f ca="1">[1]!BexGetData("DP_1","00O2TNJGODT0G5Z4TTKYMMI9X","GSON1112150424")</f>
        <v>#NAME?</v>
      </c>
      <c r="T1404" s="4" t="e">
        <f ca="1">[1]!BexGetData("DP_1","00O2TNJGODT0G5Z4TTKYMMOLH","GSON1112150424")</f>
        <v>#NAME?</v>
      </c>
      <c r="U1404" s="4" t="e">
        <f ca="1">[1]!BexGetData("DP_1","00O2TNJGODT0G5Z4TTKYMMUX1","GSON1112150424")</f>
        <v>#NAME?</v>
      </c>
      <c r="V1404" s="4" t="e">
        <f ca="1">[1]!BexGetData("DP_1","00O2TNJGODT0G5Z4TTKYMN18L","GSON1112150424")</f>
        <v>#NAME?</v>
      </c>
      <c r="W1404" s="4" t="e">
        <f ca="1">[1]!BexGetData("DP_1","00O2TNJGODT0G5Z4TTKYMN7K5","GSON1112150424")</f>
        <v>#NAME?</v>
      </c>
    </row>
    <row r="1405" spans="1:23" x14ac:dyDescent="0.2">
      <c r="A1405" s="16" t="s">
        <v>3815</v>
      </c>
      <c r="B1405" s="7" t="s">
        <v>3816</v>
      </c>
      <c r="C1405" s="3" t="e">
        <f ca="1">[1]!BexGetData("DP_1","003N8EMH8GTFRCSWKMPXRR8GU","GSON1112150425")</f>
        <v>#NAME?</v>
      </c>
      <c r="D1405" s="3" t="e">
        <f ca="1">[1]!BexGetData("DP_1","003N8EMH8GTFRCSWKMPXRRESE","GSON1112150425")</f>
        <v>#NAME?</v>
      </c>
      <c r="E1405" s="8" t="e">
        <f ca="1">[1]!BexGetData("DP_1","003N8EMH8GTFRCSWKMPXRRL3Y","GSON1112150425")</f>
        <v>#NAME?</v>
      </c>
      <c r="F1405" s="4" t="e">
        <f ca="1">[1]!BexGetData("DP_1","003N8EMH8GTFRCSWKMPXRRRFI","GSON1112150425")</f>
        <v>#NAME?</v>
      </c>
      <c r="G1405" s="4" t="e">
        <f ca="1">[1]!BexGetData("DP_1","003N8EMH8GTFRCSWKMPXRRXR2","GSON1112150425")</f>
        <v>#NAME?</v>
      </c>
      <c r="H1405" s="4" t="e">
        <f ca="1">[1]!BexGetData("DP_1","003N8EMH8GTFRCSWKMPXRS42M","GSON1112150425")</f>
        <v>#NAME?</v>
      </c>
      <c r="I1405" s="4" t="e">
        <f ca="1">[1]!BexGetData("DP_1","003N8EMH8GTFRCSWKMPXRSAE6","GSON1112150425")</f>
        <v>#NAME?</v>
      </c>
      <c r="J1405" s="4" t="e">
        <f ca="1">[1]!BexGetData("DP_1","003N8EMH8GTFRCSWKMPXRSGPQ","GSON1112150425")</f>
        <v>#NAME?</v>
      </c>
      <c r="K1405" s="8" t="e">
        <f ca="1">[1]!BexGetData("DP_1","003N8EMH8GTFRIVNUPY288VJH","GSON1112150425")</f>
        <v>#NAME?</v>
      </c>
      <c r="L1405" s="8" t="e">
        <f ca="1">[1]!BexGetData("DP_1","003N8EMH8GTFRIVNUPY2891V1","GSON1112150425")</f>
        <v>#NAME?</v>
      </c>
      <c r="M1405" s="8" t="e">
        <f ca="1">[1]!BexGetData("DP_1","003N8EMH8GTFRIVOG7KG9IQXA","GSON1112150425")</f>
        <v>#NAME?</v>
      </c>
      <c r="N1405" s="8" t="e">
        <f ca="1">[1]!BexGetData("DP_1","003N8EMH8GTFRIVOG7KG9IX8U","GSON1112150425")</f>
        <v>#NAME?</v>
      </c>
      <c r="O1405" s="8" t="e">
        <f ca="1">[1]!BexGetData("DP_1","003N8EMH8GTFRIVOG7KG9J3KE","GSON1112150425")</f>
        <v>#NAME?</v>
      </c>
      <c r="P1405" s="8" t="e">
        <f ca="1">[1]!BexGetData("DP_1","003N8EMH8GTFRIVOG7KG9J9VY","GSON1112150425")</f>
        <v>#NAME?</v>
      </c>
      <c r="Q1405" s="4" t="e">
        <f ca="1">[1]!BexGetData("DP_1","00O2TNJGODT0G5Z4TTKYMM5MT","GSON1112150425")</f>
        <v>#NAME?</v>
      </c>
      <c r="R1405" s="4" t="e">
        <f ca="1">[1]!BexGetData("DP_1","00O2TNJGODT0G5Z4TTKYMMBYD","GSON1112150425")</f>
        <v>#NAME?</v>
      </c>
      <c r="S1405" s="4" t="e">
        <f ca="1">[1]!BexGetData("DP_1","00O2TNJGODT0G5Z4TTKYMMI9X","GSON1112150425")</f>
        <v>#NAME?</v>
      </c>
      <c r="T1405" s="4" t="e">
        <f ca="1">[1]!BexGetData("DP_1","00O2TNJGODT0G5Z4TTKYMMOLH","GSON1112150425")</f>
        <v>#NAME?</v>
      </c>
      <c r="U1405" s="4" t="e">
        <f ca="1">[1]!BexGetData("DP_1","00O2TNJGODT0G5Z4TTKYMMUX1","GSON1112150425")</f>
        <v>#NAME?</v>
      </c>
      <c r="V1405" s="4" t="e">
        <f ca="1">[1]!BexGetData("DP_1","00O2TNJGODT0G5Z4TTKYMN18L","GSON1112150425")</f>
        <v>#NAME?</v>
      </c>
      <c r="W1405" s="4" t="e">
        <f ca="1">[1]!BexGetData("DP_1","00O2TNJGODT0G5Z4TTKYMN7K5","GSON1112150425")</f>
        <v>#NAME?</v>
      </c>
    </row>
    <row r="1406" spans="1:23" x14ac:dyDescent="0.2">
      <c r="A1406" s="16" t="s">
        <v>3817</v>
      </c>
      <c r="B1406" s="7" t="s">
        <v>3818</v>
      </c>
      <c r="C1406" s="3" t="e">
        <f ca="1">[1]!BexGetData("DP_1","003N8EMH8GTFRCSWKMPXRR8GU","GSON1112150450")</f>
        <v>#NAME?</v>
      </c>
      <c r="D1406" s="3" t="e">
        <f ca="1">[1]!BexGetData("DP_1","003N8EMH8GTFRCSWKMPXRRESE","GSON1112150450")</f>
        <v>#NAME?</v>
      </c>
      <c r="E1406" s="3" t="e">
        <f ca="1">[1]!BexGetData("DP_1","003N8EMH8GTFRCSWKMPXRRL3Y","GSON1112150450")</f>
        <v>#NAME?</v>
      </c>
      <c r="F1406" s="3" t="e">
        <f ca="1">[1]!BexGetData("DP_1","003N8EMH8GTFRCSWKMPXRRRFI","GSON1112150450")</f>
        <v>#NAME?</v>
      </c>
      <c r="G1406" s="3" t="e">
        <f ca="1">[1]!BexGetData("DP_1","003N8EMH8GTFRCSWKMPXRRXR2","GSON1112150450")</f>
        <v>#NAME?</v>
      </c>
      <c r="H1406" s="8" t="e">
        <f ca="1">[1]!BexGetData("DP_1","003N8EMH8GTFRCSWKMPXRS42M","GSON1112150450")</f>
        <v>#NAME?</v>
      </c>
      <c r="I1406" s="3" t="e">
        <f ca="1">[1]!BexGetData("DP_1","003N8EMH8GTFRCSWKMPXRSAE6","GSON1112150450")</f>
        <v>#NAME?</v>
      </c>
      <c r="J1406" s="4" t="e">
        <f ca="1">[1]!BexGetData("DP_1","003N8EMH8GTFRCSWKMPXRSGPQ","GSON1112150450")</f>
        <v>#NAME?</v>
      </c>
      <c r="K1406" s="3" t="e">
        <f ca="1">[1]!BexGetData("DP_1","003N8EMH8GTFRIVNUPY288VJH","GSON1112150450")</f>
        <v>#NAME?</v>
      </c>
      <c r="L1406" s="3" t="e">
        <f ca="1">[1]!BexGetData("DP_1","003N8EMH8GTFRIVNUPY2891V1","GSON1112150450")</f>
        <v>#NAME?</v>
      </c>
      <c r="M1406" s="3" t="e">
        <f ca="1">[1]!BexGetData("DP_1","003N8EMH8GTFRIVOG7KG9IQXA","GSON1112150450")</f>
        <v>#NAME?</v>
      </c>
      <c r="N1406" s="8" t="e">
        <f ca="1">[1]!BexGetData("DP_1","003N8EMH8GTFRIVOG7KG9IX8U","GSON1112150450")</f>
        <v>#NAME?</v>
      </c>
      <c r="O1406" s="3" t="e">
        <f ca="1">[1]!BexGetData("DP_1","003N8EMH8GTFRIVOG7KG9J3KE","GSON1112150450")</f>
        <v>#NAME?</v>
      </c>
      <c r="P1406" s="8" t="e">
        <f ca="1">[1]!BexGetData("DP_1","003N8EMH8GTFRIVOG7KG9J9VY","GSON1112150450")</f>
        <v>#NAME?</v>
      </c>
      <c r="Q1406" s="4" t="e">
        <f ca="1">[1]!BexGetData("DP_1","00O2TNJGODT0G5Z4TTKYMM5MT","GSON1112150450")</f>
        <v>#NAME?</v>
      </c>
      <c r="R1406" s="3" t="e">
        <f ca="1">[1]!BexGetData("DP_1","00O2TNJGODT0G5Z4TTKYMMBYD","GSON1112150450")</f>
        <v>#NAME?</v>
      </c>
      <c r="S1406" s="3" t="e">
        <f ca="1">[1]!BexGetData("DP_1","00O2TNJGODT0G5Z4TTKYMMI9X","GSON1112150450")</f>
        <v>#NAME?</v>
      </c>
      <c r="T1406" s="8" t="e">
        <f ca="1">[1]!BexGetData("DP_1","00O2TNJGODT0G5Z4TTKYMMOLH","GSON1112150450")</f>
        <v>#NAME?</v>
      </c>
      <c r="U1406" s="3" t="e">
        <f ca="1">[1]!BexGetData("DP_1","00O2TNJGODT0G5Z4TTKYMMUX1","GSON1112150450")</f>
        <v>#NAME?</v>
      </c>
      <c r="V1406" s="8" t="e">
        <f ca="1">[1]!BexGetData("DP_1","00O2TNJGODT0G5Z4TTKYMN18L","GSON1112150450")</f>
        <v>#NAME?</v>
      </c>
      <c r="W1406" s="3" t="e">
        <f ca="1">[1]!BexGetData("DP_1","00O2TNJGODT0G5Z4TTKYMN7K5","GSON1112150450")</f>
        <v>#NAME?</v>
      </c>
    </row>
    <row r="1407" spans="1:23" x14ac:dyDescent="0.2">
      <c r="A1407" s="16" t="s">
        <v>1610</v>
      </c>
      <c r="B1407" s="7" t="s">
        <v>1611</v>
      </c>
      <c r="C1407" s="3" t="e">
        <f ca="1">[1]!BexGetData("DP_1","003N8EMH8GTFRCSWKMPXRR8GU","GSON1112150451")</f>
        <v>#NAME?</v>
      </c>
      <c r="D1407" s="3" t="e">
        <f ca="1">[1]!BexGetData("DP_1","003N8EMH8GTFRCSWKMPXRRESE","GSON1112150451")</f>
        <v>#NAME?</v>
      </c>
      <c r="E1407" s="8" t="e">
        <f ca="1">[1]!BexGetData("DP_1","003N8EMH8GTFRCSWKMPXRRL3Y","GSON1112150451")</f>
        <v>#NAME?</v>
      </c>
      <c r="F1407" s="4" t="e">
        <f ca="1">[1]!BexGetData("DP_1","003N8EMH8GTFRCSWKMPXRRRFI","GSON1112150451")</f>
        <v>#NAME?</v>
      </c>
      <c r="G1407" s="4" t="e">
        <f ca="1">[1]!BexGetData("DP_1","003N8EMH8GTFRCSWKMPXRRXR2","GSON1112150451")</f>
        <v>#NAME?</v>
      </c>
      <c r="H1407" s="4" t="e">
        <f ca="1">[1]!BexGetData("DP_1","003N8EMH8GTFRCSWKMPXRS42M","GSON1112150451")</f>
        <v>#NAME?</v>
      </c>
      <c r="I1407" s="4" t="e">
        <f ca="1">[1]!BexGetData("DP_1","003N8EMH8GTFRCSWKMPXRSAE6","GSON1112150451")</f>
        <v>#NAME?</v>
      </c>
      <c r="J1407" s="4" t="e">
        <f ca="1">[1]!BexGetData("DP_1","003N8EMH8GTFRCSWKMPXRSGPQ","GSON1112150451")</f>
        <v>#NAME?</v>
      </c>
      <c r="K1407" s="8" t="e">
        <f ca="1">[1]!BexGetData("DP_1","003N8EMH8GTFRIVNUPY288VJH","GSON1112150451")</f>
        <v>#NAME?</v>
      </c>
      <c r="L1407" s="8" t="e">
        <f ca="1">[1]!BexGetData("DP_1","003N8EMH8GTFRIVNUPY2891V1","GSON1112150451")</f>
        <v>#NAME?</v>
      </c>
      <c r="M1407" s="8" t="e">
        <f ca="1">[1]!BexGetData("DP_1","003N8EMH8GTFRIVOG7KG9IQXA","GSON1112150451")</f>
        <v>#NAME?</v>
      </c>
      <c r="N1407" s="8" t="e">
        <f ca="1">[1]!BexGetData("DP_1","003N8EMH8GTFRIVOG7KG9IX8U","GSON1112150451")</f>
        <v>#NAME?</v>
      </c>
      <c r="O1407" s="8" t="e">
        <f ca="1">[1]!BexGetData("DP_1","003N8EMH8GTFRIVOG7KG9J3KE","GSON1112150451")</f>
        <v>#NAME?</v>
      </c>
      <c r="P1407" s="8" t="e">
        <f ca="1">[1]!BexGetData("DP_1","003N8EMH8GTFRIVOG7KG9J9VY","GSON1112150451")</f>
        <v>#NAME?</v>
      </c>
      <c r="Q1407" s="4" t="e">
        <f ca="1">[1]!BexGetData("DP_1","00O2TNJGODT0G5Z4TTKYMM5MT","GSON1112150451")</f>
        <v>#NAME?</v>
      </c>
      <c r="R1407" s="4" t="e">
        <f ca="1">[1]!BexGetData("DP_1","00O2TNJGODT0G5Z4TTKYMMBYD","GSON1112150451")</f>
        <v>#NAME?</v>
      </c>
      <c r="S1407" s="4" t="e">
        <f ca="1">[1]!BexGetData("DP_1","00O2TNJGODT0G5Z4TTKYMMI9X","GSON1112150451")</f>
        <v>#NAME?</v>
      </c>
      <c r="T1407" s="4" t="e">
        <f ca="1">[1]!BexGetData("DP_1","00O2TNJGODT0G5Z4TTKYMMOLH","GSON1112150451")</f>
        <v>#NAME?</v>
      </c>
      <c r="U1407" s="4" t="e">
        <f ca="1">[1]!BexGetData("DP_1","00O2TNJGODT0G5Z4TTKYMMUX1","GSON1112150451")</f>
        <v>#NAME?</v>
      </c>
      <c r="V1407" s="4" t="e">
        <f ca="1">[1]!BexGetData("DP_1","00O2TNJGODT0G5Z4TTKYMN18L","GSON1112150451")</f>
        <v>#NAME?</v>
      </c>
      <c r="W1407" s="4" t="e">
        <f ca="1">[1]!BexGetData("DP_1","00O2TNJGODT0G5Z4TTKYMN7K5","GSON1112150451")</f>
        <v>#NAME?</v>
      </c>
    </row>
    <row r="1408" spans="1:23" x14ac:dyDescent="0.2">
      <c r="A1408" s="16" t="s">
        <v>3819</v>
      </c>
      <c r="B1408" s="7" t="s">
        <v>3820</v>
      </c>
      <c r="C1408" s="3" t="e">
        <f ca="1">[1]!BexGetData("DP_1","003N8EMH8GTFRCSWKMPXRR8GU","GSON1112150453")</f>
        <v>#NAME?</v>
      </c>
      <c r="D1408" s="3" t="e">
        <f ca="1">[1]!BexGetData("DP_1","003N8EMH8GTFRCSWKMPXRRESE","GSON1112150453")</f>
        <v>#NAME?</v>
      </c>
      <c r="E1408" s="8" t="e">
        <f ca="1">[1]!BexGetData("DP_1","003N8EMH8GTFRCSWKMPXRRL3Y","GSON1112150453")</f>
        <v>#NAME?</v>
      </c>
      <c r="F1408" s="4" t="e">
        <f ca="1">[1]!BexGetData("DP_1","003N8EMH8GTFRCSWKMPXRRRFI","GSON1112150453")</f>
        <v>#NAME?</v>
      </c>
      <c r="G1408" s="4" t="e">
        <f ca="1">[1]!BexGetData("DP_1","003N8EMH8GTFRCSWKMPXRRXR2","GSON1112150453")</f>
        <v>#NAME?</v>
      </c>
      <c r="H1408" s="4" t="e">
        <f ca="1">[1]!BexGetData("DP_1","003N8EMH8GTFRCSWKMPXRS42M","GSON1112150453")</f>
        <v>#NAME?</v>
      </c>
      <c r="I1408" s="4" t="e">
        <f ca="1">[1]!BexGetData("DP_1","003N8EMH8GTFRCSWKMPXRSAE6","GSON1112150453")</f>
        <v>#NAME?</v>
      </c>
      <c r="J1408" s="4" t="e">
        <f ca="1">[1]!BexGetData("DP_1","003N8EMH8GTFRCSWKMPXRSGPQ","GSON1112150453")</f>
        <v>#NAME?</v>
      </c>
      <c r="K1408" s="8" t="e">
        <f ca="1">[1]!BexGetData("DP_1","003N8EMH8GTFRIVNUPY288VJH","GSON1112150453")</f>
        <v>#NAME?</v>
      </c>
      <c r="L1408" s="8" t="e">
        <f ca="1">[1]!BexGetData("DP_1","003N8EMH8GTFRIVNUPY2891V1","GSON1112150453")</f>
        <v>#NAME?</v>
      </c>
      <c r="M1408" s="8" t="e">
        <f ca="1">[1]!BexGetData("DP_1","003N8EMH8GTFRIVOG7KG9IQXA","GSON1112150453")</f>
        <v>#NAME?</v>
      </c>
      <c r="N1408" s="8" t="e">
        <f ca="1">[1]!BexGetData("DP_1","003N8EMH8GTFRIVOG7KG9IX8U","GSON1112150453")</f>
        <v>#NAME?</v>
      </c>
      <c r="O1408" s="8" t="e">
        <f ca="1">[1]!BexGetData("DP_1","003N8EMH8GTFRIVOG7KG9J3KE","GSON1112150453")</f>
        <v>#NAME?</v>
      </c>
      <c r="P1408" s="8" t="e">
        <f ca="1">[1]!BexGetData("DP_1","003N8EMH8GTFRIVOG7KG9J9VY","GSON1112150453")</f>
        <v>#NAME?</v>
      </c>
      <c r="Q1408" s="4" t="e">
        <f ca="1">[1]!BexGetData("DP_1","00O2TNJGODT0G5Z4TTKYMM5MT","GSON1112150453")</f>
        <v>#NAME?</v>
      </c>
      <c r="R1408" s="4" t="e">
        <f ca="1">[1]!BexGetData("DP_1","00O2TNJGODT0G5Z4TTKYMMBYD","GSON1112150453")</f>
        <v>#NAME?</v>
      </c>
      <c r="S1408" s="4" t="e">
        <f ca="1">[1]!BexGetData("DP_1","00O2TNJGODT0G5Z4TTKYMMI9X","GSON1112150453")</f>
        <v>#NAME?</v>
      </c>
      <c r="T1408" s="4" t="e">
        <f ca="1">[1]!BexGetData("DP_1","00O2TNJGODT0G5Z4TTKYMMOLH","GSON1112150453")</f>
        <v>#NAME?</v>
      </c>
      <c r="U1408" s="4" t="e">
        <f ca="1">[1]!BexGetData("DP_1","00O2TNJGODT0G5Z4TTKYMMUX1","GSON1112150453")</f>
        <v>#NAME?</v>
      </c>
      <c r="V1408" s="4" t="e">
        <f ca="1">[1]!BexGetData("DP_1","00O2TNJGODT0G5Z4TTKYMN18L","GSON1112150453")</f>
        <v>#NAME?</v>
      </c>
      <c r="W1408" s="4" t="e">
        <f ca="1">[1]!BexGetData("DP_1","00O2TNJGODT0G5Z4TTKYMN7K5","GSON1112150453")</f>
        <v>#NAME?</v>
      </c>
    </row>
    <row r="1409" spans="1:23" x14ac:dyDescent="0.2">
      <c r="A1409" s="16" t="s">
        <v>3821</v>
      </c>
      <c r="B1409" s="7" t="s">
        <v>3822</v>
      </c>
      <c r="C1409" s="3" t="e">
        <f ca="1">[1]!BexGetData("DP_1","003N8EMH8GTFRCSWKMPXRR8GU","GSON1112150454")</f>
        <v>#NAME?</v>
      </c>
      <c r="D1409" s="3" t="e">
        <f ca="1">[1]!BexGetData("DP_1","003N8EMH8GTFRCSWKMPXRRESE","GSON1112150454")</f>
        <v>#NAME?</v>
      </c>
      <c r="E1409" s="8" t="e">
        <f ca="1">[1]!BexGetData("DP_1","003N8EMH8GTFRCSWKMPXRRL3Y","GSON1112150454")</f>
        <v>#NAME?</v>
      </c>
      <c r="F1409" s="4" t="e">
        <f ca="1">[1]!BexGetData("DP_1","003N8EMH8GTFRCSWKMPXRRRFI","GSON1112150454")</f>
        <v>#NAME?</v>
      </c>
      <c r="G1409" s="4" t="e">
        <f ca="1">[1]!BexGetData("DP_1","003N8EMH8GTFRCSWKMPXRRXR2","GSON1112150454")</f>
        <v>#NAME?</v>
      </c>
      <c r="H1409" s="4" t="e">
        <f ca="1">[1]!BexGetData("DP_1","003N8EMH8GTFRCSWKMPXRS42M","GSON1112150454")</f>
        <v>#NAME?</v>
      </c>
      <c r="I1409" s="4" t="e">
        <f ca="1">[1]!BexGetData("DP_1","003N8EMH8GTFRCSWKMPXRSAE6","GSON1112150454")</f>
        <v>#NAME?</v>
      </c>
      <c r="J1409" s="4" t="e">
        <f ca="1">[1]!BexGetData("DP_1","003N8EMH8GTFRCSWKMPXRSGPQ","GSON1112150454")</f>
        <v>#NAME?</v>
      </c>
      <c r="K1409" s="8" t="e">
        <f ca="1">[1]!BexGetData("DP_1","003N8EMH8GTFRIVNUPY288VJH","GSON1112150454")</f>
        <v>#NAME?</v>
      </c>
      <c r="L1409" s="8" t="e">
        <f ca="1">[1]!BexGetData("DP_1","003N8EMH8GTFRIVNUPY2891V1","GSON1112150454")</f>
        <v>#NAME?</v>
      </c>
      <c r="M1409" s="8" t="e">
        <f ca="1">[1]!BexGetData("DP_1","003N8EMH8GTFRIVOG7KG9IQXA","GSON1112150454")</f>
        <v>#NAME?</v>
      </c>
      <c r="N1409" s="8" t="e">
        <f ca="1">[1]!BexGetData("DP_1","003N8EMH8GTFRIVOG7KG9IX8U","GSON1112150454")</f>
        <v>#NAME?</v>
      </c>
      <c r="O1409" s="8" t="e">
        <f ca="1">[1]!BexGetData("DP_1","003N8EMH8GTFRIVOG7KG9J3KE","GSON1112150454")</f>
        <v>#NAME?</v>
      </c>
      <c r="P1409" s="8" t="e">
        <f ca="1">[1]!BexGetData("DP_1","003N8EMH8GTFRIVOG7KG9J9VY","GSON1112150454")</f>
        <v>#NAME?</v>
      </c>
      <c r="Q1409" s="4" t="e">
        <f ca="1">[1]!BexGetData("DP_1","00O2TNJGODT0G5Z4TTKYMM5MT","GSON1112150454")</f>
        <v>#NAME?</v>
      </c>
      <c r="R1409" s="4" t="e">
        <f ca="1">[1]!BexGetData("DP_1","00O2TNJGODT0G5Z4TTKYMMBYD","GSON1112150454")</f>
        <v>#NAME?</v>
      </c>
      <c r="S1409" s="4" t="e">
        <f ca="1">[1]!BexGetData("DP_1","00O2TNJGODT0G5Z4TTKYMMI9X","GSON1112150454")</f>
        <v>#NAME?</v>
      </c>
      <c r="T1409" s="4" t="e">
        <f ca="1">[1]!BexGetData("DP_1","00O2TNJGODT0G5Z4TTKYMMOLH","GSON1112150454")</f>
        <v>#NAME?</v>
      </c>
      <c r="U1409" s="4" t="e">
        <f ca="1">[1]!BexGetData("DP_1","00O2TNJGODT0G5Z4TTKYMMUX1","GSON1112150454")</f>
        <v>#NAME?</v>
      </c>
      <c r="V1409" s="4" t="e">
        <f ca="1">[1]!BexGetData("DP_1","00O2TNJGODT0G5Z4TTKYMN18L","GSON1112150454")</f>
        <v>#NAME?</v>
      </c>
      <c r="W1409" s="4" t="e">
        <f ca="1">[1]!BexGetData("DP_1","00O2TNJGODT0G5Z4TTKYMN7K5","GSON1112150454")</f>
        <v>#NAME?</v>
      </c>
    </row>
    <row r="1410" spans="1:23" x14ac:dyDescent="0.2">
      <c r="A1410" s="16" t="s">
        <v>3823</v>
      </c>
      <c r="B1410" s="7" t="s">
        <v>3824</v>
      </c>
      <c r="C1410" s="3" t="e">
        <f ca="1">[1]!BexGetData("DP_1","003N8EMH8GTFRCSWKMPXRR8GU","GSON1112150455")</f>
        <v>#NAME?</v>
      </c>
      <c r="D1410" s="3" t="e">
        <f ca="1">[1]!BexGetData("DP_1","003N8EMH8GTFRCSWKMPXRRESE","GSON1112150455")</f>
        <v>#NAME?</v>
      </c>
      <c r="E1410" s="8" t="e">
        <f ca="1">[1]!BexGetData("DP_1","003N8EMH8GTFRCSWKMPXRRL3Y","GSON1112150455")</f>
        <v>#NAME?</v>
      </c>
      <c r="F1410" s="4" t="e">
        <f ca="1">[1]!BexGetData("DP_1","003N8EMH8GTFRCSWKMPXRRRFI","GSON1112150455")</f>
        <v>#NAME?</v>
      </c>
      <c r="G1410" s="4" t="e">
        <f ca="1">[1]!BexGetData("DP_1","003N8EMH8GTFRCSWKMPXRRXR2","GSON1112150455")</f>
        <v>#NAME?</v>
      </c>
      <c r="H1410" s="4" t="e">
        <f ca="1">[1]!BexGetData("DP_1","003N8EMH8GTFRCSWKMPXRS42M","GSON1112150455")</f>
        <v>#NAME?</v>
      </c>
      <c r="I1410" s="4" t="e">
        <f ca="1">[1]!BexGetData("DP_1","003N8EMH8GTFRCSWKMPXRSAE6","GSON1112150455")</f>
        <v>#NAME?</v>
      </c>
      <c r="J1410" s="4" t="e">
        <f ca="1">[1]!BexGetData("DP_1","003N8EMH8GTFRCSWKMPXRSGPQ","GSON1112150455")</f>
        <v>#NAME?</v>
      </c>
      <c r="K1410" s="8" t="e">
        <f ca="1">[1]!BexGetData("DP_1","003N8EMH8GTFRIVNUPY288VJH","GSON1112150455")</f>
        <v>#NAME?</v>
      </c>
      <c r="L1410" s="8" t="e">
        <f ca="1">[1]!BexGetData("DP_1","003N8EMH8GTFRIVNUPY2891V1","GSON1112150455")</f>
        <v>#NAME?</v>
      </c>
      <c r="M1410" s="8" t="e">
        <f ca="1">[1]!BexGetData("DP_1","003N8EMH8GTFRIVOG7KG9IQXA","GSON1112150455")</f>
        <v>#NAME?</v>
      </c>
      <c r="N1410" s="8" t="e">
        <f ca="1">[1]!BexGetData("DP_1","003N8EMH8GTFRIVOG7KG9IX8U","GSON1112150455")</f>
        <v>#NAME?</v>
      </c>
      <c r="O1410" s="8" t="e">
        <f ca="1">[1]!BexGetData("DP_1","003N8EMH8GTFRIVOG7KG9J3KE","GSON1112150455")</f>
        <v>#NAME?</v>
      </c>
      <c r="P1410" s="8" t="e">
        <f ca="1">[1]!BexGetData("DP_1","003N8EMH8GTFRIVOG7KG9J9VY","GSON1112150455")</f>
        <v>#NAME?</v>
      </c>
      <c r="Q1410" s="4" t="e">
        <f ca="1">[1]!BexGetData("DP_1","00O2TNJGODT0G5Z4TTKYMM5MT","GSON1112150455")</f>
        <v>#NAME?</v>
      </c>
      <c r="R1410" s="4" t="e">
        <f ca="1">[1]!BexGetData("DP_1","00O2TNJGODT0G5Z4TTKYMMBYD","GSON1112150455")</f>
        <v>#NAME?</v>
      </c>
      <c r="S1410" s="4" t="e">
        <f ca="1">[1]!BexGetData("DP_1","00O2TNJGODT0G5Z4TTKYMMI9X","GSON1112150455")</f>
        <v>#NAME?</v>
      </c>
      <c r="T1410" s="4" t="e">
        <f ca="1">[1]!BexGetData("DP_1","00O2TNJGODT0G5Z4TTKYMMOLH","GSON1112150455")</f>
        <v>#NAME?</v>
      </c>
      <c r="U1410" s="4" t="e">
        <f ca="1">[1]!BexGetData("DP_1","00O2TNJGODT0G5Z4TTKYMMUX1","GSON1112150455")</f>
        <v>#NAME?</v>
      </c>
      <c r="V1410" s="4" t="e">
        <f ca="1">[1]!BexGetData("DP_1","00O2TNJGODT0G5Z4TTKYMN18L","GSON1112150455")</f>
        <v>#NAME?</v>
      </c>
      <c r="W1410" s="4" t="e">
        <f ca="1">[1]!BexGetData("DP_1","00O2TNJGODT0G5Z4TTKYMN7K5","GSON1112150455")</f>
        <v>#NAME?</v>
      </c>
    </row>
    <row r="1411" spans="1:23" x14ac:dyDescent="0.2">
      <c r="A1411" s="16" t="s">
        <v>301</v>
      </c>
      <c r="B1411" s="7" t="s">
        <v>302</v>
      </c>
      <c r="C1411" s="3" t="e">
        <f ca="1">[1]!BexGetData("DP_1","003N8EMH8GTFRCSWKMPXRR8GU","GSON1112150460")</f>
        <v>#NAME?</v>
      </c>
      <c r="D1411" s="3" t="e">
        <f ca="1">[1]!BexGetData("DP_1","003N8EMH8GTFRCSWKMPXRRESE","GSON1112150460")</f>
        <v>#NAME?</v>
      </c>
      <c r="E1411" s="3" t="e">
        <f ca="1">[1]!BexGetData("DP_1","003N8EMH8GTFRCSWKMPXRRL3Y","GSON1112150460")</f>
        <v>#NAME?</v>
      </c>
      <c r="F1411" s="3" t="e">
        <f ca="1">[1]!BexGetData("DP_1","003N8EMH8GTFRCSWKMPXRRRFI","GSON1112150460")</f>
        <v>#NAME?</v>
      </c>
      <c r="G1411" s="3" t="e">
        <f ca="1">[1]!BexGetData("DP_1","003N8EMH8GTFRCSWKMPXRRXR2","GSON1112150460")</f>
        <v>#NAME?</v>
      </c>
      <c r="H1411" s="8" t="e">
        <f ca="1">[1]!BexGetData("DP_1","003N8EMH8GTFRCSWKMPXRS42M","GSON1112150460")</f>
        <v>#NAME?</v>
      </c>
      <c r="I1411" s="3" t="e">
        <f ca="1">[1]!BexGetData("DP_1","003N8EMH8GTFRCSWKMPXRSAE6","GSON1112150460")</f>
        <v>#NAME?</v>
      </c>
      <c r="J1411" s="4" t="e">
        <f ca="1">[1]!BexGetData("DP_1","003N8EMH8GTFRCSWKMPXRSGPQ","GSON1112150460")</f>
        <v>#NAME?</v>
      </c>
      <c r="K1411" s="3" t="e">
        <f ca="1">[1]!BexGetData("DP_1","003N8EMH8GTFRIVNUPY288VJH","GSON1112150460")</f>
        <v>#NAME?</v>
      </c>
      <c r="L1411" s="3" t="e">
        <f ca="1">[1]!BexGetData("DP_1","003N8EMH8GTFRIVNUPY2891V1","GSON1112150460")</f>
        <v>#NAME?</v>
      </c>
      <c r="M1411" s="3" t="e">
        <f ca="1">[1]!BexGetData("DP_1","003N8EMH8GTFRIVOG7KG9IQXA","GSON1112150460")</f>
        <v>#NAME?</v>
      </c>
      <c r="N1411" s="8" t="e">
        <f ca="1">[1]!BexGetData("DP_1","003N8EMH8GTFRIVOG7KG9IX8U","GSON1112150460")</f>
        <v>#NAME?</v>
      </c>
      <c r="O1411" s="3" t="e">
        <f ca="1">[1]!BexGetData("DP_1","003N8EMH8GTFRIVOG7KG9J3KE","GSON1112150460")</f>
        <v>#NAME?</v>
      </c>
      <c r="P1411" s="8" t="e">
        <f ca="1">[1]!BexGetData("DP_1","003N8EMH8GTFRIVOG7KG9J9VY","GSON1112150460")</f>
        <v>#NAME?</v>
      </c>
      <c r="Q1411" s="4" t="e">
        <f ca="1">[1]!BexGetData("DP_1","00O2TNJGODT0G5Z4TTKYMM5MT","GSON1112150460")</f>
        <v>#NAME?</v>
      </c>
      <c r="R1411" s="3" t="e">
        <f ca="1">[1]!BexGetData("DP_1","00O2TNJGODT0G5Z4TTKYMMBYD","GSON1112150460")</f>
        <v>#NAME?</v>
      </c>
      <c r="S1411" s="3" t="e">
        <f ca="1">[1]!BexGetData("DP_1","00O2TNJGODT0G5Z4TTKYMMI9X","GSON1112150460")</f>
        <v>#NAME?</v>
      </c>
      <c r="T1411" s="8" t="e">
        <f ca="1">[1]!BexGetData("DP_1","00O2TNJGODT0G5Z4TTKYMMOLH","GSON1112150460")</f>
        <v>#NAME?</v>
      </c>
      <c r="U1411" s="3" t="e">
        <f ca="1">[1]!BexGetData("DP_1","00O2TNJGODT0G5Z4TTKYMMUX1","GSON1112150460")</f>
        <v>#NAME?</v>
      </c>
      <c r="V1411" s="8" t="e">
        <f ca="1">[1]!BexGetData("DP_1","00O2TNJGODT0G5Z4TTKYMN18L","GSON1112150460")</f>
        <v>#NAME?</v>
      </c>
      <c r="W1411" s="3" t="e">
        <f ca="1">[1]!BexGetData("DP_1","00O2TNJGODT0G5Z4TTKYMN7K5","GSON1112150460")</f>
        <v>#NAME?</v>
      </c>
    </row>
    <row r="1412" spans="1:23" x14ac:dyDescent="0.2">
      <c r="A1412" s="16" t="s">
        <v>3825</v>
      </c>
      <c r="B1412" s="7" t="s">
        <v>3826</v>
      </c>
      <c r="C1412" s="3" t="e">
        <f ca="1">[1]!BexGetData("DP_1","003N8EMH8GTFRCSWKMPXRR8GU","GSON1112150461")</f>
        <v>#NAME?</v>
      </c>
      <c r="D1412" s="3" t="e">
        <f ca="1">[1]!BexGetData("DP_1","003N8EMH8GTFRCSWKMPXRRESE","GSON1112150461")</f>
        <v>#NAME?</v>
      </c>
      <c r="E1412" s="8" t="e">
        <f ca="1">[1]!BexGetData("DP_1","003N8EMH8GTFRCSWKMPXRRL3Y","GSON1112150461")</f>
        <v>#NAME?</v>
      </c>
      <c r="F1412" s="4" t="e">
        <f ca="1">[1]!BexGetData("DP_1","003N8EMH8GTFRCSWKMPXRRRFI","GSON1112150461")</f>
        <v>#NAME?</v>
      </c>
      <c r="G1412" s="4" t="e">
        <f ca="1">[1]!BexGetData("DP_1","003N8EMH8GTFRCSWKMPXRRXR2","GSON1112150461")</f>
        <v>#NAME?</v>
      </c>
      <c r="H1412" s="4" t="e">
        <f ca="1">[1]!BexGetData("DP_1","003N8EMH8GTFRCSWKMPXRS42M","GSON1112150461")</f>
        <v>#NAME?</v>
      </c>
      <c r="I1412" s="4" t="e">
        <f ca="1">[1]!BexGetData("DP_1","003N8EMH8GTFRCSWKMPXRSAE6","GSON1112150461")</f>
        <v>#NAME?</v>
      </c>
      <c r="J1412" s="4" t="e">
        <f ca="1">[1]!BexGetData("DP_1","003N8EMH8GTFRCSWKMPXRSGPQ","GSON1112150461")</f>
        <v>#NAME?</v>
      </c>
      <c r="K1412" s="8" t="e">
        <f ca="1">[1]!BexGetData("DP_1","003N8EMH8GTFRIVNUPY288VJH","GSON1112150461")</f>
        <v>#NAME?</v>
      </c>
      <c r="L1412" s="8" t="e">
        <f ca="1">[1]!BexGetData("DP_1","003N8EMH8GTFRIVNUPY2891V1","GSON1112150461")</f>
        <v>#NAME?</v>
      </c>
      <c r="M1412" s="8" t="e">
        <f ca="1">[1]!BexGetData("DP_1","003N8EMH8GTFRIVOG7KG9IQXA","GSON1112150461")</f>
        <v>#NAME?</v>
      </c>
      <c r="N1412" s="8" t="e">
        <f ca="1">[1]!BexGetData("DP_1","003N8EMH8GTFRIVOG7KG9IX8U","GSON1112150461")</f>
        <v>#NAME?</v>
      </c>
      <c r="O1412" s="8" t="e">
        <f ca="1">[1]!BexGetData("DP_1","003N8EMH8GTFRIVOG7KG9J3KE","GSON1112150461")</f>
        <v>#NAME?</v>
      </c>
      <c r="P1412" s="8" t="e">
        <f ca="1">[1]!BexGetData("DP_1","003N8EMH8GTFRIVOG7KG9J9VY","GSON1112150461")</f>
        <v>#NAME?</v>
      </c>
      <c r="Q1412" s="4" t="e">
        <f ca="1">[1]!BexGetData("DP_1","00O2TNJGODT0G5Z4TTKYMM5MT","GSON1112150461")</f>
        <v>#NAME?</v>
      </c>
      <c r="R1412" s="4" t="e">
        <f ca="1">[1]!BexGetData("DP_1","00O2TNJGODT0G5Z4TTKYMMBYD","GSON1112150461")</f>
        <v>#NAME?</v>
      </c>
      <c r="S1412" s="4" t="e">
        <f ca="1">[1]!BexGetData("DP_1","00O2TNJGODT0G5Z4TTKYMMI9X","GSON1112150461")</f>
        <v>#NAME?</v>
      </c>
      <c r="T1412" s="4" t="e">
        <f ca="1">[1]!BexGetData("DP_1","00O2TNJGODT0G5Z4TTKYMMOLH","GSON1112150461")</f>
        <v>#NAME?</v>
      </c>
      <c r="U1412" s="4" t="e">
        <f ca="1">[1]!BexGetData("DP_1","00O2TNJGODT0G5Z4TTKYMMUX1","GSON1112150461")</f>
        <v>#NAME?</v>
      </c>
      <c r="V1412" s="4" t="e">
        <f ca="1">[1]!BexGetData("DP_1","00O2TNJGODT0G5Z4TTKYMN18L","GSON1112150461")</f>
        <v>#NAME?</v>
      </c>
      <c r="W1412" s="4" t="e">
        <f ca="1">[1]!BexGetData("DP_1","00O2TNJGODT0G5Z4TTKYMN7K5","GSON1112150461")</f>
        <v>#NAME?</v>
      </c>
    </row>
    <row r="1413" spans="1:23" x14ac:dyDescent="0.2">
      <c r="A1413" s="16" t="s">
        <v>3827</v>
      </c>
      <c r="B1413" s="7" t="s">
        <v>303</v>
      </c>
      <c r="C1413" s="3" t="e">
        <f ca="1">[1]!BexGetData("DP_1","003N8EMH8GTFRCSWKMPXRR8GU","GSON1112150462")</f>
        <v>#NAME?</v>
      </c>
      <c r="D1413" s="3" t="e">
        <f ca="1">[1]!BexGetData("DP_1","003N8EMH8GTFRCSWKMPXRRESE","GSON1112150462")</f>
        <v>#NAME?</v>
      </c>
      <c r="E1413" s="8" t="e">
        <f ca="1">[1]!BexGetData("DP_1","003N8EMH8GTFRCSWKMPXRRL3Y","GSON1112150462")</f>
        <v>#NAME?</v>
      </c>
      <c r="F1413" s="3" t="e">
        <f ca="1">[1]!BexGetData("DP_1","003N8EMH8GTFRCSWKMPXRRRFI","GSON1112150462")</f>
        <v>#NAME?</v>
      </c>
      <c r="G1413" s="8" t="e">
        <f ca="1">[1]!BexGetData("DP_1","003N8EMH8GTFRCSWKMPXRRXR2","GSON1112150462")</f>
        <v>#NAME?</v>
      </c>
      <c r="H1413" s="3" t="e">
        <f ca="1">[1]!BexGetData("DP_1","003N8EMH8GTFRCSWKMPXRS42M","GSON1112150462")</f>
        <v>#NAME?</v>
      </c>
      <c r="I1413" s="3" t="e">
        <f ca="1">[1]!BexGetData("DP_1","003N8EMH8GTFRCSWKMPXRSAE6","GSON1112150462")</f>
        <v>#NAME?</v>
      </c>
      <c r="J1413" s="4" t="e">
        <f ca="1">[1]!BexGetData("DP_1","003N8EMH8GTFRCSWKMPXRSGPQ","GSON1112150462")</f>
        <v>#NAME?</v>
      </c>
      <c r="K1413" s="3" t="e">
        <f ca="1">[1]!BexGetData("DP_1","003N8EMH8GTFRIVNUPY288VJH","GSON1112150462")</f>
        <v>#NAME?</v>
      </c>
      <c r="L1413" s="3" t="e">
        <f ca="1">[1]!BexGetData("DP_1","003N8EMH8GTFRIVNUPY2891V1","GSON1112150462")</f>
        <v>#NAME?</v>
      </c>
      <c r="M1413" s="8" t="e">
        <f ca="1">[1]!BexGetData("DP_1","003N8EMH8GTFRIVOG7KG9IQXA","GSON1112150462")</f>
        <v>#NAME?</v>
      </c>
      <c r="N1413" s="3" t="e">
        <f ca="1">[1]!BexGetData("DP_1","003N8EMH8GTFRIVOG7KG9IX8U","GSON1112150462")</f>
        <v>#NAME?</v>
      </c>
      <c r="O1413" s="8" t="e">
        <f ca="1">[1]!BexGetData("DP_1","003N8EMH8GTFRIVOG7KG9J3KE","GSON1112150462")</f>
        <v>#NAME?</v>
      </c>
      <c r="P1413" s="3" t="e">
        <f ca="1">[1]!BexGetData("DP_1","003N8EMH8GTFRIVOG7KG9J9VY","GSON1112150462")</f>
        <v>#NAME?</v>
      </c>
      <c r="Q1413" s="4" t="e">
        <f ca="1">[1]!BexGetData("DP_1","00O2TNJGODT0G5Z4TTKYMM5MT","GSON1112150462")</f>
        <v>#NAME?</v>
      </c>
      <c r="R1413" s="3" t="e">
        <f ca="1">[1]!BexGetData("DP_1","00O2TNJGODT0G5Z4TTKYMMBYD","GSON1112150462")</f>
        <v>#NAME?</v>
      </c>
      <c r="S1413" s="3" t="e">
        <f ca="1">[1]!BexGetData("DP_1","00O2TNJGODT0G5Z4TTKYMMI9X","GSON1112150462")</f>
        <v>#NAME?</v>
      </c>
      <c r="T1413" s="3" t="e">
        <f ca="1">[1]!BexGetData("DP_1","00O2TNJGODT0G5Z4TTKYMMOLH","GSON1112150462")</f>
        <v>#NAME?</v>
      </c>
      <c r="U1413" s="8" t="e">
        <f ca="1">[1]!BexGetData("DP_1","00O2TNJGODT0G5Z4TTKYMMUX1","GSON1112150462")</f>
        <v>#NAME?</v>
      </c>
      <c r="V1413" s="3" t="e">
        <f ca="1">[1]!BexGetData("DP_1","00O2TNJGODT0G5Z4TTKYMN18L","GSON1112150462")</f>
        <v>#NAME?</v>
      </c>
      <c r="W1413" s="8" t="e">
        <f ca="1">[1]!BexGetData("DP_1","00O2TNJGODT0G5Z4TTKYMN7K5","GSON1112150462")</f>
        <v>#NAME?</v>
      </c>
    </row>
    <row r="1414" spans="1:23" x14ac:dyDescent="0.2">
      <c r="A1414" s="16" t="s">
        <v>3828</v>
      </c>
      <c r="B1414" s="7" t="s">
        <v>3829</v>
      </c>
      <c r="C1414" s="3" t="e">
        <f ca="1">[1]!BexGetData("DP_1","003N8EMH8GTFRCSWKMPXRR8GU","GSON1112150463")</f>
        <v>#NAME?</v>
      </c>
      <c r="D1414" s="3" t="e">
        <f ca="1">[1]!BexGetData("DP_1","003N8EMH8GTFRCSWKMPXRRESE","GSON1112150463")</f>
        <v>#NAME?</v>
      </c>
      <c r="E1414" s="8" t="e">
        <f ca="1">[1]!BexGetData("DP_1","003N8EMH8GTFRCSWKMPXRRL3Y","GSON1112150463")</f>
        <v>#NAME?</v>
      </c>
      <c r="F1414" s="4" t="e">
        <f ca="1">[1]!BexGetData("DP_1","003N8EMH8GTFRCSWKMPXRRRFI","GSON1112150463")</f>
        <v>#NAME?</v>
      </c>
      <c r="G1414" s="4" t="e">
        <f ca="1">[1]!BexGetData("DP_1","003N8EMH8GTFRCSWKMPXRRXR2","GSON1112150463")</f>
        <v>#NAME?</v>
      </c>
      <c r="H1414" s="4" t="e">
        <f ca="1">[1]!BexGetData("DP_1","003N8EMH8GTFRCSWKMPXRS42M","GSON1112150463")</f>
        <v>#NAME?</v>
      </c>
      <c r="I1414" s="4" t="e">
        <f ca="1">[1]!BexGetData("DP_1","003N8EMH8GTFRCSWKMPXRSAE6","GSON1112150463")</f>
        <v>#NAME?</v>
      </c>
      <c r="J1414" s="4" t="e">
        <f ca="1">[1]!BexGetData("DP_1","003N8EMH8GTFRCSWKMPXRSGPQ","GSON1112150463")</f>
        <v>#NAME?</v>
      </c>
      <c r="K1414" s="8" t="e">
        <f ca="1">[1]!BexGetData("DP_1","003N8EMH8GTFRIVNUPY288VJH","GSON1112150463")</f>
        <v>#NAME?</v>
      </c>
      <c r="L1414" s="8" t="e">
        <f ca="1">[1]!BexGetData("DP_1","003N8EMH8GTFRIVNUPY2891V1","GSON1112150463")</f>
        <v>#NAME?</v>
      </c>
      <c r="M1414" s="8" t="e">
        <f ca="1">[1]!BexGetData("DP_1","003N8EMH8GTFRIVOG7KG9IQXA","GSON1112150463")</f>
        <v>#NAME?</v>
      </c>
      <c r="N1414" s="8" t="e">
        <f ca="1">[1]!BexGetData("DP_1","003N8EMH8GTFRIVOG7KG9IX8U","GSON1112150463")</f>
        <v>#NAME?</v>
      </c>
      <c r="O1414" s="8" t="e">
        <f ca="1">[1]!BexGetData("DP_1","003N8EMH8GTFRIVOG7KG9J3KE","GSON1112150463")</f>
        <v>#NAME?</v>
      </c>
      <c r="P1414" s="8" t="e">
        <f ca="1">[1]!BexGetData("DP_1","003N8EMH8GTFRIVOG7KG9J9VY","GSON1112150463")</f>
        <v>#NAME?</v>
      </c>
      <c r="Q1414" s="4" t="e">
        <f ca="1">[1]!BexGetData("DP_1","00O2TNJGODT0G5Z4TTKYMM5MT","GSON1112150463")</f>
        <v>#NAME?</v>
      </c>
      <c r="R1414" s="4" t="e">
        <f ca="1">[1]!BexGetData("DP_1","00O2TNJGODT0G5Z4TTKYMMBYD","GSON1112150463")</f>
        <v>#NAME?</v>
      </c>
      <c r="S1414" s="4" t="e">
        <f ca="1">[1]!BexGetData("DP_1","00O2TNJGODT0G5Z4TTKYMMI9X","GSON1112150463")</f>
        <v>#NAME?</v>
      </c>
      <c r="T1414" s="4" t="e">
        <f ca="1">[1]!BexGetData("DP_1","00O2TNJGODT0G5Z4TTKYMMOLH","GSON1112150463")</f>
        <v>#NAME?</v>
      </c>
      <c r="U1414" s="4" t="e">
        <f ca="1">[1]!BexGetData("DP_1","00O2TNJGODT0G5Z4TTKYMMUX1","GSON1112150463")</f>
        <v>#NAME?</v>
      </c>
      <c r="V1414" s="4" t="e">
        <f ca="1">[1]!BexGetData("DP_1","00O2TNJGODT0G5Z4TTKYMN18L","GSON1112150463")</f>
        <v>#NAME?</v>
      </c>
      <c r="W1414" s="4" t="e">
        <f ca="1">[1]!BexGetData("DP_1","00O2TNJGODT0G5Z4TTKYMN7K5","GSON1112150463")</f>
        <v>#NAME?</v>
      </c>
    </row>
    <row r="1415" spans="1:23" x14ac:dyDescent="0.2">
      <c r="A1415" s="16" t="s">
        <v>3830</v>
      </c>
      <c r="B1415" s="7" t="s">
        <v>3831</v>
      </c>
      <c r="C1415" s="3" t="e">
        <f ca="1">[1]!BexGetData("DP_1","003N8EMH8GTFRCSWKMPXRR8GU","GSON1112150464")</f>
        <v>#NAME?</v>
      </c>
      <c r="D1415" s="3" t="e">
        <f ca="1">[1]!BexGetData("DP_1","003N8EMH8GTFRCSWKMPXRRESE","GSON1112150464")</f>
        <v>#NAME?</v>
      </c>
      <c r="E1415" s="8" t="e">
        <f ca="1">[1]!BexGetData("DP_1","003N8EMH8GTFRCSWKMPXRRL3Y","GSON1112150464")</f>
        <v>#NAME?</v>
      </c>
      <c r="F1415" s="4" t="e">
        <f ca="1">[1]!BexGetData("DP_1","003N8EMH8GTFRCSWKMPXRRRFI","GSON1112150464")</f>
        <v>#NAME?</v>
      </c>
      <c r="G1415" s="4" t="e">
        <f ca="1">[1]!BexGetData("DP_1","003N8EMH8GTFRCSWKMPXRRXR2","GSON1112150464")</f>
        <v>#NAME?</v>
      </c>
      <c r="H1415" s="4" t="e">
        <f ca="1">[1]!BexGetData("DP_1","003N8EMH8GTFRCSWKMPXRS42M","GSON1112150464")</f>
        <v>#NAME?</v>
      </c>
      <c r="I1415" s="4" t="e">
        <f ca="1">[1]!BexGetData("DP_1","003N8EMH8GTFRCSWKMPXRSAE6","GSON1112150464")</f>
        <v>#NAME?</v>
      </c>
      <c r="J1415" s="4" t="e">
        <f ca="1">[1]!BexGetData("DP_1","003N8EMH8GTFRCSWKMPXRSGPQ","GSON1112150464")</f>
        <v>#NAME?</v>
      </c>
      <c r="K1415" s="8" t="e">
        <f ca="1">[1]!BexGetData("DP_1","003N8EMH8GTFRIVNUPY288VJH","GSON1112150464")</f>
        <v>#NAME?</v>
      </c>
      <c r="L1415" s="8" t="e">
        <f ca="1">[1]!BexGetData("DP_1","003N8EMH8GTFRIVNUPY2891V1","GSON1112150464")</f>
        <v>#NAME?</v>
      </c>
      <c r="M1415" s="8" t="e">
        <f ca="1">[1]!BexGetData("DP_1","003N8EMH8GTFRIVOG7KG9IQXA","GSON1112150464")</f>
        <v>#NAME?</v>
      </c>
      <c r="N1415" s="8" t="e">
        <f ca="1">[1]!BexGetData("DP_1","003N8EMH8GTFRIVOG7KG9IX8U","GSON1112150464")</f>
        <v>#NAME?</v>
      </c>
      <c r="O1415" s="8" t="e">
        <f ca="1">[1]!BexGetData("DP_1","003N8EMH8GTFRIVOG7KG9J3KE","GSON1112150464")</f>
        <v>#NAME?</v>
      </c>
      <c r="P1415" s="8" t="e">
        <f ca="1">[1]!BexGetData("DP_1","003N8EMH8GTFRIVOG7KG9J9VY","GSON1112150464")</f>
        <v>#NAME?</v>
      </c>
      <c r="Q1415" s="4" t="e">
        <f ca="1">[1]!BexGetData("DP_1","00O2TNJGODT0G5Z4TTKYMM5MT","GSON1112150464")</f>
        <v>#NAME?</v>
      </c>
      <c r="R1415" s="4" t="e">
        <f ca="1">[1]!BexGetData("DP_1","00O2TNJGODT0G5Z4TTKYMMBYD","GSON1112150464")</f>
        <v>#NAME?</v>
      </c>
      <c r="S1415" s="4" t="e">
        <f ca="1">[1]!BexGetData("DP_1","00O2TNJGODT0G5Z4TTKYMMI9X","GSON1112150464")</f>
        <v>#NAME?</v>
      </c>
      <c r="T1415" s="4" t="e">
        <f ca="1">[1]!BexGetData("DP_1","00O2TNJGODT0G5Z4TTKYMMOLH","GSON1112150464")</f>
        <v>#NAME?</v>
      </c>
      <c r="U1415" s="4" t="e">
        <f ca="1">[1]!BexGetData("DP_1","00O2TNJGODT0G5Z4TTKYMMUX1","GSON1112150464")</f>
        <v>#NAME?</v>
      </c>
      <c r="V1415" s="4" t="e">
        <f ca="1">[1]!BexGetData("DP_1","00O2TNJGODT0G5Z4TTKYMN18L","GSON1112150464")</f>
        <v>#NAME?</v>
      </c>
      <c r="W1415" s="4" t="e">
        <f ca="1">[1]!BexGetData("DP_1","00O2TNJGODT0G5Z4TTKYMN7K5","GSON1112150464")</f>
        <v>#NAME?</v>
      </c>
    </row>
    <row r="1416" spans="1:23" x14ac:dyDescent="0.2">
      <c r="A1416" s="16" t="s">
        <v>3832</v>
      </c>
      <c r="B1416" s="7" t="s">
        <v>3833</v>
      </c>
      <c r="C1416" s="3" t="e">
        <f ca="1">[1]!BexGetData("DP_1","003N8EMH8GTFRCSWKMPXRR8GU","GSON1112150465")</f>
        <v>#NAME?</v>
      </c>
      <c r="D1416" s="3" t="e">
        <f ca="1">[1]!BexGetData("DP_1","003N8EMH8GTFRCSWKMPXRRESE","GSON1112150465")</f>
        <v>#NAME?</v>
      </c>
      <c r="E1416" s="8" t="e">
        <f ca="1">[1]!BexGetData("DP_1","003N8EMH8GTFRCSWKMPXRRL3Y","GSON1112150465")</f>
        <v>#NAME?</v>
      </c>
      <c r="F1416" s="4" t="e">
        <f ca="1">[1]!BexGetData("DP_1","003N8EMH8GTFRCSWKMPXRRRFI","GSON1112150465")</f>
        <v>#NAME?</v>
      </c>
      <c r="G1416" s="4" t="e">
        <f ca="1">[1]!BexGetData("DP_1","003N8EMH8GTFRCSWKMPXRRXR2","GSON1112150465")</f>
        <v>#NAME?</v>
      </c>
      <c r="H1416" s="4" t="e">
        <f ca="1">[1]!BexGetData("DP_1","003N8EMH8GTFRCSWKMPXRS42M","GSON1112150465")</f>
        <v>#NAME?</v>
      </c>
      <c r="I1416" s="4" t="e">
        <f ca="1">[1]!BexGetData("DP_1","003N8EMH8GTFRCSWKMPXRSAE6","GSON1112150465")</f>
        <v>#NAME?</v>
      </c>
      <c r="J1416" s="4" t="e">
        <f ca="1">[1]!BexGetData("DP_1","003N8EMH8GTFRCSWKMPXRSGPQ","GSON1112150465")</f>
        <v>#NAME?</v>
      </c>
      <c r="K1416" s="8" t="e">
        <f ca="1">[1]!BexGetData("DP_1","003N8EMH8GTFRIVNUPY288VJH","GSON1112150465")</f>
        <v>#NAME?</v>
      </c>
      <c r="L1416" s="8" t="e">
        <f ca="1">[1]!BexGetData("DP_1","003N8EMH8GTFRIVNUPY2891V1","GSON1112150465")</f>
        <v>#NAME?</v>
      </c>
      <c r="M1416" s="8" t="e">
        <f ca="1">[1]!BexGetData("DP_1","003N8EMH8GTFRIVOG7KG9IQXA","GSON1112150465")</f>
        <v>#NAME?</v>
      </c>
      <c r="N1416" s="8" t="e">
        <f ca="1">[1]!BexGetData("DP_1","003N8EMH8GTFRIVOG7KG9IX8U","GSON1112150465")</f>
        <v>#NAME?</v>
      </c>
      <c r="O1416" s="8" t="e">
        <f ca="1">[1]!BexGetData("DP_1","003N8EMH8GTFRIVOG7KG9J3KE","GSON1112150465")</f>
        <v>#NAME?</v>
      </c>
      <c r="P1416" s="8" t="e">
        <f ca="1">[1]!BexGetData("DP_1","003N8EMH8GTFRIVOG7KG9J9VY","GSON1112150465")</f>
        <v>#NAME?</v>
      </c>
      <c r="Q1416" s="4" t="e">
        <f ca="1">[1]!BexGetData("DP_1","00O2TNJGODT0G5Z4TTKYMM5MT","GSON1112150465")</f>
        <v>#NAME?</v>
      </c>
      <c r="R1416" s="4" t="e">
        <f ca="1">[1]!BexGetData("DP_1","00O2TNJGODT0G5Z4TTKYMMBYD","GSON1112150465")</f>
        <v>#NAME?</v>
      </c>
      <c r="S1416" s="4" t="e">
        <f ca="1">[1]!BexGetData("DP_1","00O2TNJGODT0G5Z4TTKYMMI9X","GSON1112150465")</f>
        <v>#NAME?</v>
      </c>
      <c r="T1416" s="4" t="e">
        <f ca="1">[1]!BexGetData("DP_1","00O2TNJGODT0G5Z4TTKYMMOLH","GSON1112150465")</f>
        <v>#NAME?</v>
      </c>
      <c r="U1416" s="4" t="e">
        <f ca="1">[1]!BexGetData("DP_1","00O2TNJGODT0G5Z4TTKYMMUX1","GSON1112150465")</f>
        <v>#NAME?</v>
      </c>
      <c r="V1416" s="4" t="e">
        <f ca="1">[1]!BexGetData("DP_1","00O2TNJGODT0G5Z4TTKYMN18L","GSON1112150465")</f>
        <v>#NAME?</v>
      </c>
      <c r="W1416" s="4" t="e">
        <f ca="1">[1]!BexGetData("DP_1","00O2TNJGODT0G5Z4TTKYMN7K5","GSON1112150465")</f>
        <v>#NAME?</v>
      </c>
    </row>
    <row r="1417" spans="1:23" x14ac:dyDescent="0.2">
      <c r="A1417" s="16" t="s">
        <v>3834</v>
      </c>
      <c r="B1417" s="7" t="s">
        <v>3835</v>
      </c>
      <c r="C1417" s="3" t="e">
        <f ca="1">[1]!BexGetData("DP_1","003N8EMH8GTFRCSWKMPXRR8GU","GSON1112150470")</f>
        <v>#NAME?</v>
      </c>
      <c r="D1417" s="3" t="e">
        <f ca="1">[1]!BexGetData("DP_1","003N8EMH8GTFRCSWKMPXRRESE","GSON1112150470")</f>
        <v>#NAME?</v>
      </c>
      <c r="E1417" s="3" t="e">
        <f ca="1">[1]!BexGetData("DP_1","003N8EMH8GTFRCSWKMPXRRL3Y","GSON1112150470")</f>
        <v>#NAME?</v>
      </c>
      <c r="F1417" s="3" t="e">
        <f ca="1">[1]!BexGetData("DP_1","003N8EMH8GTFRCSWKMPXRRRFI","GSON1112150470")</f>
        <v>#NAME?</v>
      </c>
      <c r="G1417" s="3" t="e">
        <f ca="1">[1]!BexGetData("DP_1","003N8EMH8GTFRCSWKMPXRRXR2","GSON1112150470")</f>
        <v>#NAME?</v>
      </c>
      <c r="H1417" s="8" t="e">
        <f ca="1">[1]!BexGetData("DP_1","003N8EMH8GTFRCSWKMPXRS42M","GSON1112150470")</f>
        <v>#NAME?</v>
      </c>
      <c r="I1417" s="3" t="e">
        <f ca="1">[1]!BexGetData("DP_1","003N8EMH8GTFRCSWKMPXRSAE6","GSON1112150470")</f>
        <v>#NAME?</v>
      </c>
      <c r="J1417" s="4" t="e">
        <f ca="1">[1]!BexGetData("DP_1","003N8EMH8GTFRCSWKMPXRSGPQ","GSON1112150470")</f>
        <v>#NAME?</v>
      </c>
      <c r="K1417" s="3" t="e">
        <f ca="1">[1]!BexGetData("DP_1","003N8EMH8GTFRIVNUPY288VJH","GSON1112150470")</f>
        <v>#NAME?</v>
      </c>
      <c r="L1417" s="3" t="e">
        <f ca="1">[1]!BexGetData("DP_1","003N8EMH8GTFRIVNUPY2891V1","GSON1112150470")</f>
        <v>#NAME?</v>
      </c>
      <c r="M1417" s="3" t="e">
        <f ca="1">[1]!BexGetData("DP_1","003N8EMH8GTFRIVOG7KG9IQXA","GSON1112150470")</f>
        <v>#NAME?</v>
      </c>
      <c r="N1417" s="8" t="e">
        <f ca="1">[1]!BexGetData("DP_1","003N8EMH8GTFRIVOG7KG9IX8U","GSON1112150470")</f>
        <v>#NAME?</v>
      </c>
      <c r="O1417" s="3" t="e">
        <f ca="1">[1]!BexGetData("DP_1","003N8EMH8GTFRIVOG7KG9J3KE","GSON1112150470")</f>
        <v>#NAME?</v>
      </c>
      <c r="P1417" s="8" t="e">
        <f ca="1">[1]!BexGetData("DP_1","003N8EMH8GTFRIVOG7KG9J9VY","GSON1112150470")</f>
        <v>#NAME?</v>
      </c>
      <c r="Q1417" s="4" t="e">
        <f ca="1">[1]!BexGetData("DP_1","00O2TNJGODT0G5Z4TTKYMM5MT","GSON1112150470")</f>
        <v>#NAME?</v>
      </c>
      <c r="R1417" s="3" t="e">
        <f ca="1">[1]!BexGetData("DP_1","00O2TNJGODT0G5Z4TTKYMMBYD","GSON1112150470")</f>
        <v>#NAME?</v>
      </c>
      <c r="S1417" s="3" t="e">
        <f ca="1">[1]!BexGetData("DP_1","00O2TNJGODT0G5Z4TTKYMMI9X","GSON1112150470")</f>
        <v>#NAME?</v>
      </c>
      <c r="T1417" s="8" t="e">
        <f ca="1">[1]!BexGetData("DP_1","00O2TNJGODT0G5Z4TTKYMMOLH","GSON1112150470")</f>
        <v>#NAME?</v>
      </c>
      <c r="U1417" s="3" t="e">
        <f ca="1">[1]!BexGetData("DP_1","00O2TNJGODT0G5Z4TTKYMMUX1","GSON1112150470")</f>
        <v>#NAME?</v>
      </c>
      <c r="V1417" s="8" t="e">
        <f ca="1">[1]!BexGetData("DP_1","00O2TNJGODT0G5Z4TTKYMN18L","GSON1112150470")</f>
        <v>#NAME?</v>
      </c>
      <c r="W1417" s="3" t="e">
        <f ca="1">[1]!BexGetData("DP_1","00O2TNJGODT0G5Z4TTKYMN7K5","GSON1112150470")</f>
        <v>#NAME?</v>
      </c>
    </row>
    <row r="1418" spans="1:23" x14ac:dyDescent="0.2">
      <c r="A1418" s="16" t="s">
        <v>3836</v>
      </c>
      <c r="B1418" s="7" t="s">
        <v>3837</v>
      </c>
      <c r="C1418" s="3" t="e">
        <f ca="1">[1]!BexGetData("DP_1","003N8EMH8GTFRCSWKMPXRR8GU","GSON1112150471")</f>
        <v>#NAME?</v>
      </c>
      <c r="D1418" s="3" t="e">
        <f ca="1">[1]!BexGetData("DP_1","003N8EMH8GTFRCSWKMPXRRESE","GSON1112150471")</f>
        <v>#NAME?</v>
      </c>
      <c r="E1418" s="8" t="e">
        <f ca="1">[1]!BexGetData("DP_1","003N8EMH8GTFRCSWKMPXRRL3Y","GSON1112150471")</f>
        <v>#NAME?</v>
      </c>
      <c r="F1418" s="4" t="e">
        <f ca="1">[1]!BexGetData("DP_1","003N8EMH8GTFRCSWKMPXRRRFI","GSON1112150471")</f>
        <v>#NAME?</v>
      </c>
      <c r="G1418" s="4" t="e">
        <f ca="1">[1]!BexGetData("DP_1","003N8EMH8GTFRCSWKMPXRRXR2","GSON1112150471")</f>
        <v>#NAME?</v>
      </c>
      <c r="H1418" s="4" t="e">
        <f ca="1">[1]!BexGetData("DP_1","003N8EMH8GTFRCSWKMPXRS42M","GSON1112150471")</f>
        <v>#NAME?</v>
      </c>
      <c r="I1418" s="4" t="e">
        <f ca="1">[1]!BexGetData("DP_1","003N8EMH8GTFRCSWKMPXRSAE6","GSON1112150471")</f>
        <v>#NAME?</v>
      </c>
      <c r="J1418" s="4" t="e">
        <f ca="1">[1]!BexGetData("DP_1","003N8EMH8GTFRCSWKMPXRSGPQ","GSON1112150471")</f>
        <v>#NAME?</v>
      </c>
      <c r="K1418" s="8" t="e">
        <f ca="1">[1]!BexGetData("DP_1","003N8EMH8GTFRIVNUPY288VJH","GSON1112150471")</f>
        <v>#NAME?</v>
      </c>
      <c r="L1418" s="8" t="e">
        <f ca="1">[1]!BexGetData("DP_1","003N8EMH8GTFRIVNUPY2891V1","GSON1112150471")</f>
        <v>#NAME?</v>
      </c>
      <c r="M1418" s="8" t="e">
        <f ca="1">[1]!BexGetData("DP_1","003N8EMH8GTFRIVOG7KG9IQXA","GSON1112150471")</f>
        <v>#NAME?</v>
      </c>
      <c r="N1418" s="8" t="e">
        <f ca="1">[1]!BexGetData("DP_1","003N8EMH8GTFRIVOG7KG9IX8U","GSON1112150471")</f>
        <v>#NAME?</v>
      </c>
      <c r="O1418" s="8" t="e">
        <f ca="1">[1]!BexGetData("DP_1","003N8EMH8GTFRIVOG7KG9J3KE","GSON1112150471")</f>
        <v>#NAME?</v>
      </c>
      <c r="P1418" s="8" t="e">
        <f ca="1">[1]!BexGetData("DP_1","003N8EMH8GTFRIVOG7KG9J9VY","GSON1112150471")</f>
        <v>#NAME?</v>
      </c>
      <c r="Q1418" s="4" t="e">
        <f ca="1">[1]!BexGetData("DP_1","00O2TNJGODT0G5Z4TTKYMM5MT","GSON1112150471")</f>
        <v>#NAME?</v>
      </c>
      <c r="R1418" s="4" t="e">
        <f ca="1">[1]!BexGetData("DP_1","00O2TNJGODT0G5Z4TTKYMMBYD","GSON1112150471")</f>
        <v>#NAME?</v>
      </c>
      <c r="S1418" s="4" t="e">
        <f ca="1">[1]!BexGetData("DP_1","00O2TNJGODT0G5Z4TTKYMMI9X","GSON1112150471")</f>
        <v>#NAME?</v>
      </c>
      <c r="T1418" s="4" t="e">
        <f ca="1">[1]!BexGetData("DP_1","00O2TNJGODT0G5Z4TTKYMMOLH","GSON1112150471")</f>
        <v>#NAME?</v>
      </c>
      <c r="U1418" s="4" t="e">
        <f ca="1">[1]!BexGetData("DP_1","00O2TNJGODT0G5Z4TTKYMMUX1","GSON1112150471")</f>
        <v>#NAME?</v>
      </c>
      <c r="V1418" s="4" t="e">
        <f ca="1">[1]!BexGetData("DP_1","00O2TNJGODT0G5Z4TTKYMN18L","GSON1112150471")</f>
        <v>#NAME?</v>
      </c>
      <c r="W1418" s="4" t="e">
        <f ca="1">[1]!BexGetData("DP_1","00O2TNJGODT0G5Z4TTKYMN7K5","GSON1112150471")</f>
        <v>#NAME?</v>
      </c>
    </row>
    <row r="1419" spans="1:23" x14ac:dyDescent="0.2">
      <c r="A1419" s="16" t="s">
        <v>3838</v>
      </c>
      <c r="B1419" s="7" t="s">
        <v>3839</v>
      </c>
      <c r="C1419" s="3" t="e">
        <f ca="1">[1]!BexGetData("DP_1","003N8EMH8GTFRCSWKMPXRR8GU","GSON1112150473")</f>
        <v>#NAME?</v>
      </c>
      <c r="D1419" s="3" t="e">
        <f ca="1">[1]!BexGetData("DP_1","003N8EMH8GTFRCSWKMPXRRESE","GSON1112150473")</f>
        <v>#NAME?</v>
      </c>
      <c r="E1419" s="8" t="e">
        <f ca="1">[1]!BexGetData("DP_1","003N8EMH8GTFRCSWKMPXRRL3Y","GSON1112150473")</f>
        <v>#NAME?</v>
      </c>
      <c r="F1419" s="4" t="e">
        <f ca="1">[1]!BexGetData("DP_1","003N8EMH8GTFRCSWKMPXRRRFI","GSON1112150473")</f>
        <v>#NAME?</v>
      </c>
      <c r="G1419" s="4" t="e">
        <f ca="1">[1]!BexGetData("DP_1","003N8EMH8GTFRCSWKMPXRRXR2","GSON1112150473")</f>
        <v>#NAME?</v>
      </c>
      <c r="H1419" s="4" t="e">
        <f ca="1">[1]!BexGetData("DP_1","003N8EMH8GTFRCSWKMPXRS42M","GSON1112150473")</f>
        <v>#NAME?</v>
      </c>
      <c r="I1419" s="4" t="e">
        <f ca="1">[1]!BexGetData("DP_1","003N8EMH8GTFRCSWKMPXRSAE6","GSON1112150473")</f>
        <v>#NAME?</v>
      </c>
      <c r="J1419" s="4" t="e">
        <f ca="1">[1]!BexGetData("DP_1","003N8EMH8GTFRCSWKMPXRSGPQ","GSON1112150473")</f>
        <v>#NAME?</v>
      </c>
      <c r="K1419" s="8" t="e">
        <f ca="1">[1]!BexGetData("DP_1","003N8EMH8GTFRIVNUPY288VJH","GSON1112150473")</f>
        <v>#NAME?</v>
      </c>
      <c r="L1419" s="8" t="e">
        <f ca="1">[1]!BexGetData("DP_1","003N8EMH8GTFRIVNUPY2891V1","GSON1112150473")</f>
        <v>#NAME?</v>
      </c>
      <c r="M1419" s="8" t="e">
        <f ca="1">[1]!BexGetData("DP_1","003N8EMH8GTFRIVOG7KG9IQXA","GSON1112150473")</f>
        <v>#NAME?</v>
      </c>
      <c r="N1419" s="8" t="e">
        <f ca="1">[1]!BexGetData("DP_1","003N8EMH8GTFRIVOG7KG9IX8U","GSON1112150473")</f>
        <v>#NAME?</v>
      </c>
      <c r="O1419" s="8" t="e">
        <f ca="1">[1]!BexGetData("DP_1","003N8EMH8GTFRIVOG7KG9J3KE","GSON1112150473")</f>
        <v>#NAME?</v>
      </c>
      <c r="P1419" s="8" t="e">
        <f ca="1">[1]!BexGetData("DP_1","003N8EMH8GTFRIVOG7KG9J9VY","GSON1112150473")</f>
        <v>#NAME?</v>
      </c>
      <c r="Q1419" s="4" t="e">
        <f ca="1">[1]!BexGetData("DP_1","00O2TNJGODT0G5Z4TTKYMM5MT","GSON1112150473")</f>
        <v>#NAME?</v>
      </c>
      <c r="R1419" s="4" t="e">
        <f ca="1">[1]!BexGetData("DP_1","00O2TNJGODT0G5Z4TTKYMMBYD","GSON1112150473")</f>
        <v>#NAME?</v>
      </c>
      <c r="S1419" s="4" t="e">
        <f ca="1">[1]!BexGetData("DP_1","00O2TNJGODT0G5Z4TTKYMMI9X","GSON1112150473")</f>
        <v>#NAME?</v>
      </c>
      <c r="T1419" s="4" t="e">
        <f ca="1">[1]!BexGetData("DP_1","00O2TNJGODT0G5Z4TTKYMMOLH","GSON1112150473")</f>
        <v>#NAME?</v>
      </c>
      <c r="U1419" s="4" t="e">
        <f ca="1">[1]!BexGetData("DP_1","00O2TNJGODT0G5Z4TTKYMMUX1","GSON1112150473")</f>
        <v>#NAME?</v>
      </c>
      <c r="V1419" s="4" t="e">
        <f ca="1">[1]!BexGetData("DP_1","00O2TNJGODT0G5Z4TTKYMN18L","GSON1112150473")</f>
        <v>#NAME?</v>
      </c>
      <c r="W1419" s="4" t="e">
        <f ca="1">[1]!BexGetData("DP_1","00O2TNJGODT0G5Z4TTKYMN7K5","GSON1112150473")</f>
        <v>#NAME?</v>
      </c>
    </row>
    <row r="1420" spans="1:23" x14ac:dyDescent="0.2">
      <c r="A1420" s="16" t="s">
        <v>3840</v>
      </c>
      <c r="B1420" s="7" t="s">
        <v>3841</v>
      </c>
      <c r="C1420" s="3" t="e">
        <f ca="1">[1]!BexGetData("DP_1","003N8EMH8GTFRCSWKMPXRR8GU","GSON1112150474")</f>
        <v>#NAME?</v>
      </c>
      <c r="D1420" s="3" t="e">
        <f ca="1">[1]!BexGetData("DP_1","003N8EMH8GTFRCSWKMPXRRESE","GSON1112150474")</f>
        <v>#NAME?</v>
      </c>
      <c r="E1420" s="8" t="e">
        <f ca="1">[1]!BexGetData("DP_1","003N8EMH8GTFRCSWKMPXRRL3Y","GSON1112150474")</f>
        <v>#NAME?</v>
      </c>
      <c r="F1420" s="4" t="e">
        <f ca="1">[1]!BexGetData("DP_1","003N8EMH8GTFRCSWKMPXRRRFI","GSON1112150474")</f>
        <v>#NAME?</v>
      </c>
      <c r="G1420" s="4" t="e">
        <f ca="1">[1]!BexGetData("DP_1","003N8EMH8GTFRCSWKMPXRRXR2","GSON1112150474")</f>
        <v>#NAME?</v>
      </c>
      <c r="H1420" s="4" t="e">
        <f ca="1">[1]!BexGetData("DP_1","003N8EMH8GTFRCSWKMPXRS42M","GSON1112150474")</f>
        <v>#NAME?</v>
      </c>
      <c r="I1420" s="4" t="e">
        <f ca="1">[1]!BexGetData("DP_1","003N8EMH8GTFRCSWKMPXRSAE6","GSON1112150474")</f>
        <v>#NAME?</v>
      </c>
      <c r="J1420" s="4" t="e">
        <f ca="1">[1]!BexGetData("DP_1","003N8EMH8GTFRCSWKMPXRSGPQ","GSON1112150474")</f>
        <v>#NAME?</v>
      </c>
      <c r="K1420" s="8" t="e">
        <f ca="1">[1]!BexGetData("DP_1","003N8EMH8GTFRIVNUPY288VJH","GSON1112150474")</f>
        <v>#NAME?</v>
      </c>
      <c r="L1420" s="8" t="e">
        <f ca="1">[1]!BexGetData("DP_1","003N8EMH8GTFRIVNUPY2891V1","GSON1112150474")</f>
        <v>#NAME?</v>
      </c>
      <c r="M1420" s="8" t="e">
        <f ca="1">[1]!BexGetData("DP_1","003N8EMH8GTFRIVOG7KG9IQXA","GSON1112150474")</f>
        <v>#NAME?</v>
      </c>
      <c r="N1420" s="8" t="e">
        <f ca="1">[1]!BexGetData("DP_1","003N8EMH8GTFRIVOG7KG9IX8U","GSON1112150474")</f>
        <v>#NAME?</v>
      </c>
      <c r="O1420" s="8" t="e">
        <f ca="1">[1]!BexGetData("DP_1","003N8EMH8GTFRIVOG7KG9J3KE","GSON1112150474")</f>
        <v>#NAME?</v>
      </c>
      <c r="P1420" s="8" t="e">
        <f ca="1">[1]!BexGetData("DP_1","003N8EMH8GTFRIVOG7KG9J9VY","GSON1112150474")</f>
        <v>#NAME?</v>
      </c>
      <c r="Q1420" s="4" t="e">
        <f ca="1">[1]!BexGetData("DP_1","00O2TNJGODT0G5Z4TTKYMM5MT","GSON1112150474")</f>
        <v>#NAME?</v>
      </c>
      <c r="R1420" s="4" t="e">
        <f ca="1">[1]!BexGetData("DP_1","00O2TNJGODT0G5Z4TTKYMMBYD","GSON1112150474")</f>
        <v>#NAME?</v>
      </c>
      <c r="S1420" s="4" t="e">
        <f ca="1">[1]!BexGetData("DP_1","00O2TNJGODT0G5Z4TTKYMMI9X","GSON1112150474")</f>
        <v>#NAME?</v>
      </c>
      <c r="T1420" s="4" t="e">
        <f ca="1">[1]!BexGetData("DP_1","00O2TNJGODT0G5Z4TTKYMMOLH","GSON1112150474")</f>
        <v>#NAME?</v>
      </c>
      <c r="U1420" s="4" t="e">
        <f ca="1">[1]!BexGetData("DP_1","00O2TNJGODT0G5Z4TTKYMMUX1","GSON1112150474")</f>
        <v>#NAME?</v>
      </c>
      <c r="V1420" s="4" t="e">
        <f ca="1">[1]!BexGetData("DP_1","00O2TNJGODT0G5Z4TTKYMN18L","GSON1112150474")</f>
        <v>#NAME?</v>
      </c>
      <c r="W1420" s="4" t="e">
        <f ca="1">[1]!BexGetData("DP_1","00O2TNJGODT0G5Z4TTKYMN7K5","GSON1112150474")</f>
        <v>#NAME?</v>
      </c>
    </row>
    <row r="1421" spans="1:23" x14ac:dyDescent="0.2">
      <c r="A1421" s="16" t="s">
        <v>3842</v>
      </c>
      <c r="B1421" s="7" t="s">
        <v>3843</v>
      </c>
      <c r="C1421" s="3" t="e">
        <f ca="1">[1]!BexGetData("DP_1","003N8EMH8GTFRCSWKMPXRR8GU","GSON1112150475")</f>
        <v>#NAME?</v>
      </c>
      <c r="D1421" s="3" t="e">
        <f ca="1">[1]!BexGetData("DP_1","003N8EMH8GTFRCSWKMPXRRESE","GSON1112150475")</f>
        <v>#NAME?</v>
      </c>
      <c r="E1421" s="8" t="e">
        <f ca="1">[1]!BexGetData("DP_1","003N8EMH8GTFRCSWKMPXRRL3Y","GSON1112150475")</f>
        <v>#NAME?</v>
      </c>
      <c r="F1421" s="4" t="e">
        <f ca="1">[1]!BexGetData("DP_1","003N8EMH8GTFRCSWKMPXRRRFI","GSON1112150475")</f>
        <v>#NAME?</v>
      </c>
      <c r="G1421" s="4" t="e">
        <f ca="1">[1]!BexGetData("DP_1","003N8EMH8GTFRCSWKMPXRRXR2","GSON1112150475")</f>
        <v>#NAME?</v>
      </c>
      <c r="H1421" s="4" t="e">
        <f ca="1">[1]!BexGetData("DP_1","003N8EMH8GTFRCSWKMPXRS42M","GSON1112150475")</f>
        <v>#NAME?</v>
      </c>
      <c r="I1421" s="4" t="e">
        <f ca="1">[1]!BexGetData("DP_1","003N8EMH8GTFRCSWKMPXRSAE6","GSON1112150475")</f>
        <v>#NAME?</v>
      </c>
      <c r="J1421" s="4" t="e">
        <f ca="1">[1]!BexGetData("DP_1","003N8EMH8GTFRCSWKMPXRSGPQ","GSON1112150475")</f>
        <v>#NAME?</v>
      </c>
      <c r="K1421" s="8" t="e">
        <f ca="1">[1]!BexGetData("DP_1","003N8EMH8GTFRIVNUPY288VJH","GSON1112150475")</f>
        <v>#NAME?</v>
      </c>
      <c r="L1421" s="8" t="e">
        <f ca="1">[1]!BexGetData("DP_1","003N8EMH8GTFRIVNUPY2891V1","GSON1112150475")</f>
        <v>#NAME?</v>
      </c>
      <c r="M1421" s="8" t="e">
        <f ca="1">[1]!BexGetData("DP_1","003N8EMH8GTFRIVOG7KG9IQXA","GSON1112150475")</f>
        <v>#NAME?</v>
      </c>
      <c r="N1421" s="8" t="e">
        <f ca="1">[1]!BexGetData("DP_1","003N8EMH8GTFRIVOG7KG9IX8U","GSON1112150475")</f>
        <v>#NAME?</v>
      </c>
      <c r="O1421" s="8" t="e">
        <f ca="1">[1]!BexGetData("DP_1","003N8EMH8GTFRIVOG7KG9J3KE","GSON1112150475")</f>
        <v>#NAME?</v>
      </c>
      <c r="P1421" s="8" t="e">
        <f ca="1">[1]!BexGetData("DP_1","003N8EMH8GTFRIVOG7KG9J9VY","GSON1112150475")</f>
        <v>#NAME?</v>
      </c>
      <c r="Q1421" s="4" t="e">
        <f ca="1">[1]!BexGetData("DP_1","00O2TNJGODT0G5Z4TTKYMM5MT","GSON1112150475")</f>
        <v>#NAME?</v>
      </c>
      <c r="R1421" s="4" t="e">
        <f ca="1">[1]!BexGetData("DP_1","00O2TNJGODT0G5Z4TTKYMMBYD","GSON1112150475")</f>
        <v>#NAME?</v>
      </c>
      <c r="S1421" s="4" t="e">
        <f ca="1">[1]!BexGetData("DP_1","00O2TNJGODT0G5Z4TTKYMMI9X","GSON1112150475")</f>
        <v>#NAME?</v>
      </c>
      <c r="T1421" s="4" t="e">
        <f ca="1">[1]!BexGetData("DP_1","00O2TNJGODT0G5Z4TTKYMMOLH","GSON1112150475")</f>
        <v>#NAME?</v>
      </c>
      <c r="U1421" s="4" t="e">
        <f ca="1">[1]!BexGetData("DP_1","00O2TNJGODT0G5Z4TTKYMMUX1","GSON1112150475")</f>
        <v>#NAME?</v>
      </c>
      <c r="V1421" s="4" t="e">
        <f ca="1">[1]!BexGetData("DP_1","00O2TNJGODT0G5Z4TTKYMN18L","GSON1112150475")</f>
        <v>#NAME?</v>
      </c>
      <c r="W1421" s="4" t="e">
        <f ca="1">[1]!BexGetData("DP_1","00O2TNJGODT0G5Z4TTKYMN7K5","GSON1112150475")</f>
        <v>#NAME?</v>
      </c>
    </row>
    <row r="1422" spans="1:23" x14ac:dyDescent="0.2">
      <c r="A1422" s="16" t="s">
        <v>3844</v>
      </c>
      <c r="B1422" s="7" t="s">
        <v>3845</v>
      </c>
      <c r="C1422" s="3" t="e">
        <f ca="1">[1]!BexGetData("DP_1","003N8EMH8GTFRCSWKMPXRR8GU","GSON1112150540")</f>
        <v>#NAME?</v>
      </c>
      <c r="D1422" s="3" t="e">
        <f ca="1">[1]!BexGetData("DP_1","003N8EMH8GTFRCSWKMPXRRESE","GSON1112150540")</f>
        <v>#NAME?</v>
      </c>
      <c r="E1422" s="8" t="e">
        <f ca="1">[1]!BexGetData("DP_1","003N8EMH8GTFRCSWKMPXRRL3Y","GSON1112150540")</f>
        <v>#NAME?</v>
      </c>
      <c r="F1422" s="3" t="e">
        <f ca="1">[1]!BexGetData("DP_1","003N8EMH8GTFRCSWKMPXRRRFI","GSON1112150540")</f>
        <v>#NAME?</v>
      </c>
      <c r="G1422" s="3" t="e">
        <f ca="1">[1]!BexGetData("DP_1","003N8EMH8GTFRCSWKMPXRRXR2","GSON1112150540")</f>
        <v>#NAME?</v>
      </c>
      <c r="H1422" s="8" t="e">
        <f ca="1">[1]!BexGetData("DP_1","003N8EMH8GTFRCSWKMPXRS42M","GSON1112150540")</f>
        <v>#NAME?</v>
      </c>
      <c r="I1422" s="3" t="e">
        <f ca="1">[1]!BexGetData("DP_1","003N8EMH8GTFRCSWKMPXRSAE6","GSON1112150540")</f>
        <v>#NAME?</v>
      </c>
      <c r="J1422" s="4" t="e">
        <f ca="1">[1]!BexGetData("DP_1","003N8EMH8GTFRCSWKMPXRSGPQ","GSON1112150540")</f>
        <v>#NAME?</v>
      </c>
      <c r="K1422" s="3" t="e">
        <f ca="1">[1]!BexGetData("DP_1","003N8EMH8GTFRIVNUPY288VJH","GSON1112150540")</f>
        <v>#NAME?</v>
      </c>
      <c r="L1422" s="3" t="e">
        <f ca="1">[1]!BexGetData("DP_1","003N8EMH8GTFRIVNUPY2891V1","GSON1112150540")</f>
        <v>#NAME?</v>
      </c>
      <c r="M1422" s="3" t="e">
        <f ca="1">[1]!BexGetData("DP_1","003N8EMH8GTFRIVOG7KG9IQXA","GSON1112150540")</f>
        <v>#NAME?</v>
      </c>
      <c r="N1422" s="8" t="e">
        <f ca="1">[1]!BexGetData("DP_1","003N8EMH8GTFRIVOG7KG9IX8U","GSON1112150540")</f>
        <v>#NAME?</v>
      </c>
      <c r="O1422" s="3" t="e">
        <f ca="1">[1]!BexGetData("DP_1","003N8EMH8GTFRIVOG7KG9J3KE","GSON1112150540")</f>
        <v>#NAME?</v>
      </c>
      <c r="P1422" s="8" t="e">
        <f ca="1">[1]!BexGetData("DP_1","003N8EMH8GTFRIVOG7KG9J9VY","GSON1112150540")</f>
        <v>#NAME?</v>
      </c>
      <c r="Q1422" s="4" t="e">
        <f ca="1">[1]!BexGetData("DP_1","00O2TNJGODT0G5Z4TTKYMM5MT","GSON1112150540")</f>
        <v>#NAME?</v>
      </c>
      <c r="R1422" s="3" t="e">
        <f ca="1">[1]!BexGetData("DP_1","00O2TNJGODT0G5Z4TTKYMMBYD","GSON1112150540")</f>
        <v>#NAME?</v>
      </c>
      <c r="S1422" s="3" t="e">
        <f ca="1">[1]!BexGetData("DP_1","00O2TNJGODT0G5Z4TTKYMMI9X","GSON1112150540")</f>
        <v>#NAME?</v>
      </c>
      <c r="T1422" s="8" t="e">
        <f ca="1">[1]!BexGetData("DP_1","00O2TNJGODT0G5Z4TTKYMMOLH","GSON1112150540")</f>
        <v>#NAME?</v>
      </c>
      <c r="U1422" s="3" t="e">
        <f ca="1">[1]!BexGetData("DP_1","00O2TNJGODT0G5Z4TTKYMMUX1","GSON1112150540")</f>
        <v>#NAME?</v>
      </c>
      <c r="V1422" s="8" t="e">
        <f ca="1">[1]!BexGetData("DP_1","00O2TNJGODT0G5Z4TTKYMN18L","GSON1112150540")</f>
        <v>#NAME?</v>
      </c>
      <c r="W1422" s="3" t="e">
        <f ca="1">[1]!BexGetData("DP_1","00O2TNJGODT0G5Z4TTKYMN7K5","GSON1112150540")</f>
        <v>#NAME?</v>
      </c>
    </row>
    <row r="1423" spans="1:23" x14ac:dyDescent="0.2">
      <c r="A1423" s="16" t="s">
        <v>3846</v>
      </c>
      <c r="B1423" s="7" t="s">
        <v>3847</v>
      </c>
      <c r="C1423" s="3" t="e">
        <f ca="1">[1]!BexGetData("DP_1","003N8EMH8GTFRCSWKMPXRR8GU","GSON1112150544")</f>
        <v>#NAME?</v>
      </c>
      <c r="D1423" s="3" t="e">
        <f ca="1">[1]!BexGetData("DP_1","003N8EMH8GTFRCSWKMPXRRESE","GSON1112150544")</f>
        <v>#NAME?</v>
      </c>
      <c r="E1423" s="8" t="e">
        <f ca="1">[1]!BexGetData("DP_1","003N8EMH8GTFRCSWKMPXRRL3Y","GSON1112150544")</f>
        <v>#NAME?</v>
      </c>
      <c r="F1423" s="4" t="e">
        <f ca="1">[1]!BexGetData("DP_1","003N8EMH8GTFRCSWKMPXRRRFI","GSON1112150544")</f>
        <v>#NAME?</v>
      </c>
      <c r="G1423" s="4" t="e">
        <f ca="1">[1]!BexGetData("DP_1","003N8EMH8GTFRCSWKMPXRRXR2","GSON1112150544")</f>
        <v>#NAME?</v>
      </c>
      <c r="H1423" s="4" t="e">
        <f ca="1">[1]!BexGetData("DP_1","003N8EMH8GTFRCSWKMPXRS42M","GSON1112150544")</f>
        <v>#NAME?</v>
      </c>
      <c r="I1423" s="4" t="e">
        <f ca="1">[1]!BexGetData("DP_1","003N8EMH8GTFRCSWKMPXRSAE6","GSON1112150544")</f>
        <v>#NAME?</v>
      </c>
      <c r="J1423" s="4" t="e">
        <f ca="1">[1]!BexGetData("DP_1","003N8EMH8GTFRCSWKMPXRSGPQ","GSON1112150544")</f>
        <v>#NAME?</v>
      </c>
      <c r="K1423" s="8" t="e">
        <f ca="1">[1]!BexGetData("DP_1","003N8EMH8GTFRIVNUPY288VJH","GSON1112150544")</f>
        <v>#NAME?</v>
      </c>
      <c r="L1423" s="8" t="e">
        <f ca="1">[1]!BexGetData("DP_1","003N8EMH8GTFRIVNUPY2891V1","GSON1112150544")</f>
        <v>#NAME?</v>
      </c>
      <c r="M1423" s="8" t="e">
        <f ca="1">[1]!BexGetData("DP_1","003N8EMH8GTFRIVOG7KG9IQXA","GSON1112150544")</f>
        <v>#NAME?</v>
      </c>
      <c r="N1423" s="8" t="e">
        <f ca="1">[1]!BexGetData("DP_1","003N8EMH8GTFRIVOG7KG9IX8U","GSON1112150544")</f>
        <v>#NAME?</v>
      </c>
      <c r="O1423" s="8" t="e">
        <f ca="1">[1]!BexGetData("DP_1","003N8EMH8GTFRIVOG7KG9J3KE","GSON1112150544")</f>
        <v>#NAME?</v>
      </c>
      <c r="P1423" s="8" t="e">
        <f ca="1">[1]!BexGetData("DP_1","003N8EMH8GTFRIVOG7KG9J9VY","GSON1112150544")</f>
        <v>#NAME?</v>
      </c>
      <c r="Q1423" s="4" t="e">
        <f ca="1">[1]!BexGetData("DP_1","00O2TNJGODT0G5Z4TTKYMM5MT","GSON1112150544")</f>
        <v>#NAME?</v>
      </c>
      <c r="R1423" s="4" t="e">
        <f ca="1">[1]!BexGetData("DP_1","00O2TNJGODT0G5Z4TTKYMMBYD","GSON1112150544")</f>
        <v>#NAME?</v>
      </c>
      <c r="S1423" s="4" t="e">
        <f ca="1">[1]!BexGetData("DP_1","00O2TNJGODT0G5Z4TTKYMMI9X","GSON1112150544")</f>
        <v>#NAME?</v>
      </c>
      <c r="T1423" s="4" t="e">
        <f ca="1">[1]!BexGetData("DP_1","00O2TNJGODT0G5Z4TTKYMMOLH","GSON1112150544")</f>
        <v>#NAME?</v>
      </c>
      <c r="U1423" s="4" t="e">
        <f ca="1">[1]!BexGetData("DP_1","00O2TNJGODT0G5Z4TTKYMMUX1","GSON1112150544")</f>
        <v>#NAME?</v>
      </c>
      <c r="V1423" s="4" t="e">
        <f ca="1">[1]!BexGetData("DP_1","00O2TNJGODT0G5Z4TTKYMN18L","GSON1112150544")</f>
        <v>#NAME?</v>
      </c>
      <c r="W1423" s="4" t="e">
        <f ca="1">[1]!BexGetData("DP_1","00O2TNJGODT0G5Z4TTKYMN7K5","GSON1112150544")</f>
        <v>#NAME?</v>
      </c>
    </row>
    <row r="1424" spans="1:23" x14ac:dyDescent="0.2">
      <c r="A1424" s="16" t="s">
        <v>3848</v>
      </c>
      <c r="B1424" s="7" t="s">
        <v>3849</v>
      </c>
      <c r="C1424" s="3" t="e">
        <f ca="1">[1]!BexGetData("DP_1","003N8EMH8GTFRCSWKMPXRR8GU","GSON1112150545")</f>
        <v>#NAME?</v>
      </c>
      <c r="D1424" s="3" t="e">
        <f ca="1">[1]!BexGetData("DP_1","003N8EMH8GTFRCSWKMPXRRESE","GSON1112150545")</f>
        <v>#NAME?</v>
      </c>
      <c r="E1424" s="8" t="e">
        <f ca="1">[1]!BexGetData("DP_1","003N8EMH8GTFRCSWKMPXRRL3Y","GSON1112150545")</f>
        <v>#NAME?</v>
      </c>
      <c r="F1424" s="4" t="e">
        <f ca="1">[1]!BexGetData("DP_1","003N8EMH8GTFRCSWKMPXRRRFI","GSON1112150545")</f>
        <v>#NAME?</v>
      </c>
      <c r="G1424" s="4" t="e">
        <f ca="1">[1]!BexGetData("DP_1","003N8EMH8GTFRCSWKMPXRRXR2","GSON1112150545")</f>
        <v>#NAME?</v>
      </c>
      <c r="H1424" s="4" t="e">
        <f ca="1">[1]!BexGetData("DP_1","003N8EMH8GTFRCSWKMPXRS42M","GSON1112150545")</f>
        <v>#NAME?</v>
      </c>
      <c r="I1424" s="4" t="e">
        <f ca="1">[1]!BexGetData("DP_1","003N8EMH8GTFRCSWKMPXRSAE6","GSON1112150545")</f>
        <v>#NAME?</v>
      </c>
      <c r="J1424" s="4" t="e">
        <f ca="1">[1]!BexGetData("DP_1","003N8EMH8GTFRCSWKMPXRSGPQ","GSON1112150545")</f>
        <v>#NAME?</v>
      </c>
      <c r="K1424" s="8" t="e">
        <f ca="1">[1]!BexGetData("DP_1","003N8EMH8GTFRIVNUPY288VJH","GSON1112150545")</f>
        <v>#NAME?</v>
      </c>
      <c r="L1424" s="8" t="e">
        <f ca="1">[1]!BexGetData("DP_1","003N8EMH8GTFRIVNUPY2891V1","GSON1112150545")</f>
        <v>#NAME?</v>
      </c>
      <c r="M1424" s="8" t="e">
        <f ca="1">[1]!BexGetData("DP_1","003N8EMH8GTFRIVOG7KG9IQXA","GSON1112150545")</f>
        <v>#NAME?</v>
      </c>
      <c r="N1424" s="8" t="e">
        <f ca="1">[1]!BexGetData("DP_1","003N8EMH8GTFRIVOG7KG9IX8U","GSON1112150545")</f>
        <v>#NAME?</v>
      </c>
      <c r="O1424" s="8" t="e">
        <f ca="1">[1]!BexGetData("DP_1","003N8EMH8GTFRIVOG7KG9J3KE","GSON1112150545")</f>
        <v>#NAME?</v>
      </c>
      <c r="P1424" s="8" t="e">
        <f ca="1">[1]!BexGetData("DP_1","003N8EMH8GTFRIVOG7KG9J9VY","GSON1112150545")</f>
        <v>#NAME?</v>
      </c>
      <c r="Q1424" s="4" t="e">
        <f ca="1">[1]!BexGetData("DP_1","00O2TNJGODT0G5Z4TTKYMM5MT","GSON1112150545")</f>
        <v>#NAME?</v>
      </c>
      <c r="R1424" s="4" t="e">
        <f ca="1">[1]!BexGetData("DP_1","00O2TNJGODT0G5Z4TTKYMMBYD","GSON1112150545")</f>
        <v>#NAME?</v>
      </c>
      <c r="S1424" s="4" t="e">
        <f ca="1">[1]!BexGetData("DP_1","00O2TNJGODT0G5Z4TTKYMMI9X","GSON1112150545")</f>
        <v>#NAME?</v>
      </c>
      <c r="T1424" s="4" t="e">
        <f ca="1">[1]!BexGetData("DP_1","00O2TNJGODT0G5Z4TTKYMMOLH","GSON1112150545")</f>
        <v>#NAME?</v>
      </c>
      <c r="U1424" s="4" t="e">
        <f ca="1">[1]!BexGetData("DP_1","00O2TNJGODT0G5Z4TTKYMMUX1","GSON1112150545")</f>
        <v>#NAME?</v>
      </c>
      <c r="V1424" s="4" t="e">
        <f ca="1">[1]!BexGetData("DP_1","00O2TNJGODT0G5Z4TTKYMN18L","GSON1112150545")</f>
        <v>#NAME?</v>
      </c>
      <c r="W1424" s="4" t="e">
        <f ca="1">[1]!BexGetData("DP_1","00O2TNJGODT0G5Z4TTKYMN7K5","GSON1112150545")</f>
        <v>#NAME?</v>
      </c>
    </row>
    <row r="1425" spans="1:23" x14ac:dyDescent="0.2">
      <c r="A1425" s="16" t="s">
        <v>3850</v>
      </c>
      <c r="B1425" s="7" t="s">
        <v>3851</v>
      </c>
      <c r="C1425" s="3" t="e">
        <f ca="1">[1]!BexGetData("DP_1","003N8EMH8GTFRCSWKMPXRR8GU","GSON1112150550")</f>
        <v>#NAME?</v>
      </c>
      <c r="D1425" s="3" t="e">
        <f ca="1">[1]!BexGetData("DP_1","003N8EMH8GTFRCSWKMPXRRESE","GSON1112150550")</f>
        <v>#NAME?</v>
      </c>
      <c r="E1425" s="8" t="e">
        <f ca="1">[1]!BexGetData("DP_1","003N8EMH8GTFRCSWKMPXRRL3Y","GSON1112150550")</f>
        <v>#NAME?</v>
      </c>
      <c r="F1425" s="3" t="e">
        <f ca="1">[1]!BexGetData("DP_1","003N8EMH8GTFRCSWKMPXRRRFI","GSON1112150550")</f>
        <v>#NAME?</v>
      </c>
      <c r="G1425" s="3" t="e">
        <f ca="1">[1]!BexGetData("DP_1","003N8EMH8GTFRCSWKMPXRRXR2","GSON1112150550")</f>
        <v>#NAME?</v>
      </c>
      <c r="H1425" s="8" t="e">
        <f ca="1">[1]!BexGetData("DP_1","003N8EMH8GTFRCSWKMPXRS42M","GSON1112150550")</f>
        <v>#NAME?</v>
      </c>
      <c r="I1425" s="3" t="e">
        <f ca="1">[1]!BexGetData("DP_1","003N8EMH8GTFRCSWKMPXRSAE6","GSON1112150550")</f>
        <v>#NAME?</v>
      </c>
      <c r="J1425" s="4" t="e">
        <f ca="1">[1]!BexGetData("DP_1","003N8EMH8GTFRCSWKMPXRSGPQ","GSON1112150550")</f>
        <v>#NAME?</v>
      </c>
      <c r="K1425" s="3" t="e">
        <f ca="1">[1]!BexGetData("DP_1","003N8EMH8GTFRIVNUPY288VJH","GSON1112150550")</f>
        <v>#NAME?</v>
      </c>
      <c r="L1425" s="3" t="e">
        <f ca="1">[1]!BexGetData("DP_1","003N8EMH8GTFRIVNUPY2891V1","GSON1112150550")</f>
        <v>#NAME?</v>
      </c>
      <c r="M1425" s="3" t="e">
        <f ca="1">[1]!BexGetData("DP_1","003N8EMH8GTFRIVOG7KG9IQXA","GSON1112150550")</f>
        <v>#NAME?</v>
      </c>
      <c r="N1425" s="8" t="e">
        <f ca="1">[1]!BexGetData("DP_1","003N8EMH8GTFRIVOG7KG9IX8U","GSON1112150550")</f>
        <v>#NAME?</v>
      </c>
      <c r="O1425" s="3" t="e">
        <f ca="1">[1]!BexGetData("DP_1","003N8EMH8GTFRIVOG7KG9J3KE","GSON1112150550")</f>
        <v>#NAME?</v>
      </c>
      <c r="P1425" s="8" t="e">
        <f ca="1">[1]!BexGetData("DP_1","003N8EMH8GTFRIVOG7KG9J9VY","GSON1112150550")</f>
        <v>#NAME?</v>
      </c>
      <c r="Q1425" s="4" t="e">
        <f ca="1">[1]!BexGetData("DP_1","00O2TNJGODT0G5Z4TTKYMM5MT","GSON1112150550")</f>
        <v>#NAME?</v>
      </c>
      <c r="R1425" s="3" t="e">
        <f ca="1">[1]!BexGetData("DP_1","00O2TNJGODT0G5Z4TTKYMMBYD","GSON1112150550")</f>
        <v>#NAME?</v>
      </c>
      <c r="S1425" s="3" t="e">
        <f ca="1">[1]!BexGetData("DP_1","00O2TNJGODT0G5Z4TTKYMMI9X","GSON1112150550")</f>
        <v>#NAME?</v>
      </c>
      <c r="T1425" s="8" t="e">
        <f ca="1">[1]!BexGetData("DP_1","00O2TNJGODT0G5Z4TTKYMMOLH","GSON1112150550")</f>
        <v>#NAME?</v>
      </c>
      <c r="U1425" s="3" t="e">
        <f ca="1">[1]!BexGetData("DP_1","00O2TNJGODT0G5Z4TTKYMMUX1","GSON1112150550")</f>
        <v>#NAME?</v>
      </c>
      <c r="V1425" s="8" t="e">
        <f ca="1">[1]!BexGetData("DP_1","00O2TNJGODT0G5Z4TTKYMN18L","GSON1112150550")</f>
        <v>#NAME?</v>
      </c>
      <c r="W1425" s="3" t="e">
        <f ca="1">[1]!BexGetData("DP_1","00O2TNJGODT0G5Z4TTKYMN7K5","GSON1112150550")</f>
        <v>#NAME?</v>
      </c>
    </row>
    <row r="1426" spans="1:23" x14ac:dyDescent="0.2">
      <c r="A1426" s="16" t="s">
        <v>3852</v>
      </c>
      <c r="B1426" s="7" t="s">
        <v>3853</v>
      </c>
      <c r="C1426" s="3" t="e">
        <f ca="1">[1]!BexGetData("DP_1","003N8EMH8GTFRCSWKMPXRR8GU","GSON1112150552")</f>
        <v>#NAME?</v>
      </c>
      <c r="D1426" s="3" t="e">
        <f ca="1">[1]!BexGetData("DP_1","003N8EMH8GTFRCSWKMPXRRESE","GSON1112150552")</f>
        <v>#NAME?</v>
      </c>
      <c r="E1426" s="8" t="e">
        <f ca="1">[1]!BexGetData("DP_1","003N8EMH8GTFRCSWKMPXRRL3Y","GSON1112150552")</f>
        <v>#NAME?</v>
      </c>
      <c r="F1426" s="3" t="e">
        <f ca="1">[1]!BexGetData("DP_1","003N8EMH8GTFRCSWKMPXRRRFI","GSON1112150552")</f>
        <v>#NAME?</v>
      </c>
      <c r="G1426" s="8" t="e">
        <f ca="1">[1]!BexGetData("DP_1","003N8EMH8GTFRCSWKMPXRRXR2","GSON1112150552")</f>
        <v>#NAME?</v>
      </c>
      <c r="H1426" s="3" t="e">
        <f ca="1">[1]!BexGetData("DP_1","003N8EMH8GTFRCSWKMPXRS42M","GSON1112150552")</f>
        <v>#NAME?</v>
      </c>
      <c r="I1426" s="3" t="e">
        <f ca="1">[1]!BexGetData("DP_1","003N8EMH8GTFRCSWKMPXRSAE6","GSON1112150552")</f>
        <v>#NAME?</v>
      </c>
      <c r="J1426" s="4" t="e">
        <f ca="1">[1]!BexGetData("DP_1","003N8EMH8GTFRCSWKMPXRSGPQ","GSON1112150552")</f>
        <v>#NAME?</v>
      </c>
      <c r="K1426" s="3" t="e">
        <f ca="1">[1]!BexGetData("DP_1","003N8EMH8GTFRIVNUPY288VJH","GSON1112150552")</f>
        <v>#NAME?</v>
      </c>
      <c r="L1426" s="3" t="e">
        <f ca="1">[1]!BexGetData("DP_1","003N8EMH8GTFRIVNUPY2891V1","GSON1112150552")</f>
        <v>#NAME?</v>
      </c>
      <c r="M1426" s="8" t="e">
        <f ca="1">[1]!BexGetData("DP_1","003N8EMH8GTFRIVOG7KG9IQXA","GSON1112150552")</f>
        <v>#NAME?</v>
      </c>
      <c r="N1426" s="3" t="e">
        <f ca="1">[1]!BexGetData("DP_1","003N8EMH8GTFRIVOG7KG9IX8U","GSON1112150552")</f>
        <v>#NAME?</v>
      </c>
      <c r="O1426" s="8" t="e">
        <f ca="1">[1]!BexGetData("DP_1","003N8EMH8GTFRIVOG7KG9J3KE","GSON1112150552")</f>
        <v>#NAME?</v>
      </c>
      <c r="P1426" s="3" t="e">
        <f ca="1">[1]!BexGetData("DP_1","003N8EMH8GTFRIVOG7KG9J9VY","GSON1112150552")</f>
        <v>#NAME?</v>
      </c>
      <c r="Q1426" s="4" t="e">
        <f ca="1">[1]!BexGetData("DP_1","00O2TNJGODT0G5Z4TTKYMM5MT","GSON1112150552")</f>
        <v>#NAME?</v>
      </c>
      <c r="R1426" s="3" t="e">
        <f ca="1">[1]!BexGetData("DP_1","00O2TNJGODT0G5Z4TTKYMMBYD","GSON1112150552")</f>
        <v>#NAME?</v>
      </c>
      <c r="S1426" s="3" t="e">
        <f ca="1">[1]!BexGetData("DP_1","00O2TNJGODT0G5Z4TTKYMMI9X","GSON1112150552")</f>
        <v>#NAME?</v>
      </c>
      <c r="T1426" s="3" t="e">
        <f ca="1">[1]!BexGetData("DP_1","00O2TNJGODT0G5Z4TTKYMMOLH","GSON1112150552")</f>
        <v>#NAME?</v>
      </c>
      <c r="U1426" s="8" t="e">
        <f ca="1">[1]!BexGetData("DP_1","00O2TNJGODT0G5Z4TTKYMMUX1","GSON1112150552")</f>
        <v>#NAME?</v>
      </c>
      <c r="V1426" s="3" t="e">
        <f ca="1">[1]!BexGetData("DP_1","00O2TNJGODT0G5Z4TTKYMN18L","GSON1112150552")</f>
        <v>#NAME?</v>
      </c>
      <c r="W1426" s="8" t="e">
        <f ca="1">[1]!BexGetData("DP_1","00O2TNJGODT0G5Z4TTKYMN7K5","GSON1112150552")</f>
        <v>#NAME?</v>
      </c>
    </row>
    <row r="1427" spans="1:23" x14ac:dyDescent="0.2">
      <c r="A1427" s="16" t="s">
        <v>3854</v>
      </c>
      <c r="B1427" s="7" t="s">
        <v>3855</v>
      </c>
      <c r="C1427" s="3" t="e">
        <f ca="1">[1]!BexGetData("DP_1","003N8EMH8GTFRCSWKMPXRR8GU","GSON1112150554")</f>
        <v>#NAME?</v>
      </c>
      <c r="D1427" s="3" t="e">
        <f ca="1">[1]!BexGetData("DP_1","003N8EMH8GTFRCSWKMPXRRESE","GSON1112150554")</f>
        <v>#NAME?</v>
      </c>
      <c r="E1427" s="8" t="e">
        <f ca="1">[1]!BexGetData("DP_1","003N8EMH8GTFRCSWKMPXRRL3Y","GSON1112150554")</f>
        <v>#NAME?</v>
      </c>
      <c r="F1427" s="4" t="e">
        <f ca="1">[1]!BexGetData("DP_1","003N8EMH8GTFRCSWKMPXRRRFI","GSON1112150554")</f>
        <v>#NAME?</v>
      </c>
      <c r="G1427" s="4" t="e">
        <f ca="1">[1]!BexGetData("DP_1","003N8EMH8GTFRCSWKMPXRRXR2","GSON1112150554")</f>
        <v>#NAME?</v>
      </c>
      <c r="H1427" s="4" t="e">
        <f ca="1">[1]!BexGetData("DP_1","003N8EMH8GTFRCSWKMPXRS42M","GSON1112150554")</f>
        <v>#NAME?</v>
      </c>
      <c r="I1427" s="4" t="e">
        <f ca="1">[1]!BexGetData("DP_1","003N8EMH8GTFRCSWKMPXRSAE6","GSON1112150554")</f>
        <v>#NAME?</v>
      </c>
      <c r="J1427" s="4" t="e">
        <f ca="1">[1]!BexGetData("DP_1","003N8EMH8GTFRCSWKMPXRSGPQ","GSON1112150554")</f>
        <v>#NAME?</v>
      </c>
      <c r="K1427" s="8" t="e">
        <f ca="1">[1]!BexGetData("DP_1","003N8EMH8GTFRIVNUPY288VJH","GSON1112150554")</f>
        <v>#NAME?</v>
      </c>
      <c r="L1427" s="8" t="e">
        <f ca="1">[1]!BexGetData("DP_1","003N8EMH8GTFRIVNUPY2891V1","GSON1112150554")</f>
        <v>#NAME?</v>
      </c>
      <c r="M1427" s="8" t="e">
        <f ca="1">[1]!BexGetData("DP_1","003N8EMH8GTFRIVOG7KG9IQXA","GSON1112150554")</f>
        <v>#NAME?</v>
      </c>
      <c r="N1427" s="8" t="e">
        <f ca="1">[1]!BexGetData("DP_1","003N8EMH8GTFRIVOG7KG9IX8U","GSON1112150554")</f>
        <v>#NAME?</v>
      </c>
      <c r="O1427" s="8" t="e">
        <f ca="1">[1]!BexGetData("DP_1","003N8EMH8GTFRIVOG7KG9J3KE","GSON1112150554")</f>
        <v>#NAME?</v>
      </c>
      <c r="P1427" s="8" t="e">
        <f ca="1">[1]!BexGetData("DP_1","003N8EMH8GTFRIVOG7KG9J9VY","GSON1112150554")</f>
        <v>#NAME?</v>
      </c>
      <c r="Q1427" s="4" t="e">
        <f ca="1">[1]!BexGetData("DP_1","00O2TNJGODT0G5Z4TTKYMM5MT","GSON1112150554")</f>
        <v>#NAME?</v>
      </c>
      <c r="R1427" s="4" t="e">
        <f ca="1">[1]!BexGetData("DP_1","00O2TNJGODT0G5Z4TTKYMMBYD","GSON1112150554")</f>
        <v>#NAME?</v>
      </c>
      <c r="S1427" s="4" t="e">
        <f ca="1">[1]!BexGetData("DP_1","00O2TNJGODT0G5Z4TTKYMMI9X","GSON1112150554")</f>
        <v>#NAME?</v>
      </c>
      <c r="T1427" s="4" t="e">
        <f ca="1">[1]!BexGetData("DP_1","00O2TNJGODT0G5Z4TTKYMMOLH","GSON1112150554")</f>
        <v>#NAME?</v>
      </c>
      <c r="U1427" s="4" t="e">
        <f ca="1">[1]!BexGetData("DP_1","00O2TNJGODT0G5Z4TTKYMMUX1","GSON1112150554")</f>
        <v>#NAME?</v>
      </c>
      <c r="V1427" s="4" t="e">
        <f ca="1">[1]!BexGetData("DP_1","00O2TNJGODT0G5Z4TTKYMN18L","GSON1112150554")</f>
        <v>#NAME?</v>
      </c>
      <c r="W1427" s="4" t="e">
        <f ca="1">[1]!BexGetData("DP_1","00O2TNJGODT0G5Z4TTKYMN7K5","GSON1112150554")</f>
        <v>#NAME?</v>
      </c>
    </row>
    <row r="1428" spans="1:23" x14ac:dyDescent="0.2">
      <c r="A1428" s="16" t="s">
        <v>3856</v>
      </c>
      <c r="B1428" s="7" t="s">
        <v>3857</v>
      </c>
      <c r="C1428" s="3" t="e">
        <f ca="1">[1]!BexGetData("DP_1","003N8EMH8GTFRCSWKMPXRR8GU","GSON1112150555")</f>
        <v>#NAME?</v>
      </c>
      <c r="D1428" s="3" t="e">
        <f ca="1">[1]!BexGetData("DP_1","003N8EMH8GTFRCSWKMPXRRESE","GSON1112150555")</f>
        <v>#NAME?</v>
      </c>
      <c r="E1428" s="8" t="e">
        <f ca="1">[1]!BexGetData("DP_1","003N8EMH8GTFRCSWKMPXRRL3Y","GSON1112150555")</f>
        <v>#NAME?</v>
      </c>
      <c r="F1428" s="4" t="e">
        <f ca="1">[1]!BexGetData("DP_1","003N8EMH8GTFRCSWKMPXRRRFI","GSON1112150555")</f>
        <v>#NAME?</v>
      </c>
      <c r="G1428" s="4" t="e">
        <f ca="1">[1]!BexGetData("DP_1","003N8EMH8GTFRCSWKMPXRRXR2","GSON1112150555")</f>
        <v>#NAME?</v>
      </c>
      <c r="H1428" s="4" t="e">
        <f ca="1">[1]!BexGetData("DP_1","003N8EMH8GTFRCSWKMPXRS42M","GSON1112150555")</f>
        <v>#NAME?</v>
      </c>
      <c r="I1428" s="4" t="e">
        <f ca="1">[1]!BexGetData("DP_1","003N8EMH8GTFRCSWKMPXRSAE6","GSON1112150555")</f>
        <v>#NAME?</v>
      </c>
      <c r="J1428" s="4" t="e">
        <f ca="1">[1]!BexGetData("DP_1","003N8EMH8GTFRCSWKMPXRSGPQ","GSON1112150555")</f>
        <v>#NAME?</v>
      </c>
      <c r="K1428" s="8" t="e">
        <f ca="1">[1]!BexGetData("DP_1","003N8EMH8GTFRIVNUPY288VJH","GSON1112150555")</f>
        <v>#NAME?</v>
      </c>
      <c r="L1428" s="8" t="e">
        <f ca="1">[1]!BexGetData("DP_1","003N8EMH8GTFRIVNUPY2891V1","GSON1112150555")</f>
        <v>#NAME?</v>
      </c>
      <c r="M1428" s="8" t="e">
        <f ca="1">[1]!BexGetData("DP_1","003N8EMH8GTFRIVOG7KG9IQXA","GSON1112150555")</f>
        <v>#NAME?</v>
      </c>
      <c r="N1428" s="8" t="e">
        <f ca="1">[1]!BexGetData("DP_1","003N8EMH8GTFRIVOG7KG9IX8U","GSON1112150555")</f>
        <v>#NAME?</v>
      </c>
      <c r="O1428" s="8" t="e">
        <f ca="1">[1]!BexGetData("DP_1","003N8EMH8GTFRIVOG7KG9J3KE","GSON1112150555")</f>
        <v>#NAME?</v>
      </c>
      <c r="P1428" s="8" t="e">
        <f ca="1">[1]!BexGetData("DP_1","003N8EMH8GTFRIVOG7KG9J9VY","GSON1112150555")</f>
        <v>#NAME?</v>
      </c>
      <c r="Q1428" s="4" t="e">
        <f ca="1">[1]!BexGetData("DP_1","00O2TNJGODT0G5Z4TTKYMM5MT","GSON1112150555")</f>
        <v>#NAME?</v>
      </c>
      <c r="R1428" s="4" t="e">
        <f ca="1">[1]!BexGetData("DP_1","00O2TNJGODT0G5Z4TTKYMMBYD","GSON1112150555")</f>
        <v>#NAME?</v>
      </c>
      <c r="S1428" s="4" t="e">
        <f ca="1">[1]!BexGetData("DP_1","00O2TNJGODT0G5Z4TTKYMMI9X","GSON1112150555")</f>
        <v>#NAME?</v>
      </c>
      <c r="T1428" s="4" t="e">
        <f ca="1">[1]!BexGetData("DP_1","00O2TNJGODT0G5Z4TTKYMMOLH","GSON1112150555")</f>
        <v>#NAME?</v>
      </c>
      <c r="U1428" s="4" t="e">
        <f ca="1">[1]!BexGetData("DP_1","00O2TNJGODT0G5Z4TTKYMMUX1","GSON1112150555")</f>
        <v>#NAME?</v>
      </c>
      <c r="V1428" s="4" t="e">
        <f ca="1">[1]!BexGetData("DP_1","00O2TNJGODT0G5Z4TTKYMN18L","GSON1112150555")</f>
        <v>#NAME?</v>
      </c>
      <c r="W1428" s="4" t="e">
        <f ca="1">[1]!BexGetData("DP_1","00O2TNJGODT0G5Z4TTKYMN7K5","GSON1112150555")</f>
        <v>#NAME?</v>
      </c>
    </row>
    <row r="1429" spans="1:23" x14ac:dyDescent="0.2">
      <c r="A1429" s="16" t="s">
        <v>3858</v>
      </c>
      <c r="B1429" s="7" t="s">
        <v>3859</v>
      </c>
      <c r="C1429" s="8" t="e">
        <f ca="1">[1]!BexGetData("DP_1","003N8EMH8GTFRCSWKMPXRR8GU","GSON1112150560")</f>
        <v>#NAME?</v>
      </c>
      <c r="D1429" s="3" t="e">
        <f ca="1">[1]!BexGetData("DP_1","003N8EMH8GTFRCSWKMPXRRESE","GSON1112150560")</f>
        <v>#NAME?</v>
      </c>
      <c r="E1429" s="8" t="e">
        <f ca="1">[1]!BexGetData("DP_1","003N8EMH8GTFRCSWKMPXRRL3Y","GSON1112150560")</f>
        <v>#NAME?</v>
      </c>
      <c r="F1429" s="3" t="e">
        <f ca="1">[1]!BexGetData("DP_1","003N8EMH8GTFRCSWKMPXRRRFI","GSON1112150560")</f>
        <v>#NAME?</v>
      </c>
      <c r="G1429" s="3" t="e">
        <f ca="1">[1]!BexGetData("DP_1","003N8EMH8GTFRCSWKMPXRRXR2","GSON1112150560")</f>
        <v>#NAME?</v>
      </c>
      <c r="H1429" s="8" t="e">
        <f ca="1">[1]!BexGetData("DP_1","003N8EMH8GTFRCSWKMPXRS42M","GSON1112150560")</f>
        <v>#NAME?</v>
      </c>
      <c r="I1429" s="3" t="e">
        <f ca="1">[1]!BexGetData("DP_1","003N8EMH8GTFRCSWKMPXRSAE6","GSON1112150560")</f>
        <v>#NAME?</v>
      </c>
      <c r="J1429" s="4" t="e">
        <f ca="1">[1]!BexGetData("DP_1","003N8EMH8GTFRCSWKMPXRSGPQ","GSON1112150560")</f>
        <v>#NAME?</v>
      </c>
      <c r="K1429" s="3" t="e">
        <f ca="1">[1]!BexGetData("DP_1","003N8EMH8GTFRIVNUPY288VJH","GSON1112150560")</f>
        <v>#NAME?</v>
      </c>
      <c r="L1429" s="3" t="e">
        <f ca="1">[1]!BexGetData("DP_1","003N8EMH8GTFRIVNUPY2891V1","GSON1112150560")</f>
        <v>#NAME?</v>
      </c>
      <c r="M1429" s="3" t="e">
        <f ca="1">[1]!BexGetData("DP_1","003N8EMH8GTFRIVOG7KG9IQXA","GSON1112150560")</f>
        <v>#NAME?</v>
      </c>
      <c r="N1429" s="8" t="e">
        <f ca="1">[1]!BexGetData("DP_1","003N8EMH8GTFRIVOG7KG9IX8U","GSON1112150560")</f>
        <v>#NAME?</v>
      </c>
      <c r="O1429" s="3" t="e">
        <f ca="1">[1]!BexGetData("DP_1","003N8EMH8GTFRIVOG7KG9J3KE","GSON1112150560")</f>
        <v>#NAME?</v>
      </c>
      <c r="P1429" s="8" t="e">
        <f ca="1">[1]!BexGetData("DP_1","003N8EMH8GTFRIVOG7KG9J9VY","GSON1112150560")</f>
        <v>#NAME?</v>
      </c>
      <c r="Q1429" s="4" t="e">
        <f ca="1">[1]!BexGetData("DP_1","00O2TNJGODT0G5Z4TTKYMM5MT","GSON1112150560")</f>
        <v>#NAME?</v>
      </c>
      <c r="R1429" s="3" t="e">
        <f ca="1">[1]!BexGetData("DP_1","00O2TNJGODT0G5Z4TTKYMMBYD","GSON1112150560")</f>
        <v>#NAME?</v>
      </c>
      <c r="S1429" s="3" t="e">
        <f ca="1">[1]!BexGetData("DP_1","00O2TNJGODT0G5Z4TTKYMMI9X","GSON1112150560")</f>
        <v>#NAME?</v>
      </c>
      <c r="T1429" s="8" t="e">
        <f ca="1">[1]!BexGetData("DP_1","00O2TNJGODT0G5Z4TTKYMMOLH","GSON1112150560")</f>
        <v>#NAME?</v>
      </c>
      <c r="U1429" s="3" t="e">
        <f ca="1">[1]!BexGetData("DP_1","00O2TNJGODT0G5Z4TTKYMMUX1","GSON1112150560")</f>
        <v>#NAME?</v>
      </c>
      <c r="V1429" s="8" t="e">
        <f ca="1">[1]!BexGetData("DP_1","00O2TNJGODT0G5Z4TTKYMN18L","GSON1112150560")</f>
        <v>#NAME?</v>
      </c>
      <c r="W1429" s="3" t="e">
        <f ca="1">[1]!BexGetData("DP_1","00O2TNJGODT0G5Z4TTKYMN7K5","GSON1112150560")</f>
        <v>#NAME?</v>
      </c>
    </row>
    <row r="1430" spans="1:23" x14ac:dyDescent="0.2">
      <c r="A1430" s="16" t="s">
        <v>3860</v>
      </c>
      <c r="B1430" s="7" t="s">
        <v>3861</v>
      </c>
      <c r="C1430" s="3" t="e">
        <f ca="1">[1]!BexGetData("DP_1","003N8EMH8GTFRCSWKMPXRR8GU","GSON1112150564")</f>
        <v>#NAME?</v>
      </c>
      <c r="D1430" s="3" t="e">
        <f ca="1">[1]!BexGetData("DP_1","003N8EMH8GTFRCSWKMPXRRESE","GSON1112150564")</f>
        <v>#NAME?</v>
      </c>
      <c r="E1430" s="8" t="e">
        <f ca="1">[1]!BexGetData("DP_1","003N8EMH8GTFRCSWKMPXRRL3Y","GSON1112150564")</f>
        <v>#NAME?</v>
      </c>
      <c r="F1430" s="4" t="e">
        <f ca="1">[1]!BexGetData("DP_1","003N8EMH8GTFRCSWKMPXRRRFI","GSON1112150564")</f>
        <v>#NAME?</v>
      </c>
      <c r="G1430" s="4" t="e">
        <f ca="1">[1]!BexGetData("DP_1","003N8EMH8GTFRCSWKMPXRRXR2","GSON1112150564")</f>
        <v>#NAME?</v>
      </c>
      <c r="H1430" s="4" t="e">
        <f ca="1">[1]!BexGetData("DP_1","003N8EMH8GTFRCSWKMPXRS42M","GSON1112150564")</f>
        <v>#NAME?</v>
      </c>
      <c r="I1430" s="4" t="e">
        <f ca="1">[1]!BexGetData("DP_1","003N8EMH8GTFRCSWKMPXRSAE6","GSON1112150564")</f>
        <v>#NAME?</v>
      </c>
      <c r="J1430" s="4" t="e">
        <f ca="1">[1]!BexGetData("DP_1","003N8EMH8GTFRCSWKMPXRSGPQ","GSON1112150564")</f>
        <v>#NAME?</v>
      </c>
      <c r="K1430" s="8" t="e">
        <f ca="1">[1]!BexGetData("DP_1","003N8EMH8GTFRIVNUPY288VJH","GSON1112150564")</f>
        <v>#NAME?</v>
      </c>
      <c r="L1430" s="8" t="e">
        <f ca="1">[1]!BexGetData("DP_1","003N8EMH8GTFRIVNUPY2891V1","GSON1112150564")</f>
        <v>#NAME?</v>
      </c>
      <c r="M1430" s="8" t="e">
        <f ca="1">[1]!BexGetData("DP_1","003N8EMH8GTFRIVOG7KG9IQXA","GSON1112150564")</f>
        <v>#NAME?</v>
      </c>
      <c r="N1430" s="8" t="e">
        <f ca="1">[1]!BexGetData("DP_1","003N8EMH8GTFRIVOG7KG9IX8U","GSON1112150564")</f>
        <v>#NAME?</v>
      </c>
      <c r="O1430" s="8" t="e">
        <f ca="1">[1]!BexGetData("DP_1","003N8EMH8GTFRIVOG7KG9J3KE","GSON1112150564")</f>
        <v>#NAME?</v>
      </c>
      <c r="P1430" s="8" t="e">
        <f ca="1">[1]!BexGetData("DP_1","003N8EMH8GTFRIVOG7KG9J9VY","GSON1112150564")</f>
        <v>#NAME?</v>
      </c>
      <c r="Q1430" s="4" t="e">
        <f ca="1">[1]!BexGetData("DP_1","00O2TNJGODT0G5Z4TTKYMM5MT","GSON1112150564")</f>
        <v>#NAME?</v>
      </c>
      <c r="R1430" s="4" t="e">
        <f ca="1">[1]!BexGetData("DP_1","00O2TNJGODT0G5Z4TTKYMMBYD","GSON1112150564")</f>
        <v>#NAME?</v>
      </c>
      <c r="S1430" s="4" t="e">
        <f ca="1">[1]!BexGetData("DP_1","00O2TNJGODT0G5Z4TTKYMMI9X","GSON1112150564")</f>
        <v>#NAME?</v>
      </c>
      <c r="T1430" s="4" t="e">
        <f ca="1">[1]!BexGetData("DP_1","00O2TNJGODT0G5Z4TTKYMMOLH","GSON1112150564")</f>
        <v>#NAME?</v>
      </c>
      <c r="U1430" s="4" t="e">
        <f ca="1">[1]!BexGetData("DP_1","00O2TNJGODT0G5Z4TTKYMMUX1","GSON1112150564")</f>
        <v>#NAME?</v>
      </c>
      <c r="V1430" s="4" t="e">
        <f ca="1">[1]!BexGetData("DP_1","00O2TNJGODT0G5Z4TTKYMN18L","GSON1112150564")</f>
        <v>#NAME?</v>
      </c>
      <c r="W1430" s="4" t="e">
        <f ca="1">[1]!BexGetData("DP_1","00O2TNJGODT0G5Z4TTKYMN7K5","GSON1112150564")</f>
        <v>#NAME?</v>
      </c>
    </row>
    <row r="1431" spans="1:23" x14ac:dyDescent="0.2">
      <c r="A1431" s="16" t="s">
        <v>3862</v>
      </c>
      <c r="B1431" s="7" t="s">
        <v>3863</v>
      </c>
      <c r="C1431" s="3" t="e">
        <f ca="1">[1]!BexGetData("DP_1","003N8EMH8GTFRCSWKMPXRR8GU","GSON1112150565")</f>
        <v>#NAME?</v>
      </c>
      <c r="D1431" s="3" t="e">
        <f ca="1">[1]!BexGetData("DP_1","003N8EMH8GTFRCSWKMPXRRESE","GSON1112150565")</f>
        <v>#NAME?</v>
      </c>
      <c r="E1431" s="8" t="e">
        <f ca="1">[1]!BexGetData("DP_1","003N8EMH8GTFRCSWKMPXRRL3Y","GSON1112150565")</f>
        <v>#NAME?</v>
      </c>
      <c r="F1431" s="4" t="e">
        <f ca="1">[1]!BexGetData("DP_1","003N8EMH8GTFRCSWKMPXRRRFI","GSON1112150565")</f>
        <v>#NAME?</v>
      </c>
      <c r="G1431" s="4" t="e">
        <f ca="1">[1]!BexGetData("DP_1","003N8EMH8GTFRCSWKMPXRRXR2","GSON1112150565")</f>
        <v>#NAME?</v>
      </c>
      <c r="H1431" s="4" t="e">
        <f ca="1">[1]!BexGetData("DP_1","003N8EMH8GTFRCSWKMPXRS42M","GSON1112150565")</f>
        <v>#NAME?</v>
      </c>
      <c r="I1431" s="4" t="e">
        <f ca="1">[1]!BexGetData("DP_1","003N8EMH8GTFRCSWKMPXRSAE6","GSON1112150565")</f>
        <v>#NAME?</v>
      </c>
      <c r="J1431" s="4" t="e">
        <f ca="1">[1]!BexGetData("DP_1","003N8EMH8GTFRCSWKMPXRSGPQ","GSON1112150565")</f>
        <v>#NAME?</v>
      </c>
      <c r="K1431" s="8" t="e">
        <f ca="1">[1]!BexGetData("DP_1","003N8EMH8GTFRIVNUPY288VJH","GSON1112150565")</f>
        <v>#NAME?</v>
      </c>
      <c r="L1431" s="8" t="e">
        <f ca="1">[1]!BexGetData("DP_1","003N8EMH8GTFRIVNUPY2891V1","GSON1112150565")</f>
        <v>#NAME?</v>
      </c>
      <c r="M1431" s="8" t="e">
        <f ca="1">[1]!BexGetData("DP_1","003N8EMH8GTFRIVOG7KG9IQXA","GSON1112150565")</f>
        <v>#NAME?</v>
      </c>
      <c r="N1431" s="8" t="e">
        <f ca="1">[1]!BexGetData("DP_1","003N8EMH8GTFRIVOG7KG9IX8U","GSON1112150565")</f>
        <v>#NAME?</v>
      </c>
      <c r="O1431" s="8" t="e">
        <f ca="1">[1]!BexGetData("DP_1","003N8EMH8GTFRIVOG7KG9J3KE","GSON1112150565")</f>
        <v>#NAME?</v>
      </c>
      <c r="P1431" s="8" t="e">
        <f ca="1">[1]!BexGetData("DP_1","003N8EMH8GTFRIVOG7KG9J9VY","GSON1112150565")</f>
        <v>#NAME?</v>
      </c>
      <c r="Q1431" s="4" t="e">
        <f ca="1">[1]!BexGetData("DP_1","00O2TNJGODT0G5Z4TTKYMM5MT","GSON1112150565")</f>
        <v>#NAME?</v>
      </c>
      <c r="R1431" s="4" t="e">
        <f ca="1">[1]!BexGetData("DP_1","00O2TNJGODT0G5Z4TTKYMMBYD","GSON1112150565")</f>
        <v>#NAME?</v>
      </c>
      <c r="S1431" s="4" t="e">
        <f ca="1">[1]!BexGetData("DP_1","00O2TNJGODT0G5Z4TTKYMMI9X","GSON1112150565")</f>
        <v>#NAME?</v>
      </c>
      <c r="T1431" s="4" t="e">
        <f ca="1">[1]!BexGetData("DP_1","00O2TNJGODT0G5Z4TTKYMMOLH","GSON1112150565")</f>
        <v>#NAME?</v>
      </c>
      <c r="U1431" s="4" t="e">
        <f ca="1">[1]!BexGetData("DP_1","00O2TNJGODT0G5Z4TTKYMMUX1","GSON1112150565")</f>
        <v>#NAME?</v>
      </c>
      <c r="V1431" s="4" t="e">
        <f ca="1">[1]!BexGetData("DP_1","00O2TNJGODT0G5Z4TTKYMN18L","GSON1112150565")</f>
        <v>#NAME?</v>
      </c>
      <c r="W1431" s="4" t="e">
        <f ca="1">[1]!BexGetData("DP_1","00O2TNJGODT0G5Z4TTKYMN7K5","GSON1112150565")</f>
        <v>#NAME?</v>
      </c>
    </row>
    <row r="1432" spans="1:23" x14ac:dyDescent="0.2">
      <c r="A1432" s="16" t="s">
        <v>3864</v>
      </c>
      <c r="B1432" s="7" t="s">
        <v>3865</v>
      </c>
      <c r="C1432" s="3" t="e">
        <f ca="1">[1]!BexGetData("DP_1","003N8EMH8GTFRCSWKMPXRR8GU","GSON1112150590")</f>
        <v>#NAME?</v>
      </c>
      <c r="D1432" s="3" t="e">
        <f ca="1">[1]!BexGetData("DP_1","003N8EMH8GTFRCSWKMPXRRESE","GSON1112150590")</f>
        <v>#NAME?</v>
      </c>
      <c r="E1432" s="8" t="e">
        <f ca="1">[1]!BexGetData("DP_1","003N8EMH8GTFRCSWKMPXRRL3Y","GSON1112150590")</f>
        <v>#NAME?</v>
      </c>
      <c r="F1432" s="3" t="e">
        <f ca="1">[1]!BexGetData("DP_1","003N8EMH8GTFRCSWKMPXRRRFI","GSON1112150590")</f>
        <v>#NAME?</v>
      </c>
      <c r="G1432" s="3" t="e">
        <f ca="1">[1]!BexGetData("DP_1","003N8EMH8GTFRCSWKMPXRRXR2","GSON1112150590")</f>
        <v>#NAME?</v>
      </c>
      <c r="H1432" s="8" t="e">
        <f ca="1">[1]!BexGetData("DP_1","003N8EMH8GTFRCSWKMPXRS42M","GSON1112150590")</f>
        <v>#NAME?</v>
      </c>
      <c r="I1432" s="3" t="e">
        <f ca="1">[1]!BexGetData("DP_1","003N8EMH8GTFRCSWKMPXRSAE6","GSON1112150590")</f>
        <v>#NAME?</v>
      </c>
      <c r="J1432" s="4" t="e">
        <f ca="1">[1]!BexGetData("DP_1","003N8EMH8GTFRCSWKMPXRSGPQ","GSON1112150590")</f>
        <v>#NAME?</v>
      </c>
      <c r="K1432" s="3" t="e">
        <f ca="1">[1]!BexGetData("DP_1","003N8EMH8GTFRIVNUPY288VJH","GSON1112150590")</f>
        <v>#NAME?</v>
      </c>
      <c r="L1432" s="3" t="e">
        <f ca="1">[1]!BexGetData("DP_1","003N8EMH8GTFRIVNUPY2891V1","GSON1112150590")</f>
        <v>#NAME?</v>
      </c>
      <c r="M1432" s="3" t="e">
        <f ca="1">[1]!BexGetData("DP_1","003N8EMH8GTFRIVOG7KG9IQXA","GSON1112150590")</f>
        <v>#NAME?</v>
      </c>
      <c r="N1432" s="8" t="e">
        <f ca="1">[1]!BexGetData("DP_1","003N8EMH8GTFRIVOG7KG9IX8U","GSON1112150590")</f>
        <v>#NAME?</v>
      </c>
      <c r="O1432" s="3" t="e">
        <f ca="1">[1]!BexGetData("DP_1","003N8EMH8GTFRIVOG7KG9J3KE","GSON1112150590")</f>
        <v>#NAME?</v>
      </c>
      <c r="P1432" s="8" t="e">
        <f ca="1">[1]!BexGetData("DP_1","003N8EMH8GTFRIVOG7KG9J9VY","GSON1112150590")</f>
        <v>#NAME?</v>
      </c>
      <c r="Q1432" s="4" t="e">
        <f ca="1">[1]!BexGetData("DP_1","00O2TNJGODT0G5Z4TTKYMM5MT","GSON1112150590")</f>
        <v>#NAME?</v>
      </c>
      <c r="R1432" s="3" t="e">
        <f ca="1">[1]!BexGetData("DP_1","00O2TNJGODT0G5Z4TTKYMMBYD","GSON1112150590")</f>
        <v>#NAME?</v>
      </c>
      <c r="S1432" s="3" t="e">
        <f ca="1">[1]!BexGetData("DP_1","00O2TNJGODT0G5Z4TTKYMMI9X","GSON1112150590")</f>
        <v>#NAME?</v>
      </c>
      <c r="T1432" s="8" t="e">
        <f ca="1">[1]!BexGetData("DP_1","00O2TNJGODT0G5Z4TTKYMMOLH","GSON1112150590")</f>
        <v>#NAME?</v>
      </c>
      <c r="U1432" s="3" t="e">
        <f ca="1">[1]!BexGetData("DP_1","00O2TNJGODT0G5Z4TTKYMMUX1","GSON1112150590")</f>
        <v>#NAME?</v>
      </c>
      <c r="V1432" s="8" t="e">
        <f ca="1">[1]!BexGetData("DP_1","00O2TNJGODT0G5Z4TTKYMN18L","GSON1112150590")</f>
        <v>#NAME?</v>
      </c>
      <c r="W1432" s="3" t="e">
        <f ca="1">[1]!BexGetData("DP_1","00O2TNJGODT0G5Z4TTKYMN7K5","GSON1112150590")</f>
        <v>#NAME?</v>
      </c>
    </row>
    <row r="1433" spans="1:23" x14ac:dyDescent="0.2">
      <c r="A1433" s="16" t="s">
        <v>3866</v>
      </c>
      <c r="B1433" s="7" t="s">
        <v>3867</v>
      </c>
      <c r="C1433" s="3" t="e">
        <f ca="1">[1]!BexGetData("DP_1","003N8EMH8GTFRCSWKMPXRR8GU","GSON1112150591")</f>
        <v>#NAME?</v>
      </c>
      <c r="D1433" s="3" t="e">
        <f ca="1">[1]!BexGetData("DP_1","003N8EMH8GTFRCSWKMPXRRESE","GSON1112150591")</f>
        <v>#NAME?</v>
      </c>
      <c r="E1433" s="8" t="e">
        <f ca="1">[1]!BexGetData("DP_1","003N8EMH8GTFRCSWKMPXRRL3Y","GSON1112150591")</f>
        <v>#NAME?</v>
      </c>
      <c r="F1433" s="4" t="e">
        <f ca="1">[1]!BexGetData("DP_1","003N8EMH8GTFRCSWKMPXRRRFI","GSON1112150591")</f>
        <v>#NAME?</v>
      </c>
      <c r="G1433" s="4" t="e">
        <f ca="1">[1]!BexGetData("DP_1","003N8EMH8GTFRCSWKMPXRRXR2","GSON1112150591")</f>
        <v>#NAME?</v>
      </c>
      <c r="H1433" s="4" t="e">
        <f ca="1">[1]!BexGetData("DP_1","003N8EMH8GTFRCSWKMPXRS42M","GSON1112150591")</f>
        <v>#NAME?</v>
      </c>
      <c r="I1433" s="4" t="e">
        <f ca="1">[1]!BexGetData("DP_1","003N8EMH8GTFRCSWKMPXRSAE6","GSON1112150591")</f>
        <v>#NAME?</v>
      </c>
      <c r="J1433" s="4" t="e">
        <f ca="1">[1]!BexGetData("DP_1","003N8EMH8GTFRCSWKMPXRSGPQ","GSON1112150591")</f>
        <v>#NAME?</v>
      </c>
      <c r="K1433" s="8" t="e">
        <f ca="1">[1]!BexGetData("DP_1","003N8EMH8GTFRIVNUPY288VJH","GSON1112150591")</f>
        <v>#NAME?</v>
      </c>
      <c r="L1433" s="8" t="e">
        <f ca="1">[1]!BexGetData("DP_1","003N8EMH8GTFRIVNUPY2891V1","GSON1112150591")</f>
        <v>#NAME?</v>
      </c>
      <c r="M1433" s="8" t="e">
        <f ca="1">[1]!BexGetData("DP_1","003N8EMH8GTFRIVOG7KG9IQXA","GSON1112150591")</f>
        <v>#NAME?</v>
      </c>
      <c r="N1433" s="8" t="e">
        <f ca="1">[1]!BexGetData("DP_1","003N8EMH8GTFRIVOG7KG9IX8U","GSON1112150591")</f>
        <v>#NAME?</v>
      </c>
      <c r="O1433" s="8" t="e">
        <f ca="1">[1]!BexGetData("DP_1","003N8EMH8GTFRIVOG7KG9J3KE","GSON1112150591")</f>
        <v>#NAME?</v>
      </c>
      <c r="P1433" s="8" t="e">
        <f ca="1">[1]!BexGetData("DP_1","003N8EMH8GTFRIVOG7KG9J9VY","GSON1112150591")</f>
        <v>#NAME?</v>
      </c>
      <c r="Q1433" s="4" t="e">
        <f ca="1">[1]!BexGetData("DP_1","00O2TNJGODT0G5Z4TTKYMM5MT","GSON1112150591")</f>
        <v>#NAME?</v>
      </c>
      <c r="R1433" s="4" t="e">
        <f ca="1">[1]!BexGetData("DP_1","00O2TNJGODT0G5Z4TTKYMMBYD","GSON1112150591")</f>
        <v>#NAME?</v>
      </c>
      <c r="S1433" s="4" t="e">
        <f ca="1">[1]!BexGetData("DP_1","00O2TNJGODT0G5Z4TTKYMMI9X","GSON1112150591")</f>
        <v>#NAME?</v>
      </c>
      <c r="T1433" s="4" t="e">
        <f ca="1">[1]!BexGetData("DP_1","00O2TNJGODT0G5Z4TTKYMMOLH","GSON1112150591")</f>
        <v>#NAME?</v>
      </c>
      <c r="U1433" s="4" t="e">
        <f ca="1">[1]!BexGetData("DP_1","00O2TNJGODT0G5Z4TTKYMMUX1","GSON1112150591")</f>
        <v>#NAME?</v>
      </c>
      <c r="V1433" s="4" t="e">
        <f ca="1">[1]!BexGetData("DP_1","00O2TNJGODT0G5Z4TTKYMN18L","GSON1112150591")</f>
        <v>#NAME?</v>
      </c>
      <c r="W1433" s="4" t="e">
        <f ca="1">[1]!BexGetData("DP_1","00O2TNJGODT0G5Z4TTKYMN7K5","GSON1112150591")</f>
        <v>#NAME?</v>
      </c>
    </row>
    <row r="1434" spans="1:23" x14ac:dyDescent="0.2">
      <c r="A1434" s="16" t="s">
        <v>3868</v>
      </c>
      <c r="B1434" s="7" t="s">
        <v>3869</v>
      </c>
      <c r="C1434" s="3" t="e">
        <f ca="1">[1]!BexGetData("DP_1","003N8EMH8GTFRCSWKMPXRR8GU","GSON1112150593")</f>
        <v>#NAME?</v>
      </c>
      <c r="D1434" s="3" t="e">
        <f ca="1">[1]!BexGetData("DP_1","003N8EMH8GTFRCSWKMPXRRESE","GSON1112150593")</f>
        <v>#NAME?</v>
      </c>
      <c r="E1434" s="8" t="e">
        <f ca="1">[1]!BexGetData("DP_1","003N8EMH8GTFRCSWKMPXRRL3Y","GSON1112150593")</f>
        <v>#NAME?</v>
      </c>
      <c r="F1434" s="4" t="e">
        <f ca="1">[1]!BexGetData("DP_1","003N8EMH8GTFRCSWKMPXRRRFI","GSON1112150593")</f>
        <v>#NAME?</v>
      </c>
      <c r="G1434" s="4" t="e">
        <f ca="1">[1]!BexGetData("DP_1","003N8EMH8GTFRCSWKMPXRRXR2","GSON1112150593")</f>
        <v>#NAME?</v>
      </c>
      <c r="H1434" s="4" t="e">
        <f ca="1">[1]!BexGetData("DP_1","003N8EMH8GTFRCSWKMPXRS42M","GSON1112150593")</f>
        <v>#NAME?</v>
      </c>
      <c r="I1434" s="4" t="e">
        <f ca="1">[1]!BexGetData("DP_1","003N8EMH8GTFRCSWKMPXRSAE6","GSON1112150593")</f>
        <v>#NAME?</v>
      </c>
      <c r="J1434" s="4" t="e">
        <f ca="1">[1]!BexGetData("DP_1","003N8EMH8GTFRCSWKMPXRSGPQ","GSON1112150593")</f>
        <v>#NAME?</v>
      </c>
      <c r="K1434" s="8" t="e">
        <f ca="1">[1]!BexGetData("DP_1","003N8EMH8GTFRIVNUPY288VJH","GSON1112150593")</f>
        <v>#NAME?</v>
      </c>
      <c r="L1434" s="8" t="e">
        <f ca="1">[1]!BexGetData("DP_1","003N8EMH8GTFRIVNUPY2891V1","GSON1112150593")</f>
        <v>#NAME?</v>
      </c>
      <c r="M1434" s="8" t="e">
        <f ca="1">[1]!BexGetData("DP_1","003N8EMH8GTFRIVOG7KG9IQXA","GSON1112150593")</f>
        <v>#NAME?</v>
      </c>
      <c r="N1434" s="8" t="e">
        <f ca="1">[1]!BexGetData("DP_1","003N8EMH8GTFRIVOG7KG9IX8U","GSON1112150593")</f>
        <v>#NAME?</v>
      </c>
      <c r="O1434" s="8" t="e">
        <f ca="1">[1]!BexGetData("DP_1","003N8EMH8GTFRIVOG7KG9J3KE","GSON1112150593")</f>
        <v>#NAME?</v>
      </c>
      <c r="P1434" s="8" t="e">
        <f ca="1">[1]!BexGetData("DP_1","003N8EMH8GTFRIVOG7KG9J9VY","GSON1112150593")</f>
        <v>#NAME?</v>
      </c>
      <c r="Q1434" s="4" t="e">
        <f ca="1">[1]!BexGetData("DP_1","00O2TNJGODT0G5Z4TTKYMM5MT","GSON1112150593")</f>
        <v>#NAME?</v>
      </c>
      <c r="R1434" s="4" t="e">
        <f ca="1">[1]!BexGetData("DP_1","00O2TNJGODT0G5Z4TTKYMMBYD","GSON1112150593")</f>
        <v>#NAME?</v>
      </c>
      <c r="S1434" s="4" t="e">
        <f ca="1">[1]!BexGetData("DP_1","00O2TNJGODT0G5Z4TTKYMMI9X","GSON1112150593")</f>
        <v>#NAME?</v>
      </c>
      <c r="T1434" s="4" t="e">
        <f ca="1">[1]!BexGetData("DP_1","00O2TNJGODT0G5Z4TTKYMMOLH","GSON1112150593")</f>
        <v>#NAME?</v>
      </c>
      <c r="U1434" s="4" t="e">
        <f ca="1">[1]!BexGetData("DP_1","00O2TNJGODT0G5Z4TTKYMMUX1","GSON1112150593")</f>
        <v>#NAME?</v>
      </c>
      <c r="V1434" s="4" t="e">
        <f ca="1">[1]!BexGetData("DP_1","00O2TNJGODT0G5Z4TTKYMN18L","GSON1112150593")</f>
        <v>#NAME?</v>
      </c>
      <c r="W1434" s="4" t="e">
        <f ca="1">[1]!BexGetData("DP_1","00O2TNJGODT0G5Z4TTKYMN7K5","GSON1112150593")</f>
        <v>#NAME?</v>
      </c>
    </row>
    <row r="1435" spans="1:23" x14ac:dyDescent="0.2">
      <c r="A1435" s="16" t="s">
        <v>3870</v>
      </c>
      <c r="B1435" s="7" t="s">
        <v>3871</v>
      </c>
      <c r="C1435" s="3" t="e">
        <f ca="1">[1]!BexGetData("DP_1","003N8EMH8GTFRCSWKMPXRR8GU","GSON1112150594")</f>
        <v>#NAME?</v>
      </c>
      <c r="D1435" s="3" t="e">
        <f ca="1">[1]!BexGetData("DP_1","003N8EMH8GTFRCSWKMPXRRESE","GSON1112150594")</f>
        <v>#NAME?</v>
      </c>
      <c r="E1435" s="8" t="e">
        <f ca="1">[1]!BexGetData("DP_1","003N8EMH8GTFRCSWKMPXRRL3Y","GSON1112150594")</f>
        <v>#NAME?</v>
      </c>
      <c r="F1435" s="4" t="e">
        <f ca="1">[1]!BexGetData("DP_1","003N8EMH8GTFRCSWKMPXRRRFI","GSON1112150594")</f>
        <v>#NAME?</v>
      </c>
      <c r="G1435" s="4" t="e">
        <f ca="1">[1]!BexGetData("DP_1","003N8EMH8GTFRCSWKMPXRRXR2","GSON1112150594")</f>
        <v>#NAME?</v>
      </c>
      <c r="H1435" s="4" t="e">
        <f ca="1">[1]!BexGetData("DP_1","003N8EMH8GTFRCSWKMPXRS42M","GSON1112150594")</f>
        <v>#NAME?</v>
      </c>
      <c r="I1435" s="4" t="e">
        <f ca="1">[1]!BexGetData("DP_1","003N8EMH8GTFRCSWKMPXRSAE6","GSON1112150594")</f>
        <v>#NAME?</v>
      </c>
      <c r="J1435" s="4" t="e">
        <f ca="1">[1]!BexGetData("DP_1","003N8EMH8GTFRCSWKMPXRSGPQ","GSON1112150594")</f>
        <v>#NAME?</v>
      </c>
      <c r="K1435" s="8" t="e">
        <f ca="1">[1]!BexGetData("DP_1","003N8EMH8GTFRIVNUPY288VJH","GSON1112150594")</f>
        <v>#NAME?</v>
      </c>
      <c r="L1435" s="8" t="e">
        <f ca="1">[1]!BexGetData("DP_1","003N8EMH8GTFRIVNUPY2891V1","GSON1112150594")</f>
        <v>#NAME?</v>
      </c>
      <c r="M1435" s="8" t="e">
        <f ca="1">[1]!BexGetData("DP_1","003N8EMH8GTFRIVOG7KG9IQXA","GSON1112150594")</f>
        <v>#NAME?</v>
      </c>
      <c r="N1435" s="8" t="e">
        <f ca="1">[1]!BexGetData("DP_1","003N8EMH8GTFRIVOG7KG9IX8U","GSON1112150594")</f>
        <v>#NAME?</v>
      </c>
      <c r="O1435" s="8" t="e">
        <f ca="1">[1]!BexGetData("DP_1","003N8EMH8GTFRIVOG7KG9J3KE","GSON1112150594")</f>
        <v>#NAME?</v>
      </c>
      <c r="P1435" s="8" t="e">
        <f ca="1">[1]!BexGetData("DP_1","003N8EMH8GTFRIVOG7KG9J9VY","GSON1112150594")</f>
        <v>#NAME?</v>
      </c>
      <c r="Q1435" s="4" t="e">
        <f ca="1">[1]!BexGetData("DP_1","00O2TNJGODT0G5Z4TTKYMM5MT","GSON1112150594")</f>
        <v>#NAME?</v>
      </c>
      <c r="R1435" s="4" t="e">
        <f ca="1">[1]!BexGetData("DP_1","00O2TNJGODT0G5Z4TTKYMMBYD","GSON1112150594")</f>
        <v>#NAME?</v>
      </c>
      <c r="S1435" s="4" t="e">
        <f ca="1">[1]!BexGetData("DP_1","00O2TNJGODT0G5Z4TTKYMMI9X","GSON1112150594")</f>
        <v>#NAME?</v>
      </c>
      <c r="T1435" s="4" t="e">
        <f ca="1">[1]!BexGetData("DP_1","00O2TNJGODT0G5Z4TTKYMMOLH","GSON1112150594")</f>
        <v>#NAME?</v>
      </c>
      <c r="U1435" s="4" t="e">
        <f ca="1">[1]!BexGetData("DP_1","00O2TNJGODT0G5Z4TTKYMMUX1","GSON1112150594")</f>
        <v>#NAME?</v>
      </c>
      <c r="V1435" s="4" t="e">
        <f ca="1">[1]!BexGetData("DP_1","00O2TNJGODT0G5Z4TTKYMN18L","GSON1112150594")</f>
        <v>#NAME?</v>
      </c>
      <c r="W1435" s="4" t="e">
        <f ca="1">[1]!BexGetData("DP_1","00O2TNJGODT0G5Z4TTKYMN7K5","GSON1112150594")</f>
        <v>#NAME?</v>
      </c>
    </row>
    <row r="1436" spans="1:23" x14ac:dyDescent="0.2">
      <c r="A1436" s="16" t="s">
        <v>3872</v>
      </c>
      <c r="B1436" s="7" t="s">
        <v>3873</v>
      </c>
      <c r="C1436" s="3" t="e">
        <f ca="1">[1]!BexGetData("DP_1","003N8EMH8GTFRCSWKMPXRR8GU","GSON1112150595")</f>
        <v>#NAME?</v>
      </c>
      <c r="D1436" s="3" t="e">
        <f ca="1">[1]!BexGetData("DP_1","003N8EMH8GTFRCSWKMPXRRESE","GSON1112150595")</f>
        <v>#NAME?</v>
      </c>
      <c r="E1436" s="8" t="e">
        <f ca="1">[1]!BexGetData("DP_1","003N8EMH8GTFRCSWKMPXRRL3Y","GSON1112150595")</f>
        <v>#NAME?</v>
      </c>
      <c r="F1436" s="4" t="e">
        <f ca="1">[1]!BexGetData("DP_1","003N8EMH8GTFRCSWKMPXRRRFI","GSON1112150595")</f>
        <v>#NAME?</v>
      </c>
      <c r="G1436" s="4" t="e">
        <f ca="1">[1]!BexGetData("DP_1","003N8EMH8GTFRCSWKMPXRRXR2","GSON1112150595")</f>
        <v>#NAME?</v>
      </c>
      <c r="H1436" s="4" t="e">
        <f ca="1">[1]!BexGetData("DP_1","003N8EMH8GTFRCSWKMPXRS42M","GSON1112150595")</f>
        <v>#NAME?</v>
      </c>
      <c r="I1436" s="4" t="e">
        <f ca="1">[1]!BexGetData("DP_1","003N8EMH8GTFRCSWKMPXRSAE6","GSON1112150595")</f>
        <v>#NAME?</v>
      </c>
      <c r="J1436" s="4" t="e">
        <f ca="1">[1]!BexGetData("DP_1","003N8EMH8GTFRCSWKMPXRSGPQ","GSON1112150595")</f>
        <v>#NAME?</v>
      </c>
      <c r="K1436" s="8" t="e">
        <f ca="1">[1]!BexGetData("DP_1","003N8EMH8GTFRIVNUPY288VJH","GSON1112150595")</f>
        <v>#NAME?</v>
      </c>
      <c r="L1436" s="8" t="e">
        <f ca="1">[1]!BexGetData("DP_1","003N8EMH8GTFRIVNUPY2891V1","GSON1112150595")</f>
        <v>#NAME?</v>
      </c>
      <c r="M1436" s="8" t="e">
        <f ca="1">[1]!BexGetData("DP_1","003N8EMH8GTFRIVOG7KG9IQXA","GSON1112150595")</f>
        <v>#NAME?</v>
      </c>
      <c r="N1436" s="8" t="e">
        <f ca="1">[1]!BexGetData("DP_1","003N8EMH8GTFRIVOG7KG9IX8U","GSON1112150595")</f>
        <v>#NAME?</v>
      </c>
      <c r="O1436" s="8" t="e">
        <f ca="1">[1]!BexGetData("DP_1","003N8EMH8GTFRIVOG7KG9J3KE","GSON1112150595")</f>
        <v>#NAME?</v>
      </c>
      <c r="P1436" s="8" t="e">
        <f ca="1">[1]!BexGetData("DP_1","003N8EMH8GTFRIVOG7KG9J9VY","GSON1112150595")</f>
        <v>#NAME?</v>
      </c>
      <c r="Q1436" s="4" t="e">
        <f ca="1">[1]!BexGetData("DP_1","00O2TNJGODT0G5Z4TTKYMM5MT","GSON1112150595")</f>
        <v>#NAME?</v>
      </c>
      <c r="R1436" s="4" t="e">
        <f ca="1">[1]!BexGetData("DP_1","00O2TNJGODT0G5Z4TTKYMMBYD","GSON1112150595")</f>
        <v>#NAME?</v>
      </c>
      <c r="S1436" s="4" t="e">
        <f ca="1">[1]!BexGetData("DP_1","00O2TNJGODT0G5Z4TTKYMMI9X","GSON1112150595")</f>
        <v>#NAME?</v>
      </c>
      <c r="T1436" s="4" t="e">
        <f ca="1">[1]!BexGetData("DP_1","00O2TNJGODT0G5Z4TTKYMMOLH","GSON1112150595")</f>
        <v>#NAME?</v>
      </c>
      <c r="U1436" s="4" t="e">
        <f ca="1">[1]!BexGetData("DP_1","00O2TNJGODT0G5Z4TTKYMMUX1","GSON1112150595")</f>
        <v>#NAME?</v>
      </c>
      <c r="V1436" s="4" t="e">
        <f ca="1">[1]!BexGetData("DP_1","00O2TNJGODT0G5Z4TTKYMN18L","GSON1112150595")</f>
        <v>#NAME?</v>
      </c>
      <c r="W1436" s="4" t="e">
        <f ca="1">[1]!BexGetData("DP_1","00O2TNJGODT0G5Z4TTKYMN7K5","GSON1112150595")</f>
        <v>#NAME?</v>
      </c>
    </row>
    <row r="1437" spans="1:23" x14ac:dyDescent="0.2">
      <c r="A1437" s="16" t="s">
        <v>3874</v>
      </c>
      <c r="B1437" s="7" t="s">
        <v>3875</v>
      </c>
      <c r="C1437" s="3" t="e">
        <f ca="1">[1]!BexGetData("DP_1","003N8EMH8GTFRCSWKMPXRR8GU","GSON1112150600")</f>
        <v>#NAME?</v>
      </c>
      <c r="D1437" s="3" t="e">
        <f ca="1">[1]!BexGetData("DP_1","003N8EMH8GTFRCSWKMPXRRESE","GSON1112150600")</f>
        <v>#NAME?</v>
      </c>
      <c r="E1437" s="3" t="e">
        <f ca="1">[1]!BexGetData("DP_1","003N8EMH8GTFRCSWKMPXRRL3Y","GSON1112150600")</f>
        <v>#NAME?</v>
      </c>
      <c r="F1437" s="3" t="e">
        <f ca="1">[1]!BexGetData("DP_1","003N8EMH8GTFRCSWKMPXRRRFI","GSON1112150600")</f>
        <v>#NAME?</v>
      </c>
      <c r="G1437" s="3" t="e">
        <f ca="1">[1]!BexGetData("DP_1","003N8EMH8GTFRCSWKMPXRRXR2","GSON1112150600")</f>
        <v>#NAME?</v>
      </c>
      <c r="H1437" s="8" t="e">
        <f ca="1">[1]!BexGetData("DP_1","003N8EMH8GTFRCSWKMPXRS42M","GSON1112150600")</f>
        <v>#NAME?</v>
      </c>
      <c r="I1437" s="3" t="e">
        <f ca="1">[1]!BexGetData("DP_1","003N8EMH8GTFRCSWKMPXRSAE6","GSON1112150600")</f>
        <v>#NAME?</v>
      </c>
      <c r="J1437" s="4" t="e">
        <f ca="1">[1]!BexGetData("DP_1","003N8EMH8GTFRCSWKMPXRSGPQ","GSON1112150600")</f>
        <v>#NAME?</v>
      </c>
      <c r="K1437" s="3" t="e">
        <f ca="1">[1]!BexGetData("DP_1","003N8EMH8GTFRIVNUPY288VJH","GSON1112150600")</f>
        <v>#NAME?</v>
      </c>
      <c r="L1437" s="3" t="e">
        <f ca="1">[1]!BexGetData("DP_1","003N8EMH8GTFRIVNUPY2891V1","GSON1112150600")</f>
        <v>#NAME?</v>
      </c>
      <c r="M1437" s="3" t="e">
        <f ca="1">[1]!BexGetData("DP_1","003N8EMH8GTFRIVOG7KG9IQXA","GSON1112150600")</f>
        <v>#NAME?</v>
      </c>
      <c r="N1437" s="8" t="e">
        <f ca="1">[1]!BexGetData("DP_1","003N8EMH8GTFRIVOG7KG9IX8U","GSON1112150600")</f>
        <v>#NAME?</v>
      </c>
      <c r="O1437" s="3" t="e">
        <f ca="1">[1]!BexGetData("DP_1","003N8EMH8GTFRIVOG7KG9J3KE","GSON1112150600")</f>
        <v>#NAME?</v>
      </c>
      <c r="P1437" s="8" t="e">
        <f ca="1">[1]!BexGetData("DP_1","003N8EMH8GTFRIVOG7KG9J9VY","GSON1112150600")</f>
        <v>#NAME?</v>
      </c>
      <c r="Q1437" s="4" t="e">
        <f ca="1">[1]!BexGetData("DP_1","00O2TNJGODT0G5Z4TTKYMM5MT","GSON1112150600")</f>
        <v>#NAME?</v>
      </c>
      <c r="R1437" s="3" t="e">
        <f ca="1">[1]!BexGetData("DP_1","00O2TNJGODT0G5Z4TTKYMMBYD","GSON1112150600")</f>
        <v>#NAME?</v>
      </c>
      <c r="S1437" s="3" t="e">
        <f ca="1">[1]!BexGetData("DP_1","00O2TNJGODT0G5Z4TTKYMMI9X","GSON1112150600")</f>
        <v>#NAME?</v>
      </c>
      <c r="T1437" s="8" t="e">
        <f ca="1">[1]!BexGetData("DP_1","00O2TNJGODT0G5Z4TTKYMMOLH","GSON1112150600")</f>
        <v>#NAME?</v>
      </c>
      <c r="U1437" s="3" t="e">
        <f ca="1">[1]!BexGetData("DP_1","00O2TNJGODT0G5Z4TTKYMMUX1","GSON1112150600")</f>
        <v>#NAME?</v>
      </c>
      <c r="V1437" s="8" t="e">
        <f ca="1">[1]!BexGetData("DP_1","00O2TNJGODT0G5Z4TTKYMN18L","GSON1112150600")</f>
        <v>#NAME?</v>
      </c>
      <c r="W1437" s="3" t="e">
        <f ca="1">[1]!BexGetData("DP_1","00O2TNJGODT0G5Z4TTKYMN7K5","GSON1112150600")</f>
        <v>#NAME?</v>
      </c>
    </row>
    <row r="1438" spans="1:23" x14ac:dyDescent="0.2">
      <c r="A1438" s="16" t="s">
        <v>3876</v>
      </c>
      <c r="B1438" s="7" t="s">
        <v>3877</v>
      </c>
      <c r="C1438" s="3" t="e">
        <f ca="1">[1]!BexGetData("DP_1","003N8EMH8GTFRCSWKMPXRR8GU","GSON1112150601")</f>
        <v>#NAME?</v>
      </c>
      <c r="D1438" s="3" t="e">
        <f ca="1">[1]!BexGetData("DP_1","003N8EMH8GTFRCSWKMPXRRESE","GSON1112150601")</f>
        <v>#NAME?</v>
      </c>
      <c r="E1438" s="8" t="e">
        <f ca="1">[1]!BexGetData("DP_1","003N8EMH8GTFRCSWKMPXRRL3Y","GSON1112150601")</f>
        <v>#NAME?</v>
      </c>
      <c r="F1438" s="4" t="e">
        <f ca="1">[1]!BexGetData("DP_1","003N8EMH8GTFRCSWKMPXRRRFI","GSON1112150601")</f>
        <v>#NAME?</v>
      </c>
      <c r="G1438" s="4" t="e">
        <f ca="1">[1]!BexGetData("DP_1","003N8EMH8GTFRCSWKMPXRRXR2","GSON1112150601")</f>
        <v>#NAME?</v>
      </c>
      <c r="H1438" s="4" t="e">
        <f ca="1">[1]!BexGetData("DP_1","003N8EMH8GTFRCSWKMPXRS42M","GSON1112150601")</f>
        <v>#NAME?</v>
      </c>
      <c r="I1438" s="4" t="e">
        <f ca="1">[1]!BexGetData("DP_1","003N8EMH8GTFRCSWKMPXRSAE6","GSON1112150601")</f>
        <v>#NAME?</v>
      </c>
      <c r="J1438" s="4" t="e">
        <f ca="1">[1]!BexGetData("DP_1","003N8EMH8GTFRCSWKMPXRSGPQ","GSON1112150601")</f>
        <v>#NAME?</v>
      </c>
      <c r="K1438" s="8" t="e">
        <f ca="1">[1]!BexGetData("DP_1","003N8EMH8GTFRIVNUPY288VJH","GSON1112150601")</f>
        <v>#NAME?</v>
      </c>
      <c r="L1438" s="8" t="e">
        <f ca="1">[1]!BexGetData("DP_1","003N8EMH8GTFRIVNUPY2891V1","GSON1112150601")</f>
        <v>#NAME?</v>
      </c>
      <c r="M1438" s="8" t="e">
        <f ca="1">[1]!BexGetData("DP_1","003N8EMH8GTFRIVOG7KG9IQXA","GSON1112150601")</f>
        <v>#NAME?</v>
      </c>
      <c r="N1438" s="8" t="e">
        <f ca="1">[1]!BexGetData("DP_1","003N8EMH8GTFRIVOG7KG9IX8U","GSON1112150601")</f>
        <v>#NAME?</v>
      </c>
      <c r="O1438" s="8" t="e">
        <f ca="1">[1]!BexGetData("DP_1","003N8EMH8GTFRIVOG7KG9J3KE","GSON1112150601")</f>
        <v>#NAME?</v>
      </c>
      <c r="P1438" s="8" t="e">
        <f ca="1">[1]!BexGetData("DP_1","003N8EMH8GTFRIVOG7KG9J9VY","GSON1112150601")</f>
        <v>#NAME?</v>
      </c>
      <c r="Q1438" s="4" t="e">
        <f ca="1">[1]!BexGetData("DP_1","00O2TNJGODT0G5Z4TTKYMM5MT","GSON1112150601")</f>
        <v>#NAME?</v>
      </c>
      <c r="R1438" s="4" t="e">
        <f ca="1">[1]!BexGetData("DP_1","00O2TNJGODT0G5Z4TTKYMMBYD","GSON1112150601")</f>
        <v>#NAME?</v>
      </c>
      <c r="S1438" s="4" t="e">
        <f ca="1">[1]!BexGetData("DP_1","00O2TNJGODT0G5Z4TTKYMMI9X","GSON1112150601")</f>
        <v>#NAME?</v>
      </c>
      <c r="T1438" s="4" t="e">
        <f ca="1">[1]!BexGetData("DP_1","00O2TNJGODT0G5Z4TTKYMMOLH","GSON1112150601")</f>
        <v>#NAME?</v>
      </c>
      <c r="U1438" s="4" t="e">
        <f ca="1">[1]!BexGetData("DP_1","00O2TNJGODT0G5Z4TTKYMMUX1","GSON1112150601")</f>
        <v>#NAME?</v>
      </c>
      <c r="V1438" s="4" t="e">
        <f ca="1">[1]!BexGetData("DP_1","00O2TNJGODT0G5Z4TTKYMN18L","GSON1112150601")</f>
        <v>#NAME?</v>
      </c>
      <c r="W1438" s="4" t="e">
        <f ca="1">[1]!BexGetData("DP_1","00O2TNJGODT0G5Z4TTKYMN7K5","GSON1112150601")</f>
        <v>#NAME?</v>
      </c>
    </row>
    <row r="1439" spans="1:23" x14ac:dyDescent="0.2">
      <c r="A1439" s="16" t="s">
        <v>3878</v>
      </c>
      <c r="B1439" s="7" t="s">
        <v>3879</v>
      </c>
      <c r="C1439" s="3" t="e">
        <f ca="1">[1]!BexGetData("DP_1","003N8EMH8GTFRCSWKMPXRR8GU","GSON1112150603")</f>
        <v>#NAME?</v>
      </c>
      <c r="D1439" s="3" t="e">
        <f ca="1">[1]!BexGetData("DP_1","003N8EMH8GTFRCSWKMPXRRESE","GSON1112150603")</f>
        <v>#NAME?</v>
      </c>
      <c r="E1439" s="8" t="e">
        <f ca="1">[1]!BexGetData("DP_1","003N8EMH8GTFRCSWKMPXRRL3Y","GSON1112150603")</f>
        <v>#NAME?</v>
      </c>
      <c r="F1439" s="4" t="e">
        <f ca="1">[1]!BexGetData("DP_1","003N8EMH8GTFRCSWKMPXRRRFI","GSON1112150603")</f>
        <v>#NAME?</v>
      </c>
      <c r="G1439" s="4" t="e">
        <f ca="1">[1]!BexGetData("DP_1","003N8EMH8GTFRCSWKMPXRRXR2","GSON1112150603")</f>
        <v>#NAME?</v>
      </c>
      <c r="H1439" s="4" t="e">
        <f ca="1">[1]!BexGetData("DP_1","003N8EMH8GTFRCSWKMPXRS42M","GSON1112150603")</f>
        <v>#NAME?</v>
      </c>
      <c r="I1439" s="4" t="e">
        <f ca="1">[1]!BexGetData("DP_1","003N8EMH8GTFRCSWKMPXRSAE6","GSON1112150603")</f>
        <v>#NAME?</v>
      </c>
      <c r="J1439" s="4" t="e">
        <f ca="1">[1]!BexGetData("DP_1","003N8EMH8GTFRCSWKMPXRSGPQ","GSON1112150603")</f>
        <v>#NAME?</v>
      </c>
      <c r="K1439" s="8" t="e">
        <f ca="1">[1]!BexGetData("DP_1","003N8EMH8GTFRIVNUPY288VJH","GSON1112150603")</f>
        <v>#NAME?</v>
      </c>
      <c r="L1439" s="8" t="e">
        <f ca="1">[1]!BexGetData("DP_1","003N8EMH8GTFRIVNUPY2891V1","GSON1112150603")</f>
        <v>#NAME?</v>
      </c>
      <c r="M1439" s="8" t="e">
        <f ca="1">[1]!BexGetData("DP_1","003N8EMH8GTFRIVOG7KG9IQXA","GSON1112150603")</f>
        <v>#NAME?</v>
      </c>
      <c r="N1439" s="8" t="e">
        <f ca="1">[1]!BexGetData("DP_1","003N8EMH8GTFRIVOG7KG9IX8U","GSON1112150603")</f>
        <v>#NAME?</v>
      </c>
      <c r="O1439" s="8" t="e">
        <f ca="1">[1]!BexGetData("DP_1","003N8EMH8GTFRIVOG7KG9J3KE","GSON1112150603")</f>
        <v>#NAME?</v>
      </c>
      <c r="P1439" s="8" t="e">
        <f ca="1">[1]!BexGetData("DP_1","003N8EMH8GTFRIVOG7KG9J9VY","GSON1112150603")</f>
        <v>#NAME?</v>
      </c>
      <c r="Q1439" s="4" t="e">
        <f ca="1">[1]!BexGetData("DP_1","00O2TNJGODT0G5Z4TTKYMM5MT","GSON1112150603")</f>
        <v>#NAME?</v>
      </c>
      <c r="R1439" s="4" t="e">
        <f ca="1">[1]!BexGetData("DP_1","00O2TNJGODT0G5Z4TTKYMMBYD","GSON1112150603")</f>
        <v>#NAME?</v>
      </c>
      <c r="S1439" s="4" t="e">
        <f ca="1">[1]!BexGetData("DP_1","00O2TNJGODT0G5Z4TTKYMMI9X","GSON1112150603")</f>
        <v>#NAME?</v>
      </c>
      <c r="T1439" s="4" t="e">
        <f ca="1">[1]!BexGetData("DP_1","00O2TNJGODT0G5Z4TTKYMMOLH","GSON1112150603")</f>
        <v>#NAME?</v>
      </c>
      <c r="U1439" s="4" t="e">
        <f ca="1">[1]!BexGetData("DP_1","00O2TNJGODT0G5Z4TTKYMMUX1","GSON1112150603")</f>
        <v>#NAME?</v>
      </c>
      <c r="V1439" s="4" t="e">
        <f ca="1">[1]!BexGetData("DP_1","00O2TNJGODT0G5Z4TTKYMN18L","GSON1112150603")</f>
        <v>#NAME?</v>
      </c>
      <c r="W1439" s="4" t="e">
        <f ca="1">[1]!BexGetData("DP_1","00O2TNJGODT0G5Z4TTKYMN7K5","GSON1112150603")</f>
        <v>#NAME?</v>
      </c>
    </row>
    <row r="1440" spans="1:23" x14ac:dyDescent="0.2">
      <c r="A1440" s="16" t="s">
        <v>3880</v>
      </c>
      <c r="B1440" s="7" t="s">
        <v>3881</v>
      </c>
      <c r="C1440" s="3" t="e">
        <f ca="1">[1]!BexGetData("DP_1","003N8EMH8GTFRCSWKMPXRR8GU","GSON1112150604")</f>
        <v>#NAME?</v>
      </c>
      <c r="D1440" s="3" t="e">
        <f ca="1">[1]!BexGetData("DP_1","003N8EMH8GTFRCSWKMPXRRESE","GSON1112150604")</f>
        <v>#NAME?</v>
      </c>
      <c r="E1440" s="8" t="e">
        <f ca="1">[1]!BexGetData("DP_1","003N8EMH8GTFRCSWKMPXRRL3Y","GSON1112150604")</f>
        <v>#NAME?</v>
      </c>
      <c r="F1440" s="4" t="e">
        <f ca="1">[1]!BexGetData("DP_1","003N8EMH8GTFRCSWKMPXRRRFI","GSON1112150604")</f>
        <v>#NAME?</v>
      </c>
      <c r="G1440" s="4" t="e">
        <f ca="1">[1]!BexGetData("DP_1","003N8EMH8GTFRCSWKMPXRRXR2","GSON1112150604")</f>
        <v>#NAME?</v>
      </c>
      <c r="H1440" s="4" t="e">
        <f ca="1">[1]!BexGetData("DP_1","003N8EMH8GTFRCSWKMPXRS42M","GSON1112150604")</f>
        <v>#NAME?</v>
      </c>
      <c r="I1440" s="4" t="e">
        <f ca="1">[1]!BexGetData("DP_1","003N8EMH8GTFRCSWKMPXRSAE6","GSON1112150604")</f>
        <v>#NAME?</v>
      </c>
      <c r="J1440" s="4" t="e">
        <f ca="1">[1]!BexGetData("DP_1","003N8EMH8GTFRCSWKMPXRSGPQ","GSON1112150604")</f>
        <v>#NAME?</v>
      </c>
      <c r="K1440" s="8" t="e">
        <f ca="1">[1]!BexGetData("DP_1","003N8EMH8GTFRIVNUPY288VJH","GSON1112150604")</f>
        <v>#NAME?</v>
      </c>
      <c r="L1440" s="8" t="e">
        <f ca="1">[1]!BexGetData("DP_1","003N8EMH8GTFRIVNUPY2891V1","GSON1112150604")</f>
        <v>#NAME?</v>
      </c>
      <c r="M1440" s="8" t="e">
        <f ca="1">[1]!BexGetData("DP_1","003N8EMH8GTFRIVOG7KG9IQXA","GSON1112150604")</f>
        <v>#NAME?</v>
      </c>
      <c r="N1440" s="8" t="e">
        <f ca="1">[1]!BexGetData("DP_1","003N8EMH8GTFRIVOG7KG9IX8U","GSON1112150604")</f>
        <v>#NAME?</v>
      </c>
      <c r="O1440" s="8" t="e">
        <f ca="1">[1]!BexGetData("DP_1","003N8EMH8GTFRIVOG7KG9J3KE","GSON1112150604")</f>
        <v>#NAME?</v>
      </c>
      <c r="P1440" s="8" t="e">
        <f ca="1">[1]!BexGetData("DP_1","003N8EMH8GTFRIVOG7KG9J9VY","GSON1112150604")</f>
        <v>#NAME?</v>
      </c>
      <c r="Q1440" s="4" t="e">
        <f ca="1">[1]!BexGetData("DP_1","00O2TNJGODT0G5Z4TTKYMM5MT","GSON1112150604")</f>
        <v>#NAME?</v>
      </c>
      <c r="R1440" s="4" t="e">
        <f ca="1">[1]!BexGetData("DP_1","00O2TNJGODT0G5Z4TTKYMMBYD","GSON1112150604")</f>
        <v>#NAME?</v>
      </c>
      <c r="S1440" s="4" t="e">
        <f ca="1">[1]!BexGetData("DP_1","00O2TNJGODT0G5Z4TTKYMMI9X","GSON1112150604")</f>
        <v>#NAME?</v>
      </c>
      <c r="T1440" s="4" t="e">
        <f ca="1">[1]!BexGetData("DP_1","00O2TNJGODT0G5Z4TTKYMMOLH","GSON1112150604")</f>
        <v>#NAME?</v>
      </c>
      <c r="U1440" s="4" t="e">
        <f ca="1">[1]!BexGetData("DP_1","00O2TNJGODT0G5Z4TTKYMMUX1","GSON1112150604")</f>
        <v>#NAME?</v>
      </c>
      <c r="V1440" s="4" t="e">
        <f ca="1">[1]!BexGetData("DP_1","00O2TNJGODT0G5Z4TTKYMN18L","GSON1112150604")</f>
        <v>#NAME?</v>
      </c>
      <c r="W1440" s="4" t="e">
        <f ca="1">[1]!BexGetData("DP_1","00O2TNJGODT0G5Z4TTKYMN7K5","GSON1112150604")</f>
        <v>#NAME?</v>
      </c>
    </row>
    <row r="1441" spans="1:23" x14ac:dyDescent="0.2">
      <c r="A1441" s="16" t="s">
        <v>3882</v>
      </c>
      <c r="B1441" s="7" t="s">
        <v>3883</v>
      </c>
      <c r="C1441" s="3" t="e">
        <f ca="1">[1]!BexGetData("DP_1","003N8EMH8GTFRCSWKMPXRR8GU","GSON1112150605")</f>
        <v>#NAME?</v>
      </c>
      <c r="D1441" s="3" t="e">
        <f ca="1">[1]!BexGetData("DP_1","003N8EMH8GTFRCSWKMPXRRESE","GSON1112150605")</f>
        <v>#NAME?</v>
      </c>
      <c r="E1441" s="8" t="e">
        <f ca="1">[1]!BexGetData("DP_1","003N8EMH8GTFRCSWKMPXRRL3Y","GSON1112150605")</f>
        <v>#NAME?</v>
      </c>
      <c r="F1441" s="4" t="e">
        <f ca="1">[1]!BexGetData("DP_1","003N8EMH8GTFRCSWKMPXRRRFI","GSON1112150605")</f>
        <v>#NAME?</v>
      </c>
      <c r="G1441" s="4" t="e">
        <f ca="1">[1]!BexGetData("DP_1","003N8EMH8GTFRCSWKMPXRRXR2","GSON1112150605")</f>
        <v>#NAME?</v>
      </c>
      <c r="H1441" s="4" t="e">
        <f ca="1">[1]!BexGetData("DP_1","003N8EMH8GTFRCSWKMPXRS42M","GSON1112150605")</f>
        <v>#NAME?</v>
      </c>
      <c r="I1441" s="4" t="e">
        <f ca="1">[1]!BexGetData("DP_1","003N8EMH8GTFRCSWKMPXRSAE6","GSON1112150605")</f>
        <v>#NAME?</v>
      </c>
      <c r="J1441" s="4" t="e">
        <f ca="1">[1]!BexGetData("DP_1","003N8EMH8GTFRCSWKMPXRSGPQ","GSON1112150605")</f>
        <v>#NAME?</v>
      </c>
      <c r="K1441" s="8" t="e">
        <f ca="1">[1]!BexGetData("DP_1","003N8EMH8GTFRIVNUPY288VJH","GSON1112150605")</f>
        <v>#NAME?</v>
      </c>
      <c r="L1441" s="8" t="e">
        <f ca="1">[1]!BexGetData("DP_1","003N8EMH8GTFRIVNUPY2891V1","GSON1112150605")</f>
        <v>#NAME?</v>
      </c>
      <c r="M1441" s="8" t="e">
        <f ca="1">[1]!BexGetData("DP_1","003N8EMH8GTFRIVOG7KG9IQXA","GSON1112150605")</f>
        <v>#NAME?</v>
      </c>
      <c r="N1441" s="8" t="e">
        <f ca="1">[1]!BexGetData("DP_1","003N8EMH8GTFRIVOG7KG9IX8U","GSON1112150605")</f>
        <v>#NAME?</v>
      </c>
      <c r="O1441" s="8" t="e">
        <f ca="1">[1]!BexGetData("DP_1","003N8EMH8GTFRIVOG7KG9J3KE","GSON1112150605")</f>
        <v>#NAME?</v>
      </c>
      <c r="P1441" s="8" t="e">
        <f ca="1">[1]!BexGetData("DP_1","003N8EMH8GTFRIVOG7KG9J9VY","GSON1112150605")</f>
        <v>#NAME?</v>
      </c>
      <c r="Q1441" s="4" t="e">
        <f ca="1">[1]!BexGetData("DP_1","00O2TNJGODT0G5Z4TTKYMM5MT","GSON1112150605")</f>
        <v>#NAME?</v>
      </c>
      <c r="R1441" s="4" t="e">
        <f ca="1">[1]!BexGetData("DP_1","00O2TNJGODT0G5Z4TTKYMMBYD","GSON1112150605")</f>
        <v>#NAME?</v>
      </c>
      <c r="S1441" s="4" t="e">
        <f ca="1">[1]!BexGetData("DP_1","00O2TNJGODT0G5Z4TTKYMMI9X","GSON1112150605")</f>
        <v>#NAME?</v>
      </c>
      <c r="T1441" s="4" t="e">
        <f ca="1">[1]!BexGetData("DP_1","00O2TNJGODT0G5Z4TTKYMMOLH","GSON1112150605")</f>
        <v>#NAME?</v>
      </c>
      <c r="U1441" s="4" t="e">
        <f ca="1">[1]!BexGetData("DP_1","00O2TNJGODT0G5Z4TTKYMMUX1","GSON1112150605")</f>
        <v>#NAME?</v>
      </c>
      <c r="V1441" s="4" t="e">
        <f ca="1">[1]!BexGetData("DP_1","00O2TNJGODT0G5Z4TTKYMN18L","GSON1112150605")</f>
        <v>#NAME?</v>
      </c>
      <c r="W1441" s="4" t="e">
        <f ca="1">[1]!BexGetData("DP_1","00O2TNJGODT0G5Z4TTKYMN7K5","GSON1112150605")</f>
        <v>#NAME?</v>
      </c>
    </row>
    <row r="1442" spans="1:23" x14ac:dyDescent="0.2">
      <c r="A1442" s="16" t="s">
        <v>1156</v>
      </c>
      <c r="B1442" s="7" t="s">
        <v>1157</v>
      </c>
      <c r="C1442" s="3" t="e">
        <f ca="1">[1]!BexGetData("DP_1","003N8EMH8GTFRCSWKMPXRR8GU","GSON1112150660")</f>
        <v>#NAME?</v>
      </c>
      <c r="D1442" s="3" t="e">
        <f ca="1">[1]!BexGetData("DP_1","003N8EMH8GTFRCSWKMPXRRESE","GSON1112150660")</f>
        <v>#NAME?</v>
      </c>
      <c r="E1442" s="3" t="e">
        <f ca="1">[1]!BexGetData("DP_1","003N8EMH8GTFRCSWKMPXRRL3Y","GSON1112150660")</f>
        <v>#NAME?</v>
      </c>
      <c r="F1442" s="3" t="e">
        <f ca="1">[1]!BexGetData("DP_1","003N8EMH8GTFRCSWKMPXRRRFI","GSON1112150660")</f>
        <v>#NAME?</v>
      </c>
      <c r="G1442" s="3" t="e">
        <f ca="1">[1]!BexGetData("DP_1","003N8EMH8GTFRCSWKMPXRRXR2","GSON1112150660")</f>
        <v>#NAME?</v>
      </c>
      <c r="H1442" s="8" t="e">
        <f ca="1">[1]!BexGetData("DP_1","003N8EMH8GTFRCSWKMPXRS42M","GSON1112150660")</f>
        <v>#NAME?</v>
      </c>
      <c r="I1442" s="3" t="e">
        <f ca="1">[1]!BexGetData("DP_1","003N8EMH8GTFRCSWKMPXRSAE6","GSON1112150660")</f>
        <v>#NAME?</v>
      </c>
      <c r="J1442" s="4" t="e">
        <f ca="1">[1]!BexGetData("DP_1","003N8EMH8GTFRCSWKMPXRSGPQ","GSON1112150660")</f>
        <v>#NAME?</v>
      </c>
      <c r="K1442" s="3" t="e">
        <f ca="1">[1]!BexGetData("DP_1","003N8EMH8GTFRIVNUPY288VJH","GSON1112150660")</f>
        <v>#NAME?</v>
      </c>
      <c r="L1442" s="3" t="e">
        <f ca="1">[1]!BexGetData("DP_1","003N8EMH8GTFRIVNUPY2891V1","GSON1112150660")</f>
        <v>#NAME?</v>
      </c>
      <c r="M1442" s="8" t="e">
        <f ca="1">[1]!BexGetData("DP_1","003N8EMH8GTFRIVOG7KG9IQXA","GSON1112150660")</f>
        <v>#NAME?</v>
      </c>
      <c r="N1442" s="3" t="e">
        <f ca="1">[1]!BexGetData("DP_1","003N8EMH8GTFRIVOG7KG9IX8U","GSON1112150660")</f>
        <v>#NAME?</v>
      </c>
      <c r="O1442" s="8" t="e">
        <f ca="1">[1]!BexGetData("DP_1","003N8EMH8GTFRIVOG7KG9J3KE","GSON1112150660")</f>
        <v>#NAME?</v>
      </c>
      <c r="P1442" s="3" t="e">
        <f ca="1">[1]!BexGetData("DP_1","003N8EMH8GTFRIVOG7KG9J9VY","GSON1112150660")</f>
        <v>#NAME?</v>
      </c>
      <c r="Q1442" s="4" t="e">
        <f ca="1">[1]!BexGetData("DP_1","00O2TNJGODT0G5Z4TTKYMM5MT","GSON1112150660")</f>
        <v>#NAME?</v>
      </c>
      <c r="R1442" s="3" t="e">
        <f ca="1">[1]!BexGetData("DP_1","00O2TNJGODT0G5Z4TTKYMMBYD","GSON1112150660")</f>
        <v>#NAME?</v>
      </c>
      <c r="S1442" s="3" t="e">
        <f ca="1">[1]!BexGetData("DP_1","00O2TNJGODT0G5Z4TTKYMMI9X","GSON1112150660")</f>
        <v>#NAME?</v>
      </c>
      <c r="T1442" s="8" t="e">
        <f ca="1">[1]!BexGetData("DP_1","00O2TNJGODT0G5Z4TTKYMMOLH","GSON1112150660")</f>
        <v>#NAME?</v>
      </c>
      <c r="U1442" s="3" t="e">
        <f ca="1">[1]!BexGetData("DP_1","00O2TNJGODT0G5Z4TTKYMMUX1","GSON1112150660")</f>
        <v>#NAME?</v>
      </c>
      <c r="V1442" s="8" t="e">
        <f ca="1">[1]!BexGetData("DP_1","00O2TNJGODT0G5Z4TTKYMN18L","GSON1112150660")</f>
        <v>#NAME?</v>
      </c>
      <c r="W1442" s="3" t="e">
        <f ca="1">[1]!BexGetData("DP_1","00O2TNJGODT0G5Z4TTKYMN7K5","GSON1112150660")</f>
        <v>#NAME?</v>
      </c>
    </row>
    <row r="1443" spans="1:23" x14ac:dyDescent="0.2">
      <c r="A1443" s="16" t="s">
        <v>1158</v>
      </c>
      <c r="B1443" s="7" t="s">
        <v>1159</v>
      </c>
      <c r="C1443" s="3" t="e">
        <f ca="1">[1]!BexGetData("DP_1","003N8EMH8GTFRCSWKMPXRR8GU","GSON1112150661")</f>
        <v>#NAME?</v>
      </c>
      <c r="D1443" s="3" t="e">
        <f ca="1">[1]!BexGetData("DP_1","003N8EMH8GTFRCSWKMPXRRESE","GSON1112150661")</f>
        <v>#NAME?</v>
      </c>
      <c r="E1443" s="8" t="e">
        <f ca="1">[1]!BexGetData("DP_1","003N8EMH8GTFRCSWKMPXRRL3Y","GSON1112150661")</f>
        <v>#NAME?</v>
      </c>
      <c r="F1443" s="4" t="e">
        <f ca="1">[1]!BexGetData("DP_1","003N8EMH8GTFRCSWKMPXRRRFI","GSON1112150661")</f>
        <v>#NAME?</v>
      </c>
      <c r="G1443" s="4" t="e">
        <f ca="1">[1]!BexGetData("DP_1","003N8EMH8GTFRCSWKMPXRRXR2","GSON1112150661")</f>
        <v>#NAME?</v>
      </c>
      <c r="H1443" s="4" t="e">
        <f ca="1">[1]!BexGetData("DP_1","003N8EMH8GTFRCSWKMPXRS42M","GSON1112150661")</f>
        <v>#NAME?</v>
      </c>
      <c r="I1443" s="4" t="e">
        <f ca="1">[1]!BexGetData("DP_1","003N8EMH8GTFRCSWKMPXRSAE6","GSON1112150661")</f>
        <v>#NAME?</v>
      </c>
      <c r="J1443" s="4" t="e">
        <f ca="1">[1]!BexGetData("DP_1","003N8EMH8GTFRCSWKMPXRSGPQ","GSON1112150661")</f>
        <v>#NAME?</v>
      </c>
      <c r="K1443" s="8" t="e">
        <f ca="1">[1]!BexGetData("DP_1","003N8EMH8GTFRIVNUPY288VJH","GSON1112150661")</f>
        <v>#NAME?</v>
      </c>
      <c r="L1443" s="8" t="e">
        <f ca="1">[1]!BexGetData("DP_1","003N8EMH8GTFRIVNUPY2891V1","GSON1112150661")</f>
        <v>#NAME?</v>
      </c>
      <c r="M1443" s="8" t="e">
        <f ca="1">[1]!BexGetData("DP_1","003N8EMH8GTFRIVOG7KG9IQXA","GSON1112150661")</f>
        <v>#NAME?</v>
      </c>
      <c r="N1443" s="8" t="e">
        <f ca="1">[1]!BexGetData("DP_1","003N8EMH8GTFRIVOG7KG9IX8U","GSON1112150661")</f>
        <v>#NAME?</v>
      </c>
      <c r="O1443" s="8" t="e">
        <f ca="1">[1]!BexGetData("DP_1","003N8EMH8GTFRIVOG7KG9J3KE","GSON1112150661")</f>
        <v>#NAME?</v>
      </c>
      <c r="P1443" s="8" t="e">
        <f ca="1">[1]!BexGetData("DP_1","003N8EMH8GTFRIVOG7KG9J9VY","GSON1112150661")</f>
        <v>#NAME?</v>
      </c>
      <c r="Q1443" s="4" t="e">
        <f ca="1">[1]!BexGetData("DP_1","00O2TNJGODT0G5Z4TTKYMM5MT","GSON1112150661")</f>
        <v>#NAME?</v>
      </c>
      <c r="R1443" s="4" t="e">
        <f ca="1">[1]!BexGetData("DP_1","00O2TNJGODT0G5Z4TTKYMMBYD","GSON1112150661")</f>
        <v>#NAME?</v>
      </c>
      <c r="S1443" s="4" t="e">
        <f ca="1">[1]!BexGetData("DP_1","00O2TNJGODT0G5Z4TTKYMMI9X","GSON1112150661")</f>
        <v>#NAME?</v>
      </c>
      <c r="T1443" s="4" t="e">
        <f ca="1">[1]!BexGetData("DP_1","00O2TNJGODT0G5Z4TTKYMMOLH","GSON1112150661")</f>
        <v>#NAME?</v>
      </c>
      <c r="U1443" s="4" t="e">
        <f ca="1">[1]!BexGetData("DP_1","00O2TNJGODT0G5Z4TTKYMMUX1","GSON1112150661")</f>
        <v>#NAME?</v>
      </c>
      <c r="V1443" s="4" t="e">
        <f ca="1">[1]!BexGetData("DP_1","00O2TNJGODT0G5Z4TTKYMN18L","GSON1112150661")</f>
        <v>#NAME?</v>
      </c>
      <c r="W1443" s="4" t="e">
        <f ca="1">[1]!BexGetData("DP_1","00O2TNJGODT0G5Z4TTKYMN7K5","GSON1112150661")</f>
        <v>#NAME?</v>
      </c>
    </row>
    <row r="1444" spans="1:23" x14ac:dyDescent="0.2">
      <c r="A1444" s="16" t="s">
        <v>3884</v>
      </c>
      <c r="B1444" s="7" t="s">
        <v>3885</v>
      </c>
      <c r="C1444" s="3" t="e">
        <f ca="1">[1]!BexGetData("DP_1","003N8EMH8GTFRCSWKMPXRR8GU","GSON1112150663")</f>
        <v>#NAME?</v>
      </c>
      <c r="D1444" s="3" t="e">
        <f ca="1">[1]!BexGetData("DP_1","003N8EMH8GTFRCSWKMPXRRESE","GSON1112150663")</f>
        <v>#NAME?</v>
      </c>
      <c r="E1444" s="8" t="e">
        <f ca="1">[1]!BexGetData("DP_1","003N8EMH8GTFRCSWKMPXRRL3Y","GSON1112150663")</f>
        <v>#NAME?</v>
      </c>
      <c r="F1444" s="4" t="e">
        <f ca="1">[1]!BexGetData("DP_1","003N8EMH8GTFRCSWKMPXRRRFI","GSON1112150663")</f>
        <v>#NAME?</v>
      </c>
      <c r="G1444" s="4" t="e">
        <f ca="1">[1]!BexGetData("DP_1","003N8EMH8GTFRCSWKMPXRRXR2","GSON1112150663")</f>
        <v>#NAME?</v>
      </c>
      <c r="H1444" s="4" t="e">
        <f ca="1">[1]!BexGetData("DP_1","003N8EMH8GTFRCSWKMPXRS42M","GSON1112150663")</f>
        <v>#NAME?</v>
      </c>
      <c r="I1444" s="4" t="e">
        <f ca="1">[1]!BexGetData("DP_1","003N8EMH8GTFRCSWKMPXRSAE6","GSON1112150663")</f>
        <v>#NAME?</v>
      </c>
      <c r="J1444" s="4" t="e">
        <f ca="1">[1]!BexGetData("DP_1","003N8EMH8GTFRCSWKMPXRSGPQ","GSON1112150663")</f>
        <v>#NAME?</v>
      </c>
      <c r="K1444" s="8" t="e">
        <f ca="1">[1]!BexGetData("DP_1","003N8EMH8GTFRIVNUPY288VJH","GSON1112150663")</f>
        <v>#NAME?</v>
      </c>
      <c r="L1444" s="8" t="e">
        <f ca="1">[1]!BexGetData("DP_1","003N8EMH8GTFRIVNUPY2891V1","GSON1112150663")</f>
        <v>#NAME?</v>
      </c>
      <c r="M1444" s="8" t="e">
        <f ca="1">[1]!BexGetData("DP_1","003N8EMH8GTFRIVOG7KG9IQXA","GSON1112150663")</f>
        <v>#NAME?</v>
      </c>
      <c r="N1444" s="8" t="e">
        <f ca="1">[1]!BexGetData("DP_1","003N8EMH8GTFRIVOG7KG9IX8U","GSON1112150663")</f>
        <v>#NAME?</v>
      </c>
      <c r="O1444" s="8" t="e">
        <f ca="1">[1]!BexGetData("DP_1","003N8EMH8GTFRIVOG7KG9J3KE","GSON1112150663")</f>
        <v>#NAME?</v>
      </c>
      <c r="P1444" s="8" t="e">
        <f ca="1">[1]!BexGetData("DP_1","003N8EMH8GTFRIVOG7KG9J9VY","GSON1112150663")</f>
        <v>#NAME?</v>
      </c>
      <c r="Q1444" s="4" t="e">
        <f ca="1">[1]!BexGetData("DP_1","00O2TNJGODT0G5Z4TTKYMM5MT","GSON1112150663")</f>
        <v>#NAME?</v>
      </c>
      <c r="R1444" s="4" t="e">
        <f ca="1">[1]!BexGetData("DP_1","00O2TNJGODT0G5Z4TTKYMMBYD","GSON1112150663")</f>
        <v>#NAME?</v>
      </c>
      <c r="S1444" s="4" t="e">
        <f ca="1">[1]!BexGetData("DP_1","00O2TNJGODT0G5Z4TTKYMMI9X","GSON1112150663")</f>
        <v>#NAME?</v>
      </c>
      <c r="T1444" s="4" t="e">
        <f ca="1">[1]!BexGetData("DP_1","00O2TNJGODT0G5Z4TTKYMMOLH","GSON1112150663")</f>
        <v>#NAME?</v>
      </c>
      <c r="U1444" s="4" t="e">
        <f ca="1">[1]!BexGetData("DP_1","00O2TNJGODT0G5Z4TTKYMMUX1","GSON1112150663")</f>
        <v>#NAME?</v>
      </c>
      <c r="V1444" s="4" t="e">
        <f ca="1">[1]!BexGetData("DP_1","00O2TNJGODT0G5Z4TTKYMN18L","GSON1112150663")</f>
        <v>#NAME?</v>
      </c>
      <c r="W1444" s="4" t="e">
        <f ca="1">[1]!BexGetData("DP_1","00O2TNJGODT0G5Z4TTKYMN7K5","GSON1112150663")</f>
        <v>#NAME?</v>
      </c>
    </row>
    <row r="1445" spans="1:23" x14ac:dyDescent="0.2">
      <c r="A1445" s="16" t="s">
        <v>3886</v>
      </c>
      <c r="B1445" s="7" t="s">
        <v>3887</v>
      </c>
      <c r="C1445" s="3" t="e">
        <f ca="1">[1]!BexGetData("DP_1","003N8EMH8GTFRCSWKMPXRR8GU","GSON1112150664")</f>
        <v>#NAME?</v>
      </c>
      <c r="D1445" s="3" t="e">
        <f ca="1">[1]!BexGetData("DP_1","003N8EMH8GTFRCSWKMPXRRESE","GSON1112150664")</f>
        <v>#NAME?</v>
      </c>
      <c r="E1445" s="8" t="e">
        <f ca="1">[1]!BexGetData("DP_1","003N8EMH8GTFRCSWKMPXRRL3Y","GSON1112150664")</f>
        <v>#NAME?</v>
      </c>
      <c r="F1445" s="4" t="e">
        <f ca="1">[1]!BexGetData("DP_1","003N8EMH8GTFRCSWKMPXRRRFI","GSON1112150664")</f>
        <v>#NAME?</v>
      </c>
      <c r="G1445" s="4" t="e">
        <f ca="1">[1]!BexGetData("DP_1","003N8EMH8GTFRCSWKMPXRRXR2","GSON1112150664")</f>
        <v>#NAME?</v>
      </c>
      <c r="H1445" s="4" t="e">
        <f ca="1">[1]!BexGetData("DP_1","003N8EMH8GTFRCSWKMPXRS42M","GSON1112150664")</f>
        <v>#NAME?</v>
      </c>
      <c r="I1445" s="4" t="e">
        <f ca="1">[1]!BexGetData("DP_1","003N8EMH8GTFRCSWKMPXRSAE6","GSON1112150664")</f>
        <v>#NAME?</v>
      </c>
      <c r="J1445" s="4" t="e">
        <f ca="1">[1]!BexGetData("DP_1","003N8EMH8GTFRCSWKMPXRSGPQ","GSON1112150664")</f>
        <v>#NAME?</v>
      </c>
      <c r="K1445" s="8" t="e">
        <f ca="1">[1]!BexGetData("DP_1","003N8EMH8GTFRIVNUPY288VJH","GSON1112150664")</f>
        <v>#NAME?</v>
      </c>
      <c r="L1445" s="8" t="e">
        <f ca="1">[1]!BexGetData("DP_1","003N8EMH8GTFRIVNUPY2891V1","GSON1112150664")</f>
        <v>#NAME?</v>
      </c>
      <c r="M1445" s="8" t="e">
        <f ca="1">[1]!BexGetData("DP_1","003N8EMH8GTFRIVOG7KG9IQXA","GSON1112150664")</f>
        <v>#NAME?</v>
      </c>
      <c r="N1445" s="8" t="e">
        <f ca="1">[1]!BexGetData("DP_1","003N8EMH8GTFRIVOG7KG9IX8U","GSON1112150664")</f>
        <v>#NAME?</v>
      </c>
      <c r="O1445" s="8" t="e">
        <f ca="1">[1]!BexGetData("DP_1","003N8EMH8GTFRIVOG7KG9J3KE","GSON1112150664")</f>
        <v>#NAME?</v>
      </c>
      <c r="P1445" s="8" t="e">
        <f ca="1">[1]!BexGetData("DP_1","003N8EMH8GTFRIVOG7KG9J9VY","GSON1112150664")</f>
        <v>#NAME?</v>
      </c>
      <c r="Q1445" s="4" t="e">
        <f ca="1">[1]!BexGetData("DP_1","00O2TNJGODT0G5Z4TTKYMM5MT","GSON1112150664")</f>
        <v>#NAME?</v>
      </c>
      <c r="R1445" s="4" t="e">
        <f ca="1">[1]!BexGetData("DP_1","00O2TNJGODT0G5Z4TTKYMMBYD","GSON1112150664")</f>
        <v>#NAME?</v>
      </c>
      <c r="S1445" s="4" t="e">
        <f ca="1">[1]!BexGetData("DP_1","00O2TNJGODT0G5Z4TTKYMMI9X","GSON1112150664")</f>
        <v>#NAME?</v>
      </c>
      <c r="T1445" s="4" t="e">
        <f ca="1">[1]!BexGetData("DP_1","00O2TNJGODT0G5Z4TTKYMMOLH","GSON1112150664")</f>
        <v>#NAME?</v>
      </c>
      <c r="U1445" s="4" t="e">
        <f ca="1">[1]!BexGetData("DP_1","00O2TNJGODT0G5Z4TTKYMMUX1","GSON1112150664")</f>
        <v>#NAME?</v>
      </c>
      <c r="V1445" s="4" t="e">
        <f ca="1">[1]!BexGetData("DP_1","00O2TNJGODT0G5Z4TTKYMN18L","GSON1112150664")</f>
        <v>#NAME?</v>
      </c>
      <c r="W1445" s="4" t="e">
        <f ca="1">[1]!BexGetData("DP_1","00O2TNJGODT0G5Z4TTKYMN7K5","GSON1112150664")</f>
        <v>#NAME?</v>
      </c>
    </row>
    <row r="1446" spans="1:23" x14ac:dyDescent="0.2">
      <c r="A1446" s="16" t="s">
        <v>1160</v>
      </c>
      <c r="B1446" s="7" t="s">
        <v>1161</v>
      </c>
      <c r="C1446" s="3" t="e">
        <f ca="1">[1]!BexGetData("DP_1","003N8EMH8GTFRCSWKMPXRR8GU","GSON1112150670")</f>
        <v>#NAME?</v>
      </c>
      <c r="D1446" s="3" t="e">
        <f ca="1">[1]!BexGetData("DP_1","003N8EMH8GTFRCSWKMPXRRESE","GSON1112150670")</f>
        <v>#NAME?</v>
      </c>
      <c r="E1446" s="3" t="e">
        <f ca="1">[1]!BexGetData("DP_1","003N8EMH8GTFRCSWKMPXRRL3Y","GSON1112150670")</f>
        <v>#NAME?</v>
      </c>
      <c r="F1446" s="3" t="e">
        <f ca="1">[1]!BexGetData("DP_1","003N8EMH8GTFRCSWKMPXRRRFI","GSON1112150670")</f>
        <v>#NAME?</v>
      </c>
      <c r="G1446" s="3" t="e">
        <f ca="1">[1]!BexGetData("DP_1","003N8EMH8GTFRCSWKMPXRRXR2","GSON1112150670")</f>
        <v>#NAME?</v>
      </c>
      <c r="H1446" s="8" t="e">
        <f ca="1">[1]!BexGetData("DP_1","003N8EMH8GTFRCSWKMPXRS42M","GSON1112150670")</f>
        <v>#NAME?</v>
      </c>
      <c r="I1446" s="3" t="e">
        <f ca="1">[1]!BexGetData("DP_1","003N8EMH8GTFRCSWKMPXRSAE6","GSON1112150670")</f>
        <v>#NAME?</v>
      </c>
      <c r="J1446" s="4" t="e">
        <f ca="1">[1]!BexGetData("DP_1","003N8EMH8GTFRCSWKMPXRSGPQ","GSON1112150670")</f>
        <v>#NAME?</v>
      </c>
      <c r="K1446" s="3" t="e">
        <f ca="1">[1]!BexGetData("DP_1","003N8EMH8GTFRIVNUPY288VJH","GSON1112150670")</f>
        <v>#NAME?</v>
      </c>
      <c r="L1446" s="3" t="e">
        <f ca="1">[1]!BexGetData("DP_1","003N8EMH8GTFRIVNUPY2891V1","GSON1112150670")</f>
        <v>#NAME?</v>
      </c>
      <c r="M1446" s="8" t="e">
        <f ca="1">[1]!BexGetData("DP_1","003N8EMH8GTFRIVOG7KG9IQXA","GSON1112150670")</f>
        <v>#NAME?</v>
      </c>
      <c r="N1446" s="3" t="e">
        <f ca="1">[1]!BexGetData("DP_1","003N8EMH8GTFRIVOG7KG9IX8U","GSON1112150670")</f>
        <v>#NAME?</v>
      </c>
      <c r="O1446" s="8" t="e">
        <f ca="1">[1]!BexGetData("DP_1","003N8EMH8GTFRIVOG7KG9J3KE","GSON1112150670")</f>
        <v>#NAME?</v>
      </c>
      <c r="P1446" s="3" t="e">
        <f ca="1">[1]!BexGetData("DP_1","003N8EMH8GTFRIVOG7KG9J9VY","GSON1112150670")</f>
        <v>#NAME?</v>
      </c>
      <c r="Q1446" s="4" t="e">
        <f ca="1">[1]!BexGetData("DP_1","00O2TNJGODT0G5Z4TTKYMM5MT","GSON1112150670")</f>
        <v>#NAME?</v>
      </c>
      <c r="R1446" s="3" t="e">
        <f ca="1">[1]!BexGetData("DP_1","00O2TNJGODT0G5Z4TTKYMMBYD","GSON1112150670")</f>
        <v>#NAME?</v>
      </c>
      <c r="S1446" s="3" t="e">
        <f ca="1">[1]!BexGetData("DP_1","00O2TNJGODT0G5Z4TTKYMMI9X","GSON1112150670")</f>
        <v>#NAME?</v>
      </c>
      <c r="T1446" s="8" t="e">
        <f ca="1">[1]!BexGetData("DP_1","00O2TNJGODT0G5Z4TTKYMMOLH","GSON1112150670")</f>
        <v>#NAME?</v>
      </c>
      <c r="U1446" s="3" t="e">
        <f ca="1">[1]!BexGetData("DP_1","00O2TNJGODT0G5Z4TTKYMMUX1","GSON1112150670")</f>
        <v>#NAME?</v>
      </c>
      <c r="V1446" s="8" t="e">
        <f ca="1">[1]!BexGetData("DP_1","00O2TNJGODT0G5Z4TTKYMN18L","GSON1112150670")</f>
        <v>#NAME?</v>
      </c>
      <c r="W1446" s="3" t="e">
        <f ca="1">[1]!BexGetData("DP_1","00O2TNJGODT0G5Z4TTKYMN7K5","GSON1112150670")</f>
        <v>#NAME?</v>
      </c>
    </row>
    <row r="1447" spans="1:23" x14ac:dyDescent="0.2">
      <c r="A1447" s="16" t="s">
        <v>433</v>
      </c>
      <c r="B1447" s="7" t="s">
        <v>434</v>
      </c>
      <c r="C1447" s="3" t="e">
        <f ca="1">[1]!BexGetData("DP_1","003N8EMH8GTFRCSWKMPXRR8GU","GSON1112150671")</f>
        <v>#NAME?</v>
      </c>
      <c r="D1447" s="3" t="e">
        <f ca="1">[1]!BexGetData("DP_1","003N8EMH8GTFRCSWKMPXRRESE","GSON1112150671")</f>
        <v>#NAME?</v>
      </c>
      <c r="E1447" s="3" t="e">
        <f ca="1">[1]!BexGetData("DP_1","003N8EMH8GTFRCSWKMPXRRL3Y","GSON1112150671")</f>
        <v>#NAME?</v>
      </c>
      <c r="F1447" s="3" t="e">
        <f ca="1">[1]!BexGetData("DP_1","003N8EMH8GTFRCSWKMPXRRRFI","GSON1112150671")</f>
        <v>#NAME?</v>
      </c>
      <c r="G1447" s="3" t="e">
        <f ca="1">[1]!BexGetData("DP_1","003N8EMH8GTFRCSWKMPXRRXR2","GSON1112150671")</f>
        <v>#NAME?</v>
      </c>
      <c r="H1447" s="8" t="e">
        <f ca="1">[1]!BexGetData("DP_1","003N8EMH8GTFRCSWKMPXRS42M","GSON1112150671")</f>
        <v>#NAME?</v>
      </c>
      <c r="I1447" s="3" t="e">
        <f ca="1">[1]!BexGetData("DP_1","003N8EMH8GTFRCSWKMPXRSAE6","GSON1112150671")</f>
        <v>#NAME?</v>
      </c>
      <c r="J1447" s="4" t="e">
        <f ca="1">[1]!BexGetData("DP_1","003N8EMH8GTFRCSWKMPXRSGPQ","GSON1112150671")</f>
        <v>#NAME?</v>
      </c>
      <c r="K1447" s="3" t="e">
        <f ca="1">[1]!BexGetData("DP_1","003N8EMH8GTFRIVNUPY288VJH","GSON1112150671")</f>
        <v>#NAME?</v>
      </c>
      <c r="L1447" s="3" t="e">
        <f ca="1">[1]!BexGetData("DP_1","003N8EMH8GTFRIVNUPY2891V1","GSON1112150671")</f>
        <v>#NAME?</v>
      </c>
      <c r="M1447" s="3" t="e">
        <f ca="1">[1]!BexGetData("DP_1","003N8EMH8GTFRIVOG7KG9IQXA","GSON1112150671")</f>
        <v>#NAME?</v>
      </c>
      <c r="N1447" s="8" t="e">
        <f ca="1">[1]!BexGetData("DP_1","003N8EMH8GTFRIVOG7KG9IX8U","GSON1112150671")</f>
        <v>#NAME?</v>
      </c>
      <c r="O1447" s="3" t="e">
        <f ca="1">[1]!BexGetData("DP_1","003N8EMH8GTFRIVOG7KG9J3KE","GSON1112150671")</f>
        <v>#NAME?</v>
      </c>
      <c r="P1447" s="8" t="e">
        <f ca="1">[1]!BexGetData("DP_1","003N8EMH8GTFRIVOG7KG9J9VY","GSON1112150671")</f>
        <v>#NAME?</v>
      </c>
      <c r="Q1447" s="4" t="e">
        <f ca="1">[1]!BexGetData("DP_1","00O2TNJGODT0G5Z4TTKYMM5MT","GSON1112150671")</f>
        <v>#NAME?</v>
      </c>
      <c r="R1447" s="3" t="e">
        <f ca="1">[1]!BexGetData("DP_1","00O2TNJGODT0G5Z4TTKYMMBYD","GSON1112150671")</f>
        <v>#NAME?</v>
      </c>
      <c r="S1447" s="3" t="e">
        <f ca="1">[1]!BexGetData("DP_1","00O2TNJGODT0G5Z4TTKYMMI9X","GSON1112150671")</f>
        <v>#NAME?</v>
      </c>
      <c r="T1447" s="8" t="e">
        <f ca="1">[1]!BexGetData("DP_1","00O2TNJGODT0G5Z4TTKYMMOLH","GSON1112150671")</f>
        <v>#NAME?</v>
      </c>
      <c r="U1447" s="3" t="e">
        <f ca="1">[1]!BexGetData("DP_1","00O2TNJGODT0G5Z4TTKYMMUX1","GSON1112150671")</f>
        <v>#NAME?</v>
      </c>
      <c r="V1447" s="8" t="e">
        <f ca="1">[1]!BexGetData("DP_1","00O2TNJGODT0G5Z4TTKYMN18L","GSON1112150671")</f>
        <v>#NAME?</v>
      </c>
      <c r="W1447" s="3" t="e">
        <f ca="1">[1]!BexGetData("DP_1","00O2TNJGODT0G5Z4TTKYMN7K5","GSON1112150671")</f>
        <v>#NAME?</v>
      </c>
    </row>
    <row r="1448" spans="1:23" x14ac:dyDescent="0.2">
      <c r="A1448" s="16" t="s">
        <v>1162</v>
      </c>
      <c r="B1448" s="7" t="s">
        <v>1163</v>
      </c>
      <c r="C1448" s="3" t="e">
        <f ca="1">[1]!BexGetData("DP_1","003N8EMH8GTFRCSWKMPXRR8GU","GSON1112150673")</f>
        <v>#NAME?</v>
      </c>
      <c r="D1448" s="3" t="e">
        <f ca="1">[1]!BexGetData("DP_1","003N8EMH8GTFRCSWKMPXRRESE","GSON1112150673")</f>
        <v>#NAME?</v>
      </c>
      <c r="E1448" s="3" t="e">
        <f ca="1">[1]!BexGetData("DP_1","003N8EMH8GTFRCSWKMPXRRL3Y","GSON1112150673")</f>
        <v>#NAME?</v>
      </c>
      <c r="F1448" s="4" t="e">
        <f ca="1">[1]!BexGetData("DP_1","003N8EMH8GTFRCSWKMPXRRRFI","GSON1112150673")</f>
        <v>#NAME?</v>
      </c>
      <c r="G1448" s="4" t="e">
        <f ca="1">[1]!BexGetData("DP_1","003N8EMH8GTFRCSWKMPXRRXR2","GSON1112150673")</f>
        <v>#NAME?</v>
      </c>
      <c r="H1448" s="4" t="e">
        <f ca="1">[1]!BexGetData("DP_1","003N8EMH8GTFRCSWKMPXRS42M","GSON1112150673")</f>
        <v>#NAME?</v>
      </c>
      <c r="I1448" s="4" t="e">
        <f ca="1">[1]!BexGetData("DP_1","003N8EMH8GTFRCSWKMPXRSAE6","GSON1112150673")</f>
        <v>#NAME?</v>
      </c>
      <c r="J1448" s="4" t="e">
        <f ca="1">[1]!BexGetData("DP_1","003N8EMH8GTFRCSWKMPXRSGPQ","GSON1112150673")</f>
        <v>#NAME?</v>
      </c>
      <c r="K1448" s="3" t="e">
        <f ca="1">[1]!BexGetData("DP_1","003N8EMH8GTFRIVNUPY288VJH","GSON1112150673")</f>
        <v>#NAME?</v>
      </c>
      <c r="L1448" s="3" t="e">
        <f ca="1">[1]!BexGetData("DP_1","003N8EMH8GTFRIVNUPY2891V1","GSON1112150673")</f>
        <v>#NAME?</v>
      </c>
      <c r="M1448" s="8" t="e">
        <f ca="1">[1]!BexGetData("DP_1","003N8EMH8GTFRIVOG7KG9IQXA","GSON1112150673")</f>
        <v>#NAME?</v>
      </c>
      <c r="N1448" s="3" t="e">
        <f ca="1">[1]!BexGetData("DP_1","003N8EMH8GTFRIVOG7KG9IX8U","GSON1112150673")</f>
        <v>#NAME?</v>
      </c>
      <c r="O1448" s="8" t="e">
        <f ca="1">[1]!BexGetData("DP_1","003N8EMH8GTFRIVOG7KG9J3KE","GSON1112150673")</f>
        <v>#NAME?</v>
      </c>
      <c r="P1448" s="3" t="e">
        <f ca="1">[1]!BexGetData("DP_1","003N8EMH8GTFRIVOG7KG9J9VY","GSON1112150673")</f>
        <v>#NAME?</v>
      </c>
      <c r="Q1448" s="4" t="e">
        <f ca="1">[1]!BexGetData("DP_1","00O2TNJGODT0G5Z4TTKYMM5MT","GSON1112150673")</f>
        <v>#NAME?</v>
      </c>
      <c r="R1448" s="4" t="e">
        <f ca="1">[1]!BexGetData("DP_1","00O2TNJGODT0G5Z4TTKYMMBYD","GSON1112150673")</f>
        <v>#NAME?</v>
      </c>
      <c r="S1448" s="4" t="e">
        <f ca="1">[1]!BexGetData("DP_1","00O2TNJGODT0G5Z4TTKYMMI9X","GSON1112150673")</f>
        <v>#NAME?</v>
      </c>
      <c r="T1448" s="4" t="e">
        <f ca="1">[1]!BexGetData("DP_1","00O2TNJGODT0G5Z4TTKYMMOLH","GSON1112150673")</f>
        <v>#NAME?</v>
      </c>
      <c r="U1448" s="4" t="e">
        <f ca="1">[1]!BexGetData("DP_1","00O2TNJGODT0G5Z4TTKYMMUX1","GSON1112150673")</f>
        <v>#NAME?</v>
      </c>
      <c r="V1448" s="4" t="e">
        <f ca="1">[1]!BexGetData("DP_1","00O2TNJGODT0G5Z4TTKYMN18L","GSON1112150673")</f>
        <v>#NAME?</v>
      </c>
      <c r="W1448" s="4" t="e">
        <f ca="1">[1]!BexGetData("DP_1","00O2TNJGODT0G5Z4TTKYMN7K5","GSON1112150673")</f>
        <v>#NAME?</v>
      </c>
    </row>
    <row r="1449" spans="1:23" x14ac:dyDescent="0.2">
      <c r="A1449" s="16" t="s">
        <v>3888</v>
      </c>
      <c r="B1449" s="7" t="s">
        <v>1164</v>
      </c>
      <c r="C1449" s="3" t="e">
        <f ca="1">[1]!BexGetData("DP_1","003N8EMH8GTFRCSWKMPXRR8GU","GSON1112150674")</f>
        <v>#NAME?</v>
      </c>
      <c r="D1449" s="3" t="e">
        <f ca="1">[1]!BexGetData("DP_1","003N8EMH8GTFRCSWKMPXRRESE","GSON1112150674")</f>
        <v>#NAME?</v>
      </c>
      <c r="E1449" s="3" t="e">
        <f ca="1">[1]!BexGetData("DP_1","003N8EMH8GTFRCSWKMPXRRL3Y","GSON1112150674")</f>
        <v>#NAME?</v>
      </c>
      <c r="F1449" s="4" t="e">
        <f ca="1">[1]!BexGetData("DP_1","003N8EMH8GTFRCSWKMPXRRRFI","GSON1112150674")</f>
        <v>#NAME?</v>
      </c>
      <c r="G1449" s="4" t="e">
        <f ca="1">[1]!BexGetData("DP_1","003N8EMH8GTFRCSWKMPXRRXR2","GSON1112150674")</f>
        <v>#NAME?</v>
      </c>
      <c r="H1449" s="4" t="e">
        <f ca="1">[1]!BexGetData("DP_1","003N8EMH8GTFRCSWKMPXRS42M","GSON1112150674")</f>
        <v>#NAME?</v>
      </c>
      <c r="I1449" s="4" t="e">
        <f ca="1">[1]!BexGetData("DP_1","003N8EMH8GTFRCSWKMPXRSAE6","GSON1112150674")</f>
        <v>#NAME?</v>
      </c>
      <c r="J1449" s="4" t="e">
        <f ca="1">[1]!BexGetData("DP_1","003N8EMH8GTFRCSWKMPXRSGPQ","GSON1112150674")</f>
        <v>#NAME?</v>
      </c>
      <c r="K1449" s="3" t="e">
        <f ca="1">[1]!BexGetData("DP_1","003N8EMH8GTFRIVNUPY288VJH","GSON1112150674")</f>
        <v>#NAME?</v>
      </c>
      <c r="L1449" s="3" t="e">
        <f ca="1">[1]!BexGetData("DP_1","003N8EMH8GTFRIVNUPY2891V1","GSON1112150674")</f>
        <v>#NAME?</v>
      </c>
      <c r="M1449" s="3" t="e">
        <f ca="1">[1]!BexGetData("DP_1","003N8EMH8GTFRIVOG7KG9IQXA","GSON1112150674")</f>
        <v>#NAME?</v>
      </c>
      <c r="N1449" s="8" t="e">
        <f ca="1">[1]!BexGetData("DP_1","003N8EMH8GTFRIVOG7KG9IX8U","GSON1112150674")</f>
        <v>#NAME?</v>
      </c>
      <c r="O1449" s="3" t="e">
        <f ca="1">[1]!BexGetData("DP_1","003N8EMH8GTFRIVOG7KG9J3KE","GSON1112150674")</f>
        <v>#NAME?</v>
      </c>
      <c r="P1449" s="8" t="e">
        <f ca="1">[1]!BexGetData("DP_1","003N8EMH8GTFRIVOG7KG9J9VY","GSON1112150674")</f>
        <v>#NAME?</v>
      </c>
      <c r="Q1449" s="4" t="e">
        <f ca="1">[1]!BexGetData("DP_1","00O2TNJGODT0G5Z4TTKYMM5MT","GSON1112150674")</f>
        <v>#NAME?</v>
      </c>
      <c r="R1449" s="4" t="e">
        <f ca="1">[1]!BexGetData("DP_1","00O2TNJGODT0G5Z4TTKYMMBYD","GSON1112150674")</f>
        <v>#NAME?</v>
      </c>
      <c r="S1449" s="4" t="e">
        <f ca="1">[1]!BexGetData("DP_1","00O2TNJGODT0G5Z4TTKYMMI9X","GSON1112150674")</f>
        <v>#NAME?</v>
      </c>
      <c r="T1449" s="4" t="e">
        <f ca="1">[1]!BexGetData("DP_1","00O2TNJGODT0G5Z4TTKYMMOLH","GSON1112150674")</f>
        <v>#NAME?</v>
      </c>
      <c r="U1449" s="4" t="e">
        <f ca="1">[1]!BexGetData("DP_1","00O2TNJGODT0G5Z4TTKYMMUX1","GSON1112150674")</f>
        <v>#NAME?</v>
      </c>
      <c r="V1449" s="4" t="e">
        <f ca="1">[1]!BexGetData("DP_1","00O2TNJGODT0G5Z4TTKYMN18L","GSON1112150674")</f>
        <v>#NAME?</v>
      </c>
      <c r="W1449" s="4" t="e">
        <f ca="1">[1]!BexGetData("DP_1","00O2TNJGODT0G5Z4TTKYMN7K5","GSON1112150674")</f>
        <v>#NAME?</v>
      </c>
    </row>
    <row r="1450" spans="1:23" x14ac:dyDescent="0.2">
      <c r="A1450" s="16" t="s">
        <v>304</v>
      </c>
      <c r="B1450" s="7" t="s">
        <v>305</v>
      </c>
      <c r="C1450" s="3" t="e">
        <f ca="1">[1]!BexGetData("DP_1","003N8EMH8GTFRCSWKMPXRR8GU","GSON1112150680")</f>
        <v>#NAME?</v>
      </c>
      <c r="D1450" s="3" t="e">
        <f ca="1">[1]!BexGetData("DP_1","003N8EMH8GTFRCSWKMPXRRESE","GSON1112150680")</f>
        <v>#NAME?</v>
      </c>
      <c r="E1450" s="3" t="e">
        <f ca="1">[1]!BexGetData("DP_1","003N8EMH8GTFRCSWKMPXRRL3Y","GSON1112150680")</f>
        <v>#NAME?</v>
      </c>
      <c r="F1450" s="3" t="e">
        <f ca="1">[1]!BexGetData("DP_1","003N8EMH8GTFRCSWKMPXRRRFI","GSON1112150680")</f>
        <v>#NAME?</v>
      </c>
      <c r="G1450" s="3" t="e">
        <f ca="1">[1]!BexGetData("DP_1","003N8EMH8GTFRCSWKMPXRRXR2","GSON1112150680")</f>
        <v>#NAME?</v>
      </c>
      <c r="H1450" s="8" t="e">
        <f ca="1">[1]!BexGetData("DP_1","003N8EMH8GTFRCSWKMPXRS42M","GSON1112150680")</f>
        <v>#NAME?</v>
      </c>
      <c r="I1450" s="3" t="e">
        <f ca="1">[1]!BexGetData("DP_1","003N8EMH8GTFRCSWKMPXRSAE6","GSON1112150680")</f>
        <v>#NAME?</v>
      </c>
      <c r="J1450" s="4" t="e">
        <f ca="1">[1]!BexGetData("DP_1","003N8EMH8GTFRCSWKMPXRSGPQ","GSON1112150680")</f>
        <v>#NAME?</v>
      </c>
      <c r="K1450" s="3" t="e">
        <f ca="1">[1]!BexGetData("DP_1","003N8EMH8GTFRIVNUPY288VJH","GSON1112150680")</f>
        <v>#NAME?</v>
      </c>
      <c r="L1450" s="3" t="e">
        <f ca="1">[1]!BexGetData("DP_1","003N8EMH8GTFRIVNUPY2891V1","GSON1112150680")</f>
        <v>#NAME?</v>
      </c>
      <c r="M1450" s="8" t="e">
        <f ca="1">[1]!BexGetData("DP_1","003N8EMH8GTFRIVOG7KG9IQXA","GSON1112150680")</f>
        <v>#NAME?</v>
      </c>
      <c r="N1450" s="3" t="e">
        <f ca="1">[1]!BexGetData("DP_1","003N8EMH8GTFRIVOG7KG9IX8U","GSON1112150680")</f>
        <v>#NAME?</v>
      </c>
      <c r="O1450" s="8" t="e">
        <f ca="1">[1]!BexGetData("DP_1","003N8EMH8GTFRIVOG7KG9J3KE","GSON1112150680")</f>
        <v>#NAME?</v>
      </c>
      <c r="P1450" s="3" t="e">
        <f ca="1">[1]!BexGetData("DP_1","003N8EMH8GTFRIVOG7KG9J9VY","GSON1112150680")</f>
        <v>#NAME?</v>
      </c>
      <c r="Q1450" s="4" t="e">
        <f ca="1">[1]!BexGetData("DP_1","00O2TNJGODT0G5Z4TTKYMM5MT","GSON1112150680")</f>
        <v>#NAME?</v>
      </c>
      <c r="R1450" s="3" t="e">
        <f ca="1">[1]!BexGetData("DP_1","00O2TNJGODT0G5Z4TTKYMMBYD","GSON1112150680")</f>
        <v>#NAME?</v>
      </c>
      <c r="S1450" s="3" t="e">
        <f ca="1">[1]!BexGetData("DP_1","00O2TNJGODT0G5Z4TTKYMMI9X","GSON1112150680")</f>
        <v>#NAME?</v>
      </c>
      <c r="T1450" s="8" t="e">
        <f ca="1">[1]!BexGetData("DP_1","00O2TNJGODT0G5Z4TTKYMMOLH","GSON1112150680")</f>
        <v>#NAME?</v>
      </c>
      <c r="U1450" s="3" t="e">
        <f ca="1">[1]!BexGetData("DP_1","00O2TNJGODT0G5Z4TTKYMMUX1","GSON1112150680")</f>
        <v>#NAME?</v>
      </c>
      <c r="V1450" s="8" t="e">
        <f ca="1">[1]!BexGetData("DP_1","00O2TNJGODT0G5Z4TTKYMN18L","GSON1112150680")</f>
        <v>#NAME?</v>
      </c>
      <c r="W1450" s="3" t="e">
        <f ca="1">[1]!BexGetData("DP_1","00O2TNJGODT0G5Z4TTKYMN7K5","GSON1112150680")</f>
        <v>#NAME?</v>
      </c>
    </row>
    <row r="1451" spans="1:23" x14ac:dyDescent="0.2">
      <c r="A1451" s="16" t="s">
        <v>306</v>
      </c>
      <c r="B1451" s="7" t="s">
        <v>307</v>
      </c>
      <c r="C1451" s="3" t="e">
        <f ca="1">[1]!BexGetData("DP_1","003N8EMH8GTFRCSWKMPXRR8GU","GSON1112150681")</f>
        <v>#NAME?</v>
      </c>
      <c r="D1451" s="3" t="e">
        <f ca="1">[1]!BexGetData("DP_1","003N8EMH8GTFRCSWKMPXRRESE","GSON1112150681")</f>
        <v>#NAME?</v>
      </c>
      <c r="E1451" s="3" t="e">
        <f ca="1">[1]!BexGetData("DP_1","003N8EMH8GTFRCSWKMPXRRL3Y","GSON1112150681")</f>
        <v>#NAME?</v>
      </c>
      <c r="F1451" s="3" t="e">
        <f ca="1">[1]!BexGetData("DP_1","003N8EMH8GTFRCSWKMPXRRRFI","GSON1112150681")</f>
        <v>#NAME?</v>
      </c>
      <c r="G1451" s="3" t="e">
        <f ca="1">[1]!BexGetData("DP_1","003N8EMH8GTFRCSWKMPXRRXR2","GSON1112150681")</f>
        <v>#NAME?</v>
      </c>
      <c r="H1451" s="8" t="e">
        <f ca="1">[1]!BexGetData("DP_1","003N8EMH8GTFRCSWKMPXRS42M","GSON1112150681")</f>
        <v>#NAME?</v>
      </c>
      <c r="I1451" s="3" t="e">
        <f ca="1">[1]!BexGetData("DP_1","003N8EMH8GTFRCSWKMPXRSAE6","GSON1112150681")</f>
        <v>#NAME?</v>
      </c>
      <c r="J1451" s="4" t="e">
        <f ca="1">[1]!BexGetData("DP_1","003N8EMH8GTFRCSWKMPXRSGPQ","GSON1112150681")</f>
        <v>#NAME?</v>
      </c>
      <c r="K1451" s="3" t="e">
        <f ca="1">[1]!BexGetData("DP_1","003N8EMH8GTFRIVNUPY288VJH","GSON1112150681")</f>
        <v>#NAME?</v>
      </c>
      <c r="L1451" s="3" t="e">
        <f ca="1">[1]!BexGetData("DP_1","003N8EMH8GTFRIVNUPY2891V1","GSON1112150681")</f>
        <v>#NAME?</v>
      </c>
      <c r="M1451" s="8" t="e">
        <f ca="1">[1]!BexGetData("DP_1","003N8EMH8GTFRIVOG7KG9IQXA","GSON1112150681")</f>
        <v>#NAME?</v>
      </c>
      <c r="N1451" s="3" t="e">
        <f ca="1">[1]!BexGetData("DP_1","003N8EMH8GTFRIVOG7KG9IX8U","GSON1112150681")</f>
        <v>#NAME?</v>
      </c>
      <c r="O1451" s="8" t="e">
        <f ca="1">[1]!BexGetData("DP_1","003N8EMH8GTFRIVOG7KG9J3KE","GSON1112150681")</f>
        <v>#NAME?</v>
      </c>
      <c r="P1451" s="3" t="e">
        <f ca="1">[1]!BexGetData("DP_1","003N8EMH8GTFRIVOG7KG9J9VY","GSON1112150681")</f>
        <v>#NAME?</v>
      </c>
      <c r="Q1451" s="4" t="e">
        <f ca="1">[1]!BexGetData("DP_1","00O2TNJGODT0G5Z4TTKYMM5MT","GSON1112150681")</f>
        <v>#NAME?</v>
      </c>
      <c r="R1451" s="3" t="e">
        <f ca="1">[1]!BexGetData("DP_1","00O2TNJGODT0G5Z4TTKYMMBYD","GSON1112150681")</f>
        <v>#NAME?</v>
      </c>
      <c r="S1451" s="3" t="e">
        <f ca="1">[1]!BexGetData("DP_1","00O2TNJGODT0G5Z4TTKYMMI9X","GSON1112150681")</f>
        <v>#NAME?</v>
      </c>
      <c r="T1451" s="8" t="e">
        <f ca="1">[1]!BexGetData("DP_1","00O2TNJGODT0G5Z4TTKYMMOLH","GSON1112150681")</f>
        <v>#NAME?</v>
      </c>
      <c r="U1451" s="3" t="e">
        <f ca="1">[1]!BexGetData("DP_1","00O2TNJGODT0G5Z4TTKYMMUX1","GSON1112150681")</f>
        <v>#NAME?</v>
      </c>
      <c r="V1451" s="8" t="e">
        <f ca="1">[1]!BexGetData("DP_1","00O2TNJGODT0G5Z4TTKYMN18L","GSON1112150681")</f>
        <v>#NAME?</v>
      </c>
      <c r="W1451" s="3" t="e">
        <f ca="1">[1]!BexGetData("DP_1","00O2TNJGODT0G5Z4TTKYMN7K5","GSON1112150681")</f>
        <v>#NAME?</v>
      </c>
    </row>
    <row r="1452" spans="1:23" x14ac:dyDescent="0.2">
      <c r="A1452" s="16" t="s">
        <v>308</v>
      </c>
      <c r="B1452" s="7" t="s">
        <v>309</v>
      </c>
      <c r="C1452" s="3" t="e">
        <f ca="1">[1]!BexGetData("DP_1","003N8EMH8GTFRCSWKMPXRR8GU","GSON1112150683")</f>
        <v>#NAME?</v>
      </c>
      <c r="D1452" s="3" t="e">
        <f ca="1">[1]!BexGetData("DP_1","003N8EMH8GTFRCSWKMPXRRESE","GSON1112150683")</f>
        <v>#NAME?</v>
      </c>
      <c r="E1452" s="8" t="e">
        <f ca="1">[1]!BexGetData("DP_1","003N8EMH8GTFRCSWKMPXRRL3Y","GSON1112150683")</f>
        <v>#NAME?</v>
      </c>
      <c r="F1452" s="4" t="e">
        <f ca="1">[1]!BexGetData("DP_1","003N8EMH8GTFRCSWKMPXRRRFI","GSON1112150683")</f>
        <v>#NAME?</v>
      </c>
      <c r="G1452" s="4" t="e">
        <f ca="1">[1]!BexGetData("DP_1","003N8EMH8GTFRCSWKMPXRRXR2","GSON1112150683")</f>
        <v>#NAME?</v>
      </c>
      <c r="H1452" s="4" t="e">
        <f ca="1">[1]!BexGetData("DP_1","003N8EMH8GTFRCSWKMPXRS42M","GSON1112150683")</f>
        <v>#NAME?</v>
      </c>
      <c r="I1452" s="4" t="e">
        <f ca="1">[1]!BexGetData("DP_1","003N8EMH8GTFRCSWKMPXRSAE6","GSON1112150683")</f>
        <v>#NAME?</v>
      </c>
      <c r="J1452" s="4" t="e">
        <f ca="1">[1]!BexGetData("DP_1","003N8EMH8GTFRCSWKMPXRSGPQ","GSON1112150683")</f>
        <v>#NAME?</v>
      </c>
      <c r="K1452" s="8" t="e">
        <f ca="1">[1]!BexGetData("DP_1","003N8EMH8GTFRIVNUPY288VJH","GSON1112150683")</f>
        <v>#NAME?</v>
      </c>
      <c r="L1452" s="8" t="e">
        <f ca="1">[1]!BexGetData("DP_1","003N8EMH8GTFRIVNUPY2891V1","GSON1112150683")</f>
        <v>#NAME?</v>
      </c>
      <c r="M1452" s="8" t="e">
        <f ca="1">[1]!BexGetData("DP_1","003N8EMH8GTFRIVOG7KG9IQXA","GSON1112150683")</f>
        <v>#NAME?</v>
      </c>
      <c r="N1452" s="8" t="e">
        <f ca="1">[1]!BexGetData("DP_1","003N8EMH8GTFRIVOG7KG9IX8U","GSON1112150683")</f>
        <v>#NAME?</v>
      </c>
      <c r="O1452" s="8" t="e">
        <f ca="1">[1]!BexGetData("DP_1","003N8EMH8GTFRIVOG7KG9J3KE","GSON1112150683")</f>
        <v>#NAME?</v>
      </c>
      <c r="P1452" s="8" t="e">
        <f ca="1">[1]!BexGetData("DP_1","003N8EMH8GTFRIVOG7KG9J9VY","GSON1112150683")</f>
        <v>#NAME?</v>
      </c>
      <c r="Q1452" s="4" t="e">
        <f ca="1">[1]!BexGetData("DP_1","00O2TNJGODT0G5Z4TTKYMM5MT","GSON1112150683")</f>
        <v>#NAME?</v>
      </c>
      <c r="R1452" s="4" t="e">
        <f ca="1">[1]!BexGetData("DP_1","00O2TNJGODT0G5Z4TTKYMMBYD","GSON1112150683")</f>
        <v>#NAME?</v>
      </c>
      <c r="S1452" s="4" t="e">
        <f ca="1">[1]!BexGetData("DP_1","00O2TNJGODT0G5Z4TTKYMMI9X","GSON1112150683")</f>
        <v>#NAME?</v>
      </c>
      <c r="T1452" s="4" t="e">
        <f ca="1">[1]!BexGetData("DP_1","00O2TNJGODT0G5Z4TTKYMMOLH","GSON1112150683")</f>
        <v>#NAME?</v>
      </c>
      <c r="U1452" s="4" t="e">
        <f ca="1">[1]!BexGetData("DP_1","00O2TNJGODT0G5Z4TTKYMMUX1","GSON1112150683")</f>
        <v>#NAME?</v>
      </c>
      <c r="V1452" s="4" t="e">
        <f ca="1">[1]!BexGetData("DP_1","00O2TNJGODT0G5Z4TTKYMN18L","GSON1112150683")</f>
        <v>#NAME?</v>
      </c>
      <c r="W1452" s="4" t="e">
        <f ca="1">[1]!BexGetData("DP_1","00O2TNJGODT0G5Z4TTKYMN7K5","GSON1112150683")</f>
        <v>#NAME?</v>
      </c>
    </row>
    <row r="1453" spans="1:23" x14ac:dyDescent="0.2">
      <c r="A1453" s="16" t="s">
        <v>3889</v>
      </c>
      <c r="B1453" s="7" t="s">
        <v>310</v>
      </c>
      <c r="C1453" s="3" t="e">
        <f ca="1">[1]!BexGetData("DP_1","003N8EMH8GTFRCSWKMPXRR8GU","GSON1112150684")</f>
        <v>#NAME?</v>
      </c>
      <c r="D1453" s="3" t="e">
        <f ca="1">[1]!BexGetData("DP_1","003N8EMH8GTFRCSWKMPXRRESE","GSON1112150684")</f>
        <v>#NAME?</v>
      </c>
      <c r="E1453" s="3" t="e">
        <f ca="1">[1]!BexGetData("DP_1","003N8EMH8GTFRCSWKMPXRRL3Y","GSON1112150684")</f>
        <v>#NAME?</v>
      </c>
      <c r="F1453" s="4" t="e">
        <f ca="1">[1]!BexGetData("DP_1","003N8EMH8GTFRCSWKMPXRRRFI","GSON1112150684")</f>
        <v>#NAME?</v>
      </c>
      <c r="G1453" s="4" t="e">
        <f ca="1">[1]!BexGetData("DP_1","003N8EMH8GTFRCSWKMPXRRXR2","GSON1112150684")</f>
        <v>#NAME?</v>
      </c>
      <c r="H1453" s="4" t="e">
        <f ca="1">[1]!BexGetData("DP_1","003N8EMH8GTFRCSWKMPXRS42M","GSON1112150684")</f>
        <v>#NAME?</v>
      </c>
      <c r="I1453" s="4" t="e">
        <f ca="1">[1]!BexGetData("DP_1","003N8EMH8GTFRCSWKMPXRSAE6","GSON1112150684")</f>
        <v>#NAME?</v>
      </c>
      <c r="J1453" s="4" t="e">
        <f ca="1">[1]!BexGetData("DP_1","003N8EMH8GTFRCSWKMPXRSGPQ","GSON1112150684")</f>
        <v>#NAME?</v>
      </c>
      <c r="K1453" s="3" t="e">
        <f ca="1">[1]!BexGetData("DP_1","003N8EMH8GTFRIVNUPY288VJH","GSON1112150684")</f>
        <v>#NAME?</v>
      </c>
      <c r="L1453" s="3" t="e">
        <f ca="1">[1]!BexGetData("DP_1","003N8EMH8GTFRIVNUPY2891V1","GSON1112150684")</f>
        <v>#NAME?</v>
      </c>
      <c r="M1453" s="3" t="e">
        <f ca="1">[1]!BexGetData("DP_1","003N8EMH8GTFRIVOG7KG9IQXA","GSON1112150684")</f>
        <v>#NAME?</v>
      </c>
      <c r="N1453" s="8" t="e">
        <f ca="1">[1]!BexGetData("DP_1","003N8EMH8GTFRIVOG7KG9IX8U","GSON1112150684")</f>
        <v>#NAME?</v>
      </c>
      <c r="O1453" s="3" t="e">
        <f ca="1">[1]!BexGetData("DP_1","003N8EMH8GTFRIVOG7KG9J3KE","GSON1112150684")</f>
        <v>#NAME?</v>
      </c>
      <c r="P1453" s="8" t="e">
        <f ca="1">[1]!BexGetData("DP_1","003N8EMH8GTFRIVOG7KG9J9VY","GSON1112150684")</f>
        <v>#NAME?</v>
      </c>
      <c r="Q1453" s="4" t="e">
        <f ca="1">[1]!BexGetData("DP_1","00O2TNJGODT0G5Z4TTKYMM5MT","GSON1112150684")</f>
        <v>#NAME?</v>
      </c>
      <c r="R1453" s="4" t="e">
        <f ca="1">[1]!BexGetData("DP_1","00O2TNJGODT0G5Z4TTKYMMBYD","GSON1112150684")</f>
        <v>#NAME?</v>
      </c>
      <c r="S1453" s="4" t="e">
        <f ca="1">[1]!BexGetData("DP_1","00O2TNJGODT0G5Z4TTKYMMI9X","GSON1112150684")</f>
        <v>#NAME?</v>
      </c>
      <c r="T1453" s="4" t="e">
        <f ca="1">[1]!BexGetData("DP_1","00O2TNJGODT0G5Z4TTKYMMOLH","GSON1112150684")</f>
        <v>#NAME?</v>
      </c>
      <c r="U1453" s="4" t="e">
        <f ca="1">[1]!BexGetData("DP_1","00O2TNJGODT0G5Z4TTKYMMUX1","GSON1112150684")</f>
        <v>#NAME?</v>
      </c>
      <c r="V1453" s="4" t="e">
        <f ca="1">[1]!BexGetData("DP_1","00O2TNJGODT0G5Z4TTKYMN18L","GSON1112150684")</f>
        <v>#NAME?</v>
      </c>
      <c r="W1453" s="4" t="e">
        <f ca="1">[1]!BexGetData("DP_1","00O2TNJGODT0G5Z4TTKYMN7K5","GSON1112150684")</f>
        <v>#NAME?</v>
      </c>
    </row>
    <row r="1454" spans="1:23" x14ac:dyDescent="0.2">
      <c r="A1454" s="16" t="s">
        <v>311</v>
      </c>
      <c r="B1454" s="7" t="s">
        <v>312</v>
      </c>
      <c r="C1454" s="3" t="e">
        <f ca="1">[1]!BexGetData("DP_1","003N8EMH8GTFRCSWKMPXRR8GU","GSON1112150690")</f>
        <v>#NAME?</v>
      </c>
      <c r="D1454" s="3" t="e">
        <f ca="1">[1]!BexGetData("DP_1","003N8EMH8GTFRCSWKMPXRRESE","GSON1112150690")</f>
        <v>#NAME?</v>
      </c>
      <c r="E1454" s="3" t="e">
        <f ca="1">[1]!BexGetData("DP_1","003N8EMH8GTFRCSWKMPXRRL3Y","GSON1112150690")</f>
        <v>#NAME?</v>
      </c>
      <c r="F1454" s="3" t="e">
        <f ca="1">[1]!BexGetData("DP_1","003N8EMH8GTFRCSWKMPXRRRFI","GSON1112150690")</f>
        <v>#NAME?</v>
      </c>
      <c r="G1454" s="3" t="e">
        <f ca="1">[1]!BexGetData("DP_1","003N8EMH8GTFRCSWKMPXRRXR2","GSON1112150690")</f>
        <v>#NAME?</v>
      </c>
      <c r="H1454" s="8" t="e">
        <f ca="1">[1]!BexGetData("DP_1","003N8EMH8GTFRCSWKMPXRS42M","GSON1112150690")</f>
        <v>#NAME?</v>
      </c>
      <c r="I1454" s="3" t="e">
        <f ca="1">[1]!BexGetData("DP_1","003N8EMH8GTFRCSWKMPXRSAE6","GSON1112150690")</f>
        <v>#NAME?</v>
      </c>
      <c r="J1454" s="4" t="e">
        <f ca="1">[1]!BexGetData("DP_1","003N8EMH8GTFRCSWKMPXRSGPQ","GSON1112150690")</f>
        <v>#NAME?</v>
      </c>
      <c r="K1454" s="3" t="e">
        <f ca="1">[1]!BexGetData("DP_1","003N8EMH8GTFRIVNUPY288VJH","GSON1112150690")</f>
        <v>#NAME?</v>
      </c>
      <c r="L1454" s="3" t="e">
        <f ca="1">[1]!BexGetData("DP_1","003N8EMH8GTFRIVNUPY2891V1","GSON1112150690")</f>
        <v>#NAME?</v>
      </c>
      <c r="M1454" s="8" t="e">
        <f ca="1">[1]!BexGetData("DP_1","003N8EMH8GTFRIVOG7KG9IQXA","GSON1112150690")</f>
        <v>#NAME?</v>
      </c>
      <c r="N1454" s="3" t="e">
        <f ca="1">[1]!BexGetData("DP_1","003N8EMH8GTFRIVOG7KG9IX8U","GSON1112150690")</f>
        <v>#NAME?</v>
      </c>
      <c r="O1454" s="8" t="e">
        <f ca="1">[1]!BexGetData("DP_1","003N8EMH8GTFRIVOG7KG9J3KE","GSON1112150690")</f>
        <v>#NAME?</v>
      </c>
      <c r="P1454" s="3" t="e">
        <f ca="1">[1]!BexGetData("DP_1","003N8EMH8GTFRIVOG7KG9J9VY","GSON1112150690")</f>
        <v>#NAME?</v>
      </c>
      <c r="Q1454" s="4" t="e">
        <f ca="1">[1]!BexGetData("DP_1","00O2TNJGODT0G5Z4TTKYMM5MT","GSON1112150690")</f>
        <v>#NAME?</v>
      </c>
      <c r="R1454" s="3" t="e">
        <f ca="1">[1]!BexGetData("DP_1","00O2TNJGODT0G5Z4TTKYMMBYD","GSON1112150690")</f>
        <v>#NAME?</v>
      </c>
      <c r="S1454" s="3" t="e">
        <f ca="1">[1]!BexGetData("DP_1","00O2TNJGODT0G5Z4TTKYMMI9X","GSON1112150690")</f>
        <v>#NAME?</v>
      </c>
      <c r="T1454" s="8" t="e">
        <f ca="1">[1]!BexGetData("DP_1","00O2TNJGODT0G5Z4TTKYMMOLH","GSON1112150690")</f>
        <v>#NAME?</v>
      </c>
      <c r="U1454" s="3" t="e">
        <f ca="1">[1]!BexGetData("DP_1","00O2TNJGODT0G5Z4TTKYMMUX1","GSON1112150690")</f>
        <v>#NAME?</v>
      </c>
      <c r="V1454" s="8" t="e">
        <f ca="1">[1]!BexGetData("DP_1","00O2TNJGODT0G5Z4TTKYMN18L","GSON1112150690")</f>
        <v>#NAME?</v>
      </c>
      <c r="W1454" s="3" t="e">
        <f ca="1">[1]!BexGetData("DP_1","00O2TNJGODT0G5Z4TTKYMN7K5","GSON1112150690")</f>
        <v>#NAME?</v>
      </c>
    </row>
    <row r="1455" spans="1:23" x14ac:dyDescent="0.2">
      <c r="A1455" s="16" t="s">
        <v>313</v>
      </c>
      <c r="B1455" s="7" t="s">
        <v>314</v>
      </c>
      <c r="C1455" s="3" t="e">
        <f ca="1">[1]!BexGetData("DP_1","003N8EMH8GTFRCSWKMPXRR8GU","GSON1112150691")</f>
        <v>#NAME?</v>
      </c>
      <c r="D1455" s="3" t="e">
        <f ca="1">[1]!BexGetData("DP_1","003N8EMH8GTFRCSWKMPXRRESE","GSON1112150691")</f>
        <v>#NAME?</v>
      </c>
      <c r="E1455" s="3" t="e">
        <f ca="1">[1]!BexGetData("DP_1","003N8EMH8GTFRCSWKMPXRRL3Y","GSON1112150691")</f>
        <v>#NAME?</v>
      </c>
      <c r="F1455" s="4" t="e">
        <f ca="1">[1]!BexGetData("DP_1","003N8EMH8GTFRCSWKMPXRRRFI","GSON1112150691")</f>
        <v>#NAME?</v>
      </c>
      <c r="G1455" s="4" t="e">
        <f ca="1">[1]!BexGetData("DP_1","003N8EMH8GTFRCSWKMPXRRXR2","GSON1112150691")</f>
        <v>#NAME?</v>
      </c>
      <c r="H1455" s="4" t="e">
        <f ca="1">[1]!BexGetData("DP_1","003N8EMH8GTFRCSWKMPXRS42M","GSON1112150691")</f>
        <v>#NAME?</v>
      </c>
      <c r="I1455" s="4" t="e">
        <f ca="1">[1]!BexGetData("DP_1","003N8EMH8GTFRCSWKMPXRSAE6","GSON1112150691")</f>
        <v>#NAME?</v>
      </c>
      <c r="J1455" s="4" t="e">
        <f ca="1">[1]!BexGetData("DP_1","003N8EMH8GTFRCSWKMPXRSGPQ","GSON1112150691")</f>
        <v>#NAME?</v>
      </c>
      <c r="K1455" s="3" t="e">
        <f ca="1">[1]!BexGetData("DP_1","003N8EMH8GTFRIVNUPY288VJH","GSON1112150691")</f>
        <v>#NAME?</v>
      </c>
      <c r="L1455" s="3" t="e">
        <f ca="1">[1]!BexGetData("DP_1","003N8EMH8GTFRIVNUPY2891V1","GSON1112150691")</f>
        <v>#NAME?</v>
      </c>
      <c r="M1455" s="3" t="e">
        <f ca="1">[1]!BexGetData("DP_1","003N8EMH8GTFRIVOG7KG9IQXA","GSON1112150691")</f>
        <v>#NAME?</v>
      </c>
      <c r="N1455" s="8" t="e">
        <f ca="1">[1]!BexGetData("DP_1","003N8EMH8GTFRIVOG7KG9IX8U","GSON1112150691")</f>
        <v>#NAME?</v>
      </c>
      <c r="O1455" s="3" t="e">
        <f ca="1">[1]!BexGetData("DP_1","003N8EMH8GTFRIVOG7KG9J3KE","GSON1112150691")</f>
        <v>#NAME?</v>
      </c>
      <c r="P1455" s="8" t="e">
        <f ca="1">[1]!BexGetData("DP_1","003N8EMH8GTFRIVOG7KG9J9VY","GSON1112150691")</f>
        <v>#NAME?</v>
      </c>
      <c r="Q1455" s="4" t="e">
        <f ca="1">[1]!BexGetData("DP_1","00O2TNJGODT0G5Z4TTKYMM5MT","GSON1112150691")</f>
        <v>#NAME?</v>
      </c>
      <c r="R1455" s="4" t="e">
        <f ca="1">[1]!BexGetData("DP_1","00O2TNJGODT0G5Z4TTKYMMBYD","GSON1112150691")</f>
        <v>#NAME?</v>
      </c>
      <c r="S1455" s="4" t="e">
        <f ca="1">[1]!BexGetData("DP_1","00O2TNJGODT0G5Z4TTKYMMI9X","GSON1112150691")</f>
        <v>#NAME?</v>
      </c>
      <c r="T1455" s="4" t="e">
        <f ca="1">[1]!BexGetData("DP_1","00O2TNJGODT0G5Z4TTKYMMOLH","GSON1112150691")</f>
        <v>#NAME?</v>
      </c>
      <c r="U1455" s="4" t="e">
        <f ca="1">[1]!BexGetData("DP_1","00O2TNJGODT0G5Z4TTKYMMUX1","GSON1112150691")</f>
        <v>#NAME?</v>
      </c>
      <c r="V1455" s="4" t="e">
        <f ca="1">[1]!BexGetData("DP_1","00O2TNJGODT0G5Z4TTKYMN18L","GSON1112150691")</f>
        <v>#NAME?</v>
      </c>
      <c r="W1455" s="4" t="e">
        <f ca="1">[1]!BexGetData("DP_1","00O2TNJGODT0G5Z4TTKYMN7K5","GSON1112150691")</f>
        <v>#NAME?</v>
      </c>
    </row>
    <row r="1456" spans="1:23" x14ac:dyDescent="0.2">
      <c r="A1456" s="16" t="s">
        <v>3890</v>
      </c>
      <c r="B1456" s="7" t="s">
        <v>1612</v>
      </c>
      <c r="C1456" s="3" t="e">
        <f ca="1">[1]!BexGetData("DP_1","003N8EMH8GTFRCSWKMPXRR8GU","GSON1112150692")</f>
        <v>#NAME?</v>
      </c>
      <c r="D1456" s="3" t="e">
        <f ca="1">[1]!BexGetData("DP_1","003N8EMH8GTFRCSWKMPXRRESE","GSON1112150692")</f>
        <v>#NAME?</v>
      </c>
      <c r="E1456" s="8" t="e">
        <f ca="1">[1]!BexGetData("DP_1","003N8EMH8GTFRCSWKMPXRRL3Y","GSON1112150692")</f>
        <v>#NAME?</v>
      </c>
      <c r="F1456" s="4" t="e">
        <f ca="1">[1]!BexGetData("DP_1","003N8EMH8GTFRCSWKMPXRRRFI","GSON1112150692")</f>
        <v>#NAME?</v>
      </c>
      <c r="G1456" s="4" t="e">
        <f ca="1">[1]!BexGetData("DP_1","003N8EMH8GTFRCSWKMPXRRXR2","GSON1112150692")</f>
        <v>#NAME?</v>
      </c>
      <c r="H1456" s="4" t="e">
        <f ca="1">[1]!BexGetData("DP_1","003N8EMH8GTFRCSWKMPXRS42M","GSON1112150692")</f>
        <v>#NAME?</v>
      </c>
      <c r="I1456" s="4" t="e">
        <f ca="1">[1]!BexGetData("DP_1","003N8EMH8GTFRCSWKMPXRSAE6","GSON1112150692")</f>
        <v>#NAME?</v>
      </c>
      <c r="J1456" s="4" t="e">
        <f ca="1">[1]!BexGetData("DP_1","003N8EMH8GTFRCSWKMPXRSGPQ","GSON1112150692")</f>
        <v>#NAME?</v>
      </c>
      <c r="K1456" s="8" t="e">
        <f ca="1">[1]!BexGetData("DP_1","003N8EMH8GTFRIVNUPY288VJH","GSON1112150692")</f>
        <v>#NAME?</v>
      </c>
      <c r="L1456" s="8" t="e">
        <f ca="1">[1]!BexGetData("DP_1","003N8EMH8GTFRIVNUPY2891V1","GSON1112150692")</f>
        <v>#NAME?</v>
      </c>
      <c r="M1456" s="8" t="e">
        <f ca="1">[1]!BexGetData("DP_1","003N8EMH8GTFRIVOG7KG9IQXA","GSON1112150692")</f>
        <v>#NAME?</v>
      </c>
      <c r="N1456" s="8" t="e">
        <f ca="1">[1]!BexGetData("DP_1","003N8EMH8GTFRIVOG7KG9IX8U","GSON1112150692")</f>
        <v>#NAME?</v>
      </c>
      <c r="O1456" s="8" t="e">
        <f ca="1">[1]!BexGetData("DP_1","003N8EMH8GTFRIVOG7KG9J3KE","GSON1112150692")</f>
        <v>#NAME?</v>
      </c>
      <c r="P1456" s="8" t="e">
        <f ca="1">[1]!BexGetData("DP_1","003N8EMH8GTFRIVOG7KG9J9VY","GSON1112150692")</f>
        <v>#NAME?</v>
      </c>
      <c r="Q1456" s="4" t="e">
        <f ca="1">[1]!BexGetData("DP_1","00O2TNJGODT0G5Z4TTKYMM5MT","GSON1112150692")</f>
        <v>#NAME?</v>
      </c>
      <c r="R1456" s="4" t="e">
        <f ca="1">[1]!BexGetData("DP_1","00O2TNJGODT0G5Z4TTKYMMBYD","GSON1112150692")</f>
        <v>#NAME?</v>
      </c>
      <c r="S1456" s="4" t="e">
        <f ca="1">[1]!BexGetData("DP_1","00O2TNJGODT0G5Z4TTKYMMI9X","GSON1112150692")</f>
        <v>#NAME?</v>
      </c>
      <c r="T1456" s="4" t="e">
        <f ca="1">[1]!BexGetData("DP_1","00O2TNJGODT0G5Z4TTKYMMOLH","GSON1112150692")</f>
        <v>#NAME?</v>
      </c>
      <c r="U1456" s="4" t="e">
        <f ca="1">[1]!BexGetData("DP_1","00O2TNJGODT0G5Z4TTKYMMUX1","GSON1112150692")</f>
        <v>#NAME?</v>
      </c>
      <c r="V1456" s="4" t="e">
        <f ca="1">[1]!BexGetData("DP_1","00O2TNJGODT0G5Z4TTKYMN18L","GSON1112150692")</f>
        <v>#NAME?</v>
      </c>
      <c r="W1456" s="4" t="e">
        <f ca="1">[1]!BexGetData("DP_1","00O2TNJGODT0G5Z4TTKYMN7K5","GSON1112150692")</f>
        <v>#NAME?</v>
      </c>
    </row>
    <row r="1457" spans="1:23" x14ac:dyDescent="0.2">
      <c r="A1457" s="16" t="s">
        <v>315</v>
      </c>
      <c r="B1457" s="7" t="s">
        <v>316</v>
      </c>
      <c r="C1457" s="3" t="e">
        <f ca="1">[1]!BexGetData("DP_1","003N8EMH8GTFRCSWKMPXRR8GU","GSON1112150693")</f>
        <v>#NAME?</v>
      </c>
      <c r="D1457" s="3" t="e">
        <f ca="1">[1]!BexGetData("DP_1","003N8EMH8GTFRCSWKMPXRRESE","GSON1112150693")</f>
        <v>#NAME?</v>
      </c>
      <c r="E1457" s="8" t="e">
        <f ca="1">[1]!BexGetData("DP_1","003N8EMH8GTFRCSWKMPXRRL3Y","GSON1112150693")</f>
        <v>#NAME?</v>
      </c>
      <c r="F1457" s="4" t="e">
        <f ca="1">[1]!BexGetData("DP_1","003N8EMH8GTFRCSWKMPXRRRFI","GSON1112150693")</f>
        <v>#NAME?</v>
      </c>
      <c r="G1457" s="4" t="e">
        <f ca="1">[1]!BexGetData("DP_1","003N8EMH8GTFRCSWKMPXRRXR2","GSON1112150693")</f>
        <v>#NAME?</v>
      </c>
      <c r="H1457" s="4" t="e">
        <f ca="1">[1]!BexGetData("DP_1","003N8EMH8GTFRCSWKMPXRS42M","GSON1112150693")</f>
        <v>#NAME?</v>
      </c>
      <c r="I1457" s="4" t="e">
        <f ca="1">[1]!BexGetData("DP_1","003N8EMH8GTFRCSWKMPXRSAE6","GSON1112150693")</f>
        <v>#NAME?</v>
      </c>
      <c r="J1457" s="4" t="e">
        <f ca="1">[1]!BexGetData("DP_1","003N8EMH8GTFRCSWKMPXRSGPQ","GSON1112150693")</f>
        <v>#NAME?</v>
      </c>
      <c r="K1457" s="8" t="e">
        <f ca="1">[1]!BexGetData("DP_1","003N8EMH8GTFRIVNUPY288VJH","GSON1112150693")</f>
        <v>#NAME?</v>
      </c>
      <c r="L1457" s="8" t="e">
        <f ca="1">[1]!BexGetData("DP_1","003N8EMH8GTFRIVNUPY2891V1","GSON1112150693")</f>
        <v>#NAME?</v>
      </c>
      <c r="M1457" s="8" t="e">
        <f ca="1">[1]!BexGetData("DP_1","003N8EMH8GTFRIVOG7KG9IQXA","GSON1112150693")</f>
        <v>#NAME?</v>
      </c>
      <c r="N1457" s="8" t="e">
        <f ca="1">[1]!BexGetData("DP_1","003N8EMH8GTFRIVOG7KG9IX8U","GSON1112150693")</f>
        <v>#NAME?</v>
      </c>
      <c r="O1457" s="8" t="e">
        <f ca="1">[1]!BexGetData("DP_1","003N8EMH8GTFRIVOG7KG9J3KE","GSON1112150693")</f>
        <v>#NAME?</v>
      </c>
      <c r="P1457" s="8" t="e">
        <f ca="1">[1]!BexGetData("DP_1","003N8EMH8GTFRIVOG7KG9J9VY","GSON1112150693")</f>
        <v>#NAME?</v>
      </c>
      <c r="Q1457" s="4" t="e">
        <f ca="1">[1]!BexGetData("DP_1","00O2TNJGODT0G5Z4TTKYMM5MT","GSON1112150693")</f>
        <v>#NAME?</v>
      </c>
      <c r="R1457" s="4" t="e">
        <f ca="1">[1]!BexGetData("DP_1","00O2TNJGODT0G5Z4TTKYMMBYD","GSON1112150693")</f>
        <v>#NAME?</v>
      </c>
      <c r="S1457" s="4" t="e">
        <f ca="1">[1]!BexGetData("DP_1","00O2TNJGODT0G5Z4TTKYMMI9X","GSON1112150693")</f>
        <v>#NAME?</v>
      </c>
      <c r="T1457" s="4" t="e">
        <f ca="1">[1]!BexGetData("DP_1","00O2TNJGODT0G5Z4TTKYMMOLH","GSON1112150693")</f>
        <v>#NAME?</v>
      </c>
      <c r="U1457" s="4" t="e">
        <f ca="1">[1]!BexGetData("DP_1","00O2TNJGODT0G5Z4TTKYMMUX1","GSON1112150693")</f>
        <v>#NAME?</v>
      </c>
      <c r="V1457" s="4" t="e">
        <f ca="1">[1]!BexGetData("DP_1","00O2TNJGODT0G5Z4TTKYMN18L","GSON1112150693")</f>
        <v>#NAME?</v>
      </c>
      <c r="W1457" s="4" t="e">
        <f ca="1">[1]!BexGetData("DP_1","00O2TNJGODT0G5Z4TTKYMN7K5","GSON1112150693")</f>
        <v>#NAME?</v>
      </c>
    </row>
    <row r="1458" spans="1:23" x14ac:dyDescent="0.2">
      <c r="A1458" s="16" t="s">
        <v>3891</v>
      </c>
      <c r="B1458" s="7" t="s">
        <v>317</v>
      </c>
      <c r="C1458" s="3" t="e">
        <f ca="1">[1]!BexGetData("DP_1","003N8EMH8GTFRCSWKMPXRR8GU","GSON1112150694")</f>
        <v>#NAME?</v>
      </c>
      <c r="D1458" s="3" t="e">
        <f ca="1">[1]!BexGetData("DP_1","003N8EMH8GTFRCSWKMPXRRESE","GSON1112150694")</f>
        <v>#NAME?</v>
      </c>
      <c r="E1458" s="3" t="e">
        <f ca="1">[1]!BexGetData("DP_1","003N8EMH8GTFRCSWKMPXRRL3Y","GSON1112150694")</f>
        <v>#NAME?</v>
      </c>
      <c r="F1458" s="4" t="e">
        <f ca="1">[1]!BexGetData("DP_1","003N8EMH8GTFRCSWKMPXRRRFI","GSON1112150694")</f>
        <v>#NAME?</v>
      </c>
      <c r="G1458" s="4" t="e">
        <f ca="1">[1]!BexGetData("DP_1","003N8EMH8GTFRCSWKMPXRRXR2","GSON1112150694")</f>
        <v>#NAME?</v>
      </c>
      <c r="H1458" s="4" t="e">
        <f ca="1">[1]!BexGetData("DP_1","003N8EMH8GTFRCSWKMPXRS42M","GSON1112150694")</f>
        <v>#NAME?</v>
      </c>
      <c r="I1458" s="4" t="e">
        <f ca="1">[1]!BexGetData("DP_1","003N8EMH8GTFRCSWKMPXRSAE6","GSON1112150694")</f>
        <v>#NAME?</v>
      </c>
      <c r="J1458" s="4" t="e">
        <f ca="1">[1]!BexGetData("DP_1","003N8EMH8GTFRCSWKMPXRSGPQ","GSON1112150694")</f>
        <v>#NAME?</v>
      </c>
      <c r="K1458" s="3" t="e">
        <f ca="1">[1]!BexGetData("DP_1","003N8EMH8GTFRIVNUPY288VJH","GSON1112150694")</f>
        <v>#NAME?</v>
      </c>
      <c r="L1458" s="3" t="e">
        <f ca="1">[1]!BexGetData("DP_1","003N8EMH8GTFRIVNUPY2891V1","GSON1112150694")</f>
        <v>#NAME?</v>
      </c>
      <c r="M1458" s="3" t="e">
        <f ca="1">[1]!BexGetData("DP_1","003N8EMH8GTFRIVOG7KG9IQXA","GSON1112150694")</f>
        <v>#NAME?</v>
      </c>
      <c r="N1458" s="8" t="e">
        <f ca="1">[1]!BexGetData("DP_1","003N8EMH8GTFRIVOG7KG9IX8U","GSON1112150694")</f>
        <v>#NAME?</v>
      </c>
      <c r="O1458" s="3" t="e">
        <f ca="1">[1]!BexGetData("DP_1","003N8EMH8GTFRIVOG7KG9J3KE","GSON1112150694")</f>
        <v>#NAME?</v>
      </c>
      <c r="P1458" s="8" t="e">
        <f ca="1">[1]!BexGetData("DP_1","003N8EMH8GTFRIVOG7KG9J9VY","GSON1112150694")</f>
        <v>#NAME?</v>
      </c>
      <c r="Q1458" s="4" t="e">
        <f ca="1">[1]!BexGetData("DP_1","00O2TNJGODT0G5Z4TTKYMM5MT","GSON1112150694")</f>
        <v>#NAME?</v>
      </c>
      <c r="R1458" s="4" t="e">
        <f ca="1">[1]!BexGetData("DP_1","00O2TNJGODT0G5Z4TTKYMMBYD","GSON1112150694")</f>
        <v>#NAME?</v>
      </c>
      <c r="S1458" s="4" t="e">
        <f ca="1">[1]!BexGetData("DP_1","00O2TNJGODT0G5Z4TTKYMMI9X","GSON1112150694")</f>
        <v>#NAME?</v>
      </c>
      <c r="T1458" s="4" t="e">
        <f ca="1">[1]!BexGetData("DP_1","00O2TNJGODT0G5Z4TTKYMMOLH","GSON1112150694")</f>
        <v>#NAME?</v>
      </c>
      <c r="U1458" s="4" t="e">
        <f ca="1">[1]!BexGetData("DP_1","00O2TNJGODT0G5Z4TTKYMMUX1","GSON1112150694")</f>
        <v>#NAME?</v>
      </c>
      <c r="V1458" s="4" t="e">
        <f ca="1">[1]!BexGetData("DP_1","00O2TNJGODT0G5Z4TTKYMN18L","GSON1112150694")</f>
        <v>#NAME?</v>
      </c>
      <c r="W1458" s="4" t="e">
        <f ca="1">[1]!BexGetData("DP_1","00O2TNJGODT0G5Z4TTKYMN7K5","GSON1112150694")</f>
        <v>#NAME?</v>
      </c>
    </row>
    <row r="1459" spans="1:23" x14ac:dyDescent="0.2">
      <c r="A1459" s="16" t="s">
        <v>3892</v>
      </c>
      <c r="B1459" s="7" t="s">
        <v>3893</v>
      </c>
      <c r="C1459" s="3" t="e">
        <f ca="1">[1]!BexGetData("DP_1","003N8EMH8GTFRCSWKMPXRR8GU","GSON1112150700")</f>
        <v>#NAME?</v>
      </c>
      <c r="D1459" s="3" t="e">
        <f ca="1">[1]!BexGetData("DP_1","003N8EMH8GTFRCSWKMPXRRESE","GSON1112150700")</f>
        <v>#NAME?</v>
      </c>
      <c r="E1459" s="3" t="e">
        <f ca="1">[1]!BexGetData("DP_1","003N8EMH8GTFRCSWKMPXRRL3Y","GSON1112150700")</f>
        <v>#NAME?</v>
      </c>
      <c r="F1459" s="3" t="e">
        <f ca="1">[1]!BexGetData("DP_1","003N8EMH8GTFRCSWKMPXRRRFI","GSON1112150700")</f>
        <v>#NAME?</v>
      </c>
      <c r="G1459" s="3" t="e">
        <f ca="1">[1]!BexGetData("DP_1","003N8EMH8GTFRCSWKMPXRRXR2","GSON1112150700")</f>
        <v>#NAME?</v>
      </c>
      <c r="H1459" s="8" t="e">
        <f ca="1">[1]!BexGetData("DP_1","003N8EMH8GTFRCSWKMPXRS42M","GSON1112150700")</f>
        <v>#NAME?</v>
      </c>
      <c r="I1459" s="3" t="e">
        <f ca="1">[1]!BexGetData("DP_1","003N8EMH8GTFRCSWKMPXRSAE6","GSON1112150700")</f>
        <v>#NAME?</v>
      </c>
      <c r="J1459" s="4" t="e">
        <f ca="1">[1]!BexGetData("DP_1","003N8EMH8GTFRCSWKMPXRSGPQ","GSON1112150700")</f>
        <v>#NAME?</v>
      </c>
      <c r="K1459" s="3" t="e">
        <f ca="1">[1]!BexGetData("DP_1","003N8EMH8GTFRIVNUPY288VJH","GSON1112150700")</f>
        <v>#NAME?</v>
      </c>
      <c r="L1459" s="3" t="e">
        <f ca="1">[1]!BexGetData("DP_1","003N8EMH8GTFRIVNUPY2891V1","GSON1112150700")</f>
        <v>#NAME?</v>
      </c>
      <c r="M1459" s="8" t="e">
        <f ca="1">[1]!BexGetData("DP_1","003N8EMH8GTFRIVOG7KG9IQXA","GSON1112150700")</f>
        <v>#NAME?</v>
      </c>
      <c r="N1459" s="3" t="e">
        <f ca="1">[1]!BexGetData("DP_1","003N8EMH8GTFRIVOG7KG9IX8U","GSON1112150700")</f>
        <v>#NAME?</v>
      </c>
      <c r="O1459" s="8" t="e">
        <f ca="1">[1]!BexGetData("DP_1","003N8EMH8GTFRIVOG7KG9J3KE","GSON1112150700")</f>
        <v>#NAME?</v>
      </c>
      <c r="P1459" s="3" t="e">
        <f ca="1">[1]!BexGetData("DP_1","003N8EMH8GTFRIVOG7KG9J9VY","GSON1112150700")</f>
        <v>#NAME?</v>
      </c>
      <c r="Q1459" s="4" t="e">
        <f ca="1">[1]!BexGetData("DP_1","00O2TNJGODT0G5Z4TTKYMM5MT","GSON1112150700")</f>
        <v>#NAME?</v>
      </c>
      <c r="R1459" s="3" t="e">
        <f ca="1">[1]!BexGetData("DP_1","00O2TNJGODT0G5Z4TTKYMMBYD","GSON1112150700")</f>
        <v>#NAME?</v>
      </c>
      <c r="S1459" s="3" t="e">
        <f ca="1">[1]!BexGetData("DP_1","00O2TNJGODT0G5Z4TTKYMMI9X","GSON1112150700")</f>
        <v>#NAME?</v>
      </c>
      <c r="T1459" s="8" t="e">
        <f ca="1">[1]!BexGetData("DP_1","00O2TNJGODT0G5Z4TTKYMMOLH","GSON1112150700")</f>
        <v>#NAME?</v>
      </c>
      <c r="U1459" s="3" t="e">
        <f ca="1">[1]!BexGetData("DP_1","00O2TNJGODT0G5Z4TTKYMMUX1","GSON1112150700")</f>
        <v>#NAME?</v>
      </c>
      <c r="V1459" s="8" t="e">
        <f ca="1">[1]!BexGetData("DP_1","00O2TNJGODT0G5Z4TTKYMN18L","GSON1112150700")</f>
        <v>#NAME?</v>
      </c>
      <c r="W1459" s="3" t="e">
        <f ca="1">[1]!BexGetData("DP_1","00O2TNJGODT0G5Z4TTKYMN7K5","GSON1112150700")</f>
        <v>#NAME?</v>
      </c>
    </row>
    <row r="1460" spans="1:23" x14ac:dyDescent="0.2">
      <c r="A1460" s="16" t="s">
        <v>3894</v>
      </c>
      <c r="B1460" s="7" t="s">
        <v>3895</v>
      </c>
      <c r="C1460" s="3" t="e">
        <f ca="1">[1]!BexGetData("DP_1","003N8EMH8GTFRCSWKMPXRR8GU","GSON1112150701")</f>
        <v>#NAME?</v>
      </c>
      <c r="D1460" s="3" t="e">
        <f ca="1">[1]!BexGetData("DP_1","003N8EMH8GTFRCSWKMPXRRESE","GSON1112150701")</f>
        <v>#NAME?</v>
      </c>
      <c r="E1460" s="3" t="e">
        <f ca="1">[1]!BexGetData("DP_1","003N8EMH8GTFRCSWKMPXRRL3Y","GSON1112150701")</f>
        <v>#NAME?</v>
      </c>
      <c r="F1460" s="4" t="e">
        <f ca="1">[1]!BexGetData("DP_1","003N8EMH8GTFRCSWKMPXRRRFI","GSON1112150701")</f>
        <v>#NAME?</v>
      </c>
      <c r="G1460" s="4" t="e">
        <f ca="1">[1]!BexGetData("DP_1","003N8EMH8GTFRCSWKMPXRRXR2","GSON1112150701")</f>
        <v>#NAME?</v>
      </c>
      <c r="H1460" s="4" t="e">
        <f ca="1">[1]!BexGetData("DP_1","003N8EMH8GTFRCSWKMPXRS42M","GSON1112150701")</f>
        <v>#NAME?</v>
      </c>
      <c r="I1460" s="4" t="e">
        <f ca="1">[1]!BexGetData("DP_1","003N8EMH8GTFRCSWKMPXRSAE6","GSON1112150701")</f>
        <v>#NAME?</v>
      </c>
      <c r="J1460" s="4" t="e">
        <f ca="1">[1]!BexGetData("DP_1","003N8EMH8GTFRCSWKMPXRSGPQ","GSON1112150701")</f>
        <v>#NAME?</v>
      </c>
      <c r="K1460" s="3" t="e">
        <f ca="1">[1]!BexGetData("DP_1","003N8EMH8GTFRIVNUPY288VJH","GSON1112150701")</f>
        <v>#NAME?</v>
      </c>
      <c r="L1460" s="3" t="e">
        <f ca="1">[1]!BexGetData("DP_1","003N8EMH8GTFRIVNUPY2891V1","GSON1112150701")</f>
        <v>#NAME?</v>
      </c>
      <c r="M1460" s="3" t="e">
        <f ca="1">[1]!BexGetData("DP_1","003N8EMH8GTFRIVOG7KG9IQXA","GSON1112150701")</f>
        <v>#NAME?</v>
      </c>
      <c r="N1460" s="8" t="e">
        <f ca="1">[1]!BexGetData("DP_1","003N8EMH8GTFRIVOG7KG9IX8U","GSON1112150701")</f>
        <v>#NAME?</v>
      </c>
      <c r="O1460" s="3" t="e">
        <f ca="1">[1]!BexGetData("DP_1","003N8EMH8GTFRIVOG7KG9J3KE","GSON1112150701")</f>
        <v>#NAME?</v>
      </c>
      <c r="P1460" s="8" t="e">
        <f ca="1">[1]!BexGetData("DP_1","003N8EMH8GTFRIVOG7KG9J9VY","GSON1112150701")</f>
        <v>#NAME?</v>
      </c>
      <c r="Q1460" s="4" t="e">
        <f ca="1">[1]!BexGetData("DP_1","00O2TNJGODT0G5Z4TTKYMM5MT","GSON1112150701")</f>
        <v>#NAME?</v>
      </c>
      <c r="R1460" s="4" t="e">
        <f ca="1">[1]!BexGetData("DP_1","00O2TNJGODT0G5Z4TTKYMMBYD","GSON1112150701")</f>
        <v>#NAME?</v>
      </c>
      <c r="S1460" s="4" t="e">
        <f ca="1">[1]!BexGetData("DP_1","00O2TNJGODT0G5Z4TTKYMMI9X","GSON1112150701")</f>
        <v>#NAME?</v>
      </c>
      <c r="T1460" s="4" t="e">
        <f ca="1">[1]!BexGetData("DP_1","00O2TNJGODT0G5Z4TTKYMMOLH","GSON1112150701")</f>
        <v>#NAME?</v>
      </c>
      <c r="U1460" s="4" t="e">
        <f ca="1">[1]!BexGetData("DP_1","00O2TNJGODT0G5Z4TTKYMMUX1","GSON1112150701")</f>
        <v>#NAME?</v>
      </c>
      <c r="V1460" s="4" t="e">
        <f ca="1">[1]!BexGetData("DP_1","00O2TNJGODT0G5Z4TTKYMN18L","GSON1112150701")</f>
        <v>#NAME?</v>
      </c>
      <c r="W1460" s="4" t="e">
        <f ca="1">[1]!BexGetData("DP_1","00O2TNJGODT0G5Z4TTKYMN7K5","GSON1112150701")</f>
        <v>#NAME?</v>
      </c>
    </row>
    <row r="1461" spans="1:23" x14ac:dyDescent="0.2">
      <c r="A1461" s="16" t="s">
        <v>3896</v>
      </c>
      <c r="B1461" s="7" t="s">
        <v>3897</v>
      </c>
      <c r="C1461" s="3" t="e">
        <f ca="1">[1]!BexGetData("DP_1","003N8EMH8GTFRCSWKMPXRR8GU","GSON1112150703")</f>
        <v>#NAME?</v>
      </c>
      <c r="D1461" s="3" t="e">
        <f ca="1">[1]!BexGetData("DP_1","003N8EMH8GTFRCSWKMPXRRESE","GSON1112150703")</f>
        <v>#NAME?</v>
      </c>
      <c r="E1461" s="8" t="e">
        <f ca="1">[1]!BexGetData("DP_1","003N8EMH8GTFRCSWKMPXRRL3Y","GSON1112150703")</f>
        <v>#NAME?</v>
      </c>
      <c r="F1461" s="4" t="e">
        <f ca="1">[1]!BexGetData("DP_1","003N8EMH8GTFRCSWKMPXRRRFI","GSON1112150703")</f>
        <v>#NAME?</v>
      </c>
      <c r="G1461" s="4" t="e">
        <f ca="1">[1]!BexGetData("DP_1","003N8EMH8GTFRCSWKMPXRRXR2","GSON1112150703")</f>
        <v>#NAME?</v>
      </c>
      <c r="H1461" s="4" t="e">
        <f ca="1">[1]!BexGetData("DP_1","003N8EMH8GTFRCSWKMPXRS42M","GSON1112150703")</f>
        <v>#NAME?</v>
      </c>
      <c r="I1461" s="4" t="e">
        <f ca="1">[1]!BexGetData("DP_1","003N8EMH8GTFRCSWKMPXRSAE6","GSON1112150703")</f>
        <v>#NAME?</v>
      </c>
      <c r="J1461" s="4" t="e">
        <f ca="1">[1]!BexGetData("DP_1","003N8EMH8GTFRCSWKMPXRSGPQ","GSON1112150703")</f>
        <v>#NAME?</v>
      </c>
      <c r="K1461" s="8" t="e">
        <f ca="1">[1]!BexGetData("DP_1","003N8EMH8GTFRIVNUPY288VJH","GSON1112150703")</f>
        <v>#NAME?</v>
      </c>
      <c r="L1461" s="8" t="e">
        <f ca="1">[1]!BexGetData("DP_1","003N8EMH8GTFRIVNUPY2891V1","GSON1112150703")</f>
        <v>#NAME?</v>
      </c>
      <c r="M1461" s="8" t="e">
        <f ca="1">[1]!BexGetData("DP_1","003N8EMH8GTFRIVOG7KG9IQXA","GSON1112150703")</f>
        <v>#NAME?</v>
      </c>
      <c r="N1461" s="8" t="e">
        <f ca="1">[1]!BexGetData("DP_1","003N8EMH8GTFRIVOG7KG9IX8U","GSON1112150703")</f>
        <v>#NAME?</v>
      </c>
      <c r="O1461" s="8" t="e">
        <f ca="1">[1]!BexGetData("DP_1","003N8EMH8GTFRIVOG7KG9J3KE","GSON1112150703")</f>
        <v>#NAME?</v>
      </c>
      <c r="P1461" s="8" t="e">
        <f ca="1">[1]!BexGetData("DP_1","003N8EMH8GTFRIVOG7KG9J9VY","GSON1112150703")</f>
        <v>#NAME?</v>
      </c>
      <c r="Q1461" s="4" t="e">
        <f ca="1">[1]!BexGetData("DP_1","00O2TNJGODT0G5Z4TTKYMM5MT","GSON1112150703")</f>
        <v>#NAME?</v>
      </c>
      <c r="R1461" s="4" t="e">
        <f ca="1">[1]!BexGetData("DP_1","00O2TNJGODT0G5Z4TTKYMMBYD","GSON1112150703")</f>
        <v>#NAME?</v>
      </c>
      <c r="S1461" s="4" t="e">
        <f ca="1">[1]!BexGetData("DP_1","00O2TNJGODT0G5Z4TTKYMMI9X","GSON1112150703")</f>
        <v>#NAME?</v>
      </c>
      <c r="T1461" s="4" t="e">
        <f ca="1">[1]!BexGetData("DP_1","00O2TNJGODT0G5Z4TTKYMMOLH","GSON1112150703")</f>
        <v>#NAME?</v>
      </c>
      <c r="U1461" s="4" t="e">
        <f ca="1">[1]!BexGetData("DP_1","00O2TNJGODT0G5Z4TTKYMMUX1","GSON1112150703")</f>
        <v>#NAME?</v>
      </c>
      <c r="V1461" s="4" t="e">
        <f ca="1">[1]!BexGetData("DP_1","00O2TNJGODT0G5Z4TTKYMN18L","GSON1112150703")</f>
        <v>#NAME?</v>
      </c>
      <c r="W1461" s="4" t="e">
        <f ca="1">[1]!BexGetData("DP_1","00O2TNJGODT0G5Z4TTKYMN7K5","GSON1112150703")</f>
        <v>#NAME?</v>
      </c>
    </row>
    <row r="1462" spans="1:23" x14ac:dyDescent="0.2">
      <c r="A1462" s="16" t="s">
        <v>3898</v>
      </c>
      <c r="B1462" s="7" t="s">
        <v>3899</v>
      </c>
      <c r="C1462" s="3" t="e">
        <f ca="1">[1]!BexGetData("DP_1","003N8EMH8GTFRCSWKMPXRR8GU","GSON1112150704")</f>
        <v>#NAME?</v>
      </c>
      <c r="D1462" s="3" t="e">
        <f ca="1">[1]!BexGetData("DP_1","003N8EMH8GTFRCSWKMPXRRESE","GSON1112150704")</f>
        <v>#NAME?</v>
      </c>
      <c r="E1462" s="3" t="e">
        <f ca="1">[1]!BexGetData("DP_1","003N8EMH8GTFRCSWKMPXRRL3Y","GSON1112150704")</f>
        <v>#NAME?</v>
      </c>
      <c r="F1462" s="4" t="e">
        <f ca="1">[1]!BexGetData("DP_1","003N8EMH8GTFRCSWKMPXRRRFI","GSON1112150704")</f>
        <v>#NAME?</v>
      </c>
      <c r="G1462" s="4" t="e">
        <f ca="1">[1]!BexGetData("DP_1","003N8EMH8GTFRCSWKMPXRRXR2","GSON1112150704")</f>
        <v>#NAME?</v>
      </c>
      <c r="H1462" s="4" t="e">
        <f ca="1">[1]!BexGetData("DP_1","003N8EMH8GTFRCSWKMPXRS42M","GSON1112150704")</f>
        <v>#NAME?</v>
      </c>
      <c r="I1462" s="4" t="e">
        <f ca="1">[1]!BexGetData("DP_1","003N8EMH8GTFRCSWKMPXRSAE6","GSON1112150704")</f>
        <v>#NAME?</v>
      </c>
      <c r="J1462" s="4" t="e">
        <f ca="1">[1]!BexGetData("DP_1","003N8EMH8GTFRCSWKMPXRSGPQ","GSON1112150704")</f>
        <v>#NAME?</v>
      </c>
      <c r="K1462" s="3" t="e">
        <f ca="1">[1]!BexGetData("DP_1","003N8EMH8GTFRIVNUPY288VJH","GSON1112150704")</f>
        <v>#NAME?</v>
      </c>
      <c r="L1462" s="3" t="e">
        <f ca="1">[1]!BexGetData("DP_1","003N8EMH8GTFRIVNUPY2891V1","GSON1112150704")</f>
        <v>#NAME?</v>
      </c>
      <c r="M1462" s="3" t="e">
        <f ca="1">[1]!BexGetData("DP_1","003N8EMH8GTFRIVOG7KG9IQXA","GSON1112150704")</f>
        <v>#NAME?</v>
      </c>
      <c r="N1462" s="8" t="e">
        <f ca="1">[1]!BexGetData("DP_1","003N8EMH8GTFRIVOG7KG9IX8U","GSON1112150704")</f>
        <v>#NAME?</v>
      </c>
      <c r="O1462" s="3" t="e">
        <f ca="1">[1]!BexGetData("DP_1","003N8EMH8GTFRIVOG7KG9J3KE","GSON1112150704")</f>
        <v>#NAME?</v>
      </c>
      <c r="P1462" s="8" t="e">
        <f ca="1">[1]!BexGetData("DP_1","003N8EMH8GTFRIVOG7KG9J9VY","GSON1112150704")</f>
        <v>#NAME?</v>
      </c>
      <c r="Q1462" s="4" t="e">
        <f ca="1">[1]!BexGetData("DP_1","00O2TNJGODT0G5Z4TTKYMM5MT","GSON1112150704")</f>
        <v>#NAME?</v>
      </c>
      <c r="R1462" s="4" t="e">
        <f ca="1">[1]!BexGetData("DP_1","00O2TNJGODT0G5Z4TTKYMMBYD","GSON1112150704")</f>
        <v>#NAME?</v>
      </c>
      <c r="S1462" s="4" t="e">
        <f ca="1">[1]!BexGetData("DP_1","00O2TNJGODT0G5Z4TTKYMMI9X","GSON1112150704")</f>
        <v>#NAME?</v>
      </c>
      <c r="T1462" s="4" t="e">
        <f ca="1">[1]!BexGetData("DP_1","00O2TNJGODT0G5Z4TTKYMMOLH","GSON1112150704")</f>
        <v>#NAME?</v>
      </c>
      <c r="U1462" s="4" t="e">
        <f ca="1">[1]!BexGetData("DP_1","00O2TNJGODT0G5Z4TTKYMMUX1","GSON1112150704")</f>
        <v>#NAME?</v>
      </c>
      <c r="V1462" s="4" t="e">
        <f ca="1">[1]!BexGetData("DP_1","00O2TNJGODT0G5Z4TTKYMN18L","GSON1112150704")</f>
        <v>#NAME?</v>
      </c>
      <c r="W1462" s="4" t="e">
        <f ca="1">[1]!BexGetData("DP_1","00O2TNJGODT0G5Z4TTKYMN7K5","GSON1112150704")</f>
        <v>#NAME?</v>
      </c>
    </row>
    <row r="1463" spans="1:23" x14ac:dyDescent="0.2">
      <c r="A1463" s="16" t="s">
        <v>318</v>
      </c>
      <c r="B1463" s="7" t="s">
        <v>319</v>
      </c>
      <c r="C1463" s="3" t="e">
        <f ca="1">[1]!BexGetData("DP_1","003N8EMH8GTFRCSWKMPXRR8GU","GSON1112150710")</f>
        <v>#NAME?</v>
      </c>
      <c r="D1463" s="3" t="e">
        <f ca="1">[1]!BexGetData("DP_1","003N8EMH8GTFRCSWKMPXRRESE","GSON1112150710")</f>
        <v>#NAME?</v>
      </c>
      <c r="E1463" s="3" t="e">
        <f ca="1">[1]!BexGetData("DP_1","003N8EMH8GTFRCSWKMPXRRL3Y","GSON1112150710")</f>
        <v>#NAME?</v>
      </c>
      <c r="F1463" s="3" t="e">
        <f ca="1">[1]!BexGetData("DP_1","003N8EMH8GTFRCSWKMPXRRRFI","GSON1112150710")</f>
        <v>#NAME?</v>
      </c>
      <c r="G1463" s="3" t="e">
        <f ca="1">[1]!BexGetData("DP_1","003N8EMH8GTFRCSWKMPXRRXR2","GSON1112150710")</f>
        <v>#NAME?</v>
      </c>
      <c r="H1463" s="8" t="e">
        <f ca="1">[1]!BexGetData("DP_1","003N8EMH8GTFRCSWKMPXRS42M","GSON1112150710")</f>
        <v>#NAME?</v>
      </c>
      <c r="I1463" s="3" t="e">
        <f ca="1">[1]!BexGetData("DP_1","003N8EMH8GTFRCSWKMPXRSAE6","GSON1112150710")</f>
        <v>#NAME?</v>
      </c>
      <c r="J1463" s="4" t="e">
        <f ca="1">[1]!BexGetData("DP_1","003N8EMH8GTFRCSWKMPXRSGPQ","GSON1112150710")</f>
        <v>#NAME?</v>
      </c>
      <c r="K1463" s="3" t="e">
        <f ca="1">[1]!BexGetData("DP_1","003N8EMH8GTFRIVNUPY288VJH","GSON1112150710")</f>
        <v>#NAME?</v>
      </c>
      <c r="L1463" s="3" t="e">
        <f ca="1">[1]!BexGetData("DP_1","003N8EMH8GTFRIVNUPY2891V1","GSON1112150710")</f>
        <v>#NAME?</v>
      </c>
      <c r="M1463" s="8" t="e">
        <f ca="1">[1]!BexGetData("DP_1","003N8EMH8GTFRIVOG7KG9IQXA","GSON1112150710")</f>
        <v>#NAME?</v>
      </c>
      <c r="N1463" s="3" t="e">
        <f ca="1">[1]!BexGetData("DP_1","003N8EMH8GTFRIVOG7KG9IX8U","GSON1112150710")</f>
        <v>#NAME?</v>
      </c>
      <c r="O1463" s="8" t="e">
        <f ca="1">[1]!BexGetData("DP_1","003N8EMH8GTFRIVOG7KG9J3KE","GSON1112150710")</f>
        <v>#NAME?</v>
      </c>
      <c r="P1463" s="3" t="e">
        <f ca="1">[1]!BexGetData("DP_1","003N8EMH8GTFRIVOG7KG9J9VY","GSON1112150710")</f>
        <v>#NAME?</v>
      </c>
      <c r="Q1463" s="4" t="e">
        <f ca="1">[1]!BexGetData("DP_1","00O2TNJGODT0G5Z4TTKYMM5MT","GSON1112150710")</f>
        <v>#NAME?</v>
      </c>
      <c r="R1463" s="3" t="e">
        <f ca="1">[1]!BexGetData("DP_1","00O2TNJGODT0G5Z4TTKYMMBYD","GSON1112150710")</f>
        <v>#NAME?</v>
      </c>
      <c r="S1463" s="3" t="e">
        <f ca="1">[1]!BexGetData("DP_1","00O2TNJGODT0G5Z4TTKYMMI9X","GSON1112150710")</f>
        <v>#NAME?</v>
      </c>
      <c r="T1463" s="8" t="e">
        <f ca="1">[1]!BexGetData("DP_1","00O2TNJGODT0G5Z4TTKYMMOLH","GSON1112150710")</f>
        <v>#NAME?</v>
      </c>
      <c r="U1463" s="3" t="e">
        <f ca="1">[1]!BexGetData("DP_1","00O2TNJGODT0G5Z4TTKYMMUX1","GSON1112150710")</f>
        <v>#NAME?</v>
      </c>
      <c r="V1463" s="8" t="e">
        <f ca="1">[1]!BexGetData("DP_1","00O2TNJGODT0G5Z4TTKYMN18L","GSON1112150710")</f>
        <v>#NAME?</v>
      </c>
      <c r="W1463" s="3" t="e">
        <f ca="1">[1]!BexGetData("DP_1","00O2TNJGODT0G5Z4TTKYMN7K5","GSON1112150710")</f>
        <v>#NAME?</v>
      </c>
    </row>
    <row r="1464" spans="1:23" x14ac:dyDescent="0.2">
      <c r="A1464" s="16" t="s">
        <v>320</v>
      </c>
      <c r="B1464" s="7" t="s">
        <v>321</v>
      </c>
      <c r="C1464" s="3" t="e">
        <f ca="1">[1]!BexGetData("DP_1","003N8EMH8GTFRCSWKMPXRR8GU","GSON1112150711")</f>
        <v>#NAME?</v>
      </c>
      <c r="D1464" s="3" t="e">
        <f ca="1">[1]!BexGetData("DP_1","003N8EMH8GTFRCSWKMPXRRESE","GSON1112150711")</f>
        <v>#NAME?</v>
      </c>
      <c r="E1464" s="3" t="e">
        <f ca="1">[1]!BexGetData("DP_1","003N8EMH8GTFRCSWKMPXRRL3Y","GSON1112150711")</f>
        <v>#NAME?</v>
      </c>
      <c r="F1464" s="3" t="e">
        <f ca="1">[1]!BexGetData("DP_1","003N8EMH8GTFRCSWKMPXRRRFI","GSON1112150711")</f>
        <v>#NAME?</v>
      </c>
      <c r="G1464" s="3" t="e">
        <f ca="1">[1]!BexGetData("DP_1","003N8EMH8GTFRCSWKMPXRRXR2","GSON1112150711")</f>
        <v>#NAME?</v>
      </c>
      <c r="H1464" s="8" t="e">
        <f ca="1">[1]!BexGetData("DP_1","003N8EMH8GTFRCSWKMPXRS42M","GSON1112150711")</f>
        <v>#NAME?</v>
      </c>
      <c r="I1464" s="3" t="e">
        <f ca="1">[1]!BexGetData("DP_1","003N8EMH8GTFRCSWKMPXRSAE6","GSON1112150711")</f>
        <v>#NAME?</v>
      </c>
      <c r="J1464" s="4" t="e">
        <f ca="1">[1]!BexGetData("DP_1","003N8EMH8GTFRCSWKMPXRSGPQ","GSON1112150711")</f>
        <v>#NAME?</v>
      </c>
      <c r="K1464" s="3" t="e">
        <f ca="1">[1]!BexGetData("DP_1","003N8EMH8GTFRIVNUPY288VJH","GSON1112150711")</f>
        <v>#NAME?</v>
      </c>
      <c r="L1464" s="3" t="e">
        <f ca="1">[1]!BexGetData("DP_1","003N8EMH8GTFRIVNUPY2891V1","GSON1112150711")</f>
        <v>#NAME?</v>
      </c>
      <c r="M1464" s="3" t="e">
        <f ca="1">[1]!BexGetData("DP_1","003N8EMH8GTFRIVOG7KG9IQXA","GSON1112150711")</f>
        <v>#NAME?</v>
      </c>
      <c r="N1464" s="8" t="e">
        <f ca="1">[1]!BexGetData("DP_1","003N8EMH8GTFRIVOG7KG9IX8U","GSON1112150711")</f>
        <v>#NAME?</v>
      </c>
      <c r="O1464" s="3" t="e">
        <f ca="1">[1]!BexGetData("DP_1","003N8EMH8GTFRIVOG7KG9J3KE","GSON1112150711")</f>
        <v>#NAME?</v>
      </c>
      <c r="P1464" s="8" t="e">
        <f ca="1">[1]!BexGetData("DP_1","003N8EMH8GTFRIVOG7KG9J9VY","GSON1112150711")</f>
        <v>#NAME?</v>
      </c>
      <c r="Q1464" s="4" t="e">
        <f ca="1">[1]!BexGetData("DP_1","00O2TNJGODT0G5Z4TTKYMM5MT","GSON1112150711")</f>
        <v>#NAME?</v>
      </c>
      <c r="R1464" s="3" t="e">
        <f ca="1">[1]!BexGetData("DP_1","00O2TNJGODT0G5Z4TTKYMMBYD","GSON1112150711")</f>
        <v>#NAME?</v>
      </c>
      <c r="S1464" s="3" t="e">
        <f ca="1">[1]!BexGetData("DP_1","00O2TNJGODT0G5Z4TTKYMMI9X","GSON1112150711")</f>
        <v>#NAME?</v>
      </c>
      <c r="T1464" s="8" t="e">
        <f ca="1">[1]!BexGetData("DP_1","00O2TNJGODT0G5Z4TTKYMMOLH","GSON1112150711")</f>
        <v>#NAME?</v>
      </c>
      <c r="U1464" s="3" t="e">
        <f ca="1">[1]!BexGetData("DP_1","00O2TNJGODT0G5Z4TTKYMMUX1","GSON1112150711")</f>
        <v>#NAME?</v>
      </c>
      <c r="V1464" s="8" t="e">
        <f ca="1">[1]!BexGetData("DP_1","00O2TNJGODT0G5Z4TTKYMN18L","GSON1112150711")</f>
        <v>#NAME?</v>
      </c>
      <c r="W1464" s="3" t="e">
        <f ca="1">[1]!BexGetData("DP_1","00O2TNJGODT0G5Z4TTKYMN7K5","GSON1112150711")</f>
        <v>#NAME?</v>
      </c>
    </row>
    <row r="1465" spans="1:23" x14ac:dyDescent="0.2">
      <c r="A1465" s="16" t="s">
        <v>3900</v>
      </c>
      <c r="B1465" s="7" t="s">
        <v>3901</v>
      </c>
      <c r="C1465" s="3" t="e">
        <f ca="1">[1]!BexGetData("DP_1","003N8EMH8GTFRCSWKMPXRR8GU","GSON1112150714")</f>
        <v>#NAME?</v>
      </c>
      <c r="D1465" s="3" t="e">
        <f ca="1">[1]!BexGetData("DP_1","003N8EMH8GTFRCSWKMPXRRESE","GSON1112150714")</f>
        <v>#NAME?</v>
      </c>
      <c r="E1465" s="3" t="e">
        <f ca="1">[1]!BexGetData("DP_1","003N8EMH8GTFRCSWKMPXRRL3Y","GSON1112150714")</f>
        <v>#NAME?</v>
      </c>
      <c r="F1465" s="4" t="e">
        <f ca="1">[1]!BexGetData("DP_1","003N8EMH8GTFRCSWKMPXRRRFI","GSON1112150714")</f>
        <v>#NAME?</v>
      </c>
      <c r="G1465" s="4" t="e">
        <f ca="1">[1]!BexGetData("DP_1","003N8EMH8GTFRCSWKMPXRRXR2","GSON1112150714")</f>
        <v>#NAME?</v>
      </c>
      <c r="H1465" s="4" t="e">
        <f ca="1">[1]!BexGetData("DP_1","003N8EMH8GTFRCSWKMPXRS42M","GSON1112150714")</f>
        <v>#NAME?</v>
      </c>
      <c r="I1465" s="4" t="e">
        <f ca="1">[1]!BexGetData("DP_1","003N8EMH8GTFRCSWKMPXRSAE6","GSON1112150714")</f>
        <v>#NAME?</v>
      </c>
      <c r="J1465" s="4" t="e">
        <f ca="1">[1]!BexGetData("DP_1","003N8EMH8GTFRCSWKMPXRSGPQ","GSON1112150714")</f>
        <v>#NAME?</v>
      </c>
      <c r="K1465" s="3" t="e">
        <f ca="1">[1]!BexGetData("DP_1","003N8EMH8GTFRIVNUPY288VJH","GSON1112150714")</f>
        <v>#NAME?</v>
      </c>
      <c r="L1465" s="3" t="e">
        <f ca="1">[1]!BexGetData("DP_1","003N8EMH8GTFRIVNUPY2891V1","GSON1112150714")</f>
        <v>#NAME?</v>
      </c>
      <c r="M1465" s="3" t="e">
        <f ca="1">[1]!BexGetData("DP_1","003N8EMH8GTFRIVOG7KG9IQXA","GSON1112150714")</f>
        <v>#NAME?</v>
      </c>
      <c r="N1465" s="8" t="e">
        <f ca="1">[1]!BexGetData("DP_1","003N8EMH8GTFRIVOG7KG9IX8U","GSON1112150714")</f>
        <v>#NAME?</v>
      </c>
      <c r="O1465" s="3" t="e">
        <f ca="1">[1]!BexGetData("DP_1","003N8EMH8GTFRIVOG7KG9J3KE","GSON1112150714")</f>
        <v>#NAME?</v>
      </c>
      <c r="P1465" s="8" t="e">
        <f ca="1">[1]!BexGetData("DP_1","003N8EMH8GTFRIVOG7KG9J9VY","GSON1112150714")</f>
        <v>#NAME?</v>
      </c>
      <c r="Q1465" s="4" t="e">
        <f ca="1">[1]!BexGetData("DP_1","00O2TNJGODT0G5Z4TTKYMM5MT","GSON1112150714")</f>
        <v>#NAME?</v>
      </c>
      <c r="R1465" s="4" t="e">
        <f ca="1">[1]!BexGetData("DP_1","00O2TNJGODT0G5Z4TTKYMMBYD","GSON1112150714")</f>
        <v>#NAME?</v>
      </c>
      <c r="S1465" s="4" t="e">
        <f ca="1">[1]!BexGetData("DP_1","00O2TNJGODT0G5Z4TTKYMMI9X","GSON1112150714")</f>
        <v>#NAME?</v>
      </c>
      <c r="T1465" s="4" t="e">
        <f ca="1">[1]!BexGetData("DP_1","00O2TNJGODT0G5Z4TTKYMMOLH","GSON1112150714")</f>
        <v>#NAME?</v>
      </c>
      <c r="U1465" s="4" t="e">
        <f ca="1">[1]!BexGetData("DP_1","00O2TNJGODT0G5Z4TTKYMMUX1","GSON1112150714")</f>
        <v>#NAME?</v>
      </c>
      <c r="V1465" s="4" t="e">
        <f ca="1">[1]!BexGetData("DP_1","00O2TNJGODT0G5Z4TTKYMN18L","GSON1112150714")</f>
        <v>#NAME?</v>
      </c>
      <c r="W1465" s="4" t="e">
        <f ca="1">[1]!BexGetData("DP_1","00O2TNJGODT0G5Z4TTKYMN7K5","GSON1112150714")</f>
        <v>#NAME?</v>
      </c>
    </row>
    <row r="1466" spans="1:23" x14ac:dyDescent="0.2">
      <c r="A1466" s="16" t="s">
        <v>3902</v>
      </c>
      <c r="B1466" s="7" t="s">
        <v>3903</v>
      </c>
      <c r="C1466" s="3" t="e">
        <f ca="1">[1]!BexGetData("DP_1","003N8EMH8GTFRCSWKMPXRR8GU","GSON1112150720")</f>
        <v>#NAME?</v>
      </c>
      <c r="D1466" s="3" t="e">
        <f ca="1">[1]!BexGetData("DP_1","003N8EMH8GTFRCSWKMPXRRESE","GSON1112150720")</f>
        <v>#NAME?</v>
      </c>
      <c r="E1466" s="3" t="e">
        <f ca="1">[1]!BexGetData("DP_1","003N8EMH8GTFRCSWKMPXRRL3Y","GSON1112150720")</f>
        <v>#NAME?</v>
      </c>
      <c r="F1466" s="3" t="e">
        <f ca="1">[1]!BexGetData("DP_1","003N8EMH8GTFRCSWKMPXRRRFI","GSON1112150720")</f>
        <v>#NAME?</v>
      </c>
      <c r="G1466" s="3" t="e">
        <f ca="1">[1]!BexGetData("DP_1","003N8EMH8GTFRCSWKMPXRRXR2","GSON1112150720")</f>
        <v>#NAME?</v>
      </c>
      <c r="H1466" s="8" t="e">
        <f ca="1">[1]!BexGetData("DP_1","003N8EMH8GTFRCSWKMPXRS42M","GSON1112150720")</f>
        <v>#NAME?</v>
      </c>
      <c r="I1466" s="3" t="e">
        <f ca="1">[1]!BexGetData("DP_1","003N8EMH8GTFRCSWKMPXRSAE6","GSON1112150720")</f>
        <v>#NAME?</v>
      </c>
      <c r="J1466" s="4" t="e">
        <f ca="1">[1]!BexGetData("DP_1","003N8EMH8GTFRCSWKMPXRSGPQ","GSON1112150720")</f>
        <v>#NAME?</v>
      </c>
      <c r="K1466" s="3" t="e">
        <f ca="1">[1]!BexGetData("DP_1","003N8EMH8GTFRIVNUPY288VJH","GSON1112150720")</f>
        <v>#NAME?</v>
      </c>
      <c r="L1466" s="3" t="e">
        <f ca="1">[1]!BexGetData("DP_1","003N8EMH8GTFRIVNUPY2891V1","GSON1112150720")</f>
        <v>#NAME?</v>
      </c>
      <c r="M1466" s="3" t="e">
        <f ca="1">[1]!BexGetData("DP_1","003N8EMH8GTFRIVOG7KG9IQXA","GSON1112150720")</f>
        <v>#NAME?</v>
      </c>
      <c r="N1466" s="8" t="e">
        <f ca="1">[1]!BexGetData("DP_1","003N8EMH8GTFRIVOG7KG9IX8U","GSON1112150720")</f>
        <v>#NAME?</v>
      </c>
      <c r="O1466" s="3" t="e">
        <f ca="1">[1]!BexGetData("DP_1","003N8EMH8GTFRIVOG7KG9J3KE","GSON1112150720")</f>
        <v>#NAME?</v>
      </c>
      <c r="P1466" s="8" t="e">
        <f ca="1">[1]!BexGetData("DP_1","003N8EMH8GTFRIVOG7KG9J9VY","GSON1112150720")</f>
        <v>#NAME?</v>
      </c>
      <c r="Q1466" s="4" t="e">
        <f ca="1">[1]!BexGetData("DP_1","00O2TNJGODT0G5Z4TTKYMM5MT","GSON1112150720")</f>
        <v>#NAME?</v>
      </c>
      <c r="R1466" s="3" t="e">
        <f ca="1">[1]!BexGetData("DP_1","00O2TNJGODT0G5Z4TTKYMMBYD","GSON1112150720")</f>
        <v>#NAME?</v>
      </c>
      <c r="S1466" s="3" t="e">
        <f ca="1">[1]!BexGetData("DP_1","00O2TNJGODT0G5Z4TTKYMMI9X","GSON1112150720")</f>
        <v>#NAME?</v>
      </c>
      <c r="T1466" s="8" t="e">
        <f ca="1">[1]!BexGetData("DP_1","00O2TNJGODT0G5Z4TTKYMMOLH","GSON1112150720")</f>
        <v>#NAME?</v>
      </c>
      <c r="U1466" s="3" t="e">
        <f ca="1">[1]!BexGetData("DP_1","00O2TNJGODT0G5Z4TTKYMMUX1","GSON1112150720")</f>
        <v>#NAME?</v>
      </c>
      <c r="V1466" s="8" t="e">
        <f ca="1">[1]!BexGetData("DP_1","00O2TNJGODT0G5Z4TTKYMN18L","GSON1112150720")</f>
        <v>#NAME?</v>
      </c>
      <c r="W1466" s="3" t="e">
        <f ca="1">[1]!BexGetData("DP_1","00O2TNJGODT0G5Z4TTKYMN7K5","GSON1112150720")</f>
        <v>#NAME?</v>
      </c>
    </row>
    <row r="1467" spans="1:23" x14ac:dyDescent="0.2">
      <c r="A1467" s="16" t="s">
        <v>3904</v>
      </c>
      <c r="B1467" s="7" t="s">
        <v>3905</v>
      </c>
      <c r="C1467" s="3" t="e">
        <f ca="1">[1]!BexGetData("DP_1","003N8EMH8GTFRCSWKMPXRR8GU","GSON1112150721")</f>
        <v>#NAME?</v>
      </c>
      <c r="D1467" s="3" t="e">
        <f ca="1">[1]!BexGetData("DP_1","003N8EMH8GTFRCSWKMPXRRESE","GSON1112150721")</f>
        <v>#NAME?</v>
      </c>
      <c r="E1467" s="3" t="e">
        <f ca="1">[1]!BexGetData("DP_1","003N8EMH8GTFRCSWKMPXRRL3Y","GSON1112150721")</f>
        <v>#NAME?</v>
      </c>
      <c r="F1467" s="4" t="e">
        <f ca="1">[1]!BexGetData("DP_1","003N8EMH8GTFRCSWKMPXRRRFI","GSON1112150721")</f>
        <v>#NAME?</v>
      </c>
      <c r="G1467" s="4" t="e">
        <f ca="1">[1]!BexGetData("DP_1","003N8EMH8GTFRCSWKMPXRRXR2","GSON1112150721")</f>
        <v>#NAME?</v>
      </c>
      <c r="H1467" s="4" t="e">
        <f ca="1">[1]!BexGetData("DP_1","003N8EMH8GTFRCSWKMPXRS42M","GSON1112150721")</f>
        <v>#NAME?</v>
      </c>
      <c r="I1467" s="4" t="e">
        <f ca="1">[1]!BexGetData("DP_1","003N8EMH8GTFRCSWKMPXRSAE6","GSON1112150721")</f>
        <v>#NAME?</v>
      </c>
      <c r="J1467" s="4" t="e">
        <f ca="1">[1]!BexGetData("DP_1","003N8EMH8GTFRCSWKMPXRSGPQ","GSON1112150721")</f>
        <v>#NAME?</v>
      </c>
      <c r="K1467" s="3" t="e">
        <f ca="1">[1]!BexGetData("DP_1","003N8EMH8GTFRIVNUPY288VJH","GSON1112150721")</f>
        <v>#NAME?</v>
      </c>
      <c r="L1467" s="3" t="e">
        <f ca="1">[1]!BexGetData("DP_1","003N8EMH8GTFRIVNUPY2891V1","GSON1112150721")</f>
        <v>#NAME?</v>
      </c>
      <c r="M1467" s="8" t="e">
        <f ca="1">[1]!BexGetData("DP_1","003N8EMH8GTFRIVOG7KG9IQXA","GSON1112150721")</f>
        <v>#NAME?</v>
      </c>
      <c r="N1467" s="3" t="e">
        <f ca="1">[1]!BexGetData("DP_1","003N8EMH8GTFRIVOG7KG9IX8U","GSON1112150721")</f>
        <v>#NAME?</v>
      </c>
      <c r="O1467" s="8" t="e">
        <f ca="1">[1]!BexGetData("DP_1","003N8EMH8GTFRIVOG7KG9J3KE","GSON1112150721")</f>
        <v>#NAME?</v>
      </c>
      <c r="P1467" s="3" t="e">
        <f ca="1">[1]!BexGetData("DP_1","003N8EMH8GTFRIVOG7KG9J9VY","GSON1112150721")</f>
        <v>#NAME?</v>
      </c>
      <c r="Q1467" s="4" t="e">
        <f ca="1">[1]!BexGetData("DP_1","00O2TNJGODT0G5Z4TTKYMM5MT","GSON1112150721")</f>
        <v>#NAME?</v>
      </c>
      <c r="R1467" s="4" t="e">
        <f ca="1">[1]!BexGetData("DP_1","00O2TNJGODT0G5Z4TTKYMMBYD","GSON1112150721")</f>
        <v>#NAME?</v>
      </c>
      <c r="S1467" s="4" t="e">
        <f ca="1">[1]!BexGetData("DP_1","00O2TNJGODT0G5Z4TTKYMMI9X","GSON1112150721")</f>
        <v>#NAME?</v>
      </c>
      <c r="T1467" s="4" t="e">
        <f ca="1">[1]!BexGetData("DP_1","00O2TNJGODT0G5Z4TTKYMMOLH","GSON1112150721")</f>
        <v>#NAME?</v>
      </c>
      <c r="U1467" s="4" t="e">
        <f ca="1">[1]!BexGetData("DP_1","00O2TNJGODT0G5Z4TTKYMMUX1","GSON1112150721")</f>
        <v>#NAME?</v>
      </c>
      <c r="V1467" s="4" t="e">
        <f ca="1">[1]!BexGetData("DP_1","00O2TNJGODT0G5Z4TTKYMN18L","GSON1112150721")</f>
        <v>#NAME?</v>
      </c>
      <c r="W1467" s="4" t="e">
        <f ca="1">[1]!BexGetData("DP_1","00O2TNJGODT0G5Z4TTKYMN7K5","GSON1112150721")</f>
        <v>#NAME?</v>
      </c>
    </row>
    <row r="1468" spans="1:23" x14ac:dyDescent="0.2">
      <c r="A1468" s="16" t="s">
        <v>3906</v>
      </c>
      <c r="B1468" s="7" t="s">
        <v>3907</v>
      </c>
      <c r="C1468" s="3" t="e">
        <f ca="1">[1]!BexGetData("DP_1","003N8EMH8GTFRCSWKMPXRR8GU","GSON1112150723")</f>
        <v>#NAME?</v>
      </c>
      <c r="D1468" s="3" t="e">
        <f ca="1">[1]!BexGetData("DP_1","003N8EMH8GTFRCSWKMPXRRESE","GSON1112150723")</f>
        <v>#NAME?</v>
      </c>
      <c r="E1468" s="8" t="e">
        <f ca="1">[1]!BexGetData("DP_1","003N8EMH8GTFRCSWKMPXRRL3Y","GSON1112150723")</f>
        <v>#NAME?</v>
      </c>
      <c r="F1468" s="4" t="e">
        <f ca="1">[1]!BexGetData("DP_1","003N8EMH8GTFRCSWKMPXRRRFI","GSON1112150723")</f>
        <v>#NAME?</v>
      </c>
      <c r="G1468" s="4" t="e">
        <f ca="1">[1]!BexGetData("DP_1","003N8EMH8GTFRCSWKMPXRRXR2","GSON1112150723")</f>
        <v>#NAME?</v>
      </c>
      <c r="H1468" s="4" t="e">
        <f ca="1">[1]!BexGetData("DP_1","003N8EMH8GTFRCSWKMPXRS42M","GSON1112150723")</f>
        <v>#NAME?</v>
      </c>
      <c r="I1468" s="4" t="e">
        <f ca="1">[1]!BexGetData("DP_1","003N8EMH8GTFRCSWKMPXRSAE6","GSON1112150723")</f>
        <v>#NAME?</v>
      </c>
      <c r="J1468" s="4" t="e">
        <f ca="1">[1]!BexGetData("DP_1","003N8EMH8GTFRCSWKMPXRSGPQ","GSON1112150723")</f>
        <v>#NAME?</v>
      </c>
      <c r="K1468" s="8" t="e">
        <f ca="1">[1]!BexGetData("DP_1","003N8EMH8GTFRIVNUPY288VJH","GSON1112150723")</f>
        <v>#NAME?</v>
      </c>
      <c r="L1468" s="8" t="e">
        <f ca="1">[1]!BexGetData("DP_1","003N8EMH8GTFRIVNUPY2891V1","GSON1112150723")</f>
        <v>#NAME?</v>
      </c>
      <c r="M1468" s="8" t="e">
        <f ca="1">[1]!BexGetData("DP_1","003N8EMH8GTFRIVOG7KG9IQXA","GSON1112150723")</f>
        <v>#NAME?</v>
      </c>
      <c r="N1468" s="8" t="e">
        <f ca="1">[1]!BexGetData("DP_1","003N8EMH8GTFRIVOG7KG9IX8U","GSON1112150723")</f>
        <v>#NAME?</v>
      </c>
      <c r="O1468" s="8" t="e">
        <f ca="1">[1]!BexGetData("DP_1","003N8EMH8GTFRIVOG7KG9J3KE","GSON1112150723")</f>
        <v>#NAME?</v>
      </c>
      <c r="P1468" s="8" t="e">
        <f ca="1">[1]!BexGetData("DP_1","003N8EMH8GTFRIVOG7KG9J9VY","GSON1112150723")</f>
        <v>#NAME?</v>
      </c>
      <c r="Q1468" s="4" t="e">
        <f ca="1">[1]!BexGetData("DP_1","00O2TNJGODT0G5Z4TTKYMM5MT","GSON1112150723")</f>
        <v>#NAME?</v>
      </c>
      <c r="R1468" s="4" t="e">
        <f ca="1">[1]!BexGetData("DP_1","00O2TNJGODT0G5Z4TTKYMMBYD","GSON1112150723")</f>
        <v>#NAME?</v>
      </c>
      <c r="S1468" s="4" t="e">
        <f ca="1">[1]!BexGetData("DP_1","00O2TNJGODT0G5Z4TTKYMMI9X","GSON1112150723")</f>
        <v>#NAME?</v>
      </c>
      <c r="T1468" s="4" t="e">
        <f ca="1">[1]!BexGetData("DP_1","00O2TNJGODT0G5Z4TTKYMMOLH","GSON1112150723")</f>
        <v>#NAME?</v>
      </c>
      <c r="U1468" s="4" t="e">
        <f ca="1">[1]!BexGetData("DP_1","00O2TNJGODT0G5Z4TTKYMMUX1","GSON1112150723")</f>
        <v>#NAME?</v>
      </c>
      <c r="V1468" s="4" t="e">
        <f ca="1">[1]!BexGetData("DP_1","00O2TNJGODT0G5Z4TTKYMN18L","GSON1112150723")</f>
        <v>#NAME?</v>
      </c>
      <c r="W1468" s="4" t="e">
        <f ca="1">[1]!BexGetData("DP_1","00O2TNJGODT0G5Z4TTKYMN7K5","GSON1112150723")</f>
        <v>#NAME?</v>
      </c>
    </row>
    <row r="1469" spans="1:23" x14ac:dyDescent="0.2">
      <c r="A1469" s="16" t="s">
        <v>3908</v>
      </c>
      <c r="B1469" s="7" t="s">
        <v>3909</v>
      </c>
      <c r="C1469" s="3" t="e">
        <f ca="1">[1]!BexGetData("DP_1","003N8EMH8GTFRCSWKMPXRR8GU","GSON1112150724")</f>
        <v>#NAME?</v>
      </c>
      <c r="D1469" s="3" t="e">
        <f ca="1">[1]!BexGetData("DP_1","003N8EMH8GTFRCSWKMPXRRESE","GSON1112150724")</f>
        <v>#NAME?</v>
      </c>
      <c r="E1469" s="3" t="e">
        <f ca="1">[1]!BexGetData("DP_1","003N8EMH8GTFRCSWKMPXRRL3Y","GSON1112150724")</f>
        <v>#NAME?</v>
      </c>
      <c r="F1469" s="4" t="e">
        <f ca="1">[1]!BexGetData("DP_1","003N8EMH8GTFRCSWKMPXRRRFI","GSON1112150724")</f>
        <v>#NAME?</v>
      </c>
      <c r="G1469" s="4" t="e">
        <f ca="1">[1]!BexGetData("DP_1","003N8EMH8GTFRCSWKMPXRRXR2","GSON1112150724")</f>
        <v>#NAME?</v>
      </c>
      <c r="H1469" s="4" t="e">
        <f ca="1">[1]!BexGetData("DP_1","003N8EMH8GTFRCSWKMPXRS42M","GSON1112150724")</f>
        <v>#NAME?</v>
      </c>
      <c r="I1469" s="4" t="e">
        <f ca="1">[1]!BexGetData("DP_1","003N8EMH8GTFRCSWKMPXRSAE6","GSON1112150724")</f>
        <v>#NAME?</v>
      </c>
      <c r="J1469" s="4" t="e">
        <f ca="1">[1]!BexGetData("DP_1","003N8EMH8GTFRCSWKMPXRSGPQ","GSON1112150724")</f>
        <v>#NAME?</v>
      </c>
      <c r="K1469" s="3" t="e">
        <f ca="1">[1]!BexGetData("DP_1","003N8EMH8GTFRIVNUPY288VJH","GSON1112150724")</f>
        <v>#NAME?</v>
      </c>
      <c r="L1469" s="3" t="e">
        <f ca="1">[1]!BexGetData("DP_1","003N8EMH8GTFRIVNUPY2891V1","GSON1112150724")</f>
        <v>#NAME?</v>
      </c>
      <c r="M1469" s="3" t="e">
        <f ca="1">[1]!BexGetData("DP_1","003N8EMH8GTFRIVOG7KG9IQXA","GSON1112150724")</f>
        <v>#NAME?</v>
      </c>
      <c r="N1469" s="8" t="e">
        <f ca="1">[1]!BexGetData("DP_1","003N8EMH8GTFRIVOG7KG9IX8U","GSON1112150724")</f>
        <v>#NAME?</v>
      </c>
      <c r="O1469" s="3" t="e">
        <f ca="1">[1]!BexGetData("DP_1","003N8EMH8GTFRIVOG7KG9J3KE","GSON1112150724")</f>
        <v>#NAME?</v>
      </c>
      <c r="P1469" s="8" t="e">
        <f ca="1">[1]!BexGetData("DP_1","003N8EMH8GTFRIVOG7KG9J9VY","GSON1112150724")</f>
        <v>#NAME?</v>
      </c>
      <c r="Q1469" s="4" t="e">
        <f ca="1">[1]!BexGetData("DP_1","00O2TNJGODT0G5Z4TTKYMM5MT","GSON1112150724")</f>
        <v>#NAME?</v>
      </c>
      <c r="R1469" s="4" t="e">
        <f ca="1">[1]!BexGetData("DP_1","00O2TNJGODT0G5Z4TTKYMMBYD","GSON1112150724")</f>
        <v>#NAME?</v>
      </c>
      <c r="S1469" s="4" t="e">
        <f ca="1">[1]!BexGetData("DP_1","00O2TNJGODT0G5Z4TTKYMMI9X","GSON1112150724")</f>
        <v>#NAME?</v>
      </c>
      <c r="T1469" s="4" t="e">
        <f ca="1">[1]!BexGetData("DP_1","00O2TNJGODT0G5Z4TTKYMMOLH","GSON1112150724")</f>
        <v>#NAME?</v>
      </c>
      <c r="U1469" s="4" t="e">
        <f ca="1">[1]!BexGetData("DP_1","00O2TNJGODT0G5Z4TTKYMMUX1","GSON1112150724")</f>
        <v>#NAME?</v>
      </c>
      <c r="V1469" s="4" t="e">
        <f ca="1">[1]!BexGetData("DP_1","00O2TNJGODT0G5Z4TTKYMN18L","GSON1112150724")</f>
        <v>#NAME?</v>
      </c>
      <c r="W1469" s="4" t="e">
        <f ca="1">[1]!BexGetData("DP_1","00O2TNJGODT0G5Z4TTKYMN7K5","GSON1112150724")</f>
        <v>#NAME?</v>
      </c>
    </row>
    <row r="1470" spans="1:23" x14ac:dyDescent="0.2">
      <c r="A1470" s="16" t="s">
        <v>3910</v>
      </c>
      <c r="B1470" s="7" t="s">
        <v>3911</v>
      </c>
      <c r="C1470" s="3" t="e">
        <f ca="1">[1]!BexGetData("DP_1","003N8EMH8GTFRCSWKMPXRR8GU","GSON1112150725")</f>
        <v>#NAME?</v>
      </c>
      <c r="D1470" s="3" t="e">
        <f ca="1">[1]!BexGetData("DP_1","003N8EMH8GTFRCSWKMPXRRESE","GSON1112150725")</f>
        <v>#NAME?</v>
      </c>
      <c r="E1470" s="3" t="e">
        <f ca="1">[1]!BexGetData("DP_1","003N8EMH8GTFRCSWKMPXRRL3Y","GSON1112150725")</f>
        <v>#NAME?</v>
      </c>
      <c r="F1470" s="4" t="e">
        <f ca="1">[1]!BexGetData("DP_1","003N8EMH8GTFRCSWKMPXRRRFI","GSON1112150725")</f>
        <v>#NAME?</v>
      </c>
      <c r="G1470" s="4" t="e">
        <f ca="1">[1]!BexGetData("DP_1","003N8EMH8GTFRCSWKMPXRRXR2","GSON1112150725")</f>
        <v>#NAME?</v>
      </c>
      <c r="H1470" s="4" t="e">
        <f ca="1">[1]!BexGetData("DP_1","003N8EMH8GTFRCSWKMPXRS42M","GSON1112150725")</f>
        <v>#NAME?</v>
      </c>
      <c r="I1470" s="4" t="e">
        <f ca="1">[1]!BexGetData("DP_1","003N8EMH8GTFRCSWKMPXRSAE6","GSON1112150725")</f>
        <v>#NAME?</v>
      </c>
      <c r="J1470" s="4" t="e">
        <f ca="1">[1]!BexGetData("DP_1","003N8EMH8GTFRCSWKMPXRSGPQ","GSON1112150725")</f>
        <v>#NAME?</v>
      </c>
      <c r="K1470" s="3" t="e">
        <f ca="1">[1]!BexGetData("DP_1","003N8EMH8GTFRIVNUPY288VJH","GSON1112150725")</f>
        <v>#NAME?</v>
      </c>
      <c r="L1470" s="3" t="e">
        <f ca="1">[1]!BexGetData("DP_1","003N8EMH8GTFRIVNUPY2891V1","GSON1112150725")</f>
        <v>#NAME?</v>
      </c>
      <c r="M1470" s="3" t="e">
        <f ca="1">[1]!BexGetData("DP_1","003N8EMH8GTFRIVOG7KG9IQXA","GSON1112150725")</f>
        <v>#NAME?</v>
      </c>
      <c r="N1470" s="8" t="e">
        <f ca="1">[1]!BexGetData("DP_1","003N8EMH8GTFRIVOG7KG9IX8U","GSON1112150725")</f>
        <v>#NAME?</v>
      </c>
      <c r="O1470" s="3" t="e">
        <f ca="1">[1]!BexGetData("DP_1","003N8EMH8GTFRIVOG7KG9J3KE","GSON1112150725")</f>
        <v>#NAME?</v>
      </c>
      <c r="P1470" s="8" t="e">
        <f ca="1">[1]!BexGetData("DP_1","003N8EMH8GTFRIVOG7KG9J9VY","GSON1112150725")</f>
        <v>#NAME?</v>
      </c>
      <c r="Q1470" s="4" t="e">
        <f ca="1">[1]!BexGetData("DP_1","00O2TNJGODT0G5Z4TTKYMM5MT","GSON1112150725")</f>
        <v>#NAME?</v>
      </c>
      <c r="R1470" s="4" t="e">
        <f ca="1">[1]!BexGetData("DP_1","00O2TNJGODT0G5Z4TTKYMMBYD","GSON1112150725")</f>
        <v>#NAME?</v>
      </c>
      <c r="S1470" s="4" t="e">
        <f ca="1">[1]!BexGetData("DP_1","00O2TNJGODT0G5Z4TTKYMMI9X","GSON1112150725")</f>
        <v>#NAME?</v>
      </c>
      <c r="T1470" s="4" t="e">
        <f ca="1">[1]!BexGetData("DP_1","00O2TNJGODT0G5Z4TTKYMMOLH","GSON1112150725")</f>
        <v>#NAME?</v>
      </c>
      <c r="U1470" s="4" t="e">
        <f ca="1">[1]!BexGetData("DP_1","00O2TNJGODT0G5Z4TTKYMMUX1","GSON1112150725")</f>
        <v>#NAME?</v>
      </c>
      <c r="V1470" s="4" t="e">
        <f ca="1">[1]!BexGetData("DP_1","00O2TNJGODT0G5Z4TTKYMN18L","GSON1112150725")</f>
        <v>#NAME?</v>
      </c>
      <c r="W1470" s="4" t="e">
        <f ca="1">[1]!BexGetData("DP_1","00O2TNJGODT0G5Z4TTKYMN7K5","GSON1112150725")</f>
        <v>#NAME?</v>
      </c>
    </row>
    <row r="1471" spans="1:23" x14ac:dyDescent="0.2">
      <c r="A1471" s="16" t="s">
        <v>3912</v>
      </c>
      <c r="B1471" s="7" t="s">
        <v>3913</v>
      </c>
      <c r="C1471" s="3" t="e">
        <f ca="1">[1]!BexGetData("DP_1","003N8EMH8GTFRCSWKMPXRR8GU","GSON1112150730")</f>
        <v>#NAME?</v>
      </c>
      <c r="D1471" s="3" t="e">
        <f ca="1">[1]!BexGetData("DP_1","003N8EMH8GTFRCSWKMPXRRESE","GSON1112150730")</f>
        <v>#NAME?</v>
      </c>
      <c r="E1471" s="3" t="e">
        <f ca="1">[1]!BexGetData("DP_1","003N8EMH8GTFRCSWKMPXRRL3Y","GSON1112150730")</f>
        <v>#NAME?</v>
      </c>
      <c r="F1471" s="3" t="e">
        <f ca="1">[1]!BexGetData("DP_1","003N8EMH8GTFRCSWKMPXRRRFI","GSON1112150730")</f>
        <v>#NAME?</v>
      </c>
      <c r="G1471" s="3" t="e">
        <f ca="1">[1]!BexGetData("DP_1","003N8EMH8GTFRCSWKMPXRRXR2","GSON1112150730")</f>
        <v>#NAME?</v>
      </c>
      <c r="H1471" s="8" t="e">
        <f ca="1">[1]!BexGetData("DP_1","003N8EMH8GTFRCSWKMPXRS42M","GSON1112150730")</f>
        <v>#NAME?</v>
      </c>
      <c r="I1471" s="3" t="e">
        <f ca="1">[1]!BexGetData("DP_1","003N8EMH8GTFRCSWKMPXRSAE6","GSON1112150730")</f>
        <v>#NAME?</v>
      </c>
      <c r="J1471" s="4" t="e">
        <f ca="1">[1]!BexGetData("DP_1","003N8EMH8GTFRCSWKMPXRSGPQ","GSON1112150730")</f>
        <v>#NAME?</v>
      </c>
      <c r="K1471" s="3" t="e">
        <f ca="1">[1]!BexGetData("DP_1","003N8EMH8GTFRIVNUPY288VJH","GSON1112150730")</f>
        <v>#NAME?</v>
      </c>
      <c r="L1471" s="3" t="e">
        <f ca="1">[1]!BexGetData("DP_1","003N8EMH8GTFRIVNUPY2891V1","GSON1112150730")</f>
        <v>#NAME?</v>
      </c>
      <c r="M1471" s="8" t="e">
        <f ca="1">[1]!BexGetData("DP_1","003N8EMH8GTFRIVOG7KG9IQXA","GSON1112150730")</f>
        <v>#NAME?</v>
      </c>
      <c r="N1471" s="3" t="e">
        <f ca="1">[1]!BexGetData("DP_1","003N8EMH8GTFRIVOG7KG9IX8U","GSON1112150730")</f>
        <v>#NAME?</v>
      </c>
      <c r="O1471" s="8" t="e">
        <f ca="1">[1]!BexGetData("DP_1","003N8EMH8GTFRIVOG7KG9J3KE","GSON1112150730")</f>
        <v>#NAME?</v>
      </c>
      <c r="P1471" s="3" t="e">
        <f ca="1">[1]!BexGetData("DP_1","003N8EMH8GTFRIVOG7KG9J9VY","GSON1112150730")</f>
        <v>#NAME?</v>
      </c>
      <c r="Q1471" s="4" t="e">
        <f ca="1">[1]!BexGetData("DP_1","00O2TNJGODT0G5Z4TTKYMM5MT","GSON1112150730")</f>
        <v>#NAME?</v>
      </c>
      <c r="R1471" s="3" t="e">
        <f ca="1">[1]!BexGetData("DP_1","00O2TNJGODT0G5Z4TTKYMMBYD","GSON1112150730")</f>
        <v>#NAME?</v>
      </c>
      <c r="S1471" s="3" t="e">
        <f ca="1">[1]!BexGetData("DP_1","00O2TNJGODT0G5Z4TTKYMMI9X","GSON1112150730")</f>
        <v>#NAME?</v>
      </c>
      <c r="T1471" s="8" t="e">
        <f ca="1">[1]!BexGetData("DP_1","00O2TNJGODT0G5Z4TTKYMMOLH","GSON1112150730")</f>
        <v>#NAME?</v>
      </c>
      <c r="U1471" s="3" t="e">
        <f ca="1">[1]!BexGetData("DP_1","00O2TNJGODT0G5Z4TTKYMMUX1","GSON1112150730")</f>
        <v>#NAME?</v>
      </c>
      <c r="V1471" s="8" t="e">
        <f ca="1">[1]!BexGetData("DP_1","00O2TNJGODT0G5Z4TTKYMN18L","GSON1112150730")</f>
        <v>#NAME?</v>
      </c>
      <c r="W1471" s="3" t="e">
        <f ca="1">[1]!BexGetData("DP_1","00O2TNJGODT0G5Z4TTKYMN7K5","GSON1112150730")</f>
        <v>#NAME?</v>
      </c>
    </row>
    <row r="1472" spans="1:23" x14ac:dyDescent="0.2">
      <c r="A1472" s="16" t="s">
        <v>3914</v>
      </c>
      <c r="B1472" s="7" t="s">
        <v>3915</v>
      </c>
      <c r="C1472" s="3" t="e">
        <f ca="1">[1]!BexGetData("DP_1","003N8EMH8GTFRCSWKMPXRR8GU","GSON1112150731")</f>
        <v>#NAME?</v>
      </c>
      <c r="D1472" s="3" t="e">
        <f ca="1">[1]!BexGetData("DP_1","003N8EMH8GTFRCSWKMPXRRESE","GSON1112150731")</f>
        <v>#NAME?</v>
      </c>
      <c r="E1472" s="3" t="e">
        <f ca="1">[1]!BexGetData("DP_1","003N8EMH8GTFRCSWKMPXRRL3Y","GSON1112150731")</f>
        <v>#NAME?</v>
      </c>
      <c r="F1472" s="4" t="e">
        <f ca="1">[1]!BexGetData("DP_1","003N8EMH8GTFRCSWKMPXRRRFI","GSON1112150731")</f>
        <v>#NAME?</v>
      </c>
      <c r="G1472" s="4" t="e">
        <f ca="1">[1]!BexGetData("DP_1","003N8EMH8GTFRCSWKMPXRRXR2","GSON1112150731")</f>
        <v>#NAME?</v>
      </c>
      <c r="H1472" s="4" t="e">
        <f ca="1">[1]!BexGetData("DP_1","003N8EMH8GTFRCSWKMPXRS42M","GSON1112150731")</f>
        <v>#NAME?</v>
      </c>
      <c r="I1472" s="4" t="e">
        <f ca="1">[1]!BexGetData("DP_1","003N8EMH8GTFRCSWKMPXRSAE6","GSON1112150731")</f>
        <v>#NAME?</v>
      </c>
      <c r="J1472" s="4" t="e">
        <f ca="1">[1]!BexGetData("DP_1","003N8EMH8GTFRCSWKMPXRSGPQ","GSON1112150731")</f>
        <v>#NAME?</v>
      </c>
      <c r="K1472" s="3" t="e">
        <f ca="1">[1]!BexGetData("DP_1","003N8EMH8GTFRIVNUPY288VJH","GSON1112150731")</f>
        <v>#NAME?</v>
      </c>
      <c r="L1472" s="3" t="e">
        <f ca="1">[1]!BexGetData("DP_1","003N8EMH8GTFRIVNUPY2891V1","GSON1112150731")</f>
        <v>#NAME?</v>
      </c>
      <c r="M1472" s="3" t="e">
        <f ca="1">[1]!BexGetData("DP_1","003N8EMH8GTFRIVOG7KG9IQXA","GSON1112150731")</f>
        <v>#NAME?</v>
      </c>
      <c r="N1472" s="8" t="e">
        <f ca="1">[1]!BexGetData("DP_1","003N8EMH8GTFRIVOG7KG9IX8U","GSON1112150731")</f>
        <v>#NAME?</v>
      </c>
      <c r="O1472" s="3" t="e">
        <f ca="1">[1]!BexGetData("DP_1","003N8EMH8GTFRIVOG7KG9J3KE","GSON1112150731")</f>
        <v>#NAME?</v>
      </c>
      <c r="P1472" s="8" t="e">
        <f ca="1">[1]!BexGetData("DP_1","003N8EMH8GTFRIVOG7KG9J9VY","GSON1112150731")</f>
        <v>#NAME?</v>
      </c>
      <c r="Q1472" s="4" t="e">
        <f ca="1">[1]!BexGetData("DP_1","00O2TNJGODT0G5Z4TTKYMM5MT","GSON1112150731")</f>
        <v>#NAME?</v>
      </c>
      <c r="R1472" s="4" t="e">
        <f ca="1">[1]!BexGetData("DP_1","00O2TNJGODT0G5Z4TTKYMMBYD","GSON1112150731")</f>
        <v>#NAME?</v>
      </c>
      <c r="S1472" s="4" t="e">
        <f ca="1">[1]!BexGetData("DP_1","00O2TNJGODT0G5Z4TTKYMMI9X","GSON1112150731")</f>
        <v>#NAME?</v>
      </c>
      <c r="T1472" s="4" t="e">
        <f ca="1">[1]!BexGetData("DP_1","00O2TNJGODT0G5Z4TTKYMMOLH","GSON1112150731")</f>
        <v>#NAME?</v>
      </c>
      <c r="U1472" s="4" t="e">
        <f ca="1">[1]!BexGetData("DP_1","00O2TNJGODT0G5Z4TTKYMMUX1","GSON1112150731")</f>
        <v>#NAME?</v>
      </c>
      <c r="V1472" s="4" t="e">
        <f ca="1">[1]!BexGetData("DP_1","00O2TNJGODT0G5Z4TTKYMN18L","GSON1112150731")</f>
        <v>#NAME?</v>
      </c>
      <c r="W1472" s="4" t="e">
        <f ca="1">[1]!BexGetData("DP_1","00O2TNJGODT0G5Z4TTKYMN7K5","GSON1112150731")</f>
        <v>#NAME?</v>
      </c>
    </row>
    <row r="1473" spans="1:23" x14ac:dyDescent="0.2">
      <c r="A1473" s="16" t="s">
        <v>3916</v>
      </c>
      <c r="B1473" s="7" t="s">
        <v>3917</v>
      </c>
      <c r="C1473" s="3" t="e">
        <f ca="1">[1]!BexGetData("DP_1","003N8EMH8GTFRCSWKMPXRR8GU","GSON1112150734")</f>
        <v>#NAME?</v>
      </c>
      <c r="D1473" s="3" t="e">
        <f ca="1">[1]!BexGetData("DP_1","003N8EMH8GTFRCSWKMPXRRESE","GSON1112150734")</f>
        <v>#NAME?</v>
      </c>
      <c r="E1473" s="3" t="e">
        <f ca="1">[1]!BexGetData("DP_1","003N8EMH8GTFRCSWKMPXRRL3Y","GSON1112150734")</f>
        <v>#NAME?</v>
      </c>
      <c r="F1473" s="4" t="e">
        <f ca="1">[1]!BexGetData("DP_1","003N8EMH8GTFRCSWKMPXRRRFI","GSON1112150734")</f>
        <v>#NAME?</v>
      </c>
      <c r="G1473" s="4" t="e">
        <f ca="1">[1]!BexGetData("DP_1","003N8EMH8GTFRCSWKMPXRRXR2","GSON1112150734")</f>
        <v>#NAME?</v>
      </c>
      <c r="H1473" s="4" t="e">
        <f ca="1">[1]!BexGetData("DP_1","003N8EMH8GTFRCSWKMPXRS42M","GSON1112150734")</f>
        <v>#NAME?</v>
      </c>
      <c r="I1473" s="4" t="e">
        <f ca="1">[1]!BexGetData("DP_1","003N8EMH8GTFRCSWKMPXRSAE6","GSON1112150734")</f>
        <v>#NAME?</v>
      </c>
      <c r="J1473" s="4" t="e">
        <f ca="1">[1]!BexGetData("DP_1","003N8EMH8GTFRCSWKMPXRSGPQ","GSON1112150734")</f>
        <v>#NAME?</v>
      </c>
      <c r="K1473" s="3" t="e">
        <f ca="1">[1]!BexGetData("DP_1","003N8EMH8GTFRIVNUPY288VJH","GSON1112150734")</f>
        <v>#NAME?</v>
      </c>
      <c r="L1473" s="3" t="e">
        <f ca="1">[1]!BexGetData("DP_1","003N8EMH8GTFRIVNUPY2891V1","GSON1112150734")</f>
        <v>#NAME?</v>
      </c>
      <c r="M1473" s="3" t="e">
        <f ca="1">[1]!BexGetData("DP_1","003N8EMH8GTFRIVOG7KG9IQXA","GSON1112150734")</f>
        <v>#NAME?</v>
      </c>
      <c r="N1473" s="8" t="e">
        <f ca="1">[1]!BexGetData("DP_1","003N8EMH8GTFRIVOG7KG9IX8U","GSON1112150734")</f>
        <v>#NAME?</v>
      </c>
      <c r="O1473" s="3" t="e">
        <f ca="1">[1]!BexGetData("DP_1","003N8EMH8GTFRIVOG7KG9J3KE","GSON1112150734")</f>
        <v>#NAME?</v>
      </c>
      <c r="P1473" s="8" t="e">
        <f ca="1">[1]!BexGetData("DP_1","003N8EMH8GTFRIVOG7KG9J9VY","GSON1112150734")</f>
        <v>#NAME?</v>
      </c>
      <c r="Q1473" s="4" t="e">
        <f ca="1">[1]!BexGetData("DP_1","00O2TNJGODT0G5Z4TTKYMM5MT","GSON1112150734")</f>
        <v>#NAME?</v>
      </c>
      <c r="R1473" s="4" t="e">
        <f ca="1">[1]!BexGetData("DP_1","00O2TNJGODT0G5Z4TTKYMMBYD","GSON1112150734")</f>
        <v>#NAME?</v>
      </c>
      <c r="S1473" s="4" t="e">
        <f ca="1">[1]!BexGetData("DP_1","00O2TNJGODT0G5Z4TTKYMMI9X","GSON1112150734")</f>
        <v>#NAME?</v>
      </c>
      <c r="T1473" s="4" t="e">
        <f ca="1">[1]!BexGetData("DP_1","00O2TNJGODT0G5Z4TTKYMMOLH","GSON1112150734")</f>
        <v>#NAME?</v>
      </c>
      <c r="U1473" s="4" t="e">
        <f ca="1">[1]!BexGetData("DP_1","00O2TNJGODT0G5Z4TTKYMMUX1","GSON1112150734")</f>
        <v>#NAME?</v>
      </c>
      <c r="V1473" s="4" t="e">
        <f ca="1">[1]!BexGetData("DP_1","00O2TNJGODT0G5Z4TTKYMN18L","GSON1112150734")</f>
        <v>#NAME?</v>
      </c>
      <c r="W1473" s="4" t="e">
        <f ca="1">[1]!BexGetData("DP_1","00O2TNJGODT0G5Z4TTKYMN7K5","GSON1112150734")</f>
        <v>#NAME?</v>
      </c>
    </row>
    <row r="1474" spans="1:23" x14ac:dyDescent="0.2">
      <c r="A1474" s="16" t="s">
        <v>322</v>
      </c>
      <c r="B1474" s="7" t="s">
        <v>323</v>
      </c>
      <c r="C1474" s="3" t="e">
        <f ca="1">[1]!BexGetData("DP_1","003N8EMH8GTFRCSWKMPXRR8GU","GSON1112150740")</f>
        <v>#NAME?</v>
      </c>
      <c r="D1474" s="3" t="e">
        <f ca="1">[1]!BexGetData("DP_1","003N8EMH8GTFRCSWKMPXRRESE","GSON1112150740")</f>
        <v>#NAME?</v>
      </c>
      <c r="E1474" s="3" t="e">
        <f ca="1">[1]!BexGetData("DP_1","003N8EMH8GTFRCSWKMPXRRL3Y","GSON1112150740")</f>
        <v>#NAME?</v>
      </c>
      <c r="F1474" s="3" t="e">
        <f ca="1">[1]!BexGetData("DP_1","003N8EMH8GTFRCSWKMPXRRRFI","GSON1112150740")</f>
        <v>#NAME?</v>
      </c>
      <c r="G1474" s="3" t="e">
        <f ca="1">[1]!BexGetData("DP_1","003N8EMH8GTFRCSWKMPXRRXR2","GSON1112150740")</f>
        <v>#NAME?</v>
      </c>
      <c r="H1474" s="8" t="e">
        <f ca="1">[1]!BexGetData("DP_1","003N8EMH8GTFRCSWKMPXRS42M","GSON1112150740")</f>
        <v>#NAME?</v>
      </c>
      <c r="I1474" s="3" t="e">
        <f ca="1">[1]!BexGetData("DP_1","003N8EMH8GTFRCSWKMPXRSAE6","GSON1112150740")</f>
        <v>#NAME?</v>
      </c>
      <c r="J1474" s="4" t="e">
        <f ca="1">[1]!BexGetData("DP_1","003N8EMH8GTFRCSWKMPXRSGPQ","GSON1112150740")</f>
        <v>#NAME?</v>
      </c>
      <c r="K1474" s="3" t="e">
        <f ca="1">[1]!BexGetData("DP_1","003N8EMH8GTFRIVNUPY288VJH","GSON1112150740")</f>
        <v>#NAME?</v>
      </c>
      <c r="L1474" s="3" t="e">
        <f ca="1">[1]!BexGetData("DP_1","003N8EMH8GTFRIVNUPY2891V1","GSON1112150740")</f>
        <v>#NAME?</v>
      </c>
      <c r="M1474" s="8" t="e">
        <f ca="1">[1]!BexGetData("DP_1","003N8EMH8GTFRIVOG7KG9IQXA","GSON1112150740")</f>
        <v>#NAME?</v>
      </c>
      <c r="N1474" s="3" t="e">
        <f ca="1">[1]!BexGetData("DP_1","003N8EMH8GTFRIVOG7KG9IX8U","GSON1112150740")</f>
        <v>#NAME?</v>
      </c>
      <c r="O1474" s="8" t="e">
        <f ca="1">[1]!BexGetData("DP_1","003N8EMH8GTFRIVOG7KG9J3KE","GSON1112150740")</f>
        <v>#NAME?</v>
      </c>
      <c r="P1474" s="3" t="e">
        <f ca="1">[1]!BexGetData("DP_1","003N8EMH8GTFRIVOG7KG9J9VY","GSON1112150740")</f>
        <v>#NAME?</v>
      </c>
      <c r="Q1474" s="4" t="e">
        <f ca="1">[1]!BexGetData("DP_1","00O2TNJGODT0G5Z4TTKYMM5MT","GSON1112150740")</f>
        <v>#NAME?</v>
      </c>
      <c r="R1474" s="3" t="e">
        <f ca="1">[1]!BexGetData("DP_1","00O2TNJGODT0G5Z4TTKYMMBYD","GSON1112150740")</f>
        <v>#NAME?</v>
      </c>
      <c r="S1474" s="3" t="e">
        <f ca="1">[1]!BexGetData("DP_1","00O2TNJGODT0G5Z4TTKYMMI9X","GSON1112150740")</f>
        <v>#NAME?</v>
      </c>
      <c r="T1474" s="8" t="e">
        <f ca="1">[1]!BexGetData("DP_1","00O2TNJGODT0G5Z4TTKYMMOLH","GSON1112150740")</f>
        <v>#NAME?</v>
      </c>
      <c r="U1474" s="3" t="e">
        <f ca="1">[1]!BexGetData("DP_1","00O2TNJGODT0G5Z4TTKYMMUX1","GSON1112150740")</f>
        <v>#NAME?</v>
      </c>
      <c r="V1474" s="8" t="e">
        <f ca="1">[1]!BexGetData("DP_1","00O2TNJGODT0G5Z4TTKYMN18L","GSON1112150740")</f>
        <v>#NAME?</v>
      </c>
      <c r="W1474" s="3" t="e">
        <f ca="1">[1]!BexGetData("DP_1","00O2TNJGODT0G5Z4TTKYMN7K5","GSON1112150740")</f>
        <v>#NAME?</v>
      </c>
    </row>
    <row r="1475" spans="1:23" x14ac:dyDescent="0.2">
      <c r="A1475" s="16" t="s">
        <v>324</v>
      </c>
      <c r="B1475" s="7" t="s">
        <v>325</v>
      </c>
      <c r="C1475" s="3" t="e">
        <f ca="1">[1]!BexGetData("DP_1","003N8EMH8GTFRCSWKMPXRR8GU","GSON1112150741")</f>
        <v>#NAME?</v>
      </c>
      <c r="D1475" s="3" t="e">
        <f ca="1">[1]!BexGetData("DP_1","003N8EMH8GTFRCSWKMPXRRESE","GSON1112150741")</f>
        <v>#NAME?</v>
      </c>
      <c r="E1475" s="3" t="e">
        <f ca="1">[1]!BexGetData("DP_1","003N8EMH8GTFRCSWKMPXRRL3Y","GSON1112150741")</f>
        <v>#NAME?</v>
      </c>
      <c r="F1475" s="3" t="e">
        <f ca="1">[1]!BexGetData("DP_1","003N8EMH8GTFRCSWKMPXRRRFI","GSON1112150741")</f>
        <v>#NAME?</v>
      </c>
      <c r="G1475" s="3" t="e">
        <f ca="1">[1]!BexGetData("DP_1","003N8EMH8GTFRCSWKMPXRRXR2","GSON1112150741")</f>
        <v>#NAME?</v>
      </c>
      <c r="H1475" s="8" t="e">
        <f ca="1">[1]!BexGetData("DP_1","003N8EMH8GTFRCSWKMPXRS42M","GSON1112150741")</f>
        <v>#NAME?</v>
      </c>
      <c r="I1475" s="3" t="e">
        <f ca="1">[1]!BexGetData("DP_1","003N8EMH8GTFRCSWKMPXRSAE6","GSON1112150741")</f>
        <v>#NAME?</v>
      </c>
      <c r="J1475" s="4" t="e">
        <f ca="1">[1]!BexGetData("DP_1","003N8EMH8GTFRCSWKMPXRSGPQ","GSON1112150741")</f>
        <v>#NAME?</v>
      </c>
      <c r="K1475" s="3" t="e">
        <f ca="1">[1]!BexGetData("DP_1","003N8EMH8GTFRIVNUPY288VJH","GSON1112150741")</f>
        <v>#NAME?</v>
      </c>
      <c r="L1475" s="3" t="e">
        <f ca="1">[1]!BexGetData("DP_1","003N8EMH8GTFRIVNUPY2891V1","GSON1112150741")</f>
        <v>#NAME?</v>
      </c>
      <c r="M1475" s="3" t="e">
        <f ca="1">[1]!BexGetData("DP_1","003N8EMH8GTFRIVOG7KG9IQXA","GSON1112150741")</f>
        <v>#NAME?</v>
      </c>
      <c r="N1475" s="8" t="e">
        <f ca="1">[1]!BexGetData("DP_1","003N8EMH8GTFRIVOG7KG9IX8U","GSON1112150741")</f>
        <v>#NAME?</v>
      </c>
      <c r="O1475" s="3" t="e">
        <f ca="1">[1]!BexGetData("DP_1","003N8EMH8GTFRIVOG7KG9J3KE","GSON1112150741")</f>
        <v>#NAME?</v>
      </c>
      <c r="P1475" s="8" t="e">
        <f ca="1">[1]!BexGetData("DP_1","003N8EMH8GTFRIVOG7KG9J9VY","GSON1112150741")</f>
        <v>#NAME?</v>
      </c>
      <c r="Q1475" s="4" t="e">
        <f ca="1">[1]!BexGetData("DP_1","00O2TNJGODT0G5Z4TTKYMM5MT","GSON1112150741")</f>
        <v>#NAME?</v>
      </c>
      <c r="R1475" s="3" t="e">
        <f ca="1">[1]!BexGetData("DP_1","00O2TNJGODT0G5Z4TTKYMMBYD","GSON1112150741")</f>
        <v>#NAME?</v>
      </c>
      <c r="S1475" s="3" t="e">
        <f ca="1">[1]!BexGetData("DP_1","00O2TNJGODT0G5Z4TTKYMMI9X","GSON1112150741")</f>
        <v>#NAME?</v>
      </c>
      <c r="T1475" s="8" t="e">
        <f ca="1">[1]!BexGetData("DP_1","00O2TNJGODT0G5Z4TTKYMMOLH","GSON1112150741")</f>
        <v>#NAME?</v>
      </c>
      <c r="U1475" s="3" t="e">
        <f ca="1">[1]!BexGetData("DP_1","00O2TNJGODT0G5Z4TTKYMMUX1","GSON1112150741")</f>
        <v>#NAME?</v>
      </c>
      <c r="V1475" s="8" t="e">
        <f ca="1">[1]!BexGetData("DP_1","00O2TNJGODT0G5Z4TTKYMN18L","GSON1112150741")</f>
        <v>#NAME?</v>
      </c>
      <c r="W1475" s="3" t="e">
        <f ca="1">[1]!BexGetData("DP_1","00O2TNJGODT0G5Z4TTKYMN7K5","GSON1112150741")</f>
        <v>#NAME?</v>
      </c>
    </row>
    <row r="1476" spans="1:23" x14ac:dyDescent="0.2">
      <c r="A1476" s="16" t="s">
        <v>3918</v>
      </c>
      <c r="B1476" s="7" t="s">
        <v>3919</v>
      </c>
      <c r="C1476" s="3" t="e">
        <f ca="1">[1]!BexGetData("DP_1","003N8EMH8GTFRCSWKMPXRR8GU","GSON1112150743")</f>
        <v>#NAME?</v>
      </c>
      <c r="D1476" s="3" t="e">
        <f ca="1">[1]!BexGetData("DP_1","003N8EMH8GTFRCSWKMPXRRESE","GSON1112150743")</f>
        <v>#NAME?</v>
      </c>
      <c r="E1476" s="8" t="e">
        <f ca="1">[1]!BexGetData("DP_1","003N8EMH8GTFRCSWKMPXRRL3Y","GSON1112150743")</f>
        <v>#NAME?</v>
      </c>
      <c r="F1476" s="4" t="e">
        <f ca="1">[1]!BexGetData("DP_1","003N8EMH8GTFRCSWKMPXRRRFI","GSON1112150743")</f>
        <v>#NAME?</v>
      </c>
      <c r="G1476" s="4" t="e">
        <f ca="1">[1]!BexGetData("DP_1","003N8EMH8GTFRCSWKMPXRRXR2","GSON1112150743")</f>
        <v>#NAME?</v>
      </c>
      <c r="H1476" s="4" t="e">
        <f ca="1">[1]!BexGetData("DP_1","003N8EMH8GTFRCSWKMPXRS42M","GSON1112150743")</f>
        <v>#NAME?</v>
      </c>
      <c r="I1476" s="4" t="e">
        <f ca="1">[1]!BexGetData("DP_1","003N8EMH8GTFRCSWKMPXRSAE6","GSON1112150743")</f>
        <v>#NAME?</v>
      </c>
      <c r="J1476" s="4" t="e">
        <f ca="1">[1]!BexGetData("DP_1","003N8EMH8GTFRCSWKMPXRSGPQ","GSON1112150743")</f>
        <v>#NAME?</v>
      </c>
      <c r="K1476" s="8" t="e">
        <f ca="1">[1]!BexGetData("DP_1","003N8EMH8GTFRIVNUPY288VJH","GSON1112150743")</f>
        <v>#NAME?</v>
      </c>
      <c r="L1476" s="8" t="e">
        <f ca="1">[1]!BexGetData("DP_1","003N8EMH8GTFRIVNUPY2891V1","GSON1112150743")</f>
        <v>#NAME?</v>
      </c>
      <c r="M1476" s="8" t="e">
        <f ca="1">[1]!BexGetData("DP_1","003N8EMH8GTFRIVOG7KG9IQXA","GSON1112150743")</f>
        <v>#NAME?</v>
      </c>
      <c r="N1476" s="8" t="e">
        <f ca="1">[1]!BexGetData("DP_1","003N8EMH8GTFRIVOG7KG9IX8U","GSON1112150743")</f>
        <v>#NAME?</v>
      </c>
      <c r="O1476" s="8" t="e">
        <f ca="1">[1]!BexGetData("DP_1","003N8EMH8GTFRIVOG7KG9J3KE","GSON1112150743")</f>
        <v>#NAME?</v>
      </c>
      <c r="P1476" s="8" t="e">
        <f ca="1">[1]!BexGetData("DP_1","003N8EMH8GTFRIVOG7KG9J9VY","GSON1112150743")</f>
        <v>#NAME?</v>
      </c>
      <c r="Q1476" s="4" t="e">
        <f ca="1">[1]!BexGetData("DP_1","00O2TNJGODT0G5Z4TTKYMM5MT","GSON1112150743")</f>
        <v>#NAME?</v>
      </c>
      <c r="R1476" s="4" t="e">
        <f ca="1">[1]!BexGetData("DP_1","00O2TNJGODT0G5Z4TTKYMMBYD","GSON1112150743")</f>
        <v>#NAME?</v>
      </c>
      <c r="S1476" s="4" t="e">
        <f ca="1">[1]!BexGetData("DP_1","00O2TNJGODT0G5Z4TTKYMMI9X","GSON1112150743")</f>
        <v>#NAME?</v>
      </c>
      <c r="T1476" s="4" t="e">
        <f ca="1">[1]!BexGetData("DP_1","00O2TNJGODT0G5Z4TTKYMMOLH","GSON1112150743")</f>
        <v>#NAME?</v>
      </c>
      <c r="U1476" s="4" t="e">
        <f ca="1">[1]!BexGetData("DP_1","00O2TNJGODT0G5Z4TTKYMMUX1","GSON1112150743")</f>
        <v>#NAME?</v>
      </c>
      <c r="V1476" s="4" t="e">
        <f ca="1">[1]!BexGetData("DP_1","00O2TNJGODT0G5Z4TTKYMN18L","GSON1112150743")</f>
        <v>#NAME?</v>
      </c>
      <c r="W1476" s="4" t="e">
        <f ca="1">[1]!BexGetData("DP_1","00O2TNJGODT0G5Z4TTKYMN7K5","GSON1112150743")</f>
        <v>#NAME?</v>
      </c>
    </row>
    <row r="1477" spans="1:23" x14ac:dyDescent="0.2">
      <c r="A1477" s="16" t="s">
        <v>3920</v>
      </c>
      <c r="B1477" s="7" t="s">
        <v>326</v>
      </c>
      <c r="C1477" s="3" t="e">
        <f ca="1">[1]!BexGetData("DP_1","003N8EMH8GTFRCSWKMPXRR8GU","GSON1112150744")</f>
        <v>#NAME?</v>
      </c>
      <c r="D1477" s="3" t="e">
        <f ca="1">[1]!BexGetData("DP_1","003N8EMH8GTFRCSWKMPXRRESE","GSON1112150744")</f>
        <v>#NAME?</v>
      </c>
      <c r="E1477" s="3" t="e">
        <f ca="1">[1]!BexGetData("DP_1","003N8EMH8GTFRCSWKMPXRRL3Y","GSON1112150744")</f>
        <v>#NAME?</v>
      </c>
      <c r="F1477" s="4" t="e">
        <f ca="1">[1]!BexGetData("DP_1","003N8EMH8GTFRCSWKMPXRRRFI","GSON1112150744")</f>
        <v>#NAME?</v>
      </c>
      <c r="G1477" s="4" t="e">
        <f ca="1">[1]!BexGetData("DP_1","003N8EMH8GTFRCSWKMPXRRXR2","GSON1112150744")</f>
        <v>#NAME?</v>
      </c>
      <c r="H1477" s="4" t="e">
        <f ca="1">[1]!BexGetData("DP_1","003N8EMH8GTFRCSWKMPXRS42M","GSON1112150744")</f>
        <v>#NAME?</v>
      </c>
      <c r="I1477" s="4" t="e">
        <f ca="1">[1]!BexGetData("DP_1","003N8EMH8GTFRCSWKMPXRSAE6","GSON1112150744")</f>
        <v>#NAME?</v>
      </c>
      <c r="J1477" s="4" t="e">
        <f ca="1">[1]!BexGetData("DP_1","003N8EMH8GTFRCSWKMPXRSGPQ","GSON1112150744")</f>
        <v>#NAME?</v>
      </c>
      <c r="K1477" s="3" t="e">
        <f ca="1">[1]!BexGetData("DP_1","003N8EMH8GTFRIVNUPY288VJH","GSON1112150744")</f>
        <v>#NAME?</v>
      </c>
      <c r="L1477" s="3" t="e">
        <f ca="1">[1]!BexGetData("DP_1","003N8EMH8GTFRIVNUPY2891V1","GSON1112150744")</f>
        <v>#NAME?</v>
      </c>
      <c r="M1477" s="8" t="e">
        <f ca="1">[1]!BexGetData("DP_1","003N8EMH8GTFRIVOG7KG9IQXA","GSON1112150744")</f>
        <v>#NAME?</v>
      </c>
      <c r="N1477" s="3" t="e">
        <f ca="1">[1]!BexGetData("DP_1","003N8EMH8GTFRIVOG7KG9IX8U","GSON1112150744")</f>
        <v>#NAME?</v>
      </c>
      <c r="O1477" s="8" t="e">
        <f ca="1">[1]!BexGetData("DP_1","003N8EMH8GTFRIVOG7KG9J3KE","GSON1112150744")</f>
        <v>#NAME?</v>
      </c>
      <c r="P1477" s="3" t="e">
        <f ca="1">[1]!BexGetData("DP_1","003N8EMH8GTFRIVOG7KG9J9VY","GSON1112150744")</f>
        <v>#NAME?</v>
      </c>
      <c r="Q1477" s="4" t="e">
        <f ca="1">[1]!BexGetData("DP_1","00O2TNJGODT0G5Z4TTKYMM5MT","GSON1112150744")</f>
        <v>#NAME?</v>
      </c>
      <c r="R1477" s="4" t="e">
        <f ca="1">[1]!BexGetData("DP_1","00O2TNJGODT0G5Z4TTKYMMBYD","GSON1112150744")</f>
        <v>#NAME?</v>
      </c>
      <c r="S1477" s="4" t="e">
        <f ca="1">[1]!BexGetData("DP_1","00O2TNJGODT0G5Z4TTKYMMI9X","GSON1112150744")</f>
        <v>#NAME?</v>
      </c>
      <c r="T1477" s="4" t="e">
        <f ca="1">[1]!BexGetData("DP_1","00O2TNJGODT0G5Z4TTKYMMOLH","GSON1112150744")</f>
        <v>#NAME?</v>
      </c>
      <c r="U1477" s="4" t="e">
        <f ca="1">[1]!BexGetData("DP_1","00O2TNJGODT0G5Z4TTKYMMUX1","GSON1112150744")</f>
        <v>#NAME?</v>
      </c>
      <c r="V1477" s="4" t="e">
        <f ca="1">[1]!BexGetData("DP_1","00O2TNJGODT0G5Z4TTKYMN18L","GSON1112150744")</f>
        <v>#NAME?</v>
      </c>
      <c r="W1477" s="4" t="e">
        <f ca="1">[1]!BexGetData("DP_1","00O2TNJGODT0G5Z4TTKYMN7K5","GSON1112150744")</f>
        <v>#NAME?</v>
      </c>
    </row>
    <row r="1478" spans="1:23" x14ac:dyDescent="0.2">
      <c r="A1478" s="16" t="s">
        <v>1165</v>
      </c>
      <c r="B1478" s="7" t="s">
        <v>1166</v>
      </c>
      <c r="C1478" s="3" t="e">
        <f ca="1">[1]!BexGetData("DP_1","003N8EMH8GTFRCSWKMPXRR8GU","GSON1112150750")</f>
        <v>#NAME?</v>
      </c>
      <c r="D1478" s="3" t="e">
        <f ca="1">[1]!BexGetData("DP_1","003N8EMH8GTFRCSWKMPXRRESE","GSON1112150750")</f>
        <v>#NAME?</v>
      </c>
      <c r="E1478" s="3" t="e">
        <f ca="1">[1]!BexGetData("DP_1","003N8EMH8GTFRCSWKMPXRRL3Y","GSON1112150750")</f>
        <v>#NAME?</v>
      </c>
      <c r="F1478" s="3" t="e">
        <f ca="1">[1]!BexGetData("DP_1","003N8EMH8GTFRCSWKMPXRRRFI","GSON1112150750")</f>
        <v>#NAME?</v>
      </c>
      <c r="G1478" s="3" t="e">
        <f ca="1">[1]!BexGetData("DP_1","003N8EMH8GTFRCSWKMPXRRXR2","GSON1112150750")</f>
        <v>#NAME?</v>
      </c>
      <c r="H1478" s="8" t="e">
        <f ca="1">[1]!BexGetData("DP_1","003N8EMH8GTFRCSWKMPXRS42M","GSON1112150750")</f>
        <v>#NAME?</v>
      </c>
      <c r="I1478" s="3" t="e">
        <f ca="1">[1]!BexGetData("DP_1","003N8EMH8GTFRCSWKMPXRSAE6","GSON1112150750")</f>
        <v>#NAME?</v>
      </c>
      <c r="J1478" s="4" t="e">
        <f ca="1">[1]!BexGetData("DP_1","003N8EMH8GTFRCSWKMPXRSGPQ","GSON1112150750")</f>
        <v>#NAME?</v>
      </c>
      <c r="K1478" s="3" t="e">
        <f ca="1">[1]!BexGetData("DP_1","003N8EMH8GTFRIVNUPY288VJH","GSON1112150750")</f>
        <v>#NAME?</v>
      </c>
      <c r="L1478" s="3" t="e">
        <f ca="1">[1]!BexGetData("DP_1","003N8EMH8GTFRIVNUPY2891V1","GSON1112150750")</f>
        <v>#NAME?</v>
      </c>
      <c r="M1478" s="8" t="e">
        <f ca="1">[1]!BexGetData("DP_1","003N8EMH8GTFRIVOG7KG9IQXA","GSON1112150750")</f>
        <v>#NAME?</v>
      </c>
      <c r="N1478" s="3" t="e">
        <f ca="1">[1]!BexGetData("DP_1","003N8EMH8GTFRIVOG7KG9IX8U","GSON1112150750")</f>
        <v>#NAME?</v>
      </c>
      <c r="O1478" s="8" t="e">
        <f ca="1">[1]!BexGetData("DP_1","003N8EMH8GTFRIVOG7KG9J3KE","GSON1112150750")</f>
        <v>#NAME?</v>
      </c>
      <c r="P1478" s="3" t="e">
        <f ca="1">[1]!BexGetData("DP_1","003N8EMH8GTFRIVOG7KG9J9VY","GSON1112150750")</f>
        <v>#NAME?</v>
      </c>
      <c r="Q1478" s="4" t="e">
        <f ca="1">[1]!BexGetData("DP_1","00O2TNJGODT0G5Z4TTKYMM5MT","GSON1112150750")</f>
        <v>#NAME?</v>
      </c>
      <c r="R1478" s="3" t="e">
        <f ca="1">[1]!BexGetData("DP_1","00O2TNJGODT0G5Z4TTKYMMBYD","GSON1112150750")</f>
        <v>#NAME?</v>
      </c>
      <c r="S1478" s="3" t="e">
        <f ca="1">[1]!BexGetData("DP_1","00O2TNJGODT0G5Z4TTKYMMI9X","GSON1112150750")</f>
        <v>#NAME?</v>
      </c>
      <c r="T1478" s="8" t="e">
        <f ca="1">[1]!BexGetData("DP_1","00O2TNJGODT0G5Z4TTKYMMOLH","GSON1112150750")</f>
        <v>#NAME?</v>
      </c>
      <c r="U1478" s="3" t="e">
        <f ca="1">[1]!BexGetData("DP_1","00O2TNJGODT0G5Z4TTKYMMUX1","GSON1112150750")</f>
        <v>#NAME?</v>
      </c>
      <c r="V1478" s="8" t="e">
        <f ca="1">[1]!BexGetData("DP_1","00O2TNJGODT0G5Z4TTKYMN18L","GSON1112150750")</f>
        <v>#NAME?</v>
      </c>
      <c r="W1478" s="3" t="e">
        <f ca="1">[1]!BexGetData("DP_1","00O2TNJGODT0G5Z4TTKYMN7K5","GSON1112150750")</f>
        <v>#NAME?</v>
      </c>
    </row>
    <row r="1479" spans="1:23" x14ac:dyDescent="0.2">
      <c r="A1479" s="16" t="s">
        <v>3921</v>
      </c>
      <c r="B1479" s="7" t="s">
        <v>3922</v>
      </c>
      <c r="C1479" s="3" t="e">
        <f ca="1">[1]!BexGetData("DP_1","003N8EMH8GTFRCSWKMPXRR8GU","GSON1112150751")</f>
        <v>#NAME?</v>
      </c>
      <c r="D1479" s="3" t="e">
        <f ca="1">[1]!BexGetData("DP_1","003N8EMH8GTFRCSWKMPXRRESE","GSON1112150751")</f>
        <v>#NAME?</v>
      </c>
      <c r="E1479" s="3" t="e">
        <f ca="1">[1]!BexGetData("DP_1","003N8EMH8GTFRCSWKMPXRRL3Y","GSON1112150751")</f>
        <v>#NAME?</v>
      </c>
      <c r="F1479" s="4" t="e">
        <f ca="1">[1]!BexGetData("DP_1","003N8EMH8GTFRCSWKMPXRRRFI","GSON1112150751")</f>
        <v>#NAME?</v>
      </c>
      <c r="G1479" s="4" t="e">
        <f ca="1">[1]!BexGetData("DP_1","003N8EMH8GTFRCSWKMPXRRXR2","GSON1112150751")</f>
        <v>#NAME?</v>
      </c>
      <c r="H1479" s="4" t="e">
        <f ca="1">[1]!BexGetData("DP_1","003N8EMH8GTFRCSWKMPXRS42M","GSON1112150751")</f>
        <v>#NAME?</v>
      </c>
      <c r="I1479" s="4" t="e">
        <f ca="1">[1]!BexGetData("DP_1","003N8EMH8GTFRCSWKMPXRSAE6","GSON1112150751")</f>
        <v>#NAME?</v>
      </c>
      <c r="J1479" s="4" t="e">
        <f ca="1">[1]!BexGetData("DP_1","003N8EMH8GTFRCSWKMPXRSGPQ","GSON1112150751")</f>
        <v>#NAME?</v>
      </c>
      <c r="K1479" s="3" t="e">
        <f ca="1">[1]!BexGetData("DP_1","003N8EMH8GTFRIVNUPY288VJH","GSON1112150751")</f>
        <v>#NAME?</v>
      </c>
      <c r="L1479" s="3" t="e">
        <f ca="1">[1]!BexGetData("DP_1","003N8EMH8GTFRIVNUPY2891V1","GSON1112150751")</f>
        <v>#NAME?</v>
      </c>
      <c r="M1479" s="3" t="e">
        <f ca="1">[1]!BexGetData("DP_1","003N8EMH8GTFRIVOG7KG9IQXA","GSON1112150751")</f>
        <v>#NAME?</v>
      </c>
      <c r="N1479" s="8" t="e">
        <f ca="1">[1]!BexGetData("DP_1","003N8EMH8GTFRIVOG7KG9IX8U","GSON1112150751")</f>
        <v>#NAME?</v>
      </c>
      <c r="O1479" s="3" t="e">
        <f ca="1">[1]!BexGetData("DP_1","003N8EMH8GTFRIVOG7KG9J3KE","GSON1112150751")</f>
        <v>#NAME?</v>
      </c>
      <c r="P1479" s="8" t="e">
        <f ca="1">[1]!BexGetData("DP_1","003N8EMH8GTFRIVOG7KG9J9VY","GSON1112150751")</f>
        <v>#NAME?</v>
      </c>
      <c r="Q1479" s="4" t="e">
        <f ca="1">[1]!BexGetData("DP_1","00O2TNJGODT0G5Z4TTKYMM5MT","GSON1112150751")</f>
        <v>#NAME?</v>
      </c>
      <c r="R1479" s="4" t="e">
        <f ca="1">[1]!BexGetData("DP_1","00O2TNJGODT0G5Z4TTKYMMBYD","GSON1112150751")</f>
        <v>#NAME?</v>
      </c>
      <c r="S1479" s="4" t="e">
        <f ca="1">[1]!BexGetData("DP_1","00O2TNJGODT0G5Z4TTKYMMI9X","GSON1112150751")</f>
        <v>#NAME?</v>
      </c>
      <c r="T1479" s="4" t="e">
        <f ca="1">[1]!BexGetData("DP_1","00O2TNJGODT0G5Z4TTKYMMOLH","GSON1112150751")</f>
        <v>#NAME?</v>
      </c>
      <c r="U1479" s="4" t="e">
        <f ca="1">[1]!BexGetData("DP_1","00O2TNJGODT0G5Z4TTKYMMUX1","GSON1112150751")</f>
        <v>#NAME?</v>
      </c>
      <c r="V1479" s="4" t="e">
        <f ca="1">[1]!BexGetData("DP_1","00O2TNJGODT0G5Z4TTKYMN18L","GSON1112150751")</f>
        <v>#NAME?</v>
      </c>
      <c r="W1479" s="4" t="e">
        <f ca="1">[1]!BexGetData("DP_1","00O2TNJGODT0G5Z4TTKYMN7K5","GSON1112150751")</f>
        <v>#NAME?</v>
      </c>
    </row>
    <row r="1480" spans="1:23" x14ac:dyDescent="0.2">
      <c r="A1480" s="16" t="s">
        <v>3923</v>
      </c>
      <c r="B1480" s="7" t="s">
        <v>3924</v>
      </c>
      <c r="C1480" s="3" t="e">
        <f ca="1">[1]!BexGetData("DP_1","003N8EMH8GTFRCSWKMPXRR8GU","GSON1112150753")</f>
        <v>#NAME?</v>
      </c>
      <c r="D1480" s="3" t="e">
        <f ca="1">[1]!BexGetData("DP_1","003N8EMH8GTFRCSWKMPXRRESE","GSON1112150753")</f>
        <v>#NAME?</v>
      </c>
      <c r="E1480" s="8" t="e">
        <f ca="1">[1]!BexGetData("DP_1","003N8EMH8GTFRCSWKMPXRRL3Y","GSON1112150753")</f>
        <v>#NAME?</v>
      </c>
      <c r="F1480" s="4" t="e">
        <f ca="1">[1]!BexGetData("DP_1","003N8EMH8GTFRCSWKMPXRRRFI","GSON1112150753")</f>
        <v>#NAME?</v>
      </c>
      <c r="G1480" s="4" t="e">
        <f ca="1">[1]!BexGetData("DP_1","003N8EMH8GTFRCSWKMPXRRXR2","GSON1112150753")</f>
        <v>#NAME?</v>
      </c>
      <c r="H1480" s="4" t="e">
        <f ca="1">[1]!BexGetData("DP_1","003N8EMH8GTFRCSWKMPXRS42M","GSON1112150753")</f>
        <v>#NAME?</v>
      </c>
      <c r="I1480" s="4" t="e">
        <f ca="1">[1]!BexGetData("DP_1","003N8EMH8GTFRCSWKMPXRSAE6","GSON1112150753")</f>
        <v>#NAME?</v>
      </c>
      <c r="J1480" s="4" t="e">
        <f ca="1">[1]!BexGetData("DP_1","003N8EMH8GTFRCSWKMPXRSGPQ","GSON1112150753")</f>
        <v>#NAME?</v>
      </c>
      <c r="K1480" s="8" t="e">
        <f ca="1">[1]!BexGetData("DP_1","003N8EMH8GTFRIVNUPY288VJH","GSON1112150753")</f>
        <v>#NAME?</v>
      </c>
      <c r="L1480" s="8" t="e">
        <f ca="1">[1]!BexGetData("DP_1","003N8EMH8GTFRIVNUPY2891V1","GSON1112150753")</f>
        <v>#NAME?</v>
      </c>
      <c r="M1480" s="8" t="e">
        <f ca="1">[1]!BexGetData("DP_1","003N8EMH8GTFRIVOG7KG9IQXA","GSON1112150753")</f>
        <v>#NAME?</v>
      </c>
      <c r="N1480" s="8" t="e">
        <f ca="1">[1]!BexGetData("DP_1","003N8EMH8GTFRIVOG7KG9IX8U","GSON1112150753")</f>
        <v>#NAME?</v>
      </c>
      <c r="O1480" s="8" t="e">
        <f ca="1">[1]!BexGetData("DP_1","003N8EMH8GTFRIVOG7KG9J3KE","GSON1112150753")</f>
        <v>#NAME?</v>
      </c>
      <c r="P1480" s="8" t="e">
        <f ca="1">[1]!BexGetData("DP_1","003N8EMH8GTFRIVOG7KG9J9VY","GSON1112150753")</f>
        <v>#NAME?</v>
      </c>
      <c r="Q1480" s="4" t="e">
        <f ca="1">[1]!BexGetData("DP_1","00O2TNJGODT0G5Z4TTKYMM5MT","GSON1112150753")</f>
        <v>#NAME?</v>
      </c>
      <c r="R1480" s="4" t="e">
        <f ca="1">[1]!BexGetData("DP_1","00O2TNJGODT0G5Z4TTKYMMBYD","GSON1112150753")</f>
        <v>#NAME?</v>
      </c>
      <c r="S1480" s="4" t="e">
        <f ca="1">[1]!BexGetData("DP_1","00O2TNJGODT0G5Z4TTKYMMI9X","GSON1112150753")</f>
        <v>#NAME?</v>
      </c>
      <c r="T1480" s="4" t="e">
        <f ca="1">[1]!BexGetData("DP_1","00O2TNJGODT0G5Z4TTKYMMOLH","GSON1112150753")</f>
        <v>#NAME?</v>
      </c>
      <c r="U1480" s="4" t="e">
        <f ca="1">[1]!BexGetData("DP_1","00O2TNJGODT0G5Z4TTKYMMUX1","GSON1112150753")</f>
        <v>#NAME?</v>
      </c>
      <c r="V1480" s="4" t="e">
        <f ca="1">[1]!BexGetData("DP_1","00O2TNJGODT0G5Z4TTKYMN18L","GSON1112150753")</f>
        <v>#NAME?</v>
      </c>
      <c r="W1480" s="4" t="e">
        <f ca="1">[1]!BexGetData("DP_1","00O2TNJGODT0G5Z4TTKYMN7K5","GSON1112150753")</f>
        <v>#NAME?</v>
      </c>
    </row>
    <row r="1481" spans="1:23" x14ac:dyDescent="0.2">
      <c r="A1481" s="16" t="s">
        <v>3925</v>
      </c>
      <c r="B1481" s="7" t="s">
        <v>1167</v>
      </c>
      <c r="C1481" s="3" t="e">
        <f ca="1">[1]!BexGetData("DP_1","003N8EMH8GTFRCSWKMPXRR8GU","GSON1112150754")</f>
        <v>#NAME?</v>
      </c>
      <c r="D1481" s="3" t="e">
        <f ca="1">[1]!BexGetData("DP_1","003N8EMH8GTFRCSWKMPXRRESE","GSON1112150754")</f>
        <v>#NAME?</v>
      </c>
      <c r="E1481" s="3" t="e">
        <f ca="1">[1]!BexGetData("DP_1","003N8EMH8GTFRCSWKMPXRRL3Y","GSON1112150754")</f>
        <v>#NAME?</v>
      </c>
      <c r="F1481" s="4" t="e">
        <f ca="1">[1]!BexGetData("DP_1","003N8EMH8GTFRCSWKMPXRRRFI","GSON1112150754")</f>
        <v>#NAME?</v>
      </c>
      <c r="G1481" s="4" t="e">
        <f ca="1">[1]!BexGetData("DP_1","003N8EMH8GTFRCSWKMPXRRXR2","GSON1112150754")</f>
        <v>#NAME?</v>
      </c>
      <c r="H1481" s="4" t="e">
        <f ca="1">[1]!BexGetData("DP_1","003N8EMH8GTFRCSWKMPXRS42M","GSON1112150754")</f>
        <v>#NAME?</v>
      </c>
      <c r="I1481" s="4" t="e">
        <f ca="1">[1]!BexGetData("DP_1","003N8EMH8GTFRCSWKMPXRSAE6","GSON1112150754")</f>
        <v>#NAME?</v>
      </c>
      <c r="J1481" s="4" t="e">
        <f ca="1">[1]!BexGetData("DP_1","003N8EMH8GTFRCSWKMPXRSGPQ","GSON1112150754")</f>
        <v>#NAME?</v>
      </c>
      <c r="K1481" s="3" t="e">
        <f ca="1">[1]!BexGetData("DP_1","003N8EMH8GTFRIVNUPY288VJH","GSON1112150754")</f>
        <v>#NAME?</v>
      </c>
      <c r="L1481" s="3" t="e">
        <f ca="1">[1]!BexGetData("DP_1","003N8EMH8GTFRIVNUPY2891V1","GSON1112150754")</f>
        <v>#NAME?</v>
      </c>
      <c r="M1481" s="3" t="e">
        <f ca="1">[1]!BexGetData("DP_1","003N8EMH8GTFRIVOG7KG9IQXA","GSON1112150754")</f>
        <v>#NAME?</v>
      </c>
      <c r="N1481" s="8" t="e">
        <f ca="1">[1]!BexGetData("DP_1","003N8EMH8GTFRIVOG7KG9IX8U","GSON1112150754")</f>
        <v>#NAME?</v>
      </c>
      <c r="O1481" s="3" t="e">
        <f ca="1">[1]!BexGetData("DP_1","003N8EMH8GTFRIVOG7KG9J3KE","GSON1112150754")</f>
        <v>#NAME?</v>
      </c>
      <c r="P1481" s="8" t="e">
        <f ca="1">[1]!BexGetData("DP_1","003N8EMH8GTFRIVOG7KG9J9VY","GSON1112150754")</f>
        <v>#NAME?</v>
      </c>
      <c r="Q1481" s="4" t="e">
        <f ca="1">[1]!BexGetData("DP_1","00O2TNJGODT0G5Z4TTKYMM5MT","GSON1112150754")</f>
        <v>#NAME?</v>
      </c>
      <c r="R1481" s="4" t="e">
        <f ca="1">[1]!BexGetData("DP_1","00O2TNJGODT0G5Z4TTKYMMBYD","GSON1112150754")</f>
        <v>#NAME?</v>
      </c>
      <c r="S1481" s="4" t="e">
        <f ca="1">[1]!BexGetData("DP_1","00O2TNJGODT0G5Z4TTKYMMI9X","GSON1112150754")</f>
        <v>#NAME?</v>
      </c>
      <c r="T1481" s="4" t="e">
        <f ca="1">[1]!BexGetData("DP_1","00O2TNJGODT0G5Z4TTKYMMOLH","GSON1112150754")</f>
        <v>#NAME?</v>
      </c>
      <c r="U1481" s="4" t="e">
        <f ca="1">[1]!BexGetData("DP_1","00O2TNJGODT0G5Z4TTKYMMUX1","GSON1112150754")</f>
        <v>#NAME?</v>
      </c>
      <c r="V1481" s="4" t="e">
        <f ca="1">[1]!BexGetData("DP_1","00O2TNJGODT0G5Z4TTKYMN18L","GSON1112150754")</f>
        <v>#NAME?</v>
      </c>
      <c r="W1481" s="4" t="e">
        <f ca="1">[1]!BexGetData("DP_1","00O2TNJGODT0G5Z4TTKYMN7K5","GSON1112150754")</f>
        <v>#NAME?</v>
      </c>
    </row>
    <row r="1482" spans="1:23" x14ac:dyDescent="0.2">
      <c r="A1482" s="16" t="s">
        <v>1168</v>
      </c>
      <c r="B1482" s="7" t="s">
        <v>1169</v>
      </c>
      <c r="C1482" s="3" t="e">
        <f ca="1">[1]!BexGetData("DP_1","003N8EMH8GTFRCSWKMPXRR8GU","GSON1112150760")</f>
        <v>#NAME?</v>
      </c>
      <c r="D1482" s="3" t="e">
        <f ca="1">[1]!BexGetData("DP_1","003N8EMH8GTFRCSWKMPXRRESE","GSON1112150760")</f>
        <v>#NAME?</v>
      </c>
      <c r="E1482" s="3" t="e">
        <f ca="1">[1]!BexGetData("DP_1","003N8EMH8GTFRCSWKMPXRRL3Y","GSON1112150760")</f>
        <v>#NAME?</v>
      </c>
      <c r="F1482" s="3" t="e">
        <f ca="1">[1]!BexGetData("DP_1","003N8EMH8GTFRCSWKMPXRRRFI","GSON1112150760")</f>
        <v>#NAME?</v>
      </c>
      <c r="G1482" s="3" t="e">
        <f ca="1">[1]!BexGetData("DP_1","003N8EMH8GTFRCSWKMPXRRXR2","GSON1112150760")</f>
        <v>#NAME?</v>
      </c>
      <c r="H1482" s="8" t="e">
        <f ca="1">[1]!BexGetData("DP_1","003N8EMH8GTFRCSWKMPXRS42M","GSON1112150760")</f>
        <v>#NAME?</v>
      </c>
      <c r="I1482" s="3" t="e">
        <f ca="1">[1]!BexGetData("DP_1","003N8EMH8GTFRCSWKMPXRSAE6","GSON1112150760")</f>
        <v>#NAME?</v>
      </c>
      <c r="J1482" s="4" t="e">
        <f ca="1">[1]!BexGetData("DP_1","003N8EMH8GTFRCSWKMPXRSGPQ","GSON1112150760")</f>
        <v>#NAME?</v>
      </c>
      <c r="K1482" s="3" t="e">
        <f ca="1">[1]!BexGetData("DP_1","003N8EMH8GTFRIVNUPY288VJH","GSON1112150760")</f>
        <v>#NAME?</v>
      </c>
      <c r="L1482" s="3" t="e">
        <f ca="1">[1]!BexGetData("DP_1","003N8EMH8GTFRIVNUPY2891V1","GSON1112150760")</f>
        <v>#NAME?</v>
      </c>
      <c r="M1482" s="8" t="e">
        <f ca="1">[1]!BexGetData("DP_1","003N8EMH8GTFRIVOG7KG9IQXA","GSON1112150760")</f>
        <v>#NAME?</v>
      </c>
      <c r="N1482" s="3" t="e">
        <f ca="1">[1]!BexGetData("DP_1","003N8EMH8GTFRIVOG7KG9IX8U","GSON1112150760")</f>
        <v>#NAME?</v>
      </c>
      <c r="O1482" s="8" t="e">
        <f ca="1">[1]!BexGetData("DP_1","003N8EMH8GTFRIVOG7KG9J3KE","GSON1112150760")</f>
        <v>#NAME?</v>
      </c>
      <c r="P1482" s="3" t="e">
        <f ca="1">[1]!BexGetData("DP_1","003N8EMH8GTFRIVOG7KG9J9VY","GSON1112150760")</f>
        <v>#NAME?</v>
      </c>
      <c r="Q1482" s="4" t="e">
        <f ca="1">[1]!BexGetData("DP_1","00O2TNJGODT0G5Z4TTKYMM5MT","GSON1112150760")</f>
        <v>#NAME?</v>
      </c>
      <c r="R1482" s="3" t="e">
        <f ca="1">[1]!BexGetData("DP_1","00O2TNJGODT0G5Z4TTKYMMBYD","GSON1112150760")</f>
        <v>#NAME?</v>
      </c>
      <c r="S1482" s="3" t="e">
        <f ca="1">[1]!BexGetData("DP_1","00O2TNJGODT0G5Z4TTKYMMI9X","GSON1112150760")</f>
        <v>#NAME?</v>
      </c>
      <c r="T1482" s="8" t="e">
        <f ca="1">[1]!BexGetData("DP_1","00O2TNJGODT0G5Z4TTKYMMOLH","GSON1112150760")</f>
        <v>#NAME?</v>
      </c>
      <c r="U1482" s="3" t="e">
        <f ca="1">[1]!BexGetData("DP_1","00O2TNJGODT0G5Z4TTKYMMUX1","GSON1112150760")</f>
        <v>#NAME?</v>
      </c>
      <c r="V1482" s="8" t="e">
        <f ca="1">[1]!BexGetData("DP_1","00O2TNJGODT0G5Z4TTKYMN18L","GSON1112150760")</f>
        <v>#NAME?</v>
      </c>
      <c r="W1482" s="3" t="e">
        <f ca="1">[1]!BexGetData("DP_1","00O2TNJGODT0G5Z4TTKYMN7K5","GSON1112150760")</f>
        <v>#NAME?</v>
      </c>
    </row>
    <row r="1483" spans="1:23" x14ac:dyDescent="0.2">
      <c r="A1483" s="16" t="s">
        <v>1170</v>
      </c>
      <c r="B1483" s="7" t="s">
        <v>1171</v>
      </c>
      <c r="C1483" s="3" t="e">
        <f ca="1">[1]!BexGetData("DP_1","003N8EMH8GTFRCSWKMPXRR8GU","GSON1112150761")</f>
        <v>#NAME?</v>
      </c>
      <c r="D1483" s="3" t="e">
        <f ca="1">[1]!BexGetData("DP_1","003N8EMH8GTFRCSWKMPXRRESE","GSON1112150761")</f>
        <v>#NAME?</v>
      </c>
      <c r="E1483" s="3" t="e">
        <f ca="1">[1]!BexGetData("DP_1","003N8EMH8GTFRCSWKMPXRRL3Y","GSON1112150761")</f>
        <v>#NAME?</v>
      </c>
      <c r="F1483" s="4" t="e">
        <f ca="1">[1]!BexGetData("DP_1","003N8EMH8GTFRCSWKMPXRRRFI","GSON1112150761")</f>
        <v>#NAME?</v>
      </c>
      <c r="G1483" s="4" t="e">
        <f ca="1">[1]!BexGetData("DP_1","003N8EMH8GTFRCSWKMPXRRXR2","GSON1112150761")</f>
        <v>#NAME?</v>
      </c>
      <c r="H1483" s="4" t="e">
        <f ca="1">[1]!BexGetData("DP_1","003N8EMH8GTFRCSWKMPXRS42M","GSON1112150761")</f>
        <v>#NAME?</v>
      </c>
      <c r="I1483" s="4" t="e">
        <f ca="1">[1]!BexGetData("DP_1","003N8EMH8GTFRCSWKMPXRSAE6","GSON1112150761")</f>
        <v>#NAME?</v>
      </c>
      <c r="J1483" s="4" t="e">
        <f ca="1">[1]!BexGetData("DP_1","003N8EMH8GTFRCSWKMPXRSGPQ","GSON1112150761")</f>
        <v>#NAME?</v>
      </c>
      <c r="K1483" s="3" t="e">
        <f ca="1">[1]!BexGetData("DP_1","003N8EMH8GTFRIVNUPY288VJH","GSON1112150761")</f>
        <v>#NAME?</v>
      </c>
      <c r="L1483" s="3" t="e">
        <f ca="1">[1]!BexGetData("DP_1","003N8EMH8GTFRIVNUPY2891V1","GSON1112150761")</f>
        <v>#NAME?</v>
      </c>
      <c r="M1483" s="3" t="e">
        <f ca="1">[1]!BexGetData("DP_1","003N8EMH8GTFRIVOG7KG9IQXA","GSON1112150761")</f>
        <v>#NAME?</v>
      </c>
      <c r="N1483" s="8" t="e">
        <f ca="1">[1]!BexGetData("DP_1","003N8EMH8GTFRIVOG7KG9IX8U","GSON1112150761")</f>
        <v>#NAME?</v>
      </c>
      <c r="O1483" s="3" t="e">
        <f ca="1">[1]!BexGetData("DP_1","003N8EMH8GTFRIVOG7KG9J3KE","GSON1112150761")</f>
        <v>#NAME?</v>
      </c>
      <c r="P1483" s="8" t="e">
        <f ca="1">[1]!BexGetData("DP_1","003N8EMH8GTFRIVOG7KG9J9VY","GSON1112150761")</f>
        <v>#NAME?</v>
      </c>
      <c r="Q1483" s="4" t="e">
        <f ca="1">[1]!BexGetData("DP_1","00O2TNJGODT0G5Z4TTKYMM5MT","GSON1112150761")</f>
        <v>#NAME?</v>
      </c>
      <c r="R1483" s="4" t="e">
        <f ca="1">[1]!BexGetData("DP_1","00O2TNJGODT0G5Z4TTKYMMBYD","GSON1112150761")</f>
        <v>#NAME?</v>
      </c>
      <c r="S1483" s="4" t="e">
        <f ca="1">[1]!BexGetData("DP_1","00O2TNJGODT0G5Z4TTKYMMI9X","GSON1112150761")</f>
        <v>#NAME?</v>
      </c>
      <c r="T1483" s="4" t="e">
        <f ca="1">[1]!BexGetData("DP_1","00O2TNJGODT0G5Z4TTKYMMOLH","GSON1112150761")</f>
        <v>#NAME?</v>
      </c>
      <c r="U1483" s="4" t="e">
        <f ca="1">[1]!BexGetData("DP_1","00O2TNJGODT0G5Z4TTKYMMUX1","GSON1112150761")</f>
        <v>#NAME?</v>
      </c>
      <c r="V1483" s="4" t="e">
        <f ca="1">[1]!BexGetData("DP_1","00O2TNJGODT0G5Z4TTKYMN18L","GSON1112150761")</f>
        <v>#NAME?</v>
      </c>
      <c r="W1483" s="4" t="e">
        <f ca="1">[1]!BexGetData("DP_1","00O2TNJGODT0G5Z4TTKYMN7K5","GSON1112150761")</f>
        <v>#NAME?</v>
      </c>
    </row>
    <row r="1484" spans="1:23" x14ac:dyDescent="0.2">
      <c r="A1484" s="16" t="s">
        <v>3926</v>
      </c>
      <c r="B1484" s="7" t="s">
        <v>1680</v>
      </c>
      <c r="C1484" s="3" t="e">
        <f ca="1">[1]!BexGetData("DP_1","003N8EMH8GTFRCSWKMPXRR8GU","GSON1112150764")</f>
        <v>#NAME?</v>
      </c>
      <c r="D1484" s="3" t="e">
        <f ca="1">[1]!BexGetData("DP_1","003N8EMH8GTFRCSWKMPXRRESE","GSON1112150764")</f>
        <v>#NAME?</v>
      </c>
      <c r="E1484" s="3" t="e">
        <f ca="1">[1]!BexGetData("DP_1","003N8EMH8GTFRCSWKMPXRRL3Y","GSON1112150764")</f>
        <v>#NAME?</v>
      </c>
      <c r="F1484" s="4" t="e">
        <f ca="1">[1]!BexGetData("DP_1","003N8EMH8GTFRCSWKMPXRRRFI","GSON1112150764")</f>
        <v>#NAME?</v>
      </c>
      <c r="G1484" s="4" t="e">
        <f ca="1">[1]!BexGetData("DP_1","003N8EMH8GTFRCSWKMPXRRXR2","GSON1112150764")</f>
        <v>#NAME?</v>
      </c>
      <c r="H1484" s="4" t="e">
        <f ca="1">[1]!BexGetData("DP_1","003N8EMH8GTFRCSWKMPXRS42M","GSON1112150764")</f>
        <v>#NAME?</v>
      </c>
      <c r="I1484" s="4" t="e">
        <f ca="1">[1]!BexGetData("DP_1","003N8EMH8GTFRCSWKMPXRSAE6","GSON1112150764")</f>
        <v>#NAME?</v>
      </c>
      <c r="J1484" s="4" t="e">
        <f ca="1">[1]!BexGetData("DP_1","003N8EMH8GTFRCSWKMPXRSGPQ","GSON1112150764")</f>
        <v>#NAME?</v>
      </c>
      <c r="K1484" s="3" t="e">
        <f ca="1">[1]!BexGetData("DP_1","003N8EMH8GTFRIVNUPY288VJH","GSON1112150764")</f>
        <v>#NAME?</v>
      </c>
      <c r="L1484" s="3" t="e">
        <f ca="1">[1]!BexGetData("DP_1","003N8EMH8GTFRIVNUPY2891V1","GSON1112150764")</f>
        <v>#NAME?</v>
      </c>
      <c r="M1484" s="3" t="e">
        <f ca="1">[1]!BexGetData("DP_1","003N8EMH8GTFRIVOG7KG9IQXA","GSON1112150764")</f>
        <v>#NAME?</v>
      </c>
      <c r="N1484" s="8" t="e">
        <f ca="1">[1]!BexGetData("DP_1","003N8EMH8GTFRIVOG7KG9IX8U","GSON1112150764")</f>
        <v>#NAME?</v>
      </c>
      <c r="O1484" s="3" t="e">
        <f ca="1">[1]!BexGetData("DP_1","003N8EMH8GTFRIVOG7KG9J3KE","GSON1112150764")</f>
        <v>#NAME?</v>
      </c>
      <c r="P1484" s="8" t="e">
        <f ca="1">[1]!BexGetData("DP_1","003N8EMH8GTFRIVOG7KG9J9VY","GSON1112150764")</f>
        <v>#NAME?</v>
      </c>
      <c r="Q1484" s="4" t="e">
        <f ca="1">[1]!BexGetData("DP_1","00O2TNJGODT0G5Z4TTKYMM5MT","GSON1112150764")</f>
        <v>#NAME?</v>
      </c>
      <c r="R1484" s="4" t="e">
        <f ca="1">[1]!BexGetData("DP_1","00O2TNJGODT0G5Z4TTKYMMBYD","GSON1112150764")</f>
        <v>#NAME?</v>
      </c>
      <c r="S1484" s="4" t="e">
        <f ca="1">[1]!BexGetData("DP_1","00O2TNJGODT0G5Z4TTKYMMI9X","GSON1112150764")</f>
        <v>#NAME?</v>
      </c>
      <c r="T1484" s="4" t="e">
        <f ca="1">[1]!BexGetData("DP_1","00O2TNJGODT0G5Z4TTKYMMOLH","GSON1112150764")</f>
        <v>#NAME?</v>
      </c>
      <c r="U1484" s="4" t="e">
        <f ca="1">[1]!BexGetData("DP_1","00O2TNJGODT0G5Z4TTKYMMUX1","GSON1112150764")</f>
        <v>#NAME?</v>
      </c>
      <c r="V1484" s="4" t="e">
        <f ca="1">[1]!BexGetData("DP_1","00O2TNJGODT0G5Z4TTKYMN18L","GSON1112150764")</f>
        <v>#NAME?</v>
      </c>
      <c r="W1484" s="4" t="e">
        <f ca="1">[1]!BexGetData("DP_1","00O2TNJGODT0G5Z4TTKYMN7K5","GSON1112150764")</f>
        <v>#NAME?</v>
      </c>
    </row>
    <row r="1485" spans="1:23" x14ac:dyDescent="0.2">
      <c r="A1485" s="16" t="s">
        <v>3927</v>
      </c>
      <c r="B1485" s="7" t="s">
        <v>3928</v>
      </c>
      <c r="C1485" s="3" t="e">
        <f ca="1">[1]!BexGetData("DP_1","003N8EMH8GTFRCSWKMPXRR8GU","GSON1112150770")</f>
        <v>#NAME?</v>
      </c>
      <c r="D1485" s="3" t="e">
        <f ca="1">[1]!BexGetData("DP_1","003N8EMH8GTFRCSWKMPXRRESE","GSON1112150770")</f>
        <v>#NAME?</v>
      </c>
      <c r="E1485" s="3" t="e">
        <f ca="1">[1]!BexGetData("DP_1","003N8EMH8GTFRCSWKMPXRRL3Y","GSON1112150770")</f>
        <v>#NAME?</v>
      </c>
      <c r="F1485" s="3" t="e">
        <f ca="1">[1]!BexGetData("DP_1","003N8EMH8GTFRCSWKMPXRRRFI","GSON1112150770")</f>
        <v>#NAME?</v>
      </c>
      <c r="G1485" s="3" t="e">
        <f ca="1">[1]!BexGetData("DP_1","003N8EMH8GTFRCSWKMPXRRXR2","GSON1112150770")</f>
        <v>#NAME?</v>
      </c>
      <c r="H1485" s="8" t="e">
        <f ca="1">[1]!BexGetData("DP_1","003N8EMH8GTFRCSWKMPXRS42M","GSON1112150770")</f>
        <v>#NAME?</v>
      </c>
      <c r="I1485" s="3" t="e">
        <f ca="1">[1]!BexGetData("DP_1","003N8EMH8GTFRCSWKMPXRSAE6","GSON1112150770")</f>
        <v>#NAME?</v>
      </c>
      <c r="J1485" s="4" t="e">
        <f ca="1">[1]!BexGetData("DP_1","003N8EMH8GTFRCSWKMPXRSGPQ","GSON1112150770")</f>
        <v>#NAME?</v>
      </c>
      <c r="K1485" s="3" t="e">
        <f ca="1">[1]!BexGetData("DP_1","003N8EMH8GTFRIVNUPY288VJH","GSON1112150770")</f>
        <v>#NAME?</v>
      </c>
      <c r="L1485" s="3" t="e">
        <f ca="1">[1]!BexGetData("DP_1","003N8EMH8GTFRIVNUPY2891V1","GSON1112150770")</f>
        <v>#NAME?</v>
      </c>
      <c r="M1485" s="8" t="e">
        <f ca="1">[1]!BexGetData("DP_1","003N8EMH8GTFRIVOG7KG9IQXA","GSON1112150770")</f>
        <v>#NAME?</v>
      </c>
      <c r="N1485" s="3" t="e">
        <f ca="1">[1]!BexGetData("DP_1","003N8EMH8GTFRIVOG7KG9IX8U","GSON1112150770")</f>
        <v>#NAME?</v>
      </c>
      <c r="O1485" s="8" t="e">
        <f ca="1">[1]!BexGetData("DP_1","003N8EMH8GTFRIVOG7KG9J3KE","GSON1112150770")</f>
        <v>#NAME?</v>
      </c>
      <c r="P1485" s="3" t="e">
        <f ca="1">[1]!BexGetData("DP_1","003N8EMH8GTFRIVOG7KG9J9VY","GSON1112150770")</f>
        <v>#NAME?</v>
      </c>
      <c r="Q1485" s="4" t="e">
        <f ca="1">[1]!BexGetData("DP_1","00O2TNJGODT0G5Z4TTKYMM5MT","GSON1112150770")</f>
        <v>#NAME?</v>
      </c>
      <c r="R1485" s="3" t="e">
        <f ca="1">[1]!BexGetData("DP_1","00O2TNJGODT0G5Z4TTKYMMBYD","GSON1112150770")</f>
        <v>#NAME?</v>
      </c>
      <c r="S1485" s="3" t="e">
        <f ca="1">[1]!BexGetData("DP_1","00O2TNJGODT0G5Z4TTKYMMI9X","GSON1112150770")</f>
        <v>#NAME?</v>
      </c>
      <c r="T1485" s="8" t="e">
        <f ca="1">[1]!BexGetData("DP_1","00O2TNJGODT0G5Z4TTKYMMOLH","GSON1112150770")</f>
        <v>#NAME?</v>
      </c>
      <c r="U1485" s="3" t="e">
        <f ca="1">[1]!BexGetData("DP_1","00O2TNJGODT0G5Z4TTKYMMUX1","GSON1112150770")</f>
        <v>#NAME?</v>
      </c>
      <c r="V1485" s="8" t="e">
        <f ca="1">[1]!BexGetData("DP_1","00O2TNJGODT0G5Z4TTKYMN18L","GSON1112150770")</f>
        <v>#NAME?</v>
      </c>
      <c r="W1485" s="3" t="e">
        <f ca="1">[1]!BexGetData("DP_1","00O2TNJGODT0G5Z4TTKYMN7K5","GSON1112150770")</f>
        <v>#NAME?</v>
      </c>
    </row>
    <row r="1486" spans="1:23" x14ac:dyDescent="0.2">
      <c r="A1486" s="16" t="s">
        <v>1172</v>
      </c>
      <c r="B1486" s="7" t="s">
        <v>1173</v>
      </c>
      <c r="C1486" s="3" t="e">
        <f ca="1">[1]!BexGetData("DP_1","003N8EMH8GTFRCSWKMPXRR8GU","GSON1112150771")</f>
        <v>#NAME?</v>
      </c>
      <c r="D1486" s="3" t="e">
        <f ca="1">[1]!BexGetData("DP_1","003N8EMH8GTFRCSWKMPXRRESE","GSON1112150771")</f>
        <v>#NAME?</v>
      </c>
      <c r="E1486" s="3" t="e">
        <f ca="1">[1]!BexGetData("DP_1","003N8EMH8GTFRCSWKMPXRRL3Y","GSON1112150771")</f>
        <v>#NAME?</v>
      </c>
      <c r="F1486" s="4" t="e">
        <f ca="1">[1]!BexGetData("DP_1","003N8EMH8GTFRCSWKMPXRRRFI","GSON1112150771")</f>
        <v>#NAME?</v>
      </c>
      <c r="G1486" s="4" t="e">
        <f ca="1">[1]!BexGetData("DP_1","003N8EMH8GTFRCSWKMPXRRXR2","GSON1112150771")</f>
        <v>#NAME?</v>
      </c>
      <c r="H1486" s="4" t="e">
        <f ca="1">[1]!BexGetData("DP_1","003N8EMH8GTFRCSWKMPXRS42M","GSON1112150771")</f>
        <v>#NAME?</v>
      </c>
      <c r="I1486" s="4" t="e">
        <f ca="1">[1]!BexGetData("DP_1","003N8EMH8GTFRCSWKMPXRSAE6","GSON1112150771")</f>
        <v>#NAME?</v>
      </c>
      <c r="J1486" s="4" t="e">
        <f ca="1">[1]!BexGetData("DP_1","003N8EMH8GTFRCSWKMPXRSGPQ","GSON1112150771")</f>
        <v>#NAME?</v>
      </c>
      <c r="K1486" s="3" t="e">
        <f ca="1">[1]!BexGetData("DP_1","003N8EMH8GTFRIVNUPY288VJH","GSON1112150771")</f>
        <v>#NAME?</v>
      </c>
      <c r="L1486" s="3" t="e">
        <f ca="1">[1]!BexGetData("DP_1","003N8EMH8GTFRIVNUPY2891V1","GSON1112150771")</f>
        <v>#NAME?</v>
      </c>
      <c r="M1486" s="3" t="e">
        <f ca="1">[1]!BexGetData("DP_1","003N8EMH8GTFRIVOG7KG9IQXA","GSON1112150771")</f>
        <v>#NAME?</v>
      </c>
      <c r="N1486" s="8" t="e">
        <f ca="1">[1]!BexGetData("DP_1","003N8EMH8GTFRIVOG7KG9IX8U","GSON1112150771")</f>
        <v>#NAME?</v>
      </c>
      <c r="O1486" s="3" t="e">
        <f ca="1">[1]!BexGetData("DP_1","003N8EMH8GTFRIVOG7KG9J3KE","GSON1112150771")</f>
        <v>#NAME?</v>
      </c>
      <c r="P1486" s="8" t="e">
        <f ca="1">[1]!BexGetData("DP_1","003N8EMH8GTFRIVOG7KG9J9VY","GSON1112150771")</f>
        <v>#NAME?</v>
      </c>
      <c r="Q1486" s="4" t="e">
        <f ca="1">[1]!BexGetData("DP_1","00O2TNJGODT0G5Z4TTKYMM5MT","GSON1112150771")</f>
        <v>#NAME?</v>
      </c>
      <c r="R1486" s="4" t="e">
        <f ca="1">[1]!BexGetData("DP_1","00O2TNJGODT0G5Z4TTKYMMBYD","GSON1112150771")</f>
        <v>#NAME?</v>
      </c>
      <c r="S1486" s="4" t="e">
        <f ca="1">[1]!BexGetData("DP_1","00O2TNJGODT0G5Z4TTKYMMI9X","GSON1112150771")</f>
        <v>#NAME?</v>
      </c>
      <c r="T1486" s="4" t="e">
        <f ca="1">[1]!BexGetData("DP_1","00O2TNJGODT0G5Z4TTKYMMOLH","GSON1112150771")</f>
        <v>#NAME?</v>
      </c>
      <c r="U1486" s="4" t="e">
        <f ca="1">[1]!BexGetData("DP_1","00O2TNJGODT0G5Z4TTKYMMUX1","GSON1112150771")</f>
        <v>#NAME?</v>
      </c>
      <c r="V1486" s="4" t="e">
        <f ca="1">[1]!BexGetData("DP_1","00O2TNJGODT0G5Z4TTKYMN18L","GSON1112150771")</f>
        <v>#NAME?</v>
      </c>
      <c r="W1486" s="4" t="e">
        <f ca="1">[1]!BexGetData("DP_1","00O2TNJGODT0G5Z4TTKYMN7K5","GSON1112150771")</f>
        <v>#NAME?</v>
      </c>
    </row>
    <row r="1487" spans="1:23" x14ac:dyDescent="0.2">
      <c r="A1487" s="16" t="s">
        <v>3929</v>
      </c>
      <c r="B1487" s="7" t="s">
        <v>3930</v>
      </c>
      <c r="C1487" s="3" t="e">
        <f ca="1">[1]!BexGetData("DP_1","003N8EMH8GTFRCSWKMPXRR8GU","GSON1112150773")</f>
        <v>#NAME?</v>
      </c>
      <c r="D1487" s="3" t="e">
        <f ca="1">[1]!BexGetData("DP_1","003N8EMH8GTFRCSWKMPXRRESE","GSON1112150773")</f>
        <v>#NAME?</v>
      </c>
      <c r="E1487" s="8" t="e">
        <f ca="1">[1]!BexGetData("DP_1","003N8EMH8GTFRCSWKMPXRRL3Y","GSON1112150773")</f>
        <v>#NAME?</v>
      </c>
      <c r="F1487" s="4" t="e">
        <f ca="1">[1]!BexGetData("DP_1","003N8EMH8GTFRCSWKMPXRRRFI","GSON1112150773")</f>
        <v>#NAME?</v>
      </c>
      <c r="G1487" s="4" t="e">
        <f ca="1">[1]!BexGetData("DP_1","003N8EMH8GTFRCSWKMPXRRXR2","GSON1112150773")</f>
        <v>#NAME?</v>
      </c>
      <c r="H1487" s="4" t="e">
        <f ca="1">[1]!BexGetData("DP_1","003N8EMH8GTFRCSWKMPXRS42M","GSON1112150773")</f>
        <v>#NAME?</v>
      </c>
      <c r="I1487" s="4" t="e">
        <f ca="1">[1]!BexGetData("DP_1","003N8EMH8GTFRCSWKMPXRSAE6","GSON1112150773")</f>
        <v>#NAME?</v>
      </c>
      <c r="J1487" s="4" t="e">
        <f ca="1">[1]!BexGetData("DP_1","003N8EMH8GTFRCSWKMPXRSGPQ","GSON1112150773")</f>
        <v>#NAME?</v>
      </c>
      <c r="K1487" s="8" t="e">
        <f ca="1">[1]!BexGetData("DP_1","003N8EMH8GTFRIVNUPY288VJH","GSON1112150773")</f>
        <v>#NAME?</v>
      </c>
      <c r="L1487" s="8" t="e">
        <f ca="1">[1]!BexGetData("DP_1","003N8EMH8GTFRIVNUPY2891V1","GSON1112150773")</f>
        <v>#NAME?</v>
      </c>
      <c r="M1487" s="8" t="e">
        <f ca="1">[1]!BexGetData("DP_1","003N8EMH8GTFRIVOG7KG9IQXA","GSON1112150773")</f>
        <v>#NAME?</v>
      </c>
      <c r="N1487" s="8" t="e">
        <f ca="1">[1]!BexGetData("DP_1","003N8EMH8GTFRIVOG7KG9IX8U","GSON1112150773")</f>
        <v>#NAME?</v>
      </c>
      <c r="O1487" s="8" t="e">
        <f ca="1">[1]!BexGetData("DP_1","003N8EMH8GTFRIVOG7KG9J3KE","GSON1112150773")</f>
        <v>#NAME?</v>
      </c>
      <c r="P1487" s="8" t="e">
        <f ca="1">[1]!BexGetData("DP_1","003N8EMH8GTFRIVOG7KG9J9VY","GSON1112150773")</f>
        <v>#NAME?</v>
      </c>
      <c r="Q1487" s="4" t="e">
        <f ca="1">[1]!BexGetData("DP_1","00O2TNJGODT0G5Z4TTKYMM5MT","GSON1112150773")</f>
        <v>#NAME?</v>
      </c>
      <c r="R1487" s="4" t="e">
        <f ca="1">[1]!BexGetData("DP_1","00O2TNJGODT0G5Z4TTKYMMBYD","GSON1112150773")</f>
        <v>#NAME?</v>
      </c>
      <c r="S1487" s="4" t="e">
        <f ca="1">[1]!BexGetData("DP_1","00O2TNJGODT0G5Z4TTKYMMI9X","GSON1112150773")</f>
        <v>#NAME?</v>
      </c>
      <c r="T1487" s="4" t="e">
        <f ca="1">[1]!BexGetData("DP_1","00O2TNJGODT0G5Z4TTKYMMOLH","GSON1112150773")</f>
        <v>#NAME?</v>
      </c>
      <c r="U1487" s="4" t="e">
        <f ca="1">[1]!BexGetData("DP_1","00O2TNJGODT0G5Z4TTKYMMUX1","GSON1112150773")</f>
        <v>#NAME?</v>
      </c>
      <c r="V1487" s="4" t="e">
        <f ca="1">[1]!BexGetData("DP_1","00O2TNJGODT0G5Z4TTKYMN18L","GSON1112150773")</f>
        <v>#NAME?</v>
      </c>
      <c r="W1487" s="4" t="e">
        <f ca="1">[1]!BexGetData("DP_1","00O2TNJGODT0G5Z4TTKYMN7K5","GSON1112150773")</f>
        <v>#NAME?</v>
      </c>
    </row>
    <row r="1488" spans="1:23" x14ac:dyDescent="0.2">
      <c r="A1488" s="16" t="s">
        <v>3931</v>
      </c>
      <c r="B1488" s="7" t="s">
        <v>3932</v>
      </c>
      <c r="C1488" s="3" t="e">
        <f ca="1">[1]!BexGetData("DP_1","003N8EMH8GTFRCSWKMPXRR8GU","GSON1112150774")</f>
        <v>#NAME?</v>
      </c>
      <c r="D1488" s="3" t="e">
        <f ca="1">[1]!BexGetData("DP_1","003N8EMH8GTFRCSWKMPXRRESE","GSON1112150774")</f>
        <v>#NAME?</v>
      </c>
      <c r="E1488" s="3" t="e">
        <f ca="1">[1]!BexGetData("DP_1","003N8EMH8GTFRCSWKMPXRRL3Y","GSON1112150774")</f>
        <v>#NAME?</v>
      </c>
      <c r="F1488" s="4" t="e">
        <f ca="1">[1]!BexGetData("DP_1","003N8EMH8GTFRCSWKMPXRRRFI","GSON1112150774")</f>
        <v>#NAME?</v>
      </c>
      <c r="G1488" s="4" t="e">
        <f ca="1">[1]!BexGetData("DP_1","003N8EMH8GTFRCSWKMPXRRXR2","GSON1112150774")</f>
        <v>#NAME?</v>
      </c>
      <c r="H1488" s="4" t="e">
        <f ca="1">[1]!BexGetData("DP_1","003N8EMH8GTFRCSWKMPXRS42M","GSON1112150774")</f>
        <v>#NAME?</v>
      </c>
      <c r="I1488" s="4" t="e">
        <f ca="1">[1]!BexGetData("DP_1","003N8EMH8GTFRCSWKMPXRSAE6","GSON1112150774")</f>
        <v>#NAME?</v>
      </c>
      <c r="J1488" s="4" t="e">
        <f ca="1">[1]!BexGetData("DP_1","003N8EMH8GTFRCSWKMPXRSGPQ","GSON1112150774")</f>
        <v>#NAME?</v>
      </c>
      <c r="K1488" s="3" t="e">
        <f ca="1">[1]!BexGetData("DP_1","003N8EMH8GTFRIVNUPY288VJH","GSON1112150774")</f>
        <v>#NAME?</v>
      </c>
      <c r="L1488" s="3" t="e">
        <f ca="1">[1]!BexGetData("DP_1","003N8EMH8GTFRIVNUPY2891V1","GSON1112150774")</f>
        <v>#NAME?</v>
      </c>
      <c r="M1488" s="8" t="e">
        <f ca="1">[1]!BexGetData("DP_1","003N8EMH8GTFRIVOG7KG9IQXA","GSON1112150774")</f>
        <v>#NAME?</v>
      </c>
      <c r="N1488" s="3" t="e">
        <f ca="1">[1]!BexGetData("DP_1","003N8EMH8GTFRIVOG7KG9IX8U","GSON1112150774")</f>
        <v>#NAME?</v>
      </c>
      <c r="O1488" s="8" t="e">
        <f ca="1">[1]!BexGetData("DP_1","003N8EMH8GTFRIVOG7KG9J3KE","GSON1112150774")</f>
        <v>#NAME?</v>
      </c>
      <c r="P1488" s="3" t="e">
        <f ca="1">[1]!BexGetData("DP_1","003N8EMH8GTFRIVOG7KG9J9VY","GSON1112150774")</f>
        <v>#NAME?</v>
      </c>
      <c r="Q1488" s="4" t="e">
        <f ca="1">[1]!BexGetData("DP_1","00O2TNJGODT0G5Z4TTKYMM5MT","GSON1112150774")</f>
        <v>#NAME?</v>
      </c>
      <c r="R1488" s="4" t="e">
        <f ca="1">[1]!BexGetData("DP_1","00O2TNJGODT0G5Z4TTKYMMBYD","GSON1112150774")</f>
        <v>#NAME?</v>
      </c>
      <c r="S1488" s="4" t="e">
        <f ca="1">[1]!BexGetData("DP_1","00O2TNJGODT0G5Z4TTKYMMI9X","GSON1112150774")</f>
        <v>#NAME?</v>
      </c>
      <c r="T1488" s="4" t="e">
        <f ca="1">[1]!BexGetData("DP_1","00O2TNJGODT0G5Z4TTKYMMOLH","GSON1112150774")</f>
        <v>#NAME?</v>
      </c>
      <c r="U1488" s="4" t="e">
        <f ca="1">[1]!BexGetData("DP_1","00O2TNJGODT0G5Z4TTKYMMUX1","GSON1112150774")</f>
        <v>#NAME?</v>
      </c>
      <c r="V1488" s="4" t="e">
        <f ca="1">[1]!BexGetData("DP_1","00O2TNJGODT0G5Z4TTKYMN18L","GSON1112150774")</f>
        <v>#NAME?</v>
      </c>
      <c r="W1488" s="4" t="e">
        <f ca="1">[1]!BexGetData("DP_1","00O2TNJGODT0G5Z4TTKYMN7K5","GSON1112150774")</f>
        <v>#NAME?</v>
      </c>
    </row>
    <row r="1489" spans="1:23" x14ac:dyDescent="0.2">
      <c r="A1489" s="16" t="s">
        <v>1174</v>
      </c>
      <c r="B1489" s="7" t="s">
        <v>1175</v>
      </c>
      <c r="C1489" s="3" t="e">
        <f ca="1">[1]!BexGetData("DP_1","003N8EMH8GTFRCSWKMPXRR8GU","GSON1112150780")</f>
        <v>#NAME?</v>
      </c>
      <c r="D1489" s="3" t="e">
        <f ca="1">[1]!BexGetData("DP_1","003N8EMH8GTFRCSWKMPXRRESE","GSON1112150780")</f>
        <v>#NAME?</v>
      </c>
      <c r="E1489" s="3" t="e">
        <f ca="1">[1]!BexGetData("DP_1","003N8EMH8GTFRCSWKMPXRRL3Y","GSON1112150780")</f>
        <v>#NAME?</v>
      </c>
      <c r="F1489" s="3" t="e">
        <f ca="1">[1]!BexGetData("DP_1","003N8EMH8GTFRCSWKMPXRRRFI","GSON1112150780")</f>
        <v>#NAME?</v>
      </c>
      <c r="G1489" s="3" t="e">
        <f ca="1">[1]!BexGetData("DP_1","003N8EMH8GTFRCSWKMPXRRXR2","GSON1112150780")</f>
        <v>#NAME?</v>
      </c>
      <c r="H1489" s="8" t="e">
        <f ca="1">[1]!BexGetData("DP_1","003N8EMH8GTFRCSWKMPXRS42M","GSON1112150780")</f>
        <v>#NAME?</v>
      </c>
      <c r="I1489" s="3" t="e">
        <f ca="1">[1]!BexGetData("DP_1","003N8EMH8GTFRCSWKMPXRSAE6","GSON1112150780")</f>
        <v>#NAME?</v>
      </c>
      <c r="J1489" s="4" t="e">
        <f ca="1">[1]!BexGetData("DP_1","003N8EMH8GTFRCSWKMPXRSGPQ","GSON1112150780")</f>
        <v>#NAME?</v>
      </c>
      <c r="K1489" s="3" t="e">
        <f ca="1">[1]!BexGetData("DP_1","003N8EMH8GTFRIVNUPY288VJH","GSON1112150780")</f>
        <v>#NAME?</v>
      </c>
      <c r="L1489" s="3" t="e">
        <f ca="1">[1]!BexGetData("DP_1","003N8EMH8GTFRIVNUPY2891V1","GSON1112150780")</f>
        <v>#NAME?</v>
      </c>
      <c r="M1489" s="8" t="e">
        <f ca="1">[1]!BexGetData("DP_1","003N8EMH8GTFRIVOG7KG9IQXA","GSON1112150780")</f>
        <v>#NAME?</v>
      </c>
      <c r="N1489" s="3" t="e">
        <f ca="1">[1]!BexGetData("DP_1","003N8EMH8GTFRIVOG7KG9IX8U","GSON1112150780")</f>
        <v>#NAME?</v>
      </c>
      <c r="O1489" s="8" t="e">
        <f ca="1">[1]!BexGetData("DP_1","003N8EMH8GTFRIVOG7KG9J3KE","GSON1112150780")</f>
        <v>#NAME?</v>
      </c>
      <c r="P1489" s="3" t="e">
        <f ca="1">[1]!BexGetData("DP_1","003N8EMH8GTFRIVOG7KG9J9VY","GSON1112150780")</f>
        <v>#NAME?</v>
      </c>
      <c r="Q1489" s="4" t="e">
        <f ca="1">[1]!BexGetData("DP_1","00O2TNJGODT0G5Z4TTKYMM5MT","GSON1112150780")</f>
        <v>#NAME?</v>
      </c>
      <c r="R1489" s="3" t="e">
        <f ca="1">[1]!BexGetData("DP_1","00O2TNJGODT0G5Z4TTKYMMBYD","GSON1112150780")</f>
        <v>#NAME?</v>
      </c>
      <c r="S1489" s="3" t="e">
        <f ca="1">[1]!BexGetData("DP_1","00O2TNJGODT0G5Z4TTKYMMI9X","GSON1112150780")</f>
        <v>#NAME?</v>
      </c>
      <c r="T1489" s="8" t="e">
        <f ca="1">[1]!BexGetData("DP_1","00O2TNJGODT0G5Z4TTKYMMOLH","GSON1112150780")</f>
        <v>#NAME?</v>
      </c>
      <c r="U1489" s="3" t="e">
        <f ca="1">[1]!BexGetData("DP_1","00O2TNJGODT0G5Z4TTKYMMUX1","GSON1112150780")</f>
        <v>#NAME?</v>
      </c>
      <c r="V1489" s="8" t="e">
        <f ca="1">[1]!BexGetData("DP_1","00O2TNJGODT0G5Z4TTKYMN18L","GSON1112150780")</f>
        <v>#NAME?</v>
      </c>
      <c r="W1489" s="3" t="e">
        <f ca="1">[1]!BexGetData("DP_1","00O2TNJGODT0G5Z4TTKYMN7K5","GSON1112150780")</f>
        <v>#NAME?</v>
      </c>
    </row>
    <row r="1490" spans="1:23" x14ac:dyDescent="0.2">
      <c r="A1490" s="16" t="s">
        <v>1176</v>
      </c>
      <c r="B1490" s="7" t="s">
        <v>1177</v>
      </c>
      <c r="C1490" s="3" t="e">
        <f ca="1">[1]!BexGetData("DP_1","003N8EMH8GTFRCSWKMPXRR8GU","GSON1112150781")</f>
        <v>#NAME?</v>
      </c>
      <c r="D1490" s="3" t="e">
        <f ca="1">[1]!BexGetData("DP_1","003N8EMH8GTFRCSWKMPXRRESE","GSON1112150781")</f>
        <v>#NAME?</v>
      </c>
      <c r="E1490" s="3" t="e">
        <f ca="1">[1]!BexGetData("DP_1","003N8EMH8GTFRCSWKMPXRRL3Y","GSON1112150781")</f>
        <v>#NAME?</v>
      </c>
      <c r="F1490" s="4" t="e">
        <f ca="1">[1]!BexGetData("DP_1","003N8EMH8GTFRCSWKMPXRRRFI","GSON1112150781")</f>
        <v>#NAME?</v>
      </c>
      <c r="G1490" s="4" t="e">
        <f ca="1">[1]!BexGetData("DP_1","003N8EMH8GTFRCSWKMPXRRXR2","GSON1112150781")</f>
        <v>#NAME?</v>
      </c>
      <c r="H1490" s="4" t="e">
        <f ca="1">[1]!BexGetData("DP_1","003N8EMH8GTFRCSWKMPXRS42M","GSON1112150781")</f>
        <v>#NAME?</v>
      </c>
      <c r="I1490" s="4" t="e">
        <f ca="1">[1]!BexGetData("DP_1","003N8EMH8GTFRCSWKMPXRSAE6","GSON1112150781")</f>
        <v>#NAME?</v>
      </c>
      <c r="J1490" s="4" t="e">
        <f ca="1">[1]!BexGetData("DP_1","003N8EMH8GTFRCSWKMPXRSGPQ","GSON1112150781")</f>
        <v>#NAME?</v>
      </c>
      <c r="K1490" s="3" t="e">
        <f ca="1">[1]!BexGetData("DP_1","003N8EMH8GTFRIVNUPY288VJH","GSON1112150781")</f>
        <v>#NAME?</v>
      </c>
      <c r="L1490" s="3" t="e">
        <f ca="1">[1]!BexGetData("DP_1","003N8EMH8GTFRIVNUPY2891V1","GSON1112150781")</f>
        <v>#NAME?</v>
      </c>
      <c r="M1490" s="8" t="e">
        <f ca="1">[1]!BexGetData("DP_1","003N8EMH8GTFRIVOG7KG9IQXA","GSON1112150781")</f>
        <v>#NAME?</v>
      </c>
      <c r="N1490" s="3" t="e">
        <f ca="1">[1]!BexGetData("DP_1","003N8EMH8GTFRIVOG7KG9IX8U","GSON1112150781")</f>
        <v>#NAME?</v>
      </c>
      <c r="O1490" s="8" t="e">
        <f ca="1">[1]!BexGetData("DP_1","003N8EMH8GTFRIVOG7KG9J3KE","GSON1112150781")</f>
        <v>#NAME?</v>
      </c>
      <c r="P1490" s="3" t="e">
        <f ca="1">[1]!BexGetData("DP_1","003N8EMH8GTFRIVOG7KG9J9VY","GSON1112150781")</f>
        <v>#NAME?</v>
      </c>
      <c r="Q1490" s="4" t="e">
        <f ca="1">[1]!BexGetData("DP_1","00O2TNJGODT0G5Z4TTKYMM5MT","GSON1112150781")</f>
        <v>#NAME?</v>
      </c>
      <c r="R1490" s="4" t="e">
        <f ca="1">[1]!BexGetData("DP_1","00O2TNJGODT0G5Z4TTKYMMBYD","GSON1112150781")</f>
        <v>#NAME?</v>
      </c>
      <c r="S1490" s="4" t="e">
        <f ca="1">[1]!BexGetData("DP_1","00O2TNJGODT0G5Z4TTKYMMI9X","GSON1112150781")</f>
        <v>#NAME?</v>
      </c>
      <c r="T1490" s="4" t="e">
        <f ca="1">[1]!BexGetData("DP_1","00O2TNJGODT0G5Z4TTKYMMOLH","GSON1112150781")</f>
        <v>#NAME?</v>
      </c>
      <c r="U1490" s="4" t="e">
        <f ca="1">[1]!BexGetData("DP_1","00O2TNJGODT0G5Z4TTKYMMUX1","GSON1112150781")</f>
        <v>#NAME?</v>
      </c>
      <c r="V1490" s="4" t="e">
        <f ca="1">[1]!BexGetData("DP_1","00O2TNJGODT0G5Z4TTKYMN18L","GSON1112150781")</f>
        <v>#NAME?</v>
      </c>
      <c r="W1490" s="4" t="e">
        <f ca="1">[1]!BexGetData("DP_1","00O2TNJGODT0G5Z4TTKYMN7K5","GSON1112150781")</f>
        <v>#NAME?</v>
      </c>
    </row>
    <row r="1491" spans="1:23" x14ac:dyDescent="0.2">
      <c r="A1491" s="16" t="s">
        <v>3933</v>
      </c>
      <c r="B1491" s="7" t="s">
        <v>3934</v>
      </c>
      <c r="C1491" s="3" t="e">
        <f ca="1">[1]!BexGetData("DP_1","003N8EMH8GTFRCSWKMPXRR8GU","GSON1112150783")</f>
        <v>#NAME?</v>
      </c>
      <c r="D1491" s="3" t="e">
        <f ca="1">[1]!BexGetData("DP_1","003N8EMH8GTFRCSWKMPXRRESE","GSON1112150783")</f>
        <v>#NAME?</v>
      </c>
      <c r="E1491" s="8" t="e">
        <f ca="1">[1]!BexGetData("DP_1","003N8EMH8GTFRCSWKMPXRRL3Y","GSON1112150783")</f>
        <v>#NAME?</v>
      </c>
      <c r="F1491" s="4" t="e">
        <f ca="1">[1]!BexGetData("DP_1","003N8EMH8GTFRCSWKMPXRRRFI","GSON1112150783")</f>
        <v>#NAME?</v>
      </c>
      <c r="G1491" s="4" t="e">
        <f ca="1">[1]!BexGetData("DP_1","003N8EMH8GTFRCSWKMPXRRXR2","GSON1112150783")</f>
        <v>#NAME?</v>
      </c>
      <c r="H1491" s="4" t="e">
        <f ca="1">[1]!BexGetData("DP_1","003N8EMH8GTFRCSWKMPXRS42M","GSON1112150783")</f>
        <v>#NAME?</v>
      </c>
      <c r="I1491" s="4" t="e">
        <f ca="1">[1]!BexGetData("DP_1","003N8EMH8GTFRCSWKMPXRSAE6","GSON1112150783")</f>
        <v>#NAME?</v>
      </c>
      <c r="J1491" s="4" t="e">
        <f ca="1">[1]!BexGetData("DP_1","003N8EMH8GTFRCSWKMPXRSGPQ","GSON1112150783")</f>
        <v>#NAME?</v>
      </c>
      <c r="K1491" s="8" t="e">
        <f ca="1">[1]!BexGetData("DP_1","003N8EMH8GTFRIVNUPY288VJH","GSON1112150783")</f>
        <v>#NAME?</v>
      </c>
      <c r="L1491" s="8" t="e">
        <f ca="1">[1]!BexGetData("DP_1","003N8EMH8GTFRIVNUPY2891V1","GSON1112150783")</f>
        <v>#NAME?</v>
      </c>
      <c r="M1491" s="8" t="e">
        <f ca="1">[1]!BexGetData("DP_1","003N8EMH8GTFRIVOG7KG9IQXA","GSON1112150783")</f>
        <v>#NAME?</v>
      </c>
      <c r="N1491" s="8" t="e">
        <f ca="1">[1]!BexGetData("DP_1","003N8EMH8GTFRIVOG7KG9IX8U","GSON1112150783")</f>
        <v>#NAME?</v>
      </c>
      <c r="O1491" s="8" t="e">
        <f ca="1">[1]!BexGetData("DP_1","003N8EMH8GTFRIVOG7KG9J3KE","GSON1112150783")</f>
        <v>#NAME?</v>
      </c>
      <c r="P1491" s="8" t="e">
        <f ca="1">[1]!BexGetData("DP_1","003N8EMH8GTFRIVOG7KG9J9VY","GSON1112150783")</f>
        <v>#NAME?</v>
      </c>
      <c r="Q1491" s="4" t="e">
        <f ca="1">[1]!BexGetData("DP_1","00O2TNJGODT0G5Z4TTKYMM5MT","GSON1112150783")</f>
        <v>#NAME?</v>
      </c>
      <c r="R1491" s="4" t="e">
        <f ca="1">[1]!BexGetData("DP_1","00O2TNJGODT0G5Z4TTKYMMBYD","GSON1112150783")</f>
        <v>#NAME?</v>
      </c>
      <c r="S1491" s="4" t="e">
        <f ca="1">[1]!BexGetData("DP_1","00O2TNJGODT0G5Z4TTKYMMI9X","GSON1112150783")</f>
        <v>#NAME?</v>
      </c>
      <c r="T1491" s="4" t="e">
        <f ca="1">[1]!BexGetData("DP_1","00O2TNJGODT0G5Z4TTKYMMOLH","GSON1112150783")</f>
        <v>#NAME?</v>
      </c>
      <c r="U1491" s="4" t="e">
        <f ca="1">[1]!BexGetData("DP_1","00O2TNJGODT0G5Z4TTKYMMUX1","GSON1112150783")</f>
        <v>#NAME?</v>
      </c>
      <c r="V1491" s="4" t="e">
        <f ca="1">[1]!BexGetData("DP_1","00O2TNJGODT0G5Z4TTKYMN18L","GSON1112150783")</f>
        <v>#NAME?</v>
      </c>
      <c r="W1491" s="4" t="e">
        <f ca="1">[1]!BexGetData("DP_1","00O2TNJGODT0G5Z4TTKYMN7K5","GSON1112150783")</f>
        <v>#NAME?</v>
      </c>
    </row>
    <row r="1492" spans="1:23" x14ac:dyDescent="0.2">
      <c r="A1492" s="16" t="s">
        <v>3935</v>
      </c>
      <c r="B1492" s="7" t="s">
        <v>1178</v>
      </c>
      <c r="C1492" s="3" t="e">
        <f ca="1">[1]!BexGetData("DP_1","003N8EMH8GTFRCSWKMPXRR8GU","GSON1112150784")</f>
        <v>#NAME?</v>
      </c>
      <c r="D1492" s="3" t="e">
        <f ca="1">[1]!BexGetData("DP_1","003N8EMH8GTFRCSWKMPXRRESE","GSON1112150784")</f>
        <v>#NAME?</v>
      </c>
      <c r="E1492" s="3" t="e">
        <f ca="1">[1]!BexGetData("DP_1","003N8EMH8GTFRCSWKMPXRRL3Y","GSON1112150784")</f>
        <v>#NAME?</v>
      </c>
      <c r="F1492" s="4" t="e">
        <f ca="1">[1]!BexGetData("DP_1","003N8EMH8GTFRCSWKMPXRRRFI","GSON1112150784")</f>
        <v>#NAME?</v>
      </c>
      <c r="G1492" s="4" t="e">
        <f ca="1">[1]!BexGetData("DP_1","003N8EMH8GTFRCSWKMPXRRXR2","GSON1112150784")</f>
        <v>#NAME?</v>
      </c>
      <c r="H1492" s="4" t="e">
        <f ca="1">[1]!BexGetData("DP_1","003N8EMH8GTFRCSWKMPXRS42M","GSON1112150784")</f>
        <v>#NAME?</v>
      </c>
      <c r="I1492" s="4" t="e">
        <f ca="1">[1]!BexGetData("DP_1","003N8EMH8GTFRCSWKMPXRSAE6","GSON1112150784")</f>
        <v>#NAME?</v>
      </c>
      <c r="J1492" s="4" t="e">
        <f ca="1">[1]!BexGetData("DP_1","003N8EMH8GTFRCSWKMPXRSGPQ","GSON1112150784")</f>
        <v>#NAME?</v>
      </c>
      <c r="K1492" s="3" t="e">
        <f ca="1">[1]!BexGetData("DP_1","003N8EMH8GTFRIVNUPY288VJH","GSON1112150784")</f>
        <v>#NAME?</v>
      </c>
      <c r="L1492" s="3" t="e">
        <f ca="1">[1]!BexGetData("DP_1","003N8EMH8GTFRIVNUPY2891V1","GSON1112150784")</f>
        <v>#NAME?</v>
      </c>
      <c r="M1492" s="3" t="e">
        <f ca="1">[1]!BexGetData("DP_1","003N8EMH8GTFRIVOG7KG9IQXA","GSON1112150784")</f>
        <v>#NAME?</v>
      </c>
      <c r="N1492" s="8" t="e">
        <f ca="1">[1]!BexGetData("DP_1","003N8EMH8GTFRIVOG7KG9IX8U","GSON1112150784")</f>
        <v>#NAME?</v>
      </c>
      <c r="O1492" s="3" t="e">
        <f ca="1">[1]!BexGetData("DP_1","003N8EMH8GTFRIVOG7KG9J3KE","GSON1112150784")</f>
        <v>#NAME?</v>
      </c>
      <c r="P1492" s="8" t="e">
        <f ca="1">[1]!BexGetData("DP_1","003N8EMH8GTFRIVOG7KG9J9VY","GSON1112150784")</f>
        <v>#NAME?</v>
      </c>
      <c r="Q1492" s="4" t="e">
        <f ca="1">[1]!BexGetData("DP_1","00O2TNJGODT0G5Z4TTKYMM5MT","GSON1112150784")</f>
        <v>#NAME?</v>
      </c>
      <c r="R1492" s="4" t="e">
        <f ca="1">[1]!BexGetData("DP_1","00O2TNJGODT0G5Z4TTKYMMBYD","GSON1112150784")</f>
        <v>#NAME?</v>
      </c>
      <c r="S1492" s="4" t="e">
        <f ca="1">[1]!BexGetData("DP_1","00O2TNJGODT0G5Z4TTKYMMI9X","GSON1112150784")</f>
        <v>#NAME?</v>
      </c>
      <c r="T1492" s="4" t="e">
        <f ca="1">[1]!BexGetData("DP_1","00O2TNJGODT0G5Z4TTKYMMOLH","GSON1112150784")</f>
        <v>#NAME?</v>
      </c>
      <c r="U1492" s="4" t="e">
        <f ca="1">[1]!BexGetData("DP_1","00O2TNJGODT0G5Z4TTKYMMUX1","GSON1112150784")</f>
        <v>#NAME?</v>
      </c>
      <c r="V1492" s="4" t="e">
        <f ca="1">[1]!BexGetData("DP_1","00O2TNJGODT0G5Z4TTKYMN18L","GSON1112150784")</f>
        <v>#NAME?</v>
      </c>
      <c r="W1492" s="4" t="e">
        <f ca="1">[1]!BexGetData("DP_1","00O2TNJGODT0G5Z4TTKYMN7K5","GSON1112150784")</f>
        <v>#NAME?</v>
      </c>
    </row>
    <row r="1493" spans="1:23" x14ac:dyDescent="0.2">
      <c r="A1493" s="16" t="s">
        <v>3936</v>
      </c>
      <c r="B1493" s="7" t="s">
        <v>3937</v>
      </c>
      <c r="C1493" s="3" t="e">
        <f ca="1">[1]!BexGetData("DP_1","003N8EMH8GTFRCSWKMPXRR8GU","GSON1112150790")</f>
        <v>#NAME?</v>
      </c>
      <c r="D1493" s="3" t="e">
        <f ca="1">[1]!BexGetData("DP_1","003N8EMH8GTFRCSWKMPXRRESE","GSON1112150790")</f>
        <v>#NAME?</v>
      </c>
      <c r="E1493" s="3" t="e">
        <f ca="1">[1]!BexGetData("DP_1","003N8EMH8GTFRCSWKMPXRRL3Y","GSON1112150790")</f>
        <v>#NAME?</v>
      </c>
      <c r="F1493" s="3" t="e">
        <f ca="1">[1]!BexGetData("DP_1","003N8EMH8GTFRCSWKMPXRRRFI","GSON1112150790")</f>
        <v>#NAME?</v>
      </c>
      <c r="G1493" s="3" t="e">
        <f ca="1">[1]!BexGetData("DP_1","003N8EMH8GTFRCSWKMPXRRXR2","GSON1112150790")</f>
        <v>#NAME?</v>
      </c>
      <c r="H1493" s="8" t="e">
        <f ca="1">[1]!BexGetData("DP_1","003N8EMH8GTFRCSWKMPXRS42M","GSON1112150790")</f>
        <v>#NAME?</v>
      </c>
      <c r="I1493" s="3" t="e">
        <f ca="1">[1]!BexGetData("DP_1","003N8EMH8GTFRCSWKMPXRSAE6","GSON1112150790")</f>
        <v>#NAME?</v>
      </c>
      <c r="J1493" s="4" t="e">
        <f ca="1">[1]!BexGetData("DP_1","003N8EMH8GTFRCSWKMPXRSGPQ","GSON1112150790")</f>
        <v>#NAME?</v>
      </c>
      <c r="K1493" s="3" t="e">
        <f ca="1">[1]!BexGetData("DP_1","003N8EMH8GTFRIVNUPY288VJH","GSON1112150790")</f>
        <v>#NAME?</v>
      </c>
      <c r="L1493" s="3" t="e">
        <f ca="1">[1]!BexGetData("DP_1","003N8EMH8GTFRIVNUPY2891V1","GSON1112150790")</f>
        <v>#NAME?</v>
      </c>
      <c r="M1493" s="8" t="e">
        <f ca="1">[1]!BexGetData("DP_1","003N8EMH8GTFRIVOG7KG9IQXA","GSON1112150790")</f>
        <v>#NAME?</v>
      </c>
      <c r="N1493" s="3" t="e">
        <f ca="1">[1]!BexGetData("DP_1","003N8EMH8GTFRIVOG7KG9IX8U","GSON1112150790")</f>
        <v>#NAME?</v>
      </c>
      <c r="O1493" s="8" t="e">
        <f ca="1">[1]!BexGetData("DP_1","003N8EMH8GTFRIVOG7KG9J3KE","GSON1112150790")</f>
        <v>#NAME?</v>
      </c>
      <c r="P1493" s="3" t="e">
        <f ca="1">[1]!BexGetData("DP_1","003N8EMH8GTFRIVOG7KG9J9VY","GSON1112150790")</f>
        <v>#NAME?</v>
      </c>
      <c r="Q1493" s="4" t="e">
        <f ca="1">[1]!BexGetData("DP_1","00O2TNJGODT0G5Z4TTKYMM5MT","GSON1112150790")</f>
        <v>#NAME?</v>
      </c>
      <c r="R1493" s="3" t="e">
        <f ca="1">[1]!BexGetData("DP_1","00O2TNJGODT0G5Z4TTKYMMBYD","GSON1112150790")</f>
        <v>#NAME?</v>
      </c>
      <c r="S1493" s="3" t="e">
        <f ca="1">[1]!BexGetData("DP_1","00O2TNJGODT0G5Z4TTKYMMI9X","GSON1112150790")</f>
        <v>#NAME?</v>
      </c>
      <c r="T1493" s="8" t="e">
        <f ca="1">[1]!BexGetData("DP_1","00O2TNJGODT0G5Z4TTKYMMOLH","GSON1112150790")</f>
        <v>#NAME?</v>
      </c>
      <c r="U1493" s="3" t="e">
        <f ca="1">[1]!BexGetData("DP_1","00O2TNJGODT0G5Z4TTKYMMUX1","GSON1112150790")</f>
        <v>#NAME?</v>
      </c>
      <c r="V1493" s="8" t="e">
        <f ca="1">[1]!BexGetData("DP_1","00O2TNJGODT0G5Z4TTKYMN18L","GSON1112150790")</f>
        <v>#NAME?</v>
      </c>
      <c r="W1493" s="3" t="e">
        <f ca="1">[1]!BexGetData("DP_1","00O2TNJGODT0G5Z4TTKYMN7K5","GSON1112150790")</f>
        <v>#NAME?</v>
      </c>
    </row>
    <row r="1494" spans="1:23" x14ac:dyDescent="0.2">
      <c r="A1494" s="16" t="s">
        <v>3938</v>
      </c>
      <c r="B1494" s="7" t="s">
        <v>3939</v>
      </c>
      <c r="C1494" s="3" t="e">
        <f ca="1">[1]!BexGetData("DP_1","003N8EMH8GTFRCSWKMPXRR8GU","GSON1112150791")</f>
        <v>#NAME?</v>
      </c>
      <c r="D1494" s="3" t="e">
        <f ca="1">[1]!BexGetData("DP_1","003N8EMH8GTFRCSWKMPXRRESE","GSON1112150791")</f>
        <v>#NAME?</v>
      </c>
      <c r="E1494" s="3" t="e">
        <f ca="1">[1]!BexGetData("DP_1","003N8EMH8GTFRCSWKMPXRRL3Y","GSON1112150791")</f>
        <v>#NAME?</v>
      </c>
      <c r="F1494" s="4" t="e">
        <f ca="1">[1]!BexGetData("DP_1","003N8EMH8GTFRCSWKMPXRRRFI","GSON1112150791")</f>
        <v>#NAME?</v>
      </c>
      <c r="G1494" s="4" t="e">
        <f ca="1">[1]!BexGetData("DP_1","003N8EMH8GTFRCSWKMPXRRXR2","GSON1112150791")</f>
        <v>#NAME?</v>
      </c>
      <c r="H1494" s="4" t="e">
        <f ca="1">[1]!BexGetData("DP_1","003N8EMH8GTFRCSWKMPXRS42M","GSON1112150791")</f>
        <v>#NAME?</v>
      </c>
      <c r="I1494" s="4" t="e">
        <f ca="1">[1]!BexGetData("DP_1","003N8EMH8GTFRCSWKMPXRSAE6","GSON1112150791")</f>
        <v>#NAME?</v>
      </c>
      <c r="J1494" s="4" t="e">
        <f ca="1">[1]!BexGetData("DP_1","003N8EMH8GTFRCSWKMPXRSGPQ","GSON1112150791")</f>
        <v>#NAME?</v>
      </c>
      <c r="K1494" s="3" t="e">
        <f ca="1">[1]!BexGetData("DP_1","003N8EMH8GTFRIVNUPY288VJH","GSON1112150791")</f>
        <v>#NAME?</v>
      </c>
      <c r="L1494" s="3" t="e">
        <f ca="1">[1]!BexGetData("DP_1","003N8EMH8GTFRIVNUPY2891V1","GSON1112150791")</f>
        <v>#NAME?</v>
      </c>
      <c r="M1494" s="3" t="e">
        <f ca="1">[1]!BexGetData("DP_1","003N8EMH8GTFRIVOG7KG9IQXA","GSON1112150791")</f>
        <v>#NAME?</v>
      </c>
      <c r="N1494" s="8" t="e">
        <f ca="1">[1]!BexGetData("DP_1","003N8EMH8GTFRIVOG7KG9IX8U","GSON1112150791")</f>
        <v>#NAME?</v>
      </c>
      <c r="O1494" s="3" t="e">
        <f ca="1">[1]!BexGetData("DP_1","003N8EMH8GTFRIVOG7KG9J3KE","GSON1112150791")</f>
        <v>#NAME?</v>
      </c>
      <c r="P1494" s="8" t="e">
        <f ca="1">[1]!BexGetData("DP_1","003N8EMH8GTFRIVOG7KG9J9VY","GSON1112150791")</f>
        <v>#NAME?</v>
      </c>
      <c r="Q1494" s="4" t="e">
        <f ca="1">[1]!BexGetData("DP_1","00O2TNJGODT0G5Z4TTKYMM5MT","GSON1112150791")</f>
        <v>#NAME?</v>
      </c>
      <c r="R1494" s="4" t="e">
        <f ca="1">[1]!BexGetData("DP_1","00O2TNJGODT0G5Z4TTKYMMBYD","GSON1112150791")</f>
        <v>#NAME?</v>
      </c>
      <c r="S1494" s="4" t="e">
        <f ca="1">[1]!BexGetData("DP_1","00O2TNJGODT0G5Z4TTKYMMI9X","GSON1112150791")</f>
        <v>#NAME?</v>
      </c>
      <c r="T1494" s="4" t="e">
        <f ca="1">[1]!BexGetData("DP_1","00O2TNJGODT0G5Z4TTKYMMOLH","GSON1112150791")</f>
        <v>#NAME?</v>
      </c>
      <c r="U1494" s="4" t="e">
        <f ca="1">[1]!BexGetData("DP_1","00O2TNJGODT0G5Z4TTKYMMUX1","GSON1112150791")</f>
        <v>#NAME?</v>
      </c>
      <c r="V1494" s="4" t="e">
        <f ca="1">[1]!BexGetData("DP_1","00O2TNJGODT0G5Z4TTKYMN18L","GSON1112150791")</f>
        <v>#NAME?</v>
      </c>
      <c r="W1494" s="4" t="e">
        <f ca="1">[1]!BexGetData("DP_1","00O2TNJGODT0G5Z4TTKYMN7K5","GSON1112150791")</f>
        <v>#NAME?</v>
      </c>
    </row>
    <row r="1495" spans="1:23" x14ac:dyDescent="0.2">
      <c r="A1495" s="16" t="s">
        <v>3940</v>
      </c>
      <c r="B1495" s="7" t="s">
        <v>3941</v>
      </c>
      <c r="C1495" s="3" t="e">
        <f ca="1">[1]!BexGetData("DP_1","003N8EMH8GTFRCSWKMPXRR8GU","GSON1112150794")</f>
        <v>#NAME?</v>
      </c>
      <c r="D1495" s="3" t="e">
        <f ca="1">[1]!BexGetData("DP_1","003N8EMH8GTFRCSWKMPXRRESE","GSON1112150794")</f>
        <v>#NAME?</v>
      </c>
      <c r="E1495" s="3" t="e">
        <f ca="1">[1]!BexGetData("DP_1","003N8EMH8GTFRCSWKMPXRRL3Y","GSON1112150794")</f>
        <v>#NAME?</v>
      </c>
      <c r="F1495" s="4" t="e">
        <f ca="1">[1]!BexGetData("DP_1","003N8EMH8GTFRCSWKMPXRRRFI","GSON1112150794")</f>
        <v>#NAME?</v>
      </c>
      <c r="G1495" s="4" t="e">
        <f ca="1">[1]!BexGetData("DP_1","003N8EMH8GTFRCSWKMPXRRXR2","GSON1112150794")</f>
        <v>#NAME?</v>
      </c>
      <c r="H1495" s="4" t="e">
        <f ca="1">[1]!BexGetData("DP_1","003N8EMH8GTFRCSWKMPXRS42M","GSON1112150794")</f>
        <v>#NAME?</v>
      </c>
      <c r="I1495" s="4" t="e">
        <f ca="1">[1]!BexGetData("DP_1","003N8EMH8GTFRCSWKMPXRSAE6","GSON1112150794")</f>
        <v>#NAME?</v>
      </c>
      <c r="J1495" s="4" t="e">
        <f ca="1">[1]!BexGetData("DP_1","003N8EMH8GTFRCSWKMPXRSGPQ","GSON1112150794")</f>
        <v>#NAME?</v>
      </c>
      <c r="K1495" s="3" t="e">
        <f ca="1">[1]!BexGetData("DP_1","003N8EMH8GTFRIVNUPY288VJH","GSON1112150794")</f>
        <v>#NAME?</v>
      </c>
      <c r="L1495" s="3" t="e">
        <f ca="1">[1]!BexGetData("DP_1","003N8EMH8GTFRIVNUPY2891V1","GSON1112150794")</f>
        <v>#NAME?</v>
      </c>
      <c r="M1495" s="8" t="e">
        <f ca="1">[1]!BexGetData("DP_1","003N8EMH8GTFRIVOG7KG9IQXA","GSON1112150794")</f>
        <v>#NAME?</v>
      </c>
      <c r="N1495" s="3" t="e">
        <f ca="1">[1]!BexGetData("DP_1","003N8EMH8GTFRIVOG7KG9IX8U","GSON1112150794")</f>
        <v>#NAME?</v>
      </c>
      <c r="O1495" s="8" t="e">
        <f ca="1">[1]!BexGetData("DP_1","003N8EMH8GTFRIVOG7KG9J3KE","GSON1112150794")</f>
        <v>#NAME?</v>
      </c>
      <c r="P1495" s="3" t="e">
        <f ca="1">[1]!BexGetData("DP_1","003N8EMH8GTFRIVOG7KG9J9VY","GSON1112150794")</f>
        <v>#NAME?</v>
      </c>
      <c r="Q1495" s="4" t="e">
        <f ca="1">[1]!BexGetData("DP_1","00O2TNJGODT0G5Z4TTKYMM5MT","GSON1112150794")</f>
        <v>#NAME?</v>
      </c>
      <c r="R1495" s="4" t="e">
        <f ca="1">[1]!BexGetData("DP_1","00O2TNJGODT0G5Z4TTKYMMBYD","GSON1112150794")</f>
        <v>#NAME?</v>
      </c>
      <c r="S1495" s="4" t="e">
        <f ca="1">[1]!BexGetData("DP_1","00O2TNJGODT0G5Z4TTKYMMI9X","GSON1112150794")</f>
        <v>#NAME?</v>
      </c>
      <c r="T1495" s="4" t="e">
        <f ca="1">[1]!BexGetData("DP_1","00O2TNJGODT0G5Z4TTKYMMOLH","GSON1112150794")</f>
        <v>#NAME?</v>
      </c>
      <c r="U1495" s="4" t="e">
        <f ca="1">[1]!BexGetData("DP_1","00O2TNJGODT0G5Z4TTKYMMUX1","GSON1112150794")</f>
        <v>#NAME?</v>
      </c>
      <c r="V1495" s="4" t="e">
        <f ca="1">[1]!BexGetData("DP_1","00O2TNJGODT0G5Z4TTKYMN18L","GSON1112150794")</f>
        <v>#NAME?</v>
      </c>
      <c r="W1495" s="4" t="e">
        <f ca="1">[1]!BexGetData("DP_1","00O2TNJGODT0G5Z4TTKYMN7K5","GSON1112150794")</f>
        <v>#NAME?</v>
      </c>
    </row>
    <row r="1496" spans="1:23" x14ac:dyDescent="0.2">
      <c r="A1496" s="16" t="s">
        <v>3942</v>
      </c>
      <c r="B1496" s="7" t="s">
        <v>3943</v>
      </c>
      <c r="C1496" s="3" t="e">
        <f ca="1">[1]!BexGetData("DP_1","003N8EMH8GTFRCSWKMPXRR8GU","GSON1112150800")</f>
        <v>#NAME?</v>
      </c>
      <c r="D1496" s="3" t="e">
        <f ca="1">[1]!BexGetData("DP_1","003N8EMH8GTFRCSWKMPXRRESE","GSON1112150800")</f>
        <v>#NAME?</v>
      </c>
      <c r="E1496" s="3" t="e">
        <f ca="1">[1]!BexGetData("DP_1","003N8EMH8GTFRCSWKMPXRRL3Y","GSON1112150800")</f>
        <v>#NAME?</v>
      </c>
      <c r="F1496" s="3" t="e">
        <f ca="1">[1]!BexGetData("DP_1","003N8EMH8GTFRCSWKMPXRRRFI","GSON1112150800")</f>
        <v>#NAME?</v>
      </c>
      <c r="G1496" s="3" t="e">
        <f ca="1">[1]!BexGetData("DP_1","003N8EMH8GTFRCSWKMPXRRXR2","GSON1112150800")</f>
        <v>#NAME?</v>
      </c>
      <c r="H1496" s="8" t="e">
        <f ca="1">[1]!BexGetData("DP_1","003N8EMH8GTFRCSWKMPXRS42M","GSON1112150800")</f>
        <v>#NAME?</v>
      </c>
      <c r="I1496" s="3" t="e">
        <f ca="1">[1]!BexGetData("DP_1","003N8EMH8GTFRCSWKMPXRSAE6","GSON1112150800")</f>
        <v>#NAME?</v>
      </c>
      <c r="J1496" s="4" t="e">
        <f ca="1">[1]!BexGetData("DP_1","003N8EMH8GTFRCSWKMPXRSGPQ","GSON1112150800")</f>
        <v>#NAME?</v>
      </c>
      <c r="K1496" s="3" t="e">
        <f ca="1">[1]!BexGetData("DP_1","003N8EMH8GTFRIVNUPY288VJH","GSON1112150800")</f>
        <v>#NAME?</v>
      </c>
      <c r="L1496" s="3" t="e">
        <f ca="1">[1]!BexGetData("DP_1","003N8EMH8GTFRIVNUPY2891V1","GSON1112150800")</f>
        <v>#NAME?</v>
      </c>
      <c r="M1496" s="8" t="e">
        <f ca="1">[1]!BexGetData("DP_1","003N8EMH8GTFRIVOG7KG9IQXA","GSON1112150800")</f>
        <v>#NAME?</v>
      </c>
      <c r="N1496" s="3" t="e">
        <f ca="1">[1]!BexGetData("DP_1","003N8EMH8GTFRIVOG7KG9IX8U","GSON1112150800")</f>
        <v>#NAME?</v>
      </c>
      <c r="O1496" s="8" t="e">
        <f ca="1">[1]!BexGetData("DP_1","003N8EMH8GTFRIVOG7KG9J3KE","GSON1112150800")</f>
        <v>#NAME?</v>
      </c>
      <c r="P1496" s="3" t="e">
        <f ca="1">[1]!BexGetData("DP_1","003N8EMH8GTFRIVOG7KG9J9VY","GSON1112150800")</f>
        <v>#NAME?</v>
      </c>
      <c r="Q1496" s="4" t="e">
        <f ca="1">[1]!BexGetData("DP_1","00O2TNJGODT0G5Z4TTKYMM5MT","GSON1112150800")</f>
        <v>#NAME?</v>
      </c>
      <c r="R1496" s="3" t="e">
        <f ca="1">[1]!BexGetData("DP_1","00O2TNJGODT0G5Z4TTKYMMBYD","GSON1112150800")</f>
        <v>#NAME?</v>
      </c>
      <c r="S1496" s="3" t="e">
        <f ca="1">[1]!BexGetData("DP_1","00O2TNJGODT0G5Z4TTKYMMI9X","GSON1112150800")</f>
        <v>#NAME?</v>
      </c>
      <c r="T1496" s="8" t="e">
        <f ca="1">[1]!BexGetData("DP_1","00O2TNJGODT0G5Z4TTKYMMOLH","GSON1112150800")</f>
        <v>#NAME?</v>
      </c>
      <c r="U1496" s="3" t="e">
        <f ca="1">[1]!BexGetData("DP_1","00O2TNJGODT0G5Z4TTKYMMUX1","GSON1112150800")</f>
        <v>#NAME?</v>
      </c>
      <c r="V1496" s="8" t="e">
        <f ca="1">[1]!BexGetData("DP_1","00O2TNJGODT0G5Z4TTKYMN18L","GSON1112150800")</f>
        <v>#NAME?</v>
      </c>
      <c r="W1496" s="3" t="e">
        <f ca="1">[1]!BexGetData("DP_1","00O2TNJGODT0G5Z4TTKYMN7K5","GSON1112150800")</f>
        <v>#NAME?</v>
      </c>
    </row>
    <row r="1497" spans="1:23" x14ac:dyDescent="0.2">
      <c r="A1497" s="16" t="s">
        <v>1179</v>
      </c>
      <c r="B1497" s="7" t="s">
        <v>1180</v>
      </c>
      <c r="C1497" s="3" t="e">
        <f ca="1">[1]!BexGetData("DP_1","003N8EMH8GTFRCSWKMPXRR8GU","GSON1112150801")</f>
        <v>#NAME?</v>
      </c>
      <c r="D1497" s="3" t="e">
        <f ca="1">[1]!BexGetData("DP_1","003N8EMH8GTFRCSWKMPXRRESE","GSON1112150801")</f>
        <v>#NAME?</v>
      </c>
      <c r="E1497" s="3" t="e">
        <f ca="1">[1]!BexGetData("DP_1","003N8EMH8GTFRCSWKMPXRRL3Y","GSON1112150801")</f>
        <v>#NAME?</v>
      </c>
      <c r="F1497" s="4" t="e">
        <f ca="1">[1]!BexGetData("DP_1","003N8EMH8GTFRCSWKMPXRRRFI","GSON1112150801")</f>
        <v>#NAME?</v>
      </c>
      <c r="G1497" s="4" t="e">
        <f ca="1">[1]!BexGetData("DP_1","003N8EMH8GTFRCSWKMPXRRXR2","GSON1112150801")</f>
        <v>#NAME?</v>
      </c>
      <c r="H1497" s="4" t="e">
        <f ca="1">[1]!BexGetData("DP_1","003N8EMH8GTFRCSWKMPXRS42M","GSON1112150801")</f>
        <v>#NAME?</v>
      </c>
      <c r="I1497" s="4" t="e">
        <f ca="1">[1]!BexGetData("DP_1","003N8EMH8GTFRCSWKMPXRSAE6","GSON1112150801")</f>
        <v>#NAME?</v>
      </c>
      <c r="J1497" s="4" t="e">
        <f ca="1">[1]!BexGetData("DP_1","003N8EMH8GTFRCSWKMPXRSGPQ","GSON1112150801")</f>
        <v>#NAME?</v>
      </c>
      <c r="K1497" s="3" t="e">
        <f ca="1">[1]!BexGetData("DP_1","003N8EMH8GTFRIVNUPY288VJH","GSON1112150801")</f>
        <v>#NAME?</v>
      </c>
      <c r="L1497" s="3" t="e">
        <f ca="1">[1]!BexGetData("DP_1","003N8EMH8GTFRIVNUPY2891V1","GSON1112150801")</f>
        <v>#NAME?</v>
      </c>
      <c r="M1497" s="3" t="e">
        <f ca="1">[1]!BexGetData("DP_1","003N8EMH8GTFRIVOG7KG9IQXA","GSON1112150801")</f>
        <v>#NAME?</v>
      </c>
      <c r="N1497" s="8" t="e">
        <f ca="1">[1]!BexGetData("DP_1","003N8EMH8GTFRIVOG7KG9IX8U","GSON1112150801")</f>
        <v>#NAME?</v>
      </c>
      <c r="O1497" s="3" t="e">
        <f ca="1">[1]!BexGetData("DP_1","003N8EMH8GTFRIVOG7KG9J3KE","GSON1112150801")</f>
        <v>#NAME?</v>
      </c>
      <c r="P1497" s="8" t="e">
        <f ca="1">[1]!BexGetData("DP_1","003N8EMH8GTFRIVOG7KG9J9VY","GSON1112150801")</f>
        <v>#NAME?</v>
      </c>
      <c r="Q1497" s="4" t="e">
        <f ca="1">[1]!BexGetData("DP_1","00O2TNJGODT0G5Z4TTKYMM5MT","GSON1112150801")</f>
        <v>#NAME?</v>
      </c>
      <c r="R1497" s="4" t="e">
        <f ca="1">[1]!BexGetData("DP_1","00O2TNJGODT0G5Z4TTKYMMBYD","GSON1112150801")</f>
        <v>#NAME?</v>
      </c>
      <c r="S1497" s="4" t="e">
        <f ca="1">[1]!BexGetData("DP_1","00O2TNJGODT0G5Z4TTKYMMI9X","GSON1112150801")</f>
        <v>#NAME?</v>
      </c>
      <c r="T1497" s="4" t="e">
        <f ca="1">[1]!BexGetData("DP_1","00O2TNJGODT0G5Z4TTKYMMOLH","GSON1112150801")</f>
        <v>#NAME?</v>
      </c>
      <c r="U1497" s="4" t="e">
        <f ca="1">[1]!BexGetData("DP_1","00O2TNJGODT0G5Z4TTKYMMUX1","GSON1112150801")</f>
        <v>#NAME?</v>
      </c>
      <c r="V1497" s="4" t="e">
        <f ca="1">[1]!BexGetData("DP_1","00O2TNJGODT0G5Z4TTKYMN18L","GSON1112150801")</f>
        <v>#NAME?</v>
      </c>
      <c r="W1497" s="4" t="e">
        <f ca="1">[1]!BexGetData("DP_1","00O2TNJGODT0G5Z4TTKYMN7K5","GSON1112150801")</f>
        <v>#NAME?</v>
      </c>
    </row>
    <row r="1498" spans="1:23" x14ac:dyDescent="0.2">
      <c r="A1498" s="16" t="s">
        <v>3944</v>
      </c>
      <c r="B1498" s="7" t="s">
        <v>3945</v>
      </c>
      <c r="C1498" s="3" t="e">
        <f ca="1">[1]!BexGetData("DP_1","003N8EMH8GTFRCSWKMPXRR8GU","GSON1112150803")</f>
        <v>#NAME?</v>
      </c>
      <c r="D1498" s="3" t="e">
        <f ca="1">[1]!BexGetData("DP_1","003N8EMH8GTFRCSWKMPXRRESE","GSON1112150803")</f>
        <v>#NAME?</v>
      </c>
      <c r="E1498" s="8" t="e">
        <f ca="1">[1]!BexGetData("DP_1","003N8EMH8GTFRCSWKMPXRRL3Y","GSON1112150803")</f>
        <v>#NAME?</v>
      </c>
      <c r="F1498" s="4" t="e">
        <f ca="1">[1]!BexGetData("DP_1","003N8EMH8GTFRCSWKMPXRRRFI","GSON1112150803")</f>
        <v>#NAME?</v>
      </c>
      <c r="G1498" s="4" t="e">
        <f ca="1">[1]!BexGetData("DP_1","003N8EMH8GTFRCSWKMPXRRXR2","GSON1112150803")</f>
        <v>#NAME?</v>
      </c>
      <c r="H1498" s="4" t="e">
        <f ca="1">[1]!BexGetData("DP_1","003N8EMH8GTFRCSWKMPXRS42M","GSON1112150803")</f>
        <v>#NAME?</v>
      </c>
      <c r="I1498" s="4" t="e">
        <f ca="1">[1]!BexGetData("DP_1","003N8EMH8GTFRCSWKMPXRSAE6","GSON1112150803")</f>
        <v>#NAME?</v>
      </c>
      <c r="J1498" s="4" t="e">
        <f ca="1">[1]!BexGetData("DP_1","003N8EMH8GTFRCSWKMPXRSGPQ","GSON1112150803")</f>
        <v>#NAME?</v>
      </c>
      <c r="K1498" s="8" t="e">
        <f ca="1">[1]!BexGetData("DP_1","003N8EMH8GTFRIVNUPY288VJH","GSON1112150803")</f>
        <v>#NAME?</v>
      </c>
      <c r="L1498" s="8" t="e">
        <f ca="1">[1]!BexGetData("DP_1","003N8EMH8GTFRIVNUPY2891V1","GSON1112150803")</f>
        <v>#NAME?</v>
      </c>
      <c r="M1498" s="8" t="e">
        <f ca="1">[1]!BexGetData("DP_1","003N8EMH8GTFRIVOG7KG9IQXA","GSON1112150803")</f>
        <v>#NAME?</v>
      </c>
      <c r="N1498" s="8" t="e">
        <f ca="1">[1]!BexGetData("DP_1","003N8EMH8GTFRIVOG7KG9IX8U","GSON1112150803")</f>
        <v>#NAME?</v>
      </c>
      <c r="O1498" s="8" t="e">
        <f ca="1">[1]!BexGetData("DP_1","003N8EMH8GTFRIVOG7KG9J3KE","GSON1112150803")</f>
        <v>#NAME?</v>
      </c>
      <c r="P1498" s="8" t="e">
        <f ca="1">[1]!BexGetData("DP_1","003N8EMH8GTFRIVOG7KG9J9VY","GSON1112150803")</f>
        <v>#NAME?</v>
      </c>
      <c r="Q1498" s="4" t="e">
        <f ca="1">[1]!BexGetData("DP_1","00O2TNJGODT0G5Z4TTKYMM5MT","GSON1112150803")</f>
        <v>#NAME?</v>
      </c>
      <c r="R1498" s="4" t="e">
        <f ca="1">[1]!BexGetData("DP_1","00O2TNJGODT0G5Z4TTKYMMBYD","GSON1112150803")</f>
        <v>#NAME?</v>
      </c>
      <c r="S1498" s="4" t="e">
        <f ca="1">[1]!BexGetData("DP_1","00O2TNJGODT0G5Z4TTKYMMI9X","GSON1112150803")</f>
        <v>#NAME?</v>
      </c>
      <c r="T1498" s="4" t="e">
        <f ca="1">[1]!BexGetData("DP_1","00O2TNJGODT0G5Z4TTKYMMOLH","GSON1112150803")</f>
        <v>#NAME?</v>
      </c>
      <c r="U1498" s="4" t="e">
        <f ca="1">[1]!BexGetData("DP_1","00O2TNJGODT0G5Z4TTKYMMUX1","GSON1112150803")</f>
        <v>#NAME?</v>
      </c>
      <c r="V1498" s="4" t="e">
        <f ca="1">[1]!BexGetData("DP_1","00O2TNJGODT0G5Z4TTKYMN18L","GSON1112150803")</f>
        <v>#NAME?</v>
      </c>
      <c r="W1498" s="4" t="e">
        <f ca="1">[1]!BexGetData("DP_1","00O2TNJGODT0G5Z4TTKYMN7K5","GSON1112150803")</f>
        <v>#NAME?</v>
      </c>
    </row>
    <row r="1499" spans="1:23" x14ac:dyDescent="0.2">
      <c r="A1499" s="16" t="s">
        <v>3946</v>
      </c>
      <c r="B1499" s="7" t="s">
        <v>3947</v>
      </c>
      <c r="C1499" s="3" t="e">
        <f ca="1">[1]!BexGetData("DP_1","003N8EMH8GTFRCSWKMPXRR8GU","GSON1112150804")</f>
        <v>#NAME?</v>
      </c>
      <c r="D1499" s="3" t="e">
        <f ca="1">[1]!BexGetData("DP_1","003N8EMH8GTFRCSWKMPXRRESE","GSON1112150804")</f>
        <v>#NAME?</v>
      </c>
      <c r="E1499" s="8" t="e">
        <f ca="1">[1]!BexGetData("DP_1","003N8EMH8GTFRCSWKMPXRRL3Y","GSON1112150804")</f>
        <v>#NAME?</v>
      </c>
      <c r="F1499" s="4" t="e">
        <f ca="1">[1]!BexGetData("DP_1","003N8EMH8GTFRCSWKMPXRRRFI","GSON1112150804")</f>
        <v>#NAME?</v>
      </c>
      <c r="G1499" s="4" t="e">
        <f ca="1">[1]!BexGetData("DP_1","003N8EMH8GTFRCSWKMPXRRXR2","GSON1112150804")</f>
        <v>#NAME?</v>
      </c>
      <c r="H1499" s="4" t="e">
        <f ca="1">[1]!BexGetData("DP_1","003N8EMH8GTFRCSWKMPXRS42M","GSON1112150804")</f>
        <v>#NAME?</v>
      </c>
      <c r="I1499" s="4" t="e">
        <f ca="1">[1]!BexGetData("DP_1","003N8EMH8GTFRCSWKMPXRSAE6","GSON1112150804")</f>
        <v>#NAME?</v>
      </c>
      <c r="J1499" s="4" t="e">
        <f ca="1">[1]!BexGetData("DP_1","003N8EMH8GTFRCSWKMPXRSGPQ","GSON1112150804")</f>
        <v>#NAME?</v>
      </c>
      <c r="K1499" s="8" t="e">
        <f ca="1">[1]!BexGetData("DP_1","003N8EMH8GTFRIVNUPY288VJH","GSON1112150804")</f>
        <v>#NAME?</v>
      </c>
      <c r="L1499" s="8" t="e">
        <f ca="1">[1]!BexGetData("DP_1","003N8EMH8GTFRIVNUPY2891V1","GSON1112150804")</f>
        <v>#NAME?</v>
      </c>
      <c r="M1499" s="8" t="e">
        <f ca="1">[1]!BexGetData("DP_1","003N8EMH8GTFRIVOG7KG9IQXA","GSON1112150804")</f>
        <v>#NAME?</v>
      </c>
      <c r="N1499" s="8" t="e">
        <f ca="1">[1]!BexGetData("DP_1","003N8EMH8GTFRIVOG7KG9IX8U","GSON1112150804")</f>
        <v>#NAME?</v>
      </c>
      <c r="O1499" s="8" t="e">
        <f ca="1">[1]!BexGetData("DP_1","003N8EMH8GTFRIVOG7KG9J3KE","GSON1112150804")</f>
        <v>#NAME?</v>
      </c>
      <c r="P1499" s="8" t="e">
        <f ca="1">[1]!BexGetData("DP_1","003N8EMH8GTFRIVOG7KG9J9VY","GSON1112150804")</f>
        <v>#NAME?</v>
      </c>
      <c r="Q1499" s="4" t="e">
        <f ca="1">[1]!BexGetData("DP_1","00O2TNJGODT0G5Z4TTKYMM5MT","GSON1112150804")</f>
        <v>#NAME?</v>
      </c>
      <c r="R1499" s="4" t="e">
        <f ca="1">[1]!BexGetData("DP_1","00O2TNJGODT0G5Z4TTKYMMBYD","GSON1112150804")</f>
        <v>#NAME?</v>
      </c>
      <c r="S1499" s="4" t="e">
        <f ca="1">[1]!BexGetData("DP_1","00O2TNJGODT0G5Z4TTKYMMI9X","GSON1112150804")</f>
        <v>#NAME?</v>
      </c>
      <c r="T1499" s="4" t="e">
        <f ca="1">[1]!BexGetData("DP_1","00O2TNJGODT0G5Z4TTKYMMOLH","GSON1112150804")</f>
        <v>#NAME?</v>
      </c>
      <c r="U1499" s="4" t="e">
        <f ca="1">[1]!BexGetData("DP_1","00O2TNJGODT0G5Z4TTKYMMUX1","GSON1112150804")</f>
        <v>#NAME?</v>
      </c>
      <c r="V1499" s="4" t="e">
        <f ca="1">[1]!BexGetData("DP_1","00O2TNJGODT0G5Z4TTKYMN18L","GSON1112150804")</f>
        <v>#NAME?</v>
      </c>
      <c r="W1499" s="4" t="e">
        <f ca="1">[1]!BexGetData("DP_1","00O2TNJGODT0G5Z4TTKYMN7K5","GSON1112150804")</f>
        <v>#NAME?</v>
      </c>
    </row>
    <row r="1500" spans="1:23" x14ac:dyDescent="0.2">
      <c r="A1500" s="16" t="s">
        <v>3948</v>
      </c>
      <c r="B1500" s="7" t="s">
        <v>3949</v>
      </c>
      <c r="C1500" s="8" t="e">
        <f ca="1">[1]!BexGetData("DP_1","003N8EMH8GTFRCSWKMPXRR8GU","GSON1112150950")</f>
        <v>#NAME?</v>
      </c>
      <c r="D1500" s="3" t="e">
        <f ca="1">[1]!BexGetData("DP_1","003N8EMH8GTFRCSWKMPXRRESE","GSON1112150950")</f>
        <v>#NAME?</v>
      </c>
      <c r="E1500" s="8" t="e">
        <f ca="1">[1]!BexGetData("DP_1","003N8EMH8GTFRCSWKMPXRRL3Y","GSON1112150950")</f>
        <v>#NAME?</v>
      </c>
      <c r="F1500" s="3" t="e">
        <f ca="1">[1]!BexGetData("DP_1","003N8EMH8GTFRCSWKMPXRRRFI","GSON1112150950")</f>
        <v>#NAME?</v>
      </c>
      <c r="G1500" s="3" t="e">
        <f ca="1">[1]!BexGetData("DP_1","003N8EMH8GTFRCSWKMPXRRXR2","GSON1112150950")</f>
        <v>#NAME?</v>
      </c>
      <c r="H1500" s="8" t="e">
        <f ca="1">[1]!BexGetData("DP_1","003N8EMH8GTFRCSWKMPXRS42M","GSON1112150950")</f>
        <v>#NAME?</v>
      </c>
      <c r="I1500" s="3" t="e">
        <f ca="1">[1]!BexGetData("DP_1","003N8EMH8GTFRCSWKMPXRSAE6","GSON1112150950")</f>
        <v>#NAME?</v>
      </c>
      <c r="J1500" s="4" t="e">
        <f ca="1">[1]!BexGetData("DP_1","003N8EMH8GTFRCSWKMPXRSGPQ","GSON1112150950")</f>
        <v>#NAME?</v>
      </c>
      <c r="K1500" s="3" t="e">
        <f ca="1">[1]!BexGetData("DP_1","003N8EMH8GTFRIVNUPY288VJH","GSON1112150950")</f>
        <v>#NAME?</v>
      </c>
      <c r="L1500" s="3" t="e">
        <f ca="1">[1]!BexGetData("DP_1","003N8EMH8GTFRIVNUPY2891V1","GSON1112150950")</f>
        <v>#NAME?</v>
      </c>
      <c r="M1500" s="3" t="e">
        <f ca="1">[1]!BexGetData("DP_1","003N8EMH8GTFRIVOG7KG9IQXA","GSON1112150950")</f>
        <v>#NAME?</v>
      </c>
      <c r="N1500" s="8" t="e">
        <f ca="1">[1]!BexGetData("DP_1","003N8EMH8GTFRIVOG7KG9IX8U","GSON1112150950")</f>
        <v>#NAME?</v>
      </c>
      <c r="O1500" s="3" t="e">
        <f ca="1">[1]!BexGetData("DP_1","003N8EMH8GTFRIVOG7KG9J3KE","GSON1112150950")</f>
        <v>#NAME?</v>
      </c>
      <c r="P1500" s="8" t="e">
        <f ca="1">[1]!BexGetData("DP_1","003N8EMH8GTFRIVOG7KG9J9VY","GSON1112150950")</f>
        <v>#NAME?</v>
      </c>
      <c r="Q1500" s="4" t="e">
        <f ca="1">[1]!BexGetData("DP_1","00O2TNJGODT0G5Z4TTKYMM5MT","GSON1112150950")</f>
        <v>#NAME?</v>
      </c>
      <c r="R1500" s="3" t="e">
        <f ca="1">[1]!BexGetData("DP_1","00O2TNJGODT0G5Z4TTKYMMBYD","GSON1112150950")</f>
        <v>#NAME?</v>
      </c>
      <c r="S1500" s="3" t="e">
        <f ca="1">[1]!BexGetData("DP_1","00O2TNJGODT0G5Z4TTKYMMI9X","GSON1112150950")</f>
        <v>#NAME?</v>
      </c>
      <c r="T1500" s="8" t="e">
        <f ca="1">[1]!BexGetData("DP_1","00O2TNJGODT0G5Z4TTKYMMOLH","GSON1112150950")</f>
        <v>#NAME?</v>
      </c>
      <c r="U1500" s="3" t="e">
        <f ca="1">[1]!BexGetData("DP_1","00O2TNJGODT0G5Z4TTKYMMUX1","GSON1112150950")</f>
        <v>#NAME?</v>
      </c>
      <c r="V1500" s="8" t="e">
        <f ca="1">[1]!BexGetData("DP_1","00O2TNJGODT0G5Z4TTKYMN18L","GSON1112150950")</f>
        <v>#NAME?</v>
      </c>
      <c r="W1500" s="3" t="e">
        <f ca="1">[1]!BexGetData("DP_1","00O2TNJGODT0G5Z4TTKYMN7K5","GSON1112150950")</f>
        <v>#NAME?</v>
      </c>
    </row>
    <row r="1501" spans="1:23" x14ac:dyDescent="0.2">
      <c r="A1501" s="16" t="s">
        <v>3950</v>
      </c>
      <c r="B1501" s="7" t="s">
        <v>3951</v>
      </c>
      <c r="C1501" s="3" t="e">
        <f ca="1">[1]!BexGetData("DP_1","003N8EMH8GTFRCSWKMPXRR8GU","GSON1112150954")</f>
        <v>#NAME?</v>
      </c>
      <c r="D1501" s="3" t="e">
        <f ca="1">[1]!BexGetData("DP_1","003N8EMH8GTFRCSWKMPXRRESE","GSON1112150954")</f>
        <v>#NAME?</v>
      </c>
      <c r="E1501" s="8" t="e">
        <f ca="1">[1]!BexGetData("DP_1","003N8EMH8GTFRCSWKMPXRRL3Y","GSON1112150954")</f>
        <v>#NAME?</v>
      </c>
      <c r="F1501" s="4" t="e">
        <f ca="1">[1]!BexGetData("DP_1","003N8EMH8GTFRCSWKMPXRRRFI","GSON1112150954")</f>
        <v>#NAME?</v>
      </c>
      <c r="G1501" s="4" t="e">
        <f ca="1">[1]!BexGetData("DP_1","003N8EMH8GTFRCSWKMPXRRXR2","GSON1112150954")</f>
        <v>#NAME?</v>
      </c>
      <c r="H1501" s="4" t="e">
        <f ca="1">[1]!BexGetData("DP_1","003N8EMH8GTFRCSWKMPXRS42M","GSON1112150954")</f>
        <v>#NAME?</v>
      </c>
      <c r="I1501" s="4" t="e">
        <f ca="1">[1]!BexGetData("DP_1","003N8EMH8GTFRCSWKMPXRSAE6","GSON1112150954")</f>
        <v>#NAME?</v>
      </c>
      <c r="J1501" s="4" t="e">
        <f ca="1">[1]!BexGetData("DP_1","003N8EMH8GTFRCSWKMPXRSGPQ","GSON1112150954")</f>
        <v>#NAME?</v>
      </c>
      <c r="K1501" s="8" t="e">
        <f ca="1">[1]!BexGetData("DP_1","003N8EMH8GTFRIVNUPY288VJH","GSON1112150954")</f>
        <v>#NAME?</v>
      </c>
      <c r="L1501" s="8" t="e">
        <f ca="1">[1]!BexGetData("DP_1","003N8EMH8GTFRIVNUPY2891V1","GSON1112150954")</f>
        <v>#NAME?</v>
      </c>
      <c r="M1501" s="8" t="e">
        <f ca="1">[1]!BexGetData("DP_1","003N8EMH8GTFRIVOG7KG9IQXA","GSON1112150954")</f>
        <v>#NAME?</v>
      </c>
      <c r="N1501" s="8" t="e">
        <f ca="1">[1]!BexGetData("DP_1","003N8EMH8GTFRIVOG7KG9IX8U","GSON1112150954")</f>
        <v>#NAME?</v>
      </c>
      <c r="O1501" s="8" t="e">
        <f ca="1">[1]!BexGetData("DP_1","003N8EMH8GTFRIVOG7KG9J3KE","GSON1112150954")</f>
        <v>#NAME?</v>
      </c>
      <c r="P1501" s="8" t="e">
        <f ca="1">[1]!BexGetData("DP_1","003N8EMH8GTFRIVOG7KG9J9VY","GSON1112150954")</f>
        <v>#NAME?</v>
      </c>
      <c r="Q1501" s="4" t="e">
        <f ca="1">[1]!BexGetData("DP_1","00O2TNJGODT0G5Z4TTKYMM5MT","GSON1112150954")</f>
        <v>#NAME?</v>
      </c>
      <c r="R1501" s="4" t="e">
        <f ca="1">[1]!BexGetData("DP_1","00O2TNJGODT0G5Z4TTKYMMBYD","GSON1112150954")</f>
        <v>#NAME?</v>
      </c>
      <c r="S1501" s="4" t="e">
        <f ca="1">[1]!BexGetData("DP_1","00O2TNJGODT0G5Z4TTKYMMI9X","GSON1112150954")</f>
        <v>#NAME?</v>
      </c>
      <c r="T1501" s="4" t="e">
        <f ca="1">[1]!BexGetData("DP_1","00O2TNJGODT0G5Z4TTKYMMOLH","GSON1112150954")</f>
        <v>#NAME?</v>
      </c>
      <c r="U1501" s="4" t="e">
        <f ca="1">[1]!BexGetData("DP_1","00O2TNJGODT0G5Z4TTKYMMUX1","GSON1112150954")</f>
        <v>#NAME?</v>
      </c>
      <c r="V1501" s="4" t="e">
        <f ca="1">[1]!BexGetData("DP_1","00O2TNJGODT0G5Z4TTKYMN18L","GSON1112150954")</f>
        <v>#NAME?</v>
      </c>
      <c r="W1501" s="4" t="e">
        <f ca="1">[1]!BexGetData("DP_1","00O2TNJGODT0G5Z4TTKYMN7K5","GSON1112150954")</f>
        <v>#NAME?</v>
      </c>
    </row>
    <row r="1502" spans="1:23" x14ac:dyDescent="0.2">
      <c r="A1502" s="16" t="s">
        <v>3952</v>
      </c>
      <c r="B1502" s="7" t="s">
        <v>3953</v>
      </c>
      <c r="C1502" s="3" t="e">
        <f ca="1">[1]!BexGetData("DP_1","003N8EMH8GTFRCSWKMPXRR8GU","GSON1112150960")</f>
        <v>#NAME?</v>
      </c>
      <c r="D1502" s="3" t="e">
        <f ca="1">[1]!BexGetData("DP_1","003N8EMH8GTFRCSWKMPXRRESE","GSON1112150960")</f>
        <v>#NAME?</v>
      </c>
      <c r="E1502" s="8" t="e">
        <f ca="1">[1]!BexGetData("DP_1","003N8EMH8GTFRCSWKMPXRRL3Y","GSON1112150960")</f>
        <v>#NAME?</v>
      </c>
      <c r="F1502" s="3" t="e">
        <f ca="1">[1]!BexGetData("DP_1","003N8EMH8GTFRCSWKMPXRRRFI","GSON1112150960")</f>
        <v>#NAME?</v>
      </c>
      <c r="G1502" s="3" t="e">
        <f ca="1">[1]!BexGetData("DP_1","003N8EMH8GTFRCSWKMPXRRXR2","GSON1112150960")</f>
        <v>#NAME?</v>
      </c>
      <c r="H1502" s="8" t="e">
        <f ca="1">[1]!BexGetData("DP_1","003N8EMH8GTFRCSWKMPXRS42M","GSON1112150960")</f>
        <v>#NAME?</v>
      </c>
      <c r="I1502" s="3" t="e">
        <f ca="1">[1]!BexGetData("DP_1","003N8EMH8GTFRCSWKMPXRSAE6","GSON1112150960")</f>
        <v>#NAME?</v>
      </c>
      <c r="J1502" s="4" t="e">
        <f ca="1">[1]!BexGetData("DP_1","003N8EMH8GTFRCSWKMPXRSGPQ","GSON1112150960")</f>
        <v>#NAME?</v>
      </c>
      <c r="K1502" s="3" t="e">
        <f ca="1">[1]!BexGetData("DP_1","003N8EMH8GTFRIVNUPY288VJH","GSON1112150960")</f>
        <v>#NAME?</v>
      </c>
      <c r="L1502" s="3" t="e">
        <f ca="1">[1]!BexGetData("DP_1","003N8EMH8GTFRIVNUPY2891V1","GSON1112150960")</f>
        <v>#NAME?</v>
      </c>
      <c r="M1502" s="3" t="e">
        <f ca="1">[1]!BexGetData("DP_1","003N8EMH8GTFRIVOG7KG9IQXA","GSON1112150960")</f>
        <v>#NAME?</v>
      </c>
      <c r="N1502" s="8" t="e">
        <f ca="1">[1]!BexGetData("DP_1","003N8EMH8GTFRIVOG7KG9IX8U","GSON1112150960")</f>
        <v>#NAME?</v>
      </c>
      <c r="O1502" s="3" t="e">
        <f ca="1">[1]!BexGetData("DP_1","003N8EMH8GTFRIVOG7KG9J3KE","GSON1112150960")</f>
        <v>#NAME?</v>
      </c>
      <c r="P1502" s="8" t="e">
        <f ca="1">[1]!BexGetData("DP_1","003N8EMH8GTFRIVOG7KG9J9VY","GSON1112150960")</f>
        <v>#NAME?</v>
      </c>
      <c r="Q1502" s="4" t="e">
        <f ca="1">[1]!BexGetData("DP_1","00O2TNJGODT0G5Z4TTKYMM5MT","GSON1112150960")</f>
        <v>#NAME?</v>
      </c>
      <c r="R1502" s="3" t="e">
        <f ca="1">[1]!BexGetData("DP_1","00O2TNJGODT0G5Z4TTKYMMBYD","GSON1112150960")</f>
        <v>#NAME?</v>
      </c>
      <c r="S1502" s="3" t="e">
        <f ca="1">[1]!BexGetData("DP_1","00O2TNJGODT0G5Z4TTKYMMI9X","GSON1112150960")</f>
        <v>#NAME?</v>
      </c>
      <c r="T1502" s="8" t="e">
        <f ca="1">[1]!BexGetData("DP_1","00O2TNJGODT0G5Z4TTKYMMOLH","GSON1112150960")</f>
        <v>#NAME?</v>
      </c>
      <c r="U1502" s="3" t="e">
        <f ca="1">[1]!BexGetData("DP_1","00O2TNJGODT0G5Z4TTKYMMUX1","GSON1112150960")</f>
        <v>#NAME?</v>
      </c>
      <c r="V1502" s="8" t="e">
        <f ca="1">[1]!BexGetData("DP_1","00O2TNJGODT0G5Z4TTKYMN18L","GSON1112150960")</f>
        <v>#NAME?</v>
      </c>
      <c r="W1502" s="3" t="e">
        <f ca="1">[1]!BexGetData("DP_1","00O2TNJGODT0G5Z4TTKYMN7K5","GSON1112150960")</f>
        <v>#NAME?</v>
      </c>
    </row>
    <row r="1503" spans="1:23" x14ac:dyDescent="0.2">
      <c r="A1503" s="16" t="s">
        <v>3954</v>
      </c>
      <c r="B1503" s="7" t="s">
        <v>3955</v>
      </c>
      <c r="C1503" s="3" t="e">
        <f ca="1">[1]!BexGetData("DP_1","003N8EMH8GTFRCSWKMPXRR8GU","GSON1112150961")</f>
        <v>#NAME?</v>
      </c>
      <c r="D1503" s="3" t="e">
        <f ca="1">[1]!BexGetData("DP_1","003N8EMH8GTFRCSWKMPXRRESE","GSON1112150961")</f>
        <v>#NAME?</v>
      </c>
      <c r="E1503" s="8" t="e">
        <f ca="1">[1]!BexGetData("DP_1","003N8EMH8GTFRCSWKMPXRRL3Y","GSON1112150961")</f>
        <v>#NAME?</v>
      </c>
      <c r="F1503" s="4" t="e">
        <f ca="1">[1]!BexGetData("DP_1","003N8EMH8GTFRCSWKMPXRRRFI","GSON1112150961")</f>
        <v>#NAME?</v>
      </c>
      <c r="G1503" s="4" t="e">
        <f ca="1">[1]!BexGetData("DP_1","003N8EMH8GTFRCSWKMPXRRXR2","GSON1112150961")</f>
        <v>#NAME?</v>
      </c>
      <c r="H1503" s="4" t="e">
        <f ca="1">[1]!BexGetData("DP_1","003N8EMH8GTFRCSWKMPXRS42M","GSON1112150961")</f>
        <v>#NAME?</v>
      </c>
      <c r="I1503" s="4" t="e">
        <f ca="1">[1]!BexGetData("DP_1","003N8EMH8GTFRCSWKMPXRSAE6","GSON1112150961")</f>
        <v>#NAME?</v>
      </c>
      <c r="J1503" s="4" t="e">
        <f ca="1">[1]!BexGetData("DP_1","003N8EMH8GTFRCSWKMPXRSGPQ","GSON1112150961")</f>
        <v>#NAME?</v>
      </c>
      <c r="K1503" s="8" t="e">
        <f ca="1">[1]!BexGetData("DP_1","003N8EMH8GTFRIVNUPY288VJH","GSON1112150961")</f>
        <v>#NAME?</v>
      </c>
      <c r="L1503" s="8" t="e">
        <f ca="1">[1]!BexGetData("DP_1","003N8EMH8GTFRIVNUPY2891V1","GSON1112150961")</f>
        <v>#NAME?</v>
      </c>
      <c r="M1503" s="8" t="e">
        <f ca="1">[1]!BexGetData("DP_1","003N8EMH8GTFRIVOG7KG9IQXA","GSON1112150961")</f>
        <v>#NAME?</v>
      </c>
      <c r="N1503" s="8" t="e">
        <f ca="1">[1]!BexGetData("DP_1","003N8EMH8GTFRIVOG7KG9IX8U","GSON1112150961")</f>
        <v>#NAME?</v>
      </c>
      <c r="O1503" s="8" t="e">
        <f ca="1">[1]!BexGetData("DP_1","003N8EMH8GTFRIVOG7KG9J3KE","GSON1112150961")</f>
        <v>#NAME?</v>
      </c>
      <c r="P1503" s="8" t="e">
        <f ca="1">[1]!BexGetData("DP_1","003N8EMH8GTFRIVOG7KG9J9VY","GSON1112150961")</f>
        <v>#NAME?</v>
      </c>
      <c r="Q1503" s="4" t="e">
        <f ca="1">[1]!BexGetData("DP_1","00O2TNJGODT0G5Z4TTKYMM5MT","GSON1112150961")</f>
        <v>#NAME?</v>
      </c>
      <c r="R1503" s="4" t="e">
        <f ca="1">[1]!BexGetData("DP_1","00O2TNJGODT0G5Z4TTKYMMBYD","GSON1112150961")</f>
        <v>#NAME?</v>
      </c>
      <c r="S1503" s="4" t="e">
        <f ca="1">[1]!BexGetData("DP_1","00O2TNJGODT0G5Z4TTKYMMI9X","GSON1112150961")</f>
        <v>#NAME?</v>
      </c>
      <c r="T1503" s="4" t="e">
        <f ca="1">[1]!BexGetData("DP_1","00O2TNJGODT0G5Z4TTKYMMOLH","GSON1112150961")</f>
        <v>#NAME?</v>
      </c>
      <c r="U1503" s="4" t="e">
        <f ca="1">[1]!BexGetData("DP_1","00O2TNJGODT0G5Z4TTKYMMUX1","GSON1112150961")</f>
        <v>#NAME?</v>
      </c>
      <c r="V1503" s="4" t="e">
        <f ca="1">[1]!BexGetData("DP_1","00O2TNJGODT0G5Z4TTKYMN18L","GSON1112150961")</f>
        <v>#NAME?</v>
      </c>
      <c r="W1503" s="4" t="e">
        <f ca="1">[1]!BexGetData("DP_1","00O2TNJGODT0G5Z4TTKYMN7K5","GSON1112150961")</f>
        <v>#NAME?</v>
      </c>
    </row>
    <row r="1504" spans="1:23" x14ac:dyDescent="0.2">
      <c r="A1504" s="16" t="s">
        <v>3956</v>
      </c>
      <c r="B1504" s="7" t="s">
        <v>3957</v>
      </c>
      <c r="C1504" s="3" t="e">
        <f ca="1">[1]!BexGetData("DP_1","003N8EMH8GTFRCSWKMPXRR8GU","GSON1112150962")</f>
        <v>#NAME?</v>
      </c>
      <c r="D1504" s="3" t="e">
        <f ca="1">[1]!BexGetData("DP_1","003N8EMH8GTFRCSWKMPXRRESE","GSON1112150962")</f>
        <v>#NAME?</v>
      </c>
      <c r="E1504" s="8" t="e">
        <f ca="1">[1]!BexGetData("DP_1","003N8EMH8GTFRCSWKMPXRRL3Y","GSON1112150962")</f>
        <v>#NAME?</v>
      </c>
      <c r="F1504" s="3" t="e">
        <f ca="1">[1]!BexGetData("DP_1","003N8EMH8GTFRCSWKMPXRRRFI","GSON1112150962")</f>
        <v>#NAME?</v>
      </c>
      <c r="G1504" s="8" t="e">
        <f ca="1">[1]!BexGetData("DP_1","003N8EMH8GTFRCSWKMPXRRXR2","GSON1112150962")</f>
        <v>#NAME?</v>
      </c>
      <c r="H1504" s="3" t="e">
        <f ca="1">[1]!BexGetData("DP_1","003N8EMH8GTFRCSWKMPXRS42M","GSON1112150962")</f>
        <v>#NAME?</v>
      </c>
      <c r="I1504" s="3" t="e">
        <f ca="1">[1]!BexGetData("DP_1","003N8EMH8GTFRCSWKMPXRSAE6","GSON1112150962")</f>
        <v>#NAME?</v>
      </c>
      <c r="J1504" s="4" t="e">
        <f ca="1">[1]!BexGetData("DP_1","003N8EMH8GTFRCSWKMPXRSGPQ","GSON1112150962")</f>
        <v>#NAME?</v>
      </c>
      <c r="K1504" s="3" t="e">
        <f ca="1">[1]!BexGetData("DP_1","003N8EMH8GTFRIVNUPY288VJH","GSON1112150962")</f>
        <v>#NAME?</v>
      </c>
      <c r="L1504" s="3" t="e">
        <f ca="1">[1]!BexGetData("DP_1","003N8EMH8GTFRIVNUPY2891V1","GSON1112150962")</f>
        <v>#NAME?</v>
      </c>
      <c r="M1504" s="8" t="e">
        <f ca="1">[1]!BexGetData("DP_1","003N8EMH8GTFRIVOG7KG9IQXA","GSON1112150962")</f>
        <v>#NAME?</v>
      </c>
      <c r="N1504" s="3" t="e">
        <f ca="1">[1]!BexGetData("DP_1","003N8EMH8GTFRIVOG7KG9IX8U","GSON1112150962")</f>
        <v>#NAME?</v>
      </c>
      <c r="O1504" s="8" t="e">
        <f ca="1">[1]!BexGetData("DP_1","003N8EMH8GTFRIVOG7KG9J3KE","GSON1112150962")</f>
        <v>#NAME?</v>
      </c>
      <c r="P1504" s="3" t="e">
        <f ca="1">[1]!BexGetData("DP_1","003N8EMH8GTFRIVOG7KG9J9VY","GSON1112150962")</f>
        <v>#NAME?</v>
      </c>
      <c r="Q1504" s="4" t="e">
        <f ca="1">[1]!BexGetData("DP_1","00O2TNJGODT0G5Z4TTKYMM5MT","GSON1112150962")</f>
        <v>#NAME?</v>
      </c>
      <c r="R1504" s="3" t="e">
        <f ca="1">[1]!BexGetData("DP_1","00O2TNJGODT0G5Z4TTKYMMBYD","GSON1112150962")</f>
        <v>#NAME?</v>
      </c>
      <c r="S1504" s="3" t="e">
        <f ca="1">[1]!BexGetData("DP_1","00O2TNJGODT0G5Z4TTKYMMI9X","GSON1112150962")</f>
        <v>#NAME?</v>
      </c>
      <c r="T1504" s="3" t="e">
        <f ca="1">[1]!BexGetData("DP_1","00O2TNJGODT0G5Z4TTKYMMOLH","GSON1112150962")</f>
        <v>#NAME?</v>
      </c>
      <c r="U1504" s="8" t="e">
        <f ca="1">[1]!BexGetData("DP_1","00O2TNJGODT0G5Z4TTKYMMUX1","GSON1112150962")</f>
        <v>#NAME?</v>
      </c>
      <c r="V1504" s="3" t="e">
        <f ca="1">[1]!BexGetData("DP_1","00O2TNJGODT0G5Z4TTKYMN18L","GSON1112150962")</f>
        <v>#NAME?</v>
      </c>
      <c r="W1504" s="8" t="e">
        <f ca="1">[1]!BexGetData("DP_1","00O2TNJGODT0G5Z4TTKYMN7K5","GSON1112150962")</f>
        <v>#NAME?</v>
      </c>
    </row>
    <row r="1505" spans="1:23" x14ac:dyDescent="0.2">
      <c r="A1505" s="16" t="s">
        <v>3958</v>
      </c>
      <c r="B1505" s="7" t="s">
        <v>3959</v>
      </c>
      <c r="C1505" s="3" t="e">
        <f ca="1">[1]!BexGetData("DP_1","003N8EMH8GTFRCSWKMPXRR8GU","GSON1112150963")</f>
        <v>#NAME?</v>
      </c>
      <c r="D1505" s="3" t="e">
        <f ca="1">[1]!BexGetData("DP_1","003N8EMH8GTFRCSWKMPXRRESE","GSON1112150963")</f>
        <v>#NAME?</v>
      </c>
      <c r="E1505" s="8" t="e">
        <f ca="1">[1]!BexGetData("DP_1","003N8EMH8GTFRCSWKMPXRRL3Y","GSON1112150963")</f>
        <v>#NAME?</v>
      </c>
      <c r="F1505" s="4" t="e">
        <f ca="1">[1]!BexGetData("DP_1","003N8EMH8GTFRCSWKMPXRRRFI","GSON1112150963")</f>
        <v>#NAME?</v>
      </c>
      <c r="G1505" s="4" t="e">
        <f ca="1">[1]!BexGetData("DP_1","003N8EMH8GTFRCSWKMPXRRXR2","GSON1112150963")</f>
        <v>#NAME?</v>
      </c>
      <c r="H1505" s="4" t="e">
        <f ca="1">[1]!BexGetData("DP_1","003N8EMH8GTFRCSWKMPXRS42M","GSON1112150963")</f>
        <v>#NAME?</v>
      </c>
      <c r="I1505" s="4" t="e">
        <f ca="1">[1]!BexGetData("DP_1","003N8EMH8GTFRCSWKMPXRSAE6","GSON1112150963")</f>
        <v>#NAME?</v>
      </c>
      <c r="J1505" s="4" t="e">
        <f ca="1">[1]!BexGetData("DP_1","003N8EMH8GTFRCSWKMPXRSGPQ","GSON1112150963")</f>
        <v>#NAME?</v>
      </c>
      <c r="K1505" s="8" t="e">
        <f ca="1">[1]!BexGetData("DP_1","003N8EMH8GTFRIVNUPY288VJH","GSON1112150963")</f>
        <v>#NAME?</v>
      </c>
      <c r="L1505" s="8" t="e">
        <f ca="1">[1]!BexGetData("DP_1","003N8EMH8GTFRIVNUPY2891V1","GSON1112150963")</f>
        <v>#NAME?</v>
      </c>
      <c r="M1505" s="8" t="e">
        <f ca="1">[1]!BexGetData("DP_1","003N8EMH8GTFRIVOG7KG9IQXA","GSON1112150963")</f>
        <v>#NAME?</v>
      </c>
      <c r="N1505" s="8" t="e">
        <f ca="1">[1]!BexGetData("DP_1","003N8EMH8GTFRIVOG7KG9IX8U","GSON1112150963")</f>
        <v>#NAME?</v>
      </c>
      <c r="O1505" s="8" t="e">
        <f ca="1">[1]!BexGetData("DP_1","003N8EMH8GTFRIVOG7KG9J3KE","GSON1112150963")</f>
        <v>#NAME?</v>
      </c>
      <c r="P1505" s="8" t="e">
        <f ca="1">[1]!BexGetData("DP_1","003N8EMH8GTFRIVOG7KG9J9VY","GSON1112150963")</f>
        <v>#NAME?</v>
      </c>
      <c r="Q1505" s="4" t="e">
        <f ca="1">[1]!BexGetData("DP_1","00O2TNJGODT0G5Z4TTKYMM5MT","GSON1112150963")</f>
        <v>#NAME?</v>
      </c>
      <c r="R1505" s="4" t="e">
        <f ca="1">[1]!BexGetData("DP_1","00O2TNJGODT0G5Z4TTKYMMBYD","GSON1112150963")</f>
        <v>#NAME?</v>
      </c>
      <c r="S1505" s="4" t="e">
        <f ca="1">[1]!BexGetData("DP_1","00O2TNJGODT0G5Z4TTKYMMI9X","GSON1112150963")</f>
        <v>#NAME?</v>
      </c>
      <c r="T1505" s="4" t="e">
        <f ca="1">[1]!BexGetData("DP_1","00O2TNJGODT0G5Z4TTKYMMOLH","GSON1112150963")</f>
        <v>#NAME?</v>
      </c>
      <c r="U1505" s="4" t="e">
        <f ca="1">[1]!BexGetData("DP_1","00O2TNJGODT0G5Z4TTKYMMUX1","GSON1112150963")</f>
        <v>#NAME?</v>
      </c>
      <c r="V1505" s="4" t="e">
        <f ca="1">[1]!BexGetData("DP_1","00O2TNJGODT0G5Z4TTKYMN18L","GSON1112150963")</f>
        <v>#NAME?</v>
      </c>
      <c r="W1505" s="4" t="e">
        <f ca="1">[1]!BexGetData("DP_1","00O2TNJGODT0G5Z4TTKYMN7K5","GSON1112150963")</f>
        <v>#NAME?</v>
      </c>
    </row>
    <row r="1506" spans="1:23" x14ac:dyDescent="0.2">
      <c r="A1506" s="16" t="s">
        <v>3960</v>
      </c>
      <c r="B1506" s="7" t="s">
        <v>3961</v>
      </c>
      <c r="C1506" s="3" t="e">
        <f ca="1">[1]!BexGetData("DP_1","003N8EMH8GTFRCSWKMPXRR8GU","GSON1112150964")</f>
        <v>#NAME?</v>
      </c>
      <c r="D1506" s="3" t="e">
        <f ca="1">[1]!BexGetData("DP_1","003N8EMH8GTFRCSWKMPXRRESE","GSON1112150964")</f>
        <v>#NAME?</v>
      </c>
      <c r="E1506" s="8" t="e">
        <f ca="1">[1]!BexGetData("DP_1","003N8EMH8GTFRCSWKMPXRRL3Y","GSON1112150964")</f>
        <v>#NAME?</v>
      </c>
      <c r="F1506" s="4" t="e">
        <f ca="1">[1]!BexGetData("DP_1","003N8EMH8GTFRCSWKMPXRRRFI","GSON1112150964")</f>
        <v>#NAME?</v>
      </c>
      <c r="G1506" s="4" t="e">
        <f ca="1">[1]!BexGetData("DP_1","003N8EMH8GTFRCSWKMPXRRXR2","GSON1112150964")</f>
        <v>#NAME?</v>
      </c>
      <c r="H1506" s="4" t="e">
        <f ca="1">[1]!BexGetData("DP_1","003N8EMH8GTFRCSWKMPXRS42M","GSON1112150964")</f>
        <v>#NAME?</v>
      </c>
      <c r="I1506" s="4" t="e">
        <f ca="1">[1]!BexGetData("DP_1","003N8EMH8GTFRCSWKMPXRSAE6","GSON1112150964")</f>
        <v>#NAME?</v>
      </c>
      <c r="J1506" s="4" t="e">
        <f ca="1">[1]!BexGetData("DP_1","003N8EMH8GTFRCSWKMPXRSGPQ","GSON1112150964")</f>
        <v>#NAME?</v>
      </c>
      <c r="K1506" s="8" t="e">
        <f ca="1">[1]!BexGetData("DP_1","003N8EMH8GTFRIVNUPY288VJH","GSON1112150964")</f>
        <v>#NAME?</v>
      </c>
      <c r="L1506" s="8" t="e">
        <f ca="1">[1]!BexGetData("DP_1","003N8EMH8GTFRIVNUPY2891V1","GSON1112150964")</f>
        <v>#NAME?</v>
      </c>
      <c r="M1506" s="8" t="e">
        <f ca="1">[1]!BexGetData("DP_1","003N8EMH8GTFRIVOG7KG9IQXA","GSON1112150964")</f>
        <v>#NAME?</v>
      </c>
      <c r="N1506" s="8" t="e">
        <f ca="1">[1]!BexGetData("DP_1","003N8EMH8GTFRIVOG7KG9IX8U","GSON1112150964")</f>
        <v>#NAME?</v>
      </c>
      <c r="O1506" s="8" t="e">
        <f ca="1">[1]!BexGetData("DP_1","003N8EMH8GTFRIVOG7KG9J3KE","GSON1112150964")</f>
        <v>#NAME?</v>
      </c>
      <c r="P1506" s="8" t="e">
        <f ca="1">[1]!BexGetData("DP_1","003N8EMH8GTFRIVOG7KG9J9VY","GSON1112150964")</f>
        <v>#NAME?</v>
      </c>
      <c r="Q1506" s="4" t="e">
        <f ca="1">[1]!BexGetData("DP_1","00O2TNJGODT0G5Z4TTKYMM5MT","GSON1112150964")</f>
        <v>#NAME?</v>
      </c>
      <c r="R1506" s="4" t="e">
        <f ca="1">[1]!BexGetData("DP_1","00O2TNJGODT0G5Z4TTKYMMBYD","GSON1112150964")</f>
        <v>#NAME?</v>
      </c>
      <c r="S1506" s="4" t="e">
        <f ca="1">[1]!BexGetData("DP_1","00O2TNJGODT0G5Z4TTKYMMI9X","GSON1112150964")</f>
        <v>#NAME?</v>
      </c>
      <c r="T1506" s="4" t="e">
        <f ca="1">[1]!BexGetData("DP_1","00O2TNJGODT0G5Z4TTKYMMOLH","GSON1112150964")</f>
        <v>#NAME?</v>
      </c>
      <c r="U1506" s="4" t="e">
        <f ca="1">[1]!BexGetData("DP_1","00O2TNJGODT0G5Z4TTKYMMUX1","GSON1112150964")</f>
        <v>#NAME?</v>
      </c>
      <c r="V1506" s="4" t="e">
        <f ca="1">[1]!BexGetData("DP_1","00O2TNJGODT0G5Z4TTKYMN18L","GSON1112150964")</f>
        <v>#NAME?</v>
      </c>
      <c r="W1506" s="4" t="e">
        <f ca="1">[1]!BexGetData("DP_1","00O2TNJGODT0G5Z4TTKYMN7K5","GSON1112150964")</f>
        <v>#NAME?</v>
      </c>
    </row>
    <row r="1507" spans="1:23" x14ac:dyDescent="0.2">
      <c r="A1507" s="16" t="s">
        <v>3962</v>
      </c>
      <c r="B1507" s="7" t="s">
        <v>3963</v>
      </c>
      <c r="C1507" s="3" t="e">
        <f ca="1">[1]!BexGetData("DP_1","003N8EMH8GTFRCSWKMPXRR8GU","GSON1112150965")</f>
        <v>#NAME?</v>
      </c>
      <c r="D1507" s="3" t="e">
        <f ca="1">[1]!BexGetData("DP_1","003N8EMH8GTFRCSWKMPXRRESE","GSON1112150965")</f>
        <v>#NAME?</v>
      </c>
      <c r="E1507" s="8" t="e">
        <f ca="1">[1]!BexGetData("DP_1","003N8EMH8GTFRCSWKMPXRRL3Y","GSON1112150965")</f>
        <v>#NAME?</v>
      </c>
      <c r="F1507" s="4" t="e">
        <f ca="1">[1]!BexGetData("DP_1","003N8EMH8GTFRCSWKMPXRRRFI","GSON1112150965")</f>
        <v>#NAME?</v>
      </c>
      <c r="G1507" s="4" t="e">
        <f ca="1">[1]!BexGetData("DP_1","003N8EMH8GTFRCSWKMPXRRXR2","GSON1112150965")</f>
        <v>#NAME?</v>
      </c>
      <c r="H1507" s="4" t="e">
        <f ca="1">[1]!BexGetData("DP_1","003N8EMH8GTFRCSWKMPXRS42M","GSON1112150965")</f>
        <v>#NAME?</v>
      </c>
      <c r="I1507" s="4" t="e">
        <f ca="1">[1]!BexGetData("DP_1","003N8EMH8GTFRCSWKMPXRSAE6","GSON1112150965")</f>
        <v>#NAME?</v>
      </c>
      <c r="J1507" s="4" t="e">
        <f ca="1">[1]!BexGetData("DP_1","003N8EMH8GTFRCSWKMPXRSGPQ","GSON1112150965")</f>
        <v>#NAME?</v>
      </c>
      <c r="K1507" s="8" t="e">
        <f ca="1">[1]!BexGetData("DP_1","003N8EMH8GTFRIVNUPY288VJH","GSON1112150965")</f>
        <v>#NAME?</v>
      </c>
      <c r="L1507" s="8" t="e">
        <f ca="1">[1]!BexGetData("DP_1","003N8EMH8GTFRIVNUPY2891V1","GSON1112150965")</f>
        <v>#NAME?</v>
      </c>
      <c r="M1507" s="8" t="e">
        <f ca="1">[1]!BexGetData("DP_1","003N8EMH8GTFRIVOG7KG9IQXA","GSON1112150965")</f>
        <v>#NAME?</v>
      </c>
      <c r="N1507" s="8" t="e">
        <f ca="1">[1]!BexGetData("DP_1","003N8EMH8GTFRIVOG7KG9IX8U","GSON1112150965")</f>
        <v>#NAME?</v>
      </c>
      <c r="O1507" s="8" t="e">
        <f ca="1">[1]!BexGetData("DP_1","003N8EMH8GTFRIVOG7KG9J3KE","GSON1112150965")</f>
        <v>#NAME?</v>
      </c>
      <c r="P1507" s="8" t="e">
        <f ca="1">[1]!BexGetData("DP_1","003N8EMH8GTFRIVOG7KG9J9VY","GSON1112150965")</f>
        <v>#NAME?</v>
      </c>
      <c r="Q1507" s="4" t="e">
        <f ca="1">[1]!BexGetData("DP_1","00O2TNJGODT0G5Z4TTKYMM5MT","GSON1112150965")</f>
        <v>#NAME?</v>
      </c>
      <c r="R1507" s="4" t="e">
        <f ca="1">[1]!BexGetData("DP_1","00O2TNJGODT0G5Z4TTKYMMBYD","GSON1112150965")</f>
        <v>#NAME?</v>
      </c>
      <c r="S1507" s="4" t="e">
        <f ca="1">[1]!BexGetData("DP_1","00O2TNJGODT0G5Z4TTKYMMI9X","GSON1112150965")</f>
        <v>#NAME?</v>
      </c>
      <c r="T1507" s="4" t="e">
        <f ca="1">[1]!BexGetData("DP_1","00O2TNJGODT0G5Z4TTKYMMOLH","GSON1112150965")</f>
        <v>#NAME?</v>
      </c>
      <c r="U1507" s="4" t="e">
        <f ca="1">[1]!BexGetData("DP_1","00O2TNJGODT0G5Z4TTKYMMUX1","GSON1112150965")</f>
        <v>#NAME?</v>
      </c>
      <c r="V1507" s="4" t="e">
        <f ca="1">[1]!BexGetData("DP_1","00O2TNJGODT0G5Z4TTKYMN18L","GSON1112150965")</f>
        <v>#NAME?</v>
      </c>
      <c r="W1507" s="4" t="e">
        <f ca="1">[1]!BexGetData("DP_1","00O2TNJGODT0G5Z4TTKYMN7K5","GSON1112150965")</f>
        <v>#NAME?</v>
      </c>
    </row>
    <row r="1508" spans="1:23" x14ac:dyDescent="0.2">
      <c r="A1508" s="16" t="s">
        <v>3964</v>
      </c>
      <c r="B1508" s="7" t="s">
        <v>3965</v>
      </c>
      <c r="C1508" s="3" t="e">
        <f ca="1">[1]!BexGetData("DP_1","003N8EMH8GTFRCSWKMPXRR8GU","GSON1112150970")</f>
        <v>#NAME?</v>
      </c>
      <c r="D1508" s="3" t="e">
        <f ca="1">[1]!BexGetData("DP_1","003N8EMH8GTFRCSWKMPXRRESE","GSON1112150970")</f>
        <v>#NAME?</v>
      </c>
      <c r="E1508" s="3" t="e">
        <f ca="1">[1]!BexGetData("DP_1","003N8EMH8GTFRCSWKMPXRRL3Y","GSON1112150970")</f>
        <v>#NAME?</v>
      </c>
      <c r="F1508" s="3" t="e">
        <f ca="1">[1]!BexGetData("DP_1","003N8EMH8GTFRCSWKMPXRRRFI","GSON1112150970")</f>
        <v>#NAME?</v>
      </c>
      <c r="G1508" s="3" t="e">
        <f ca="1">[1]!BexGetData("DP_1","003N8EMH8GTFRCSWKMPXRRXR2","GSON1112150970")</f>
        <v>#NAME?</v>
      </c>
      <c r="H1508" s="8" t="e">
        <f ca="1">[1]!BexGetData("DP_1","003N8EMH8GTFRCSWKMPXRS42M","GSON1112150970")</f>
        <v>#NAME?</v>
      </c>
      <c r="I1508" s="3" t="e">
        <f ca="1">[1]!BexGetData("DP_1","003N8EMH8GTFRCSWKMPXRSAE6","GSON1112150970")</f>
        <v>#NAME?</v>
      </c>
      <c r="J1508" s="4" t="e">
        <f ca="1">[1]!BexGetData("DP_1","003N8EMH8GTFRCSWKMPXRSGPQ","GSON1112150970")</f>
        <v>#NAME?</v>
      </c>
      <c r="K1508" s="3" t="e">
        <f ca="1">[1]!BexGetData("DP_1","003N8EMH8GTFRIVNUPY288VJH","GSON1112150970")</f>
        <v>#NAME?</v>
      </c>
      <c r="L1508" s="3" t="e">
        <f ca="1">[1]!BexGetData("DP_1","003N8EMH8GTFRIVNUPY2891V1","GSON1112150970")</f>
        <v>#NAME?</v>
      </c>
      <c r="M1508" s="3" t="e">
        <f ca="1">[1]!BexGetData("DP_1","003N8EMH8GTFRIVOG7KG9IQXA","GSON1112150970")</f>
        <v>#NAME?</v>
      </c>
      <c r="N1508" s="8" t="e">
        <f ca="1">[1]!BexGetData("DP_1","003N8EMH8GTFRIVOG7KG9IX8U","GSON1112150970")</f>
        <v>#NAME?</v>
      </c>
      <c r="O1508" s="3" t="e">
        <f ca="1">[1]!BexGetData("DP_1","003N8EMH8GTFRIVOG7KG9J3KE","GSON1112150970")</f>
        <v>#NAME?</v>
      </c>
      <c r="P1508" s="8" t="e">
        <f ca="1">[1]!BexGetData("DP_1","003N8EMH8GTFRIVOG7KG9J9VY","GSON1112150970")</f>
        <v>#NAME?</v>
      </c>
      <c r="Q1508" s="4" t="e">
        <f ca="1">[1]!BexGetData("DP_1","00O2TNJGODT0G5Z4TTKYMM5MT","GSON1112150970")</f>
        <v>#NAME?</v>
      </c>
      <c r="R1508" s="3" t="e">
        <f ca="1">[1]!BexGetData("DP_1","00O2TNJGODT0G5Z4TTKYMMBYD","GSON1112150970")</f>
        <v>#NAME?</v>
      </c>
      <c r="S1508" s="3" t="e">
        <f ca="1">[1]!BexGetData("DP_1","00O2TNJGODT0G5Z4TTKYMMI9X","GSON1112150970")</f>
        <v>#NAME?</v>
      </c>
      <c r="T1508" s="8" t="e">
        <f ca="1">[1]!BexGetData("DP_1","00O2TNJGODT0G5Z4TTKYMMOLH","GSON1112150970")</f>
        <v>#NAME?</v>
      </c>
      <c r="U1508" s="3" t="e">
        <f ca="1">[1]!BexGetData("DP_1","00O2TNJGODT0G5Z4TTKYMMUX1","GSON1112150970")</f>
        <v>#NAME?</v>
      </c>
      <c r="V1508" s="8" t="e">
        <f ca="1">[1]!BexGetData("DP_1","00O2TNJGODT0G5Z4TTKYMN18L","GSON1112150970")</f>
        <v>#NAME?</v>
      </c>
      <c r="W1508" s="3" t="e">
        <f ca="1">[1]!BexGetData("DP_1","00O2TNJGODT0G5Z4TTKYMN7K5","GSON1112150970")</f>
        <v>#NAME?</v>
      </c>
    </row>
    <row r="1509" spans="1:23" x14ac:dyDescent="0.2">
      <c r="A1509" s="16" t="s">
        <v>3966</v>
      </c>
      <c r="B1509" s="7" t="s">
        <v>3967</v>
      </c>
      <c r="C1509" s="3" t="e">
        <f ca="1">[1]!BexGetData("DP_1","003N8EMH8GTFRCSWKMPXRR8GU","GSON1112150972")</f>
        <v>#NAME?</v>
      </c>
      <c r="D1509" s="3" t="e">
        <f ca="1">[1]!BexGetData("DP_1","003N8EMH8GTFRCSWKMPXRRESE","GSON1112150972")</f>
        <v>#NAME?</v>
      </c>
      <c r="E1509" s="8" t="e">
        <f ca="1">[1]!BexGetData("DP_1","003N8EMH8GTFRCSWKMPXRRL3Y","GSON1112150972")</f>
        <v>#NAME?</v>
      </c>
      <c r="F1509" s="3" t="e">
        <f ca="1">[1]!BexGetData("DP_1","003N8EMH8GTFRCSWKMPXRRRFI","GSON1112150972")</f>
        <v>#NAME?</v>
      </c>
      <c r="G1509" s="8" t="e">
        <f ca="1">[1]!BexGetData("DP_1","003N8EMH8GTFRCSWKMPXRRXR2","GSON1112150972")</f>
        <v>#NAME?</v>
      </c>
      <c r="H1509" s="3" t="e">
        <f ca="1">[1]!BexGetData("DP_1","003N8EMH8GTFRCSWKMPXRS42M","GSON1112150972")</f>
        <v>#NAME?</v>
      </c>
      <c r="I1509" s="3" t="e">
        <f ca="1">[1]!BexGetData("DP_1","003N8EMH8GTFRCSWKMPXRSAE6","GSON1112150972")</f>
        <v>#NAME?</v>
      </c>
      <c r="J1509" s="4" t="e">
        <f ca="1">[1]!BexGetData("DP_1","003N8EMH8GTFRCSWKMPXRSGPQ","GSON1112150972")</f>
        <v>#NAME?</v>
      </c>
      <c r="K1509" s="3" t="e">
        <f ca="1">[1]!BexGetData("DP_1","003N8EMH8GTFRIVNUPY288VJH","GSON1112150972")</f>
        <v>#NAME?</v>
      </c>
      <c r="L1509" s="3" t="e">
        <f ca="1">[1]!BexGetData("DP_1","003N8EMH8GTFRIVNUPY2891V1","GSON1112150972")</f>
        <v>#NAME?</v>
      </c>
      <c r="M1509" s="8" t="e">
        <f ca="1">[1]!BexGetData("DP_1","003N8EMH8GTFRIVOG7KG9IQXA","GSON1112150972")</f>
        <v>#NAME?</v>
      </c>
      <c r="N1509" s="3" t="e">
        <f ca="1">[1]!BexGetData("DP_1","003N8EMH8GTFRIVOG7KG9IX8U","GSON1112150972")</f>
        <v>#NAME?</v>
      </c>
      <c r="O1509" s="8" t="e">
        <f ca="1">[1]!BexGetData("DP_1","003N8EMH8GTFRIVOG7KG9J3KE","GSON1112150972")</f>
        <v>#NAME?</v>
      </c>
      <c r="P1509" s="3" t="e">
        <f ca="1">[1]!BexGetData("DP_1","003N8EMH8GTFRIVOG7KG9J9VY","GSON1112150972")</f>
        <v>#NAME?</v>
      </c>
      <c r="Q1509" s="4" t="e">
        <f ca="1">[1]!BexGetData("DP_1","00O2TNJGODT0G5Z4TTKYMM5MT","GSON1112150972")</f>
        <v>#NAME?</v>
      </c>
      <c r="R1509" s="3" t="e">
        <f ca="1">[1]!BexGetData("DP_1","00O2TNJGODT0G5Z4TTKYMMBYD","GSON1112150972")</f>
        <v>#NAME?</v>
      </c>
      <c r="S1509" s="3" t="e">
        <f ca="1">[1]!BexGetData("DP_1","00O2TNJGODT0G5Z4TTKYMMI9X","GSON1112150972")</f>
        <v>#NAME?</v>
      </c>
      <c r="T1509" s="3" t="e">
        <f ca="1">[1]!BexGetData("DP_1","00O2TNJGODT0G5Z4TTKYMMOLH","GSON1112150972")</f>
        <v>#NAME?</v>
      </c>
      <c r="U1509" s="8" t="e">
        <f ca="1">[1]!BexGetData("DP_1","00O2TNJGODT0G5Z4TTKYMMUX1","GSON1112150972")</f>
        <v>#NAME?</v>
      </c>
      <c r="V1509" s="3" t="e">
        <f ca="1">[1]!BexGetData("DP_1","00O2TNJGODT0G5Z4TTKYMN18L","GSON1112150972")</f>
        <v>#NAME?</v>
      </c>
      <c r="W1509" s="8" t="e">
        <f ca="1">[1]!BexGetData("DP_1","00O2TNJGODT0G5Z4TTKYMN7K5","GSON1112150972")</f>
        <v>#NAME?</v>
      </c>
    </row>
    <row r="1510" spans="1:23" x14ac:dyDescent="0.2">
      <c r="A1510" s="16" t="s">
        <v>3968</v>
      </c>
      <c r="B1510" s="7" t="s">
        <v>3969</v>
      </c>
      <c r="C1510" s="3" t="e">
        <f ca="1">[1]!BexGetData("DP_1","003N8EMH8GTFRCSWKMPXRR8GU","GSON1112150973")</f>
        <v>#NAME?</v>
      </c>
      <c r="D1510" s="3" t="e">
        <f ca="1">[1]!BexGetData("DP_1","003N8EMH8GTFRCSWKMPXRRESE","GSON1112150973")</f>
        <v>#NAME?</v>
      </c>
      <c r="E1510" s="8" t="e">
        <f ca="1">[1]!BexGetData("DP_1","003N8EMH8GTFRCSWKMPXRRL3Y","GSON1112150973")</f>
        <v>#NAME?</v>
      </c>
      <c r="F1510" s="4" t="e">
        <f ca="1">[1]!BexGetData("DP_1","003N8EMH8GTFRCSWKMPXRRRFI","GSON1112150973")</f>
        <v>#NAME?</v>
      </c>
      <c r="G1510" s="4" t="e">
        <f ca="1">[1]!BexGetData("DP_1","003N8EMH8GTFRCSWKMPXRRXR2","GSON1112150973")</f>
        <v>#NAME?</v>
      </c>
      <c r="H1510" s="4" t="e">
        <f ca="1">[1]!BexGetData("DP_1","003N8EMH8GTFRCSWKMPXRS42M","GSON1112150973")</f>
        <v>#NAME?</v>
      </c>
      <c r="I1510" s="4" t="e">
        <f ca="1">[1]!BexGetData("DP_1","003N8EMH8GTFRCSWKMPXRSAE6","GSON1112150973")</f>
        <v>#NAME?</v>
      </c>
      <c r="J1510" s="4" t="e">
        <f ca="1">[1]!BexGetData("DP_1","003N8EMH8GTFRCSWKMPXRSGPQ","GSON1112150973")</f>
        <v>#NAME?</v>
      </c>
      <c r="K1510" s="8" t="e">
        <f ca="1">[1]!BexGetData("DP_1","003N8EMH8GTFRIVNUPY288VJH","GSON1112150973")</f>
        <v>#NAME?</v>
      </c>
      <c r="L1510" s="8" t="e">
        <f ca="1">[1]!BexGetData("DP_1","003N8EMH8GTFRIVNUPY2891V1","GSON1112150973")</f>
        <v>#NAME?</v>
      </c>
      <c r="M1510" s="8" t="e">
        <f ca="1">[1]!BexGetData("DP_1","003N8EMH8GTFRIVOG7KG9IQXA","GSON1112150973")</f>
        <v>#NAME?</v>
      </c>
      <c r="N1510" s="8" t="e">
        <f ca="1">[1]!BexGetData("DP_1","003N8EMH8GTFRIVOG7KG9IX8U","GSON1112150973")</f>
        <v>#NAME?</v>
      </c>
      <c r="O1510" s="8" t="e">
        <f ca="1">[1]!BexGetData("DP_1","003N8EMH8GTFRIVOG7KG9J3KE","GSON1112150973")</f>
        <v>#NAME?</v>
      </c>
      <c r="P1510" s="8" t="e">
        <f ca="1">[1]!BexGetData("DP_1","003N8EMH8GTFRIVOG7KG9J9VY","GSON1112150973")</f>
        <v>#NAME?</v>
      </c>
      <c r="Q1510" s="4" t="e">
        <f ca="1">[1]!BexGetData("DP_1","00O2TNJGODT0G5Z4TTKYMM5MT","GSON1112150973")</f>
        <v>#NAME?</v>
      </c>
      <c r="R1510" s="4" t="e">
        <f ca="1">[1]!BexGetData("DP_1","00O2TNJGODT0G5Z4TTKYMMBYD","GSON1112150973")</f>
        <v>#NAME?</v>
      </c>
      <c r="S1510" s="4" t="e">
        <f ca="1">[1]!BexGetData("DP_1","00O2TNJGODT0G5Z4TTKYMMI9X","GSON1112150973")</f>
        <v>#NAME?</v>
      </c>
      <c r="T1510" s="4" t="e">
        <f ca="1">[1]!BexGetData("DP_1","00O2TNJGODT0G5Z4TTKYMMOLH","GSON1112150973")</f>
        <v>#NAME?</v>
      </c>
      <c r="U1510" s="4" t="e">
        <f ca="1">[1]!BexGetData("DP_1","00O2TNJGODT0G5Z4TTKYMMUX1","GSON1112150973")</f>
        <v>#NAME?</v>
      </c>
      <c r="V1510" s="4" t="e">
        <f ca="1">[1]!BexGetData("DP_1","00O2TNJGODT0G5Z4TTKYMN18L","GSON1112150973")</f>
        <v>#NAME?</v>
      </c>
      <c r="W1510" s="4" t="e">
        <f ca="1">[1]!BexGetData("DP_1","00O2TNJGODT0G5Z4TTKYMN7K5","GSON1112150973")</f>
        <v>#NAME?</v>
      </c>
    </row>
    <row r="1511" spans="1:23" x14ac:dyDescent="0.2">
      <c r="A1511" s="16" t="s">
        <v>3970</v>
      </c>
      <c r="B1511" s="7" t="s">
        <v>3971</v>
      </c>
      <c r="C1511" s="3" t="e">
        <f ca="1">[1]!BexGetData("DP_1","003N8EMH8GTFRCSWKMPXRR8GU","GSON1112150974")</f>
        <v>#NAME?</v>
      </c>
      <c r="D1511" s="3" t="e">
        <f ca="1">[1]!BexGetData("DP_1","003N8EMH8GTFRCSWKMPXRRESE","GSON1112150974")</f>
        <v>#NAME?</v>
      </c>
      <c r="E1511" s="8" t="e">
        <f ca="1">[1]!BexGetData("DP_1","003N8EMH8GTFRCSWKMPXRRL3Y","GSON1112150974")</f>
        <v>#NAME?</v>
      </c>
      <c r="F1511" s="4" t="e">
        <f ca="1">[1]!BexGetData("DP_1","003N8EMH8GTFRCSWKMPXRRRFI","GSON1112150974")</f>
        <v>#NAME?</v>
      </c>
      <c r="G1511" s="4" t="e">
        <f ca="1">[1]!BexGetData("DP_1","003N8EMH8GTFRCSWKMPXRRXR2","GSON1112150974")</f>
        <v>#NAME?</v>
      </c>
      <c r="H1511" s="4" t="e">
        <f ca="1">[1]!BexGetData("DP_1","003N8EMH8GTFRCSWKMPXRS42M","GSON1112150974")</f>
        <v>#NAME?</v>
      </c>
      <c r="I1511" s="4" t="e">
        <f ca="1">[1]!BexGetData("DP_1","003N8EMH8GTFRCSWKMPXRSAE6","GSON1112150974")</f>
        <v>#NAME?</v>
      </c>
      <c r="J1511" s="4" t="e">
        <f ca="1">[1]!BexGetData("DP_1","003N8EMH8GTFRCSWKMPXRSGPQ","GSON1112150974")</f>
        <v>#NAME?</v>
      </c>
      <c r="K1511" s="8" t="e">
        <f ca="1">[1]!BexGetData("DP_1","003N8EMH8GTFRIVNUPY288VJH","GSON1112150974")</f>
        <v>#NAME?</v>
      </c>
      <c r="L1511" s="8" t="e">
        <f ca="1">[1]!BexGetData("DP_1","003N8EMH8GTFRIVNUPY2891V1","GSON1112150974")</f>
        <v>#NAME?</v>
      </c>
      <c r="M1511" s="8" t="e">
        <f ca="1">[1]!BexGetData("DP_1","003N8EMH8GTFRIVOG7KG9IQXA","GSON1112150974")</f>
        <v>#NAME?</v>
      </c>
      <c r="N1511" s="8" t="e">
        <f ca="1">[1]!BexGetData("DP_1","003N8EMH8GTFRIVOG7KG9IX8U","GSON1112150974")</f>
        <v>#NAME?</v>
      </c>
      <c r="O1511" s="8" t="e">
        <f ca="1">[1]!BexGetData("DP_1","003N8EMH8GTFRIVOG7KG9J3KE","GSON1112150974")</f>
        <v>#NAME?</v>
      </c>
      <c r="P1511" s="8" t="e">
        <f ca="1">[1]!BexGetData("DP_1","003N8EMH8GTFRIVOG7KG9J9VY","GSON1112150974")</f>
        <v>#NAME?</v>
      </c>
      <c r="Q1511" s="4" t="e">
        <f ca="1">[1]!BexGetData("DP_1","00O2TNJGODT0G5Z4TTKYMM5MT","GSON1112150974")</f>
        <v>#NAME?</v>
      </c>
      <c r="R1511" s="4" t="e">
        <f ca="1">[1]!BexGetData("DP_1","00O2TNJGODT0G5Z4TTKYMMBYD","GSON1112150974")</f>
        <v>#NAME?</v>
      </c>
      <c r="S1511" s="4" t="e">
        <f ca="1">[1]!BexGetData("DP_1","00O2TNJGODT0G5Z4TTKYMMI9X","GSON1112150974")</f>
        <v>#NAME?</v>
      </c>
      <c r="T1511" s="4" t="e">
        <f ca="1">[1]!BexGetData("DP_1","00O2TNJGODT0G5Z4TTKYMMOLH","GSON1112150974")</f>
        <v>#NAME?</v>
      </c>
      <c r="U1511" s="4" t="e">
        <f ca="1">[1]!BexGetData("DP_1","00O2TNJGODT0G5Z4TTKYMMUX1","GSON1112150974")</f>
        <v>#NAME?</v>
      </c>
      <c r="V1511" s="4" t="e">
        <f ca="1">[1]!BexGetData("DP_1","00O2TNJGODT0G5Z4TTKYMN18L","GSON1112150974")</f>
        <v>#NAME?</v>
      </c>
      <c r="W1511" s="4" t="e">
        <f ca="1">[1]!BexGetData("DP_1","00O2TNJGODT0G5Z4TTKYMN7K5","GSON1112150974")</f>
        <v>#NAME?</v>
      </c>
    </row>
    <row r="1512" spans="1:23" x14ac:dyDescent="0.2">
      <c r="A1512" s="16" t="s">
        <v>3972</v>
      </c>
      <c r="B1512" s="7" t="s">
        <v>3973</v>
      </c>
      <c r="C1512" s="3" t="e">
        <f ca="1">[1]!BexGetData("DP_1","003N8EMH8GTFRCSWKMPXRR8GU","GSON1112150975")</f>
        <v>#NAME?</v>
      </c>
      <c r="D1512" s="3" t="e">
        <f ca="1">[1]!BexGetData("DP_1","003N8EMH8GTFRCSWKMPXRRESE","GSON1112150975")</f>
        <v>#NAME?</v>
      </c>
      <c r="E1512" s="8" t="e">
        <f ca="1">[1]!BexGetData("DP_1","003N8EMH8GTFRCSWKMPXRRL3Y","GSON1112150975")</f>
        <v>#NAME?</v>
      </c>
      <c r="F1512" s="4" t="e">
        <f ca="1">[1]!BexGetData("DP_1","003N8EMH8GTFRCSWKMPXRRRFI","GSON1112150975")</f>
        <v>#NAME?</v>
      </c>
      <c r="G1512" s="4" t="e">
        <f ca="1">[1]!BexGetData("DP_1","003N8EMH8GTFRCSWKMPXRRXR2","GSON1112150975")</f>
        <v>#NAME?</v>
      </c>
      <c r="H1512" s="4" t="e">
        <f ca="1">[1]!BexGetData("DP_1","003N8EMH8GTFRCSWKMPXRS42M","GSON1112150975")</f>
        <v>#NAME?</v>
      </c>
      <c r="I1512" s="4" t="e">
        <f ca="1">[1]!BexGetData("DP_1","003N8EMH8GTFRCSWKMPXRSAE6","GSON1112150975")</f>
        <v>#NAME?</v>
      </c>
      <c r="J1512" s="4" t="e">
        <f ca="1">[1]!BexGetData("DP_1","003N8EMH8GTFRCSWKMPXRSGPQ","GSON1112150975")</f>
        <v>#NAME?</v>
      </c>
      <c r="K1512" s="8" t="e">
        <f ca="1">[1]!BexGetData("DP_1","003N8EMH8GTFRIVNUPY288VJH","GSON1112150975")</f>
        <v>#NAME?</v>
      </c>
      <c r="L1512" s="8" t="e">
        <f ca="1">[1]!BexGetData("DP_1","003N8EMH8GTFRIVNUPY2891V1","GSON1112150975")</f>
        <v>#NAME?</v>
      </c>
      <c r="M1512" s="8" t="e">
        <f ca="1">[1]!BexGetData("DP_1","003N8EMH8GTFRIVOG7KG9IQXA","GSON1112150975")</f>
        <v>#NAME?</v>
      </c>
      <c r="N1512" s="8" t="e">
        <f ca="1">[1]!BexGetData("DP_1","003N8EMH8GTFRIVOG7KG9IX8U","GSON1112150975")</f>
        <v>#NAME?</v>
      </c>
      <c r="O1512" s="8" t="e">
        <f ca="1">[1]!BexGetData("DP_1","003N8EMH8GTFRIVOG7KG9J3KE","GSON1112150975")</f>
        <v>#NAME?</v>
      </c>
      <c r="P1512" s="8" t="e">
        <f ca="1">[1]!BexGetData("DP_1","003N8EMH8GTFRIVOG7KG9J9VY","GSON1112150975")</f>
        <v>#NAME?</v>
      </c>
      <c r="Q1512" s="4" t="e">
        <f ca="1">[1]!BexGetData("DP_1","00O2TNJGODT0G5Z4TTKYMM5MT","GSON1112150975")</f>
        <v>#NAME?</v>
      </c>
      <c r="R1512" s="4" t="e">
        <f ca="1">[1]!BexGetData("DP_1","00O2TNJGODT0G5Z4TTKYMMBYD","GSON1112150975")</f>
        <v>#NAME?</v>
      </c>
      <c r="S1512" s="4" t="e">
        <f ca="1">[1]!BexGetData("DP_1","00O2TNJGODT0G5Z4TTKYMMI9X","GSON1112150975")</f>
        <v>#NAME?</v>
      </c>
      <c r="T1512" s="4" t="e">
        <f ca="1">[1]!BexGetData("DP_1","00O2TNJGODT0G5Z4TTKYMMOLH","GSON1112150975")</f>
        <v>#NAME?</v>
      </c>
      <c r="U1512" s="4" t="e">
        <f ca="1">[1]!BexGetData("DP_1","00O2TNJGODT0G5Z4TTKYMMUX1","GSON1112150975")</f>
        <v>#NAME?</v>
      </c>
      <c r="V1512" s="4" t="e">
        <f ca="1">[1]!BexGetData("DP_1","00O2TNJGODT0G5Z4TTKYMN18L","GSON1112150975")</f>
        <v>#NAME?</v>
      </c>
      <c r="W1512" s="4" t="e">
        <f ca="1">[1]!BexGetData("DP_1","00O2TNJGODT0G5Z4TTKYMN7K5","GSON1112150975")</f>
        <v>#NAME?</v>
      </c>
    </row>
    <row r="1513" spans="1:23" x14ac:dyDescent="0.2">
      <c r="A1513" s="16" t="s">
        <v>3974</v>
      </c>
      <c r="B1513" s="7" t="s">
        <v>3975</v>
      </c>
      <c r="C1513" s="3" t="e">
        <f ca="1">[1]!BexGetData("DP_1","003N8EMH8GTFRCSWKMPXRR8GU","GSON1112150980")</f>
        <v>#NAME?</v>
      </c>
      <c r="D1513" s="3" t="e">
        <f ca="1">[1]!BexGetData("DP_1","003N8EMH8GTFRCSWKMPXRRESE","GSON1112150980")</f>
        <v>#NAME?</v>
      </c>
      <c r="E1513" s="3" t="e">
        <f ca="1">[1]!BexGetData("DP_1","003N8EMH8GTFRCSWKMPXRRL3Y","GSON1112150980")</f>
        <v>#NAME?</v>
      </c>
      <c r="F1513" s="3" t="e">
        <f ca="1">[1]!BexGetData("DP_1","003N8EMH8GTFRCSWKMPXRRRFI","GSON1112150980")</f>
        <v>#NAME?</v>
      </c>
      <c r="G1513" s="3" t="e">
        <f ca="1">[1]!BexGetData("DP_1","003N8EMH8GTFRCSWKMPXRRXR2","GSON1112150980")</f>
        <v>#NAME?</v>
      </c>
      <c r="H1513" s="8" t="e">
        <f ca="1">[1]!BexGetData("DP_1","003N8EMH8GTFRCSWKMPXRS42M","GSON1112150980")</f>
        <v>#NAME?</v>
      </c>
      <c r="I1513" s="3" t="e">
        <f ca="1">[1]!BexGetData("DP_1","003N8EMH8GTFRCSWKMPXRSAE6","GSON1112150980")</f>
        <v>#NAME?</v>
      </c>
      <c r="J1513" s="4" t="e">
        <f ca="1">[1]!BexGetData("DP_1","003N8EMH8GTFRCSWKMPXRSGPQ","GSON1112150980")</f>
        <v>#NAME?</v>
      </c>
      <c r="K1513" s="3" t="e">
        <f ca="1">[1]!BexGetData("DP_1","003N8EMH8GTFRIVNUPY288VJH","GSON1112150980")</f>
        <v>#NAME?</v>
      </c>
      <c r="L1513" s="3" t="e">
        <f ca="1">[1]!BexGetData("DP_1","003N8EMH8GTFRIVNUPY2891V1","GSON1112150980")</f>
        <v>#NAME?</v>
      </c>
      <c r="M1513" s="3" t="e">
        <f ca="1">[1]!BexGetData("DP_1","003N8EMH8GTFRIVOG7KG9IQXA","GSON1112150980")</f>
        <v>#NAME?</v>
      </c>
      <c r="N1513" s="8" t="e">
        <f ca="1">[1]!BexGetData("DP_1","003N8EMH8GTFRIVOG7KG9IX8U","GSON1112150980")</f>
        <v>#NAME?</v>
      </c>
      <c r="O1513" s="3" t="e">
        <f ca="1">[1]!BexGetData("DP_1","003N8EMH8GTFRIVOG7KG9J3KE","GSON1112150980")</f>
        <v>#NAME?</v>
      </c>
      <c r="P1513" s="8" t="e">
        <f ca="1">[1]!BexGetData("DP_1","003N8EMH8GTFRIVOG7KG9J9VY","GSON1112150980")</f>
        <v>#NAME?</v>
      </c>
      <c r="Q1513" s="4" t="e">
        <f ca="1">[1]!BexGetData("DP_1","00O2TNJGODT0G5Z4TTKYMM5MT","GSON1112150980")</f>
        <v>#NAME?</v>
      </c>
      <c r="R1513" s="3" t="e">
        <f ca="1">[1]!BexGetData("DP_1","00O2TNJGODT0G5Z4TTKYMMBYD","GSON1112150980")</f>
        <v>#NAME?</v>
      </c>
      <c r="S1513" s="3" t="e">
        <f ca="1">[1]!BexGetData("DP_1","00O2TNJGODT0G5Z4TTKYMMI9X","GSON1112150980")</f>
        <v>#NAME?</v>
      </c>
      <c r="T1513" s="8" t="e">
        <f ca="1">[1]!BexGetData("DP_1","00O2TNJGODT0G5Z4TTKYMMOLH","GSON1112150980")</f>
        <v>#NAME?</v>
      </c>
      <c r="U1513" s="3" t="e">
        <f ca="1">[1]!BexGetData("DP_1","00O2TNJGODT0G5Z4TTKYMMUX1","GSON1112150980")</f>
        <v>#NAME?</v>
      </c>
      <c r="V1513" s="8" t="e">
        <f ca="1">[1]!BexGetData("DP_1","00O2TNJGODT0G5Z4TTKYMN18L","GSON1112150980")</f>
        <v>#NAME?</v>
      </c>
      <c r="W1513" s="3" t="e">
        <f ca="1">[1]!BexGetData("DP_1","00O2TNJGODT0G5Z4TTKYMN7K5","GSON1112150980")</f>
        <v>#NAME?</v>
      </c>
    </row>
    <row r="1514" spans="1:23" x14ac:dyDescent="0.2">
      <c r="A1514" s="16" t="s">
        <v>3976</v>
      </c>
      <c r="B1514" s="7" t="s">
        <v>3977</v>
      </c>
      <c r="C1514" s="3" t="e">
        <f ca="1">[1]!BexGetData("DP_1","003N8EMH8GTFRCSWKMPXRR8GU","GSON1112150982")</f>
        <v>#NAME?</v>
      </c>
      <c r="D1514" s="3" t="e">
        <f ca="1">[1]!BexGetData("DP_1","003N8EMH8GTFRCSWKMPXRRESE","GSON1112150982")</f>
        <v>#NAME?</v>
      </c>
      <c r="E1514" s="3" t="e">
        <f ca="1">[1]!BexGetData("DP_1","003N8EMH8GTFRCSWKMPXRRL3Y","GSON1112150982")</f>
        <v>#NAME?</v>
      </c>
      <c r="F1514" s="3" t="e">
        <f ca="1">[1]!BexGetData("DP_1","003N8EMH8GTFRCSWKMPXRRRFI","GSON1112150982")</f>
        <v>#NAME?</v>
      </c>
      <c r="G1514" s="8" t="e">
        <f ca="1">[1]!BexGetData("DP_1","003N8EMH8GTFRCSWKMPXRRXR2","GSON1112150982")</f>
        <v>#NAME?</v>
      </c>
      <c r="H1514" s="3" t="e">
        <f ca="1">[1]!BexGetData("DP_1","003N8EMH8GTFRCSWKMPXRS42M","GSON1112150982")</f>
        <v>#NAME?</v>
      </c>
      <c r="I1514" s="3" t="e">
        <f ca="1">[1]!BexGetData("DP_1","003N8EMH8GTFRCSWKMPXRSAE6","GSON1112150982")</f>
        <v>#NAME?</v>
      </c>
      <c r="J1514" s="4" t="e">
        <f ca="1">[1]!BexGetData("DP_1","003N8EMH8GTFRCSWKMPXRSGPQ","GSON1112150982")</f>
        <v>#NAME?</v>
      </c>
      <c r="K1514" s="3" t="e">
        <f ca="1">[1]!BexGetData("DP_1","003N8EMH8GTFRIVNUPY288VJH","GSON1112150982")</f>
        <v>#NAME?</v>
      </c>
      <c r="L1514" s="3" t="e">
        <f ca="1">[1]!BexGetData("DP_1","003N8EMH8GTFRIVNUPY2891V1","GSON1112150982")</f>
        <v>#NAME?</v>
      </c>
      <c r="M1514" s="8" t="e">
        <f ca="1">[1]!BexGetData("DP_1","003N8EMH8GTFRIVOG7KG9IQXA","GSON1112150982")</f>
        <v>#NAME?</v>
      </c>
      <c r="N1514" s="3" t="e">
        <f ca="1">[1]!BexGetData("DP_1","003N8EMH8GTFRIVOG7KG9IX8U","GSON1112150982")</f>
        <v>#NAME?</v>
      </c>
      <c r="O1514" s="8" t="e">
        <f ca="1">[1]!BexGetData("DP_1","003N8EMH8GTFRIVOG7KG9J3KE","GSON1112150982")</f>
        <v>#NAME?</v>
      </c>
      <c r="P1514" s="3" t="e">
        <f ca="1">[1]!BexGetData("DP_1","003N8EMH8GTFRIVOG7KG9J9VY","GSON1112150982")</f>
        <v>#NAME?</v>
      </c>
      <c r="Q1514" s="4" t="e">
        <f ca="1">[1]!BexGetData("DP_1","00O2TNJGODT0G5Z4TTKYMM5MT","GSON1112150982")</f>
        <v>#NAME?</v>
      </c>
      <c r="R1514" s="3" t="e">
        <f ca="1">[1]!BexGetData("DP_1","00O2TNJGODT0G5Z4TTKYMMBYD","GSON1112150982")</f>
        <v>#NAME?</v>
      </c>
      <c r="S1514" s="3" t="e">
        <f ca="1">[1]!BexGetData("DP_1","00O2TNJGODT0G5Z4TTKYMMI9X","GSON1112150982")</f>
        <v>#NAME?</v>
      </c>
      <c r="T1514" s="3" t="e">
        <f ca="1">[1]!BexGetData("DP_1","00O2TNJGODT0G5Z4TTKYMMOLH","GSON1112150982")</f>
        <v>#NAME?</v>
      </c>
      <c r="U1514" s="8" t="e">
        <f ca="1">[1]!BexGetData("DP_1","00O2TNJGODT0G5Z4TTKYMMUX1","GSON1112150982")</f>
        <v>#NAME?</v>
      </c>
      <c r="V1514" s="3" t="e">
        <f ca="1">[1]!BexGetData("DP_1","00O2TNJGODT0G5Z4TTKYMN18L","GSON1112150982")</f>
        <v>#NAME?</v>
      </c>
      <c r="W1514" s="8" t="e">
        <f ca="1">[1]!BexGetData("DP_1","00O2TNJGODT0G5Z4TTKYMN7K5","GSON1112150982")</f>
        <v>#NAME?</v>
      </c>
    </row>
    <row r="1515" spans="1:23" x14ac:dyDescent="0.2">
      <c r="A1515" s="16" t="s">
        <v>3978</v>
      </c>
      <c r="B1515" s="7" t="s">
        <v>3979</v>
      </c>
      <c r="C1515" s="3" t="e">
        <f ca="1">[1]!BexGetData("DP_1","003N8EMH8GTFRCSWKMPXRR8GU","GSON1112150984")</f>
        <v>#NAME?</v>
      </c>
      <c r="D1515" s="3" t="e">
        <f ca="1">[1]!BexGetData("DP_1","003N8EMH8GTFRCSWKMPXRRESE","GSON1112150984")</f>
        <v>#NAME?</v>
      </c>
      <c r="E1515" s="8" t="e">
        <f ca="1">[1]!BexGetData("DP_1","003N8EMH8GTFRCSWKMPXRRL3Y","GSON1112150984")</f>
        <v>#NAME?</v>
      </c>
      <c r="F1515" s="4" t="e">
        <f ca="1">[1]!BexGetData("DP_1","003N8EMH8GTFRCSWKMPXRRRFI","GSON1112150984")</f>
        <v>#NAME?</v>
      </c>
      <c r="G1515" s="4" t="e">
        <f ca="1">[1]!BexGetData("DP_1","003N8EMH8GTFRCSWKMPXRRXR2","GSON1112150984")</f>
        <v>#NAME?</v>
      </c>
      <c r="H1515" s="4" t="e">
        <f ca="1">[1]!BexGetData("DP_1","003N8EMH8GTFRCSWKMPXRS42M","GSON1112150984")</f>
        <v>#NAME?</v>
      </c>
      <c r="I1515" s="4" t="e">
        <f ca="1">[1]!BexGetData("DP_1","003N8EMH8GTFRCSWKMPXRSAE6","GSON1112150984")</f>
        <v>#NAME?</v>
      </c>
      <c r="J1515" s="4" t="e">
        <f ca="1">[1]!BexGetData("DP_1","003N8EMH8GTFRCSWKMPXRSGPQ","GSON1112150984")</f>
        <v>#NAME?</v>
      </c>
      <c r="K1515" s="8" t="e">
        <f ca="1">[1]!BexGetData("DP_1","003N8EMH8GTFRIVNUPY288VJH","GSON1112150984")</f>
        <v>#NAME?</v>
      </c>
      <c r="L1515" s="8" t="e">
        <f ca="1">[1]!BexGetData("DP_1","003N8EMH8GTFRIVNUPY2891V1","GSON1112150984")</f>
        <v>#NAME?</v>
      </c>
      <c r="M1515" s="8" t="e">
        <f ca="1">[1]!BexGetData("DP_1","003N8EMH8GTFRIVOG7KG9IQXA","GSON1112150984")</f>
        <v>#NAME?</v>
      </c>
      <c r="N1515" s="8" t="e">
        <f ca="1">[1]!BexGetData("DP_1","003N8EMH8GTFRIVOG7KG9IX8U","GSON1112150984")</f>
        <v>#NAME?</v>
      </c>
      <c r="O1515" s="8" t="e">
        <f ca="1">[1]!BexGetData("DP_1","003N8EMH8GTFRIVOG7KG9J3KE","GSON1112150984")</f>
        <v>#NAME?</v>
      </c>
      <c r="P1515" s="8" t="e">
        <f ca="1">[1]!BexGetData("DP_1","003N8EMH8GTFRIVOG7KG9J9VY","GSON1112150984")</f>
        <v>#NAME?</v>
      </c>
      <c r="Q1515" s="4" t="e">
        <f ca="1">[1]!BexGetData("DP_1","00O2TNJGODT0G5Z4TTKYMM5MT","GSON1112150984")</f>
        <v>#NAME?</v>
      </c>
      <c r="R1515" s="4" t="e">
        <f ca="1">[1]!BexGetData("DP_1","00O2TNJGODT0G5Z4TTKYMMBYD","GSON1112150984")</f>
        <v>#NAME?</v>
      </c>
      <c r="S1515" s="4" t="e">
        <f ca="1">[1]!BexGetData("DP_1","00O2TNJGODT0G5Z4TTKYMMI9X","GSON1112150984")</f>
        <v>#NAME?</v>
      </c>
      <c r="T1515" s="4" t="e">
        <f ca="1">[1]!BexGetData("DP_1","00O2TNJGODT0G5Z4TTKYMMOLH","GSON1112150984")</f>
        <v>#NAME?</v>
      </c>
      <c r="U1515" s="4" t="e">
        <f ca="1">[1]!BexGetData("DP_1","00O2TNJGODT0G5Z4TTKYMMUX1","GSON1112150984")</f>
        <v>#NAME?</v>
      </c>
      <c r="V1515" s="4" t="e">
        <f ca="1">[1]!BexGetData("DP_1","00O2TNJGODT0G5Z4TTKYMN18L","GSON1112150984")</f>
        <v>#NAME?</v>
      </c>
      <c r="W1515" s="4" t="e">
        <f ca="1">[1]!BexGetData("DP_1","00O2TNJGODT0G5Z4TTKYMN7K5","GSON1112150984")</f>
        <v>#NAME?</v>
      </c>
    </row>
    <row r="1516" spans="1:23" x14ac:dyDescent="0.2">
      <c r="A1516" s="16" t="s">
        <v>3980</v>
      </c>
      <c r="B1516" s="7" t="s">
        <v>3981</v>
      </c>
      <c r="C1516" s="3" t="e">
        <f ca="1">[1]!BexGetData("DP_1","003N8EMH8GTFRCSWKMPXRR8GU","GSON1112150985")</f>
        <v>#NAME?</v>
      </c>
      <c r="D1516" s="3" t="e">
        <f ca="1">[1]!BexGetData("DP_1","003N8EMH8GTFRCSWKMPXRRESE","GSON1112150985")</f>
        <v>#NAME?</v>
      </c>
      <c r="E1516" s="8" t="e">
        <f ca="1">[1]!BexGetData("DP_1","003N8EMH8GTFRCSWKMPXRRL3Y","GSON1112150985")</f>
        <v>#NAME?</v>
      </c>
      <c r="F1516" s="4" t="e">
        <f ca="1">[1]!BexGetData("DP_1","003N8EMH8GTFRCSWKMPXRRRFI","GSON1112150985")</f>
        <v>#NAME?</v>
      </c>
      <c r="G1516" s="4" t="e">
        <f ca="1">[1]!BexGetData("DP_1","003N8EMH8GTFRCSWKMPXRRXR2","GSON1112150985")</f>
        <v>#NAME?</v>
      </c>
      <c r="H1516" s="4" t="e">
        <f ca="1">[1]!BexGetData("DP_1","003N8EMH8GTFRCSWKMPXRS42M","GSON1112150985")</f>
        <v>#NAME?</v>
      </c>
      <c r="I1516" s="4" t="e">
        <f ca="1">[1]!BexGetData("DP_1","003N8EMH8GTFRCSWKMPXRSAE6","GSON1112150985")</f>
        <v>#NAME?</v>
      </c>
      <c r="J1516" s="4" t="e">
        <f ca="1">[1]!BexGetData("DP_1","003N8EMH8GTFRCSWKMPXRSGPQ","GSON1112150985")</f>
        <v>#NAME?</v>
      </c>
      <c r="K1516" s="8" t="e">
        <f ca="1">[1]!BexGetData("DP_1","003N8EMH8GTFRIVNUPY288VJH","GSON1112150985")</f>
        <v>#NAME?</v>
      </c>
      <c r="L1516" s="8" t="e">
        <f ca="1">[1]!BexGetData("DP_1","003N8EMH8GTFRIVNUPY2891V1","GSON1112150985")</f>
        <v>#NAME?</v>
      </c>
      <c r="M1516" s="8" t="e">
        <f ca="1">[1]!BexGetData("DP_1","003N8EMH8GTFRIVOG7KG9IQXA","GSON1112150985")</f>
        <v>#NAME?</v>
      </c>
      <c r="N1516" s="8" t="e">
        <f ca="1">[1]!BexGetData("DP_1","003N8EMH8GTFRIVOG7KG9IX8U","GSON1112150985")</f>
        <v>#NAME?</v>
      </c>
      <c r="O1516" s="8" t="e">
        <f ca="1">[1]!BexGetData("DP_1","003N8EMH8GTFRIVOG7KG9J3KE","GSON1112150985")</f>
        <v>#NAME?</v>
      </c>
      <c r="P1516" s="8" t="e">
        <f ca="1">[1]!BexGetData("DP_1","003N8EMH8GTFRIVOG7KG9J9VY","GSON1112150985")</f>
        <v>#NAME?</v>
      </c>
      <c r="Q1516" s="4" t="e">
        <f ca="1">[1]!BexGetData("DP_1","00O2TNJGODT0G5Z4TTKYMM5MT","GSON1112150985")</f>
        <v>#NAME?</v>
      </c>
      <c r="R1516" s="4" t="e">
        <f ca="1">[1]!BexGetData("DP_1","00O2TNJGODT0G5Z4TTKYMMBYD","GSON1112150985")</f>
        <v>#NAME?</v>
      </c>
      <c r="S1516" s="4" t="e">
        <f ca="1">[1]!BexGetData("DP_1","00O2TNJGODT0G5Z4TTKYMMI9X","GSON1112150985")</f>
        <v>#NAME?</v>
      </c>
      <c r="T1516" s="4" t="e">
        <f ca="1">[1]!BexGetData("DP_1","00O2TNJGODT0G5Z4TTKYMMOLH","GSON1112150985")</f>
        <v>#NAME?</v>
      </c>
      <c r="U1516" s="4" t="e">
        <f ca="1">[1]!BexGetData("DP_1","00O2TNJGODT0G5Z4TTKYMMUX1","GSON1112150985")</f>
        <v>#NAME?</v>
      </c>
      <c r="V1516" s="4" t="e">
        <f ca="1">[1]!BexGetData("DP_1","00O2TNJGODT0G5Z4TTKYMN18L","GSON1112150985")</f>
        <v>#NAME?</v>
      </c>
      <c r="W1516" s="4" t="e">
        <f ca="1">[1]!BexGetData("DP_1","00O2TNJGODT0G5Z4TTKYMN7K5","GSON1112150985")</f>
        <v>#NAME?</v>
      </c>
    </row>
    <row r="1517" spans="1:23" x14ac:dyDescent="0.2">
      <c r="A1517" s="16" t="s">
        <v>1181</v>
      </c>
      <c r="B1517" s="7" t="s">
        <v>1182</v>
      </c>
      <c r="C1517" s="3" t="e">
        <f ca="1">[1]!BexGetData("DP_1","003N8EMH8GTFRCSWKMPXRR8GU","GSON1112151000")</f>
        <v>#NAME?</v>
      </c>
      <c r="D1517" s="3" t="e">
        <f ca="1">[1]!BexGetData("DP_1","003N8EMH8GTFRCSWKMPXRRESE","GSON1112151000")</f>
        <v>#NAME?</v>
      </c>
      <c r="E1517" s="3" t="e">
        <f ca="1">[1]!BexGetData("DP_1","003N8EMH8GTFRCSWKMPXRRL3Y","GSON1112151000")</f>
        <v>#NAME?</v>
      </c>
      <c r="F1517" s="3" t="e">
        <f ca="1">[1]!BexGetData("DP_1","003N8EMH8GTFRCSWKMPXRRRFI","GSON1112151000")</f>
        <v>#NAME?</v>
      </c>
      <c r="G1517" s="3" t="e">
        <f ca="1">[1]!BexGetData("DP_1","003N8EMH8GTFRCSWKMPXRRXR2","GSON1112151000")</f>
        <v>#NAME?</v>
      </c>
      <c r="H1517" s="8" t="e">
        <f ca="1">[1]!BexGetData("DP_1","003N8EMH8GTFRCSWKMPXRS42M","GSON1112151000")</f>
        <v>#NAME?</v>
      </c>
      <c r="I1517" s="3" t="e">
        <f ca="1">[1]!BexGetData("DP_1","003N8EMH8GTFRCSWKMPXRSAE6","GSON1112151000")</f>
        <v>#NAME?</v>
      </c>
      <c r="J1517" s="4" t="e">
        <f ca="1">[1]!BexGetData("DP_1","003N8EMH8GTFRCSWKMPXRSGPQ","GSON1112151000")</f>
        <v>#NAME?</v>
      </c>
      <c r="K1517" s="3" t="e">
        <f ca="1">[1]!BexGetData("DP_1","003N8EMH8GTFRIVNUPY288VJH","GSON1112151000")</f>
        <v>#NAME?</v>
      </c>
      <c r="L1517" s="3" t="e">
        <f ca="1">[1]!BexGetData("DP_1","003N8EMH8GTFRIVNUPY2891V1","GSON1112151000")</f>
        <v>#NAME?</v>
      </c>
      <c r="M1517" s="3" t="e">
        <f ca="1">[1]!BexGetData("DP_1","003N8EMH8GTFRIVOG7KG9IQXA","GSON1112151000")</f>
        <v>#NAME?</v>
      </c>
      <c r="N1517" s="8" t="e">
        <f ca="1">[1]!BexGetData("DP_1","003N8EMH8GTFRIVOG7KG9IX8U","GSON1112151000")</f>
        <v>#NAME?</v>
      </c>
      <c r="O1517" s="3" t="e">
        <f ca="1">[1]!BexGetData("DP_1","003N8EMH8GTFRIVOG7KG9J3KE","GSON1112151000")</f>
        <v>#NAME?</v>
      </c>
      <c r="P1517" s="8" t="e">
        <f ca="1">[1]!BexGetData("DP_1","003N8EMH8GTFRIVOG7KG9J9VY","GSON1112151000")</f>
        <v>#NAME?</v>
      </c>
      <c r="Q1517" s="4" t="e">
        <f ca="1">[1]!BexGetData("DP_1","00O2TNJGODT0G5Z4TTKYMM5MT","GSON1112151000")</f>
        <v>#NAME?</v>
      </c>
      <c r="R1517" s="3" t="e">
        <f ca="1">[1]!BexGetData("DP_1","00O2TNJGODT0G5Z4TTKYMMBYD","GSON1112151000")</f>
        <v>#NAME?</v>
      </c>
      <c r="S1517" s="3" t="e">
        <f ca="1">[1]!BexGetData("DP_1","00O2TNJGODT0G5Z4TTKYMMI9X","GSON1112151000")</f>
        <v>#NAME?</v>
      </c>
      <c r="T1517" s="8" t="e">
        <f ca="1">[1]!BexGetData("DP_1","00O2TNJGODT0G5Z4TTKYMMOLH","GSON1112151000")</f>
        <v>#NAME?</v>
      </c>
      <c r="U1517" s="3" t="e">
        <f ca="1">[1]!BexGetData("DP_1","00O2TNJGODT0G5Z4TTKYMMUX1","GSON1112151000")</f>
        <v>#NAME?</v>
      </c>
      <c r="V1517" s="8" t="e">
        <f ca="1">[1]!BexGetData("DP_1","00O2TNJGODT0G5Z4TTKYMN18L","GSON1112151000")</f>
        <v>#NAME?</v>
      </c>
      <c r="W1517" s="3" t="e">
        <f ca="1">[1]!BexGetData("DP_1","00O2TNJGODT0G5Z4TTKYMN7K5","GSON1112151000")</f>
        <v>#NAME?</v>
      </c>
    </row>
    <row r="1518" spans="1:23" x14ac:dyDescent="0.2">
      <c r="A1518" s="16" t="s">
        <v>1183</v>
      </c>
      <c r="B1518" s="7" t="s">
        <v>1184</v>
      </c>
      <c r="C1518" s="3" t="e">
        <f ca="1">[1]!BexGetData("DP_1","003N8EMH8GTFRCSWKMPXRR8GU","GSON1112151001")</f>
        <v>#NAME?</v>
      </c>
      <c r="D1518" s="3" t="e">
        <f ca="1">[1]!BexGetData("DP_1","003N8EMH8GTFRCSWKMPXRRESE","GSON1112151001")</f>
        <v>#NAME?</v>
      </c>
      <c r="E1518" s="8" t="e">
        <f ca="1">[1]!BexGetData("DP_1","003N8EMH8GTFRCSWKMPXRRL3Y","GSON1112151001")</f>
        <v>#NAME?</v>
      </c>
      <c r="F1518" s="4" t="e">
        <f ca="1">[1]!BexGetData("DP_1","003N8EMH8GTFRCSWKMPXRRRFI","GSON1112151001")</f>
        <v>#NAME?</v>
      </c>
      <c r="G1518" s="4" t="e">
        <f ca="1">[1]!BexGetData("DP_1","003N8EMH8GTFRCSWKMPXRRXR2","GSON1112151001")</f>
        <v>#NAME?</v>
      </c>
      <c r="H1518" s="4" t="e">
        <f ca="1">[1]!BexGetData("DP_1","003N8EMH8GTFRCSWKMPXRS42M","GSON1112151001")</f>
        <v>#NAME?</v>
      </c>
      <c r="I1518" s="4" t="e">
        <f ca="1">[1]!BexGetData("DP_1","003N8EMH8GTFRCSWKMPXRSAE6","GSON1112151001")</f>
        <v>#NAME?</v>
      </c>
      <c r="J1518" s="4" t="e">
        <f ca="1">[1]!BexGetData("DP_1","003N8EMH8GTFRCSWKMPXRSGPQ","GSON1112151001")</f>
        <v>#NAME?</v>
      </c>
      <c r="K1518" s="8" t="e">
        <f ca="1">[1]!BexGetData("DP_1","003N8EMH8GTFRIVNUPY288VJH","GSON1112151001")</f>
        <v>#NAME?</v>
      </c>
      <c r="L1518" s="8" t="e">
        <f ca="1">[1]!BexGetData("DP_1","003N8EMH8GTFRIVNUPY2891V1","GSON1112151001")</f>
        <v>#NAME?</v>
      </c>
      <c r="M1518" s="8" t="e">
        <f ca="1">[1]!BexGetData("DP_1","003N8EMH8GTFRIVOG7KG9IQXA","GSON1112151001")</f>
        <v>#NAME?</v>
      </c>
      <c r="N1518" s="8" t="e">
        <f ca="1">[1]!BexGetData("DP_1","003N8EMH8GTFRIVOG7KG9IX8U","GSON1112151001")</f>
        <v>#NAME?</v>
      </c>
      <c r="O1518" s="8" t="e">
        <f ca="1">[1]!BexGetData("DP_1","003N8EMH8GTFRIVOG7KG9J3KE","GSON1112151001")</f>
        <v>#NAME?</v>
      </c>
      <c r="P1518" s="8" t="e">
        <f ca="1">[1]!BexGetData("DP_1","003N8EMH8GTFRIVOG7KG9J9VY","GSON1112151001")</f>
        <v>#NAME?</v>
      </c>
      <c r="Q1518" s="4" t="e">
        <f ca="1">[1]!BexGetData("DP_1","00O2TNJGODT0G5Z4TTKYMM5MT","GSON1112151001")</f>
        <v>#NAME?</v>
      </c>
      <c r="R1518" s="4" t="e">
        <f ca="1">[1]!BexGetData("DP_1","00O2TNJGODT0G5Z4TTKYMMBYD","GSON1112151001")</f>
        <v>#NAME?</v>
      </c>
      <c r="S1518" s="4" t="e">
        <f ca="1">[1]!BexGetData("DP_1","00O2TNJGODT0G5Z4TTKYMMI9X","GSON1112151001")</f>
        <v>#NAME?</v>
      </c>
      <c r="T1518" s="4" t="e">
        <f ca="1">[1]!BexGetData("DP_1","00O2TNJGODT0G5Z4TTKYMMOLH","GSON1112151001")</f>
        <v>#NAME?</v>
      </c>
      <c r="U1518" s="4" t="e">
        <f ca="1">[1]!BexGetData("DP_1","00O2TNJGODT0G5Z4TTKYMMUX1","GSON1112151001")</f>
        <v>#NAME?</v>
      </c>
      <c r="V1518" s="4" t="e">
        <f ca="1">[1]!BexGetData("DP_1","00O2TNJGODT0G5Z4TTKYMN18L","GSON1112151001")</f>
        <v>#NAME?</v>
      </c>
      <c r="W1518" s="4" t="e">
        <f ca="1">[1]!BexGetData("DP_1","00O2TNJGODT0G5Z4TTKYMN7K5","GSON1112151001")</f>
        <v>#NAME?</v>
      </c>
    </row>
    <row r="1519" spans="1:23" x14ac:dyDescent="0.2">
      <c r="A1519" s="16" t="s">
        <v>3982</v>
      </c>
      <c r="B1519" s="7" t="s">
        <v>3983</v>
      </c>
      <c r="C1519" s="3" t="e">
        <f ca="1">[1]!BexGetData("DP_1","003N8EMH8GTFRCSWKMPXRR8GU","GSON1112151002")</f>
        <v>#NAME?</v>
      </c>
      <c r="D1519" s="3" t="e">
        <f ca="1">[1]!BexGetData("DP_1","003N8EMH8GTFRCSWKMPXRRESE","GSON1112151002")</f>
        <v>#NAME?</v>
      </c>
      <c r="E1519" s="3" t="e">
        <f ca="1">[1]!BexGetData("DP_1","003N8EMH8GTFRCSWKMPXRRL3Y","GSON1112151002")</f>
        <v>#NAME?</v>
      </c>
      <c r="F1519" s="3" t="e">
        <f ca="1">[1]!BexGetData("DP_1","003N8EMH8GTFRCSWKMPXRRRFI","GSON1112151002")</f>
        <v>#NAME?</v>
      </c>
      <c r="G1519" s="3" t="e">
        <f ca="1">[1]!BexGetData("DP_1","003N8EMH8GTFRCSWKMPXRRXR2","GSON1112151002")</f>
        <v>#NAME?</v>
      </c>
      <c r="H1519" s="3" t="e">
        <f ca="1">[1]!BexGetData("DP_1","003N8EMH8GTFRCSWKMPXRS42M","GSON1112151002")</f>
        <v>#NAME?</v>
      </c>
      <c r="I1519" s="3" t="e">
        <f ca="1">[1]!BexGetData("DP_1","003N8EMH8GTFRCSWKMPXRSAE6","GSON1112151002")</f>
        <v>#NAME?</v>
      </c>
      <c r="J1519" s="4" t="e">
        <f ca="1">[1]!BexGetData("DP_1","003N8EMH8GTFRCSWKMPXRSGPQ","GSON1112151002")</f>
        <v>#NAME?</v>
      </c>
      <c r="K1519" s="3" t="e">
        <f ca="1">[1]!BexGetData("DP_1","003N8EMH8GTFRIVNUPY288VJH","GSON1112151002")</f>
        <v>#NAME?</v>
      </c>
      <c r="L1519" s="3" t="e">
        <f ca="1">[1]!BexGetData("DP_1","003N8EMH8GTFRIVNUPY2891V1","GSON1112151002")</f>
        <v>#NAME?</v>
      </c>
      <c r="M1519" s="8" t="e">
        <f ca="1">[1]!BexGetData("DP_1","003N8EMH8GTFRIVOG7KG9IQXA","GSON1112151002")</f>
        <v>#NAME?</v>
      </c>
      <c r="N1519" s="3" t="e">
        <f ca="1">[1]!BexGetData("DP_1","003N8EMH8GTFRIVOG7KG9IX8U","GSON1112151002")</f>
        <v>#NAME?</v>
      </c>
      <c r="O1519" s="8" t="e">
        <f ca="1">[1]!BexGetData("DP_1","003N8EMH8GTFRIVOG7KG9J3KE","GSON1112151002")</f>
        <v>#NAME?</v>
      </c>
      <c r="P1519" s="3" t="e">
        <f ca="1">[1]!BexGetData("DP_1","003N8EMH8GTFRIVOG7KG9J9VY","GSON1112151002")</f>
        <v>#NAME?</v>
      </c>
      <c r="Q1519" s="4" t="e">
        <f ca="1">[1]!BexGetData("DP_1","00O2TNJGODT0G5Z4TTKYMM5MT","GSON1112151002")</f>
        <v>#NAME?</v>
      </c>
      <c r="R1519" s="3" t="e">
        <f ca="1">[1]!BexGetData("DP_1","00O2TNJGODT0G5Z4TTKYMMBYD","GSON1112151002")</f>
        <v>#NAME?</v>
      </c>
      <c r="S1519" s="3" t="e">
        <f ca="1">[1]!BexGetData("DP_1","00O2TNJGODT0G5Z4TTKYMMI9X","GSON1112151002")</f>
        <v>#NAME?</v>
      </c>
      <c r="T1519" s="3" t="e">
        <f ca="1">[1]!BexGetData("DP_1","00O2TNJGODT0G5Z4TTKYMMOLH","GSON1112151002")</f>
        <v>#NAME?</v>
      </c>
      <c r="U1519" s="8" t="e">
        <f ca="1">[1]!BexGetData("DP_1","00O2TNJGODT0G5Z4TTKYMMUX1","GSON1112151002")</f>
        <v>#NAME?</v>
      </c>
      <c r="V1519" s="3" t="e">
        <f ca="1">[1]!BexGetData("DP_1","00O2TNJGODT0G5Z4TTKYMN18L","GSON1112151002")</f>
        <v>#NAME?</v>
      </c>
      <c r="W1519" s="8" t="e">
        <f ca="1">[1]!BexGetData("DP_1","00O2TNJGODT0G5Z4TTKYMN7K5","GSON1112151002")</f>
        <v>#NAME?</v>
      </c>
    </row>
    <row r="1520" spans="1:23" x14ac:dyDescent="0.2">
      <c r="A1520" s="16" t="s">
        <v>3984</v>
      </c>
      <c r="B1520" s="7" t="s">
        <v>3985</v>
      </c>
      <c r="C1520" s="3" t="e">
        <f ca="1">[1]!BexGetData("DP_1","003N8EMH8GTFRCSWKMPXRR8GU","GSON1112151003")</f>
        <v>#NAME?</v>
      </c>
      <c r="D1520" s="3" t="e">
        <f ca="1">[1]!BexGetData("DP_1","003N8EMH8GTFRCSWKMPXRRESE","GSON1112151003")</f>
        <v>#NAME?</v>
      </c>
      <c r="E1520" s="8" t="e">
        <f ca="1">[1]!BexGetData("DP_1","003N8EMH8GTFRCSWKMPXRRL3Y","GSON1112151003")</f>
        <v>#NAME?</v>
      </c>
      <c r="F1520" s="4" t="e">
        <f ca="1">[1]!BexGetData("DP_1","003N8EMH8GTFRCSWKMPXRRRFI","GSON1112151003")</f>
        <v>#NAME?</v>
      </c>
      <c r="G1520" s="4" t="e">
        <f ca="1">[1]!BexGetData("DP_1","003N8EMH8GTFRCSWKMPXRRXR2","GSON1112151003")</f>
        <v>#NAME?</v>
      </c>
      <c r="H1520" s="4" t="e">
        <f ca="1">[1]!BexGetData("DP_1","003N8EMH8GTFRCSWKMPXRS42M","GSON1112151003")</f>
        <v>#NAME?</v>
      </c>
      <c r="I1520" s="4" t="e">
        <f ca="1">[1]!BexGetData("DP_1","003N8EMH8GTFRCSWKMPXRSAE6","GSON1112151003")</f>
        <v>#NAME?</v>
      </c>
      <c r="J1520" s="4" t="e">
        <f ca="1">[1]!BexGetData("DP_1","003N8EMH8GTFRCSWKMPXRSGPQ","GSON1112151003")</f>
        <v>#NAME?</v>
      </c>
      <c r="K1520" s="8" t="e">
        <f ca="1">[1]!BexGetData("DP_1","003N8EMH8GTFRIVNUPY288VJH","GSON1112151003")</f>
        <v>#NAME?</v>
      </c>
      <c r="L1520" s="8" t="e">
        <f ca="1">[1]!BexGetData("DP_1","003N8EMH8GTFRIVNUPY2891V1","GSON1112151003")</f>
        <v>#NAME?</v>
      </c>
      <c r="M1520" s="8" t="e">
        <f ca="1">[1]!BexGetData("DP_1","003N8EMH8GTFRIVOG7KG9IQXA","GSON1112151003")</f>
        <v>#NAME?</v>
      </c>
      <c r="N1520" s="8" t="e">
        <f ca="1">[1]!BexGetData("DP_1","003N8EMH8GTFRIVOG7KG9IX8U","GSON1112151003")</f>
        <v>#NAME?</v>
      </c>
      <c r="O1520" s="8" t="e">
        <f ca="1">[1]!BexGetData("DP_1","003N8EMH8GTFRIVOG7KG9J3KE","GSON1112151003")</f>
        <v>#NAME?</v>
      </c>
      <c r="P1520" s="8" t="e">
        <f ca="1">[1]!BexGetData("DP_1","003N8EMH8GTFRIVOG7KG9J9VY","GSON1112151003")</f>
        <v>#NAME?</v>
      </c>
      <c r="Q1520" s="4" t="e">
        <f ca="1">[1]!BexGetData("DP_1","00O2TNJGODT0G5Z4TTKYMM5MT","GSON1112151003")</f>
        <v>#NAME?</v>
      </c>
      <c r="R1520" s="4" t="e">
        <f ca="1">[1]!BexGetData("DP_1","00O2TNJGODT0G5Z4TTKYMMBYD","GSON1112151003")</f>
        <v>#NAME?</v>
      </c>
      <c r="S1520" s="4" t="e">
        <f ca="1">[1]!BexGetData("DP_1","00O2TNJGODT0G5Z4TTKYMMI9X","GSON1112151003")</f>
        <v>#NAME?</v>
      </c>
      <c r="T1520" s="4" t="e">
        <f ca="1">[1]!BexGetData("DP_1","00O2TNJGODT0G5Z4TTKYMMOLH","GSON1112151003")</f>
        <v>#NAME?</v>
      </c>
      <c r="U1520" s="4" t="e">
        <f ca="1">[1]!BexGetData("DP_1","00O2TNJGODT0G5Z4TTKYMMUX1","GSON1112151003")</f>
        <v>#NAME?</v>
      </c>
      <c r="V1520" s="4" t="e">
        <f ca="1">[1]!BexGetData("DP_1","00O2TNJGODT0G5Z4TTKYMN18L","GSON1112151003")</f>
        <v>#NAME?</v>
      </c>
      <c r="W1520" s="4" t="e">
        <f ca="1">[1]!BexGetData("DP_1","00O2TNJGODT0G5Z4TTKYMN7K5","GSON1112151003")</f>
        <v>#NAME?</v>
      </c>
    </row>
    <row r="1521" spans="1:23" x14ac:dyDescent="0.2">
      <c r="A1521" s="16" t="s">
        <v>3986</v>
      </c>
      <c r="B1521" s="7" t="s">
        <v>3987</v>
      </c>
      <c r="C1521" s="3" t="e">
        <f ca="1">[1]!BexGetData("DP_1","003N8EMH8GTFRCSWKMPXRR8GU","GSON1112151004")</f>
        <v>#NAME?</v>
      </c>
      <c r="D1521" s="3" t="e">
        <f ca="1">[1]!BexGetData("DP_1","003N8EMH8GTFRCSWKMPXRRESE","GSON1112151004")</f>
        <v>#NAME?</v>
      </c>
      <c r="E1521" s="8" t="e">
        <f ca="1">[1]!BexGetData("DP_1","003N8EMH8GTFRCSWKMPXRRL3Y","GSON1112151004")</f>
        <v>#NAME?</v>
      </c>
      <c r="F1521" s="4" t="e">
        <f ca="1">[1]!BexGetData("DP_1","003N8EMH8GTFRCSWKMPXRRRFI","GSON1112151004")</f>
        <v>#NAME?</v>
      </c>
      <c r="G1521" s="4" t="e">
        <f ca="1">[1]!BexGetData("DP_1","003N8EMH8GTFRCSWKMPXRRXR2","GSON1112151004")</f>
        <v>#NAME?</v>
      </c>
      <c r="H1521" s="4" t="e">
        <f ca="1">[1]!BexGetData("DP_1","003N8EMH8GTFRCSWKMPXRS42M","GSON1112151004")</f>
        <v>#NAME?</v>
      </c>
      <c r="I1521" s="4" t="e">
        <f ca="1">[1]!BexGetData("DP_1","003N8EMH8GTFRCSWKMPXRSAE6","GSON1112151004")</f>
        <v>#NAME?</v>
      </c>
      <c r="J1521" s="4" t="e">
        <f ca="1">[1]!BexGetData("DP_1","003N8EMH8GTFRCSWKMPXRSGPQ","GSON1112151004")</f>
        <v>#NAME?</v>
      </c>
      <c r="K1521" s="8" t="e">
        <f ca="1">[1]!BexGetData("DP_1","003N8EMH8GTFRIVNUPY288VJH","GSON1112151004")</f>
        <v>#NAME?</v>
      </c>
      <c r="L1521" s="8" t="e">
        <f ca="1">[1]!BexGetData("DP_1","003N8EMH8GTFRIVNUPY2891V1","GSON1112151004")</f>
        <v>#NAME?</v>
      </c>
      <c r="M1521" s="8" t="e">
        <f ca="1">[1]!BexGetData("DP_1","003N8EMH8GTFRIVOG7KG9IQXA","GSON1112151004")</f>
        <v>#NAME?</v>
      </c>
      <c r="N1521" s="8" t="e">
        <f ca="1">[1]!BexGetData("DP_1","003N8EMH8GTFRIVOG7KG9IX8U","GSON1112151004")</f>
        <v>#NAME?</v>
      </c>
      <c r="O1521" s="8" t="e">
        <f ca="1">[1]!BexGetData("DP_1","003N8EMH8GTFRIVOG7KG9J3KE","GSON1112151004")</f>
        <v>#NAME?</v>
      </c>
      <c r="P1521" s="8" t="e">
        <f ca="1">[1]!BexGetData("DP_1","003N8EMH8GTFRIVOG7KG9J9VY","GSON1112151004")</f>
        <v>#NAME?</v>
      </c>
      <c r="Q1521" s="4" t="e">
        <f ca="1">[1]!BexGetData("DP_1","00O2TNJGODT0G5Z4TTKYMM5MT","GSON1112151004")</f>
        <v>#NAME?</v>
      </c>
      <c r="R1521" s="4" t="e">
        <f ca="1">[1]!BexGetData("DP_1","00O2TNJGODT0G5Z4TTKYMMBYD","GSON1112151004")</f>
        <v>#NAME?</v>
      </c>
      <c r="S1521" s="4" t="e">
        <f ca="1">[1]!BexGetData("DP_1","00O2TNJGODT0G5Z4TTKYMMI9X","GSON1112151004")</f>
        <v>#NAME?</v>
      </c>
      <c r="T1521" s="4" t="e">
        <f ca="1">[1]!BexGetData("DP_1","00O2TNJGODT0G5Z4TTKYMMOLH","GSON1112151004")</f>
        <v>#NAME?</v>
      </c>
      <c r="U1521" s="4" t="e">
        <f ca="1">[1]!BexGetData("DP_1","00O2TNJGODT0G5Z4TTKYMMUX1","GSON1112151004")</f>
        <v>#NAME?</v>
      </c>
      <c r="V1521" s="4" t="e">
        <f ca="1">[1]!BexGetData("DP_1","00O2TNJGODT0G5Z4TTKYMN18L","GSON1112151004")</f>
        <v>#NAME?</v>
      </c>
      <c r="W1521" s="4" t="e">
        <f ca="1">[1]!BexGetData("DP_1","00O2TNJGODT0G5Z4TTKYMN7K5","GSON1112151004")</f>
        <v>#NAME?</v>
      </c>
    </row>
    <row r="1522" spans="1:23" x14ac:dyDescent="0.2">
      <c r="A1522" s="16" t="s">
        <v>3988</v>
      </c>
      <c r="B1522" s="7" t="s">
        <v>3989</v>
      </c>
      <c r="C1522" s="3" t="e">
        <f ca="1">[1]!BexGetData("DP_1","003N8EMH8GTFRCSWKMPXRR8GU","GSON1112151005")</f>
        <v>#NAME?</v>
      </c>
      <c r="D1522" s="3" t="e">
        <f ca="1">[1]!BexGetData("DP_1","003N8EMH8GTFRCSWKMPXRRESE","GSON1112151005")</f>
        <v>#NAME?</v>
      </c>
      <c r="E1522" s="8" t="e">
        <f ca="1">[1]!BexGetData("DP_1","003N8EMH8GTFRCSWKMPXRRL3Y","GSON1112151005")</f>
        <v>#NAME?</v>
      </c>
      <c r="F1522" s="4" t="e">
        <f ca="1">[1]!BexGetData("DP_1","003N8EMH8GTFRCSWKMPXRRRFI","GSON1112151005")</f>
        <v>#NAME?</v>
      </c>
      <c r="G1522" s="4" t="e">
        <f ca="1">[1]!BexGetData("DP_1","003N8EMH8GTFRCSWKMPXRRXR2","GSON1112151005")</f>
        <v>#NAME?</v>
      </c>
      <c r="H1522" s="4" t="e">
        <f ca="1">[1]!BexGetData("DP_1","003N8EMH8GTFRCSWKMPXRS42M","GSON1112151005")</f>
        <v>#NAME?</v>
      </c>
      <c r="I1522" s="4" t="e">
        <f ca="1">[1]!BexGetData("DP_1","003N8EMH8GTFRCSWKMPXRSAE6","GSON1112151005")</f>
        <v>#NAME?</v>
      </c>
      <c r="J1522" s="4" t="e">
        <f ca="1">[1]!BexGetData("DP_1","003N8EMH8GTFRCSWKMPXRSGPQ","GSON1112151005")</f>
        <v>#NAME?</v>
      </c>
      <c r="K1522" s="8" t="e">
        <f ca="1">[1]!BexGetData("DP_1","003N8EMH8GTFRIVNUPY288VJH","GSON1112151005")</f>
        <v>#NAME?</v>
      </c>
      <c r="L1522" s="8" t="e">
        <f ca="1">[1]!BexGetData("DP_1","003N8EMH8GTFRIVNUPY2891V1","GSON1112151005")</f>
        <v>#NAME?</v>
      </c>
      <c r="M1522" s="8" t="e">
        <f ca="1">[1]!BexGetData("DP_1","003N8EMH8GTFRIVOG7KG9IQXA","GSON1112151005")</f>
        <v>#NAME?</v>
      </c>
      <c r="N1522" s="8" t="e">
        <f ca="1">[1]!BexGetData("DP_1","003N8EMH8GTFRIVOG7KG9IX8U","GSON1112151005")</f>
        <v>#NAME?</v>
      </c>
      <c r="O1522" s="8" t="e">
        <f ca="1">[1]!BexGetData("DP_1","003N8EMH8GTFRIVOG7KG9J3KE","GSON1112151005")</f>
        <v>#NAME?</v>
      </c>
      <c r="P1522" s="8" t="e">
        <f ca="1">[1]!BexGetData("DP_1","003N8EMH8GTFRIVOG7KG9J9VY","GSON1112151005")</f>
        <v>#NAME?</v>
      </c>
      <c r="Q1522" s="4" t="e">
        <f ca="1">[1]!BexGetData("DP_1","00O2TNJGODT0G5Z4TTKYMM5MT","GSON1112151005")</f>
        <v>#NAME?</v>
      </c>
      <c r="R1522" s="4" t="e">
        <f ca="1">[1]!BexGetData("DP_1","00O2TNJGODT0G5Z4TTKYMMBYD","GSON1112151005")</f>
        <v>#NAME?</v>
      </c>
      <c r="S1522" s="4" t="e">
        <f ca="1">[1]!BexGetData("DP_1","00O2TNJGODT0G5Z4TTKYMMI9X","GSON1112151005")</f>
        <v>#NAME?</v>
      </c>
      <c r="T1522" s="4" t="e">
        <f ca="1">[1]!BexGetData("DP_1","00O2TNJGODT0G5Z4TTKYMMOLH","GSON1112151005")</f>
        <v>#NAME?</v>
      </c>
      <c r="U1522" s="4" t="e">
        <f ca="1">[1]!BexGetData("DP_1","00O2TNJGODT0G5Z4TTKYMMUX1","GSON1112151005")</f>
        <v>#NAME?</v>
      </c>
      <c r="V1522" s="4" t="e">
        <f ca="1">[1]!BexGetData("DP_1","00O2TNJGODT0G5Z4TTKYMN18L","GSON1112151005")</f>
        <v>#NAME?</v>
      </c>
      <c r="W1522" s="4" t="e">
        <f ca="1">[1]!BexGetData("DP_1","00O2TNJGODT0G5Z4TTKYMN7K5","GSON1112151005")</f>
        <v>#NAME?</v>
      </c>
    </row>
    <row r="1523" spans="1:23" x14ac:dyDescent="0.2">
      <c r="A1523" s="16" t="s">
        <v>3990</v>
      </c>
      <c r="B1523" s="7" t="s">
        <v>3991</v>
      </c>
      <c r="C1523" s="3" t="e">
        <f ca="1">[1]!BexGetData("DP_1","003N8EMH8GTFRCSWKMPXRR8GU","GSON1112151010")</f>
        <v>#NAME?</v>
      </c>
      <c r="D1523" s="3" t="e">
        <f ca="1">[1]!BexGetData("DP_1","003N8EMH8GTFRCSWKMPXRRESE","GSON1112151010")</f>
        <v>#NAME?</v>
      </c>
      <c r="E1523" s="3" t="e">
        <f ca="1">[1]!BexGetData("DP_1","003N8EMH8GTFRCSWKMPXRRL3Y","GSON1112151010")</f>
        <v>#NAME?</v>
      </c>
      <c r="F1523" s="3" t="e">
        <f ca="1">[1]!BexGetData("DP_1","003N8EMH8GTFRCSWKMPXRRRFI","GSON1112151010")</f>
        <v>#NAME?</v>
      </c>
      <c r="G1523" s="3" t="e">
        <f ca="1">[1]!BexGetData("DP_1","003N8EMH8GTFRCSWKMPXRRXR2","GSON1112151010")</f>
        <v>#NAME?</v>
      </c>
      <c r="H1523" s="8" t="e">
        <f ca="1">[1]!BexGetData("DP_1","003N8EMH8GTFRCSWKMPXRS42M","GSON1112151010")</f>
        <v>#NAME?</v>
      </c>
      <c r="I1523" s="3" t="e">
        <f ca="1">[1]!BexGetData("DP_1","003N8EMH8GTFRCSWKMPXRSAE6","GSON1112151010")</f>
        <v>#NAME?</v>
      </c>
      <c r="J1523" s="4" t="e">
        <f ca="1">[1]!BexGetData("DP_1","003N8EMH8GTFRCSWKMPXRSGPQ","GSON1112151010")</f>
        <v>#NAME?</v>
      </c>
      <c r="K1523" s="3" t="e">
        <f ca="1">[1]!BexGetData("DP_1","003N8EMH8GTFRIVNUPY288VJH","GSON1112151010")</f>
        <v>#NAME?</v>
      </c>
      <c r="L1523" s="3" t="e">
        <f ca="1">[1]!BexGetData("DP_1","003N8EMH8GTFRIVNUPY2891V1","GSON1112151010")</f>
        <v>#NAME?</v>
      </c>
      <c r="M1523" s="3" t="e">
        <f ca="1">[1]!BexGetData("DP_1","003N8EMH8GTFRIVOG7KG9IQXA","GSON1112151010")</f>
        <v>#NAME?</v>
      </c>
      <c r="N1523" s="8" t="e">
        <f ca="1">[1]!BexGetData("DP_1","003N8EMH8GTFRIVOG7KG9IX8U","GSON1112151010")</f>
        <v>#NAME?</v>
      </c>
      <c r="O1523" s="3" t="e">
        <f ca="1">[1]!BexGetData("DP_1","003N8EMH8GTFRIVOG7KG9J3KE","GSON1112151010")</f>
        <v>#NAME?</v>
      </c>
      <c r="P1523" s="8" t="e">
        <f ca="1">[1]!BexGetData("DP_1","003N8EMH8GTFRIVOG7KG9J9VY","GSON1112151010")</f>
        <v>#NAME?</v>
      </c>
      <c r="Q1523" s="4" t="e">
        <f ca="1">[1]!BexGetData("DP_1","00O2TNJGODT0G5Z4TTKYMM5MT","GSON1112151010")</f>
        <v>#NAME?</v>
      </c>
      <c r="R1523" s="3" t="e">
        <f ca="1">[1]!BexGetData("DP_1","00O2TNJGODT0G5Z4TTKYMMBYD","GSON1112151010")</f>
        <v>#NAME?</v>
      </c>
      <c r="S1523" s="3" t="e">
        <f ca="1">[1]!BexGetData("DP_1","00O2TNJGODT0G5Z4TTKYMMI9X","GSON1112151010")</f>
        <v>#NAME?</v>
      </c>
      <c r="T1523" s="8" t="e">
        <f ca="1">[1]!BexGetData("DP_1","00O2TNJGODT0G5Z4TTKYMMOLH","GSON1112151010")</f>
        <v>#NAME?</v>
      </c>
      <c r="U1523" s="3" t="e">
        <f ca="1">[1]!BexGetData("DP_1","00O2TNJGODT0G5Z4TTKYMMUX1","GSON1112151010")</f>
        <v>#NAME?</v>
      </c>
      <c r="V1523" s="8" t="e">
        <f ca="1">[1]!BexGetData("DP_1","00O2TNJGODT0G5Z4TTKYMN18L","GSON1112151010")</f>
        <v>#NAME?</v>
      </c>
      <c r="W1523" s="3" t="e">
        <f ca="1">[1]!BexGetData("DP_1","00O2TNJGODT0G5Z4TTKYMN7K5","GSON1112151010")</f>
        <v>#NAME?</v>
      </c>
    </row>
    <row r="1524" spans="1:23" x14ac:dyDescent="0.2">
      <c r="A1524" s="16" t="s">
        <v>3992</v>
      </c>
      <c r="B1524" s="7" t="s">
        <v>3993</v>
      </c>
      <c r="C1524" s="3" t="e">
        <f ca="1">[1]!BexGetData("DP_1","003N8EMH8GTFRCSWKMPXRR8GU","GSON1112151013")</f>
        <v>#NAME?</v>
      </c>
      <c r="D1524" s="3" t="e">
        <f ca="1">[1]!BexGetData("DP_1","003N8EMH8GTFRCSWKMPXRRESE","GSON1112151013")</f>
        <v>#NAME?</v>
      </c>
      <c r="E1524" s="8" t="e">
        <f ca="1">[1]!BexGetData("DP_1","003N8EMH8GTFRCSWKMPXRRL3Y","GSON1112151013")</f>
        <v>#NAME?</v>
      </c>
      <c r="F1524" s="4" t="e">
        <f ca="1">[1]!BexGetData("DP_1","003N8EMH8GTFRCSWKMPXRRRFI","GSON1112151013")</f>
        <v>#NAME?</v>
      </c>
      <c r="G1524" s="4" t="e">
        <f ca="1">[1]!BexGetData("DP_1","003N8EMH8GTFRCSWKMPXRRXR2","GSON1112151013")</f>
        <v>#NAME?</v>
      </c>
      <c r="H1524" s="4" t="e">
        <f ca="1">[1]!BexGetData("DP_1","003N8EMH8GTFRCSWKMPXRS42M","GSON1112151013")</f>
        <v>#NAME?</v>
      </c>
      <c r="I1524" s="4" t="e">
        <f ca="1">[1]!BexGetData("DP_1","003N8EMH8GTFRCSWKMPXRSAE6","GSON1112151013")</f>
        <v>#NAME?</v>
      </c>
      <c r="J1524" s="4" t="e">
        <f ca="1">[1]!BexGetData("DP_1","003N8EMH8GTFRCSWKMPXRSGPQ","GSON1112151013")</f>
        <v>#NAME?</v>
      </c>
      <c r="K1524" s="8" t="e">
        <f ca="1">[1]!BexGetData("DP_1","003N8EMH8GTFRIVNUPY288VJH","GSON1112151013")</f>
        <v>#NAME?</v>
      </c>
      <c r="L1524" s="8" t="e">
        <f ca="1">[1]!BexGetData("DP_1","003N8EMH8GTFRIVNUPY2891V1","GSON1112151013")</f>
        <v>#NAME?</v>
      </c>
      <c r="M1524" s="8" t="e">
        <f ca="1">[1]!BexGetData("DP_1","003N8EMH8GTFRIVOG7KG9IQXA","GSON1112151013")</f>
        <v>#NAME?</v>
      </c>
      <c r="N1524" s="8" t="e">
        <f ca="1">[1]!BexGetData("DP_1","003N8EMH8GTFRIVOG7KG9IX8U","GSON1112151013")</f>
        <v>#NAME?</v>
      </c>
      <c r="O1524" s="8" t="e">
        <f ca="1">[1]!BexGetData("DP_1","003N8EMH8GTFRIVOG7KG9J3KE","GSON1112151013")</f>
        <v>#NAME?</v>
      </c>
      <c r="P1524" s="8" t="e">
        <f ca="1">[1]!BexGetData("DP_1","003N8EMH8GTFRIVOG7KG9J9VY","GSON1112151013")</f>
        <v>#NAME?</v>
      </c>
      <c r="Q1524" s="4" t="e">
        <f ca="1">[1]!BexGetData("DP_1","00O2TNJGODT0G5Z4TTKYMM5MT","GSON1112151013")</f>
        <v>#NAME?</v>
      </c>
      <c r="R1524" s="4" t="e">
        <f ca="1">[1]!BexGetData("DP_1","00O2TNJGODT0G5Z4TTKYMMBYD","GSON1112151013")</f>
        <v>#NAME?</v>
      </c>
      <c r="S1524" s="4" t="e">
        <f ca="1">[1]!BexGetData("DP_1","00O2TNJGODT0G5Z4TTKYMMI9X","GSON1112151013")</f>
        <v>#NAME?</v>
      </c>
      <c r="T1524" s="4" t="e">
        <f ca="1">[1]!BexGetData("DP_1","00O2TNJGODT0G5Z4TTKYMMOLH","GSON1112151013")</f>
        <v>#NAME?</v>
      </c>
      <c r="U1524" s="4" t="e">
        <f ca="1">[1]!BexGetData("DP_1","00O2TNJGODT0G5Z4TTKYMMUX1","GSON1112151013")</f>
        <v>#NAME?</v>
      </c>
      <c r="V1524" s="4" t="e">
        <f ca="1">[1]!BexGetData("DP_1","00O2TNJGODT0G5Z4TTKYMN18L","GSON1112151013")</f>
        <v>#NAME?</v>
      </c>
      <c r="W1524" s="4" t="e">
        <f ca="1">[1]!BexGetData("DP_1","00O2TNJGODT0G5Z4TTKYMN7K5","GSON1112151013")</f>
        <v>#NAME?</v>
      </c>
    </row>
    <row r="1525" spans="1:23" x14ac:dyDescent="0.2">
      <c r="A1525" s="16" t="s">
        <v>3994</v>
      </c>
      <c r="B1525" s="7" t="s">
        <v>3995</v>
      </c>
      <c r="C1525" s="3" t="e">
        <f ca="1">[1]!BexGetData("DP_1","003N8EMH8GTFRCSWKMPXRR8GU","GSON1112151014")</f>
        <v>#NAME?</v>
      </c>
      <c r="D1525" s="3" t="e">
        <f ca="1">[1]!BexGetData("DP_1","003N8EMH8GTFRCSWKMPXRRESE","GSON1112151014")</f>
        <v>#NAME?</v>
      </c>
      <c r="E1525" s="8" t="e">
        <f ca="1">[1]!BexGetData("DP_1","003N8EMH8GTFRCSWKMPXRRL3Y","GSON1112151014")</f>
        <v>#NAME?</v>
      </c>
      <c r="F1525" s="4" t="e">
        <f ca="1">[1]!BexGetData("DP_1","003N8EMH8GTFRCSWKMPXRRRFI","GSON1112151014")</f>
        <v>#NAME?</v>
      </c>
      <c r="G1525" s="4" t="e">
        <f ca="1">[1]!BexGetData("DP_1","003N8EMH8GTFRCSWKMPXRRXR2","GSON1112151014")</f>
        <v>#NAME?</v>
      </c>
      <c r="H1525" s="4" t="e">
        <f ca="1">[1]!BexGetData("DP_1","003N8EMH8GTFRCSWKMPXRS42M","GSON1112151014")</f>
        <v>#NAME?</v>
      </c>
      <c r="I1525" s="4" t="e">
        <f ca="1">[1]!BexGetData("DP_1","003N8EMH8GTFRCSWKMPXRSAE6","GSON1112151014")</f>
        <v>#NAME?</v>
      </c>
      <c r="J1525" s="4" t="e">
        <f ca="1">[1]!BexGetData("DP_1","003N8EMH8GTFRCSWKMPXRSGPQ","GSON1112151014")</f>
        <v>#NAME?</v>
      </c>
      <c r="K1525" s="8" t="e">
        <f ca="1">[1]!BexGetData("DP_1","003N8EMH8GTFRIVNUPY288VJH","GSON1112151014")</f>
        <v>#NAME?</v>
      </c>
      <c r="L1525" s="8" t="e">
        <f ca="1">[1]!BexGetData("DP_1","003N8EMH8GTFRIVNUPY2891V1","GSON1112151014")</f>
        <v>#NAME?</v>
      </c>
      <c r="M1525" s="8" t="e">
        <f ca="1">[1]!BexGetData("DP_1","003N8EMH8GTFRIVOG7KG9IQXA","GSON1112151014")</f>
        <v>#NAME?</v>
      </c>
      <c r="N1525" s="8" t="e">
        <f ca="1">[1]!BexGetData("DP_1","003N8EMH8GTFRIVOG7KG9IX8U","GSON1112151014")</f>
        <v>#NAME?</v>
      </c>
      <c r="O1525" s="8" t="e">
        <f ca="1">[1]!BexGetData("DP_1","003N8EMH8GTFRIVOG7KG9J3KE","GSON1112151014")</f>
        <v>#NAME?</v>
      </c>
      <c r="P1525" s="8" t="e">
        <f ca="1">[1]!BexGetData("DP_1","003N8EMH8GTFRIVOG7KG9J9VY","GSON1112151014")</f>
        <v>#NAME?</v>
      </c>
      <c r="Q1525" s="4" t="e">
        <f ca="1">[1]!BexGetData("DP_1","00O2TNJGODT0G5Z4TTKYMM5MT","GSON1112151014")</f>
        <v>#NAME?</v>
      </c>
      <c r="R1525" s="4" t="e">
        <f ca="1">[1]!BexGetData("DP_1","00O2TNJGODT0G5Z4TTKYMMBYD","GSON1112151014")</f>
        <v>#NAME?</v>
      </c>
      <c r="S1525" s="4" t="e">
        <f ca="1">[1]!BexGetData("DP_1","00O2TNJGODT0G5Z4TTKYMMI9X","GSON1112151014")</f>
        <v>#NAME?</v>
      </c>
      <c r="T1525" s="4" t="e">
        <f ca="1">[1]!BexGetData("DP_1","00O2TNJGODT0G5Z4TTKYMMOLH","GSON1112151014")</f>
        <v>#NAME?</v>
      </c>
      <c r="U1525" s="4" t="e">
        <f ca="1">[1]!BexGetData("DP_1","00O2TNJGODT0G5Z4TTKYMMUX1","GSON1112151014")</f>
        <v>#NAME?</v>
      </c>
      <c r="V1525" s="4" t="e">
        <f ca="1">[1]!BexGetData("DP_1","00O2TNJGODT0G5Z4TTKYMN18L","GSON1112151014")</f>
        <v>#NAME?</v>
      </c>
      <c r="W1525" s="4" t="e">
        <f ca="1">[1]!BexGetData("DP_1","00O2TNJGODT0G5Z4TTKYMN7K5","GSON1112151014")</f>
        <v>#NAME?</v>
      </c>
    </row>
    <row r="1526" spans="1:23" x14ac:dyDescent="0.2">
      <c r="A1526" s="16" t="s">
        <v>3996</v>
      </c>
      <c r="B1526" s="7" t="s">
        <v>3997</v>
      </c>
      <c r="C1526" s="3" t="e">
        <f ca="1">[1]!BexGetData("DP_1","003N8EMH8GTFRCSWKMPXRR8GU","GSON1112151015")</f>
        <v>#NAME?</v>
      </c>
      <c r="D1526" s="3" t="e">
        <f ca="1">[1]!BexGetData("DP_1","003N8EMH8GTFRCSWKMPXRRESE","GSON1112151015")</f>
        <v>#NAME?</v>
      </c>
      <c r="E1526" s="8" t="e">
        <f ca="1">[1]!BexGetData("DP_1","003N8EMH8GTFRCSWKMPXRRL3Y","GSON1112151015")</f>
        <v>#NAME?</v>
      </c>
      <c r="F1526" s="4" t="e">
        <f ca="1">[1]!BexGetData("DP_1","003N8EMH8GTFRCSWKMPXRRRFI","GSON1112151015")</f>
        <v>#NAME?</v>
      </c>
      <c r="G1526" s="4" t="e">
        <f ca="1">[1]!BexGetData("DP_1","003N8EMH8GTFRCSWKMPXRRXR2","GSON1112151015")</f>
        <v>#NAME?</v>
      </c>
      <c r="H1526" s="4" t="e">
        <f ca="1">[1]!BexGetData("DP_1","003N8EMH8GTFRCSWKMPXRS42M","GSON1112151015")</f>
        <v>#NAME?</v>
      </c>
      <c r="I1526" s="4" t="e">
        <f ca="1">[1]!BexGetData("DP_1","003N8EMH8GTFRCSWKMPXRSAE6","GSON1112151015")</f>
        <v>#NAME?</v>
      </c>
      <c r="J1526" s="4" t="e">
        <f ca="1">[1]!BexGetData("DP_1","003N8EMH8GTFRCSWKMPXRSGPQ","GSON1112151015")</f>
        <v>#NAME?</v>
      </c>
      <c r="K1526" s="8" t="e">
        <f ca="1">[1]!BexGetData("DP_1","003N8EMH8GTFRIVNUPY288VJH","GSON1112151015")</f>
        <v>#NAME?</v>
      </c>
      <c r="L1526" s="8" t="e">
        <f ca="1">[1]!BexGetData("DP_1","003N8EMH8GTFRIVNUPY2891V1","GSON1112151015")</f>
        <v>#NAME?</v>
      </c>
      <c r="M1526" s="8" t="e">
        <f ca="1">[1]!BexGetData("DP_1","003N8EMH8GTFRIVOG7KG9IQXA","GSON1112151015")</f>
        <v>#NAME?</v>
      </c>
      <c r="N1526" s="8" t="e">
        <f ca="1">[1]!BexGetData("DP_1","003N8EMH8GTFRIVOG7KG9IX8U","GSON1112151015")</f>
        <v>#NAME?</v>
      </c>
      <c r="O1526" s="8" t="e">
        <f ca="1">[1]!BexGetData("DP_1","003N8EMH8GTFRIVOG7KG9J3KE","GSON1112151015")</f>
        <v>#NAME?</v>
      </c>
      <c r="P1526" s="8" t="e">
        <f ca="1">[1]!BexGetData("DP_1","003N8EMH8GTFRIVOG7KG9J9VY","GSON1112151015")</f>
        <v>#NAME?</v>
      </c>
      <c r="Q1526" s="4" t="e">
        <f ca="1">[1]!BexGetData("DP_1","00O2TNJGODT0G5Z4TTKYMM5MT","GSON1112151015")</f>
        <v>#NAME?</v>
      </c>
      <c r="R1526" s="4" t="e">
        <f ca="1">[1]!BexGetData("DP_1","00O2TNJGODT0G5Z4TTKYMMBYD","GSON1112151015")</f>
        <v>#NAME?</v>
      </c>
      <c r="S1526" s="4" t="e">
        <f ca="1">[1]!BexGetData("DP_1","00O2TNJGODT0G5Z4TTKYMMI9X","GSON1112151015")</f>
        <v>#NAME?</v>
      </c>
      <c r="T1526" s="4" t="e">
        <f ca="1">[1]!BexGetData("DP_1","00O2TNJGODT0G5Z4TTKYMMOLH","GSON1112151015")</f>
        <v>#NAME?</v>
      </c>
      <c r="U1526" s="4" t="e">
        <f ca="1">[1]!BexGetData("DP_1","00O2TNJGODT0G5Z4TTKYMMUX1","GSON1112151015")</f>
        <v>#NAME?</v>
      </c>
      <c r="V1526" s="4" t="e">
        <f ca="1">[1]!BexGetData("DP_1","00O2TNJGODT0G5Z4TTKYMN18L","GSON1112151015")</f>
        <v>#NAME?</v>
      </c>
      <c r="W1526" s="4" t="e">
        <f ca="1">[1]!BexGetData("DP_1","00O2TNJGODT0G5Z4TTKYMN7K5","GSON1112151015")</f>
        <v>#NAME?</v>
      </c>
    </row>
    <row r="1527" spans="1:23" x14ac:dyDescent="0.2">
      <c r="A1527" s="16" t="s">
        <v>1185</v>
      </c>
      <c r="B1527" s="7" t="s">
        <v>1186</v>
      </c>
      <c r="C1527" s="3" t="e">
        <f ca="1">[1]!BexGetData("DP_1","003N8EMH8GTFRCSWKMPXRR8GU","GSON1112151020")</f>
        <v>#NAME?</v>
      </c>
      <c r="D1527" s="3" t="e">
        <f ca="1">[1]!BexGetData("DP_1","003N8EMH8GTFRCSWKMPXRRESE","GSON1112151020")</f>
        <v>#NAME?</v>
      </c>
      <c r="E1527" s="3" t="e">
        <f ca="1">[1]!BexGetData("DP_1","003N8EMH8GTFRCSWKMPXRRL3Y","GSON1112151020")</f>
        <v>#NAME?</v>
      </c>
      <c r="F1527" s="3" t="e">
        <f ca="1">[1]!BexGetData("DP_1","003N8EMH8GTFRCSWKMPXRRRFI","GSON1112151020")</f>
        <v>#NAME?</v>
      </c>
      <c r="G1527" s="3" t="e">
        <f ca="1">[1]!BexGetData("DP_1","003N8EMH8GTFRCSWKMPXRRXR2","GSON1112151020")</f>
        <v>#NAME?</v>
      </c>
      <c r="H1527" s="8" t="e">
        <f ca="1">[1]!BexGetData("DP_1","003N8EMH8GTFRCSWKMPXRS42M","GSON1112151020")</f>
        <v>#NAME?</v>
      </c>
      <c r="I1527" s="3" t="e">
        <f ca="1">[1]!BexGetData("DP_1","003N8EMH8GTFRCSWKMPXRSAE6","GSON1112151020")</f>
        <v>#NAME?</v>
      </c>
      <c r="J1527" s="4" t="e">
        <f ca="1">[1]!BexGetData("DP_1","003N8EMH8GTFRCSWKMPXRSGPQ","GSON1112151020")</f>
        <v>#NAME?</v>
      </c>
      <c r="K1527" s="3" t="e">
        <f ca="1">[1]!BexGetData("DP_1","003N8EMH8GTFRIVNUPY288VJH","GSON1112151020")</f>
        <v>#NAME?</v>
      </c>
      <c r="L1527" s="3" t="e">
        <f ca="1">[1]!BexGetData("DP_1","003N8EMH8GTFRIVNUPY2891V1","GSON1112151020")</f>
        <v>#NAME?</v>
      </c>
      <c r="M1527" s="8" t="e">
        <f ca="1">[1]!BexGetData("DP_1","003N8EMH8GTFRIVOG7KG9IQXA","GSON1112151020")</f>
        <v>#NAME?</v>
      </c>
      <c r="N1527" s="3" t="e">
        <f ca="1">[1]!BexGetData("DP_1","003N8EMH8GTFRIVOG7KG9IX8U","GSON1112151020")</f>
        <v>#NAME?</v>
      </c>
      <c r="O1527" s="8" t="e">
        <f ca="1">[1]!BexGetData("DP_1","003N8EMH8GTFRIVOG7KG9J3KE","GSON1112151020")</f>
        <v>#NAME?</v>
      </c>
      <c r="P1527" s="3" t="e">
        <f ca="1">[1]!BexGetData("DP_1","003N8EMH8GTFRIVOG7KG9J9VY","GSON1112151020")</f>
        <v>#NAME?</v>
      </c>
      <c r="Q1527" s="4" t="e">
        <f ca="1">[1]!BexGetData("DP_1","00O2TNJGODT0G5Z4TTKYMM5MT","GSON1112151020")</f>
        <v>#NAME?</v>
      </c>
      <c r="R1527" s="3" t="e">
        <f ca="1">[1]!BexGetData("DP_1","00O2TNJGODT0G5Z4TTKYMMBYD","GSON1112151020")</f>
        <v>#NAME?</v>
      </c>
      <c r="S1527" s="3" t="e">
        <f ca="1">[1]!BexGetData("DP_1","00O2TNJGODT0G5Z4TTKYMMI9X","GSON1112151020")</f>
        <v>#NAME?</v>
      </c>
      <c r="T1527" s="8" t="e">
        <f ca="1">[1]!BexGetData("DP_1","00O2TNJGODT0G5Z4TTKYMMOLH","GSON1112151020")</f>
        <v>#NAME?</v>
      </c>
      <c r="U1527" s="3" t="e">
        <f ca="1">[1]!BexGetData("DP_1","00O2TNJGODT0G5Z4TTKYMMUX1","GSON1112151020")</f>
        <v>#NAME?</v>
      </c>
      <c r="V1527" s="8" t="e">
        <f ca="1">[1]!BexGetData("DP_1","00O2TNJGODT0G5Z4TTKYMN18L","GSON1112151020")</f>
        <v>#NAME?</v>
      </c>
      <c r="W1527" s="3" t="e">
        <f ca="1">[1]!BexGetData("DP_1","00O2TNJGODT0G5Z4TTKYMN7K5","GSON1112151020")</f>
        <v>#NAME?</v>
      </c>
    </row>
    <row r="1528" spans="1:23" x14ac:dyDescent="0.2">
      <c r="A1528" s="16" t="s">
        <v>1187</v>
      </c>
      <c r="B1528" s="7" t="s">
        <v>1188</v>
      </c>
      <c r="C1528" s="3" t="e">
        <f ca="1">[1]!BexGetData("DP_1","003N8EMH8GTFRCSWKMPXRR8GU","GSON1112151021")</f>
        <v>#NAME?</v>
      </c>
      <c r="D1528" s="3" t="e">
        <f ca="1">[1]!BexGetData("DP_1","003N8EMH8GTFRCSWKMPXRRESE","GSON1112151021")</f>
        <v>#NAME?</v>
      </c>
      <c r="E1528" s="8" t="e">
        <f ca="1">[1]!BexGetData("DP_1","003N8EMH8GTFRCSWKMPXRRL3Y","GSON1112151021")</f>
        <v>#NAME?</v>
      </c>
      <c r="F1528" s="4" t="e">
        <f ca="1">[1]!BexGetData("DP_1","003N8EMH8GTFRCSWKMPXRRRFI","GSON1112151021")</f>
        <v>#NAME?</v>
      </c>
      <c r="G1528" s="4" t="e">
        <f ca="1">[1]!BexGetData("DP_1","003N8EMH8GTFRCSWKMPXRRXR2","GSON1112151021")</f>
        <v>#NAME?</v>
      </c>
      <c r="H1528" s="4" t="e">
        <f ca="1">[1]!BexGetData("DP_1","003N8EMH8GTFRCSWKMPXRS42M","GSON1112151021")</f>
        <v>#NAME?</v>
      </c>
      <c r="I1528" s="4" t="e">
        <f ca="1">[1]!BexGetData("DP_1","003N8EMH8GTFRCSWKMPXRSAE6","GSON1112151021")</f>
        <v>#NAME?</v>
      </c>
      <c r="J1528" s="4" t="e">
        <f ca="1">[1]!BexGetData("DP_1","003N8EMH8GTFRCSWKMPXRSGPQ","GSON1112151021")</f>
        <v>#NAME?</v>
      </c>
      <c r="K1528" s="8" t="e">
        <f ca="1">[1]!BexGetData("DP_1","003N8EMH8GTFRIVNUPY288VJH","GSON1112151021")</f>
        <v>#NAME?</v>
      </c>
      <c r="L1528" s="8" t="e">
        <f ca="1">[1]!BexGetData("DP_1","003N8EMH8GTFRIVNUPY2891V1","GSON1112151021")</f>
        <v>#NAME?</v>
      </c>
      <c r="M1528" s="8" t="e">
        <f ca="1">[1]!BexGetData("DP_1","003N8EMH8GTFRIVOG7KG9IQXA","GSON1112151021")</f>
        <v>#NAME?</v>
      </c>
      <c r="N1528" s="8" t="e">
        <f ca="1">[1]!BexGetData("DP_1","003N8EMH8GTFRIVOG7KG9IX8U","GSON1112151021")</f>
        <v>#NAME?</v>
      </c>
      <c r="O1528" s="8" t="e">
        <f ca="1">[1]!BexGetData("DP_1","003N8EMH8GTFRIVOG7KG9J3KE","GSON1112151021")</f>
        <v>#NAME?</v>
      </c>
      <c r="P1528" s="8" t="e">
        <f ca="1">[1]!BexGetData("DP_1","003N8EMH8GTFRIVOG7KG9J9VY","GSON1112151021")</f>
        <v>#NAME?</v>
      </c>
      <c r="Q1528" s="4" t="e">
        <f ca="1">[1]!BexGetData("DP_1","00O2TNJGODT0G5Z4TTKYMM5MT","GSON1112151021")</f>
        <v>#NAME?</v>
      </c>
      <c r="R1528" s="4" t="e">
        <f ca="1">[1]!BexGetData("DP_1","00O2TNJGODT0G5Z4TTKYMMBYD","GSON1112151021")</f>
        <v>#NAME?</v>
      </c>
      <c r="S1528" s="4" t="e">
        <f ca="1">[1]!BexGetData("DP_1","00O2TNJGODT0G5Z4TTKYMMI9X","GSON1112151021")</f>
        <v>#NAME?</v>
      </c>
      <c r="T1528" s="4" t="e">
        <f ca="1">[1]!BexGetData("DP_1","00O2TNJGODT0G5Z4TTKYMMOLH","GSON1112151021")</f>
        <v>#NAME?</v>
      </c>
      <c r="U1528" s="4" t="e">
        <f ca="1">[1]!BexGetData("DP_1","00O2TNJGODT0G5Z4TTKYMMUX1","GSON1112151021")</f>
        <v>#NAME?</v>
      </c>
      <c r="V1528" s="4" t="e">
        <f ca="1">[1]!BexGetData("DP_1","00O2TNJGODT0G5Z4TTKYMN18L","GSON1112151021")</f>
        <v>#NAME?</v>
      </c>
      <c r="W1528" s="4" t="e">
        <f ca="1">[1]!BexGetData("DP_1","00O2TNJGODT0G5Z4TTKYMN7K5","GSON1112151021")</f>
        <v>#NAME?</v>
      </c>
    </row>
    <row r="1529" spans="1:23" x14ac:dyDescent="0.2">
      <c r="A1529" s="16" t="s">
        <v>3998</v>
      </c>
      <c r="B1529" s="7" t="s">
        <v>3999</v>
      </c>
      <c r="C1529" s="3" t="e">
        <f ca="1">[1]!BexGetData("DP_1","003N8EMH8GTFRCSWKMPXRR8GU","GSON1112151023")</f>
        <v>#NAME?</v>
      </c>
      <c r="D1529" s="3" t="e">
        <f ca="1">[1]!BexGetData("DP_1","003N8EMH8GTFRCSWKMPXRRESE","GSON1112151023")</f>
        <v>#NAME?</v>
      </c>
      <c r="E1529" s="8" t="e">
        <f ca="1">[1]!BexGetData("DP_1","003N8EMH8GTFRCSWKMPXRRL3Y","GSON1112151023")</f>
        <v>#NAME?</v>
      </c>
      <c r="F1529" s="4" t="e">
        <f ca="1">[1]!BexGetData("DP_1","003N8EMH8GTFRCSWKMPXRRRFI","GSON1112151023")</f>
        <v>#NAME?</v>
      </c>
      <c r="G1529" s="4" t="e">
        <f ca="1">[1]!BexGetData("DP_1","003N8EMH8GTFRCSWKMPXRRXR2","GSON1112151023")</f>
        <v>#NAME?</v>
      </c>
      <c r="H1529" s="4" t="e">
        <f ca="1">[1]!BexGetData("DP_1","003N8EMH8GTFRCSWKMPXRS42M","GSON1112151023")</f>
        <v>#NAME?</v>
      </c>
      <c r="I1529" s="4" t="e">
        <f ca="1">[1]!BexGetData("DP_1","003N8EMH8GTFRCSWKMPXRSAE6","GSON1112151023")</f>
        <v>#NAME?</v>
      </c>
      <c r="J1529" s="4" t="e">
        <f ca="1">[1]!BexGetData("DP_1","003N8EMH8GTFRCSWKMPXRSGPQ","GSON1112151023")</f>
        <v>#NAME?</v>
      </c>
      <c r="K1529" s="8" t="e">
        <f ca="1">[1]!BexGetData("DP_1","003N8EMH8GTFRIVNUPY288VJH","GSON1112151023")</f>
        <v>#NAME?</v>
      </c>
      <c r="L1529" s="8" t="e">
        <f ca="1">[1]!BexGetData("DP_1","003N8EMH8GTFRIVNUPY2891V1","GSON1112151023")</f>
        <v>#NAME?</v>
      </c>
      <c r="M1529" s="8" t="e">
        <f ca="1">[1]!BexGetData("DP_1","003N8EMH8GTFRIVOG7KG9IQXA","GSON1112151023")</f>
        <v>#NAME?</v>
      </c>
      <c r="N1529" s="8" t="e">
        <f ca="1">[1]!BexGetData("DP_1","003N8EMH8GTFRIVOG7KG9IX8U","GSON1112151023")</f>
        <v>#NAME?</v>
      </c>
      <c r="O1529" s="8" t="e">
        <f ca="1">[1]!BexGetData("DP_1","003N8EMH8GTFRIVOG7KG9J3KE","GSON1112151023")</f>
        <v>#NAME?</v>
      </c>
      <c r="P1529" s="8" t="e">
        <f ca="1">[1]!BexGetData("DP_1","003N8EMH8GTFRIVOG7KG9J9VY","GSON1112151023")</f>
        <v>#NAME?</v>
      </c>
      <c r="Q1529" s="4" t="e">
        <f ca="1">[1]!BexGetData("DP_1","00O2TNJGODT0G5Z4TTKYMM5MT","GSON1112151023")</f>
        <v>#NAME?</v>
      </c>
      <c r="R1529" s="4" t="e">
        <f ca="1">[1]!BexGetData("DP_1","00O2TNJGODT0G5Z4TTKYMMBYD","GSON1112151023")</f>
        <v>#NAME?</v>
      </c>
      <c r="S1529" s="4" t="e">
        <f ca="1">[1]!BexGetData("DP_1","00O2TNJGODT0G5Z4TTKYMMI9X","GSON1112151023")</f>
        <v>#NAME?</v>
      </c>
      <c r="T1529" s="4" t="e">
        <f ca="1">[1]!BexGetData("DP_1","00O2TNJGODT0G5Z4TTKYMMOLH","GSON1112151023")</f>
        <v>#NAME?</v>
      </c>
      <c r="U1529" s="4" t="e">
        <f ca="1">[1]!BexGetData("DP_1","00O2TNJGODT0G5Z4TTKYMMUX1","GSON1112151023")</f>
        <v>#NAME?</v>
      </c>
      <c r="V1529" s="4" t="e">
        <f ca="1">[1]!BexGetData("DP_1","00O2TNJGODT0G5Z4TTKYMN18L","GSON1112151023")</f>
        <v>#NAME?</v>
      </c>
      <c r="W1529" s="4" t="e">
        <f ca="1">[1]!BexGetData("DP_1","00O2TNJGODT0G5Z4TTKYMN7K5","GSON1112151023")</f>
        <v>#NAME?</v>
      </c>
    </row>
    <row r="1530" spans="1:23" x14ac:dyDescent="0.2">
      <c r="A1530" s="16" t="s">
        <v>4000</v>
      </c>
      <c r="B1530" s="7" t="s">
        <v>1189</v>
      </c>
      <c r="C1530" s="3" t="e">
        <f ca="1">[1]!BexGetData("DP_1","003N8EMH8GTFRCSWKMPXRR8GU","GSON1112151024")</f>
        <v>#NAME?</v>
      </c>
      <c r="D1530" s="3" t="e">
        <f ca="1">[1]!BexGetData("DP_1","003N8EMH8GTFRCSWKMPXRRESE","GSON1112151024")</f>
        <v>#NAME?</v>
      </c>
      <c r="E1530" s="8" t="e">
        <f ca="1">[1]!BexGetData("DP_1","003N8EMH8GTFRCSWKMPXRRL3Y","GSON1112151024")</f>
        <v>#NAME?</v>
      </c>
      <c r="F1530" s="4" t="e">
        <f ca="1">[1]!BexGetData("DP_1","003N8EMH8GTFRCSWKMPXRRRFI","GSON1112151024")</f>
        <v>#NAME?</v>
      </c>
      <c r="G1530" s="4" t="e">
        <f ca="1">[1]!BexGetData("DP_1","003N8EMH8GTFRCSWKMPXRRXR2","GSON1112151024")</f>
        <v>#NAME?</v>
      </c>
      <c r="H1530" s="4" t="e">
        <f ca="1">[1]!BexGetData("DP_1","003N8EMH8GTFRCSWKMPXRS42M","GSON1112151024")</f>
        <v>#NAME?</v>
      </c>
      <c r="I1530" s="4" t="e">
        <f ca="1">[1]!BexGetData("DP_1","003N8EMH8GTFRCSWKMPXRSAE6","GSON1112151024")</f>
        <v>#NAME?</v>
      </c>
      <c r="J1530" s="4" t="e">
        <f ca="1">[1]!BexGetData("DP_1","003N8EMH8GTFRCSWKMPXRSGPQ","GSON1112151024")</f>
        <v>#NAME?</v>
      </c>
      <c r="K1530" s="8" t="e">
        <f ca="1">[1]!BexGetData("DP_1","003N8EMH8GTFRIVNUPY288VJH","GSON1112151024")</f>
        <v>#NAME?</v>
      </c>
      <c r="L1530" s="8" t="e">
        <f ca="1">[1]!BexGetData("DP_1","003N8EMH8GTFRIVNUPY2891V1","GSON1112151024")</f>
        <v>#NAME?</v>
      </c>
      <c r="M1530" s="8" t="e">
        <f ca="1">[1]!BexGetData("DP_1","003N8EMH8GTFRIVOG7KG9IQXA","GSON1112151024")</f>
        <v>#NAME?</v>
      </c>
      <c r="N1530" s="8" t="e">
        <f ca="1">[1]!BexGetData("DP_1","003N8EMH8GTFRIVOG7KG9IX8U","GSON1112151024")</f>
        <v>#NAME?</v>
      </c>
      <c r="O1530" s="8" t="e">
        <f ca="1">[1]!BexGetData("DP_1","003N8EMH8GTFRIVOG7KG9J3KE","GSON1112151024")</f>
        <v>#NAME?</v>
      </c>
      <c r="P1530" s="8" t="e">
        <f ca="1">[1]!BexGetData("DP_1","003N8EMH8GTFRIVOG7KG9J9VY","GSON1112151024")</f>
        <v>#NAME?</v>
      </c>
      <c r="Q1530" s="4" t="e">
        <f ca="1">[1]!BexGetData("DP_1","00O2TNJGODT0G5Z4TTKYMM5MT","GSON1112151024")</f>
        <v>#NAME?</v>
      </c>
      <c r="R1530" s="4" t="e">
        <f ca="1">[1]!BexGetData("DP_1","00O2TNJGODT0G5Z4TTKYMMBYD","GSON1112151024")</f>
        <v>#NAME?</v>
      </c>
      <c r="S1530" s="4" t="e">
        <f ca="1">[1]!BexGetData("DP_1","00O2TNJGODT0G5Z4TTKYMMI9X","GSON1112151024")</f>
        <v>#NAME?</v>
      </c>
      <c r="T1530" s="4" t="e">
        <f ca="1">[1]!BexGetData("DP_1","00O2TNJGODT0G5Z4TTKYMMOLH","GSON1112151024")</f>
        <v>#NAME?</v>
      </c>
      <c r="U1530" s="4" t="e">
        <f ca="1">[1]!BexGetData("DP_1","00O2TNJGODT0G5Z4TTKYMMUX1","GSON1112151024")</f>
        <v>#NAME?</v>
      </c>
      <c r="V1530" s="4" t="e">
        <f ca="1">[1]!BexGetData("DP_1","00O2TNJGODT0G5Z4TTKYMN18L","GSON1112151024")</f>
        <v>#NAME?</v>
      </c>
      <c r="W1530" s="4" t="e">
        <f ca="1">[1]!BexGetData("DP_1","00O2TNJGODT0G5Z4TTKYMN7K5","GSON1112151024")</f>
        <v>#NAME?</v>
      </c>
    </row>
    <row r="1531" spans="1:23" x14ac:dyDescent="0.2">
      <c r="A1531" s="16" t="s">
        <v>4001</v>
      </c>
      <c r="B1531" s="7" t="s">
        <v>4002</v>
      </c>
      <c r="C1531" s="3" t="e">
        <f ca="1">[1]!BexGetData("DP_1","003N8EMH8GTFRCSWKMPXRR8GU","GSON1112151025")</f>
        <v>#NAME?</v>
      </c>
      <c r="D1531" s="3" t="e">
        <f ca="1">[1]!BexGetData("DP_1","003N8EMH8GTFRCSWKMPXRRESE","GSON1112151025")</f>
        <v>#NAME?</v>
      </c>
      <c r="E1531" s="8" t="e">
        <f ca="1">[1]!BexGetData("DP_1","003N8EMH8GTFRCSWKMPXRRL3Y","GSON1112151025")</f>
        <v>#NAME?</v>
      </c>
      <c r="F1531" s="4" t="e">
        <f ca="1">[1]!BexGetData("DP_1","003N8EMH8GTFRCSWKMPXRRRFI","GSON1112151025")</f>
        <v>#NAME?</v>
      </c>
      <c r="G1531" s="4" t="e">
        <f ca="1">[1]!BexGetData("DP_1","003N8EMH8GTFRCSWKMPXRRXR2","GSON1112151025")</f>
        <v>#NAME?</v>
      </c>
      <c r="H1531" s="4" t="e">
        <f ca="1">[1]!BexGetData("DP_1","003N8EMH8GTFRCSWKMPXRS42M","GSON1112151025")</f>
        <v>#NAME?</v>
      </c>
      <c r="I1531" s="4" t="e">
        <f ca="1">[1]!BexGetData("DP_1","003N8EMH8GTFRCSWKMPXRSAE6","GSON1112151025")</f>
        <v>#NAME?</v>
      </c>
      <c r="J1531" s="4" t="e">
        <f ca="1">[1]!BexGetData("DP_1","003N8EMH8GTFRCSWKMPXRSGPQ","GSON1112151025")</f>
        <v>#NAME?</v>
      </c>
      <c r="K1531" s="8" t="e">
        <f ca="1">[1]!BexGetData("DP_1","003N8EMH8GTFRIVNUPY288VJH","GSON1112151025")</f>
        <v>#NAME?</v>
      </c>
      <c r="L1531" s="8" t="e">
        <f ca="1">[1]!BexGetData("DP_1","003N8EMH8GTFRIVNUPY2891V1","GSON1112151025")</f>
        <v>#NAME?</v>
      </c>
      <c r="M1531" s="8" t="e">
        <f ca="1">[1]!BexGetData("DP_1","003N8EMH8GTFRIVOG7KG9IQXA","GSON1112151025")</f>
        <v>#NAME?</v>
      </c>
      <c r="N1531" s="8" t="e">
        <f ca="1">[1]!BexGetData("DP_1","003N8EMH8GTFRIVOG7KG9IX8U","GSON1112151025")</f>
        <v>#NAME?</v>
      </c>
      <c r="O1531" s="8" t="e">
        <f ca="1">[1]!BexGetData("DP_1","003N8EMH8GTFRIVOG7KG9J3KE","GSON1112151025")</f>
        <v>#NAME?</v>
      </c>
      <c r="P1531" s="8" t="e">
        <f ca="1">[1]!BexGetData("DP_1","003N8EMH8GTFRIVOG7KG9J9VY","GSON1112151025")</f>
        <v>#NAME?</v>
      </c>
      <c r="Q1531" s="4" t="e">
        <f ca="1">[1]!BexGetData("DP_1","00O2TNJGODT0G5Z4TTKYMM5MT","GSON1112151025")</f>
        <v>#NAME?</v>
      </c>
      <c r="R1531" s="4" t="e">
        <f ca="1">[1]!BexGetData("DP_1","00O2TNJGODT0G5Z4TTKYMMBYD","GSON1112151025")</f>
        <v>#NAME?</v>
      </c>
      <c r="S1531" s="4" t="e">
        <f ca="1">[1]!BexGetData("DP_1","00O2TNJGODT0G5Z4TTKYMMI9X","GSON1112151025")</f>
        <v>#NAME?</v>
      </c>
      <c r="T1531" s="4" t="e">
        <f ca="1">[1]!BexGetData("DP_1","00O2TNJGODT0G5Z4TTKYMMOLH","GSON1112151025")</f>
        <v>#NAME?</v>
      </c>
      <c r="U1531" s="4" t="e">
        <f ca="1">[1]!BexGetData("DP_1","00O2TNJGODT0G5Z4TTKYMMUX1","GSON1112151025")</f>
        <v>#NAME?</v>
      </c>
      <c r="V1531" s="4" t="e">
        <f ca="1">[1]!BexGetData("DP_1","00O2TNJGODT0G5Z4TTKYMN18L","GSON1112151025")</f>
        <v>#NAME?</v>
      </c>
      <c r="W1531" s="4" t="e">
        <f ca="1">[1]!BexGetData("DP_1","00O2TNJGODT0G5Z4TTKYMN7K5","GSON1112151025")</f>
        <v>#NAME?</v>
      </c>
    </row>
    <row r="1532" spans="1:23" x14ac:dyDescent="0.2">
      <c r="A1532" s="16" t="s">
        <v>4003</v>
      </c>
      <c r="B1532" s="7" t="s">
        <v>4004</v>
      </c>
      <c r="C1532" s="3" t="e">
        <f ca="1">[1]!BexGetData("DP_1","003N8EMH8GTFRCSWKMPXRR8GU","GSON1112151030")</f>
        <v>#NAME?</v>
      </c>
      <c r="D1532" s="3" t="e">
        <f ca="1">[1]!BexGetData("DP_1","003N8EMH8GTFRCSWKMPXRRESE","GSON1112151030")</f>
        <v>#NAME?</v>
      </c>
      <c r="E1532" s="8" t="e">
        <f ca="1">[1]!BexGetData("DP_1","003N8EMH8GTFRCSWKMPXRRL3Y","GSON1112151030")</f>
        <v>#NAME?</v>
      </c>
      <c r="F1532" s="4" t="e">
        <f ca="1">[1]!BexGetData("DP_1","003N8EMH8GTFRCSWKMPXRRRFI","GSON1112151030")</f>
        <v>#NAME?</v>
      </c>
      <c r="G1532" s="4" t="e">
        <f ca="1">[1]!BexGetData("DP_1","003N8EMH8GTFRCSWKMPXRRXR2","GSON1112151030")</f>
        <v>#NAME?</v>
      </c>
      <c r="H1532" s="4" t="e">
        <f ca="1">[1]!BexGetData("DP_1","003N8EMH8GTFRCSWKMPXRS42M","GSON1112151030")</f>
        <v>#NAME?</v>
      </c>
      <c r="I1532" s="4" t="e">
        <f ca="1">[1]!BexGetData("DP_1","003N8EMH8GTFRCSWKMPXRSAE6","GSON1112151030")</f>
        <v>#NAME?</v>
      </c>
      <c r="J1532" s="4" t="e">
        <f ca="1">[1]!BexGetData("DP_1","003N8EMH8GTFRCSWKMPXRSGPQ","GSON1112151030")</f>
        <v>#NAME?</v>
      </c>
      <c r="K1532" s="8" t="e">
        <f ca="1">[1]!BexGetData("DP_1","003N8EMH8GTFRIVNUPY288VJH","GSON1112151030")</f>
        <v>#NAME?</v>
      </c>
      <c r="L1532" s="8" t="e">
        <f ca="1">[1]!BexGetData("DP_1","003N8EMH8GTFRIVNUPY2891V1","GSON1112151030")</f>
        <v>#NAME?</v>
      </c>
      <c r="M1532" s="8" t="e">
        <f ca="1">[1]!BexGetData("DP_1","003N8EMH8GTFRIVOG7KG9IQXA","GSON1112151030")</f>
        <v>#NAME?</v>
      </c>
      <c r="N1532" s="8" t="e">
        <f ca="1">[1]!BexGetData("DP_1","003N8EMH8GTFRIVOG7KG9IX8U","GSON1112151030")</f>
        <v>#NAME?</v>
      </c>
      <c r="O1532" s="8" t="e">
        <f ca="1">[1]!BexGetData("DP_1","003N8EMH8GTFRIVOG7KG9J3KE","GSON1112151030")</f>
        <v>#NAME?</v>
      </c>
      <c r="P1532" s="8" t="e">
        <f ca="1">[1]!BexGetData("DP_1","003N8EMH8GTFRIVOG7KG9J9VY","GSON1112151030")</f>
        <v>#NAME?</v>
      </c>
      <c r="Q1532" s="4" t="e">
        <f ca="1">[1]!BexGetData("DP_1","00O2TNJGODT0G5Z4TTKYMM5MT","GSON1112151030")</f>
        <v>#NAME?</v>
      </c>
      <c r="R1532" s="4" t="e">
        <f ca="1">[1]!BexGetData("DP_1","00O2TNJGODT0G5Z4TTKYMMBYD","GSON1112151030")</f>
        <v>#NAME?</v>
      </c>
      <c r="S1532" s="4" t="e">
        <f ca="1">[1]!BexGetData("DP_1","00O2TNJGODT0G5Z4TTKYMMI9X","GSON1112151030")</f>
        <v>#NAME?</v>
      </c>
      <c r="T1532" s="4" t="e">
        <f ca="1">[1]!BexGetData("DP_1","00O2TNJGODT0G5Z4TTKYMMOLH","GSON1112151030")</f>
        <v>#NAME?</v>
      </c>
      <c r="U1532" s="4" t="e">
        <f ca="1">[1]!BexGetData("DP_1","00O2TNJGODT0G5Z4TTKYMMUX1","GSON1112151030")</f>
        <v>#NAME?</v>
      </c>
      <c r="V1532" s="4" t="e">
        <f ca="1">[1]!BexGetData("DP_1","00O2TNJGODT0G5Z4TTKYMN18L","GSON1112151030")</f>
        <v>#NAME?</v>
      </c>
      <c r="W1532" s="4" t="e">
        <f ca="1">[1]!BexGetData("DP_1","00O2TNJGODT0G5Z4TTKYMN7K5","GSON1112151030")</f>
        <v>#NAME?</v>
      </c>
    </row>
    <row r="1533" spans="1:23" x14ac:dyDescent="0.2">
      <c r="A1533" s="16" t="s">
        <v>4005</v>
      </c>
      <c r="B1533" s="7" t="s">
        <v>4006</v>
      </c>
      <c r="C1533" s="3" t="e">
        <f ca="1">[1]!BexGetData("DP_1","003N8EMH8GTFRCSWKMPXRR8GU","GSON1112151031")</f>
        <v>#NAME?</v>
      </c>
      <c r="D1533" s="3" t="e">
        <f ca="1">[1]!BexGetData("DP_1","003N8EMH8GTFRCSWKMPXRRESE","GSON1112151031")</f>
        <v>#NAME?</v>
      </c>
      <c r="E1533" s="8" t="e">
        <f ca="1">[1]!BexGetData("DP_1","003N8EMH8GTFRCSWKMPXRRL3Y","GSON1112151031")</f>
        <v>#NAME?</v>
      </c>
      <c r="F1533" s="4" t="e">
        <f ca="1">[1]!BexGetData("DP_1","003N8EMH8GTFRCSWKMPXRRRFI","GSON1112151031")</f>
        <v>#NAME?</v>
      </c>
      <c r="G1533" s="4" t="e">
        <f ca="1">[1]!BexGetData("DP_1","003N8EMH8GTFRCSWKMPXRRXR2","GSON1112151031")</f>
        <v>#NAME?</v>
      </c>
      <c r="H1533" s="4" t="e">
        <f ca="1">[1]!BexGetData("DP_1","003N8EMH8GTFRCSWKMPXRS42M","GSON1112151031")</f>
        <v>#NAME?</v>
      </c>
      <c r="I1533" s="4" t="e">
        <f ca="1">[1]!BexGetData("DP_1","003N8EMH8GTFRCSWKMPXRSAE6","GSON1112151031")</f>
        <v>#NAME?</v>
      </c>
      <c r="J1533" s="4" t="e">
        <f ca="1">[1]!BexGetData("DP_1","003N8EMH8GTFRCSWKMPXRSGPQ","GSON1112151031")</f>
        <v>#NAME?</v>
      </c>
      <c r="K1533" s="8" t="e">
        <f ca="1">[1]!BexGetData("DP_1","003N8EMH8GTFRIVNUPY288VJH","GSON1112151031")</f>
        <v>#NAME?</v>
      </c>
      <c r="L1533" s="8" t="e">
        <f ca="1">[1]!BexGetData("DP_1","003N8EMH8GTFRIVNUPY2891V1","GSON1112151031")</f>
        <v>#NAME?</v>
      </c>
      <c r="M1533" s="8" t="e">
        <f ca="1">[1]!BexGetData("DP_1","003N8EMH8GTFRIVOG7KG9IQXA","GSON1112151031")</f>
        <v>#NAME?</v>
      </c>
      <c r="N1533" s="8" t="e">
        <f ca="1">[1]!BexGetData("DP_1","003N8EMH8GTFRIVOG7KG9IX8U","GSON1112151031")</f>
        <v>#NAME?</v>
      </c>
      <c r="O1533" s="8" t="e">
        <f ca="1">[1]!BexGetData("DP_1","003N8EMH8GTFRIVOG7KG9J3KE","GSON1112151031")</f>
        <v>#NAME?</v>
      </c>
      <c r="P1533" s="8" t="e">
        <f ca="1">[1]!BexGetData("DP_1","003N8EMH8GTFRIVOG7KG9J9VY","GSON1112151031")</f>
        <v>#NAME?</v>
      </c>
      <c r="Q1533" s="4" t="e">
        <f ca="1">[1]!BexGetData("DP_1","00O2TNJGODT0G5Z4TTKYMM5MT","GSON1112151031")</f>
        <v>#NAME?</v>
      </c>
      <c r="R1533" s="4" t="e">
        <f ca="1">[1]!BexGetData("DP_1","00O2TNJGODT0G5Z4TTKYMMBYD","GSON1112151031")</f>
        <v>#NAME?</v>
      </c>
      <c r="S1533" s="4" t="e">
        <f ca="1">[1]!BexGetData("DP_1","00O2TNJGODT0G5Z4TTKYMMI9X","GSON1112151031")</f>
        <v>#NAME?</v>
      </c>
      <c r="T1533" s="4" t="e">
        <f ca="1">[1]!BexGetData("DP_1","00O2TNJGODT0G5Z4TTKYMMOLH","GSON1112151031")</f>
        <v>#NAME?</v>
      </c>
      <c r="U1533" s="4" t="e">
        <f ca="1">[1]!BexGetData("DP_1","00O2TNJGODT0G5Z4TTKYMMUX1","GSON1112151031")</f>
        <v>#NAME?</v>
      </c>
      <c r="V1533" s="4" t="e">
        <f ca="1">[1]!BexGetData("DP_1","00O2TNJGODT0G5Z4TTKYMN18L","GSON1112151031")</f>
        <v>#NAME?</v>
      </c>
      <c r="W1533" s="4" t="e">
        <f ca="1">[1]!BexGetData("DP_1","00O2TNJGODT0G5Z4TTKYMN7K5","GSON1112151031")</f>
        <v>#NAME?</v>
      </c>
    </row>
    <row r="1534" spans="1:23" x14ac:dyDescent="0.2">
      <c r="A1534" s="16" t="s">
        <v>4007</v>
      </c>
      <c r="B1534" s="7" t="s">
        <v>4008</v>
      </c>
      <c r="C1534" s="3" t="e">
        <f ca="1">[1]!BexGetData("DP_1","003N8EMH8GTFRCSWKMPXRR8GU","GSON1112151035")</f>
        <v>#NAME?</v>
      </c>
      <c r="D1534" s="3" t="e">
        <f ca="1">[1]!BexGetData("DP_1","003N8EMH8GTFRCSWKMPXRRESE","GSON1112151035")</f>
        <v>#NAME?</v>
      </c>
      <c r="E1534" s="8" t="e">
        <f ca="1">[1]!BexGetData("DP_1","003N8EMH8GTFRCSWKMPXRRL3Y","GSON1112151035")</f>
        <v>#NAME?</v>
      </c>
      <c r="F1534" s="4" t="e">
        <f ca="1">[1]!BexGetData("DP_1","003N8EMH8GTFRCSWKMPXRRRFI","GSON1112151035")</f>
        <v>#NAME?</v>
      </c>
      <c r="G1534" s="4" t="e">
        <f ca="1">[1]!BexGetData("DP_1","003N8EMH8GTFRCSWKMPXRRXR2","GSON1112151035")</f>
        <v>#NAME?</v>
      </c>
      <c r="H1534" s="4" t="e">
        <f ca="1">[1]!BexGetData("DP_1","003N8EMH8GTFRCSWKMPXRS42M","GSON1112151035")</f>
        <v>#NAME?</v>
      </c>
      <c r="I1534" s="4" t="e">
        <f ca="1">[1]!BexGetData("DP_1","003N8EMH8GTFRCSWKMPXRSAE6","GSON1112151035")</f>
        <v>#NAME?</v>
      </c>
      <c r="J1534" s="4" t="e">
        <f ca="1">[1]!BexGetData("DP_1","003N8EMH8GTFRCSWKMPXRSGPQ","GSON1112151035")</f>
        <v>#NAME?</v>
      </c>
      <c r="K1534" s="8" t="e">
        <f ca="1">[1]!BexGetData("DP_1","003N8EMH8GTFRIVNUPY288VJH","GSON1112151035")</f>
        <v>#NAME?</v>
      </c>
      <c r="L1534" s="8" t="e">
        <f ca="1">[1]!BexGetData("DP_1","003N8EMH8GTFRIVNUPY2891V1","GSON1112151035")</f>
        <v>#NAME?</v>
      </c>
      <c r="M1534" s="8" t="e">
        <f ca="1">[1]!BexGetData("DP_1","003N8EMH8GTFRIVOG7KG9IQXA","GSON1112151035")</f>
        <v>#NAME?</v>
      </c>
      <c r="N1534" s="8" t="e">
        <f ca="1">[1]!BexGetData("DP_1","003N8EMH8GTFRIVOG7KG9IX8U","GSON1112151035")</f>
        <v>#NAME?</v>
      </c>
      <c r="O1534" s="8" t="e">
        <f ca="1">[1]!BexGetData("DP_1","003N8EMH8GTFRIVOG7KG9J3KE","GSON1112151035")</f>
        <v>#NAME?</v>
      </c>
      <c r="P1534" s="8" t="e">
        <f ca="1">[1]!BexGetData("DP_1","003N8EMH8GTFRIVOG7KG9J9VY","GSON1112151035")</f>
        <v>#NAME?</v>
      </c>
      <c r="Q1534" s="4" t="e">
        <f ca="1">[1]!BexGetData("DP_1","00O2TNJGODT0G5Z4TTKYMM5MT","GSON1112151035")</f>
        <v>#NAME?</v>
      </c>
      <c r="R1534" s="4" t="e">
        <f ca="1">[1]!BexGetData("DP_1","00O2TNJGODT0G5Z4TTKYMMBYD","GSON1112151035")</f>
        <v>#NAME?</v>
      </c>
      <c r="S1534" s="4" t="e">
        <f ca="1">[1]!BexGetData("DP_1","00O2TNJGODT0G5Z4TTKYMMI9X","GSON1112151035")</f>
        <v>#NAME?</v>
      </c>
      <c r="T1534" s="4" t="e">
        <f ca="1">[1]!BexGetData("DP_1","00O2TNJGODT0G5Z4TTKYMMOLH","GSON1112151035")</f>
        <v>#NAME?</v>
      </c>
      <c r="U1534" s="4" t="e">
        <f ca="1">[1]!BexGetData("DP_1","00O2TNJGODT0G5Z4TTKYMMUX1","GSON1112151035")</f>
        <v>#NAME?</v>
      </c>
      <c r="V1534" s="4" t="e">
        <f ca="1">[1]!BexGetData("DP_1","00O2TNJGODT0G5Z4TTKYMN18L","GSON1112151035")</f>
        <v>#NAME?</v>
      </c>
      <c r="W1534" s="4" t="e">
        <f ca="1">[1]!BexGetData("DP_1","00O2TNJGODT0G5Z4TTKYMN7K5","GSON1112151035")</f>
        <v>#NAME?</v>
      </c>
    </row>
    <row r="1535" spans="1:23" x14ac:dyDescent="0.2">
      <c r="A1535" s="16" t="s">
        <v>4009</v>
      </c>
      <c r="B1535" s="7" t="s">
        <v>4010</v>
      </c>
      <c r="C1535" s="8" t="e">
        <f ca="1">[1]!BexGetData("DP_1","003N8EMH8GTFRCSWKMPXRR8GU","GSON1112151040")</f>
        <v>#NAME?</v>
      </c>
      <c r="D1535" s="3" t="e">
        <f ca="1">[1]!BexGetData("DP_1","003N8EMH8GTFRCSWKMPXRRESE","GSON1112151040")</f>
        <v>#NAME?</v>
      </c>
      <c r="E1535" s="8" t="e">
        <f ca="1">[1]!BexGetData("DP_1","003N8EMH8GTFRCSWKMPXRRL3Y","GSON1112151040")</f>
        <v>#NAME?</v>
      </c>
      <c r="F1535" s="3" t="e">
        <f ca="1">[1]!BexGetData("DP_1","003N8EMH8GTFRCSWKMPXRRRFI","GSON1112151040")</f>
        <v>#NAME?</v>
      </c>
      <c r="G1535" s="3" t="e">
        <f ca="1">[1]!BexGetData("DP_1","003N8EMH8GTFRCSWKMPXRRXR2","GSON1112151040")</f>
        <v>#NAME?</v>
      </c>
      <c r="H1535" s="8" t="e">
        <f ca="1">[1]!BexGetData("DP_1","003N8EMH8GTFRCSWKMPXRS42M","GSON1112151040")</f>
        <v>#NAME?</v>
      </c>
      <c r="I1535" s="3" t="e">
        <f ca="1">[1]!BexGetData("DP_1","003N8EMH8GTFRCSWKMPXRSAE6","GSON1112151040")</f>
        <v>#NAME?</v>
      </c>
      <c r="J1535" s="4" t="e">
        <f ca="1">[1]!BexGetData("DP_1","003N8EMH8GTFRCSWKMPXRSGPQ","GSON1112151040")</f>
        <v>#NAME?</v>
      </c>
      <c r="K1535" s="3" t="e">
        <f ca="1">[1]!BexGetData("DP_1","003N8EMH8GTFRIVNUPY288VJH","GSON1112151040")</f>
        <v>#NAME?</v>
      </c>
      <c r="L1535" s="3" t="e">
        <f ca="1">[1]!BexGetData("DP_1","003N8EMH8GTFRIVNUPY2891V1","GSON1112151040")</f>
        <v>#NAME?</v>
      </c>
      <c r="M1535" s="3" t="e">
        <f ca="1">[1]!BexGetData("DP_1","003N8EMH8GTFRIVOG7KG9IQXA","GSON1112151040")</f>
        <v>#NAME?</v>
      </c>
      <c r="N1535" s="8" t="e">
        <f ca="1">[1]!BexGetData("DP_1","003N8EMH8GTFRIVOG7KG9IX8U","GSON1112151040")</f>
        <v>#NAME?</v>
      </c>
      <c r="O1535" s="3" t="e">
        <f ca="1">[1]!BexGetData("DP_1","003N8EMH8GTFRIVOG7KG9J3KE","GSON1112151040")</f>
        <v>#NAME?</v>
      </c>
      <c r="P1535" s="8" t="e">
        <f ca="1">[1]!BexGetData("DP_1","003N8EMH8GTFRIVOG7KG9J9VY","GSON1112151040")</f>
        <v>#NAME?</v>
      </c>
      <c r="Q1535" s="4" t="e">
        <f ca="1">[1]!BexGetData("DP_1","00O2TNJGODT0G5Z4TTKYMM5MT","GSON1112151040")</f>
        <v>#NAME?</v>
      </c>
      <c r="R1535" s="3" t="e">
        <f ca="1">[1]!BexGetData("DP_1","00O2TNJGODT0G5Z4TTKYMMBYD","GSON1112151040")</f>
        <v>#NAME?</v>
      </c>
      <c r="S1535" s="3" t="e">
        <f ca="1">[1]!BexGetData("DP_1","00O2TNJGODT0G5Z4TTKYMMI9X","GSON1112151040")</f>
        <v>#NAME?</v>
      </c>
      <c r="T1535" s="8" t="e">
        <f ca="1">[1]!BexGetData("DP_1","00O2TNJGODT0G5Z4TTKYMMOLH","GSON1112151040")</f>
        <v>#NAME?</v>
      </c>
      <c r="U1535" s="3" t="e">
        <f ca="1">[1]!BexGetData("DP_1","00O2TNJGODT0G5Z4TTKYMMUX1","GSON1112151040")</f>
        <v>#NAME?</v>
      </c>
      <c r="V1535" s="8" t="e">
        <f ca="1">[1]!BexGetData("DP_1","00O2TNJGODT0G5Z4TTKYMN18L","GSON1112151040")</f>
        <v>#NAME?</v>
      </c>
      <c r="W1535" s="3" t="e">
        <f ca="1">[1]!BexGetData("DP_1","00O2TNJGODT0G5Z4TTKYMN7K5","GSON1112151040")</f>
        <v>#NAME?</v>
      </c>
    </row>
    <row r="1536" spans="1:23" x14ac:dyDescent="0.2">
      <c r="A1536" s="16" t="s">
        <v>4011</v>
      </c>
      <c r="B1536" s="7" t="s">
        <v>4012</v>
      </c>
      <c r="C1536" s="3" t="e">
        <f ca="1">[1]!BexGetData("DP_1","003N8EMH8GTFRCSWKMPXRR8GU","GSON1112151044")</f>
        <v>#NAME?</v>
      </c>
      <c r="D1536" s="3" t="e">
        <f ca="1">[1]!BexGetData("DP_1","003N8EMH8GTFRCSWKMPXRRESE","GSON1112151044")</f>
        <v>#NAME?</v>
      </c>
      <c r="E1536" s="8" t="e">
        <f ca="1">[1]!BexGetData("DP_1","003N8EMH8GTFRCSWKMPXRRL3Y","GSON1112151044")</f>
        <v>#NAME?</v>
      </c>
      <c r="F1536" s="4" t="e">
        <f ca="1">[1]!BexGetData("DP_1","003N8EMH8GTFRCSWKMPXRRRFI","GSON1112151044")</f>
        <v>#NAME?</v>
      </c>
      <c r="G1536" s="4" t="e">
        <f ca="1">[1]!BexGetData("DP_1","003N8EMH8GTFRCSWKMPXRRXR2","GSON1112151044")</f>
        <v>#NAME?</v>
      </c>
      <c r="H1536" s="4" t="e">
        <f ca="1">[1]!BexGetData("DP_1","003N8EMH8GTFRCSWKMPXRS42M","GSON1112151044")</f>
        <v>#NAME?</v>
      </c>
      <c r="I1536" s="4" t="e">
        <f ca="1">[1]!BexGetData("DP_1","003N8EMH8GTFRCSWKMPXRSAE6","GSON1112151044")</f>
        <v>#NAME?</v>
      </c>
      <c r="J1536" s="4" t="e">
        <f ca="1">[1]!BexGetData("DP_1","003N8EMH8GTFRCSWKMPXRSGPQ","GSON1112151044")</f>
        <v>#NAME?</v>
      </c>
      <c r="K1536" s="8" t="e">
        <f ca="1">[1]!BexGetData("DP_1","003N8EMH8GTFRIVNUPY288VJH","GSON1112151044")</f>
        <v>#NAME?</v>
      </c>
      <c r="L1536" s="8" t="e">
        <f ca="1">[1]!BexGetData("DP_1","003N8EMH8GTFRIVNUPY2891V1","GSON1112151044")</f>
        <v>#NAME?</v>
      </c>
      <c r="M1536" s="8" t="e">
        <f ca="1">[1]!BexGetData("DP_1","003N8EMH8GTFRIVOG7KG9IQXA","GSON1112151044")</f>
        <v>#NAME?</v>
      </c>
      <c r="N1536" s="8" t="e">
        <f ca="1">[1]!BexGetData("DP_1","003N8EMH8GTFRIVOG7KG9IX8U","GSON1112151044")</f>
        <v>#NAME?</v>
      </c>
      <c r="O1536" s="8" t="e">
        <f ca="1">[1]!BexGetData("DP_1","003N8EMH8GTFRIVOG7KG9J3KE","GSON1112151044")</f>
        <v>#NAME?</v>
      </c>
      <c r="P1536" s="8" t="e">
        <f ca="1">[1]!BexGetData("DP_1","003N8EMH8GTFRIVOG7KG9J9VY","GSON1112151044")</f>
        <v>#NAME?</v>
      </c>
      <c r="Q1536" s="4" t="e">
        <f ca="1">[1]!BexGetData("DP_1","00O2TNJGODT0G5Z4TTKYMM5MT","GSON1112151044")</f>
        <v>#NAME?</v>
      </c>
      <c r="R1536" s="4" t="e">
        <f ca="1">[1]!BexGetData("DP_1","00O2TNJGODT0G5Z4TTKYMMBYD","GSON1112151044")</f>
        <v>#NAME?</v>
      </c>
      <c r="S1536" s="4" t="e">
        <f ca="1">[1]!BexGetData("DP_1","00O2TNJGODT0G5Z4TTKYMMI9X","GSON1112151044")</f>
        <v>#NAME?</v>
      </c>
      <c r="T1536" s="4" t="e">
        <f ca="1">[1]!BexGetData("DP_1","00O2TNJGODT0G5Z4TTKYMMOLH","GSON1112151044")</f>
        <v>#NAME?</v>
      </c>
      <c r="U1536" s="4" t="e">
        <f ca="1">[1]!BexGetData("DP_1","00O2TNJGODT0G5Z4TTKYMMUX1","GSON1112151044")</f>
        <v>#NAME?</v>
      </c>
      <c r="V1536" s="4" t="e">
        <f ca="1">[1]!BexGetData("DP_1","00O2TNJGODT0G5Z4TTKYMN18L","GSON1112151044")</f>
        <v>#NAME?</v>
      </c>
      <c r="W1536" s="4" t="e">
        <f ca="1">[1]!BexGetData("DP_1","00O2TNJGODT0G5Z4TTKYMN7K5","GSON1112151044")</f>
        <v>#NAME?</v>
      </c>
    </row>
    <row r="1537" spans="1:23" x14ac:dyDescent="0.2">
      <c r="A1537" s="16" t="s">
        <v>4013</v>
      </c>
      <c r="B1537" s="7" t="s">
        <v>4014</v>
      </c>
      <c r="C1537" s="8" t="e">
        <f ca="1">[1]!BexGetData("DP_1","003N8EMH8GTFRCSWKMPXRR8GU","GSON1112151050")</f>
        <v>#NAME?</v>
      </c>
      <c r="D1537" s="3" t="e">
        <f ca="1">[1]!BexGetData("DP_1","003N8EMH8GTFRCSWKMPXRRESE","GSON1112151050")</f>
        <v>#NAME?</v>
      </c>
      <c r="E1537" s="8" t="e">
        <f ca="1">[1]!BexGetData("DP_1","003N8EMH8GTFRCSWKMPXRRL3Y","GSON1112151050")</f>
        <v>#NAME?</v>
      </c>
      <c r="F1537" s="3" t="e">
        <f ca="1">[1]!BexGetData("DP_1","003N8EMH8GTFRCSWKMPXRRRFI","GSON1112151050")</f>
        <v>#NAME?</v>
      </c>
      <c r="G1537" s="3" t="e">
        <f ca="1">[1]!BexGetData("DP_1","003N8EMH8GTFRCSWKMPXRRXR2","GSON1112151050")</f>
        <v>#NAME?</v>
      </c>
      <c r="H1537" s="8" t="e">
        <f ca="1">[1]!BexGetData("DP_1","003N8EMH8GTFRCSWKMPXRS42M","GSON1112151050")</f>
        <v>#NAME?</v>
      </c>
      <c r="I1537" s="3" t="e">
        <f ca="1">[1]!BexGetData("DP_1","003N8EMH8GTFRCSWKMPXRSAE6","GSON1112151050")</f>
        <v>#NAME?</v>
      </c>
      <c r="J1537" s="4" t="e">
        <f ca="1">[1]!BexGetData("DP_1","003N8EMH8GTFRCSWKMPXRSGPQ","GSON1112151050")</f>
        <v>#NAME?</v>
      </c>
      <c r="K1537" s="3" t="e">
        <f ca="1">[1]!BexGetData("DP_1","003N8EMH8GTFRIVNUPY288VJH","GSON1112151050")</f>
        <v>#NAME?</v>
      </c>
      <c r="L1537" s="3" t="e">
        <f ca="1">[1]!BexGetData("DP_1","003N8EMH8GTFRIVNUPY2891V1","GSON1112151050")</f>
        <v>#NAME?</v>
      </c>
      <c r="M1537" s="3" t="e">
        <f ca="1">[1]!BexGetData("DP_1","003N8EMH8GTFRIVOG7KG9IQXA","GSON1112151050")</f>
        <v>#NAME?</v>
      </c>
      <c r="N1537" s="8" t="e">
        <f ca="1">[1]!BexGetData("DP_1","003N8EMH8GTFRIVOG7KG9IX8U","GSON1112151050")</f>
        <v>#NAME?</v>
      </c>
      <c r="O1537" s="3" t="e">
        <f ca="1">[1]!BexGetData("DP_1","003N8EMH8GTFRIVOG7KG9J3KE","GSON1112151050")</f>
        <v>#NAME?</v>
      </c>
      <c r="P1537" s="8" t="e">
        <f ca="1">[1]!BexGetData("DP_1","003N8EMH8GTFRIVOG7KG9J9VY","GSON1112151050")</f>
        <v>#NAME?</v>
      </c>
      <c r="Q1537" s="4" t="e">
        <f ca="1">[1]!BexGetData("DP_1","00O2TNJGODT0G5Z4TTKYMM5MT","GSON1112151050")</f>
        <v>#NAME?</v>
      </c>
      <c r="R1537" s="3" t="e">
        <f ca="1">[1]!BexGetData("DP_1","00O2TNJGODT0G5Z4TTKYMMBYD","GSON1112151050")</f>
        <v>#NAME?</v>
      </c>
      <c r="S1537" s="3" t="e">
        <f ca="1">[1]!BexGetData("DP_1","00O2TNJGODT0G5Z4TTKYMMI9X","GSON1112151050")</f>
        <v>#NAME?</v>
      </c>
      <c r="T1537" s="8" t="e">
        <f ca="1">[1]!BexGetData("DP_1","00O2TNJGODT0G5Z4TTKYMMOLH","GSON1112151050")</f>
        <v>#NAME?</v>
      </c>
      <c r="U1537" s="3" t="e">
        <f ca="1">[1]!BexGetData("DP_1","00O2TNJGODT0G5Z4TTKYMMUX1","GSON1112151050")</f>
        <v>#NAME?</v>
      </c>
      <c r="V1537" s="8" t="e">
        <f ca="1">[1]!BexGetData("DP_1","00O2TNJGODT0G5Z4TTKYMN18L","GSON1112151050")</f>
        <v>#NAME?</v>
      </c>
      <c r="W1537" s="3" t="e">
        <f ca="1">[1]!BexGetData("DP_1","00O2TNJGODT0G5Z4TTKYMN7K5","GSON1112151050")</f>
        <v>#NAME?</v>
      </c>
    </row>
    <row r="1538" spans="1:23" x14ac:dyDescent="0.2">
      <c r="A1538" s="16" t="s">
        <v>4015</v>
      </c>
      <c r="B1538" s="7" t="s">
        <v>4016</v>
      </c>
      <c r="C1538" s="3" t="e">
        <f ca="1">[1]!BexGetData("DP_1","003N8EMH8GTFRCSWKMPXRR8GU","GSON1112151054")</f>
        <v>#NAME?</v>
      </c>
      <c r="D1538" s="3" t="e">
        <f ca="1">[1]!BexGetData("DP_1","003N8EMH8GTFRCSWKMPXRRESE","GSON1112151054")</f>
        <v>#NAME?</v>
      </c>
      <c r="E1538" s="8" t="e">
        <f ca="1">[1]!BexGetData("DP_1","003N8EMH8GTFRCSWKMPXRRL3Y","GSON1112151054")</f>
        <v>#NAME?</v>
      </c>
      <c r="F1538" s="4" t="e">
        <f ca="1">[1]!BexGetData("DP_1","003N8EMH8GTFRCSWKMPXRRRFI","GSON1112151054")</f>
        <v>#NAME?</v>
      </c>
      <c r="G1538" s="4" t="e">
        <f ca="1">[1]!BexGetData("DP_1","003N8EMH8GTFRCSWKMPXRRXR2","GSON1112151054")</f>
        <v>#NAME?</v>
      </c>
      <c r="H1538" s="4" t="e">
        <f ca="1">[1]!BexGetData("DP_1","003N8EMH8GTFRCSWKMPXRS42M","GSON1112151054")</f>
        <v>#NAME?</v>
      </c>
      <c r="I1538" s="4" t="e">
        <f ca="1">[1]!BexGetData("DP_1","003N8EMH8GTFRCSWKMPXRSAE6","GSON1112151054")</f>
        <v>#NAME?</v>
      </c>
      <c r="J1538" s="4" t="e">
        <f ca="1">[1]!BexGetData("DP_1","003N8EMH8GTFRCSWKMPXRSGPQ","GSON1112151054")</f>
        <v>#NAME?</v>
      </c>
      <c r="K1538" s="8" t="e">
        <f ca="1">[1]!BexGetData("DP_1","003N8EMH8GTFRIVNUPY288VJH","GSON1112151054")</f>
        <v>#NAME?</v>
      </c>
      <c r="L1538" s="8" t="e">
        <f ca="1">[1]!BexGetData("DP_1","003N8EMH8GTFRIVNUPY2891V1","GSON1112151054")</f>
        <v>#NAME?</v>
      </c>
      <c r="M1538" s="8" t="e">
        <f ca="1">[1]!BexGetData("DP_1","003N8EMH8GTFRIVOG7KG9IQXA","GSON1112151054")</f>
        <v>#NAME?</v>
      </c>
      <c r="N1538" s="8" t="e">
        <f ca="1">[1]!BexGetData("DP_1","003N8EMH8GTFRIVOG7KG9IX8U","GSON1112151054")</f>
        <v>#NAME?</v>
      </c>
      <c r="O1538" s="8" t="e">
        <f ca="1">[1]!BexGetData("DP_1","003N8EMH8GTFRIVOG7KG9J3KE","GSON1112151054")</f>
        <v>#NAME?</v>
      </c>
      <c r="P1538" s="8" t="e">
        <f ca="1">[1]!BexGetData("DP_1","003N8EMH8GTFRIVOG7KG9J9VY","GSON1112151054")</f>
        <v>#NAME?</v>
      </c>
      <c r="Q1538" s="4" t="e">
        <f ca="1">[1]!BexGetData("DP_1","00O2TNJGODT0G5Z4TTKYMM5MT","GSON1112151054")</f>
        <v>#NAME?</v>
      </c>
      <c r="R1538" s="4" t="e">
        <f ca="1">[1]!BexGetData("DP_1","00O2TNJGODT0G5Z4TTKYMMBYD","GSON1112151054")</f>
        <v>#NAME?</v>
      </c>
      <c r="S1538" s="4" t="e">
        <f ca="1">[1]!BexGetData("DP_1","00O2TNJGODT0G5Z4TTKYMMI9X","GSON1112151054")</f>
        <v>#NAME?</v>
      </c>
      <c r="T1538" s="4" t="e">
        <f ca="1">[1]!BexGetData("DP_1","00O2TNJGODT0G5Z4TTKYMMOLH","GSON1112151054")</f>
        <v>#NAME?</v>
      </c>
      <c r="U1538" s="4" t="e">
        <f ca="1">[1]!BexGetData("DP_1","00O2TNJGODT0G5Z4TTKYMMUX1","GSON1112151054")</f>
        <v>#NAME?</v>
      </c>
      <c r="V1538" s="4" t="e">
        <f ca="1">[1]!BexGetData("DP_1","00O2TNJGODT0G5Z4TTKYMN18L","GSON1112151054")</f>
        <v>#NAME?</v>
      </c>
      <c r="W1538" s="4" t="e">
        <f ca="1">[1]!BexGetData("DP_1","00O2TNJGODT0G5Z4TTKYMN7K5","GSON1112151054")</f>
        <v>#NAME?</v>
      </c>
    </row>
    <row r="1539" spans="1:23" x14ac:dyDescent="0.2">
      <c r="A1539" s="16" t="s">
        <v>4017</v>
      </c>
      <c r="B1539" s="7" t="s">
        <v>4018</v>
      </c>
      <c r="C1539" s="3" t="e">
        <f ca="1">[1]!BexGetData("DP_1","003N8EMH8GTFRCSWKMPXRR8GU","GSON1112151060")</f>
        <v>#NAME?</v>
      </c>
      <c r="D1539" s="3" t="e">
        <f ca="1">[1]!BexGetData("DP_1","003N8EMH8GTFRCSWKMPXRRESE","GSON1112151060")</f>
        <v>#NAME?</v>
      </c>
      <c r="E1539" s="3" t="e">
        <f ca="1">[1]!BexGetData("DP_1","003N8EMH8GTFRCSWKMPXRRL3Y","GSON1112151060")</f>
        <v>#NAME?</v>
      </c>
      <c r="F1539" s="3" t="e">
        <f ca="1">[1]!BexGetData("DP_1","003N8EMH8GTFRCSWKMPXRRRFI","GSON1112151060")</f>
        <v>#NAME?</v>
      </c>
      <c r="G1539" s="3" t="e">
        <f ca="1">[1]!BexGetData("DP_1","003N8EMH8GTFRCSWKMPXRRXR2","GSON1112151060")</f>
        <v>#NAME?</v>
      </c>
      <c r="H1539" s="8" t="e">
        <f ca="1">[1]!BexGetData("DP_1","003N8EMH8GTFRCSWKMPXRS42M","GSON1112151060")</f>
        <v>#NAME?</v>
      </c>
      <c r="I1539" s="3" t="e">
        <f ca="1">[1]!BexGetData("DP_1","003N8EMH8GTFRCSWKMPXRSAE6","GSON1112151060")</f>
        <v>#NAME?</v>
      </c>
      <c r="J1539" s="4" t="e">
        <f ca="1">[1]!BexGetData("DP_1","003N8EMH8GTFRCSWKMPXRSGPQ","GSON1112151060")</f>
        <v>#NAME?</v>
      </c>
      <c r="K1539" s="3" t="e">
        <f ca="1">[1]!BexGetData("DP_1","003N8EMH8GTFRIVNUPY288VJH","GSON1112151060")</f>
        <v>#NAME?</v>
      </c>
      <c r="L1539" s="3" t="e">
        <f ca="1">[1]!BexGetData("DP_1","003N8EMH8GTFRIVNUPY2891V1","GSON1112151060")</f>
        <v>#NAME?</v>
      </c>
      <c r="M1539" s="3" t="e">
        <f ca="1">[1]!BexGetData("DP_1","003N8EMH8GTFRIVOG7KG9IQXA","GSON1112151060")</f>
        <v>#NAME?</v>
      </c>
      <c r="N1539" s="8" t="e">
        <f ca="1">[1]!BexGetData("DP_1","003N8EMH8GTFRIVOG7KG9IX8U","GSON1112151060")</f>
        <v>#NAME?</v>
      </c>
      <c r="O1539" s="3" t="e">
        <f ca="1">[1]!BexGetData("DP_1","003N8EMH8GTFRIVOG7KG9J3KE","GSON1112151060")</f>
        <v>#NAME?</v>
      </c>
      <c r="P1539" s="8" t="e">
        <f ca="1">[1]!BexGetData("DP_1","003N8EMH8GTFRIVOG7KG9J9VY","GSON1112151060")</f>
        <v>#NAME?</v>
      </c>
      <c r="Q1539" s="4" t="e">
        <f ca="1">[1]!BexGetData("DP_1","00O2TNJGODT0G5Z4TTKYMM5MT","GSON1112151060")</f>
        <v>#NAME?</v>
      </c>
      <c r="R1539" s="3" t="e">
        <f ca="1">[1]!BexGetData("DP_1","00O2TNJGODT0G5Z4TTKYMMBYD","GSON1112151060")</f>
        <v>#NAME?</v>
      </c>
      <c r="S1539" s="3" t="e">
        <f ca="1">[1]!BexGetData("DP_1","00O2TNJGODT0G5Z4TTKYMMI9X","GSON1112151060")</f>
        <v>#NAME?</v>
      </c>
      <c r="T1539" s="8" t="e">
        <f ca="1">[1]!BexGetData("DP_1","00O2TNJGODT0G5Z4TTKYMMOLH","GSON1112151060")</f>
        <v>#NAME?</v>
      </c>
      <c r="U1539" s="3" t="e">
        <f ca="1">[1]!BexGetData("DP_1","00O2TNJGODT0G5Z4TTKYMMUX1","GSON1112151060")</f>
        <v>#NAME?</v>
      </c>
      <c r="V1539" s="8" t="e">
        <f ca="1">[1]!BexGetData("DP_1","00O2TNJGODT0G5Z4TTKYMN18L","GSON1112151060")</f>
        <v>#NAME?</v>
      </c>
      <c r="W1539" s="3" t="e">
        <f ca="1">[1]!BexGetData("DP_1","00O2TNJGODT0G5Z4TTKYMN7K5","GSON1112151060")</f>
        <v>#NAME?</v>
      </c>
    </row>
    <row r="1540" spans="1:23" x14ac:dyDescent="0.2">
      <c r="A1540" s="16" t="s">
        <v>4019</v>
      </c>
      <c r="B1540" s="7" t="s">
        <v>4020</v>
      </c>
      <c r="C1540" s="3" t="e">
        <f ca="1">[1]!BexGetData("DP_1","003N8EMH8GTFRCSWKMPXRR8GU","GSON1112151061")</f>
        <v>#NAME?</v>
      </c>
      <c r="D1540" s="3" t="e">
        <f ca="1">[1]!BexGetData("DP_1","003N8EMH8GTFRCSWKMPXRRESE","GSON1112151061")</f>
        <v>#NAME?</v>
      </c>
      <c r="E1540" s="8" t="e">
        <f ca="1">[1]!BexGetData("DP_1","003N8EMH8GTFRCSWKMPXRRL3Y","GSON1112151061")</f>
        <v>#NAME?</v>
      </c>
      <c r="F1540" s="4" t="e">
        <f ca="1">[1]!BexGetData("DP_1","003N8EMH8GTFRCSWKMPXRRRFI","GSON1112151061")</f>
        <v>#NAME?</v>
      </c>
      <c r="G1540" s="4" t="e">
        <f ca="1">[1]!BexGetData("DP_1","003N8EMH8GTFRCSWKMPXRRXR2","GSON1112151061")</f>
        <v>#NAME?</v>
      </c>
      <c r="H1540" s="4" t="e">
        <f ca="1">[1]!BexGetData("DP_1","003N8EMH8GTFRCSWKMPXRS42M","GSON1112151061")</f>
        <v>#NAME?</v>
      </c>
      <c r="I1540" s="4" t="e">
        <f ca="1">[1]!BexGetData("DP_1","003N8EMH8GTFRCSWKMPXRSAE6","GSON1112151061")</f>
        <v>#NAME?</v>
      </c>
      <c r="J1540" s="4" t="e">
        <f ca="1">[1]!BexGetData("DP_1","003N8EMH8GTFRCSWKMPXRSGPQ","GSON1112151061")</f>
        <v>#NAME?</v>
      </c>
      <c r="K1540" s="8" t="e">
        <f ca="1">[1]!BexGetData("DP_1","003N8EMH8GTFRIVNUPY288VJH","GSON1112151061")</f>
        <v>#NAME?</v>
      </c>
      <c r="L1540" s="8" t="e">
        <f ca="1">[1]!BexGetData("DP_1","003N8EMH8GTFRIVNUPY2891V1","GSON1112151061")</f>
        <v>#NAME?</v>
      </c>
      <c r="M1540" s="8" t="e">
        <f ca="1">[1]!BexGetData("DP_1","003N8EMH8GTFRIVOG7KG9IQXA","GSON1112151061")</f>
        <v>#NAME?</v>
      </c>
      <c r="N1540" s="8" t="e">
        <f ca="1">[1]!BexGetData("DP_1","003N8EMH8GTFRIVOG7KG9IX8U","GSON1112151061")</f>
        <v>#NAME?</v>
      </c>
      <c r="O1540" s="8" t="e">
        <f ca="1">[1]!BexGetData("DP_1","003N8EMH8GTFRIVOG7KG9J3KE","GSON1112151061")</f>
        <v>#NAME?</v>
      </c>
      <c r="P1540" s="8" t="e">
        <f ca="1">[1]!BexGetData("DP_1","003N8EMH8GTFRIVOG7KG9J9VY","GSON1112151061")</f>
        <v>#NAME?</v>
      </c>
      <c r="Q1540" s="4" t="e">
        <f ca="1">[1]!BexGetData("DP_1","00O2TNJGODT0G5Z4TTKYMM5MT","GSON1112151061")</f>
        <v>#NAME?</v>
      </c>
      <c r="R1540" s="4" t="e">
        <f ca="1">[1]!BexGetData("DP_1","00O2TNJGODT0G5Z4TTKYMMBYD","GSON1112151061")</f>
        <v>#NAME?</v>
      </c>
      <c r="S1540" s="4" t="e">
        <f ca="1">[1]!BexGetData("DP_1","00O2TNJGODT0G5Z4TTKYMMI9X","GSON1112151061")</f>
        <v>#NAME?</v>
      </c>
      <c r="T1540" s="4" t="e">
        <f ca="1">[1]!BexGetData("DP_1","00O2TNJGODT0G5Z4TTKYMMOLH","GSON1112151061")</f>
        <v>#NAME?</v>
      </c>
      <c r="U1540" s="4" t="e">
        <f ca="1">[1]!BexGetData("DP_1","00O2TNJGODT0G5Z4TTKYMMUX1","GSON1112151061")</f>
        <v>#NAME?</v>
      </c>
      <c r="V1540" s="4" t="e">
        <f ca="1">[1]!BexGetData("DP_1","00O2TNJGODT0G5Z4TTKYMN18L","GSON1112151061")</f>
        <v>#NAME?</v>
      </c>
      <c r="W1540" s="4" t="e">
        <f ca="1">[1]!BexGetData("DP_1","00O2TNJGODT0G5Z4TTKYMN7K5","GSON1112151061")</f>
        <v>#NAME?</v>
      </c>
    </row>
    <row r="1541" spans="1:23" x14ac:dyDescent="0.2">
      <c r="A1541" s="16" t="s">
        <v>4021</v>
      </c>
      <c r="B1541" s="7" t="s">
        <v>4022</v>
      </c>
      <c r="C1541" s="3" t="e">
        <f ca="1">[1]!BexGetData("DP_1","003N8EMH8GTFRCSWKMPXRR8GU","GSON1112151063")</f>
        <v>#NAME?</v>
      </c>
      <c r="D1541" s="3" t="e">
        <f ca="1">[1]!BexGetData("DP_1","003N8EMH8GTFRCSWKMPXRRESE","GSON1112151063")</f>
        <v>#NAME?</v>
      </c>
      <c r="E1541" s="8" t="e">
        <f ca="1">[1]!BexGetData("DP_1","003N8EMH8GTFRCSWKMPXRRL3Y","GSON1112151063")</f>
        <v>#NAME?</v>
      </c>
      <c r="F1541" s="4" t="e">
        <f ca="1">[1]!BexGetData("DP_1","003N8EMH8GTFRCSWKMPXRRRFI","GSON1112151063")</f>
        <v>#NAME?</v>
      </c>
      <c r="G1541" s="4" t="e">
        <f ca="1">[1]!BexGetData("DP_1","003N8EMH8GTFRCSWKMPXRRXR2","GSON1112151063")</f>
        <v>#NAME?</v>
      </c>
      <c r="H1541" s="4" t="e">
        <f ca="1">[1]!BexGetData("DP_1","003N8EMH8GTFRCSWKMPXRS42M","GSON1112151063")</f>
        <v>#NAME?</v>
      </c>
      <c r="I1541" s="4" t="e">
        <f ca="1">[1]!BexGetData("DP_1","003N8EMH8GTFRCSWKMPXRSAE6","GSON1112151063")</f>
        <v>#NAME?</v>
      </c>
      <c r="J1541" s="4" t="e">
        <f ca="1">[1]!BexGetData("DP_1","003N8EMH8GTFRCSWKMPXRSGPQ","GSON1112151063")</f>
        <v>#NAME?</v>
      </c>
      <c r="K1541" s="8" t="e">
        <f ca="1">[1]!BexGetData("DP_1","003N8EMH8GTFRIVNUPY288VJH","GSON1112151063")</f>
        <v>#NAME?</v>
      </c>
      <c r="L1541" s="8" t="e">
        <f ca="1">[1]!BexGetData("DP_1","003N8EMH8GTFRIVNUPY2891V1","GSON1112151063")</f>
        <v>#NAME?</v>
      </c>
      <c r="M1541" s="8" t="e">
        <f ca="1">[1]!BexGetData("DP_1","003N8EMH8GTFRIVOG7KG9IQXA","GSON1112151063")</f>
        <v>#NAME?</v>
      </c>
      <c r="N1541" s="8" t="e">
        <f ca="1">[1]!BexGetData("DP_1","003N8EMH8GTFRIVOG7KG9IX8U","GSON1112151063")</f>
        <v>#NAME?</v>
      </c>
      <c r="O1541" s="8" t="e">
        <f ca="1">[1]!BexGetData("DP_1","003N8EMH8GTFRIVOG7KG9J3KE","GSON1112151063")</f>
        <v>#NAME?</v>
      </c>
      <c r="P1541" s="8" t="e">
        <f ca="1">[1]!BexGetData("DP_1","003N8EMH8GTFRIVOG7KG9J9VY","GSON1112151063")</f>
        <v>#NAME?</v>
      </c>
      <c r="Q1541" s="4" t="e">
        <f ca="1">[1]!BexGetData("DP_1","00O2TNJGODT0G5Z4TTKYMM5MT","GSON1112151063")</f>
        <v>#NAME?</v>
      </c>
      <c r="R1541" s="4" t="e">
        <f ca="1">[1]!BexGetData("DP_1","00O2TNJGODT0G5Z4TTKYMMBYD","GSON1112151063")</f>
        <v>#NAME?</v>
      </c>
      <c r="S1541" s="4" t="e">
        <f ca="1">[1]!BexGetData("DP_1","00O2TNJGODT0G5Z4TTKYMMI9X","GSON1112151063")</f>
        <v>#NAME?</v>
      </c>
      <c r="T1541" s="4" t="e">
        <f ca="1">[1]!BexGetData("DP_1","00O2TNJGODT0G5Z4TTKYMMOLH","GSON1112151063")</f>
        <v>#NAME?</v>
      </c>
      <c r="U1541" s="4" t="e">
        <f ca="1">[1]!BexGetData("DP_1","00O2TNJGODT0G5Z4TTKYMMUX1","GSON1112151063")</f>
        <v>#NAME?</v>
      </c>
      <c r="V1541" s="4" t="e">
        <f ca="1">[1]!BexGetData("DP_1","00O2TNJGODT0G5Z4TTKYMN18L","GSON1112151063")</f>
        <v>#NAME?</v>
      </c>
      <c r="W1541" s="4" t="e">
        <f ca="1">[1]!BexGetData("DP_1","00O2TNJGODT0G5Z4TTKYMN7K5","GSON1112151063")</f>
        <v>#NAME?</v>
      </c>
    </row>
    <row r="1542" spans="1:23" x14ac:dyDescent="0.2">
      <c r="A1542" s="16" t="s">
        <v>4023</v>
      </c>
      <c r="B1542" s="7" t="s">
        <v>4024</v>
      </c>
      <c r="C1542" s="3" t="e">
        <f ca="1">[1]!BexGetData("DP_1","003N8EMH8GTFRCSWKMPXRR8GU","GSON1112151064")</f>
        <v>#NAME?</v>
      </c>
      <c r="D1542" s="3" t="e">
        <f ca="1">[1]!BexGetData("DP_1","003N8EMH8GTFRCSWKMPXRRESE","GSON1112151064")</f>
        <v>#NAME?</v>
      </c>
      <c r="E1542" s="8" t="e">
        <f ca="1">[1]!BexGetData("DP_1","003N8EMH8GTFRCSWKMPXRRL3Y","GSON1112151064")</f>
        <v>#NAME?</v>
      </c>
      <c r="F1542" s="4" t="e">
        <f ca="1">[1]!BexGetData("DP_1","003N8EMH8GTFRCSWKMPXRRRFI","GSON1112151064")</f>
        <v>#NAME?</v>
      </c>
      <c r="G1542" s="4" t="e">
        <f ca="1">[1]!BexGetData("DP_1","003N8EMH8GTFRCSWKMPXRRXR2","GSON1112151064")</f>
        <v>#NAME?</v>
      </c>
      <c r="H1542" s="4" t="e">
        <f ca="1">[1]!BexGetData("DP_1","003N8EMH8GTFRCSWKMPXRS42M","GSON1112151064")</f>
        <v>#NAME?</v>
      </c>
      <c r="I1542" s="4" t="e">
        <f ca="1">[1]!BexGetData("DP_1","003N8EMH8GTFRCSWKMPXRSAE6","GSON1112151064")</f>
        <v>#NAME?</v>
      </c>
      <c r="J1542" s="4" t="e">
        <f ca="1">[1]!BexGetData("DP_1","003N8EMH8GTFRCSWKMPXRSGPQ","GSON1112151064")</f>
        <v>#NAME?</v>
      </c>
      <c r="K1542" s="8" t="e">
        <f ca="1">[1]!BexGetData("DP_1","003N8EMH8GTFRIVNUPY288VJH","GSON1112151064")</f>
        <v>#NAME?</v>
      </c>
      <c r="L1542" s="8" t="e">
        <f ca="1">[1]!BexGetData("DP_1","003N8EMH8GTFRIVNUPY2891V1","GSON1112151064")</f>
        <v>#NAME?</v>
      </c>
      <c r="M1542" s="8" t="e">
        <f ca="1">[1]!BexGetData("DP_1","003N8EMH8GTFRIVOG7KG9IQXA","GSON1112151064")</f>
        <v>#NAME?</v>
      </c>
      <c r="N1542" s="8" t="e">
        <f ca="1">[1]!BexGetData("DP_1","003N8EMH8GTFRIVOG7KG9IX8U","GSON1112151064")</f>
        <v>#NAME?</v>
      </c>
      <c r="O1542" s="8" t="e">
        <f ca="1">[1]!BexGetData("DP_1","003N8EMH8GTFRIVOG7KG9J3KE","GSON1112151064")</f>
        <v>#NAME?</v>
      </c>
      <c r="P1542" s="8" t="e">
        <f ca="1">[1]!BexGetData("DP_1","003N8EMH8GTFRIVOG7KG9J9VY","GSON1112151064")</f>
        <v>#NAME?</v>
      </c>
      <c r="Q1542" s="4" t="e">
        <f ca="1">[1]!BexGetData("DP_1","00O2TNJGODT0G5Z4TTKYMM5MT","GSON1112151064")</f>
        <v>#NAME?</v>
      </c>
      <c r="R1542" s="4" t="e">
        <f ca="1">[1]!BexGetData("DP_1","00O2TNJGODT0G5Z4TTKYMMBYD","GSON1112151064")</f>
        <v>#NAME?</v>
      </c>
      <c r="S1542" s="4" t="e">
        <f ca="1">[1]!BexGetData("DP_1","00O2TNJGODT0G5Z4TTKYMMI9X","GSON1112151064")</f>
        <v>#NAME?</v>
      </c>
      <c r="T1542" s="4" t="e">
        <f ca="1">[1]!BexGetData("DP_1","00O2TNJGODT0G5Z4TTKYMMOLH","GSON1112151064")</f>
        <v>#NAME?</v>
      </c>
      <c r="U1542" s="4" t="e">
        <f ca="1">[1]!BexGetData("DP_1","00O2TNJGODT0G5Z4TTKYMMUX1","GSON1112151064")</f>
        <v>#NAME?</v>
      </c>
      <c r="V1542" s="4" t="e">
        <f ca="1">[1]!BexGetData("DP_1","00O2TNJGODT0G5Z4TTKYMN18L","GSON1112151064")</f>
        <v>#NAME?</v>
      </c>
      <c r="W1542" s="4" t="e">
        <f ca="1">[1]!BexGetData("DP_1","00O2TNJGODT0G5Z4TTKYMN7K5","GSON1112151064")</f>
        <v>#NAME?</v>
      </c>
    </row>
    <row r="1543" spans="1:23" x14ac:dyDescent="0.2">
      <c r="A1543" s="16" t="s">
        <v>4025</v>
      </c>
      <c r="B1543" s="7" t="s">
        <v>4026</v>
      </c>
      <c r="C1543" s="3" t="e">
        <f ca="1">[1]!BexGetData("DP_1","003N8EMH8GTFRCSWKMPXRR8GU","GSON1112151065")</f>
        <v>#NAME?</v>
      </c>
      <c r="D1543" s="3" t="e">
        <f ca="1">[1]!BexGetData("DP_1","003N8EMH8GTFRCSWKMPXRRESE","GSON1112151065")</f>
        <v>#NAME?</v>
      </c>
      <c r="E1543" s="8" t="e">
        <f ca="1">[1]!BexGetData("DP_1","003N8EMH8GTFRCSWKMPXRRL3Y","GSON1112151065")</f>
        <v>#NAME?</v>
      </c>
      <c r="F1543" s="4" t="e">
        <f ca="1">[1]!BexGetData("DP_1","003N8EMH8GTFRCSWKMPXRRRFI","GSON1112151065")</f>
        <v>#NAME?</v>
      </c>
      <c r="G1543" s="4" t="e">
        <f ca="1">[1]!BexGetData("DP_1","003N8EMH8GTFRCSWKMPXRRXR2","GSON1112151065")</f>
        <v>#NAME?</v>
      </c>
      <c r="H1543" s="4" t="e">
        <f ca="1">[1]!BexGetData("DP_1","003N8EMH8GTFRCSWKMPXRS42M","GSON1112151065")</f>
        <v>#NAME?</v>
      </c>
      <c r="I1543" s="4" t="e">
        <f ca="1">[1]!BexGetData("DP_1","003N8EMH8GTFRCSWKMPXRSAE6","GSON1112151065")</f>
        <v>#NAME?</v>
      </c>
      <c r="J1543" s="4" t="e">
        <f ca="1">[1]!BexGetData("DP_1","003N8EMH8GTFRCSWKMPXRSGPQ","GSON1112151065")</f>
        <v>#NAME?</v>
      </c>
      <c r="K1543" s="8" t="e">
        <f ca="1">[1]!BexGetData("DP_1","003N8EMH8GTFRIVNUPY288VJH","GSON1112151065")</f>
        <v>#NAME?</v>
      </c>
      <c r="L1543" s="8" t="e">
        <f ca="1">[1]!BexGetData("DP_1","003N8EMH8GTFRIVNUPY2891V1","GSON1112151065")</f>
        <v>#NAME?</v>
      </c>
      <c r="M1543" s="8" t="e">
        <f ca="1">[1]!BexGetData("DP_1","003N8EMH8GTFRIVOG7KG9IQXA","GSON1112151065")</f>
        <v>#NAME?</v>
      </c>
      <c r="N1543" s="8" t="e">
        <f ca="1">[1]!BexGetData("DP_1","003N8EMH8GTFRIVOG7KG9IX8U","GSON1112151065")</f>
        <v>#NAME?</v>
      </c>
      <c r="O1543" s="8" t="e">
        <f ca="1">[1]!BexGetData("DP_1","003N8EMH8GTFRIVOG7KG9J3KE","GSON1112151065")</f>
        <v>#NAME?</v>
      </c>
      <c r="P1543" s="8" t="e">
        <f ca="1">[1]!BexGetData("DP_1","003N8EMH8GTFRIVOG7KG9J9VY","GSON1112151065")</f>
        <v>#NAME?</v>
      </c>
      <c r="Q1543" s="4" t="e">
        <f ca="1">[1]!BexGetData("DP_1","00O2TNJGODT0G5Z4TTKYMM5MT","GSON1112151065")</f>
        <v>#NAME?</v>
      </c>
      <c r="R1543" s="4" t="e">
        <f ca="1">[1]!BexGetData("DP_1","00O2TNJGODT0G5Z4TTKYMMBYD","GSON1112151065")</f>
        <v>#NAME?</v>
      </c>
      <c r="S1543" s="4" t="e">
        <f ca="1">[1]!BexGetData("DP_1","00O2TNJGODT0G5Z4TTKYMMI9X","GSON1112151065")</f>
        <v>#NAME?</v>
      </c>
      <c r="T1543" s="4" t="e">
        <f ca="1">[1]!BexGetData("DP_1","00O2TNJGODT0G5Z4TTKYMMOLH","GSON1112151065")</f>
        <v>#NAME?</v>
      </c>
      <c r="U1543" s="4" t="e">
        <f ca="1">[1]!BexGetData("DP_1","00O2TNJGODT0G5Z4TTKYMMUX1","GSON1112151065")</f>
        <v>#NAME?</v>
      </c>
      <c r="V1543" s="4" t="e">
        <f ca="1">[1]!BexGetData("DP_1","00O2TNJGODT0G5Z4TTKYMN18L","GSON1112151065")</f>
        <v>#NAME?</v>
      </c>
      <c r="W1543" s="4" t="e">
        <f ca="1">[1]!BexGetData("DP_1","00O2TNJGODT0G5Z4TTKYMN7K5","GSON1112151065")</f>
        <v>#NAME?</v>
      </c>
    </row>
    <row r="1544" spans="1:23" x14ac:dyDescent="0.2">
      <c r="A1544" s="16" t="s">
        <v>4027</v>
      </c>
      <c r="B1544" s="7" t="s">
        <v>4028</v>
      </c>
      <c r="C1544" s="3" t="e">
        <f ca="1">[1]!BexGetData("DP_1","003N8EMH8GTFRCSWKMPXRR8GU","GSON1112151070")</f>
        <v>#NAME?</v>
      </c>
      <c r="D1544" s="3" t="e">
        <f ca="1">[1]!BexGetData("DP_1","003N8EMH8GTFRCSWKMPXRRESE","GSON1112151070")</f>
        <v>#NAME?</v>
      </c>
      <c r="E1544" s="8" t="e">
        <f ca="1">[1]!BexGetData("DP_1","003N8EMH8GTFRCSWKMPXRRL3Y","GSON1112151070")</f>
        <v>#NAME?</v>
      </c>
      <c r="F1544" s="3" t="e">
        <f ca="1">[1]!BexGetData("DP_1","003N8EMH8GTFRCSWKMPXRRRFI","GSON1112151070")</f>
        <v>#NAME?</v>
      </c>
      <c r="G1544" s="3" t="e">
        <f ca="1">[1]!BexGetData("DP_1","003N8EMH8GTFRCSWKMPXRRXR2","GSON1112151070")</f>
        <v>#NAME?</v>
      </c>
      <c r="H1544" s="8" t="e">
        <f ca="1">[1]!BexGetData("DP_1","003N8EMH8GTFRCSWKMPXRS42M","GSON1112151070")</f>
        <v>#NAME?</v>
      </c>
      <c r="I1544" s="3" t="e">
        <f ca="1">[1]!BexGetData("DP_1","003N8EMH8GTFRCSWKMPXRSAE6","GSON1112151070")</f>
        <v>#NAME?</v>
      </c>
      <c r="J1544" s="4" t="e">
        <f ca="1">[1]!BexGetData("DP_1","003N8EMH8GTFRCSWKMPXRSGPQ","GSON1112151070")</f>
        <v>#NAME?</v>
      </c>
      <c r="K1544" s="3" t="e">
        <f ca="1">[1]!BexGetData("DP_1","003N8EMH8GTFRIVNUPY288VJH","GSON1112151070")</f>
        <v>#NAME?</v>
      </c>
      <c r="L1544" s="3" t="e">
        <f ca="1">[1]!BexGetData("DP_1","003N8EMH8GTFRIVNUPY2891V1","GSON1112151070")</f>
        <v>#NAME?</v>
      </c>
      <c r="M1544" s="3" t="e">
        <f ca="1">[1]!BexGetData("DP_1","003N8EMH8GTFRIVOG7KG9IQXA","GSON1112151070")</f>
        <v>#NAME?</v>
      </c>
      <c r="N1544" s="8" t="e">
        <f ca="1">[1]!BexGetData("DP_1","003N8EMH8GTFRIVOG7KG9IX8U","GSON1112151070")</f>
        <v>#NAME?</v>
      </c>
      <c r="O1544" s="3" t="e">
        <f ca="1">[1]!BexGetData("DP_1","003N8EMH8GTFRIVOG7KG9J3KE","GSON1112151070")</f>
        <v>#NAME?</v>
      </c>
      <c r="P1544" s="8" t="e">
        <f ca="1">[1]!BexGetData("DP_1","003N8EMH8GTFRIVOG7KG9J9VY","GSON1112151070")</f>
        <v>#NAME?</v>
      </c>
      <c r="Q1544" s="4" t="e">
        <f ca="1">[1]!BexGetData("DP_1","00O2TNJGODT0G5Z4TTKYMM5MT","GSON1112151070")</f>
        <v>#NAME?</v>
      </c>
      <c r="R1544" s="3" t="e">
        <f ca="1">[1]!BexGetData("DP_1","00O2TNJGODT0G5Z4TTKYMMBYD","GSON1112151070")</f>
        <v>#NAME?</v>
      </c>
      <c r="S1544" s="3" t="e">
        <f ca="1">[1]!BexGetData("DP_1","00O2TNJGODT0G5Z4TTKYMMI9X","GSON1112151070")</f>
        <v>#NAME?</v>
      </c>
      <c r="T1544" s="8" t="e">
        <f ca="1">[1]!BexGetData("DP_1","00O2TNJGODT0G5Z4TTKYMMOLH","GSON1112151070")</f>
        <v>#NAME?</v>
      </c>
      <c r="U1544" s="3" t="e">
        <f ca="1">[1]!BexGetData("DP_1","00O2TNJGODT0G5Z4TTKYMMUX1","GSON1112151070")</f>
        <v>#NAME?</v>
      </c>
      <c r="V1544" s="8" t="e">
        <f ca="1">[1]!BexGetData("DP_1","00O2TNJGODT0G5Z4TTKYMN18L","GSON1112151070")</f>
        <v>#NAME?</v>
      </c>
      <c r="W1544" s="3" t="e">
        <f ca="1">[1]!BexGetData("DP_1","00O2TNJGODT0G5Z4TTKYMN7K5","GSON1112151070")</f>
        <v>#NAME?</v>
      </c>
    </row>
    <row r="1545" spans="1:23" x14ac:dyDescent="0.2">
      <c r="A1545" s="16" t="s">
        <v>4029</v>
      </c>
      <c r="B1545" s="7" t="s">
        <v>4030</v>
      </c>
      <c r="C1545" s="3" t="e">
        <f ca="1">[1]!BexGetData("DP_1","003N8EMH8GTFRCSWKMPXRR8GU","GSON1112151071")</f>
        <v>#NAME?</v>
      </c>
      <c r="D1545" s="3" t="e">
        <f ca="1">[1]!BexGetData("DP_1","003N8EMH8GTFRCSWKMPXRRESE","GSON1112151071")</f>
        <v>#NAME?</v>
      </c>
      <c r="E1545" s="8" t="e">
        <f ca="1">[1]!BexGetData("DP_1","003N8EMH8GTFRCSWKMPXRRL3Y","GSON1112151071")</f>
        <v>#NAME?</v>
      </c>
      <c r="F1545" s="4" t="e">
        <f ca="1">[1]!BexGetData("DP_1","003N8EMH8GTFRCSWKMPXRRRFI","GSON1112151071")</f>
        <v>#NAME?</v>
      </c>
      <c r="G1545" s="4" t="e">
        <f ca="1">[1]!BexGetData("DP_1","003N8EMH8GTFRCSWKMPXRRXR2","GSON1112151071")</f>
        <v>#NAME?</v>
      </c>
      <c r="H1545" s="4" t="e">
        <f ca="1">[1]!BexGetData("DP_1","003N8EMH8GTFRCSWKMPXRS42M","GSON1112151071")</f>
        <v>#NAME?</v>
      </c>
      <c r="I1545" s="4" t="e">
        <f ca="1">[1]!BexGetData("DP_1","003N8EMH8GTFRCSWKMPXRSAE6","GSON1112151071")</f>
        <v>#NAME?</v>
      </c>
      <c r="J1545" s="4" t="e">
        <f ca="1">[1]!BexGetData("DP_1","003N8EMH8GTFRCSWKMPXRSGPQ","GSON1112151071")</f>
        <v>#NAME?</v>
      </c>
      <c r="K1545" s="8" t="e">
        <f ca="1">[1]!BexGetData("DP_1","003N8EMH8GTFRIVNUPY288VJH","GSON1112151071")</f>
        <v>#NAME?</v>
      </c>
      <c r="L1545" s="8" t="e">
        <f ca="1">[1]!BexGetData("DP_1","003N8EMH8GTFRIVNUPY2891V1","GSON1112151071")</f>
        <v>#NAME?</v>
      </c>
      <c r="M1545" s="8" t="e">
        <f ca="1">[1]!BexGetData("DP_1","003N8EMH8GTFRIVOG7KG9IQXA","GSON1112151071")</f>
        <v>#NAME?</v>
      </c>
      <c r="N1545" s="8" t="e">
        <f ca="1">[1]!BexGetData("DP_1","003N8EMH8GTFRIVOG7KG9IX8U","GSON1112151071")</f>
        <v>#NAME?</v>
      </c>
      <c r="O1545" s="8" t="e">
        <f ca="1">[1]!BexGetData("DP_1","003N8EMH8GTFRIVOG7KG9J3KE","GSON1112151071")</f>
        <v>#NAME?</v>
      </c>
      <c r="P1545" s="8" t="e">
        <f ca="1">[1]!BexGetData("DP_1","003N8EMH8GTFRIVOG7KG9J9VY","GSON1112151071")</f>
        <v>#NAME?</v>
      </c>
      <c r="Q1545" s="4" t="e">
        <f ca="1">[1]!BexGetData("DP_1","00O2TNJGODT0G5Z4TTKYMM5MT","GSON1112151071")</f>
        <v>#NAME?</v>
      </c>
      <c r="R1545" s="4" t="e">
        <f ca="1">[1]!BexGetData("DP_1","00O2TNJGODT0G5Z4TTKYMMBYD","GSON1112151071")</f>
        <v>#NAME?</v>
      </c>
      <c r="S1545" s="4" t="e">
        <f ca="1">[1]!BexGetData("DP_1","00O2TNJGODT0G5Z4TTKYMMI9X","GSON1112151071")</f>
        <v>#NAME?</v>
      </c>
      <c r="T1545" s="4" t="e">
        <f ca="1">[1]!BexGetData("DP_1","00O2TNJGODT0G5Z4TTKYMMOLH","GSON1112151071")</f>
        <v>#NAME?</v>
      </c>
      <c r="U1545" s="4" t="e">
        <f ca="1">[1]!BexGetData("DP_1","00O2TNJGODT0G5Z4TTKYMMUX1","GSON1112151071")</f>
        <v>#NAME?</v>
      </c>
      <c r="V1545" s="4" t="e">
        <f ca="1">[1]!BexGetData("DP_1","00O2TNJGODT0G5Z4TTKYMN18L","GSON1112151071")</f>
        <v>#NAME?</v>
      </c>
      <c r="W1545" s="4" t="e">
        <f ca="1">[1]!BexGetData("DP_1","00O2TNJGODT0G5Z4TTKYMN7K5","GSON1112151071")</f>
        <v>#NAME?</v>
      </c>
    </row>
    <row r="1546" spans="1:23" x14ac:dyDescent="0.2">
      <c r="A1546" s="16" t="s">
        <v>4031</v>
      </c>
      <c r="B1546" s="7" t="s">
        <v>4032</v>
      </c>
      <c r="C1546" s="3" t="e">
        <f ca="1">[1]!BexGetData("DP_1","003N8EMH8GTFRCSWKMPXRR8GU","GSON1112151074")</f>
        <v>#NAME?</v>
      </c>
      <c r="D1546" s="3" t="e">
        <f ca="1">[1]!BexGetData("DP_1","003N8EMH8GTFRCSWKMPXRRESE","GSON1112151074")</f>
        <v>#NAME?</v>
      </c>
      <c r="E1546" s="8" t="e">
        <f ca="1">[1]!BexGetData("DP_1","003N8EMH8GTFRCSWKMPXRRL3Y","GSON1112151074")</f>
        <v>#NAME?</v>
      </c>
      <c r="F1546" s="4" t="e">
        <f ca="1">[1]!BexGetData("DP_1","003N8EMH8GTFRCSWKMPXRRRFI","GSON1112151074")</f>
        <v>#NAME?</v>
      </c>
      <c r="G1546" s="4" t="e">
        <f ca="1">[1]!BexGetData("DP_1","003N8EMH8GTFRCSWKMPXRRXR2","GSON1112151074")</f>
        <v>#NAME?</v>
      </c>
      <c r="H1546" s="4" t="e">
        <f ca="1">[1]!BexGetData("DP_1","003N8EMH8GTFRCSWKMPXRS42M","GSON1112151074")</f>
        <v>#NAME?</v>
      </c>
      <c r="I1546" s="4" t="e">
        <f ca="1">[1]!BexGetData("DP_1","003N8EMH8GTFRCSWKMPXRSAE6","GSON1112151074")</f>
        <v>#NAME?</v>
      </c>
      <c r="J1546" s="4" t="e">
        <f ca="1">[1]!BexGetData("DP_1","003N8EMH8GTFRCSWKMPXRSGPQ","GSON1112151074")</f>
        <v>#NAME?</v>
      </c>
      <c r="K1546" s="8" t="e">
        <f ca="1">[1]!BexGetData("DP_1","003N8EMH8GTFRIVNUPY288VJH","GSON1112151074")</f>
        <v>#NAME?</v>
      </c>
      <c r="L1546" s="8" t="e">
        <f ca="1">[1]!BexGetData("DP_1","003N8EMH8GTFRIVNUPY2891V1","GSON1112151074")</f>
        <v>#NAME?</v>
      </c>
      <c r="M1546" s="8" t="e">
        <f ca="1">[1]!BexGetData("DP_1","003N8EMH8GTFRIVOG7KG9IQXA","GSON1112151074")</f>
        <v>#NAME?</v>
      </c>
      <c r="N1546" s="8" t="e">
        <f ca="1">[1]!BexGetData("DP_1","003N8EMH8GTFRIVOG7KG9IX8U","GSON1112151074")</f>
        <v>#NAME?</v>
      </c>
      <c r="O1546" s="8" t="e">
        <f ca="1">[1]!BexGetData("DP_1","003N8EMH8GTFRIVOG7KG9J3KE","GSON1112151074")</f>
        <v>#NAME?</v>
      </c>
      <c r="P1546" s="8" t="e">
        <f ca="1">[1]!BexGetData("DP_1","003N8EMH8GTFRIVOG7KG9J9VY","GSON1112151074")</f>
        <v>#NAME?</v>
      </c>
      <c r="Q1546" s="4" t="e">
        <f ca="1">[1]!BexGetData("DP_1","00O2TNJGODT0G5Z4TTKYMM5MT","GSON1112151074")</f>
        <v>#NAME?</v>
      </c>
      <c r="R1546" s="4" t="e">
        <f ca="1">[1]!BexGetData("DP_1","00O2TNJGODT0G5Z4TTKYMMBYD","GSON1112151074")</f>
        <v>#NAME?</v>
      </c>
      <c r="S1546" s="4" t="e">
        <f ca="1">[1]!BexGetData("DP_1","00O2TNJGODT0G5Z4TTKYMMI9X","GSON1112151074")</f>
        <v>#NAME?</v>
      </c>
      <c r="T1546" s="4" t="e">
        <f ca="1">[1]!BexGetData("DP_1","00O2TNJGODT0G5Z4TTKYMMOLH","GSON1112151074")</f>
        <v>#NAME?</v>
      </c>
      <c r="U1546" s="4" t="e">
        <f ca="1">[1]!BexGetData("DP_1","00O2TNJGODT0G5Z4TTKYMMUX1","GSON1112151074")</f>
        <v>#NAME?</v>
      </c>
      <c r="V1546" s="4" t="e">
        <f ca="1">[1]!BexGetData("DP_1","00O2TNJGODT0G5Z4TTKYMN18L","GSON1112151074")</f>
        <v>#NAME?</v>
      </c>
      <c r="W1546" s="4" t="e">
        <f ca="1">[1]!BexGetData("DP_1","00O2TNJGODT0G5Z4TTKYMN7K5","GSON1112151074")</f>
        <v>#NAME?</v>
      </c>
    </row>
    <row r="1547" spans="1:23" x14ac:dyDescent="0.2">
      <c r="A1547" s="16" t="s">
        <v>4033</v>
      </c>
      <c r="B1547" s="7" t="s">
        <v>4034</v>
      </c>
      <c r="C1547" s="3" t="e">
        <f ca="1">[1]!BexGetData("DP_1","003N8EMH8GTFRCSWKMPXRR8GU","GSON1112151075")</f>
        <v>#NAME?</v>
      </c>
      <c r="D1547" s="3" t="e">
        <f ca="1">[1]!BexGetData("DP_1","003N8EMH8GTFRCSWKMPXRRESE","GSON1112151075")</f>
        <v>#NAME?</v>
      </c>
      <c r="E1547" s="8" t="e">
        <f ca="1">[1]!BexGetData("DP_1","003N8EMH8GTFRCSWKMPXRRL3Y","GSON1112151075")</f>
        <v>#NAME?</v>
      </c>
      <c r="F1547" s="4" t="e">
        <f ca="1">[1]!BexGetData("DP_1","003N8EMH8GTFRCSWKMPXRRRFI","GSON1112151075")</f>
        <v>#NAME?</v>
      </c>
      <c r="G1547" s="4" t="e">
        <f ca="1">[1]!BexGetData("DP_1","003N8EMH8GTFRCSWKMPXRRXR2","GSON1112151075")</f>
        <v>#NAME?</v>
      </c>
      <c r="H1547" s="4" t="e">
        <f ca="1">[1]!BexGetData("DP_1","003N8EMH8GTFRCSWKMPXRS42M","GSON1112151075")</f>
        <v>#NAME?</v>
      </c>
      <c r="I1547" s="4" t="e">
        <f ca="1">[1]!BexGetData("DP_1","003N8EMH8GTFRCSWKMPXRSAE6","GSON1112151075")</f>
        <v>#NAME?</v>
      </c>
      <c r="J1547" s="4" t="e">
        <f ca="1">[1]!BexGetData("DP_1","003N8EMH8GTFRCSWKMPXRSGPQ","GSON1112151075")</f>
        <v>#NAME?</v>
      </c>
      <c r="K1547" s="8" t="e">
        <f ca="1">[1]!BexGetData("DP_1","003N8EMH8GTFRIVNUPY288VJH","GSON1112151075")</f>
        <v>#NAME?</v>
      </c>
      <c r="L1547" s="8" t="e">
        <f ca="1">[1]!BexGetData("DP_1","003N8EMH8GTFRIVNUPY2891V1","GSON1112151075")</f>
        <v>#NAME?</v>
      </c>
      <c r="M1547" s="8" t="e">
        <f ca="1">[1]!BexGetData("DP_1","003N8EMH8GTFRIVOG7KG9IQXA","GSON1112151075")</f>
        <v>#NAME?</v>
      </c>
      <c r="N1547" s="8" t="e">
        <f ca="1">[1]!BexGetData("DP_1","003N8EMH8GTFRIVOG7KG9IX8U","GSON1112151075")</f>
        <v>#NAME?</v>
      </c>
      <c r="O1547" s="8" t="e">
        <f ca="1">[1]!BexGetData("DP_1","003N8EMH8GTFRIVOG7KG9J3KE","GSON1112151075")</f>
        <v>#NAME?</v>
      </c>
      <c r="P1547" s="8" t="e">
        <f ca="1">[1]!BexGetData("DP_1","003N8EMH8GTFRIVOG7KG9J9VY","GSON1112151075")</f>
        <v>#NAME?</v>
      </c>
      <c r="Q1547" s="4" t="e">
        <f ca="1">[1]!BexGetData("DP_1","00O2TNJGODT0G5Z4TTKYMM5MT","GSON1112151075")</f>
        <v>#NAME?</v>
      </c>
      <c r="R1547" s="4" t="e">
        <f ca="1">[1]!BexGetData("DP_1","00O2TNJGODT0G5Z4TTKYMMBYD","GSON1112151075")</f>
        <v>#NAME?</v>
      </c>
      <c r="S1547" s="4" t="e">
        <f ca="1">[1]!BexGetData("DP_1","00O2TNJGODT0G5Z4TTKYMMI9X","GSON1112151075")</f>
        <v>#NAME?</v>
      </c>
      <c r="T1547" s="4" t="e">
        <f ca="1">[1]!BexGetData("DP_1","00O2TNJGODT0G5Z4TTKYMMOLH","GSON1112151075")</f>
        <v>#NAME?</v>
      </c>
      <c r="U1547" s="4" t="e">
        <f ca="1">[1]!BexGetData("DP_1","00O2TNJGODT0G5Z4TTKYMMUX1","GSON1112151075")</f>
        <v>#NAME?</v>
      </c>
      <c r="V1547" s="4" t="e">
        <f ca="1">[1]!BexGetData("DP_1","00O2TNJGODT0G5Z4TTKYMN18L","GSON1112151075")</f>
        <v>#NAME?</v>
      </c>
      <c r="W1547" s="4" t="e">
        <f ca="1">[1]!BexGetData("DP_1","00O2TNJGODT0G5Z4TTKYMN7K5","GSON1112151075")</f>
        <v>#NAME?</v>
      </c>
    </row>
    <row r="1548" spans="1:23" x14ac:dyDescent="0.2">
      <c r="A1548" s="16" t="s">
        <v>4035</v>
      </c>
      <c r="B1548" s="7" t="s">
        <v>4036</v>
      </c>
      <c r="C1548" s="3" t="e">
        <f ca="1">[1]!BexGetData("DP_1","003N8EMH8GTFRCSWKMPXRR8GU","GSON1112151100")</f>
        <v>#NAME?</v>
      </c>
      <c r="D1548" s="3" t="e">
        <f ca="1">[1]!BexGetData("DP_1","003N8EMH8GTFRCSWKMPXRRESE","GSON1112151100")</f>
        <v>#NAME?</v>
      </c>
      <c r="E1548" s="3" t="e">
        <f ca="1">[1]!BexGetData("DP_1","003N8EMH8GTFRCSWKMPXRRL3Y","GSON1112151100")</f>
        <v>#NAME?</v>
      </c>
      <c r="F1548" s="3" t="e">
        <f ca="1">[1]!BexGetData("DP_1","003N8EMH8GTFRCSWKMPXRRRFI","GSON1112151100")</f>
        <v>#NAME?</v>
      </c>
      <c r="G1548" s="3" t="e">
        <f ca="1">[1]!BexGetData("DP_1","003N8EMH8GTFRCSWKMPXRRXR2","GSON1112151100")</f>
        <v>#NAME?</v>
      </c>
      <c r="H1548" s="8" t="e">
        <f ca="1">[1]!BexGetData("DP_1","003N8EMH8GTFRCSWKMPXRS42M","GSON1112151100")</f>
        <v>#NAME?</v>
      </c>
      <c r="I1548" s="3" t="e">
        <f ca="1">[1]!BexGetData("DP_1","003N8EMH8GTFRCSWKMPXRSAE6","GSON1112151100")</f>
        <v>#NAME?</v>
      </c>
      <c r="J1548" s="4" t="e">
        <f ca="1">[1]!BexGetData("DP_1","003N8EMH8GTFRCSWKMPXRSGPQ","GSON1112151100")</f>
        <v>#NAME?</v>
      </c>
      <c r="K1548" s="3" t="e">
        <f ca="1">[1]!BexGetData("DP_1","003N8EMH8GTFRIVNUPY288VJH","GSON1112151100")</f>
        <v>#NAME?</v>
      </c>
      <c r="L1548" s="3" t="e">
        <f ca="1">[1]!BexGetData("DP_1","003N8EMH8GTFRIVNUPY2891V1","GSON1112151100")</f>
        <v>#NAME?</v>
      </c>
      <c r="M1548" s="8" t="e">
        <f ca="1">[1]!BexGetData("DP_1","003N8EMH8GTFRIVOG7KG9IQXA","GSON1112151100")</f>
        <v>#NAME?</v>
      </c>
      <c r="N1548" s="3" t="e">
        <f ca="1">[1]!BexGetData("DP_1","003N8EMH8GTFRIVOG7KG9IX8U","GSON1112151100")</f>
        <v>#NAME?</v>
      </c>
      <c r="O1548" s="8" t="e">
        <f ca="1">[1]!BexGetData("DP_1","003N8EMH8GTFRIVOG7KG9J3KE","GSON1112151100")</f>
        <v>#NAME?</v>
      </c>
      <c r="P1548" s="3" t="e">
        <f ca="1">[1]!BexGetData("DP_1","003N8EMH8GTFRIVOG7KG9J9VY","GSON1112151100")</f>
        <v>#NAME?</v>
      </c>
      <c r="Q1548" s="4" t="e">
        <f ca="1">[1]!BexGetData("DP_1","00O2TNJGODT0G5Z4TTKYMM5MT","GSON1112151100")</f>
        <v>#NAME?</v>
      </c>
      <c r="R1548" s="3" t="e">
        <f ca="1">[1]!BexGetData("DP_1","00O2TNJGODT0G5Z4TTKYMMBYD","GSON1112151100")</f>
        <v>#NAME?</v>
      </c>
      <c r="S1548" s="3" t="e">
        <f ca="1">[1]!BexGetData("DP_1","00O2TNJGODT0G5Z4TTKYMMI9X","GSON1112151100")</f>
        <v>#NAME?</v>
      </c>
      <c r="T1548" s="8" t="e">
        <f ca="1">[1]!BexGetData("DP_1","00O2TNJGODT0G5Z4TTKYMMOLH","GSON1112151100")</f>
        <v>#NAME?</v>
      </c>
      <c r="U1548" s="3" t="e">
        <f ca="1">[1]!BexGetData("DP_1","00O2TNJGODT0G5Z4TTKYMMUX1","GSON1112151100")</f>
        <v>#NAME?</v>
      </c>
      <c r="V1548" s="8" t="e">
        <f ca="1">[1]!BexGetData("DP_1","00O2TNJGODT0G5Z4TTKYMN18L","GSON1112151100")</f>
        <v>#NAME?</v>
      </c>
      <c r="W1548" s="3" t="e">
        <f ca="1">[1]!BexGetData("DP_1","00O2TNJGODT0G5Z4TTKYMN7K5","GSON1112151100")</f>
        <v>#NAME?</v>
      </c>
    </row>
    <row r="1549" spans="1:23" x14ac:dyDescent="0.2">
      <c r="A1549" s="16" t="s">
        <v>4037</v>
      </c>
      <c r="B1549" s="7" t="s">
        <v>4038</v>
      </c>
      <c r="C1549" s="3" t="e">
        <f ca="1">[1]!BexGetData("DP_1","003N8EMH8GTFRCSWKMPXRR8GU","GSON1112151101")</f>
        <v>#NAME?</v>
      </c>
      <c r="D1549" s="3" t="e">
        <f ca="1">[1]!BexGetData("DP_1","003N8EMH8GTFRCSWKMPXRRESE","GSON1112151101")</f>
        <v>#NAME?</v>
      </c>
      <c r="E1549" s="8" t="e">
        <f ca="1">[1]!BexGetData("DP_1","003N8EMH8GTFRCSWKMPXRRL3Y","GSON1112151101")</f>
        <v>#NAME?</v>
      </c>
      <c r="F1549" s="3" t="e">
        <f ca="1">[1]!BexGetData("DP_1","003N8EMH8GTFRCSWKMPXRRRFI","GSON1112151101")</f>
        <v>#NAME?</v>
      </c>
      <c r="G1549" s="3" t="e">
        <f ca="1">[1]!BexGetData("DP_1","003N8EMH8GTFRCSWKMPXRRXR2","GSON1112151101")</f>
        <v>#NAME?</v>
      </c>
      <c r="H1549" s="8" t="e">
        <f ca="1">[1]!BexGetData("DP_1","003N8EMH8GTFRCSWKMPXRS42M","GSON1112151101")</f>
        <v>#NAME?</v>
      </c>
      <c r="I1549" s="3" t="e">
        <f ca="1">[1]!BexGetData("DP_1","003N8EMH8GTFRCSWKMPXRSAE6","GSON1112151101")</f>
        <v>#NAME?</v>
      </c>
      <c r="J1549" s="4" t="e">
        <f ca="1">[1]!BexGetData("DP_1","003N8EMH8GTFRCSWKMPXRSGPQ","GSON1112151101")</f>
        <v>#NAME?</v>
      </c>
      <c r="K1549" s="3" t="e">
        <f ca="1">[1]!BexGetData("DP_1","003N8EMH8GTFRIVNUPY288VJH","GSON1112151101")</f>
        <v>#NAME?</v>
      </c>
      <c r="L1549" s="3" t="e">
        <f ca="1">[1]!BexGetData("DP_1","003N8EMH8GTFRIVNUPY2891V1","GSON1112151101")</f>
        <v>#NAME?</v>
      </c>
      <c r="M1549" s="3" t="e">
        <f ca="1">[1]!BexGetData("DP_1","003N8EMH8GTFRIVOG7KG9IQXA","GSON1112151101")</f>
        <v>#NAME?</v>
      </c>
      <c r="N1549" s="8" t="e">
        <f ca="1">[1]!BexGetData("DP_1","003N8EMH8GTFRIVOG7KG9IX8U","GSON1112151101")</f>
        <v>#NAME?</v>
      </c>
      <c r="O1549" s="3" t="e">
        <f ca="1">[1]!BexGetData("DP_1","003N8EMH8GTFRIVOG7KG9J3KE","GSON1112151101")</f>
        <v>#NAME?</v>
      </c>
      <c r="P1549" s="8" t="e">
        <f ca="1">[1]!BexGetData("DP_1","003N8EMH8GTFRIVOG7KG9J9VY","GSON1112151101")</f>
        <v>#NAME?</v>
      </c>
      <c r="Q1549" s="4" t="e">
        <f ca="1">[1]!BexGetData("DP_1","00O2TNJGODT0G5Z4TTKYMM5MT","GSON1112151101")</f>
        <v>#NAME?</v>
      </c>
      <c r="R1549" s="3" t="e">
        <f ca="1">[1]!BexGetData("DP_1","00O2TNJGODT0G5Z4TTKYMMBYD","GSON1112151101")</f>
        <v>#NAME?</v>
      </c>
      <c r="S1549" s="3" t="e">
        <f ca="1">[1]!BexGetData("DP_1","00O2TNJGODT0G5Z4TTKYMMI9X","GSON1112151101")</f>
        <v>#NAME?</v>
      </c>
      <c r="T1549" s="8" t="e">
        <f ca="1">[1]!BexGetData("DP_1","00O2TNJGODT0G5Z4TTKYMMOLH","GSON1112151101")</f>
        <v>#NAME?</v>
      </c>
      <c r="U1549" s="3" t="e">
        <f ca="1">[1]!BexGetData("DP_1","00O2TNJGODT0G5Z4TTKYMMUX1","GSON1112151101")</f>
        <v>#NAME?</v>
      </c>
      <c r="V1549" s="8" t="e">
        <f ca="1">[1]!BexGetData("DP_1","00O2TNJGODT0G5Z4TTKYMN18L","GSON1112151101")</f>
        <v>#NAME?</v>
      </c>
      <c r="W1549" s="3" t="e">
        <f ca="1">[1]!BexGetData("DP_1","00O2TNJGODT0G5Z4TTKYMN7K5","GSON1112151101")</f>
        <v>#NAME?</v>
      </c>
    </row>
    <row r="1550" spans="1:23" x14ac:dyDescent="0.2">
      <c r="A1550" s="16" t="s">
        <v>4039</v>
      </c>
      <c r="B1550" s="7" t="s">
        <v>4040</v>
      </c>
      <c r="C1550" s="3" t="e">
        <f ca="1">[1]!BexGetData("DP_1","003N8EMH8GTFRCSWKMPXRR8GU","GSON1112151102")</f>
        <v>#NAME?</v>
      </c>
      <c r="D1550" s="3" t="e">
        <f ca="1">[1]!BexGetData("DP_1","003N8EMH8GTFRCSWKMPXRRESE","GSON1112151102")</f>
        <v>#NAME?</v>
      </c>
      <c r="E1550" s="8" t="e">
        <f ca="1">[1]!BexGetData("DP_1","003N8EMH8GTFRCSWKMPXRRL3Y","GSON1112151102")</f>
        <v>#NAME?</v>
      </c>
      <c r="F1550" s="4" t="e">
        <f ca="1">[1]!BexGetData("DP_1","003N8EMH8GTFRCSWKMPXRRRFI","GSON1112151102")</f>
        <v>#NAME?</v>
      </c>
      <c r="G1550" s="4" t="e">
        <f ca="1">[1]!BexGetData("DP_1","003N8EMH8GTFRCSWKMPXRRXR2","GSON1112151102")</f>
        <v>#NAME?</v>
      </c>
      <c r="H1550" s="4" t="e">
        <f ca="1">[1]!BexGetData("DP_1","003N8EMH8GTFRCSWKMPXRS42M","GSON1112151102")</f>
        <v>#NAME?</v>
      </c>
      <c r="I1550" s="4" t="e">
        <f ca="1">[1]!BexGetData("DP_1","003N8EMH8GTFRCSWKMPXRSAE6","GSON1112151102")</f>
        <v>#NAME?</v>
      </c>
      <c r="J1550" s="4" t="e">
        <f ca="1">[1]!BexGetData("DP_1","003N8EMH8GTFRCSWKMPXRSGPQ","GSON1112151102")</f>
        <v>#NAME?</v>
      </c>
      <c r="K1550" s="8" t="e">
        <f ca="1">[1]!BexGetData("DP_1","003N8EMH8GTFRIVNUPY288VJH","GSON1112151102")</f>
        <v>#NAME?</v>
      </c>
      <c r="L1550" s="8" t="e">
        <f ca="1">[1]!BexGetData("DP_1","003N8EMH8GTFRIVNUPY2891V1","GSON1112151102")</f>
        <v>#NAME?</v>
      </c>
      <c r="M1550" s="8" t="e">
        <f ca="1">[1]!BexGetData("DP_1","003N8EMH8GTFRIVOG7KG9IQXA","GSON1112151102")</f>
        <v>#NAME?</v>
      </c>
      <c r="N1550" s="8" t="e">
        <f ca="1">[1]!BexGetData("DP_1","003N8EMH8GTFRIVOG7KG9IX8U","GSON1112151102")</f>
        <v>#NAME?</v>
      </c>
      <c r="O1550" s="8" t="e">
        <f ca="1">[1]!BexGetData("DP_1","003N8EMH8GTFRIVOG7KG9J3KE","GSON1112151102")</f>
        <v>#NAME?</v>
      </c>
      <c r="P1550" s="8" t="e">
        <f ca="1">[1]!BexGetData("DP_1","003N8EMH8GTFRIVOG7KG9J9VY","GSON1112151102")</f>
        <v>#NAME?</v>
      </c>
      <c r="Q1550" s="4" t="e">
        <f ca="1">[1]!BexGetData("DP_1","00O2TNJGODT0G5Z4TTKYMM5MT","GSON1112151102")</f>
        <v>#NAME?</v>
      </c>
      <c r="R1550" s="4" t="e">
        <f ca="1">[1]!BexGetData("DP_1","00O2TNJGODT0G5Z4TTKYMMBYD","GSON1112151102")</f>
        <v>#NAME?</v>
      </c>
      <c r="S1550" s="4" t="e">
        <f ca="1">[1]!BexGetData("DP_1","00O2TNJGODT0G5Z4TTKYMMI9X","GSON1112151102")</f>
        <v>#NAME?</v>
      </c>
      <c r="T1550" s="4" t="e">
        <f ca="1">[1]!BexGetData("DP_1","00O2TNJGODT0G5Z4TTKYMMOLH","GSON1112151102")</f>
        <v>#NAME?</v>
      </c>
      <c r="U1550" s="4" t="e">
        <f ca="1">[1]!BexGetData("DP_1","00O2TNJGODT0G5Z4TTKYMMUX1","GSON1112151102")</f>
        <v>#NAME?</v>
      </c>
      <c r="V1550" s="4" t="e">
        <f ca="1">[1]!BexGetData("DP_1","00O2TNJGODT0G5Z4TTKYMN18L","GSON1112151102")</f>
        <v>#NAME?</v>
      </c>
      <c r="W1550" s="4" t="e">
        <f ca="1">[1]!BexGetData("DP_1","00O2TNJGODT0G5Z4TTKYMN7K5","GSON1112151102")</f>
        <v>#NAME?</v>
      </c>
    </row>
    <row r="1551" spans="1:23" x14ac:dyDescent="0.2">
      <c r="A1551" s="16" t="s">
        <v>4041</v>
      </c>
      <c r="B1551" s="7" t="s">
        <v>4042</v>
      </c>
      <c r="C1551" s="3" t="e">
        <f ca="1">[1]!BexGetData("DP_1","003N8EMH8GTFRCSWKMPXRR8GU","GSON1112151103")</f>
        <v>#NAME?</v>
      </c>
      <c r="D1551" s="3" t="e">
        <f ca="1">[1]!BexGetData("DP_1","003N8EMH8GTFRCSWKMPXRRESE","GSON1112151103")</f>
        <v>#NAME?</v>
      </c>
      <c r="E1551" s="8" t="e">
        <f ca="1">[1]!BexGetData("DP_1","003N8EMH8GTFRCSWKMPXRRL3Y","GSON1112151103")</f>
        <v>#NAME?</v>
      </c>
      <c r="F1551" s="3" t="e">
        <f ca="1">[1]!BexGetData("DP_1","003N8EMH8GTFRCSWKMPXRRRFI","GSON1112151103")</f>
        <v>#NAME?</v>
      </c>
      <c r="G1551" s="8" t="e">
        <f ca="1">[1]!BexGetData("DP_1","003N8EMH8GTFRCSWKMPXRRXR2","GSON1112151103")</f>
        <v>#NAME?</v>
      </c>
      <c r="H1551" s="3" t="e">
        <f ca="1">[1]!BexGetData("DP_1","003N8EMH8GTFRCSWKMPXRS42M","GSON1112151103")</f>
        <v>#NAME?</v>
      </c>
      <c r="I1551" s="3" t="e">
        <f ca="1">[1]!BexGetData("DP_1","003N8EMH8GTFRCSWKMPXRSAE6","GSON1112151103")</f>
        <v>#NAME?</v>
      </c>
      <c r="J1551" s="4" t="e">
        <f ca="1">[1]!BexGetData("DP_1","003N8EMH8GTFRCSWKMPXRSGPQ","GSON1112151103")</f>
        <v>#NAME?</v>
      </c>
      <c r="K1551" s="3" t="e">
        <f ca="1">[1]!BexGetData("DP_1","003N8EMH8GTFRIVNUPY288VJH","GSON1112151103")</f>
        <v>#NAME?</v>
      </c>
      <c r="L1551" s="3" t="e">
        <f ca="1">[1]!BexGetData("DP_1","003N8EMH8GTFRIVNUPY2891V1","GSON1112151103")</f>
        <v>#NAME?</v>
      </c>
      <c r="M1551" s="8" t="e">
        <f ca="1">[1]!BexGetData("DP_1","003N8EMH8GTFRIVOG7KG9IQXA","GSON1112151103")</f>
        <v>#NAME?</v>
      </c>
      <c r="N1551" s="3" t="e">
        <f ca="1">[1]!BexGetData("DP_1","003N8EMH8GTFRIVOG7KG9IX8U","GSON1112151103")</f>
        <v>#NAME?</v>
      </c>
      <c r="O1551" s="8" t="e">
        <f ca="1">[1]!BexGetData("DP_1","003N8EMH8GTFRIVOG7KG9J3KE","GSON1112151103")</f>
        <v>#NAME?</v>
      </c>
      <c r="P1551" s="3" t="e">
        <f ca="1">[1]!BexGetData("DP_1","003N8EMH8GTFRIVOG7KG9J9VY","GSON1112151103")</f>
        <v>#NAME?</v>
      </c>
      <c r="Q1551" s="4" t="e">
        <f ca="1">[1]!BexGetData("DP_1","00O2TNJGODT0G5Z4TTKYMM5MT","GSON1112151103")</f>
        <v>#NAME?</v>
      </c>
      <c r="R1551" s="3" t="e">
        <f ca="1">[1]!BexGetData("DP_1","00O2TNJGODT0G5Z4TTKYMMBYD","GSON1112151103")</f>
        <v>#NAME?</v>
      </c>
      <c r="S1551" s="3" t="e">
        <f ca="1">[1]!BexGetData("DP_1","00O2TNJGODT0G5Z4TTKYMMI9X","GSON1112151103")</f>
        <v>#NAME?</v>
      </c>
      <c r="T1551" s="3" t="e">
        <f ca="1">[1]!BexGetData("DP_1","00O2TNJGODT0G5Z4TTKYMMOLH","GSON1112151103")</f>
        <v>#NAME?</v>
      </c>
      <c r="U1551" s="8" t="e">
        <f ca="1">[1]!BexGetData("DP_1","00O2TNJGODT0G5Z4TTKYMMUX1","GSON1112151103")</f>
        <v>#NAME?</v>
      </c>
      <c r="V1551" s="3" t="e">
        <f ca="1">[1]!BexGetData("DP_1","00O2TNJGODT0G5Z4TTKYMN18L","GSON1112151103")</f>
        <v>#NAME?</v>
      </c>
      <c r="W1551" s="8" t="e">
        <f ca="1">[1]!BexGetData("DP_1","00O2TNJGODT0G5Z4TTKYMN7K5","GSON1112151103")</f>
        <v>#NAME?</v>
      </c>
    </row>
    <row r="1552" spans="1:23" x14ac:dyDescent="0.2">
      <c r="A1552" s="16" t="s">
        <v>4043</v>
      </c>
      <c r="B1552" s="7" t="s">
        <v>4044</v>
      </c>
      <c r="C1552" s="3" t="e">
        <f ca="1">[1]!BexGetData("DP_1","003N8EMH8GTFRCSWKMPXRR8GU","GSON1112151104")</f>
        <v>#NAME?</v>
      </c>
      <c r="D1552" s="3" t="e">
        <f ca="1">[1]!BexGetData("DP_1","003N8EMH8GTFRCSWKMPXRRESE","GSON1112151104")</f>
        <v>#NAME?</v>
      </c>
      <c r="E1552" s="8" t="e">
        <f ca="1">[1]!BexGetData("DP_1","003N8EMH8GTFRCSWKMPXRRL3Y","GSON1112151104")</f>
        <v>#NAME?</v>
      </c>
      <c r="F1552" s="4" t="e">
        <f ca="1">[1]!BexGetData("DP_1","003N8EMH8GTFRCSWKMPXRRRFI","GSON1112151104")</f>
        <v>#NAME?</v>
      </c>
      <c r="G1552" s="4" t="e">
        <f ca="1">[1]!BexGetData("DP_1","003N8EMH8GTFRCSWKMPXRRXR2","GSON1112151104")</f>
        <v>#NAME?</v>
      </c>
      <c r="H1552" s="4" t="e">
        <f ca="1">[1]!BexGetData("DP_1","003N8EMH8GTFRCSWKMPXRS42M","GSON1112151104")</f>
        <v>#NAME?</v>
      </c>
      <c r="I1552" s="4" t="e">
        <f ca="1">[1]!BexGetData("DP_1","003N8EMH8GTFRCSWKMPXRSAE6","GSON1112151104")</f>
        <v>#NAME?</v>
      </c>
      <c r="J1552" s="4" t="e">
        <f ca="1">[1]!BexGetData("DP_1","003N8EMH8GTFRCSWKMPXRSGPQ","GSON1112151104")</f>
        <v>#NAME?</v>
      </c>
      <c r="K1552" s="8" t="e">
        <f ca="1">[1]!BexGetData("DP_1","003N8EMH8GTFRIVNUPY288VJH","GSON1112151104")</f>
        <v>#NAME?</v>
      </c>
      <c r="L1552" s="8" t="e">
        <f ca="1">[1]!BexGetData("DP_1","003N8EMH8GTFRIVNUPY2891V1","GSON1112151104")</f>
        <v>#NAME?</v>
      </c>
      <c r="M1552" s="8" t="e">
        <f ca="1">[1]!BexGetData("DP_1","003N8EMH8GTFRIVOG7KG9IQXA","GSON1112151104")</f>
        <v>#NAME?</v>
      </c>
      <c r="N1552" s="8" t="e">
        <f ca="1">[1]!BexGetData("DP_1","003N8EMH8GTFRIVOG7KG9IX8U","GSON1112151104")</f>
        <v>#NAME?</v>
      </c>
      <c r="O1552" s="8" t="e">
        <f ca="1">[1]!BexGetData("DP_1","003N8EMH8GTFRIVOG7KG9J3KE","GSON1112151104")</f>
        <v>#NAME?</v>
      </c>
      <c r="P1552" s="8" t="e">
        <f ca="1">[1]!BexGetData("DP_1","003N8EMH8GTFRIVOG7KG9J9VY","GSON1112151104")</f>
        <v>#NAME?</v>
      </c>
      <c r="Q1552" s="4" t="e">
        <f ca="1">[1]!BexGetData("DP_1","00O2TNJGODT0G5Z4TTKYMM5MT","GSON1112151104")</f>
        <v>#NAME?</v>
      </c>
      <c r="R1552" s="4" t="e">
        <f ca="1">[1]!BexGetData("DP_1","00O2TNJGODT0G5Z4TTKYMMBYD","GSON1112151104")</f>
        <v>#NAME?</v>
      </c>
      <c r="S1552" s="4" t="e">
        <f ca="1">[1]!BexGetData("DP_1","00O2TNJGODT0G5Z4TTKYMMI9X","GSON1112151104")</f>
        <v>#NAME?</v>
      </c>
      <c r="T1552" s="4" t="e">
        <f ca="1">[1]!BexGetData("DP_1","00O2TNJGODT0G5Z4TTKYMMOLH","GSON1112151104")</f>
        <v>#NAME?</v>
      </c>
      <c r="U1552" s="4" t="e">
        <f ca="1">[1]!BexGetData("DP_1","00O2TNJGODT0G5Z4TTKYMMUX1","GSON1112151104")</f>
        <v>#NAME?</v>
      </c>
      <c r="V1552" s="4" t="e">
        <f ca="1">[1]!BexGetData("DP_1","00O2TNJGODT0G5Z4TTKYMN18L","GSON1112151104")</f>
        <v>#NAME?</v>
      </c>
      <c r="W1552" s="4" t="e">
        <f ca="1">[1]!BexGetData("DP_1","00O2TNJGODT0G5Z4TTKYMN7K5","GSON1112151104")</f>
        <v>#NAME?</v>
      </c>
    </row>
    <row r="1553" spans="1:23" x14ac:dyDescent="0.2">
      <c r="A1553" s="16" t="s">
        <v>4045</v>
      </c>
      <c r="B1553" s="7" t="s">
        <v>4046</v>
      </c>
      <c r="C1553" s="3" t="e">
        <f ca="1">[1]!BexGetData("DP_1","003N8EMH8GTFRCSWKMPXRR8GU","GSON1112151105")</f>
        <v>#NAME?</v>
      </c>
      <c r="D1553" s="3" t="e">
        <f ca="1">[1]!BexGetData("DP_1","003N8EMH8GTFRCSWKMPXRRESE","GSON1112151105")</f>
        <v>#NAME?</v>
      </c>
      <c r="E1553" s="8" t="e">
        <f ca="1">[1]!BexGetData("DP_1","003N8EMH8GTFRCSWKMPXRRL3Y","GSON1112151105")</f>
        <v>#NAME?</v>
      </c>
      <c r="F1553" s="4" t="e">
        <f ca="1">[1]!BexGetData("DP_1","003N8EMH8GTFRCSWKMPXRRRFI","GSON1112151105")</f>
        <v>#NAME?</v>
      </c>
      <c r="G1553" s="4" t="e">
        <f ca="1">[1]!BexGetData("DP_1","003N8EMH8GTFRCSWKMPXRRXR2","GSON1112151105")</f>
        <v>#NAME?</v>
      </c>
      <c r="H1553" s="4" t="e">
        <f ca="1">[1]!BexGetData("DP_1","003N8EMH8GTFRCSWKMPXRS42M","GSON1112151105")</f>
        <v>#NAME?</v>
      </c>
      <c r="I1553" s="4" t="e">
        <f ca="1">[1]!BexGetData("DP_1","003N8EMH8GTFRCSWKMPXRSAE6","GSON1112151105")</f>
        <v>#NAME?</v>
      </c>
      <c r="J1553" s="4" t="e">
        <f ca="1">[1]!BexGetData("DP_1","003N8EMH8GTFRCSWKMPXRSGPQ","GSON1112151105")</f>
        <v>#NAME?</v>
      </c>
      <c r="K1553" s="8" t="e">
        <f ca="1">[1]!BexGetData("DP_1","003N8EMH8GTFRIVNUPY288VJH","GSON1112151105")</f>
        <v>#NAME?</v>
      </c>
      <c r="L1553" s="8" t="e">
        <f ca="1">[1]!BexGetData("DP_1","003N8EMH8GTFRIVNUPY2891V1","GSON1112151105")</f>
        <v>#NAME?</v>
      </c>
      <c r="M1553" s="8" t="e">
        <f ca="1">[1]!BexGetData("DP_1","003N8EMH8GTFRIVOG7KG9IQXA","GSON1112151105")</f>
        <v>#NAME?</v>
      </c>
      <c r="N1553" s="8" t="e">
        <f ca="1">[1]!BexGetData("DP_1","003N8EMH8GTFRIVOG7KG9IX8U","GSON1112151105")</f>
        <v>#NAME?</v>
      </c>
      <c r="O1553" s="8" t="e">
        <f ca="1">[1]!BexGetData("DP_1","003N8EMH8GTFRIVOG7KG9J3KE","GSON1112151105")</f>
        <v>#NAME?</v>
      </c>
      <c r="P1553" s="8" t="e">
        <f ca="1">[1]!BexGetData("DP_1","003N8EMH8GTFRIVOG7KG9J9VY","GSON1112151105")</f>
        <v>#NAME?</v>
      </c>
      <c r="Q1553" s="4" t="e">
        <f ca="1">[1]!BexGetData("DP_1","00O2TNJGODT0G5Z4TTKYMM5MT","GSON1112151105")</f>
        <v>#NAME?</v>
      </c>
      <c r="R1553" s="4" t="e">
        <f ca="1">[1]!BexGetData("DP_1","00O2TNJGODT0G5Z4TTKYMMBYD","GSON1112151105")</f>
        <v>#NAME?</v>
      </c>
      <c r="S1553" s="4" t="e">
        <f ca="1">[1]!BexGetData("DP_1","00O2TNJGODT0G5Z4TTKYMMI9X","GSON1112151105")</f>
        <v>#NAME?</v>
      </c>
      <c r="T1553" s="4" t="e">
        <f ca="1">[1]!BexGetData("DP_1","00O2TNJGODT0G5Z4TTKYMMOLH","GSON1112151105")</f>
        <v>#NAME?</v>
      </c>
      <c r="U1553" s="4" t="e">
        <f ca="1">[1]!BexGetData("DP_1","00O2TNJGODT0G5Z4TTKYMMUX1","GSON1112151105")</f>
        <v>#NAME?</v>
      </c>
      <c r="V1553" s="4" t="e">
        <f ca="1">[1]!BexGetData("DP_1","00O2TNJGODT0G5Z4TTKYMN18L","GSON1112151105")</f>
        <v>#NAME?</v>
      </c>
      <c r="W1553" s="4" t="e">
        <f ca="1">[1]!BexGetData("DP_1","00O2TNJGODT0G5Z4TTKYMN7K5","GSON1112151105")</f>
        <v>#NAME?</v>
      </c>
    </row>
    <row r="1554" spans="1:23" x14ac:dyDescent="0.2">
      <c r="A1554" s="16" t="s">
        <v>4047</v>
      </c>
      <c r="B1554" s="7" t="s">
        <v>4048</v>
      </c>
      <c r="C1554" s="3" t="e">
        <f ca="1">[1]!BexGetData("DP_1","003N8EMH8GTFRCSWKMPXRR8GU","GSON1112151110")</f>
        <v>#NAME?</v>
      </c>
      <c r="D1554" s="3" t="e">
        <f ca="1">[1]!BexGetData("DP_1","003N8EMH8GTFRCSWKMPXRRESE","GSON1112151110")</f>
        <v>#NAME?</v>
      </c>
      <c r="E1554" s="3" t="e">
        <f ca="1">[1]!BexGetData("DP_1","003N8EMH8GTFRCSWKMPXRRL3Y","GSON1112151110")</f>
        <v>#NAME?</v>
      </c>
      <c r="F1554" s="3" t="e">
        <f ca="1">[1]!BexGetData("DP_1","003N8EMH8GTFRCSWKMPXRRRFI","GSON1112151110")</f>
        <v>#NAME?</v>
      </c>
      <c r="G1554" s="3" t="e">
        <f ca="1">[1]!BexGetData("DP_1","003N8EMH8GTFRCSWKMPXRRXR2","GSON1112151110")</f>
        <v>#NAME?</v>
      </c>
      <c r="H1554" s="8" t="e">
        <f ca="1">[1]!BexGetData("DP_1","003N8EMH8GTFRCSWKMPXRS42M","GSON1112151110")</f>
        <v>#NAME?</v>
      </c>
      <c r="I1554" s="3" t="e">
        <f ca="1">[1]!BexGetData("DP_1","003N8EMH8GTFRCSWKMPXRSAE6","GSON1112151110")</f>
        <v>#NAME?</v>
      </c>
      <c r="J1554" s="4" t="e">
        <f ca="1">[1]!BexGetData("DP_1","003N8EMH8GTFRCSWKMPXRSGPQ","GSON1112151110")</f>
        <v>#NAME?</v>
      </c>
      <c r="K1554" s="3" t="e">
        <f ca="1">[1]!BexGetData("DP_1","003N8EMH8GTFRIVNUPY288VJH","GSON1112151110")</f>
        <v>#NAME?</v>
      </c>
      <c r="L1554" s="3" t="e">
        <f ca="1">[1]!BexGetData("DP_1","003N8EMH8GTFRIVNUPY2891V1","GSON1112151110")</f>
        <v>#NAME?</v>
      </c>
      <c r="M1554" s="8" t="e">
        <f ca="1">[1]!BexGetData("DP_1","003N8EMH8GTFRIVOG7KG9IQXA","GSON1112151110")</f>
        <v>#NAME?</v>
      </c>
      <c r="N1554" s="3" t="e">
        <f ca="1">[1]!BexGetData("DP_1","003N8EMH8GTFRIVOG7KG9IX8U","GSON1112151110")</f>
        <v>#NAME?</v>
      </c>
      <c r="O1554" s="8" t="e">
        <f ca="1">[1]!BexGetData("DP_1","003N8EMH8GTFRIVOG7KG9J3KE","GSON1112151110")</f>
        <v>#NAME?</v>
      </c>
      <c r="P1554" s="3" t="e">
        <f ca="1">[1]!BexGetData("DP_1","003N8EMH8GTFRIVOG7KG9J9VY","GSON1112151110")</f>
        <v>#NAME?</v>
      </c>
      <c r="Q1554" s="4" t="e">
        <f ca="1">[1]!BexGetData("DP_1","00O2TNJGODT0G5Z4TTKYMM5MT","GSON1112151110")</f>
        <v>#NAME?</v>
      </c>
      <c r="R1554" s="3" t="e">
        <f ca="1">[1]!BexGetData("DP_1","00O2TNJGODT0G5Z4TTKYMMBYD","GSON1112151110")</f>
        <v>#NAME?</v>
      </c>
      <c r="S1554" s="3" t="e">
        <f ca="1">[1]!BexGetData("DP_1","00O2TNJGODT0G5Z4TTKYMMI9X","GSON1112151110")</f>
        <v>#NAME?</v>
      </c>
      <c r="T1554" s="8" t="e">
        <f ca="1">[1]!BexGetData("DP_1","00O2TNJGODT0G5Z4TTKYMMOLH","GSON1112151110")</f>
        <v>#NAME?</v>
      </c>
      <c r="U1554" s="3" t="e">
        <f ca="1">[1]!BexGetData("DP_1","00O2TNJGODT0G5Z4TTKYMMUX1","GSON1112151110")</f>
        <v>#NAME?</v>
      </c>
      <c r="V1554" s="8" t="e">
        <f ca="1">[1]!BexGetData("DP_1","00O2TNJGODT0G5Z4TTKYMN18L","GSON1112151110")</f>
        <v>#NAME?</v>
      </c>
      <c r="W1554" s="3" t="e">
        <f ca="1">[1]!BexGetData("DP_1","00O2TNJGODT0G5Z4TTKYMN7K5","GSON1112151110")</f>
        <v>#NAME?</v>
      </c>
    </row>
    <row r="1555" spans="1:23" x14ac:dyDescent="0.2">
      <c r="A1555" s="16" t="s">
        <v>4049</v>
      </c>
      <c r="B1555" s="7" t="s">
        <v>4050</v>
      </c>
      <c r="C1555" s="3" t="e">
        <f ca="1">[1]!BexGetData("DP_1","003N8EMH8GTFRCSWKMPXRR8GU","GSON1112151111")</f>
        <v>#NAME?</v>
      </c>
      <c r="D1555" s="3" t="e">
        <f ca="1">[1]!BexGetData("DP_1","003N8EMH8GTFRCSWKMPXRRESE","GSON1112151111")</f>
        <v>#NAME?</v>
      </c>
      <c r="E1555" s="8" t="e">
        <f ca="1">[1]!BexGetData("DP_1","003N8EMH8GTFRCSWKMPXRRL3Y","GSON1112151111")</f>
        <v>#NAME?</v>
      </c>
      <c r="F1555" s="4" t="e">
        <f ca="1">[1]!BexGetData("DP_1","003N8EMH8GTFRCSWKMPXRRRFI","GSON1112151111")</f>
        <v>#NAME?</v>
      </c>
      <c r="G1555" s="4" t="e">
        <f ca="1">[1]!BexGetData("DP_1","003N8EMH8GTFRCSWKMPXRRXR2","GSON1112151111")</f>
        <v>#NAME?</v>
      </c>
      <c r="H1555" s="4" t="e">
        <f ca="1">[1]!BexGetData("DP_1","003N8EMH8GTFRCSWKMPXRS42M","GSON1112151111")</f>
        <v>#NAME?</v>
      </c>
      <c r="I1555" s="4" t="e">
        <f ca="1">[1]!BexGetData("DP_1","003N8EMH8GTFRCSWKMPXRSAE6","GSON1112151111")</f>
        <v>#NAME?</v>
      </c>
      <c r="J1555" s="4" t="e">
        <f ca="1">[1]!BexGetData("DP_1","003N8EMH8GTFRCSWKMPXRSGPQ","GSON1112151111")</f>
        <v>#NAME?</v>
      </c>
      <c r="K1555" s="8" t="e">
        <f ca="1">[1]!BexGetData("DP_1","003N8EMH8GTFRIVNUPY288VJH","GSON1112151111")</f>
        <v>#NAME?</v>
      </c>
      <c r="L1555" s="8" t="e">
        <f ca="1">[1]!BexGetData("DP_1","003N8EMH8GTFRIVNUPY2891V1","GSON1112151111")</f>
        <v>#NAME?</v>
      </c>
      <c r="M1555" s="8" t="e">
        <f ca="1">[1]!BexGetData("DP_1","003N8EMH8GTFRIVOG7KG9IQXA","GSON1112151111")</f>
        <v>#NAME?</v>
      </c>
      <c r="N1555" s="8" t="e">
        <f ca="1">[1]!BexGetData("DP_1","003N8EMH8GTFRIVOG7KG9IX8U","GSON1112151111")</f>
        <v>#NAME?</v>
      </c>
      <c r="O1555" s="8" t="e">
        <f ca="1">[1]!BexGetData("DP_1","003N8EMH8GTFRIVOG7KG9J3KE","GSON1112151111")</f>
        <v>#NAME?</v>
      </c>
      <c r="P1555" s="8" t="e">
        <f ca="1">[1]!BexGetData("DP_1","003N8EMH8GTFRIVOG7KG9J9VY","GSON1112151111")</f>
        <v>#NAME?</v>
      </c>
      <c r="Q1555" s="4" t="e">
        <f ca="1">[1]!BexGetData("DP_1","00O2TNJGODT0G5Z4TTKYMM5MT","GSON1112151111")</f>
        <v>#NAME?</v>
      </c>
      <c r="R1555" s="4" t="e">
        <f ca="1">[1]!BexGetData("DP_1","00O2TNJGODT0G5Z4TTKYMMBYD","GSON1112151111")</f>
        <v>#NAME?</v>
      </c>
      <c r="S1555" s="4" t="e">
        <f ca="1">[1]!BexGetData("DP_1","00O2TNJGODT0G5Z4TTKYMMI9X","GSON1112151111")</f>
        <v>#NAME?</v>
      </c>
      <c r="T1555" s="4" t="e">
        <f ca="1">[1]!BexGetData("DP_1","00O2TNJGODT0G5Z4TTKYMMOLH","GSON1112151111")</f>
        <v>#NAME?</v>
      </c>
      <c r="U1555" s="4" t="e">
        <f ca="1">[1]!BexGetData("DP_1","00O2TNJGODT0G5Z4TTKYMMUX1","GSON1112151111")</f>
        <v>#NAME?</v>
      </c>
      <c r="V1555" s="4" t="e">
        <f ca="1">[1]!BexGetData("DP_1","00O2TNJGODT0G5Z4TTKYMN18L","GSON1112151111")</f>
        <v>#NAME?</v>
      </c>
      <c r="W1555" s="4" t="e">
        <f ca="1">[1]!BexGetData("DP_1","00O2TNJGODT0G5Z4TTKYMN7K5","GSON1112151111")</f>
        <v>#NAME?</v>
      </c>
    </row>
    <row r="1556" spans="1:23" x14ac:dyDescent="0.2">
      <c r="A1556" s="16" t="s">
        <v>4051</v>
      </c>
      <c r="B1556" s="7" t="s">
        <v>4052</v>
      </c>
      <c r="C1556" s="3" t="e">
        <f ca="1">[1]!BexGetData("DP_1","003N8EMH8GTFRCSWKMPXRR8GU","GSON1112151114")</f>
        <v>#NAME?</v>
      </c>
      <c r="D1556" s="3" t="e">
        <f ca="1">[1]!BexGetData("DP_1","003N8EMH8GTFRCSWKMPXRRESE","GSON1112151114")</f>
        <v>#NAME?</v>
      </c>
      <c r="E1556" s="8" t="e">
        <f ca="1">[1]!BexGetData("DP_1","003N8EMH8GTFRCSWKMPXRRL3Y","GSON1112151114")</f>
        <v>#NAME?</v>
      </c>
      <c r="F1556" s="4" t="e">
        <f ca="1">[1]!BexGetData("DP_1","003N8EMH8GTFRCSWKMPXRRRFI","GSON1112151114")</f>
        <v>#NAME?</v>
      </c>
      <c r="G1556" s="4" t="e">
        <f ca="1">[1]!BexGetData("DP_1","003N8EMH8GTFRCSWKMPXRRXR2","GSON1112151114")</f>
        <v>#NAME?</v>
      </c>
      <c r="H1556" s="4" t="e">
        <f ca="1">[1]!BexGetData("DP_1","003N8EMH8GTFRCSWKMPXRS42M","GSON1112151114")</f>
        <v>#NAME?</v>
      </c>
      <c r="I1556" s="4" t="e">
        <f ca="1">[1]!BexGetData("DP_1","003N8EMH8GTFRCSWKMPXRSAE6","GSON1112151114")</f>
        <v>#NAME?</v>
      </c>
      <c r="J1556" s="4" t="e">
        <f ca="1">[1]!BexGetData("DP_1","003N8EMH8GTFRCSWKMPXRSGPQ","GSON1112151114")</f>
        <v>#NAME?</v>
      </c>
      <c r="K1556" s="8" t="e">
        <f ca="1">[1]!BexGetData("DP_1","003N8EMH8GTFRIVNUPY288VJH","GSON1112151114")</f>
        <v>#NAME?</v>
      </c>
      <c r="L1556" s="8" t="e">
        <f ca="1">[1]!BexGetData("DP_1","003N8EMH8GTFRIVNUPY2891V1","GSON1112151114")</f>
        <v>#NAME?</v>
      </c>
      <c r="M1556" s="8" t="e">
        <f ca="1">[1]!BexGetData("DP_1","003N8EMH8GTFRIVOG7KG9IQXA","GSON1112151114")</f>
        <v>#NAME?</v>
      </c>
      <c r="N1556" s="8" t="e">
        <f ca="1">[1]!BexGetData("DP_1","003N8EMH8GTFRIVOG7KG9IX8U","GSON1112151114")</f>
        <v>#NAME?</v>
      </c>
      <c r="O1556" s="8" t="e">
        <f ca="1">[1]!BexGetData("DP_1","003N8EMH8GTFRIVOG7KG9J3KE","GSON1112151114")</f>
        <v>#NAME?</v>
      </c>
      <c r="P1556" s="8" t="e">
        <f ca="1">[1]!BexGetData("DP_1","003N8EMH8GTFRIVOG7KG9J9VY","GSON1112151114")</f>
        <v>#NAME?</v>
      </c>
      <c r="Q1556" s="4" t="e">
        <f ca="1">[1]!BexGetData("DP_1","00O2TNJGODT0G5Z4TTKYMM5MT","GSON1112151114")</f>
        <v>#NAME?</v>
      </c>
      <c r="R1556" s="4" t="e">
        <f ca="1">[1]!BexGetData("DP_1","00O2TNJGODT0G5Z4TTKYMMBYD","GSON1112151114")</f>
        <v>#NAME?</v>
      </c>
      <c r="S1556" s="4" t="e">
        <f ca="1">[1]!BexGetData("DP_1","00O2TNJGODT0G5Z4TTKYMMI9X","GSON1112151114")</f>
        <v>#NAME?</v>
      </c>
      <c r="T1556" s="4" t="e">
        <f ca="1">[1]!BexGetData("DP_1","00O2TNJGODT0G5Z4TTKYMMOLH","GSON1112151114")</f>
        <v>#NAME?</v>
      </c>
      <c r="U1556" s="4" t="e">
        <f ca="1">[1]!BexGetData("DP_1","00O2TNJGODT0G5Z4TTKYMMUX1","GSON1112151114")</f>
        <v>#NAME?</v>
      </c>
      <c r="V1556" s="4" t="e">
        <f ca="1">[1]!BexGetData("DP_1","00O2TNJGODT0G5Z4TTKYMN18L","GSON1112151114")</f>
        <v>#NAME?</v>
      </c>
      <c r="W1556" s="4" t="e">
        <f ca="1">[1]!BexGetData("DP_1","00O2TNJGODT0G5Z4TTKYMN7K5","GSON1112151114")</f>
        <v>#NAME?</v>
      </c>
    </row>
    <row r="1557" spans="1:23" x14ac:dyDescent="0.2">
      <c r="A1557" s="16" t="s">
        <v>4053</v>
      </c>
      <c r="B1557" s="7" t="s">
        <v>4054</v>
      </c>
      <c r="C1557" s="3" t="e">
        <f ca="1">[1]!BexGetData("DP_1","003N8EMH8GTFRCSWKMPXRR8GU","GSON1112151120")</f>
        <v>#NAME?</v>
      </c>
      <c r="D1557" s="3" t="e">
        <f ca="1">[1]!BexGetData("DP_1","003N8EMH8GTFRCSWKMPXRRESE","GSON1112151120")</f>
        <v>#NAME?</v>
      </c>
      <c r="E1557" s="3" t="e">
        <f ca="1">[1]!BexGetData("DP_1","003N8EMH8GTFRCSWKMPXRRL3Y","GSON1112151120")</f>
        <v>#NAME?</v>
      </c>
      <c r="F1557" s="3" t="e">
        <f ca="1">[1]!BexGetData("DP_1","003N8EMH8GTFRCSWKMPXRRRFI","GSON1112151120")</f>
        <v>#NAME?</v>
      </c>
      <c r="G1557" s="3" t="e">
        <f ca="1">[1]!BexGetData("DP_1","003N8EMH8GTFRCSWKMPXRRXR2","GSON1112151120")</f>
        <v>#NAME?</v>
      </c>
      <c r="H1557" s="8" t="e">
        <f ca="1">[1]!BexGetData("DP_1","003N8EMH8GTFRCSWKMPXRS42M","GSON1112151120")</f>
        <v>#NAME?</v>
      </c>
      <c r="I1557" s="3" t="e">
        <f ca="1">[1]!BexGetData("DP_1","003N8EMH8GTFRCSWKMPXRSAE6","GSON1112151120")</f>
        <v>#NAME?</v>
      </c>
      <c r="J1557" s="4" t="e">
        <f ca="1">[1]!BexGetData("DP_1","003N8EMH8GTFRCSWKMPXRSGPQ","GSON1112151120")</f>
        <v>#NAME?</v>
      </c>
      <c r="K1557" s="3" t="e">
        <f ca="1">[1]!BexGetData("DP_1","003N8EMH8GTFRIVNUPY288VJH","GSON1112151120")</f>
        <v>#NAME?</v>
      </c>
      <c r="L1557" s="3" t="e">
        <f ca="1">[1]!BexGetData("DP_1","003N8EMH8GTFRIVNUPY2891V1","GSON1112151120")</f>
        <v>#NAME?</v>
      </c>
      <c r="M1557" s="3" t="e">
        <f ca="1">[1]!BexGetData("DP_1","003N8EMH8GTFRIVOG7KG9IQXA","GSON1112151120")</f>
        <v>#NAME?</v>
      </c>
      <c r="N1557" s="8" t="e">
        <f ca="1">[1]!BexGetData("DP_1","003N8EMH8GTFRIVOG7KG9IX8U","GSON1112151120")</f>
        <v>#NAME?</v>
      </c>
      <c r="O1557" s="3" t="e">
        <f ca="1">[1]!BexGetData("DP_1","003N8EMH8GTFRIVOG7KG9J3KE","GSON1112151120")</f>
        <v>#NAME?</v>
      </c>
      <c r="P1557" s="8" t="e">
        <f ca="1">[1]!BexGetData("DP_1","003N8EMH8GTFRIVOG7KG9J9VY","GSON1112151120")</f>
        <v>#NAME?</v>
      </c>
      <c r="Q1557" s="4" t="e">
        <f ca="1">[1]!BexGetData("DP_1","00O2TNJGODT0G5Z4TTKYMM5MT","GSON1112151120")</f>
        <v>#NAME?</v>
      </c>
      <c r="R1557" s="3" t="e">
        <f ca="1">[1]!BexGetData("DP_1","00O2TNJGODT0G5Z4TTKYMMBYD","GSON1112151120")</f>
        <v>#NAME?</v>
      </c>
      <c r="S1557" s="3" t="e">
        <f ca="1">[1]!BexGetData("DP_1","00O2TNJGODT0G5Z4TTKYMMI9X","GSON1112151120")</f>
        <v>#NAME?</v>
      </c>
      <c r="T1557" s="8" t="e">
        <f ca="1">[1]!BexGetData("DP_1","00O2TNJGODT0G5Z4TTKYMMOLH","GSON1112151120")</f>
        <v>#NAME?</v>
      </c>
      <c r="U1557" s="3" t="e">
        <f ca="1">[1]!BexGetData("DP_1","00O2TNJGODT0G5Z4TTKYMMUX1","GSON1112151120")</f>
        <v>#NAME?</v>
      </c>
      <c r="V1557" s="8" t="e">
        <f ca="1">[1]!BexGetData("DP_1","00O2TNJGODT0G5Z4TTKYMN18L","GSON1112151120")</f>
        <v>#NAME?</v>
      </c>
      <c r="W1557" s="3" t="e">
        <f ca="1">[1]!BexGetData("DP_1","00O2TNJGODT0G5Z4TTKYMN7K5","GSON1112151120")</f>
        <v>#NAME?</v>
      </c>
    </row>
    <row r="1558" spans="1:23" x14ac:dyDescent="0.2">
      <c r="A1558" s="16" t="s">
        <v>4055</v>
      </c>
      <c r="B1558" s="7" t="s">
        <v>4056</v>
      </c>
      <c r="C1558" s="3" t="e">
        <f ca="1">[1]!BexGetData("DP_1","003N8EMH8GTFRCSWKMPXRR8GU","GSON1112151122")</f>
        <v>#NAME?</v>
      </c>
      <c r="D1558" s="3" t="e">
        <f ca="1">[1]!BexGetData("DP_1","003N8EMH8GTFRCSWKMPXRRESE","GSON1112151122")</f>
        <v>#NAME?</v>
      </c>
      <c r="E1558" s="8" t="e">
        <f ca="1">[1]!BexGetData("DP_1","003N8EMH8GTFRCSWKMPXRRL3Y","GSON1112151122")</f>
        <v>#NAME?</v>
      </c>
      <c r="F1558" s="3" t="e">
        <f ca="1">[1]!BexGetData("DP_1","003N8EMH8GTFRCSWKMPXRRRFI","GSON1112151122")</f>
        <v>#NAME?</v>
      </c>
      <c r="G1558" s="8" t="e">
        <f ca="1">[1]!BexGetData("DP_1","003N8EMH8GTFRCSWKMPXRRXR2","GSON1112151122")</f>
        <v>#NAME?</v>
      </c>
      <c r="H1558" s="3" t="e">
        <f ca="1">[1]!BexGetData("DP_1","003N8EMH8GTFRCSWKMPXRS42M","GSON1112151122")</f>
        <v>#NAME?</v>
      </c>
      <c r="I1558" s="3" t="e">
        <f ca="1">[1]!BexGetData("DP_1","003N8EMH8GTFRCSWKMPXRSAE6","GSON1112151122")</f>
        <v>#NAME?</v>
      </c>
      <c r="J1558" s="4" t="e">
        <f ca="1">[1]!BexGetData("DP_1","003N8EMH8GTFRCSWKMPXRSGPQ","GSON1112151122")</f>
        <v>#NAME?</v>
      </c>
      <c r="K1558" s="3" t="e">
        <f ca="1">[1]!BexGetData("DP_1","003N8EMH8GTFRIVNUPY288VJH","GSON1112151122")</f>
        <v>#NAME?</v>
      </c>
      <c r="L1558" s="3" t="e">
        <f ca="1">[1]!BexGetData("DP_1","003N8EMH8GTFRIVNUPY2891V1","GSON1112151122")</f>
        <v>#NAME?</v>
      </c>
      <c r="M1558" s="8" t="e">
        <f ca="1">[1]!BexGetData("DP_1","003N8EMH8GTFRIVOG7KG9IQXA","GSON1112151122")</f>
        <v>#NAME?</v>
      </c>
      <c r="N1558" s="3" t="e">
        <f ca="1">[1]!BexGetData("DP_1","003N8EMH8GTFRIVOG7KG9IX8U","GSON1112151122")</f>
        <v>#NAME?</v>
      </c>
      <c r="O1558" s="8" t="e">
        <f ca="1">[1]!BexGetData("DP_1","003N8EMH8GTFRIVOG7KG9J3KE","GSON1112151122")</f>
        <v>#NAME?</v>
      </c>
      <c r="P1558" s="3" t="e">
        <f ca="1">[1]!BexGetData("DP_1","003N8EMH8GTFRIVOG7KG9J9VY","GSON1112151122")</f>
        <v>#NAME?</v>
      </c>
      <c r="Q1558" s="4" t="e">
        <f ca="1">[1]!BexGetData("DP_1","00O2TNJGODT0G5Z4TTKYMM5MT","GSON1112151122")</f>
        <v>#NAME?</v>
      </c>
      <c r="R1558" s="3" t="e">
        <f ca="1">[1]!BexGetData("DP_1","00O2TNJGODT0G5Z4TTKYMMBYD","GSON1112151122")</f>
        <v>#NAME?</v>
      </c>
      <c r="S1558" s="3" t="e">
        <f ca="1">[1]!BexGetData("DP_1","00O2TNJGODT0G5Z4TTKYMMI9X","GSON1112151122")</f>
        <v>#NAME?</v>
      </c>
      <c r="T1558" s="3" t="e">
        <f ca="1">[1]!BexGetData("DP_1","00O2TNJGODT0G5Z4TTKYMMOLH","GSON1112151122")</f>
        <v>#NAME?</v>
      </c>
      <c r="U1558" s="8" t="e">
        <f ca="1">[1]!BexGetData("DP_1","00O2TNJGODT0G5Z4TTKYMMUX1","GSON1112151122")</f>
        <v>#NAME?</v>
      </c>
      <c r="V1558" s="3" t="e">
        <f ca="1">[1]!BexGetData("DP_1","00O2TNJGODT0G5Z4TTKYMN18L","GSON1112151122")</f>
        <v>#NAME?</v>
      </c>
      <c r="W1558" s="8" t="e">
        <f ca="1">[1]!BexGetData("DP_1","00O2TNJGODT0G5Z4TTKYMN7K5","GSON1112151122")</f>
        <v>#NAME?</v>
      </c>
    </row>
    <row r="1559" spans="1:23" x14ac:dyDescent="0.2">
      <c r="A1559" s="16" t="s">
        <v>4057</v>
      </c>
      <c r="B1559" s="7" t="s">
        <v>4058</v>
      </c>
      <c r="C1559" s="3" t="e">
        <f ca="1">[1]!BexGetData("DP_1","003N8EMH8GTFRCSWKMPXRR8GU","GSON1112151123")</f>
        <v>#NAME?</v>
      </c>
      <c r="D1559" s="3" t="e">
        <f ca="1">[1]!BexGetData("DP_1","003N8EMH8GTFRCSWKMPXRRESE","GSON1112151123")</f>
        <v>#NAME?</v>
      </c>
      <c r="E1559" s="8" t="e">
        <f ca="1">[1]!BexGetData("DP_1","003N8EMH8GTFRCSWKMPXRRL3Y","GSON1112151123")</f>
        <v>#NAME?</v>
      </c>
      <c r="F1559" s="4" t="e">
        <f ca="1">[1]!BexGetData("DP_1","003N8EMH8GTFRCSWKMPXRRRFI","GSON1112151123")</f>
        <v>#NAME?</v>
      </c>
      <c r="G1559" s="4" t="e">
        <f ca="1">[1]!BexGetData("DP_1","003N8EMH8GTFRCSWKMPXRRXR2","GSON1112151123")</f>
        <v>#NAME?</v>
      </c>
      <c r="H1559" s="4" t="e">
        <f ca="1">[1]!BexGetData("DP_1","003N8EMH8GTFRCSWKMPXRS42M","GSON1112151123")</f>
        <v>#NAME?</v>
      </c>
      <c r="I1559" s="4" t="e">
        <f ca="1">[1]!BexGetData("DP_1","003N8EMH8GTFRCSWKMPXRSAE6","GSON1112151123")</f>
        <v>#NAME?</v>
      </c>
      <c r="J1559" s="4" t="e">
        <f ca="1">[1]!BexGetData("DP_1","003N8EMH8GTFRCSWKMPXRSGPQ","GSON1112151123")</f>
        <v>#NAME?</v>
      </c>
      <c r="K1559" s="8" t="e">
        <f ca="1">[1]!BexGetData("DP_1","003N8EMH8GTFRIVNUPY288VJH","GSON1112151123")</f>
        <v>#NAME?</v>
      </c>
      <c r="L1559" s="8" t="e">
        <f ca="1">[1]!BexGetData("DP_1","003N8EMH8GTFRIVNUPY2891V1","GSON1112151123")</f>
        <v>#NAME?</v>
      </c>
      <c r="M1559" s="8" t="e">
        <f ca="1">[1]!BexGetData("DP_1","003N8EMH8GTFRIVOG7KG9IQXA","GSON1112151123")</f>
        <v>#NAME?</v>
      </c>
      <c r="N1559" s="8" t="e">
        <f ca="1">[1]!BexGetData("DP_1","003N8EMH8GTFRIVOG7KG9IX8U","GSON1112151123")</f>
        <v>#NAME?</v>
      </c>
      <c r="O1559" s="8" t="e">
        <f ca="1">[1]!BexGetData("DP_1","003N8EMH8GTFRIVOG7KG9J3KE","GSON1112151123")</f>
        <v>#NAME?</v>
      </c>
      <c r="P1559" s="8" t="e">
        <f ca="1">[1]!BexGetData("DP_1","003N8EMH8GTFRIVOG7KG9J9VY","GSON1112151123")</f>
        <v>#NAME?</v>
      </c>
      <c r="Q1559" s="4" t="e">
        <f ca="1">[1]!BexGetData("DP_1","00O2TNJGODT0G5Z4TTKYMM5MT","GSON1112151123")</f>
        <v>#NAME?</v>
      </c>
      <c r="R1559" s="4" t="e">
        <f ca="1">[1]!BexGetData("DP_1","00O2TNJGODT0G5Z4TTKYMMBYD","GSON1112151123")</f>
        <v>#NAME?</v>
      </c>
      <c r="S1559" s="4" t="e">
        <f ca="1">[1]!BexGetData("DP_1","00O2TNJGODT0G5Z4TTKYMMI9X","GSON1112151123")</f>
        <v>#NAME?</v>
      </c>
      <c r="T1559" s="4" t="e">
        <f ca="1">[1]!BexGetData("DP_1","00O2TNJGODT0G5Z4TTKYMMOLH","GSON1112151123")</f>
        <v>#NAME?</v>
      </c>
      <c r="U1559" s="4" t="e">
        <f ca="1">[1]!BexGetData("DP_1","00O2TNJGODT0G5Z4TTKYMMUX1","GSON1112151123")</f>
        <v>#NAME?</v>
      </c>
      <c r="V1559" s="4" t="e">
        <f ca="1">[1]!BexGetData("DP_1","00O2TNJGODT0G5Z4TTKYMN18L","GSON1112151123")</f>
        <v>#NAME?</v>
      </c>
      <c r="W1559" s="4" t="e">
        <f ca="1">[1]!BexGetData("DP_1","00O2TNJGODT0G5Z4TTKYMN7K5","GSON1112151123")</f>
        <v>#NAME?</v>
      </c>
    </row>
    <row r="1560" spans="1:23" x14ac:dyDescent="0.2">
      <c r="A1560" s="16" t="s">
        <v>4059</v>
      </c>
      <c r="B1560" s="7" t="s">
        <v>4060</v>
      </c>
      <c r="C1560" s="3" t="e">
        <f ca="1">[1]!BexGetData("DP_1","003N8EMH8GTFRCSWKMPXRR8GU","GSON1112151124")</f>
        <v>#NAME?</v>
      </c>
      <c r="D1560" s="3" t="e">
        <f ca="1">[1]!BexGetData("DP_1","003N8EMH8GTFRCSWKMPXRRESE","GSON1112151124")</f>
        <v>#NAME?</v>
      </c>
      <c r="E1560" s="8" t="e">
        <f ca="1">[1]!BexGetData("DP_1","003N8EMH8GTFRCSWKMPXRRL3Y","GSON1112151124")</f>
        <v>#NAME?</v>
      </c>
      <c r="F1560" s="4" t="e">
        <f ca="1">[1]!BexGetData("DP_1","003N8EMH8GTFRCSWKMPXRRRFI","GSON1112151124")</f>
        <v>#NAME?</v>
      </c>
      <c r="G1560" s="4" t="e">
        <f ca="1">[1]!BexGetData("DP_1","003N8EMH8GTFRCSWKMPXRRXR2","GSON1112151124")</f>
        <v>#NAME?</v>
      </c>
      <c r="H1560" s="4" t="e">
        <f ca="1">[1]!BexGetData("DP_1","003N8EMH8GTFRCSWKMPXRS42M","GSON1112151124")</f>
        <v>#NAME?</v>
      </c>
      <c r="I1560" s="4" t="e">
        <f ca="1">[1]!BexGetData("DP_1","003N8EMH8GTFRCSWKMPXRSAE6","GSON1112151124")</f>
        <v>#NAME?</v>
      </c>
      <c r="J1560" s="4" t="e">
        <f ca="1">[1]!BexGetData("DP_1","003N8EMH8GTFRCSWKMPXRSGPQ","GSON1112151124")</f>
        <v>#NAME?</v>
      </c>
      <c r="K1560" s="8" t="e">
        <f ca="1">[1]!BexGetData("DP_1","003N8EMH8GTFRIVNUPY288VJH","GSON1112151124")</f>
        <v>#NAME?</v>
      </c>
      <c r="L1560" s="8" t="e">
        <f ca="1">[1]!BexGetData("DP_1","003N8EMH8GTFRIVNUPY2891V1","GSON1112151124")</f>
        <v>#NAME?</v>
      </c>
      <c r="M1560" s="8" t="e">
        <f ca="1">[1]!BexGetData("DP_1","003N8EMH8GTFRIVOG7KG9IQXA","GSON1112151124")</f>
        <v>#NAME?</v>
      </c>
      <c r="N1560" s="8" t="e">
        <f ca="1">[1]!BexGetData("DP_1","003N8EMH8GTFRIVOG7KG9IX8U","GSON1112151124")</f>
        <v>#NAME?</v>
      </c>
      <c r="O1560" s="8" t="e">
        <f ca="1">[1]!BexGetData("DP_1","003N8EMH8GTFRIVOG7KG9J3KE","GSON1112151124")</f>
        <v>#NAME?</v>
      </c>
      <c r="P1560" s="8" t="e">
        <f ca="1">[1]!BexGetData("DP_1","003N8EMH8GTFRIVOG7KG9J9VY","GSON1112151124")</f>
        <v>#NAME?</v>
      </c>
      <c r="Q1560" s="4" t="e">
        <f ca="1">[1]!BexGetData("DP_1","00O2TNJGODT0G5Z4TTKYMM5MT","GSON1112151124")</f>
        <v>#NAME?</v>
      </c>
      <c r="R1560" s="4" t="e">
        <f ca="1">[1]!BexGetData("DP_1","00O2TNJGODT0G5Z4TTKYMMBYD","GSON1112151124")</f>
        <v>#NAME?</v>
      </c>
      <c r="S1560" s="4" t="e">
        <f ca="1">[1]!BexGetData("DP_1","00O2TNJGODT0G5Z4TTKYMMI9X","GSON1112151124")</f>
        <v>#NAME?</v>
      </c>
      <c r="T1560" s="4" t="e">
        <f ca="1">[1]!BexGetData("DP_1","00O2TNJGODT0G5Z4TTKYMMOLH","GSON1112151124")</f>
        <v>#NAME?</v>
      </c>
      <c r="U1560" s="4" t="e">
        <f ca="1">[1]!BexGetData("DP_1","00O2TNJGODT0G5Z4TTKYMMUX1","GSON1112151124")</f>
        <v>#NAME?</v>
      </c>
      <c r="V1560" s="4" t="e">
        <f ca="1">[1]!BexGetData("DP_1","00O2TNJGODT0G5Z4TTKYMN18L","GSON1112151124")</f>
        <v>#NAME?</v>
      </c>
      <c r="W1560" s="4" t="e">
        <f ca="1">[1]!BexGetData("DP_1","00O2TNJGODT0G5Z4TTKYMN7K5","GSON1112151124")</f>
        <v>#NAME?</v>
      </c>
    </row>
    <row r="1561" spans="1:23" x14ac:dyDescent="0.2">
      <c r="A1561" s="16" t="s">
        <v>4061</v>
      </c>
      <c r="B1561" s="7" t="s">
        <v>4062</v>
      </c>
      <c r="C1561" s="3" t="e">
        <f ca="1">[1]!BexGetData("DP_1","003N8EMH8GTFRCSWKMPXRR8GU","GSON1112151125")</f>
        <v>#NAME?</v>
      </c>
      <c r="D1561" s="3" t="e">
        <f ca="1">[1]!BexGetData("DP_1","003N8EMH8GTFRCSWKMPXRRESE","GSON1112151125")</f>
        <v>#NAME?</v>
      </c>
      <c r="E1561" s="8" t="e">
        <f ca="1">[1]!BexGetData("DP_1","003N8EMH8GTFRCSWKMPXRRL3Y","GSON1112151125")</f>
        <v>#NAME?</v>
      </c>
      <c r="F1561" s="4" t="e">
        <f ca="1">[1]!BexGetData("DP_1","003N8EMH8GTFRCSWKMPXRRRFI","GSON1112151125")</f>
        <v>#NAME?</v>
      </c>
      <c r="G1561" s="4" t="e">
        <f ca="1">[1]!BexGetData("DP_1","003N8EMH8GTFRCSWKMPXRRXR2","GSON1112151125")</f>
        <v>#NAME?</v>
      </c>
      <c r="H1561" s="4" t="e">
        <f ca="1">[1]!BexGetData("DP_1","003N8EMH8GTFRCSWKMPXRS42M","GSON1112151125")</f>
        <v>#NAME?</v>
      </c>
      <c r="I1561" s="4" t="e">
        <f ca="1">[1]!BexGetData("DP_1","003N8EMH8GTFRCSWKMPXRSAE6","GSON1112151125")</f>
        <v>#NAME?</v>
      </c>
      <c r="J1561" s="4" t="e">
        <f ca="1">[1]!BexGetData("DP_1","003N8EMH8GTFRCSWKMPXRSGPQ","GSON1112151125")</f>
        <v>#NAME?</v>
      </c>
      <c r="K1561" s="8" t="e">
        <f ca="1">[1]!BexGetData("DP_1","003N8EMH8GTFRIVNUPY288VJH","GSON1112151125")</f>
        <v>#NAME?</v>
      </c>
      <c r="L1561" s="8" t="e">
        <f ca="1">[1]!BexGetData("DP_1","003N8EMH8GTFRIVNUPY2891V1","GSON1112151125")</f>
        <v>#NAME?</v>
      </c>
      <c r="M1561" s="8" t="e">
        <f ca="1">[1]!BexGetData("DP_1","003N8EMH8GTFRIVOG7KG9IQXA","GSON1112151125")</f>
        <v>#NAME?</v>
      </c>
      <c r="N1561" s="8" t="e">
        <f ca="1">[1]!BexGetData("DP_1","003N8EMH8GTFRIVOG7KG9IX8U","GSON1112151125")</f>
        <v>#NAME?</v>
      </c>
      <c r="O1561" s="8" t="e">
        <f ca="1">[1]!BexGetData("DP_1","003N8EMH8GTFRIVOG7KG9J3KE","GSON1112151125")</f>
        <v>#NAME?</v>
      </c>
      <c r="P1561" s="8" t="e">
        <f ca="1">[1]!BexGetData("DP_1","003N8EMH8GTFRIVOG7KG9J9VY","GSON1112151125")</f>
        <v>#NAME?</v>
      </c>
      <c r="Q1561" s="4" t="e">
        <f ca="1">[1]!BexGetData("DP_1","00O2TNJGODT0G5Z4TTKYMM5MT","GSON1112151125")</f>
        <v>#NAME?</v>
      </c>
      <c r="R1561" s="4" t="e">
        <f ca="1">[1]!BexGetData("DP_1","00O2TNJGODT0G5Z4TTKYMMBYD","GSON1112151125")</f>
        <v>#NAME?</v>
      </c>
      <c r="S1561" s="4" t="e">
        <f ca="1">[1]!BexGetData("DP_1","00O2TNJGODT0G5Z4TTKYMMI9X","GSON1112151125")</f>
        <v>#NAME?</v>
      </c>
      <c r="T1561" s="4" t="e">
        <f ca="1">[1]!BexGetData("DP_1","00O2TNJGODT0G5Z4TTKYMMOLH","GSON1112151125")</f>
        <v>#NAME?</v>
      </c>
      <c r="U1561" s="4" t="e">
        <f ca="1">[1]!BexGetData("DP_1","00O2TNJGODT0G5Z4TTKYMMUX1","GSON1112151125")</f>
        <v>#NAME?</v>
      </c>
      <c r="V1561" s="4" t="e">
        <f ca="1">[1]!BexGetData("DP_1","00O2TNJGODT0G5Z4TTKYMN18L","GSON1112151125")</f>
        <v>#NAME?</v>
      </c>
      <c r="W1561" s="4" t="e">
        <f ca="1">[1]!BexGetData("DP_1","00O2TNJGODT0G5Z4TTKYMN7K5","GSON1112151125")</f>
        <v>#NAME?</v>
      </c>
    </row>
    <row r="1562" spans="1:23" x14ac:dyDescent="0.2">
      <c r="A1562" s="16" t="s">
        <v>4063</v>
      </c>
      <c r="B1562" s="7" t="s">
        <v>4064</v>
      </c>
      <c r="C1562" s="8" t="e">
        <f ca="1">[1]!BexGetData("DP_1","003N8EMH8GTFRCSWKMPXRR8GU","GSON1112151130")</f>
        <v>#NAME?</v>
      </c>
      <c r="D1562" s="3" t="e">
        <f ca="1">[1]!BexGetData("DP_1","003N8EMH8GTFRCSWKMPXRRESE","GSON1112151130")</f>
        <v>#NAME?</v>
      </c>
      <c r="E1562" s="8" t="e">
        <f ca="1">[1]!BexGetData("DP_1","003N8EMH8GTFRCSWKMPXRRL3Y","GSON1112151130")</f>
        <v>#NAME?</v>
      </c>
      <c r="F1562" s="3" t="e">
        <f ca="1">[1]!BexGetData("DP_1","003N8EMH8GTFRCSWKMPXRRRFI","GSON1112151130")</f>
        <v>#NAME?</v>
      </c>
      <c r="G1562" s="3" t="e">
        <f ca="1">[1]!BexGetData("DP_1","003N8EMH8GTFRCSWKMPXRRXR2","GSON1112151130")</f>
        <v>#NAME?</v>
      </c>
      <c r="H1562" s="8" t="e">
        <f ca="1">[1]!BexGetData("DP_1","003N8EMH8GTFRCSWKMPXRS42M","GSON1112151130")</f>
        <v>#NAME?</v>
      </c>
      <c r="I1562" s="3" t="e">
        <f ca="1">[1]!BexGetData("DP_1","003N8EMH8GTFRCSWKMPXRSAE6","GSON1112151130")</f>
        <v>#NAME?</v>
      </c>
      <c r="J1562" s="4" t="e">
        <f ca="1">[1]!BexGetData("DP_1","003N8EMH8GTFRCSWKMPXRSGPQ","GSON1112151130")</f>
        <v>#NAME?</v>
      </c>
      <c r="K1562" s="3" t="e">
        <f ca="1">[1]!BexGetData("DP_1","003N8EMH8GTFRIVNUPY288VJH","GSON1112151130")</f>
        <v>#NAME?</v>
      </c>
      <c r="L1562" s="3" t="e">
        <f ca="1">[1]!BexGetData("DP_1","003N8EMH8GTFRIVNUPY2891V1","GSON1112151130")</f>
        <v>#NAME?</v>
      </c>
      <c r="M1562" s="3" t="e">
        <f ca="1">[1]!BexGetData("DP_1","003N8EMH8GTFRIVOG7KG9IQXA","GSON1112151130")</f>
        <v>#NAME?</v>
      </c>
      <c r="N1562" s="8" t="e">
        <f ca="1">[1]!BexGetData("DP_1","003N8EMH8GTFRIVOG7KG9IX8U","GSON1112151130")</f>
        <v>#NAME?</v>
      </c>
      <c r="O1562" s="3" t="e">
        <f ca="1">[1]!BexGetData("DP_1","003N8EMH8GTFRIVOG7KG9J3KE","GSON1112151130")</f>
        <v>#NAME?</v>
      </c>
      <c r="P1562" s="8" t="e">
        <f ca="1">[1]!BexGetData("DP_1","003N8EMH8GTFRIVOG7KG9J9VY","GSON1112151130")</f>
        <v>#NAME?</v>
      </c>
      <c r="Q1562" s="4" t="e">
        <f ca="1">[1]!BexGetData("DP_1","00O2TNJGODT0G5Z4TTKYMM5MT","GSON1112151130")</f>
        <v>#NAME?</v>
      </c>
      <c r="R1562" s="3" t="e">
        <f ca="1">[1]!BexGetData("DP_1","00O2TNJGODT0G5Z4TTKYMMBYD","GSON1112151130")</f>
        <v>#NAME?</v>
      </c>
      <c r="S1562" s="3" t="e">
        <f ca="1">[1]!BexGetData("DP_1","00O2TNJGODT0G5Z4TTKYMMI9X","GSON1112151130")</f>
        <v>#NAME?</v>
      </c>
      <c r="T1562" s="8" t="e">
        <f ca="1">[1]!BexGetData("DP_1","00O2TNJGODT0G5Z4TTKYMMOLH","GSON1112151130")</f>
        <v>#NAME?</v>
      </c>
      <c r="U1562" s="3" t="e">
        <f ca="1">[1]!BexGetData("DP_1","00O2TNJGODT0G5Z4TTKYMMUX1","GSON1112151130")</f>
        <v>#NAME?</v>
      </c>
      <c r="V1562" s="8" t="e">
        <f ca="1">[1]!BexGetData("DP_1","00O2TNJGODT0G5Z4TTKYMN18L","GSON1112151130")</f>
        <v>#NAME?</v>
      </c>
      <c r="W1562" s="3" t="e">
        <f ca="1">[1]!BexGetData("DP_1","00O2TNJGODT0G5Z4TTKYMN7K5","GSON1112151130")</f>
        <v>#NAME?</v>
      </c>
    </row>
    <row r="1563" spans="1:23" x14ac:dyDescent="0.2">
      <c r="A1563" s="16" t="s">
        <v>4065</v>
      </c>
      <c r="B1563" s="7" t="s">
        <v>4066</v>
      </c>
      <c r="C1563" s="3" t="e">
        <f ca="1">[1]!BexGetData("DP_1","003N8EMH8GTFRCSWKMPXRR8GU","GSON1112151133")</f>
        <v>#NAME?</v>
      </c>
      <c r="D1563" s="3" t="e">
        <f ca="1">[1]!BexGetData("DP_1","003N8EMH8GTFRCSWKMPXRRESE","GSON1112151133")</f>
        <v>#NAME?</v>
      </c>
      <c r="E1563" s="8" t="e">
        <f ca="1">[1]!BexGetData("DP_1","003N8EMH8GTFRCSWKMPXRRL3Y","GSON1112151133")</f>
        <v>#NAME?</v>
      </c>
      <c r="F1563" s="4" t="e">
        <f ca="1">[1]!BexGetData("DP_1","003N8EMH8GTFRCSWKMPXRRRFI","GSON1112151133")</f>
        <v>#NAME?</v>
      </c>
      <c r="G1563" s="4" t="e">
        <f ca="1">[1]!BexGetData("DP_1","003N8EMH8GTFRCSWKMPXRRXR2","GSON1112151133")</f>
        <v>#NAME?</v>
      </c>
      <c r="H1563" s="4" t="e">
        <f ca="1">[1]!BexGetData("DP_1","003N8EMH8GTFRCSWKMPXRS42M","GSON1112151133")</f>
        <v>#NAME?</v>
      </c>
      <c r="I1563" s="4" t="e">
        <f ca="1">[1]!BexGetData("DP_1","003N8EMH8GTFRCSWKMPXRSAE6","GSON1112151133")</f>
        <v>#NAME?</v>
      </c>
      <c r="J1563" s="4" t="e">
        <f ca="1">[1]!BexGetData("DP_1","003N8EMH8GTFRCSWKMPXRSGPQ","GSON1112151133")</f>
        <v>#NAME?</v>
      </c>
      <c r="K1563" s="8" t="e">
        <f ca="1">[1]!BexGetData("DP_1","003N8EMH8GTFRIVNUPY288VJH","GSON1112151133")</f>
        <v>#NAME?</v>
      </c>
      <c r="L1563" s="8" t="e">
        <f ca="1">[1]!BexGetData("DP_1","003N8EMH8GTFRIVNUPY2891V1","GSON1112151133")</f>
        <v>#NAME?</v>
      </c>
      <c r="M1563" s="8" t="e">
        <f ca="1">[1]!BexGetData("DP_1","003N8EMH8GTFRIVOG7KG9IQXA","GSON1112151133")</f>
        <v>#NAME?</v>
      </c>
      <c r="N1563" s="8" t="e">
        <f ca="1">[1]!BexGetData("DP_1","003N8EMH8GTFRIVOG7KG9IX8U","GSON1112151133")</f>
        <v>#NAME?</v>
      </c>
      <c r="O1563" s="8" t="e">
        <f ca="1">[1]!BexGetData("DP_1","003N8EMH8GTFRIVOG7KG9J3KE","GSON1112151133")</f>
        <v>#NAME?</v>
      </c>
      <c r="P1563" s="8" t="e">
        <f ca="1">[1]!BexGetData("DP_1","003N8EMH8GTFRIVOG7KG9J9VY","GSON1112151133")</f>
        <v>#NAME?</v>
      </c>
      <c r="Q1563" s="4" t="e">
        <f ca="1">[1]!BexGetData("DP_1","00O2TNJGODT0G5Z4TTKYMM5MT","GSON1112151133")</f>
        <v>#NAME?</v>
      </c>
      <c r="R1563" s="4" t="e">
        <f ca="1">[1]!BexGetData("DP_1","00O2TNJGODT0G5Z4TTKYMMBYD","GSON1112151133")</f>
        <v>#NAME?</v>
      </c>
      <c r="S1563" s="4" t="e">
        <f ca="1">[1]!BexGetData("DP_1","00O2TNJGODT0G5Z4TTKYMMI9X","GSON1112151133")</f>
        <v>#NAME?</v>
      </c>
      <c r="T1563" s="4" t="e">
        <f ca="1">[1]!BexGetData("DP_1","00O2TNJGODT0G5Z4TTKYMMOLH","GSON1112151133")</f>
        <v>#NAME?</v>
      </c>
      <c r="U1563" s="4" t="e">
        <f ca="1">[1]!BexGetData("DP_1","00O2TNJGODT0G5Z4TTKYMMUX1","GSON1112151133")</f>
        <v>#NAME?</v>
      </c>
      <c r="V1563" s="4" t="e">
        <f ca="1">[1]!BexGetData("DP_1","00O2TNJGODT0G5Z4TTKYMN18L","GSON1112151133")</f>
        <v>#NAME?</v>
      </c>
      <c r="W1563" s="4" t="e">
        <f ca="1">[1]!BexGetData("DP_1","00O2TNJGODT0G5Z4TTKYMN7K5","GSON1112151133")</f>
        <v>#NAME?</v>
      </c>
    </row>
    <row r="1564" spans="1:23" x14ac:dyDescent="0.2">
      <c r="A1564" s="16" t="s">
        <v>4067</v>
      </c>
      <c r="B1564" s="7" t="s">
        <v>4068</v>
      </c>
      <c r="C1564" s="3" t="e">
        <f ca="1">[1]!BexGetData("DP_1","003N8EMH8GTFRCSWKMPXRR8GU","GSON1112151135")</f>
        <v>#NAME?</v>
      </c>
      <c r="D1564" s="3" t="e">
        <f ca="1">[1]!BexGetData("DP_1","003N8EMH8GTFRCSWKMPXRRESE","GSON1112151135")</f>
        <v>#NAME?</v>
      </c>
      <c r="E1564" s="8" t="e">
        <f ca="1">[1]!BexGetData("DP_1","003N8EMH8GTFRCSWKMPXRRL3Y","GSON1112151135")</f>
        <v>#NAME?</v>
      </c>
      <c r="F1564" s="4" t="e">
        <f ca="1">[1]!BexGetData("DP_1","003N8EMH8GTFRCSWKMPXRRRFI","GSON1112151135")</f>
        <v>#NAME?</v>
      </c>
      <c r="G1564" s="4" t="e">
        <f ca="1">[1]!BexGetData("DP_1","003N8EMH8GTFRCSWKMPXRRXR2","GSON1112151135")</f>
        <v>#NAME?</v>
      </c>
      <c r="H1564" s="4" t="e">
        <f ca="1">[1]!BexGetData("DP_1","003N8EMH8GTFRCSWKMPXRS42M","GSON1112151135")</f>
        <v>#NAME?</v>
      </c>
      <c r="I1564" s="4" t="e">
        <f ca="1">[1]!BexGetData("DP_1","003N8EMH8GTFRCSWKMPXRSAE6","GSON1112151135")</f>
        <v>#NAME?</v>
      </c>
      <c r="J1564" s="4" t="e">
        <f ca="1">[1]!BexGetData("DP_1","003N8EMH8GTFRCSWKMPXRSGPQ","GSON1112151135")</f>
        <v>#NAME?</v>
      </c>
      <c r="K1564" s="8" t="e">
        <f ca="1">[1]!BexGetData("DP_1","003N8EMH8GTFRIVNUPY288VJH","GSON1112151135")</f>
        <v>#NAME?</v>
      </c>
      <c r="L1564" s="8" t="e">
        <f ca="1">[1]!BexGetData("DP_1","003N8EMH8GTFRIVNUPY2891V1","GSON1112151135")</f>
        <v>#NAME?</v>
      </c>
      <c r="M1564" s="8" t="e">
        <f ca="1">[1]!BexGetData("DP_1","003N8EMH8GTFRIVOG7KG9IQXA","GSON1112151135")</f>
        <v>#NAME?</v>
      </c>
      <c r="N1564" s="8" t="e">
        <f ca="1">[1]!BexGetData("DP_1","003N8EMH8GTFRIVOG7KG9IX8U","GSON1112151135")</f>
        <v>#NAME?</v>
      </c>
      <c r="O1564" s="8" t="e">
        <f ca="1">[1]!BexGetData("DP_1","003N8EMH8GTFRIVOG7KG9J3KE","GSON1112151135")</f>
        <v>#NAME?</v>
      </c>
      <c r="P1564" s="8" t="e">
        <f ca="1">[1]!BexGetData("DP_1","003N8EMH8GTFRIVOG7KG9J9VY","GSON1112151135")</f>
        <v>#NAME?</v>
      </c>
      <c r="Q1564" s="4" t="e">
        <f ca="1">[1]!BexGetData("DP_1","00O2TNJGODT0G5Z4TTKYMM5MT","GSON1112151135")</f>
        <v>#NAME?</v>
      </c>
      <c r="R1564" s="4" t="e">
        <f ca="1">[1]!BexGetData("DP_1","00O2TNJGODT0G5Z4TTKYMMBYD","GSON1112151135")</f>
        <v>#NAME?</v>
      </c>
      <c r="S1564" s="4" t="e">
        <f ca="1">[1]!BexGetData("DP_1","00O2TNJGODT0G5Z4TTKYMMI9X","GSON1112151135")</f>
        <v>#NAME?</v>
      </c>
      <c r="T1564" s="4" t="e">
        <f ca="1">[1]!BexGetData("DP_1","00O2TNJGODT0G5Z4TTKYMMOLH","GSON1112151135")</f>
        <v>#NAME?</v>
      </c>
      <c r="U1564" s="4" t="e">
        <f ca="1">[1]!BexGetData("DP_1","00O2TNJGODT0G5Z4TTKYMMUX1","GSON1112151135")</f>
        <v>#NAME?</v>
      </c>
      <c r="V1564" s="4" t="e">
        <f ca="1">[1]!BexGetData("DP_1","00O2TNJGODT0G5Z4TTKYMN18L","GSON1112151135")</f>
        <v>#NAME?</v>
      </c>
      <c r="W1564" s="4" t="e">
        <f ca="1">[1]!BexGetData("DP_1","00O2TNJGODT0G5Z4TTKYMN7K5","GSON1112151135")</f>
        <v>#NAME?</v>
      </c>
    </row>
    <row r="1565" spans="1:23" x14ac:dyDescent="0.2">
      <c r="A1565" s="16" t="s">
        <v>4069</v>
      </c>
      <c r="B1565" s="7" t="s">
        <v>4070</v>
      </c>
      <c r="C1565" s="8" t="e">
        <f ca="1">[1]!BexGetData("DP_1","003N8EMH8GTFRCSWKMPXRR8GU","GSON1112151140")</f>
        <v>#NAME?</v>
      </c>
      <c r="D1565" s="3" t="e">
        <f ca="1">[1]!BexGetData("DP_1","003N8EMH8GTFRCSWKMPXRRESE","GSON1112151140")</f>
        <v>#NAME?</v>
      </c>
      <c r="E1565" s="8" t="e">
        <f ca="1">[1]!BexGetData("DP_1","003N8EMH8GTFRCSWKMPXRRL3Y","GSON1112151140")</f>
        <v>#NAME?</v>
      </c>
      <c r="F1565" s="3" t="e">
        <f ca="1">[1]!BexGetData("DP_1","003N8EMH8GTFRCSWKMPXRRRFI","GSON1112151140")</f>
        <v>#NAME?</v>
      </c>
      <c r="G1565" s="3" t="e">
        <f ca="1">[1]!BexGetData("DP_1","003N8EMH8GTFRCSWKMPXRRXR2","GSON1112151140")</f>
        <v>#NAME?</v>
      </c>
      <c r="H1565" s="8" t="e">
        <f ca="1">[1]!BexGetData("DP_1","003N8EMH8GTFRCSWKMPXRS42M","GSON1112151140")</f>
        <v>#NAME?</v>
      </c>
      <c r="I1565" s="3" t="e">
        <f ca="1">[1]!BexGetData("DP_1","003N8EMH8GTFRCSWKMPXRSAE6","GSON1112151140")</f>
        <v>#NAME?</v>
      </c>
      <c r="J1565" s="4" t="e">
        <f ca="1">[1]!BexGetData("DP_1","003N8EMH8GTFRCSWKMPXRSGPQ","GSON1112151140")</f>
        <v>#NAME?</v>
      </c>
      <c r="K1565" s="3" t="e">
        <f ca="1">[1]!BexGetData("DP_1","003N8EMH8GTFRIVNUPY288VJH","GSON1112151140")</f>
        <v>#NAME?</v>
      </c>
      <c r="L1565" s="3" t="e">
        <f ca="1">[1]!BexGetData("DP_1","003N8EMH8GTFRIVNUPY2891V1","GSON1112151140")</f>
        <v>#NAME?</v>
      </c>
      <c r="M1565" s="3" t="e">
        <f ca="1">[1]!BexGetData("DP_1","003N8EMH8GTFRIVOG7KG9IQXA","GSON1112151140")</f>
        <v>#NAME?</v>
      </c>
      <c r="N1565" s="8" t="e">
        <f ca="1">[1]!BexGetData("DP_1","003N8EMH8GTFRIVOG7KG9IX8U","GSON1112151140")</f>
        <v>#NAME?</v>
      </c>
      <c r="O1565" s="3" t="e">
        <f ca="1">[1]!BexGetData("DP_1","003N8EMH8GTFRIVOG7KG9J3KE","GSON1112151140")</f>
        <v>#NAME?</v>
      </c>
      <c r="P1565" s="8" t="e">
        <f ca="1">[1]!BexGetData("DP_1","003N8EMH8GTFRIVOG7KG9J9VY","GSON1112151140")</f>
        <v>#NAME?</v>
      </c>
      <c r="Q1565" s="4" t="e">
        <f ca="1">[1]!BexGetData("DP_1","00O2TNJGODT0G5Z4TTKYMM5MT","GSON1112151140")</f>
        <v>#NAME?</v>
      </c>
      <c r="R1565" s="3" t="e">
        <f ca="1">[1]!BexGetData("DP_1","00O2TNJGODT0G5Z4TTKYMMBYD","GSON1112151140")</f>
        <v>#NAME?</v>
      </c>
      <c r="S1565" s="3" t="e">
        <f ca="1">[1]!BexGetData("DP_1","00O2TNJGODT0G5Z4TTKYMMI9X","GSON1112151140")</f>
        <v>#NAME?</v>
      </c>
      <c r="T1565" s="8" t="e">
        <f ca="1">[1]!BexGetData("DP_1","00O2TNJGODT0G5Z4TTKYMMOLH","GSON1112151140")</f>
        <v>#NAME?</v>
      </c>
      <c r="U1565" s="3" t="e">
        <f ca="1">[1]!BexGetData("DP_1","00O2TNJGODT0G5Z4TTKYMMUX1","GSON1112151140")</f>
        <v>#NAME?</v>
      </c>
      <c r="V1565" s="8" t="e">
        <f ca="1">[1]!BexGetData("DP_1","00O2TNJGODT0G5Z4TTKYMN18L","GSON1112151140")</f>
        <v>#NAME?</v>
      </c>
      <c r="W1565" s="3" t="e">
        <f ca="1">[1]!BexGetData("DP_1","00O2TNJGODT0G5Z4TTKYMN7K5","GSON1112151140")</f>
        <v>#NAME?</v>
      </c>
    </row>
    <row r="1566" spans="1:23" x14ac:dyDescent="0.2">
      <c r="A1566" s="16" t="s">
        <v>4071</v>
      </c>
      <c r="B1566" s="7" t="s">
        <v>4072</v>
      </c>
      <c r="C1566" s="3" t="e">
        <f ca="1">[1]!BexGetData("DP_1","003N8EMH8GTFRCSWKMPXRR8GU","GSON1112151143")</f>
        <v>#NAME?</v>
      </c>
      <c r="D1566" s="3" t="e">
        <f ca="1">[1]!BexGetData("DP_1","003N8EMH8GTFRCSWKMPXRRESE","GSON1112151143")</f>
        <v>#NAME?</v>
      </c>
      <c r="E1566" s="8" t="e">
        <f ca="1">[1]!BexGetData("DP_1","003N8EMH8GTFRCSWKMPXRRL3Y","GSON1112151143")</f>
        <v>#NAME?</v>
      </c>
      <c r="F1566" s="4" t="e">
        <f ca="1">[1]!BexGetData("DP_1","003N8EMH8GTFRCSWKMPXRRRFI","GSON1112151143")</f>
        <v>#NAME?</v>
      </c>
      <c r="G1566" s="4" t="e">
        <f ca="1">[1]!BexGetData("DP_1","003N8EMH8GTFRCSWKMPXRRXR2","GSON1112151143")</f>
        <v>#NAME?</v>
      </c>
      <c r="H1566" s="4" t="e">
        <f ca="1">[1]!BexGetData("DP_1","003N8EMH8GTFRCSWKMPXRS42M","GSON1112151143")</f>
        <v>#NAME?</v>
      </c>
      <c r="I1566" s="4" t="e">
        <f ca="1">[1]!BexGetData("DP_1","003N8EMH8GTFRCSWKMPXRSAE6","GSON1112151143")</f>
        <v>#NAME?</v>
      </c>
      <c r="J1566" s="4" t="e">
        <f ca="1">[1]!BexGetData("DP_1","003N8EMH8GTFRCSWKMPXRSGPQ","GSON1112151143")</f>
        <v>#NAME?</v>
      </c>
      <c r="K1566" s="8" t="e">
        <f ca="1">[1]!BexGetData("DP_1","003N8EMH8GTFRIVNUPY288VJH","GSON1112151143")</f>
        <v>#NAME?</v>
      </c>
      <c r="L1566" s="8" t="e">
        <f ca="1">[1]!BexGetData("DP_1","003N8EMH8GTFRIVNUPY2891V1","GSON1112151143")</f>
        <v>#NAME?</v>
      </c>
      <c r="M1566" s="8" t="e">
        <f ca="1">[1]!BexGetData("DP_1","003N8EMH8GTFRIVOG7KG9IQXA","GSON1112151143")</f>
        <v>#NAME?</v>
      </c>
      <c r="N1566" s="8" t="e">
        <f ca="1">[1]!BexGetData("DP_1","003N8EMH8GTFRIVOG7KG9IX8U","GSON1112151143")</f>
        <v>#NAME?</v>
      </c>
      <c r="O1566" s="8" t="e">
        <f ca="1">[1]!BexGetData("DP_1","003N8EMH8GTFRIVOG7KG9J3KE","GSON1112151143")</f>
        <v>#NAME?</v>
      </c>
      <c r="P1566" s="8" t="e">
        <f ca="1">[1]!BexGetData("DP_1","003N8EMH8GTFRIVOG7KG9J9VY","GSON1112151143")</f>
        <v>#NAME?</v>
      </c>
      <c r="Q1566" s="4" t="e">
        <f ca="1">[1]!BexGetData("DP_1","00O2TNJGODT0G5Z4TTKYMM5MT","GSON1112151143")</f>
        <v>#NAME?</v>
      </c>
      <c r="R1566" s="4" t="e">
        <f ca="1">[1]!BexGetData("DP_1","00O2TNJGODT0G5Z4TTKYMMBYD","GSON1112151143")</f>
        <v>#NAME?</v>
      </c>
      <c r="S1566" s="4" t="e">
        <f ca="1">[1]!BexGetData("DP_1","00O2TNJGODT0G5Z4TTKYMMI9X","GSON1112151143")</f>
        <v>#NAME?</v>
      </c>
      <c r="T1566" s="4" t="e">
        <f ca="1">[1]!BexGetData("DP_1","00O2TNJGODT0G5Z4TTKYMMOLH","GSON1112151143")</f>
        <v>#NAME?</v>
      </c>
      <c r="U1566" s="4" t="e">
        <f ca="1">[1]!BexGetData("DP_1","00O2TNJGODT0G5Z4TTKYMMUX1","GSON1112151143")</f>
        <v>#NAME?</v>
      </c>
      <c r="V1566" s="4" t="e">
        <f ca="1">[1]!BexGetData("DP_1","00O2TNJGODT0G5Z4TTKYMN18L","GSON1112151143")</f>
        <v>#NAME?</v>
      </c>
      <c r="W1566" s="4" t="e">
        <f ca="1">[1]!BexGetData("DP_1","00O2TNJGODT0G5Z4TTKYMN7K5","GSON1112151143")</f>
        <v>#NAME?</v>
      </c>
    </row>
    <row r="1567" spans="1:23" x14ac:dyDescent="0.2">
      <c r="A1567" s="16" t="s">
        <v>4073</v>
      </c>
      <c r="B1567" s="7" t="s">
        <v>4074</v>
      </c>
      <c r="C1567" s="8" t="e">
        <f ca="1">[1]!BexGetData("DP_1","003N8EMH8GTFRCSWKMPXRR8GU","GSON1112151150")</f>
        <v>#NAME?</v>
      </c>
      <c r="D1567" s="3" t="e">
        <f ca="1">[1]!BexGetData("DP_1","003N8EMH8GTFRCSWKMPXRRESE","GSON1112151150")</f>
        <v>#NAME?</v>
      </c>
      <c r="E1567" s="8" t="e">
        <f ca="1">[1]!BexGetData("DP_1","003N8EMH8GTFRCSWKMPXRRL3Y","GSON1112151150")</f>
        <v>#NAME?</v>
      </c>
      <c r="F1567" s="3" t="e">
        <f ca="1">[1]!BexGetData("DP_1","003N8EMH8GTFRCSWKMPXRRRFI","GSON1112151150")</f>
        <v>#NAME?</v>
      </c>
      <c r="G1567" s="3" t="e">
        <f ca="1">[1]!BexGetData("DP_1","003N8EMH8GTFRCSWKMPXRRXR2","GSON1112151150")</f>
        <v>#NAME?</v>
      </c>
      <c r="H1567" s="8" t="e">
        <f ca="1">[1]!BexGetData("DP_1","003N8EMH8GTFRCSWKMPXRS42M","GSON1112151150")</f>
        <v>#NAME?</v>
      </c>
      <c r="I1567" s="3" t="e">
        <f ca="1">[1]!BexGetData("DP_1","003N8EMH8GTFRCSWKMPXRSAE6","GSON1112151150")</f>
        <v>#NAME?</v>
      </c>
      <c r="J1567" s="4" t="e">
        <f ca="1">[1]!BexGetData("DP_1","003N8EMH8GTFRCSWKMPXRSGPQ","GSON1112151150")</f>
        <v>#NAME?</v>
      </c>
      <c r="K1567" s="3" t="e">
        <f ca="1">[1]!BexGetData("DP_1","003N8EMH8GTFRIVNUPY288VJH","GSON1112151150")</f>
        <v>#NAME?</v>
      </c>
      <c r="L1567" s="3" t="e">
        <f ca="1">[1]!BexGetData("DP_1","003N8EMH8GTFRIVNUPY2891V1","GSON1112151150")</f>
        <v>#NAME?</v>
      </c>
      <c r="M1567" s="3" t="e">
        <f ca="1">[1]!BexGetData("DP_1","003N8EMH8GTFRIVOG7KG9IQXA","GSON1112151150")</f>
        <v>#NAME?</v>
      </c>
      <c r="N1567" s="8" t="e">
        <f ca="1">[1]!BexGetData("DP_1","003N8EMH8GTFRIVOG7KG9IX8U","GSON1112151150")</f>
        <v>#NAME?</v>
      </c>
      <c r="O1567" s="3" t="e">
        <f ca="1">[1]!BexGetData("DP_1","003N8EMH8GTFRIVOG7KG9J3KE","GSON1112151150")</f>
        <v>#NAME?</v>
      </c>
      <c r="P1567" s="8" t="e">
        <f ca="1">[1]!BexGetData("DP_1","003N8EMH8GTFRIVOG7KG9J9VY","GSON1112151150")</f>
        <v>#NAME?</v>
      </c>
      <c r="Q1567" s="4" t="e">
        <f ca="1">[1]!BexGetData("DP_1","00O2TNJGODT0G5Z4TTKYMM5MT","GSON1112151150")</f>
        <v>#NAME?</v>
      </c>
      <c r="R1567" s="3" t="e">
        <f ca="1">[1]!BexGetData("DP_1","00O2TNJGODT0G5Z4TTKYMMBYD","GSON1112151150")</f>
        <v>#NAME?</v>
      </c>
      <c r="S1567" s="3" t="e">
        <f ca="1">[1]!BexGetData("DP_1","00O2TNJGODT0G5Z4TTKYMMI9X","GSON1112151150")</f>
        <v>#NAME?</v>
      </c>
      <c r="T1567" s="8" t="e">
        <f ca="1">[1]!BexGetData("DP_1","00O2TNJGODT0G5Z4TTKYMMOLH","GSON1112151150")</f>
        <v>#NAME?</v>
      </c>
      <c r="U1567" s="3" t="e">
        <f ca="1">[1]!BexGetData("DP_1","00O2TNJGODT0G5Z4TTKYMMUX1","GSON1112151150")</f>
        <v>#NAME?</v>
      </c>
      <c r="V1567" s="8" t="e">
        <f ca="1">[1]!BexGetData("DP_1","00O2TNJGODT0G5Z4TTKYMN18L","GSON1112151150")</f>
        <v>#NAME?</v>
      </c>
      <c r="W1567" s="3" t="e">
        <f ca="1">[1]!BexGetData("DP_1","00O2TNJGODT0G5Z4TTKYMN7K5","GSON1112151150")</f>
        <v>#NAME?</v>
      </c>
    </row>
    <row r="1568" spans="1:23" x14ac:dyDescent="0.2">
      <c r="A1568" s="16" t="s">
        <v>4075</v>
      </c>
      <c r="B1568" s="7" t="s">
        <v>4076</v>
      </c>
      <c r="C1568" s="3" t="e">
        <f ca="1">[1]!BexGetData("DP_1","003N8EMH8GTFRCSWKMPXRR8GU","GSON1112151152")</f>
        <v>#NAME?</v>
      </c>
      <c r="D1568" s="3" t="e">
        <f ca="1">[1]!BexGetData("DP_1","003N8EMH8GTFRCSWKMPXRRESE","GSON1112151152")</f>
        <v>#NAME?</v>
      </c>
      <c r="E1568" s="8" t="e">
        <f ca="1">[1]!BexGetData("DP_1","003N8EMH8GTFRCSWKMPXRRL3Y","GSON1112151152")</f>
        <v>#NAME?</v>
      </c>
      <c r="F1568" s="3" t="e">
        <f ca="1">[1]!BexGetData("DP_1","003N8EMH8GTFRCSWKMPXRRRFI","GSON1112151152")</f>
        <v>#NAME?</v>
      </c>
      <c r="G1568" s="8" t="e">
        <f ca="1">[1]!BexGetData("DP_1","003N8EMH8GTFRCSWKMPXRRXR2","GSON1112151152")</f>
        <v>#NAME?</v>
      </c>
      <c r="H1568" s="3" t="e">
        <f ca="1">[1]!BexGetData("DP_1","003N8EMH8GTFRCSWKMPXRS42M","GSON1112151152")</f>
        <v>#NAME?</v>
      </c>
      <c r="I1568" s="3" t="e">
        <f ca="1">[1]!BexGetData("DP_1","003N8EMH8GTFRCSWKMPXRSAE6","GSON1112151152")</f>
        <v>#NAME?</v>
      </c>
      <c r="J1568" s="4" t="e">
        <f ca="1">[1]!BexGetData("DP_1","003N8EMH8GTFRCSWKMPXRSGPQ","GSON1112151152")</f>
        <v>#NAME?</v>
      </c>
      <c r="K1568" s="3" t="e">
        <f ca="1">[1]!BexGetData("DP_1","003N8EMH8GTFRIVNUPY288VJH","GSON1112151152")</f>
        <v>#NAME?</v>
      </c>
      <c r="L1568" s="3" t="e">
        <f ca="1">[1]!BexGetData("DP_1","003N8EMH8GTFRIVNUPY2891V1","GSON1112151152")</f>
        <v>#NAME?</v>
      </c>
      <c r="M1568" s="8" t="e">
        <f ca="1">[1]!BexGetData("DP_1","003N8EMH8GTFRIVOG7KG9IQXA","GSON1112151152")</f>
        <v>#NAME?</v>
      </c>
      <c r="N1568" s="3" t="e">
        <f ca="1">[1]!BexGetData("DP_1","003N8EMH8GTFRIVOG7KG9IX8U","GSON1112151152")</f>
        <v>#NAME?</v>
      </c>
      <c r="O1568" s="8" t="e">
        <f ca="1">[1]!BexGetData("DP_1","003N8EMH8GTFRIVOG7KG9J3KE","GSON1112151152")</f>
        <v>#NAME?</v>
      </c>
      <c r="P1568" s="3" t="e">
        <f ca="1">[1]!BexGetData("DP_1","003N8EMH8GTFRIVOG7KG9J9VY","GSON1112151152")</f>
        <v>#NAME?</v>
      </c>
      <c r="Q1568" s="4" t="e">
        <f ca="1">[1]!BexGetData("DP_1","00O2TNJGODT0G5Z4TTKYMM5MT","GSON1112151152")</f>
        <v>#NAME?</v>
      </c>
      <c r="R1568" s="3" t="e">
        <f ca="1">[1]!BexGetData("DP_1","00O2TNJGODT0G5Z4TTKYMMBYD","GSON1112151152")</f>
        <v>#NAME?</v>
      </c>
      <c r="S1568" s="3" t="e">
        <f ca="1">[1]!BexGetData("DP_1","00O2TNJGODT0G5Z4TTKYMMI9X","GSON1112151152")</f>
        <v>#NAME?</v>
      </c>
      <c r="T1568" s="3" t="e">
        <f ca="1">[1]!BexGetData("DP_1","00O2TNJGODT0G5Z4TTKYMMOLH","GSON1112151152")</f>
        <v>#NAME?</v>
      </c>
      <c r="U1568" s="8" t="e">
        <f ca="1">[1]!BexGetData("DP_1","00O2TNJGODT0G5Z4TTKYMMUX1","GSON1112151152")</f>
        <v>#NAME?</v>
      </c>
      <c r="V1568" s="3" t="e">
        <f ca="1">[1]!BexGetData("DP_1","00O2TNJGODT0G5Z4TTKYMN18L","GSON1112151152")</f>
        <v>#NAME?</v>
      </c>
      <c r="W1568" s="8" t="e">
        <f ca="1">[1]!BexGetData("DP_1","00O2TNJGODT0G5Z4TTKYMN7K5","GSON1112151152")</f>
        <v>#NAME?</v>
      </c>
    </row>
    <row r="1569" spans="1:23" x14ac:dyDescent="0.2">
      <c r="A1569" s="16" t="s">
        <v>4077</v>
      </c>
      <c r="B1569" s="7" t="s">
        <v>4078</v>
      </c>
      <c r="C1569" s="3" t="e">
        <f ca="1">[1]!BexGetData("DP_1","003N8EMH8GTFRCSWKMPXRR8GU","GSON1112151154")</f>
        <v>#NAME?</v>
      </c>
      <c r="D1569" s="3" t="e">
        <f ca="1">[1]!BexGetData("DP_1","003N8EMH8GTFRCSWKMPXRRESE","GSON1112151154")</f>
        <v>#NAME?</v>
      </c>
      <c r="E1569" s="8" t="e">
        <f ca="1">[1]!BexGetData("DP_1","003N8EMH8GTFRCSWKMPXRRL3Y","GSON1112151154")</f>
        <v>#NAME?</v>
      </c>
      <c r="F1569" s="4" t="e">
        <f ca="1">[1]!BexGetData("DP_1","003N8EMH8GTFRCSWKMPXRRRFI","GSON1112151154")</f>
        <v>#NAME?</v>
      </c>
      <c r="G1569" s="4" t="e">
        <f ca="1">[1]!BexGetData("DP_1","003N8EMH8GTFRCSWKMPXRRXR2","GSON1112151154")</f>
        <v>#NAME?</v>
      </c>
      <c r="H1569" s="4" t="e">
        <f ca="1">[1]!BexGetData("DP_1","003N8EMH8GTFRCSWKMPXRS42M","GSON1112151154")</f>
        <v>#NAME?</v>
      </c>
      <c r="I1569" s="4" t="e">
        <f ca="1">[1]!BexGetData("DP_1","003N8EMH8GTFRCSWKMPXRSAE6","GSON1112151154")</f>
        <v>#NAME?</v>
      </c>
      <c r="J1569" s="4" t="e">
        <f ca="1">[1]!BexGetData("DP_1","003N8EMH8GTFRCSWKMPXRSGPQ","GSON1112151154")</f>
        <v>#NAME?</v>
      </c>
      <c r="K1569" s="8" t="e">
        <f ca="1">[1]!BexGetData("DP_1","003N8EMH8GTFRIVNUPY288VJH","GSON1112151154")</f>
        <v>#NAME?</v>
      </c>
      <c r="L1569" s="8" t="e">
        <f ca="1">[1]!BexGetData("DP_1","003N8EMH8GTFRIVNUPY2891V1","GSON1112151154")</f>
        <v>#NAME?</v>
      </c>
      <c r="M1569" s="8" t="e">
        <f ca="1">[1]!BexGetData("DP_1","003N8EMH8GTFRIVOG7KG9IQXA","GSON1112151154")</f>
        <v>#NAME?</v>
      </c>
      <c r="N1569" s="8" t="e">
        <f ca="1">[1]!BexGetData("DP_1","003N8EMH8GTFRIVOG7KG9IX8U","GSON1112151154")</f>
        <v>#NAME?</v>
      </c>
      <c r="O1569" s="8" t="e">
        <f ca="1">[1]!BexGetData("DP_1","003N8EMH8GTFRIVOG7KG9J3KE","GSON1112151154")</f>
        <v>#NAME?</v>
      </c>
      <c r="P1569" s="8" t="e">
        <f ca="1">[1]!BexGetData("DP_1","003N8EMH8GTFRIVOG7KG9J9VY","GSON1112151154")</f>
        <v>#NAME?</v>
      </c>
      <c r="Q1569" s="4" t="e">
        <f ca="1">[1]!BexGetData("DP_1","00O2TNJGODT0G5Z4TTKYMM5MT","GSON1112151154")</f>
        <v>#NAME?</v>
      </c>
      <c r="R1569" s="4" t="e">
        <f ca="1">[1]!BexGetData("DP_1","00O2TNJGODT0G5Z4TTKYMMBYD","GSON1112151154")</f>
        <v>#NAME?</v>
      </c>
      <c r="S1569" s="4" t="e">
        <f ca="1">[1]!BexGetData("DP_1","00O2TNJGODT0G5Z4TTKYMMI9X","GSON1112151154")</f>
        <v>#NAME?</v>
      </c>
      <c r="T1569" s="4" t="e">
        <f ca="1">[1]!BexGetData("DP_1","00O2TNJGODT0G5Z4TTKYMMOLH","GSON1112151154")</f>
        <v>#NAME?</v>
      </c>
      <c r="U1569" s="4" t="e">
        <f ca="1">[1]!BexGetData("DP_1","00O2TNJGODT0G5Z4TTKYMMUX1","GSON1112151154")</f>
        <v>#NAME?</v>
      </c>
      <c r="V1569" s="4" t="e">
        <f ca="1">[1]!BexGetData("DP_1","00O2TNJGODT0G5Z4TTKYMN18L","GSON1112151154")</f>
        <v>#NAME?</v>
      </c>
      <c r="W1569" s="4" t="e">
        <f ca="1">[1]!BexGetData("DP_1","00O2TNJGODT0G5Z4TTKYMN7K5","GSON1112151154")</f>
        <v>#NAME?</v>
      </c>
    </row>
    <row r="1570" spans="1:23" x14ac:dyDescent="0.2">
      <c r="A1570" s="16" t="s">
        <v>4079</v>
      </c>
      <c r="B1570" s="7" t="s">
        <v>4080</v>
      </c>
      <c r="C1570" s="3" t="e">
        <f ca="1">[1]!BexGetData("DP_1","003N8EMH8GTFRCSWKMPXRR8GU","GSON1112151160")</f>
        <v>#NAME?</v>
      </c>
      <c r="D1570" s="3" t="e">
        <f ca="1">[1]!BexGetData("DP_1","003N8EMH8GTFRCSWKMPXRRESE","GSON1112151160")</f>
        <v>#NAME?</v>
      </c>
      <c r="E1570" s="8" t="e">
        <f ca="1">[1]!BexGetData("DP_1","003N8EMH8GTFRCSWKMPXRRL3Y","GSON1112151160")</f>
        <v>#NAME?</v>
      </c>
      <c r="F1570" s="3" t="e">
        <f ca="1">[1]!BexGetData("DP_1","003N8EMH8GTFRCSWKMPXRRRFI","GSON1112151160")</f>
        <v>#NAME?</v>
      </c>
      <c r="G1570" s="3" t="e">
        <f ca="1">[1]!BexGetData("DP_1","003N8EMH8GTFRCSWKMPXRRXR2","GSON1112151160")</f>
        <v>#NAME?</v>
      </c>
      <c r="H1570" s="8" t="e">
        <f ca="1">[1]!BexGetData("DP_1","003N8EMH8GTFRCSWKMPXRS42M","GSON1112151160")</f>
        <v>#NAME?</v>
      </c>
      <c r="I1570" s="3" t="e">
        <f ca="1">[1]!BexGetData("DP_1","003N8EMH8GTFRCSWKMPXRSAE6","GSON1112151160")</f>
        <v>#NAME?</v>
      </c>
      <c r="J1570" s="4" t="e">
        <f ca="1">[1]!BexGetData("DP_1","003N8EMH8GTFRCSWKMPXRSGPQ","GSON1112151160")</f>
        <v>#NAME?</v>
      </c>
      <c r="K1570" s="3" t="e">
        <f ca="1">[1]!BexGetData("DP_1","003N8EMH8GTFRIVNUPY288VJH","GSON1112151160")</f>
        <v>#NAME?</v>
      </c>
      <c r="L1570" s="3" t="e">
        <f ca="1">[1]!BexGetData("DP_1","003N8EMH8GTFRIVNUPY2891V1","GSON1112151160")</f>
        <v>#NAME?</v>
      </c>
      <c r="M1570" s="3" t="e">
        <f ca="1">[1]!BexGetData("DP_1","003N8EMH8GTFRIVOG7KG9IQXA","GSON1112151160")</f>
        <v>#NAME?</v>
      </c>
      <c r="N1570" s="8" t="e">
        <f ca="1">[1]!BexGetData("DP_1","003N8EMH8GTFRIVOG7KG9IX8U","GSON1112151160")</f>
        <v>#NAME?</v>
      </c>
      <c r="O1570" s="3" t="e">
        <f ca="1">[1]!BexGetData("DP_1","003N8EMH8GTFRIVOG7KG9J3KE","GSON1112151160")</f>
        <v>#NAME?</v>
      </c>
      <c r="P1570" s="8" t="e">
        <f ca="1">[1]!BexGetData("DP_1","003N8EMH8GTFRIVOG7KG9J9VY","GSON1112151160")</f>
        <v>#NAME?</v>
      </c>
      <c r="Q1570" s="4" t="e">
        <f ca="1">[1]!BexGetData("DP_1","00O2TNJGODT0G5Z4TTKYMM5MT","GSON1112151160")</f>
        <v>#NAME?</v>
      </c>
      <c r="R1570" s="3" t="e">
        <f ca="1">[1]!BexGetData("DP_1","00O2TNJGODT0G5Z4TTKYMMBYD","GSON1112151160")</f>
        <v>#NAME?</v>
      </c>
      <c r="S1570" s="3" t="e">
        <f ca="1">[1]!BexGetData("DP_1","00O2TNJGODT0G5Z4TTKYMMI9X","GSON1112151160")</f>
        <v>#NAME?</v>
      </c>
      <c r="T1570" s="8" t="e">
        <f ca="1">[1]!BexGetData("DP_1","00O2TNJGODT0G5Z4TTKYMMOLH","GSON1112151160")</f>
        <v>#NAME?</v>
      </c>
      <c r="U1570" s="3" t="e">
        <f ca="1">[1]!BexGetData("DP_1","00O2TNJGODT0G5Z4TTKYMMUX1","GSON1112151160")</f>
        <v>#NAME?</v>
      </c>
      <c r="V1570" s="8" t="e">
        <f ca="1">[1]!BexGetData("DP_1","00O2TNJGODT0G5Z4TTKYMN18L","GSON1112151160")</f>
        <v>#NAME?</v>
      </c>
      <c r="W1570" s="3" t="e">
        <f ca="1">[1]!BexGetData("DP_1","00O2TNJGODT0G5Z4TTKYMN7K5","GSON1112151160")</f>
        <v>#NAME?</v>
      </c>
    </row>
    <row r="1571" spans="1:23" x14ac:dyDescent="0.2">
      <c r="A1571" s="16" t="s">
        <v>4081</v>
      </c>
      <c r="B1571" s="7" t="s">
        <v>4082</v>
      </c>
      <c r="C1571" s="3" t="e">
        <f ca="1">[1]!BexGetData("DP_1","003N8EMH8GTFRCSWKMPXRR8GU","GSON1112151162")</f>
        <v>#NAME?</v>
      </c>
      <c r="D1571" s="3" t="e">
        <f ca="1">[1]!BexGetData("DP_1","003N8EMH8GTFRCSWKMPXRRESE","GSON1112151162")</f>
        <v>#NAME?</v>
      </c>
      <c r="E1571" s="8" t="e">
        <f ca="1">[1]!BexGetData("DP_1","003N8EMH8GTFRCSWKMPXRRL3Y","GSON1112151162")</f>
        <v>#NAME?</v>
      </c>
      <c r="F1571" s="3" t="e">
        <f ca="1">[1]!BexGetData("DP_1","003N8EMH8GTFRCSWKMPXRRRFI","GSON1112151162")</f>
        <v>#NAME?</v>
      </c>
      <c r="G1571" s="8" t="e">
        <f ca="1">[1]!BexGetData("DP_1","003N8EMH8GTFRCSWKMPXRRXR2","GSON1112151162")</f>
        <v>#NAME?</v>
      </c>
      <c r="H1571" s="3" t="e">
        <f ca="1">[1]!BexGetData("DP_1","003N8EMH8GTFRCSWKMPXRS42M","GSON1112151162")</f>
        <v>#NAME?</v>
      </c>
      <c r="I1571" s="3" t="e">
        <f ca="1">[1]!BexGetData("DP_1","003N8EMH8GTFRCSWKMPXRSAE6","GSON1112151162")</f>
        <v>#NAME?</v>
      </c>
      <c r="J1571" s="4" t="e">
        <f ca="1">[1]!BexGetData("DP_1","003N8EMH8GTFRCSWKMPXRSGPQ","GSON1112151162")</f>
        <v>#NAME?</v>
      </c>
      <c r="K1571" s="3" t="e">
        <f ca="1">[1]!BexGetData("DP_1","003N8EMH8GTFRIVNUPY288VJH","GSON1112151162")</f>
        <v>#NAME?</v>
      </c>
      <c r="L1571" s="3" t="e">
        <f ca="1">[1]!BexGetData("DP_1","003N8EMH8GTFRIVNUPY2891V1","GSON1112151162")</f>
        <v>#NAME?</v>
      </c>
      <c r="M1571" s="8" t="e">
        <f ca="1">[1]!BexGetData("DP_1","003N8EMH8GTFRIVOG7KG9IQXA","GSON1112151162")</f>
        <v>#NAME?</v>
      </c>
      <c r="N1571" s="3" t="e">
        <f ca="1">[1]!BexGetData("DP_1","003N8EMH8GTFRIVOG7KG9IX8U","GSON1112151162")</f>
        <v>#NAME?</v>
      </c>
      <c r="O1571" s="8" t="e">
        <f ca="1">[1]!BexGetData("DP_1","003N8EMH8GTFRIVOG7KG9J3KE","GSON1112151162")</f>
        <v>#NAME?</v>
      </c>
      <c r="P1571" s="3" t="e">
        <f ca="1">[1]!BexGetData("DP_1","003N8EMH8GTFRIVOG7KG9J9VY","GSON1112151162")</f>
        <v>#NAME?</v>
      </c>
      <c r="Q1571" s="4" t="e">
        <f ca="1">[1]!BexGetData("DP_1","00O2TNJGODT0G5Z4TTKYMM5MT","GSON1112151162")</f>
        <v>#NAME?</v>
      </c>
      <c r="R1571" s="3" t="e">
        <f ca="1">[1]!BexGetData("DP_1","00O2TNJGODT0G5Z4TTKYMMBYD","GSON1112151162")</f>
        <v>#NAME?</v>
      </c>
      <c r="S1571" s="3" t="e">
        <f ca="1">[1]!BexGetData("DP_1","00O2TNJGODT0G5Z4TTKYMMI9X","GSON1112151162")</f>
        <v>#NAME?</v>
      </c>
      <c r="T1571" s="3" t="e">
        <f ca="1">[1]!BexGetData("DP_1","00O2TNJGODT0G5Z4TTKYMMOLH","GSON1112151162")</f>
        <v>#NAME?</v>
      </c>
      <c r="U1571" s="8" t="e">
        <f ca="1">[1]!BexGetData("DP_1","00O2TNJGODT0G5Z4TTKYMMUX1","GSON1112151162")</f>
        <v>#NAME?</v>
      </c>
      <c r="V1571" s="3" t="e">
        <f ca="1">[1]!BexGetData("DP_1","00O2TNJGODT0G5Z4TTKYMN18L","GSON1112151162")</f>
        <v>#NAME?</v>
      </c>
      <c r="W1571" s="8" t="e">
        <f ca="1">[1]!BexGetData("DP_1","00O2TNJGODT0G5Z4TTKYMN7K5","GSON1112151162")</f>
        <v>#NAME?</v>
      </c>
    </row>
    <row r="1572" spans="1:23" x14ac:dyDescent="0.2">
      <c r="A1572" s="16" t="s">
        <v>4083</v>
      </c>
      <c r="B1572" s="7" t="s">
        <v>4084</v>
      </c>
      <c r="C1572" s="3" t="e">
        <f ca="1">[1]!BexGetData("DP_1","003N8EMH8GTFRCSWKMPXRR8GU","GSON1112151164")</f>
        <v>#NAME?</v>
      </c>
      <c r="D1572" s="3" t="e">
        <f ca="1">[1]!BexGetData("DP_1","003N8EMH8GTFRCSWKMPXRRESE","GSON1112151164")</f>
        <v>#NAME?</v>
      </c>
      <c r="E1572" s="8" t="e">
        <f ca="1">[1]!BexGetData("DP_1","003N8EMH8GTFRCSWKMPXRRL3Y","GSON1112151164")</f>
        <v>#NAME?</v>
      </c>
      <c r="F1572" s="4" t="e">
        <f ca="1">[1]!BexGetData("DP_1","003N8EMH8GTFRCSWKMPXRRRFI","GSON1112151164")</f>
        <v>#NAME?</v>
      </c>
      <c r="G1572" s="4" t="e">
        <f ca="1">[1]!BexGetData("DP_1","003N8EMH8GTFRCSWKMPXRRXR2","GSON1112151164")</f>
        <v>#NAME?</v>
      </c>
      <c r="H1572" s="4" t="e">
        <f ca="1">[1]!BexGetData("DP_1","003N8EMH8GTFRCSWKMPXRS42M","GSON1112151164")</f>
        <v>#NAME?</v>
      </c>
      <c r="I1572" s="4" t="e">
        <f ca="1">[1]!BexGetData("DP_1","003N8EMH8GTFRCSWKMPXRSAE6","GSON1112151164")</f>
        <v>#NAME?</v>
      </c>
      <c r="J1572" s="4" t="e">
        <f ca="1">[1]!BexGetData("DP_1","003N8EMH8GTFRCSWKMPXRSGPQ","GSON1112151164")</f>
        <v>#NAME?</v>
      </c>
      <c r="K1572" s="8" t="e">
        <f ca="1">[1]!BexGetData("DP_1","003N8EMH8GTFRIVNUPY288VJH","GSON1112151164")</f>
        <v>#NAME?</v>
      </c>
      <c r="L1572" s="8" t="e">
        <f ca="1">[1]!BexGetData("DP_1","003N8EMH8GTFRIVNUPY2891V1","GSON1112151164")</f>
        <v>#NAME?</v>
      </c>
      <c r="M1572" s="8" t="e">
        <f ca="1">[1]!BexGetData("DP_1","003N8EMH8GTFRIVOG7KG9IQXA","GSON1112151164")</f>
        <v>#NAME?</v>
      </c>
      <c r="N1572" s="8" t="e">
        <f ca="1">[1]!BexGetData("DP_1","003N8EMH8GTFRIVOG7KG9IX8U","GSON1112151164")</f>
        <v>#NAME?</v>
      </c>
      <c r="O1572" s="8" t="e">
        <f ca="1">[1]!BexGetData("DP_1","003N8EMH8GTFRIVOG7KG9J3KE","GSON1112151164")</f>
        <v>#NAME?</v>
      </c>
      <c r="P1572" s="8" t="e">
        <f ca="1">[1]!BexGetData("DP_1","003N8EMH8GTFRIVOG7KG9J9VY","GSON1112151164")</f>
        <v>#NAME?</v>
      </c>
      <c r="Q1572" s="4" t="e">
        <f ca="1">[1]!BexGetData("DP_1","00O2TNJGODT0G5Z4TTKYMM5MT","GSON1112151164")</f>
        <v>#NAME?</v>
      </c>
      <c r="R1572" s="4" t="e">
        <f ca="1">[1]!BexGetData("DP_1","00O2TNJGODT0G5Z4TTKYMMBYD","GSON1112151164")</f>
        <v>#NAME?</v>
      </c>
      <c r="S1572" s="4" t="e">
        <f ca="1">[1]!BexGetData("DP_1","00O2TNJGODT0G5Z4TTKYMMI9X","GSON1112151164")</f>
        <v>#NAME?</v>
      </c>
      <c r="T1572" s="4" t="e">
        <f ca="1">[1]!BexGetData("DP_1","00O2TNJGODT0G5Z4TTKYMMOLH","GSON1112151164")</f>
        <v>#NAME?</v>
      </c>
      <c r="U1572" s="4" t="e">
        <f ca="1">[1]!BexGetData("DP_1","00O2TNJGODT0G5Z4TTKYMMUX1","GSON1112151164")</f>
        <v>#NAME?</v>
      </c>
      <c r="V1572" s="4" t="e">
        <f ca="1">[1]!BexGetData("DP_1","00O2TNJGODT0G5Z4TTKYMN18L","GSON1112151164")</f>
        <v>#NAME?</v>
      </c>
      <c r="W1572" s="4" t="e">
        <f ca="1">[1]!BexGetData("DP_1","00O2TNJGODT0G5Z4TTKYMN7K5","GSON1112151164")</f>
        <v>#NAME?</v>
      </c>
    </row>
    <row r="1573" spans="1:23" x14ac:dyDescent="0.2">
      <c r="A1573" s="16" t="s">
        <v>4085</v>
      </c>
      <c r="B1573" s="7" t="s">
        <v>4086</v>
      </c>
      <c r="C1573" s="3" t="e">
        <f ca="1">[1]!BexGetData("DP_1","003N8EMH8GTFRCSWKMPXRR8GU","GSON1112151165")</f>
        <v>#NAME?</v>
      </c>
      <c r="D1573" s="3" t="e">
        <f ca="1">[1]!BexGetData("DP_1","003N8EMH8GTFRCSWKMPXRRESE","GSON1112151165")</f>
        <v>#NAME?</v>
      </c>
      <c r="E1573" s="8" t="e">
        <f ca="1">[1]!BexGetData("DP_1","003N8EMH8GTFRCSWKMPXRRL3Y","GSON1112151165")</f>
        <v>#NAME?</v>
      </c>
      <c r="F1573" s="4" t="e">
        <f ca="1">[1]!BexGetData("DP_1","003N8EMH8GTFRCSWKMPXRRRFI","GSON1112151165")</f>
        <v>#NAME?</v>
      </c>
      <c r="G1573" s="4" t="e">
        <f ca="1">[1]!BexGetData("DP_1","003N8EMH8GTFRCSWKMPXRRXR2","GSON1112151165")</f>
        <v>#NAME?</v>
      </c>
      <c r="H1573" s="4" t="e">
        <f ca="1">[1]!BexGetData("DP_1","003N8EMH8GTFRCSWKMPXRS42M","GSON1112151165")</f>
        <v>#NAME?</v>
      </c>
      <c r="I1573" s="4" t="e">
        <f ca="1">[1]!BexGetData("DP_1","003N8EMH8GTFRCSWKMPXRSAE6","GSON1112151165")</f>
        <v>#NAME?</v>
      </c>
      <c r="J1573" s="4" t="e">
        <f ca="1">[1]!BexGetData("DP_1","003N8EMH8GTFRCSWKMPXRSGPQ","GSON1112151165")</f>
        <v>#NAME?</v>
      </c>
      <c r="K1573" s="8" t="e">
        <f ca="1">[1]!BexGetData("DP_1","003N8EMH8GTFRIVNUPY288VJH","GSON1112151165")</f>
        <v>#NAME?</v>
      </c>
      <c r="L1573" s="8" t="e">
        <f ca="1">[1]!BexGetData("DP_1","003N8EMH8GTFRIVNUPY2891V1","GSON1112151165")</f>
        <v>#NAME?</v>
      </c>
      <c r="M1573" s="8" t="e">
        <f ca="1">[1]!BexGetData("DP_1","003N8EMH8GTFRIVOG7KG9IQXA","GSON1112151165")</f>
        <v>#NAME?</v>
      </c>
      <c r="N1573" s="8" t="e">
        <f ca="1">[1]!BexGetData("DP_1","003N8EMH8GTFRIVOG7KG9IX8U","GSON1112151165")</f>
        <v>#NAME?</v>
      </c>
      <c r="O1573" s="8" t="e">
        <f ca="1">[1]!BexGetData("DP_1","003N8EMH8GTFRIVOG7KG9J3KE","GSON1112151165")</f>
        <v>#NAME?</v>
      </c>
      <c r="P1573" s="8" t="e">
        <f ca="1">[1]!BexGetData("DP_1","003N8EMH8GTFRIVOG7KG9J9VY","GSON1112151165")</f>
        <v>#NAME?</v>
      </c>
      <c r="Q1573" s="4" t="e">
        <f ca="1">[1]!BexGetData("DP_1","00O2TNJGODT0G5Z4TTKYMM5MT","GSON1112151165")</f>
        <v>#NAME?</v>
      </c>
      <c r="R1573" s="4" t="e">
        <f ca="1">[1]!BexGetData("DP_1","00O2TNJGODT0G5Z4TTKYMMBYD","GSON1112151165")</f>
        <v>#NAME?</v>
      </c>
      <c r="S1573" s="4" t="e">
        <f ca="1">[1]!BexGetData("DP_1","00O2TNJGODT0G5Z4TTKYMMI9X","GSON1112151165")</f>
        <v>#NAME?</v>
      </c>
      <c r="T1573" s="4" t="e">
        <f ca="1">[1]!BexGetData("DP_1","00O2TNJGODT0G5Z4TTKYMMOLH","GSON1112151165")</f>
        <v>#NAME?</v>
      </c>
      <c r="U1573" s="4" t="e">
        <f ca="1">[1]!BexGetData("DP_1","00O2TNJGODT0G5Z4TTKYMMUX1","GSON1112151165")</f>
        <v>#NAME?</v>
      </c>
      <c r="V1573" s="4" t="e">
        <f ca="1">[1]!BexGetData("DP_1","00O2TNJGODT0G5Z4TTKYMN18L","GSON1112151165")</f>
        <v>#NAME?</v>
      </c>
      <c r="W1573" s="4" t="e">
        <f ca="1">[1]!BexGetData("DP_1","00O2TNJGODT0G5Z4TTKYMN7K5","GSON1112151165")</f>
        <v>#NAME?</v>
      </c>
    </row>
    <row r="1574" spans="1:23" x14ac:dyDescent="0.2">
      <c r="A1574" s="16" t="s">
        <v>4087</v>
      </c>
      <c r="B1574" s="7" t="s">
        <v>4088</v>
      </c>
      <c r="C1574" s="3" t="e">
        <f ca="1">[1]!BexGetData("DP_1","003N8EMH8GTFRCSWKMPXRR8GU","GSON1112151210")</f>
        <v>#NAME?</v>
      </c>
      <c r="D1574" s="3" t="e">
        <f ca="1">[1]!BexGetData("DP_1","003N8EMH8GTFRCSWKMPXRRESE","GSON1112151210")</f>
        <v>#NAME?</v>
      </c>
      <c r="E1574" s="8" t="e">
        <f ca="1">[1]!BexGetData("DP_1","003N8EMH8GTFRCSWKMPXRRL3Y","GSON1112151210")</f>
        <v>#NAME?</v>
      </c>
      <c r="F1574" s="3" t="e">
        <f ca="1">[1]!BexGetData("DP_1","003N8EMH8GTFRCSWKMPXRRRFI","GSON1112151210")</f>
        <v>#NAME?</v>
      </c>
      <c r="G1574" s="3" t="e">
        <f ca="1">[1]!BexGetData("DP_1","003N8EMH8GTFRCSWKMPXRRXR2","GSON1112151210")</f>
        <v>#NAME?</v>
      </c>
      <c r="H1574" s="8" t="e">
        <f ca="1">[1]!BexGetData("DP_1","003N8EMH8GTFRCSWKMPXRS42M","GSON1112151210")</f>
        <v>#NAME?</v>
      </c>
      <c r="I1574" s="3" t="e">
        <f ca="1">[1]!BexGetData("DP_1","003N8EMH8GTFRCSWKMPXRSAE6","GSON1112151210")</f>
        <v>#NAME?</v>
      </c>
      <c r="J1574" s="4" t="e">
        <f ca="1">[1]!BexGetData("DP_1","003N8EMH8GTFRCSWKMPXRSGPQ","GSON1112151210")</f>
        <v>#NAME?</v>
      </c>
      <c r="K1574" s="3" t="e">
        <f ca="1">[1]!BexGetData("DP_1","003N8EMH8GTFRIVNUPY288VJH","GSON1112151210")</f>
        <v>#NAME?</v>
      </c>
      <c r="L1574" s="3" t="e">
        <f ca="1">[1]!BexGetData("DP_1","003N8EMH8GTFRIVNUPY2891V1","GSON1112151210")</f>
        <v>#NAME?</v>
      </c>
      <c r="M1574" s="3" t="e">
        <f ca="1">[1]!BexGetData("DP_1","003N8EMH8GTFRIVOG7KG9IQXA","GSON1112151210")</f>
        <v>#NAME?</v>
      </c>
      <c r="N1574" s="8" t="e">
        <f ca="1">[1]!BexGetData("DP_1","003N8EMH8GTFRIVOG7KG9IX8U","GSON1112151210")</f>
        <v>#NAME?</v>
      </c>
      <c r="O1574" s="3" t="e">
        <f ca="1">[1]!BexGetData("DP_1","003N8EMH8GTFRIVOG7KG9J3KE","GSON1112151210")</f>
        <v>#NAME?</v>
      </c>
      <c r="P1574" s="8" t="e">
        <f ca="1">[1]!BexGetData("DP_1","003N8EMH8GTFRIVOG7KG9J9VY","GSON1112151210")</f>
        <v>#NAME?</v>
      </c>
      <c r="Q1574" s="4" t="e">
        <f ca="1">[1]!BexGetData("DP_1","00O2TNJGODT0G5Z4TTKYMM5MT","GSON1112151210")</f>
        <v>#NAME?</v>
      </c>
      <c r="R1574" s="3" t="e">
        <f ca="1">[1]!BexGetData("DP_1","00O2TNJGODT0G5Z4TTKYMMBYD","GSON1112151210")</f>
        <v>#NAME?</v>
      </c>
      <c r="S1574" s="3" t="e">
        <f ca="1">[1]!BexGetData("DP_1","00O2TNJGODT0G5Z4TTKYMMI9X","GSON1112151210")</f>
        <v>#NAME?</v>
      </c>
      <c r="T1574" s="8" t="e">
        <f ca="1">[1]!BexGetData("DP_1","00O2TNJGODT0G5Z4TTKYMMOLH","GSON1112151210")</f>
        <v>#NAME?</v>
      </c>
      <c r="U1574" s="3" t="e">
        <f ca="1">[1]!BexGetData("DP_1","00O2TNJGODT0G5Z4TTKYMMUX1","GSON1112151210")</f>
        <v>#NAME?</v>
      </c>
      <c r="V1574" s="8" t="e">
        <f ca="1">[1]!BexGetData("DP_1","00O2TNJGODT0G5Z4TTKYMN18L","GSON1112151210")</f>
        <v>#NAME?</v>
      </c>
      <c r="W1574" s="3" t="e">
        <f ca="1">[1]!BexGetData("DP_1","00O2TNJGODT0G5Z4TTKYMN7K5","GSON1112151210")</f>
        <v>#NAME?</v>
      </c>
    </row>
    <row r="1575" spans="1:23" x14ac:dyDescent="0.2">
      <c r="A1575" s="16" t="s">
        <v>4089</v>
      </c>
      <c r="B1575" s="7" t="s">
        <v>4090</v>
      </c>
      <c r="C1575" s="3" t="e">
        <f ca="1">[1]!BexGetData("DP_1","003N8EMH8GTFRCSWKMPXRR8GU","GSON1112151211")</f>
        <v>#NAME?</v>
      </c>
      <c r="D1575" s="3" t="e">
        <f ca="1">[1]!BexGetData("DP_1","003N8EMH8GTFRCSWKMPXRRESE","GSON1112151211")</f>
        <v>#NAME?</v>
      </c>
      <c r="E1575" s="8" t="e">
        <f ca="1">[1]!BexGetData("DP_1","003N8EMH8GTFRCSWKMPXRRL3Y","GSON1112151211")</f>
        <v>#NAME?</v>
      </c>
      <c r="F1575" s="4" t="e">
        <f ca="1">[1]!BexGetData("DP_1","003N8EMH8GTFRCSWKMPXRRRFI","GSON1112151211")</f>
        <v>#NAME?</v>
      </c>
      <c r="G1575" s="4" t="e">
        <f ca="1">[1]!BexGetData("DP_1","003N8EMH8GTFRCSWKMPXRRXR2","GSON1112151211")</f>
        <v>#NAME?</v>
      </c>
      <c r="H1575" s="4" t="e">
        <f ca="1">[1]!BexGetData("DP_1","003N8EMH8GTFRCSWKMPXRS42M","GSON1112151211")</f>
        <v>#NAME?</v>
      </c>
      <c r="I1575" s="4" t="e">
        <f ca="1">[1]!BexGetData("DP_1","003N8EMH8GTFRCSWKMPXRSAE6","GSON1112151211")</f>
        <v>#NAME?</v>
      </c>
      <c r="J1575" s="4" t="e">
        <f ca="1">[1]!BexGetData("DP_1","003N8EMH8GTFRCSWKMPXRSGPQ","GSON1112151211")</f>
        <v>#NAME?</v>
      </c>
      <c r="K1575" s="8" t="e">
        <f ca="1">[1]!BexGetData("DP_1","003N8EMH8GTFRIVNUPY288VJH","GSON1112151211")</f>
        <v>#NAME?</v>
      </c>
      <c r="L1575" s="8" t="e">
        <f ca="1">[1]!BexGetData("DP_1","003N8EMH8GTFRIVNUPY2891V1","GSON1112151211")</f>
        <v>#NAME?</v>
      </c>
      <c r="M1575" s="8" t="e">
        <f ca="1">[1]!BexGetData("DP_1","003N8EMH8GTFRIVOG7KG9IQXA","GSON1112151211")</f>
        <v>#NAME?</v>
      </c>
      <c r="N1575" s="8" t="e">
        <f ca="1">[1]!BexGetData("DP_1","003N8EMH8GTFRIVOG7KG9IX8U","GSON1112151211")</f>
        <v>#NAME?</v>
      </c>
      <c r="O1575" s="8" t="e">
        <f ca="1">[1]!BexGetData("DP_1","003N8EMH8GTFRIVOG7KG9J3KE","GSON1112151211")</f>
        <v>#NAME?</v>
      </c>
      <c r="P1575" s="8" t="e">
        <f ca="1">[1]!BexGetData("DP_1","003N8EMH8GTFRIVOG7KG9J9VY","GSON1112151211")</f>
        <v>#NAME?</v>
      </c>
      <c r="Q1575" s="4" t="e">
        <f ca="1">[1]!BexGetData("DP_1","00O2TNJGODT0G5Z4TTKYMM5MT","GSON1112151211")</f>
        <v>#NAME?</v>
      </c>
      <c r="R1575" s="4" t="e">
        <f ca="1">[1]!BexGetData("DP_1","00O2TNJGODT0G5Z4TTKYMMBYD","GSON1112151211")</f>
        <v>#NAME?</v>
      </c>
      <c r="S1575" s="4" t="e">
        <f ca="1">[1]!BexGetData("DP_1","00O2TNJGODT0G5Z4TTKYMMI9X","GSON1112151211")</f>
        <v>#NAME?</v>
      </c>
      <c r="T1575" s="4" t="e">
        <f ca="1">[1]!BexGetData("DP_1","00O2TNJGODT0G5Z4TTKYMMOLH","GSON1112151211")</f>
        <v>#NAME?</v>
      </c>
      <c r="U1575" s="4" t="e">
        <f ca="1">[1]!BexGetData("DP_1","00O2TNJGODT0G5Z4TTKYMMUX1","GSON1112151211")</f>
        <v>#NAME?</v>
      </c>
      <c r="V1575" s="4" t="e">
        <f ca="1">[1]!BexGetData("DP_1","00O2TNJGODT0G5Z4TTKYMN18L","GSON1112151211")</f>
        <v>#NAME?</v>
      </c>
      <c r="W1575" s="4" t="e">
        <f ca="1">[1]!BexGetData("DP_1","00O2TNJGODT0G5Z4TTKYMN7K5","GSON1112151211")</f>
        <v>#NAME?</v>
      </c>
    </row>
    <row r="1576" spans="1:23" x14ac:dyDescent="0.2">
      <c r="A1576" s="16" t="s">
        <v>4091</v>
      </c>
      <c r="B1576" s="7" t="s">
        <v>4092</v>
      </c>
      <c r="C1576" s="3" t="e">
        <f ca="1">[1]!BexGetData("DP_1","003N8EMH8GTFRCSWKMPXRR8GU","GSON1112151213")</f>
        <v>#NAME?</v>
      </c>
      <c r="D1576" s="3" t="e">
        <f ca="1">[1]!BexGetData("DP_1","003N8EMH8GTFRCSWKMPXRRESE","GSON1112151213")</f>
        <v>#NAME?</v>
      </c>
      <c r="E1576" s="8" t="e">
        <f ca="1">[1]!BexGetData("DP_1","003N8EMH8GTFRCSWKMPXRRL3Y","GSON1112151213")</f>
        <v>#NAME?</v>
      </c>
      <c r="F1576" s="4" t="e">
        <f ca="1">[1]!BexGetData("DP_1","003N8EMH8GTFRCSWKMPXRRRFI","GSON1112151213")</f>
        <v>#NAME?</v>
      </c>
      <c r="G1576" s="4" t="e">
        <f ca="1">[1]!BexGetData("DP_1","003N8EMH8GTFRCSWKMPXRRXR2","GSON1112151213")</f>
        <v>#NAME?</v>
      </c>
      <c r="H1576" s="4" t="e">
        <f ca="1">[1]!BexGetData("DP_1","003N8EMH8GTFRCSWKMPXRS42M","GSON1112151213")</f>
        <v>#NAME?</v>
      </c>
      <c r="I1576" s="4" t="e">
        <f ca="1">[1]!BexGetData("DP_1","003N8EMH8GTFRCSWKMPXRSAE6","GSON1112151213")</f>
        <v>#NAME?</v>
      </c>
      <c r="J1576" s="4" t="e">
        <f ca="1">[1]!BexGetData("DP_1","003N8EMH8GTFRCSWKMPXRSGPQ","GSON1112151213")</f>
        <v>#NAME?</v>
      </c>
      <c r="K1576" s="8" t="e">
        <f ca="1">[1]!BexGetData("DP_1","003N8EMH8GTFRIVNUPY288VJH","GSON1112151213")</f>
        <v>#NAME?</v>
      </c>
      <c r="L1576" s="8" t="e">
        <f ca="1">[1]!BexGetData("DP_1","003N8EMH8GTFRIVNUPY2891V1","GSON1112151213")</f>
        <v>#NAME?</v>
      </c>
      <c r="M1576" s="8" t="e">
        <f ca="1">[1]!BexGetData("DP_1","003N8EMH8GTFRIVOG7KG9IQXA","GSON1112151213")</f>
        <v>#NAME?</v>
      </c>
      <c r="N1576" s="8" t="e">
        <f ca="1">[1]!BexGetData("DP_1","003N8EMH8GTFRIVOG7KG9IX8U","GSON1112151213")</f>
        <v>#NAME?</v>
      </c>
      <c r="O1576" s="8" t="e">
        <f ca="1">[1]!BexGetData("DP_1","003N8EMH8GTFRIVOG7KG9J3KE","GSON1112151213")</f>
        <v>#NAME?</v>
      </c>
      <c r="P1576" s="8" t="e">
        <f ca="1">[1]!BexGetData("DP_1","003N8EMH8GTFRIVOG7KG9J9VY","GSON1112151213")</f>
        <v>#NAME?</v>
      </c>
      <c r="Q1576" s="4" t="e">
        <f ca="1">[1]!BexGetData("DP_1","00O2TNJGODT0G5Z4TTKYMM5MT","GSON1112151213")</f>
        <v>#NAME?</v>
      </c>
      <c r="R1576" s="4" t="e">
        <f ca="1">[1]!BexGetData("DP_1","00O2TNJGODT0G5Z4TTKYMMBYD","GSON1112151213")</f>
        <v>#NAME?</v>
      </c>
      <c r="S1576" s="4" t="e">
        <f ca="1">[1]!BexGetData("DP_1","00O2TNJGODT0G5Z4TTKYMMI9X","GSON1112151213")</f>
        <v>#NAME?</v>
      </c>
      <c r="T1576" s="4" t="e">
        <f ca="1">[1]!BexGetData("DP_1","00O2TNJGODT0G5Z4TTKYMMOLH","GSON1112151213")</f>
        <v>#NAME?</v>
      </c>
      <c r="U1576" s="4" t="e">
        <f ca="1">[1]!BexGetData("DP_1","00O2TNJGODT0G5Z4TTKYMMUX1","GSON1112151213")</f>
        <v>#NAME?</v>
      </c>
      <c r="V1576" s="4" t="e">
        <f ca="1">[1]!BexGetData("DP_1","00O2TNJGODT0G5Z4TTKYMN18L","GSON1112151213")</f>
        <v>#NAME?</v>
      </c>
      <c r="W1576" s="4" t="e">
        <f ca="1">[1]!BexGetData("DP_1","00O2TNJGODT0G5Z4TTKYMN7K5","GSON1112151213")</f>
        <v>#NAME?</v>
      </c>
    </row>
    <row r="1577" spans="1:23" x14ac:dyDescent="0.2">
      <c r="A1577" s="16" t="s">
        <v>4093</v>
      </c>
      <c r="B1577" s="7" t="s">
        <v>4094</v>
      </c>
      <c r="C1577" s="3" t="e">
        <f ca="1">[1]!BexGetData("DP_1","003N8EMH8GTFRCSWKMPXRR8GU","GSON1112151214")</f>
        <v>#NAME?</v>
      </c>
      <c r="D1577" s="3" t="e">
        <f ca="1">[1]!BexGetData("DP_1","003N8EMH8GTFRCSWKMPXRRESE","GSON1112151214")</f>
        <v>#NAME?</v>
      </c>
      <c r="E1577" s="8" t="e">
        <f ca="1">[1]!BexGetData("DP_1","003N8EMH8GTFRCSWKMPXRRL3Y","GSON1112151214")</f>
        <v>#NAME?</v>
      </c>
      <c r="F1577" s="4" t="e">
        <f ca="1">[1]!BexGetData("DP_1","003N8EMH8GTFRCSWKMPXRRRFI","GSON1112151214")</f>
        <v>#NAME?</v>
      </c>
      <c r="G1577" s="4" t="e">
        <f ca="1">[1]!BexGetData("DP_1","003N8EMH8GTFRCSWKMPXRRXR2","GSON1112151214")</f>
        <v>#NAME?</v>
      </c>
      <c r="H1577" s="4" t="e">
        <f ca="1">[1]!BexGetData("DP_1","003N8EMH8GTFRCSWKMPXRS42M","GSON1112151214")</f>
        <v>#NAME?</v>
      </c>
      <c r="I1577" s="4" t="e">
        <f ca="1">[1]!BexGetData("DP_1","003N8EMH8GTFRCSWKMPXRSAE6","GSON1112151214")</f>
        <v>#NAME?</v>
      </c>
      <c r="J1577" s="4" t="e">
        <f ca="1">[1]!BexGetData("DP_1","003N8EMH8GTFRCSWKMPXRSGPQ","GSON1112151214")</f>
        <v>#NAME?</v>
      </c>
      <c r="K1577" s="8" t="e">
        <f ca="1">[1]!BexGetData("DP_1","003N8EMH8GTFRIVNUPY288VJH","GSON1112151214")</f>
        <v>#NAME?</v>
      </c>
      <c r="L1577" s="8" t="e">
        <f ca="1">[1]!BexGetData("DP_1","003N8EMH8GTFRIVNUPY2891V1","GSON1112151214")</f>
        <v>#NAME?</v>
      </c>
      <c r="M1577" s="8" t="e">
        <f ca="1">[1]!BexGetData("DP_1","003N8EMH8GTFRIVOG7KG9IQXA","GSON1112151214")</f>
        <v>#NAME?</v>
      </c>
      <c r="N1577" s="8" t="e">
        <f ca="1">[1]!BexGetData("DP_1","003N8EMH8GTFRIVOG7KG9IX8U","GSON1112151214")</f>
        <v>#NAME?</v>
      </c>
      <c r="O1577" s="8" t="e">
        <f ca="1">[1]!BexGetData("DP_1","003N8EMH8GTFRIVOG7KG9J3KE","GSON1112151214")</f>
        <v>#NAME?</v>
      </c>
      <c r="P1577" s="8" t="e">
        <f ca="1">[1]!BexGetData("DP_1","003N8EMH8GTFRIVOG7KG9J9VY","GSON1112151214")</f>
        <v>#NAME?</v>
      </c>
      <c r="Q1577" s="4" t="e">
        <f ca="1">[1]!BexGetData("DP_1","00O2TNJGODT0G5Z4TTKYMM5MT","GSON1112151214")</f>
        <v>#NAME?</v>
      </c>
      <c r="R1577" s="4" t="e">
        <f ca="1">[1]!BexGetData("DP_1","00O2TNJGODT0G5Z4TTKYMMBYD","GSON1112151214")</f>
        <v>#NAME?</v>
      </c>
      <c r="S1577" s="4" t="e">
        <f ca="1">[1]!BexGetData("DP_1","00O2TNJGODT0G5Z4TTKYMMI9X","GSON1112151214")</f>
        <v>#NAME?</v>
      </c>
      <c r="T1577" s="4" t="e">
        <f ca="1">[1]!BexGetData("DP_1","00O2TNJGODT0G5Z4TTKYMMOLH","GSON1112151214")</f>
        <v>#NAME?</v>
      </c>
      <c r="U1577" s="4" t="e">
        <f ca="1">[1]!BexGetData("DP_1","00O2TNJGODT0G5Z4TTKYMMUX1","GSON1112151214")</f>
        <v>#NAME?</v>
      </c>
      <c r="V1577" s="4" t="e">
        <f ca="1">[1]!BexGetData("DP_1","00O2TNJGODT0G5Z4TTKYMN18L","GSON1112151214")</f>
        <v>#NAME?</v>
      </c>
      <c r="W1577" s="4" t="e">
        <f ca="1">[1]!BexGetData("DP_1","00O2TNJGODT0G5Z4TTKYMN7K5","GSON1112151214")</f>
        <v>#NAME?</v>
      </c>
    </row>
    <row r="1578" spans="1:23" x14ac:dyDescent="0.2">
      <c r="A1578" s="16" t="s">
        <v>4095</v>
      </c>
      <c r="B1578" s="7" t="s">
        <v>4096</v>
      </c>
      <c r="C1578" s="3" t="e">
        <f ca="1">[1]!BexGetData("DP_1","003N8EMH8GTFRCSWKMPXRR8GU","GSON1112151215")</f>
        <v>#NAME?</v>
      </c>
      <c r="D1578" s="3" t="e">
        <f ca="1">[1]!BexGetData("DP_1","003N8EMH8GTFRCSWKMPXRRESE","GSON1112151215")</f>
        <v>#NAME?</v>
      </c>
      <c r="E1578" s="8" t="e">
        <f ca="1">[1]!BexGetData("DP_1","003N8EMH8GTFRCSWKMPXRRL3Y","GSON1112151215")</f>
        <v>#NAME?</v>
      </c>
      <c r="F1578" s="4" t="e">
        <f ca="1">[1]!BexGetData("DP_1","003N8EMH8GTFRCSWKMPXRRRFI","GSON1112151215")</f>
        <v>#NAME?</v>
      </c>
      <c r="G1578" s="4" t="e">
        <f ca="1">[1]!BexGetData("DP_1","003N8EMH8GTFRCSWKMPXRRXR2","GSON1112151215")</f>
        <v>#NAME?</v>
      </c>
      <c r="H1578" s="4" t="e">
        <f ca="1">[1]!BexGetData("DP_1","003N8EMH8GTFRCSWKMPXRS42M","GSON1112151215")</f>
        <v>#NAME?</v>
      </c>
      <c r="I1578" s="4" t="e">
        <f ca="1">[1]!BexGetData("DP_1","003N8EMH8GTFRCSWKMPXRSAE6","GSON1112151215")</f>
        <v>#NAME?</v>
      </c>
      <c r="J1578" s="4" t="e">
        <f ca="1">[1]!BexGetData("DP_1","003N8EMH8GTFRCSWKMPXRSGPQ","GSON1112151215")</f>
        <v>#NAME?</v>
      </c>
      <c r="K1578" s="8" t="e">
        <f ca="1">[1]!BexGetData("DP_1","003N8EMH8GTFRIVNUPY288VJH","GSON1112151215")</f>
        <v>#NAME?</v>
      </c>
      <c r="L1578" s="8" t="e">
        <f ca="1">[1]!BexGetData("DP_1","003N8EMH8GTFRIVNUPY2891V1","GSON1112151215")</f>
        <v>#NAME?</v>
      </c>
      <c r="M1578" s="8" t="e">
        <f ca="1">[1]!BexGetData("DP_1","003N8EMH8GTFRIVOG7KG9IQXA","GSON1112151215")</f>
        <v>#NAME?</v>
      </c>
      <c r="N1578" s="8" t="e">
        <f ca="1">[1]!BexGetData("DP_1","003N8EMH8GTFRIVOG7KG9IX8U","GSON1112151215")</f>
        <v>#NAME?</v>
      </c>
      <c r="O1578" s="8" t="e">
        <f ca="1">[1]!BexGetData("DP_1","003N8EMH8GTFRIVOG7KG9J3KE","GSON1112151215")</f>
        <v>#NAME?</v>
      </c>
      <c r="P1578" s="8" t="e">
        <f ca="1">[1]!BexGetData("DP_1","003N8EMH8GTFRIVOG7KG9J9VY","GSON1112151215")</f>
        <v>#NAME?</v>
      </c>
      <c r="Q1578" s="4" t="e">
        <f ca="1">[1]!BexGetData("DP_1","00O2TNJGODT0G5Z4TTKYMM5MT","GSON1112151215")</f>
        <v>#NAME?</v>
      </c>
      <c r="R1578" s="4" t="e">
        <f ca="1">[1]!BexGetData("DP_1","00O2TNJGODT0G5Z4TTKYMMBYD","GSON1112151215")</f>
        <v>#NAME?</v>
      </c>
      <c r="S1578" s="4" t="e">
        <f ca="1">[1]!BexGetData("DP_1","00O2TNJGODT0G5Z4TTKYMMI9X","GSON1112151215")</f>
        <v>#NAME?</v>
      </c>
      <c r="T1578" s="4" t="e">
        <f ca="1">[1]!BexGetData("DP_1","00O2TNJGODT0G5Z4TTKYMMOLH","GSON1112151215")</f>
        <v>#NAME?</v>
      </c>
      <c r="U1578" s="4" t="e">
        <f ca="1">[1]!BexGetData("DP_1","00O2TNJGODT0G5Z4TTKYMMUX1","GSON1112151215")</f>
        <v>#NAME?</v>
      </c>
      <c r="V1578" s="4" t="e">
        <f ca="1">[1]!BexGetData("DP_1","00O2TNJGODT0G5Z4TTKYMN18L","GSON1112151215")</f>
        <v>#NAME?</v>
      </c>
      <c r="W1578" s="4" t="e">
        <f ca="1">[1]!BexGetData("DP_1","00O2TNJGODT0G5Z4TTKYMN7K5","GSON1112151215")</f>
        <v>#NAME?</v>
      </c>
    </row>
    <row r="1579" spans="1:23" x14ac:dyDescent="0.2">
      <c r="A1579" s="16" t="s">
        <v>4097</v>
      </c>
      <c r="B1579" s="7" t="s">
        <v>4098</v>
      </c>
      <c r="C1579" s="3" t="e">
        <f ca="1">[1]!BexGetData("DP_1","003N8EMH8GTFRCSWKMPXRR8GU","GSON1112151220")</f>
        <v>#NAME?</v>
      </c>
      <c r="D1579" s="3" t="e">
        <f ca="1">[1]!BexGetData("DP_1","003N8EMH8GTFRCSWKMPXRRESE","GSON1112151220")</f>
        <v>#NAME?</v>
      </c>
      <c r="E1579" s="3" t="e">
        <f ca="1">[1]!BexGetData("DP_1","003N8EMH8GTFRCSWKMPXRRL3Y","GSON1112151220")</f>
        <v>#NAME?</v>
      </c>
      <c r="F1579" s="3" t="e">
        <f ca="1">[1]!BexGetData("DP_1","003N8EMH8GTFRCSWKMPXRRRFI","GSON1112151220")</f>
        <v>#NAME?</v>
      </c>
      <c r="G1579" s="3" t="e">
        <f ca="1">[1]!BexGetData("DP_1","003N8EMH8GTFRCSWKMPXRRXR2","GSON1112151220")</f>
        <v>#NAME?</v>
      </c>
      <c r="H1579" s="8" t="e">
        <f ca="1">[1]!BexGetData("DP_1","003N8EMH8GTFRCSWKMPXRS42M","GSON1112151220")</f>
        <v>#NAME?</v>
      </c>
      <c r="I1579" s="3" t="e">
        <f ca="1">[1]!BexGetData("DP_1","003N8EMH8GTFRCSWKMPXRSAE6","GSON1112151220")</f>
        <v>#NAME?</v>
      </c>
      <c r="J1579" s="4" t="e">
        <f ca="1">[1]!BexGetData("DP_1","003N8EMH8GTFRCSWKMPXRSGPQ","GSON1112151220")</f>
        <v>#NAME?</v>
      </c>
      <c r="K1579" s="3" t="e">
        <f ca="1">[1]!BexGetData("DP_1","003N8EMH8GTFRIVNUPY288VJH","GSON1112151220")</f>
        <v>#NAME?</v>
      </c>
      <c r="L1579" s="3" t="e">
        <f ca="1">[1]!BexGetData("DP_1","003N8EMH8GTFRIVNUPY2891V1","GSON1112151220")</f>
        <v>#NAME?</v>
      </c>
      <c r="M1579" s="3" t="e">
        <f ca="1">[1]!BexGetData("DP_1","003N8EMH8GTFRIVOG7KG9IQXA","GSON1112151220")</f>
        <v>#NAME?</v>
      </c>
      <c r="N1579" s="8" t="e">
        <f ca="1">[1]!BexGetData("DP_1","003N8EMH8GTFRIVOG7KG9IX8U","GSON1112151220")</f>
        <v>#NAME?</v>
      </c>
      <c r="O1579" s="3" t="e">
        <f ca="1">[1]!BexGetData("DP_1","003N8EMH8GTFRIVOG7KG9J3KE","GSON1112151220")</f>
        <v>#NAME?</v>
      </c>
      <c r="P1579" s="8" t="e">
        <f ca="1">[1]!BexGetData("DP_1","003N8EMH8GTFRIVOG7KG9J9VY","GSON1112151220")</f>
        <v>#NAME?</v>
      </c>
      <c r="Q1579" s="4" t="e">
        <f ca="1">[1]!BexGetData("DP_1","00O2TNJGODT0G5Z4TTKYMM5MT","GSON1112151220")</f>
        <v>#NAME?</v>
      </c>
      <c r="R1579" s="3" t="e">
        <f ca="1">[1]!BexGetData("DP_1","00O2TNJGODT0G5Z4TTKYMMBYD","GSON1112151220")</f>
        <v>#NAME?</v>
      </c>
      <c r="S1579" s="3" t="e">
        <f ca="1">[1]!BexGetData("DP_1","00O2TNJGODT0G5Z4TTKYMMI9X","GSON1112151220")</f>
        <v>#NAME?</v>
      </c>
      <c r="T1579" s="8" t="e">
        <f ca="1">[1]!BexGetData("DP_1","00O2TNJGODT0G5Z4TTKYMMOLH","GSON1112151220")</f>
        <v>#NAME?</v>
      </c>
      <c r="U1579" s="3" t="e">
        <f ca="1">[1]!BexGetData("DP_1","00O2TNJGODT0G5Z4TTKYMMUX1","GSON1112151220")</f>
        <v>#NAME?</v>
      </c>
      <c r="V1579" s="8" t="e">
        <f ca="1">[1]!BexGetData("DP_1","00O2TNJGODT0G5Z4TTKYMN18L","GSON1112151220")</f>
        <v>#NAME?</v>
      </c>
      <c r="W1579" s="3" t="e">
        <f ca="1">[1]!BexGetData("DP_1","00O2TNJGODT0G5Z4TTKYMN7K5","GSON1112151220")</f>
        <v>#NAME?</v>
      </c>
    </row>
    <row r="1580" spans="1:23" x14ac:dyDescent="0.2">
      <c r="A1580" s="16" t="s">
        <v>4099</v>
      </c>
      <c r="B1580" s="7" t="s">
        <v>4100</v>
      </c>
      <c r="C1580" s="3" t="e">
        <f ca="1">[1]!BexGetData("DP_1","003N8EMH8GTFRCSWKMPXRR8GU","GSON1112151222")</f>
        <v>#NAME?</v>
      </c>
      <c r="D1580" s="3" t="e">
        <f ca="1">[1]!BexGetData("DP_1","003N8EMH8GTFRCSWKMPXRRESE","GSON1112151222")</f>
        <v>#NAME?</v>
      </c>
      <c r="E1580" s="3" t="e">
        <f ca="1">[1]!BexGetData("DP_1","003N8EMH8GTFRCSWKMPXRRL3Y","GSON1112151222")</f>
        <v>#NAME?</v>
      </c>
      <c r="F1580" s="3" t="e">
        <f ca="1">[1]!BexGetData("DP_1","003N8EMH8GTFRCSWKMPXRRRFI","GSON1112151222")</f>
        <v>#NAME?</v>
      </c>
      <c r="G1580" s="8" t="e">
        <f ca="1">[1]!BexGetData("DP_1","003N8EMH8GTFRCSWKMPXRRXR2","GSON1112151222")</f>
        <v>#NAME?</v>
      </c>
      <c r="H1580" s="3" t="e">
        <f ca="1">[1]!BexGetData("DP_1","003N8EMH8GTFRCSWKMPXRS42M","GSON1112151222")</f>
        <v>#NAME?</v>
      </c>
      <c r="I1580" s="3" t="e">
        <f ca="1">[1]!BexGetData("DP_1","003N8EMH8GTFRCSWKMPXRSAE6","GSON1112151222")</f>
        <v>#NAME?</v>
      </c>
      <c r="J1580" s="4" t="e">
        <f ca="1">[1]!BexGetData("DP_1","003N8EMH8GTFRCSWKMPXRSGPQ","GSON1112151222")</f>
        <v>#NAME?</v>
      </c>
      <c r="K1580" s="8" t="e">
        <f ca="1">[1]!BexGetData("DP_1","003N8EMH8GTFRIVNUPY288VJH","GSON1112151222")</f>
        <v>#NAME?</v>
      </c>
      <c r="L1580" s="8" t="e">
        <f ca="1">[1]!BexGetData("DP_1","003N8EMH8GTFRIVNUPY2891V1","GSON1112151222")</f>
        <v>#NAME?</v>
      </c>
      <c r="M1580" s="8" t="e">
        <f ca="1">[1]!BexGetData("DP_1","003N8EMH8GTFRIVOG7KG9IQXA","GSON1112151222")</f>
        <v>#NAME?</v>
      </c>
      <c r="N1580" s="8" t="e">
        <f ca="1">[1]!BexGetData("DP_1","003N8EMH8GTFRIVOG7KG9IX8U","GSON1112151222")</f>
        <v>#NAME?</v>
      </c>
      <c r="O1580" s="8" t="e">
        <f ca="1">[1]!BexGetData("DP_1","003N8EMH8GTFRIVOG7KG9J3KE","GSON1112151222")</f>
        <v>#NAME?</v>
      </c>
      <c r="P1580" s="8" t="e">
        <f ca="1">[1]!BexGetData("DP_1","003N8EMH8GTFRIVOG7KG9J9VY","GSON1112151222")</f>
        <v>#NAME?</v>
      </c>
      <c r="Q1580" s="4" t="e">
        <f ca="1">[1]!BexGetData("DP_1","00O2TNJGODT0G5Z4TTKYMM5MT","GSON1112151222")</f>
        <v>#NAME?</v>
      </c>
      <c r="R1580" s="3" t="e">
        <f ca="1">[1]!BexGetData("DP_1","00O2TNJGODT0G5Z4TTKYMMBYD","GSON1112151222")</f>
        <v>#NAME?</v>
      </c>
      <c r="S1580" s="3" t="e">
        <f ca="1">[1]!BexGetData("DP_1","00O2TNJGODT0G5Z4TTKYMMI9X","GSON1112151222")</f>
        <v>#NAME?</v>
      </c>
      <c r="T1580" s="3" t="e">
        <f ca="1">[1]!BexGetData("DP_1","00O2TNJGODT0G5Z4TTKYMMOLH","GSON1112151222")</f>
        <v>#NAME?</v>
      </c>
      <c r="U1580" s="8" t="e">
        <f ca="1">[1]!BexGetData("DP_1","00O2TNJGODT0G5Z4TTKYMMUX1","GSON1112151222")</f>
        <v>#NAME?</v>
      </c>
      <c r="V1580" s="3" t="e">
        <f ca="1">[1]!BexGetData("DP_1","00O2TNJGODT0G5Z4TTKYMN18L","GSON1112151222")</f>
        <v>#NAME?</v>
      </c>
      <c r="W1580" s="8" t="e">
        <f ca="1">[1]!BexGetData("DP_1","00O2TNJGODT0G5Z4TTKYMN7K5","GSON1112151222")</f>
        <v>#NAME?</v>
      </c>
    </row>
    <row r="1581" spans="1:23" x14ac:dyDescent="0.2">
      <c r="A1581" s="16" t="s">
        <v>4101</v>
      </c>
      <c r="B1581" s="7" t="s">
        <v>4102</v>
      </c>
      <c r="C1581" s="3" t="e">
        <f ca="1">[1]!BexGetData("DP_1","003N8EMH8GTFRCSWKMPXRR8GU","GSON1112151223")</f>
        <v>#NAME?</v>
      </c>
      <c r="D1581" s="3" t="e">
        <f ca="1">[1]!BexGetData("DP_1","003N8EMH8GTFRCSWKMPXRRESE","GSON1112151223")</f>
        <v>#NAME?</v>
      </c>
      <c r="E1581" s="8" t="e">
        <f ca="1">[1]!BexGetData("DP_1","003N8EMH8GTFRCSWKMPXRRL3Y","GSON1112151223")</f>
        <v>#NAME?</v>
      </c>
      <c r="F1581" s="4" t="e">
        <f ca="1">[1]!BexGetData("DP_1","003N8EMH8GTFRCSWKMPXRRRFI","GSON1112151223")</f>
        <v>#NAME?</v>
      </c>
      <c r="G1581" s="4" t="e">
        <f ca="1">[1]!BexGetData("DP_1","003N8EMH8GTFRCSWKMPXRRXR2","GSON1112151223")</f>
        <v>#NAME?</v>
      </c>
      <c r="H1581" s="4" t="e">
        <f ca="1">[1]!BexGetData("DP_1","003N8EMH8GTFRCSWKMPXRS42M","GSON1112151223")</f>
        <v>#NAME?</v>
      </c>
      <c r="I1581" s="4" t="e">
        <f ca="1">[1]!BexGetData("DP_1","003N8EMH8GTFRCSWKMPXRSAE6","GSON1112151223")</f>
        <v>#NAME?</v>
      </c>
      <c r="J1581" s="4" t="e">
        <f ca="1">[1]!BexGetData("DP_1","003N8EMH8GTFRCSWKMPXRSGPQ","GSON1112151223")</f>
        <v>#NAME?</v>
      </c>
      <c r="K1581" s="8" t="e">
        <f ca="1">[1]!BexGetData("DP_1","003N8EMH8GTFRIVNUPY288VJH","GSON1112151223")</f>
        <v>#NAME?</v>
      </c>
      <c r="L1581" s="8" t="e">
        <f ca="1">[1]!BexGetData("DP_1","003N8EMH8GTFRIVNUPY2891V1","GSON1112151223")</f>
        <v>#NAME?</v>
      </c>
      <c r="M1581" s="8" t="e">
        <f ca="1">[1]!BexGetData("DP_1","003N8EMH8GTFRIVOG7KG9IQXA","GSON1112151223")</f>
        <v>#NAME?</v>
      </c>
      <c r="N1581" s="8" t="e">
        <f ca="1">[1]!BexGetData("DP_1","003N8EMH8GTFRIVOG7KG9IX8U","GSON1112151223")</f>
        <v>#NAME?</v>
      </c>
      <c r="O1581" s="8" t="e">
        <f ca="1">[1]!BexGetData("DP_1","003N8EMH8GTFRIVOG7KG9J3KE","GSON1112151223")</f>
        <v>#NAME?</v>
      </c>
      <c r="P1581" s="8" t="e">
        <f ca="1">[1]!BexGetData("DP_1","003N8EMH8GTFRIVOG7KG9J9VY","GSON1112151223")</f>
        <v>#NAME?</v>
      </c>
      <c r="Q1581" s="4" t="e">
        <f ca="1">[1]!BexGetData("DP_1","00O2TNJGODT0G5Z4TTKYMM5MT","GSON1112151223")</f>
        <v>#NAME?</v>
      </c>
      <c r="R1581" s="4" t="e">
        <f ca="1">[1]!BexGetData("DP_1","00O2TNJGODT0G5Z4TTKYMMBYD","GSON1112151223")</f>
        <v>#NAME?</v>
      </c>
      <c r="S1581" s="4" t="e">
        <f ca="1">[1]!BexGetData("DP_1","00O2TNJGODT0G5Z4TTKYMMI9X","GSON1112151223")</f>
        <v>#NAME?</v>
      </c>
      <c r="T1581" s="4" t="e">
        <f ca="1">[1]!BexGetData("DP_1","00O2TNJGODT0G5Z4TTKYMMOLH","GSON1112151223")</f>
        <v>#NAME?</v>
      </c>
      <c r="U1581" s="4" t="e">
        <f ca="1">[1]!BexGetData("DP_1","00O2TNJGODT0G5Z4TTKYMMUX1","GSON1112151223")</f>
        <v>#NAME?</v>
      </c>
      <c r="V1581" s="4" t="e">
        <f ca="1">[1]!BexGetData("DP_1","00O2TNJGODT0G5Z4TTKYMN18L","GSON1112151223")</f>
        <v>#NAME?</v>
      </c>
      <c r="W1581" s="4" t="e">
        <f ca="1">[1]!BexGetData("DP_1","00O2TNJGODT0G5Z4TTKYMN7K5","GSON1112151223")</f>
        <v>#NAME?</v>
      </c>
    </row>
    <row r="1582" spans="1:23" x14ac:dyDescent="0.2">
      <c r="A1582" s="16" t="s">
        <v>4103</v>
      </c>
      <c r="B1582" s="7" t="s">
        <v>4104</v>
      </c>
      <c r="C1582" s="3" t="e">
        <f ca="1">[1]!BexGetData("DP_1","003N8EMH8GTFRCSWKMPXRR8GU","GSON1112151224")</f>
        <v>#NAME?</v>
      </c>
      <c r="D1582" s="3" t="e">
        <f ca="1">[1]!BexGetData("DP_1","003N8EMH8GTFRCSWKMPXRRESE","GSON1112151224")</f>
        <v>#NAME?</v>
      </c>
      <c r="E1582" s="8" t="e">
        <f ca="1">[1]!BexGetData("DP_1","003N8EMH8GTFRCSWKMPXRRL3Y","GSON1112151224")</f>
        <v>#NAME?</v>
      </c>
      <c r="F1582" s="4" t="e">
        <f ca="1">[1]!BexGetData("DP_1","003N8EMH8GTFRCSWKMPXRRRFI","GSON1112151224")</f>
        <v>#NAME?</v>
      </c>
      <c r="G1582" s="4" t="e">
        <f ca="1">[1]!BexGetData("DP_1","003N8EMH8GTFRCSWKMPXRRXR2","GSON1112151224")</f>
        <v>#NAME?</v>
      </c>
      <c r="H1582" s="4" t="e">
        <f ca="1">[1]!BexGetData("DP_1","003N8EMH8GTFRCSWKMPXRS42M","GSON1112151224")</f>
        <v>#NAME?</v>
      </c>
      <c r="I1582" s="4" t="e">
        <f ca="1">[1]!BexGetData("DP_1","003N8EMH8GTFRCSWKMPXRSAE6","GSON1112151224")</f>
        <v>#NAME?</v>
      </c>
      <c r="J1582" s="4" t="e">
        <f ca="1">[1]!BexGetData("DP_1","003N8EMH8GTFRCSWKMPXRSGPQ","GSON1112151224")</f>
        <v>#NAME?</v>
      </c>
      <c r="K1582" s="8" t="e">
        <f ca="1">[1]!BexGetData("DP_1","003N8EMH8GTFRIVNUPY288VJH","GSON1112151224")</f>
        <v>#NAME?</v>
      </c>
      <c r="L1582" s="8" t="e">
        <f ca="1">[1]!BexGetData("DP_1","003N8EMH8GTFRIVNUPY2891V1","GSON1112151224")</f>
        <v>#NAME?</v>
      </c>
      <c r="M1582" s="8" t="e">
        <f ca="1">[1]!BexGetData("DP_1","003N8EMH8GTFRIVOG7KG9IQXA","GSON1112151224")</f>
        <v>#NAME?</v>
      </c>
      <c r="N1582" s="8" t="e">
        <f ca="1">[1]!BexGetData("DP_1","003N8EMH8GTFRIVOG7KG9IX8U","GSON1112151224")</f>
        <v>#NAME?</v>
      </c>
      <c r="O1582" s="8" t="e">
        <f ca="1">[1]!BexGetData("DP_1","003N8EMH8GTFRIVOG7KG9J3KE","GSON1112151224")</f>
        <v>#NAME?</v>
      </c>
      <c r="P1582" s="8" t="e">
        <f ca="1">[1]!BexGetData("DP_1","003N8EMH8GTFRIVOG7KG9J9VY","GSON1112151224")</f>
        <v>#NAME?</v>
      </c>
      <c r="Q1582" s="4" t="e">
        <f ca="1">[1]!BexGetData("DP_1","00O2TNJGODT0G5Z4TTKYMM5MT","GSON1112151224")</f>
        <v>#NAME?</v>
      </c>
      <c r="R1582" s="4" t="e">
        <f ca="1">[1]!BexGetData("DP_1","00O2TNJGODT0G5Z4TTKYMMBYD","GSON1112151224")</f>
        <v>#NAME?</v>
      </c>
      <c r="S1582" s="4" t="e">
        <f ca="1">[1]!BexGetData("DP_1","00O2TNJGODT0G5Z4TTKYMMI9X","GSON1112151224")</f>
        <v>#NAME?</v>
      </c>
      <c r="T1582" s="4" t="e">
        <f ca="1">[1]!BexGetData("DP_1","00O2TNJGODT0G5Z4TTKYMMOLH","GSON1112151224")</f>
        <v>#NAME?</v>
      </c>
      <c r="U1582" s="4" t="e">
        <f ca="1">[1]!BexGetData("DP_1","00O2TNJGODT0G5Z4TTKYMMUX1","GSON1112151224")</f>
        <v>#NAME?</v>
      </c>
      <c r="V1582" s="4" t="e">
        <f ca="1">[1]!BexGetData("DP_1","00O2TNJGODT0G5Z4TTKYMN18L","GSON1112151224")</f>
        <v>#NAME?</v>
      </c>
      <c r="W1582" s="4" t="e">
        <f ca="1">[1]!BexGetData("DP_1","00O2TNJGODT0G5Z4TTKYMN7K5","GSON1112151224")</f>
        <v>#NAME?</v>
      </c>
    </row>
    <row r="1583" spans="1:23" x14ac:dyDescent="0.2">
      <c r="A1583" s="16" t="s">
        <v>4105</v>
      </c>
      <c r="B1583" s="7" t="s">
        <v>4106</v>
      </c>
      <c r="C1583" s="3" t="e">
        <f ca="1">[1]!BexGetData("DP_1","003N8EMH8GTFRCSWKMPXRR8GU","GSON1112151225")</f>
        <v>#NAME?</v>
      </c>
      <c r="D1583" s="3" t="e">
        <f ca="1">[1]!BexGetData("DP_1","003N8EMH8GTFRCSWKMPXRRESE","GSON1112151225")</f>
        <v>#NAME?</v>
      </c>
      <c r="E1583" s="8" t="e">
        <f ca="1">[1]!BexGetData("DP_1","003N8EMH8GTFRCSWKMPXRRL3Y","GSON1112151225")</f>
        <v>#NAME?</v>
      </c>
      <c r="F1583" s="4" t="e">
        <f ca="1">[1]!BexGetData("DP_1","003N8EMH8GTFRCSWKMPXRRRFI","GSON1112151225")</f>
        <v>#NAME?</v>
      </c>
      <c r="G1583" s="4" t="e">
        <f ca="1">[1]!BexGetData("DP_1","003N8EMH8GTFRCSWKMPXRRXR2","GSON1112151225")</f>
        <v>#NAME?</v>
      </c>
      <c r="H1583" s="4" t="e">
        <f ca="1">[1]!BexGetData("DP_1","003N8EMH8GTFRCSWKMPXRS42M","GSON1112151225")</f>
        <v>#NAME?</v>
      </c>
      <c r="I1583" s="4" t="e">
        <f ca="1">[1]!BexGetData("DP_1","003N8EMH8GTFRCSWKMPXRSAE6","GSON1112151225")</f>
        <v>#NAME?</v>
      </c>
      <c r="J1583" s="4" t="e">
        <f ca="1">[1]!BexGetData("DP_1","003N8EMH8GTFRCSWKMPXRSGPQ","GSON1112151225")</f>
        <v>#NAME?</v>
      </c>
      <c r="K1583" s="8" t="e">
        <f ca="1">[1]!BexGetData("DP_1","003N8EMH8GTFRIVNUPY288VJH","GSON1112151225")</f>
        <v>#NAME?</v>
      </c>
      <c r="L1583" s="8" t="e">
        <f ca="1">[1]!BexGetData("DP_1","003N8EMH8GTFRIVNUPY2891V1","GSON1112151225")</f>
        <v>#NAME?</v>
      </c>
      <c r="M1583" s="8" t="e">
        <f ca="1">[1]!BexGetData("DP_1","003N8EMH8GTFRIVOG7KG9IQXA","GSON1112151225")</f>
        <v>#NAME?</v>
      </c>
      <c r="N1583" s="8" t="e">
        <f ca="1">[1]!BexGetData("DP_1","003N8EMH8GTFRIVOG7KG9IX8U","GSON1112151225")</f>
        <v>#NAME?</v>
      </c>
      <c r="O1583" s="8" t="e">
        <f ca="1">[1]!BexGetData("DP_1","003N8EMH8GTFRIVOG7KG9J3KE","GSON1112151225")</f>
        <v>#NAME?</v>
      </c>
      <c r="P1583" s="8" t="e">
        <f ca="1">[1]!BexGetData("DP_1","003N8EMH8GTFRIVOG7KG9J9VY","GSON1112151225")</f>
        <v>#NAME?</v>
      </c>
      <c r="Q1583" s="4" t="e">
        <f ca="1">[1]!BexGetData("DP_1","00O2TNJGODT0G5Z4TTKYMM5MT","GSON1112151225")</f>
        <v>#NAME?</v>
      </c>
      <c r="R1583" s="4" t="e">
        <f ca="1">[1]!BexGetData("DP_1","00O2TNJGODT0G5Z4TTKYMMBYD","GSON1112151225")</f>
        <v>#NAME?</v>
      </c>
      <c r="S1583" s="4" t="e">
        <f ca="1">[1]!BexGetData("DP_1","00O2TNJGODT0G5Z4TTKYMMI9X","GSON1112151225")</f>
        <v>#NAME?</v>
      </c>
      <c r="T1583" s="4" t="e">
        <f ca="1">[1]!BexGetData("DP_1","00O2TNJGODT0G5Z4TTKYMMOLH","GSON1112151225")</f>
        <v>#NAME?</v>
      </c>
      <c r="U1583" s="4" t="e">
        <f ca="1">[1]!BexGetData("DP_1","00O2TNJGODT0G5Z4TTKYMMUX1","GSON1112151225")</f>
        <v>#NAME?</v>
      </c>
      <c r="V1583" s="4" t="e">
        <f ca="1">[1]!BexGetData("DP_1","00O2TNJGODT0G5Z4TTKYMN18L","GSON1112151225")</f>
        <v>#NAME?</v>
      </c>
      <c r="W1583" s="4" t="e">
        <f ca="1">[1]!BexGetData("DP_1","00O2TNJGODT0G5Z4TTKYMN7K5","GSON1112151225")</f>
        <v>#NAME?</v>
      </c>
    </row>
    <row r="1584" spans="1:23" x14ac:dyDescent="0.2">
      <c r="A1584" s="16" t="s">
        <v>4107</v>
      </c>
      <c r="B1584" s="7" t="s">
        <v>4108</v>
      </c>
      <c r="C1584" s="3" t="e">
        <f ca="1">[1]!BexGetData("DP_1","003N8EMH8GTFRCSWKMPXRR8GU","GSON1112151230")</f>
        <v>#NAME?</v>
      </c>
      <c r="D1584" s="3" t="e">
        <f ca="1">[1]!BexGetData("DP_1","003N8EMH8GTFRCSWKMPXRRESE","GSON1112151230")</f>
        <v>#NAME?</v>
      </c>
      <c r="E1584" s="8" t="e">
        <f ca="1">[1]!BexGetData("DP_1","003N8EMH8GTFRCSWKMPXRRL3Y","GSON1112151230")</f>
        <v>#NAME?</v>
      </c>
      <c r="F1584" s="3" t="e">
        <f ca="1">[1]!BexGetData("DP_1","003N8EMH8GTFRCSWKMPXRRRFI","GSON1112151230")</f>
        <v>#NAME?</v>
      </c>
      <c r="G1584" s="3" t="e">
        <f ca="1">[1]!BexGetData("DP_1","003N8EMH8GTFRCSWKMPXRRXR2","GSON1112151230")</f>
        <v>#NAME?</v>
      </c>
      <c r="H1584" s="3" t="e">
        <f ca="1">[1]!BexGetData("DP_1","003N8EMH8GTFRCSWKMPXRS42M","GSON1112151230")</f>
        <v>#NAME?</v>
      </c>
      <c r="I1584" s="3" t="e">
        <f ca="1">[1]!BexGetData("DP_1","003N8EMH8GTFRCSWKMPXRSAE6","GSON1112151230")</f>
        <v>#NAME?</v>
      </c>
      <c r="J1584" s="4" t="e">
        <f ca="1">[1]!BexGetData("DP_1","003N8EMH8GTFRCSWKMPXRSGPQ","GSON1112151230")</f>
        <v>#NAME?</v>
      </c>
      <c r="K1584" s="3" t="e">
        <f ca="1">[1]!BexGetData("DP_1","003N8EMH8GTFRIVNUPY288VJH","GSON1112151230")</f>
        <v>#NAME?</v>
      </c>
      <c r="L1584" s="3" t="e">
        <f ca="1">[1]!BexGetData("DP_1","003N8EMH8GTFRIVNUPY2891V1","GSON1112151230")</f>
        <v>#NAME?</v>
      </c>
      <c r="M1584" s="3" t="e">
        <f ca="1">[1]!BexGetData("DP_1","003N8EMH8GTFRIVOG7KG9IQXA","GSON1112151230")</f>
        <v>#NAME?</v>
      </c>
      <c r="N1584" s="8" t="e">
        <f ca="1">[1]!BexGetData("DP_1","003N8EMH8GTFRIVOG7KG9IX8U","GSON1112151230")</f>
        <v>#NAME?</v>
      </c>
      <c r="O1584" s="3" t="e">
        <f ca="1">[1]!BexGetData("DP_1","003N8EMH8GTFRIVOG7KG9J3KE","GSON1112151230")</f>
        <v>#NAME?</v>
      </c>
      <c r="P1584" s="8" t="e">
        <f ca="1">[1]!BexGetData("DP_1","003N8EMH8GTFRIVOG7KG9J9VY","GSON1112151230")</f>
        <v>#NAME?</v>
      </c>
      <c r="Q1584" s="4" t="e">
        <f ca="1">[1]!BexGetData("DP_1","00O2TNJGODT0G5Z4TTKYMM5MT","GSON1112151230")</f>
        <v>#NAME?</v>
      </c>
      <c r="R1584" s="3" t="e">
        <f ca="1">[1]!BexGetData("DP_1","00O2TNJGODT0G5Z4TTKYMMBYD","GSON1112151230")</f>
        <v>#NAME?</v>
      </c>
      <c r="S1584" s="3" t="e">
        <f ca="1">[1]!BexGetData("DP_1","00O2TNJGODT0G5Z4TTKYMMI9X","GSON1112151230")</f>
        <v>#NAME?</v>
      </c>
      <c r="T1584" s="8" t="e">
        <f ca="1">[1]!BexGetData("DP_1","00O2TNJGODT0G5Z4TTKYMMOLH","GSON1112151230")</f>
        <v>#NAME?</v>
      </c>
      <c r="U1584" s="3" t="e">
        <f ca="1">[1]!BexGetData("DP_1","00O2TNJGODT0G5Z4TTKYMMUX1","GSON1112151230")</f>
        <v>#NAME?</v>
      </c>
      <c r="V1584" s="8" t="e">
        <f ca="1">[1]!BexGetData("DP_1","00O2TNJGODT0G5Z4TTKYMN18L","GSON1112151230")</f>
        <v>#NAME?</v>
      </c>
      <c r="W1584" s="3" t="e">
        <f ca="1">[1]!BexGetData("DP_1","00O2TNJGODT0G5Z4TTKYMN7K5","GSON1112151230")</f>
        <v>#NAME?</v>
      </c>
    </row>
    <row r="1585" spans="1:23" x14ac:dyDescent="0.2">
      <c r="A1585" s="16" t="s">
        <v>4109</v>
      </c>
      <c r="B1585" s="7" t="s">
        <v>4110</v>
      </c>
      <c r="C1585" s="3" t="e">
        <f ca="1">[1]!BexGetData("DP_1","003N8EMH8GTFRCSWKMPXRR8GU","GSON1112151232")</f>
        <v>#NAME?</v>
      </c>
      <c r="D1585" s="3" t="e">
        <f ca="1">[1]!BexGetData("DP_1","003N8EMH8GTFRCSWKMPXRRESE","GSON1112151232")</f>
        <v>#NAME?</v>
      </c>
      <c r="E1585" s="8" t="e">
        <f ca="1">[1]!BexGetData("DP_1","003N8EMH8GTFRCSWKMPXRRL3Y","GSON1112151232")</f>
        <v>#NAME?</v>
      </c>
      <c r="F1585" s="3" t="e">
        <f ca="1">[1]!BexGetData("DP_1","003N8EMH8GTFRCSWKMPXRRRFI","GSON1112151232")</f>
        <v>#NAME?</v>
      </c>
      <c r="G1585" s="8" t="e">
        <f ca="1">[1]!BexGetData("DP_1","003N8EMH8GTFRCSWKMPXRRXR2","GSON1112151232")</f>
        <v>#NAME?</v>
      </c>
      <c r="H1585" s="3" t="e">
        <f ca="1">[1]!BexGetData("DP_1","003N8EMH8GTFRCSWKMPXRS42M","GSON1112151232")</f>
        <v>#NAME?</v>
      </c>
      <c r="I1585" s="3" t="e">
        <f ca="1">[1]!BexGetData("DP_1","003N8EMH8GTFRCSWKMPXRSAE6","GSON1112151232")</f>
        <v>#NAME?</v>
      </c>
      <c r="J1585" s="4" t="e">
        <f ca="1">[1]!BexGetData("DP_1","003N8EMH8GTFRCSWKMPXRSGPQ","GSON1112151232")</f>
        <v>#NAME?</v>
      </c>
      <c r="K1585" s="3" t="e">
        <f ca="1">[1]!BexGetData("DP_1","003N8EMH8GTFRIVNUPY288VJH","GSON1112151232")</f>
        <v>#NAME?</v>
      </c>
      <c r="L1585" s="3" t="e">
        <f ca="1">[1]!BexGetData("DP_1","003N8EMH8GTFRIVNUPY2891V1","GSON1112151232")</f>
        <v>#NAME?</v>
      </c>
      <c r="M1585" s="8" t="e">
        <f ca="1">[1]!BexGetData("DP_1","003N8EMH8GTFRIVOG7KG9IQXA","GSON1112151232")</f>
        <v>#NAME?</v>
      </c>
      <c r="N1585" s="3" t="e">
        <f ca="1">[1]!BexGetData("DP_1","003N8EMH8GTFRIVOG7KG9IX8U","GSON1112151232")</f>
        <v>#NAME?</v>
      </c>
      <c r="O1585" s="8" t="e">
        <f ca="1">[1]!BexGetData("DP_1","003N8EMH8GTFRIVOG7KG9J3KE","GSON1112151232")</f>
        <v>#NAME?</v>
      </c>
      <c r="P1585" s="3" t="e">
        <f ca="1">[1]!BexGetData("DP_1","003N8EMH8GTFRIVOG7KG9J9VY","GSON1112151232")</f>
        <v>#NAME?</v>
      </c>
      <c r="Q1585" s="4" t="e">
        <f ca="1">[1]!BexGetData("DP_1","00O2TNJGODT0G5Z4TTKYMM5MT","GSON1112151232")</f>
        <v>#NAME?</v>
      </c>
      <c r="R1585" s="3" t="e">
        <f ca="1">[1]!BexGetData("DP_1","00O2TNJGODT0G5Z4TTKYMMBYD","GSON1112151232")</f>
        <v>#NAME?</v>
      </c>
      <c r="S1585" s="3" t="e">
        <f ca="1">[1]!BexGetData("DP_1","00O2TNJGODT0G5Z4TTKYMMI9X","GSON1112151232")</f>
        <v>#NAME?</v>
      </c>
      <c r="T1585" s="3" t="e">
        <f ca="1">[1]!BexGetData("DP_1","00O2TNJGODT0G5Z4TTKYMMOLH","GSON1112151232")</f>
        <v>#NAME?</v>
      </c>
      <c r="U1585" s="8" t="e">
        <f ca="1">[1]!BexGetData("DP_1","00O2TNJGODT0G5Z4TTKYMMUX1","GSON1112151232")</f>
        <v>#NAME?</v>
      </c>
      <c r="V1585" s="3" t="e">
        <f ca="1">[1]!BexGetData("DP_1","00O2TNJGODT0G5Z4TTKYMN18L","GSON1112151232")</f>
        <v>#NAME?</v>
      </c>
      <c r="W1585" s="8" t="e">
        <f ca="1">[1]!BexGetData("DP_1","00O2TNJGODT0G5Z4TTKYMN7K5","GSON1112151232")</f>
        <v>#NAME?</v>
      </c>
    </row>
    <row r="1586" spans="1:23" x14ac:dyDescent="0.2">
      <c r="A1586" s="16" t="s">
        <v>4111</v>
      </c>
      <c r="B1586" s="7" t="s">
        <v>4112</v>
      </c>
      <c r="C1586" s="3" t="e">
        <f ca="1">[1]!BexGetData("DP_1","003N8EMH8GTFRCSWKMPXRR8GU","GSON1112151234")</f>
        <v>#NAME?</v>
      </c>
      <c r="D1586" s="3" t="e">
        <f ca="1">[1]!BexGetData("DP_1","003N8EMH8GTFRCSWKMPXRRESE","GSON1112151234")</f>
        <v>#NAME?</v>
      </c>
      <c r="E1586" s="8" t="e">
        <f ca="1">[1]!BexGetData("DP_1","003N8EMH8GTFRCSWKMPXRRL3Y","GSON1112151234")</f>
        <v>#NAME?</v>
      </c>
      <c r="F1586" s="4" t="e">
        <f ca="1">[1]!BexGetData("DP_1","003N8EMH8GTFRCSWKMPXRRRFI","GSON1112151234")</f>
        <v>#NAME?</v>
      </c>
      <c r="G1586" s="4" t="e">
        <f ca="1">[1]!BexGetData("DP_1","003N8EMH8GTFRCSWKMPXRRXR2","GSON1112151234")</f>
        <v>#NAME?</v>
      </c>
      <c r="H1586" s="4" t="e">
        <f ca="1">[1]!BexGetData("DP_1","003N8EMH8GTFRCSWKMPXRS42M","GSON1112151234")</f>
        <v>#NAME?</v>
      </c>
      <c r="I1586" s="4" t="e">
        <f ca="1">[1]!BexGetData("DP_1","003N8EMH8GTFRCSWKMPXRSAE6","GSON1112151234")</f>
        <v>#NAME?</v>
      </c>
      <c r="J1586" s="4" t="e">
        <f ca="1">[1]!BexGetData("DP_1","003N8EMH8GTFRCSWKMPXRSGPQ","GSON1112151234")</f>
        <v>#NAME?</v>
      </c>
      <c r="K1586" s="8" t="e">
        <f ca="1">[1]!BexGetData("DP_1","003N8EMH8GTFRIVNUPY288VJH","GSON1112151234")</f>
        <v>#NAME?</v>
      </c>
      <c r="L1586" s="8" t="e">
        <f ca="1">[1]!BexGetData("DP_1","003N8EMH8GTFRIVNUPY2891V1","GSON1112151234")</f>
        <v>#NAME?</v>
      </c>
      <c r="M1586" s="8" t="e">
        <f ca="1">[1]!BexGetData("DP_1","003N8EMH8GTFRIVOG7KG9IQXA","GSON1112151234")</f>
        <v>#NAME?</v>
      </c>
      <c r="N1586" s="8" t="e">
        <f ca="1">[1]!BexGetData("DP_1","003N8EMH8GTFRIVOG7KG9IX8U","GSON1112151234")</f>
        <v>#NAME?</v>
      </c>
      <c r="O1586" s="8" t="e">
        <f ca="1">[1]!BexGetData("DP_1","003N8EMH8GTFRIVOG7KG9J3KE","GSON1112151234")</f>
        <v>#NAME?</v>
      </c>
      <c r="P1586" s="8" t="e">
        <f ca="1">[1]!BexGetData("DP_1","003N8EMH8GTFRIVOG7KG9J9VY","GSON1112151234")</f>
        <v>#NAME?</v>
      </c>
      <c r="Q1586" s="4" t="e">
        <f ca="1">[1]!BexGetData("DP_1","00O2TNJGODT0G5Z4TTKYMM5MT","GSON1112151234")</f>
        <v>#NAME?</v>
      </c>
      <c r="R1586" s="4" t="e">
        <f ca="1">[1]!BexGetData("DP_1","00O2TNJGODT0G5Z4TTKYMMBYD","GSON1112151234")</f>
        <v>#NAME?</v>
      </c>
      <c r="S1586" s="4" t="e">
        <f ca="1">[1]!BexGetData("DP_1","00O2TNJGODT0G5Z4TTKYMMI9X","GSON1112151234")</f>
        <v>#NAME?</v>
      </c>
      <c r="T1586" s="4" t="e">
        <f ca="1">[1]!BexGetData("DP_1","00O2TNJGODT0G5Z4TTKYMMOLH","GSON1112151234")</f>
        <v>#NAME?</v>
      </c>
      <c r="U1586" s="4" t="e">
        <f ca="1">[1]!BexGetData("DP_1","00O2TNJGODT0G5Z4TTKYMMUX1","GSON1112151234")</f>
        <v>#NAME?</v>
      </c>
      <c r="V1586" s="4" t="e">
        <f ca="1">[1]!BexGetData("DP_1","00O2TNJGODT0G5Z4TTKYMN18L","GSON1112151234")</f>
        <v>#NAME?</v>
      </c>
      <c r="W1586" s="4" t="e">
        <f ca="1">[1]!BexGetData("DP_1","00O2TNJGODT0G5Z4TTKYMN7K5","GSON1112151234")</f>
        <v>#NAME?</v>
      </c>
    </row>
    <row r="1587" spans="1:23" x14ac:dyDescent="0.2">
      <c r="A1587" s="16" t="s">
        <v>4113</v>
      </c>
      <c r="B1587" s="7" t="s">
        <v>4114</v>
      </c>
      <c r="C1587" s="3" t="e">
        <f ca="1">[1]!BexGetData("DP_1","003N8EMH8GTFRCSWKMPXRR8GU","GSON1112151235")</f>
        <v>#NAME?</v>
      </c>
      <c r="D1587" s="3" t="e">
        <f ca="1">[1]!BexGetData("DP_1","003N8EMH8GTFRCSWKMPXRRESE","GSON1112151235")</f>
        <v>#NAME?</v>
      </c>
      <c r="E1587" s="8" t="e">
        <f ca="1">[1]!BexGetData("DP_1","003N8EMH8GTFRCSWKMPXRRL3Y","GSON1112151235")</f>
        <v>#NAME?</v>
      </c>
      <c r="F1587" s="4" t="e">
        <f ca="1">[1]!BexGetData("DP_1","003N8EMH8GTFRCSWKMPXRRRFI","GSON1112151235")</f>
        <v>#NAME?</v>
      </c>
      <c r="G1587" s="4" t="e">
        <f ca="1">[1]!BexGetData("DP_1","003N8EMH8GTFRCSWKMPXRRXR2","GSON1112151235")</f>
        <v>#NAME?</v>
      </c>
      <c r="H1587" s="4" t="e">
        <f ca="1">[1]!BexGetData("DP_1","003N8EMH8GTFRCSWKMPXRS42M","GSON1112151235")</f>
        <v>#NAME?</v>
      </c>
      <c r="I1587" s="4" t="e">
        <f ca="1">[1]!BexGetData("DP_1","003N8EMH8GTFRCSWKMPXRSAE6","GSON1112151235")</f>
        <v>#NAME?</v>
      </c>
      <c r="J1587" s="4" t="e">
        <f ca="1">[1]!BexGetData("DP_1","003N8EMH8GTFRCSWKMPXRSGPQ","GSON1112151235")</f>
        <v>#NAME?</v>
      </c>
      <c r="K1587" s="8" t="e">
        <f ca="1">[1]!BexGetData("DP_1","003N8EMH8GTFRIVNUPY288VJH","GSON1112151235")</f>
        <v>#NAME?</v>
      </c>
      <c r="L1587" s="8" t="e">
        <f ca="1">[1]!BexGetData("DP_1","003N8EMH8GTFRIVNUPY2891V1","GSON1112151235")</f>
        <v>#NAME?</v>
      </c>
      <c r="M1587" s="8" t="e">
        <f ca="1">[1]!BexGetData("DP_1","003N8EMH8GTFRIVOG7KG9IQXA","GSON1112151235")</f>
        <v>#NAME?</v>
      </c>
      <c r="N1587" s="8" t="e">
        <f ca="1">[1]!BexGetData("DP_1","003N8EMH8GTFRIVOG7KG9IX8U","GSON1112151235")</f>
        <v>#NAME?</v>
      </c>
      <c r="O1587" s="8" t="e">
        <f ca="1">[1]!BexGetData("DP_1","003N8EMH8GTFRIVOG7KG9J3KE","GSON1112151235")</f>
        <v>#NAME?</v>
      </c>
      <c r="P1587" s="8" t="e">
        <f ca="1">[1]!BexGetData("DP_1","003N8EMH8GTFRIVOG7KG9J9VY","GSON1112151235")</f>
        <v>#NAME?</v>
      </c>
      <c r="Q1587" s="4" t="e">
        <f ca="1">[1]!BexGetData("DP_1","00O2TNJGODT0G5Z4TTKYMM5MT","GSON1112151235")</f>
        <v>#NAME?</v>
      </c>
      <c r="R1587" s="4" t="e">
        <f ca="1">[1]!BexGetData("DP_1","00O2TNJGODT0G5Z4TTKYMMBYD","GSON1112151235")</f>
        <v>#NAME?</v>
      </c>
      <c r="S1587" s="4" t="e">
        <f ca="1">[1]!BexGetData("DP_1","00O2TNJGODT0G5Z4TTKYMMI9X","GSON1112151235")</f>
        <v>#NAME?</v>
      </c>
      <c r="T1587" s="4" t="e">
        <f ca="1">[1]!BexGetData("DP_1","00O2TNJGODT0G5Z4TTKYMMOLH","GSON1112151235")</f>
        <v>#NAME?</v>
      </c>
      <c r="U1587" s="4" t="e">
        <f ca="1">[1]!BexGetData("DP_1","00O2TNJGODT0G5Z4TTKYMMUX1","GSON1112151235")</f>
        <v>#NAME?</v>
      </c>
      <c r="V1587" s="4" t="e">
        <f ca="1">[1]!BexGetData("DP_1","00O2TNJGODT0G5Z4TTKYMN18L","GSON1112151235")</f>
        <v>#NAME?</v>
      </c>
      <c r="W1587" s="4" t="e">
        <f ca="1">[1]!BexGetData("DP_1","00O2TNJGODT0G5Z4TTKYMN7K5","GSON1112151235")</f>
        <v>#NAME?</v>
      </c>
    </row>
    <row r="1588" spans="1:23" x14ac:dyDescent="0.2">
      <c r="A1588" s="16" t="s">
        <v>4115</v>
      </c>
      <c r="B1588" s="7" t="s">
        <v>4116</v>
      </c>
      <c r="C1588" s="3" t="e">
        <f ca="1">[1]!BexGetData("DP_1","003N8EMH8GTFRCSWKMPXRR8GU","GSON1112151240")</f>
        <v>#NAME?</v>
      </c>
      <c r="D1588" s="3" t="e">
        <f ca="1">[1]!BexGetData("DP_1","003N8EMH8GTFRCSWKMPXRRESE","GSON1112151240")</f>
        <v>#NAME?</v>
      </c>
      <c r="E1588" s="3" t="e">
        <f ca="1">[1]!BexGetData("DP_1","003N8EMH8GTFRCSWKMPXRRL3Y","GSON1112151240")</f>
        <v>#NAME?</v>
      </c>
      <c r="F1588" s="4" t="e">
        <f ca="1">[1]!BexGetData("DP_1","003N8EMH8GTFRCSWKMPXRRRFI","GSON1112151240")</f>
        <v>#NAME?</v>
      </c>
      <c r="G1588" s="4" t="e">
        <f ca="1">[1]!BexGetData("DP_1","003N8EMH8GTFRCSWKMPXRRXR2","GSON1112151240")</f>
        <v>#NAME?</v>
      </c>
      <c r="H1588" s="4" t="e">
        <f ca="1">[1]!BexGetData("DP_1","003N8EMH8GTFRCSWKMPXRS42M","GSON1112151240")</f>
        <v>#NAME?</v>
      </c>
      <c r="I1588" s="4" t="e">
        <f ca="1">[1]!BexGetData("DP_1","003N8EMH8GTFRCSWKMPXRSAE6","GSON1112151240")</f>
        <v>#NAME?</v>
      </c>
      <c r="J1588" s="4" t="e">
        <f ca="1">[1]!BexGetData("DP_1","003N8EMH8GTFRCSWKMPXRSGPQ","GSON1112151240")</f>
        <v>#NAME?</v>
      </c>
      <c r="K1588" s="3" t="e">
        <f ca="1">[1]!BexGetData("DP_1","003N8EMH8GTFRIVNUPY288VJH","GSON1112151240")</f>
        <v>#NAME?</v>
      </c>
      <c r="L1588" s="3" t="e">
        <f ca="1">[1]!BexGetData("DP_1","003N8EMH8GTFRIVNUPY2891V1","GSON1112151240")</f>
        <v>#NAME?</v>
      </c>
      <c r="M1588" s="8" t="e">
        <f ca="1">[1]!BexGetData("DP_1","003N8EMH8GTFRIVOG7KG9IQXA","GSON1112151240")</f>
        <v>#NAME?</v>
      </c>
      <c r="N1588" s="3" t="e">
        <f ca="1">[1]!BexGetData("DP_1","003N8EMH8GTFRIVOG7KG9IX8U","GSON1112151240")</f>
        <v>#NAME?</v>
      </c>
      <c r="O1588" s="8" t="e">
        <f ca="1">[1]!BexGetData("DP_1","003N8EMH8GTFRIVOG7KG9J3KE","GSON1112151240")</f>
        <v>#NAME?</v>
      </c>
      <c r="P1588" s="3" t="e">
        <f ca="1">[1]!BexGetData("DP_1","003N8EMH8GTFRIVOG7KG9J9VY","GSON1112151240")</f>
        <v>#NAME?</v>
      </c>
      <c r="Q1588" s="4" t="e">
        <f ca="1">[1]!BexGetData("DP_1","00O2TNJGODT0G5Z4TTKYMM5MT","GSON1112151240")</f>
        <v>#NAME?</v>
      </c>
      <c r="R1588" s="4" t="e">
        <f ca="1">[1]!BexGetData("DP_1","00O2TNJGODT0G5Z4TTKYMMBYD","GSON1112151240")</f>
        <v>#NAME?</v>
      </c>
      <c r="S1588" s="4" t="e">
        <f ca="1">[1]!BexGetData("DP_1","00O2TNJGODT0G5Z4TTKYMMI9X","GSON1112151240")</f>
        <v>#NAME?</v>
      </c>
      <c r="T1588" s="4" t="e">
        <f ca="1">[1]!BexGetData("DP_1","00O2TNJGODT0G5Z4TTKYMMOLH","GSON1112151240")</f>
        <v>#NAME?</v>
      </c>
      <c r="U1588" s="4" t="e">
        <f ca="1">[1]!BexGetData("DP_1","00O2TNJGODT0G5Z4TTKYMMUX1","GSON1112151240")</f>
        <v>#NAME?</v>
      </c>
      <c r="V1588" s="4" t="e">
        <f ca="1">[1]!BexGetData("DP_1","00O2TNJGODT0G5Z4TTKYMN18L","GSON1112151240")</f>
        <v>#NAME?</v>
      </c>
      <c r="W1588" s="4" t="e">
        <f ca="1">[1]!BexGetData("DP_1","00O2TNJGODT0G5Z4TTKYMN7K5","GSON1112151240")</f>
        <v>#NAME?</v>
      </c>
    </row>
    <row r="1589" spans="1:23" x14ac:dyDescent="0.2">
      <c r="A1589" s="16" t="s">
        <v>4117</v>
      </c>
      <c r="B1589" s="7" t="s">
        <v>4118</v>
      </c>
      <c r="C1589" s="3" t="e">
        <f ca="1">[1]!BexGetData("DP_1","003N8EMH8GTFRCSWKMPXRR8GU","GSON1112151241")</f>
        <v>#NAME?</v>
      </c>
      <c r="D1589" s="3" t="e">
        <f ca="1">[1]!BexGetData("DP_1","003N8EMH8GTFRCSWKMPXRRESE","GSON1112151241")</f>
        <v>#NAME?</v>
      </c>
      <c r="E1589" s="8" t="e">
        <f ca="1">[1]!BexGetData("DP_1","003N8EMH8GTFRCSWKMPXRRL3Y","GSON1112151241")</f>
        <v>#NAME?</v>
      </c>
      <c r="F1589" s="4" t="e">
        <f ca="1">[1]!BexGetData("DP_1","003N8EMH8GTFRCSWKMPXRRRFI","GSON1112151241")</f>
        <v>#NAME?</v>
      </c>
      <c r="G1589" s="4" t="e">
        <f ca="1">[1]!BexGetData("DP_1","003N8EMH8GTFRCSWKMPXRRXR2","GSON1112151241")</f>
        <v>#NAME?</v>
      </c>
      <c r="H1589" s="4" t="e">
        <f ca="1">[1]!BexGetData("DP_1","003N8EMH8GTFRCSWKMPXRS42M","GSON1112151241")</f>
        <v>#NAME?</v>
      </c>
      <c r="I1589" s="4" t="e">
        <f ca="1">[1]!BexGetData("DP_1","003N8EMH8GTFRCSWKMPXRSAE6","GSON1112151241")</f>
        <v>#NAME?</v>
      </c>
      <c r="J1589" s="4" t="e">
        <f ca="1">[1]!BexGetData("DP_1","003N8EMH8GTFRCSWKMPXRSGPQ","GSON1112151241")</f>
        <v>#NAME?</v>
      </c>
      <c r="K1589" s="8" t="e">
        <f ca="1">[1]!BexGetData("DP_1","003N8EMH8GTFRIVNUPY288VJH","GSON1112151241")</f>
        <v>#NAME?</v>
      </c>
      <c r="L1589" s="8" t="e">
        <f ca="1">[1]!BexGetData("DP_1","003N8EMH8GTFRIVNUPY2891V1","GSON1112151241")</f>
        <v>#NAME?</v>
      </c>
      <c r="M1589" s="8" t="e">
        <f ca="1">[1]!BexGetData("DP_1","003N8EMH8GTFRIVOG7KG9IQXA","GSON1112151241")</f>
        <v>#NAME?</v>
      </c>
      <c r="N1589" s="8" t="e">
        <f ca="1">[1]!BexGetData("DP_1","003N8EMH8GTFRIVOG7KG9IX8U","GSON1112151241")</f>
        <v>#NAME?</v>
      </c>
      <c r="O1589" s="8" t="e">
        <f ca="1">[1]!BexGetData("DP_1","003N8EMH8GTFRIVOG7KG9J3KE","GSON1112151241")</f>
        <v>#NAME?</v>
      </c>
      <c r="P1589" s="8" t="e">
        <f ca="1">[1]!BexGetData("DP_1","003N8EMH8GTFRIVOG7KG9J9VY","GSON1112151241")</f>
        <v>#NAME?</v>
      </c>
      <c r="Q1589" s="4" t="e">
        <f ca="1">[1]!BexGetData("DP_1","00O2TNJGODT0G5Z4TTKYMM5MT","GSON1112151241")</f>
        <v>#NAME?</v>
      </c>
      <c r="R1589" s="4" t="e">
        <f ca="1">[1]!BexGetData("DP_1","00O2TNJGODT0G5Z4TTKYMMBYD","GSON1112151241")</f>
        <v>#NAME?</v>
      </c>
      <c r="S1589" s="4" t="e">
        <f ca="1">[1]!BexGetData("DP_1","00O2TNJGODT0G5Z4TTKYMMI9X","GSON1112151241")</f>
        <v>#NAME?</v>
      </c>
      <c r="T1589" s="4" t="e">
        <f ca="1">[1]!BexGetData("DP_1","00O2TNJGODT0G5Z4TTKYMMOLH","GSON1112151241")</f>
        <v>#NAME?</v>
      </c>
      <c r="U1589" s="4" t="e">
        <f ca="1">[1]!BexGetData("DP_1","00O2TNJGODT0G5Z4TTKYMMUX1","GSON1112151241")</f>
        <v>#NAME?</v>
      </c>
      <c r="V1589" s="4" t="e">
        <f ca="1">[1]!BexGetData("DP_1","00O2TNJGODT0G5Z4TTKYMN18L","GSON1112151241")</f>
        <v>#NAME?</v>
      </c>
      <c r="W1589" s="4" t="e">
        <f ca="1">[1]!BexGetData("DP_1","00O2TNJGODT0G5Z4TTKYMN7K5","GSON1112151241")</f>
        <v>#NAME?</v>
      </c>
    </row>
    <row r="1590" spans="1:23" x14ac:dyDescent="0.2">
      <c r="A1590" s="16" t="s">
        <v>4119</v>
      </c>
      <c r="B1590" s="7" t="s">
        <v>4120</v>
      </c>
      <c r="C1590" s="3" t="e">
        <f ca="1">[1]!BexGetData("DP_1","003N8EMH8GTFRCSWKMPXRR8GU","GSON1112151243")</f>
        <v>#NAME?</v>
      </c>
      <c r="D1590" s="3" t="e">
        <f ca="1">[1]!BexGetData("DP_1","003N8EMH8GTFRCSWKMPXRRESE","GSON1112151243")</f>
        <v>#NAME?</v>
      </c>
      <c r="E1590" s="8" t="e">
        <f ca="1">[1]!BexGetData("DP_1","003N8EMH8GTFRCSWKMPXRRL3Y","GSON1112151243")</f>
        <v>#NAME?</v>
      </c>
      <c r="F1590" s="4" t="e">
        <f ca="1">[1]!BexGetData("DP_1","003N8EMH8GTFRCSWKMPXRRRFI","GSON1112151243")</f>
        <v>#NAME?</v>
      </c>
      <c r="G1590" s="4" t="e">
        <f ca="1">[1]!BexGetData("DP_1","003N8EMH8GTFRCSWKMPXRRXR2","GSON1112151243")</f>
        <v>#NAME?</v>
      </c>
      <c r="H1590" s="4" t="e">
        <f ca="1">[1]!BexGetData("DP_1","003N8EMH8GTFRCSWKMPXRS42M","GSON1112151243")</f>
        <v>#NAME?</v>
      </c>
      <c r="I1590" s="4" t="e">
        <f ca="1">[1]!BexGetData("DP_1","003N8EMH8GTFRCSWKMPXRSAE6","GSON1112151243")</f>
        <v>#NAME?</v>
      </c>
      <c r="J1590" s="4" t="e">
        <f ca="1">[1]!BexGetData("DP_1","003N8EMH8GTFRCSWKMPXRSGPQ","GSON1112151243")</f>
        <v>#NAME?</v>
      </c>
      <c r="K1590" s="8" t="e">
        <f ca="1">[1]!BexGetData("DP_1","003N8EMH8GTFRIVNUPY288VJH","GSON1112151243")</f>
        <v>#NAME?</v>
      </c>
      <c r="L1590" s="8" t="e">
        <f ca="1">[1]!BexGetData("DP_1","003N8EMH8GTFRIVNUPY2891V1","GSON1112151243")</f>
        <v>#NAME?</v>
      </c>
      <c r="M1590" s="8" t="e">
        <f ca="1">[1]!BexGetData("DP_1","003N8EMH8GTFRIVOG7KG9IQXA","GSON1112151243")</f>
        <v>#NAME?</v>
      </c>
      <c r="N1590" s="8" t="e">
        <f ca="1">[1]!BexGetData("DP_1","003N8EMH8GTFRIVOG7KG9IX8U","GSON1112151243")</f>
        <v>#NAME?</v>
      </c>
      <c r="O1590" s="8" t="e">
        <f ca="1">[1]!BexGetData("DP_1","003N8EMH8GTFRIVOG7KG9J3KE","GSON1112151243")</f>
        <v>#NAME?</v>
      </c>
      <c r="P1590" s="8" t="e">
        <f ca="1">[1]!BexGetData("DP_1","003N8EMH8GTFRIVOG7KG9J9VY","GSON1112151243")</f>
        <v>#NAME?</v>
      </c>
      <c r="Q1590" s="4" t="e">
        <f ca="1">[1]!BexGetData("DP_1","00O2TNJGODT0G5Z4TTKYMM5MT","GSON1112151243")</f>
        <v>#NAME?</v>
      </c>
      <c r="R1590" s="4" t="e">
        <f ca="1">[1]!BexGetData("DP_1","00O2TNJGODT0G5Z4TTKYMMBYD","GSON1112151243")</f>
        <v>#NAME?</v>
      </c>
      <c r="S1590" s="4" t="e">
        <f ca="1">[1]!BexGetData("DP_1","00O2TNJGODT0G5Z4TTKYMMI9X","GSON1112151243")</f>
        <v>#NAME?</v>
      </c>
      <c r="T1590" s="4" t="e">
        <f ca="1">[1]!BexGetData("DP_1","00O2TNJGODT0G5Z4TTKYMMOLH","GSON1112151243")</f>
        <v>#NAME?</v>
      </c>
      <c r="U1590" s="4" t="e">
        <f ca="1">[1]!BexGetData("DP_1","00O2TNJGODT0G5Z4TTKYMMUX1","GSON1112151243")</f>
        <v>#NAME?</v>
      </c>
      <c r="V1590" s="4" t="e">
        <f ca="1">[1]!BexGetData("DP_1","00O2TNJGODT0G5Z4TTKYMN18L","GSON1112151243")</f>
        <v>#NAME?</v>
      </c>
      <c r="W1590" s="4" t="e">
        <f ca="1">[1]!BexGetData("DP_1","00O2TNJGODT0G5Z4TTKYMN7K5","GSON1112151243")</f>
        <v>#NAME?</v>
      </c>
    </row>
    <row r="1591" spans="1:23" x14ac:dyDescent="0.2">
      <c r="A1591" s="16" t="s">
        <v>4121</v>
      </c>
      <c r="B1591" s="7" t="s">
        <v>4122</v>
      </c>
      <c r="C1591" s="3" t="e">
        <f ca="1">[1]!BexGetData("DP_1","003N8EMH8GTFRCSWKMPXRR8GU","GSON1112151245")</f>
        <v>#NAME?</v>
      </c>
      <c r="D1591" s="3" t="e">
        <f ca="1">[1]!BexGetData("DP_1","003N8EMH8GTFRCSWKMPXRRESE","GSON1112151245")</f>
        <v>#NAME?</v>
      </c>
      <c r="E1591" s="8" t="e">
        <f ca="1">[1]!BexGetData("DP_1","003N8EMH8GTFRCSWKMPXRRL3Y","GSON1112151245")</f>
        <v>#NAME?</v>
      </c>
      <c r="F1591" s="4" t="e">
        <f ca="1">[1]!BexGetData("DP_1","003N8EMH8GTFRCSWKMPXRRRFI","GSON1112151245")</f>
        <v>#NAME?</v>
      </c>
      <c r="G1591" s="4" t="e">
        <f ca="1">[1]!BexGetData("DP_1","003N8EMH8GTFRCSWKMPXRRXR2","GSON1112151245")</f>
        <v>#NAME?</v>
      </c>
      <c r="H1591" s="4" t="e">
        <f ca="1">[1]!BexGetData("DP_1","003N8EMH8GTFRCSWKMPXRS42M","GSON1112151245")</f>
        <v>#NAME?</v>
      </c>
      <c r="I1591" s="4" t="e">
        <f ca="1">[1]!BexGetData("DP_1","003N8EMH8GTFRCSWKMPXRSAE6","GSON1112151245")</f>
        <v>#NAME?</v>
      </c>
      <c r="J1591" s="4" t="e">
        <f ca="1">[1]!BexGetData("DP_1","003N8EMH8GTFRCSWKMPXRSGPQ","GSON1112151245")</f>
        <v>#NAME?</v>
      </c>
      <c r="K1591" s="8" t="e">
        <f ca="1">[1]!BexGetData("DP_1","003N8EMH8GTFRIVNUPY288VJH","GSON1112151245")</f>
        <v>#NAME?</v>
      </c>
      <c r="L1591" s="8" t="e">
        <f ca="1">[1]!BexGetData("DP_1","003N8EMH8GTFRIVNUPY2891V1","GSON1112151245")</f>
        <v>#NAME?</v>
      </c>
      <c r="M1591" s="8" t="e">
        <f ca="1">[1]!BexGetData("DP_1","003N8EMH8GTFRIVOG7KG9IQXA","GSON1112151245")</f>
        <v>#NAME?</v>
      </c>
      <c r="N1591" s="8" t="e">
        <f ca="1">[1]!BexGetData("DP_1","003N8EMH8GTFRIVOG7KG9IX8U","GSON1112151245")</f>
        <v>#NAME?</v>
      </c>
      <c r="O1591" s="8" t="e">
        <f ca="1">[1]!BexGetData("DP_1","003N8EMH8GTFRIVOG7KG9J3KE","GSON1112151245")</f>
        <v>#NAME?</v>
      </c>
      <c r="P1591" s="8" t="e">
        <f ca="1">[1]!BexGetData("DP_1","003N8EMH8GTFRIVOG7KG9J9VY","GSON1112151245")</f>
        <v>#NAME?</v>
      </c>
      <c r="Q1591" s="4" t="e">
        <f ca="1">[1]!BexGetData("DP_1","00O2TNJGODT0G5Z4TTKYMM5MT","GSON1112151245")</f>
        <v>#NAME?</v>
      </c>
      <c r="R1591" s="4" t="e">
        <f ca="1">[1]!BexGetData("DP_1","00O2TNJGODT0G5Z4TTKYMMBYD","GSON1112151245")</f>
        <v>#NAME?</v>
      </c>
      <c r="S1591" s="4" t="e">
        <f ca="1">[1]!BexGetData("DP_1","00O2TNJGODT0G5Z4TTKYMMI9X","GSON1112151245")</f>
        <v>#NAME?</v>
      </c>
      <c r="T1591" s="4" t="e">
        <f ca="1">[1]!BexGetData("DP_1","00O2TNJGODT0G5Z4TTKYMMOLH","GSON1112151245")</f>
        <v>#NAME?</v>
      </c>
      <c r="U1591" s="4" t="e">
        <f ca="1">[1]!BexGetData("DP_1","00O2TNJGODT0G5Z4TTKYMMUX1","GSON1112151245")</f>
        <v>#NAME?</v>
      </c>
      <c r="V1591" s="4" t="e">
        <f ca="1">[1]!BexGetData("DP_1","00O2TNJGODT0G5Z4TTKYMN18L","GSON1112151245")</f>
        <v>#NAME?</v>
      </c>
      <c r="W1591" s="4" t="e">
        <f ca="1">[1]!BexGetData("DP_1","00O2TNJGODT0G5Z4TTKYMN7K5","GSON1112151245")</f>
        <v>#NAME?</v>
      </c>
    </row>
    <row r="1592" spans="1:23" x14ac:dyDescent="0.2">
      <c r="A1592" s="16" t="s">
        <v>4123</v>
      </c>
      <c r="B1592" s="7" t="s">
        <v>4124</v>
      </c>
      <c r="C1592" s="3" t="e">
        <f ca="1">[1]!BexGetData("DP_1","003N8EMH8GTFRCSWKMPXRR8GU","GSON1112151260")</f>
        <v>#NAME?</v>
      </c>
      <c r="D1592" s="3" t="e">
        <f ca="1">[1]!BexGetData("DP_1","003N8EMH8GTFRCSWKMPXRRESE","GSON1112151260")</f>
        <v>#NAME?</v>
      </c>
      <c r="E1592" s="3" t="e">
        <f ca="1">[1]!BexGetData("DP_1","003N8EMH8GTFRCSWKMPXRRL3Y","GSON1112151260")</f>
        <v>#NAME?</v>
      </c>
      <c r="F1592" s="4" t="e">
        <f ca="1">[1]!BexGetData("DP_1","003N8EMH8GTFRCSWKMPXRRRFI","GSON1112151260")</f>
        <v>#NAME?</v>
      </c>
      <c r="G1592" s="4" t="e">
        <f ca="1">[1]!BexGetData("DP_1","003N8EMH8GTFRCSWKMPXRRXR2","GSON1112151260")</f>
        <v>#NAME?</v>
      </c>
      <c r="H1592" s="4" t="e">
        <f ca="1">[1]!BexGetData("DP_1","003N8EMH8GTFRCSWKMPXRS42M","GSON1112151260")</f>
        <v>#NAME?</v>
      </c>
      <c r="I1592" s="4" t="e">
        <f ca="1">[1]!BexGetData("DP_1","003N8EMH8GTFRCSWKMPXRSAE6","GSON1112151260")</f>
        <v>#NAME?</v>
      </c>
      <c r="J1592" s="4" t="e">
        <f ca="1">[1]!BexGetData("DP_1","003N8EMH8GTFRCSWKMPXRSGPQ","GSON1112151260")</f>
        <v>#NAME?</v>
      </c>
      <c r="K1592" s="3" t="e">
        <f ca="1">[1]!BexGetData("DP_1","003N8EMH8GTFRIVNUPY288VJH","GSON1112151260")</f>
        <v>#NAME?</v>
      </c>
      <c r="L1592" s="3" t="e">
        <f ca="1">[1]!BexGetData("DP_1","003N8EMH8GTFRIVNUPY2891V1","GSON1112151260")</f>
        <v>#NAME?</v>
      </c>
      <c r="M1592" s="8" t="e">
        <f ca="1">[1]!BexGetData("DP_1","003N8EMH8GTFRIVOG7KG9IQXA","GSON1112151260")</f>
        <v>#NAME?</v>
      </c>
      <c r="N1592" s="3" t="e">
        <f ca="1">[1]!BexGetData("DP_1","003N8EMH8GTFRIVOG7KG9IX8U","GSON1112151260")</f>
        <v>#NAME?</v>
      </c>
      <c r="O1592" s="8" t="e">
        <f ca="1">[1]!BexGetData("DP_1","003N8EMH8GTFRIVOG7KG9J3KE","GSON1112151260")</f>
        <v>#NAME?</v>
      </c>
      <c r="P1592" s="3" t="e">
        <f ca="1">[1]!BexGetData("DP_1","003N8EMH8GTFRIVOG7KG9J9VY","GSON1112151260")</f>
        <v>#NAME?</v>
      </c>
      <c r="Q1592" s="4" t="e">
        <f ca="1">[1]!BexGetData("DP_1","00O2TNJGODT0G5Z4TTKYMM5MT","GSON1112151260")</f>
        <v>#NAME?</v>
      </c>
      <c r="R1592" s="4" t="e">
        <f ca="1">[1]!BexGetData("DP_1","00O2TNJGODT0G5Z4TTKYMMBYD","GSON1112151260")</f>
        <v>#NAME?</v>
      </c>
      <c r="S1592" s="4" t="e">
        <f ca="1">[1]!BexGetData("DP_1","00O2TNJGODT0G5Z4TTKYMMI9X","GSON1112151260")</f>
        <v>#NAME?</v>
      </c>
      <c r="T1592" s="4" t="e">
        <f ca="1">[1]!BexGetData("DP_1","00O2TNJGODT0G5Z4TTKYMMOLH","GSON1112151260")</f>
        <v>#NAME?</v>
      </c>
      <c r="U1592" s="4" t="e">
        <f ca="1">[1]!BexGetData("DP_1","00O2TNJGODT0G5Z4TTKYMMUX1","GSON1112151260")</f>
        <v>#NAME?</v>
      </c>
      <c r="V1592" s="4" t="e">
        <f ca="1">[1]!BexGetData("DP_1","00O2TNJGODT0G5Z4TTKYMN18L","GSON1112151260")</f>
        <v>#NAME?</v>
      </c>
      <c r="W1592" s="4" t="e">
        <f ca="1">[1]!BexGetData("DP_1","00O2TNJGODT0G5Z4TTKYMN7K5","GSON1112151260")</f>
        <v>#NAME?</v>
      </c>
    </row>
    <row r="1593" spans="1:23" x14ac:dyDescent="0.2">
      <c r="A1593" s="16" t="s">
        <v>4125</v>
      </c>
      <c r="B1593" s="7" t="s">
        <v>4126</v>
      </c>
      <c r="C1593" s="3" t="e">
        <f ca="1">[1]!BexGetData("DP_1","003N8EMH8GTFRCSWKMPXRR8GU","GSON1112151261")</f>
        <v>#NAME?</v>
      </c>
      <c r="D1593" s="3" t="e">
        <f ca="1">[1]!BexGetData("DP_1","003N8EMH8GTFRCSWKMPXRRESE","GSON1112151261")</f>
        <v>#NAME?</v>
      </c>
      <c r="E1593" s="8" t="e">
        <f ca="1">[1]!BexGetData("DP_1","003N8EMH8GTFRCSWKMPXRRL3Y","GSON1112151261")</f>
        <v>#NAME?</v>
      </c>
      <c r="F1593" s="4" t="e">
        <f ca="1">[1]!BexGetData("DP_1","003N8EMH8GTFRCSWKMPXRRRFI","GSON1112151261")</f>
        <v>#NAME?</v>
      </c>
      <c r="G1593" s="4" t="e">
        <f ca="1">[1]!BexGetData("DP_1","003N8EMH8GTFRCSWKMPXRRXR2","GSON1112151261")</f>
        <v>#NAME?</v>
      </c>
      <c r="H1593" s="4" t="e">
        <f ca="1">[1]!BexGetData("DP_1","003N8EMH8GTFRCSWKMPXRS42M","GSON1112151261")</f>
        <v>#NAME?</v>
      </c>
      <c r="I1593" s="4" t="e">
        <f ca="1">[1]!BexGetData("DP_1","003N8EMH8GTFRCSWKMPXRSAE6","GSON1112151261")</f>
        <v>#NAME?</v>
      </c>
      <c r="J1593" s="4" t="e">
        <f ca="1">[1]!BexGetData("DP_1","003N8EMH8GTFRCSWKMPXRSGPQ","GSON1112151261")</f>
        <v>#NAME?</v>
      </c>
      <c r="K1593" s="8" t="e">
        <f ca="1">[1]!BexGetData("DP_1","003N8EMH8GTFRIVNUPY288VJH","GSON1112151261")</f>
        <v>#NAME?</v>
      </c>
      <c r="L1593" s="8" t="e">
        <f ca="1">[1]!BexGetData("DP_1","003N8EMH8GTFRIVNUPY2891V1","GSON1112151261")</f>
        <v>#NAME?</v>
      </c>
      <c r="M1593" s="8" t="e">
        <f ca="1">[1]!BexGetData("DP_1","003N8EMH8GTFRIVOG7KG9IQXA","GSON1112151261")</f>
        <v>#NAME?</v>
      </c>
      <c r="N1593" s="8" t="e">
        <f ca="1">[1]!BexGetData("DP_1","003N8EMH8GTFRIVOG7KG9IX8U","GSON1112151261")</f>
        <v>#NAME?</v>
      </c>
      <c r="O1593" s="8" t="e">
        <f ca="1">[1]!BexGetData("DP_1","003N8EMH8GTFRIVOG7KG9J3KE","GSON1112151261")</f>
        <v>#NAME?</v>
      </c>
      <c r="P1593" s="8" t="e">
        <f ca="1">[1]!BexGetData("DP_1","003N8EMH8GTFRIVOG7KG9J9VY","GSON1112151261")</f>
        <v>#NAME?</v>
      </c>
      <c r="Q1593" s="4" t="e">
        <f ca="1">[1]!BexGetData("DP_1","00O2TNJGODT0G5Z4TTKYMM5MT","GSON1112151261")</f>
        <v>#NAME?</v>
      </c>
      <c r="R1593" s="4" t="e">
        <f ca="1">[1]!BexGetData("DP_1","00O2TNJGODT0G5Z4TTKYMMBYD","GSON1112151261")</f>
        <v>#NAME?</v>
      </c>
      <c r="S1593" s="4" t="e">
        <f ca="1">[1]!BexGetData("DP_1","00O2TNJGODT0G5Z4TTKYMMI9X","GSON1112151261")</f>
        <v>#NAME?</v>
      </c>
      <c r="T1593" s="4" t="e">
        <f ca="1">[1]!BexGetData("DP_1","00O2TNJGODT0G5Z4TTKYMMOLH","GSON1112151261")</f>
        <v>#NAME?</v>
      </c>
      <c r="U1593" s="4" t="e">
        <f ca="1">[1]!BexGetData("DP_1","00O2TNJGODT0G5Z4TTKYMMUX1","GSON1112151261")</f>
        <v>#NAME?</v>
      </c>
      <c r="V1593" s="4" t="e">
        <f ca="1">[1]!BexGetData("DP_1","00O2TNJGODT0G5Z4TTKYMN18L","GSON1112151261")</f>
        <v>#NAME?</v>
      </c>
      <c r="W1593" s="4" t="e">
        <f ca="1">[1]!BexGetData("DP_1","00O2TNJGODT0G5Z4TTKYMN7K5","GSON1112151261")</f>
        <v>#NAME?</v>
      </c>
    </row>
    <row r="1594" spans="1:23" x14ac:dyDescent="0.2">
      <c r="A1594" s="16" t="s">
        <v>4127</v>
      </c>
      <c r="B1594" s="7" t="s">
        <v>4128</v>
      </c>
      <c r="C1594" s="3" t="e">
        <f ca="1">[1]!BexGetData("DP_1","003N8EMH8GTFRCSWKMPXRR8GU","GSON1112151263")</f>
        <v>#NAME?</v>
      </c>
      <c r="D1594" s="3" t="e">
        <f ca="1">[1]!BexGetData("DP_1","003N8EMH8GTFRCSWKMPXRRESE","GSON1112151263")</f>
        <v>#NAME?</v>
      </c>
      <c r="E1594" s="8" t="e">
        <f ca="1">[1]!BexGetData("DP_1","003N8EMH8GTFRCSWKMPXRRL3Y","GSON1112151263")</f>
        <v>#NAME?</v>
      </c>
      <c r="F1594" s="4" t="e">
        <f ca="1">[1]!BexGetData("DP_1","003N8EMH8GTFRCSWKMPXRRRFI","GSON1112151263")</f>
        <v>#NAME?</v>
      </c>
      <c r="G1594" s="4" t="e">
        <f ca="1">[1]!BexGetData("DP_1","003N8EMH8GTFRCSWKMPXRRXR2","GSON1112151263")</f>
        <v>#NAME?</v>
      </c>
      <c r="H1594" s="4" t="e">
        <f ca="1">[1]!BexGetData("DP_1","003N8EMH8GTFRCSWKMPXRS42M","GSON1112151263")</f>
        <v>#NAME?</v>
      </c>
      <c r="I1594" s="4" t="e">
        <f ca="1">[1]!BexGetData("DP_1","003N8EMH8GTFRCSWKMPXRSAE6","GSON1112151263")</f>
        <v>#NAME?</v>
      </c>
      <c r="J1594" s="4" t="e">
        <f ca="1">[1]!BexGetData("DP_1","003N8EMH8GTFRCSWKMPXRSGPQ","GSON1112151263")</f>
        <v>#NAME?</v>
      </c>
      <c r="K1594" s="8" t="e">
        <f ca="1">[1]!BexGetData("DP_1","003N8EMH8GTFRIVNUPY288VJH","GSON1112151263")</f>
        <v>#NAME?</v>
      </c>
      <c r="L1594" s="8" t="e">
        <f ca="1">[1]!BexGetData("DP_1","003N8EMH8GTFRIVNUPY2891V1","GSON1112151263")</f>
        <v>#NAME?</v>
      </c>
      <c r="M1594" s="8" t="e">
        <f ca="1">[1]!BexGetData("DP_1","003N8EMH8GTFRIVOG7KG9IQXA","GSON1112151263")</f>
        <v>#NAME?</v>
      </c>
      <c r="N1594" s="8" t="e">
        <f ca="1">[1]!BexGetData("DP_1","003N8EMH8GTFRIVOG7KG9IX8U","GSON1112151263")</f>
        <v>#NAME?</v>
      </c>
      <c r="O1594" s="8" t="e">
        <f ca="1">[1]!BexGetData("DP_1","003N8EMH8GTFRIVOG7KG9J3KE","GSON1112151263")</f>
        <v>#NAME?</v>
      </c>
      <c r="P1594" s="8" t="e">
        <f ca="1">[1]!BexGetData("DP_1","003N8EMH8GTFRIVOG7KG9J9VY","GSON1112151263")</f>
        <v>#NAME?</v>
      </c>
      <c r="Q1594" s="4" t="e">
        <f ca="1">[1]!BexGetData("DP_1","00O2TNJGODT0G5Z4TTKYMM5MT","GSON1112151263")</f>
        <v>#NAME?</v>
      </c>
      <c r="R1594" s="4" t="e">
        <f ca="1">[1]!BexGetData("DP_1","00O2TNJGODT0G5Z4TTKYMMBYD","GSON1112151263")</f>
        <v>#NAME?</v>
      </c>
      <c r="S1594" s="4" t="e">
        <f ca="1">[1]!BexGetData("DP_1","00O2TNJGODT0G5Z4TTKYMMI9X","GSON1112151263")</f>
        <v>#NAME?</v>
      </c>
      <c r="T1594" s="4" t="e">
        <f ca="1">[1]!BexGetData("DP_1","00O2TNJGODT0G5Z4TTKYMMOLH","GSON1112151263")</f>
        <v>#NAME?</v>
      </c>
      <c r="U1594" s="4" t="e">
        <f ca="1">[1]!BexGetData("DP_1","00O2TNJGODT0G5Z4TTKYMMUX1","GSON1112151263")</f>
        <v>#NAME?</v>
      </c>
      <c r="V1594" s="4" t="e">
        <f ca="1">[1]!BexGetData("DP_1","00O2TNJGODT0G5Z4TTKYMN18L","GSON1112151263")</f>
        <v>#NAME?</v>
      </c>
      <c r="W1594" s="4" t="e">
        <f ca="1">[1]!BexGetData("DP_1","00O2TNJGODT0G5Z4TTKYMN7K5","GSON1112151263")</f>
        <v>#NAME?</v>
      </c>
    </row>
    <row r="1595" spans="1:23" x14ac:dyDescent="0.2">
      <c r="A1595" s="16" t="s">
        <v>4129</v>
      </c>
      <c r="B1595" s="7" t="s">
        <v>4130</v>
      </c>
      <c r="C1595" s="3" t="e">
        <f ca="1">[1]!BexGetData("DP_1","003N8EMH8GTFRCSWKMPXRR8GU","GSON1112151265")</f>
        <v>#NAME?</v>
      </c>
      <c r="D1595" s="3" t="e">
        <f ca="1">[1]!BexGetData("DP_1","003N8EMH8GTFRCSWKMPXRRESE","GSON1112151265")</f>
        <v>#NAME?</v>
      </c>
      <c r="E1595" s="8" t="e">
        <f ca="1">[1]!BexGetData("DP_1","003N8EMH8GTFRCSWKMPXRRL3Y","GSON1112151265")</f>
        <v>#NAME?</v>
      </c>
      <c r="F1595" s="4" t="e">
        <f ca="1">[1]!BexGetData("DP_1","003N8EMH8GTFRCSWKMPXRRRFI","GSON1112151265")</f>
        <v>#NAME?</v>
      </c>
      <c r="G1595" s="4" t="e">
        <f ca="1">[1]!BexGetData("DP_1","003N8EMH8GTFRCSWKMPXRRXR2","GSON1112151265")</f>
        <v>#NAME?</v>
      </c>
      <c r="H1595" s="4" t="e">
        <f ca="1">[1]!BexGetData("DP_1","003N8EMH8GTFRCSWKMPXRS42M","GSON1112151265")</f>
        <v>#NAME?</v>
      </c>
      <c r="I1595" s="4" t="e">
        <f ca="1">[1]!BexGetData("DP_1","003N8EMH8GTFRCSWKMPXRSAE6","GSON1112151265")</f>
        <v>#NAME?</v>
      </c>
      <c r="J1595" s="4" t="e">
        <f ca="1">[1]!BexGetData("DP_1","003N8EMH8GTFRCSWKMPXRSGPQ","GSON1112151265")</f>
        <v>#NAME?</v>
      </c>
      <c r="K1595" s="8" t="e">
        <f ca="1">[1]!BexGetData("DP_1","003N8EMH8GTFRIVNUPY288VJH","GSON1112151265")</f>
        <v>#NAME?</v>
      </c>
      <c r="L1595" s="8" t="e">
        <f ca="1">[1]!BexGetData("DP_1","003N8EMH8GTFRIVNUPY2891V1","GSON1112151265")</f>
        <v>#NAME?</v>
      </c>
      <c r="M1595" s="8" t="e">
        <f ca="1">[1]!BexGetData("DP_1","003N8EMH8GTFRIVOG7KG9IQXA","GSON1112151265")</f>
        <v>#NAME?</v>
      </c>
      <c r="N1595" s="8" t="e">
        <f ca="1">[1]!BexGetData("DP_1","003N8EMH8GTFRIVOG7KG9IX8U","GSON1112151265")</f>
        <v>#NAME?</v>
      </c>
      <c r="O1595" s="8" t="e">
        <f ca="1">[1]!BexGetData("DP_1","003N8EMH8GTFRIVOG7KG9J3KE","GSON1112151265")</f>
        <v>#NAME?</v>
      </c>
      <c r="P1595" s="8" t="e">
        <f ca="1">[1]!BexGetData("DP_1","003N8EMH8GTFRIVOG7KG9J9VY","GSON1112151265")</f>
        <v>#NAME?</v>
      </c>
      <c r="Q1595" s="4" t="e">
        <f ca="1">[1]!BexGetData("DP_1","00O2TNJGODT0G5Z4TTKYMM5MT","GSON1112151265")</f>
        <v>#NAME?</v>
      </c>
      <c r="R1595" s="4" t="e">
        <f ca="1">[1]!BexGetData("DP_1","00O2TNJGODT0G5Z4TTKYMMBYD","GSON1112151265")</f>
        <v>#NAME?</v>
      </c>
      <c r="S1595" s="4" t="e">
        <f ca="1">[1]!BexGetData("DP_1","00O2TNJGODT0G5Z4TTKYMMI9X","GSON1112151265")</f>
        <v>#NAME?</v>
      </c>
      <c r="T1595" s="4" t="e">
        <f ca="1">[1]!BexGetData("DP_1","00O2TNJGODT0G5Z4TTKYMMOLH","GSON1112151265")</f>
        <v>#NAME?</v>
      </c>
      <c r="U1595" s="4" t="e">
        <f ca="1">[1]!BexGetData("DP_1","00O2TNJGODT0G5Z4TTKYMMUX1","GSON1112151265")</f>
        <v>#NAME?</v>
      </c>
      <c r="V1595" s="4" t="e">
        <f ca="1">[1]!BexGetData("DP_1","00O2TNJGODT0G5Z4TTKYMN18L","GSON1112151265")</f>
        <v>#NAME?</v>
      </c>
      <c r="W1595" s="4" t="e">
        <f ca="1">[1]!BexGetData("DP_1","00O2TNJGODT0G5Z4TTKYMN7K5","GSON1112151265")</f>
        <v>#NAME?</v>
      </c>
    </row>
    <row r="1596" spans="1:23" x14ac:dyDescent="0.2">
      <c r="A1596" s="16" t="s">
        <v>4131</v>
      </c>
      <c r="B1596" s="7" t="s">
        <v>4132</v>
      </c>
      <c r="C1596" s="3" t="e">
        <f ca="1">[1]!BexGetData("DP_1","003N8EMH8GTFRCSWKMPXRR8GU","GSON1112151270")</f>
        <v>#NAME?</v>
      </c>
      <c r="D1596" s="3" t="e">
        <f ca="1">[1]!BexGetData("DP_1","003N8EMH8GTFRCSWKMPXRRESE","GSON1112151270")</f>
        <v>#NAME?</v>
      </c>
      <c r="E1596" s="3" t="e">
        <f ca="1">[1]!BexGetData("DP_1","003N8EMH8GTFRCSWKMPXRRL3Y","GSON1112151270")</f>
        <v>#NAME?</v>
      </c>
      <c r="F1596" s="4" t="e">
        <f ca="1">[1]!BexGetData("DP_1","003N8EMH8GTFRCSWKMPXRRRFI","GSON1112151270")</f>
        <v>#NAME?</v>
      </c>
      <c r="G1596" s="4" t="e">
        <f ca="1">[1]!BexGetData("DP_1","003N8EMH8GTFRCSWKMPXRRXR2","GSON1112151270")</f>
        <v>#NAME?</v>
      </c>
      <c r="H1596" s="4" t="e">
        <f ca="1">[1]!BexGetData("DP_1","003N8EMH8GTFRCSWKMPXRS42M","GSON1112151270")</f>
        <v>#NAME?</v>
      </c>
      <c r="I1596" s="4" t="e">
        <f ca="1">[1]!BexGetData("DP_1","003N8EMH8GTFRCSWKMPXRSAE6","GSON1112151270")</f>
        <v>#NAME?</v>
      </c>
      <c r="J1596" s="4" t="e">
        <f ca="1">[1]!BexGetData("DP_1","003N8EMH8GTFRCSWKMPXRSGPQ","GSON1112151270")</f>
        <v>#NAME?</v>
      </c>
      <c r="K1596" s="3" t="e">
        <f ca="1">[1]!BexGetData("DP_1","003N8EMH8GTFRIVNUPY288VJH","GSON1112151270")</f>
        <v>#NAME?</v>
      </c>
      <c r="L1596" s="3" t="e">
        <f ca="1">[1]!BexGetData("DP_1","003N8EMH8GTFRIVNUPY2891V1","GSON1112151270")</f>
        <v>#NAME?</v>
      </c>
      <c r="M1596" s="8" t="e">
        <f ca="1">[1]!BexGetData("DP_1","003N8EMH8GTFRIVOG7KG9IQXA","GSON1112151270")</f>
        <v>#NAME?</v>
      </c>
      <c r="N1596" s="3" t="e">
        <f ca="1">[1]!BexGetData("DP_1","003N8EMH8GTFRIVOG7KG9IX8U","GSON1112151270")</f>
        <v>#NAME?</v>
      </c>
      <c r="O1596" s="8" t="e">
        <f ca="1">[1]!BexGetData("DP_1","003N8EMH8GTFRIVOG7KG9J3KE","GSON1112151270")</f>
        <v>#NAME?</v>
      </c>
      <c r="P1596" s="3" t="e">
        <f ca="1">[1]!BexGetData("DP_1","003N8EMH8GTFRIVOG7KG9J9VY","GSON1112151270")</f>
        <v>#NAME?</v>
      </c>
      <c r="Q1596" s="4" t="e">
        <f ca="1">[1]!BexGetData("DP_1","00O2TNJGODT0G5Z4TTKYMM5MT","GSON1112151270")</f>
        <v>#NAME?</v>
      </c>
      <c r="R1596" s="4" t="e">
        <f ca="1">[1]!BexGetData("DP_1","00O2TNJGODT0G5Z4TTKYMMBYD","GSON1112151270")</f>
        <v>#NAME?</v>
      </c>
      <c r="S1596" s="4" t="e">
        <f ca="1">[1]!BexGetData("DP_1","00O2TNJGODT0G5Z4TTKYMMI9X","GSON1112151270")</f>
        <v>#NAME?</v>
      </c>
      <c r="T1596" s="4" t="e">
        <f ca="1">[1]!BexGetData("DP_1","00O2TNJGODT0G5Z4TTKYMMOLH","GSON1112151270")</f>
        <v>#NAME?</v>
      </c>
      <c r="U1596" s="4" t="e">
        <f ca="1">[1]!BexGetData("DP_1","00O2TNJGODT0G5Z4TTKYMMUX1","GSON1112151270")</f>
        <v>#NAME?</v>
      </c>
      <c r="V1596" s="4" t="e">
        <f ca="1">[1]!BexGetData("DP_1","00O2TNJGODT0G5Z4TTKYMN18L","GSON1112151270")</f>
        <v>#NAME?</v>
      </c>
      <c r="W1596" s="4" t="e">
        <f ca="1">[1]!BexGetData("DP_1","00O2TNJGODT0G5Z4TTKYMN7K5","GSON1112151270")</f>
        <v>#NAME?</v>
      </c>
    </row>
    <row r="1597" spans="1:23" x14ac:dyDescent="0.2">
      <c r="A1597" s="16" t="s">
        <v>4133</v>
      </c>
      <c r="B1597" s="7" t="s">
        <v>4134</v>
      </c>
      <c r="C1597" s="3" t="e">
        <f ca="1">[1]!BexGetData("DP_1","003N8EMH8GTFRCSWKMPXRR8GU","GSON1112151271")</f>
        <v>#NAME?</v>
      </c>
      <c r="D1597" s="3" t="e">
        <f ca="1">[1]!BexGetData("DP_1","003N8EMH8GTFRCSWKMPXRRESE","GSON1112151271")</f>
        <v>#NAME?</v>
      </c>
      <c r="E1597" s="8" t="e">
        <f ca="1">[1]!BexGetData("DP_1","003N8EMH8GTFRCSWKMPXRRL3Y","GSON1112151271")</f>
        <v>#NAME?</v>
      </c>
      <c r="F1597" s="4" t="e">
        <f ca="1">[1]!BexGetData("DP_1","003N8EMH8GTFRCSWKMPXRRRFI","GSON1112151271")</f>
        <v>#NAME?</v>
      </c>
      <c r="G1597" s="4" t="e">
        <f ca="1">[1]!BexGetData("DP_1","003N8EMH8GTFRCSWKMPXRRXR2","GSON1112151271")</f>
        <v>#NAME?</v>
      </c>
      <c r="H1597" s="4" t="e">
        <f ca="1">[1]!BexGetData("DP_1","003N8EMH8GTFRCSWKMPXRS42M","GSON1112151271")</f>
        <v>#NAME?</v>
      </c>
      <c r="I1597" s="4" t="e">
        <f ca="1">[1]!BexGetData("DP_1","003N8EMH8GTFRCSWKMPXRSAE6","GSON1112151271")</f>
        <v>#NAME?</v>
      </c>
      <c r="J1597" s="4" t="e">
        <f ca="1">[1]!BexGetData("DP_1","003N8EMH8GTFRCSWKMPXRSGPQ","GSON1112151271")</f>
        <v>#NAME?</v>
      </c>
      <c r="K1597" s="8" t="e">
        <f ca="1">[1]!BexGetData("DP_1","003N8EMH8GTFRIVNUPY288VJH","GSON1112151271")</f>
        <v>#NAME?</v>
      </c>
      <c r="L1597" s="8" t="e">
        <f ca="1">[1]!BexGetData("DP_1","003N8EMH8GTFRIVNUPY2891V1","GSON1112151271")</f>
        <v>#NAME?</v>
      </c>
      <c r="M1597" s="8" t="e">
        <f ca="1">[1]!BexGetData("DP_1","003N8EMH8GTFRIVOG7KG9IQXA","GSON1112151271")</f>
        <v>#NAME?</v>
      </c>
      <c r="N1597" s="8" t="e">
        <f ca="1">[1]!BexGetData("DP_1","003N8EMH8GTFRIVOG7KG9IX8U","GSON1112151271")</f>
        <v>#NAME?</v>
      </c>
      <c r="O1597" s="8" t="e">
        <f ca="1">[1]!BexGetData("DP_1","003N8EMH8GTFRIVOG7KG9J3KE","GSON1112151271")</f>
        <v>#NAME?</v>
      </c>
      <c r="P1597" s="8" t="e">
        <f ca="1">[1]!BexGetData("DP_1","003N8EMH8GTFRIVOG7KG9J9VY","GSON1112151271")</f>
        <v>#NAME?</v>
      </c>
      <c r="Q1597" s="4" t="e">
        <f ca="1">[1]!BexGetData("DP_1","00O2TNJGODT0G5Z4TTKYMM5MT","GSON1112151271")</f>
        <v>#NAME?</v>
      </c>
      <c r="R1597" s="4" t="e">
        <f ca="1">[1]!BexGetData("DP_1","00O2TNJGODT0G5Z4TTKYMMBYD","GSON1112151271")</f>
        <v>#NAME?</v>
      </c>
      <c r="S1597" s="4" t="e">
        <f ca="1">[1]!BexGetData("DP_1","00O2TNJGODT0G5Z4TTKYMMI9X","GSON1112151271")</f>
        <v>#NAME?</v>
      </c>
      <c r="T1597" s="4" t="e">
        <f ca="1">[1]!BexGetData("DP_1","00O2TNJGODT0G5Z4TTKYMMOLH","GSON1112151271")</f>
        <v>#NAME?</v>
      </c>
      <c r="U1597" s="4" t="e">
        <f ca="1">[1]!BexGetData("DP_1","00O2TNJGODT0G5Z4TTKYMMUX1","GSON1112151271")</f>
        <v>#NAME?</v>
      </c>
      <c r="V1597" s="4" t="e">
        <f ca="1">[1]!BexGetData("DP_1","00O2TNJGODT0G5Z4TTKYMN18L","GSON1112151271")</f>
        <v>#NAME?</v>
      </c>
      <c r="W1597" s="4" t="e">
        <f ca="1">[1]!BexGetData("DP_1","00O2TNJGODT0G5Z4TTKYMN7K5","GSON1112151271")</f>
        <v>#NAME?</v>
      </c>
    </row>
    <row r="1598" spans="1:23" x14ac:dyDescent="0.2">
      <c r="A1598" s="16" t="s">
        <v>4135</v>
      </c>
      <c r="B1598" s="7" t="s">
        <v>4136</v>
      </c>
      <c r="C1598" s="3" t="e">
        <f ca="1">[1]!BexGetData("DP_1","003N8EMH8GTFRCSWKMPXRR8GU","GSON1112151273")</f>
        <v>#NAME?</v>
      </c>
      <c r="D1598" s="3" t="e">
        <f ca="1">[1]!BexGetData("DP_1","003N8EMH8GTFRCSWKMPXRRESE","GSON1112151273")</f>
        <v>#NAME?</v>
      </c>
      <c r="E1598" s="8" t="e">
        <f ca="1">[1]!BexGetData("DP_1","003N8EMH8GTFRCSWKMPXRRL3Y","GSON1112151273")</f>
        <v>#NAME?</v>
      </c>
      <c r="F1598" s="4" t="e">
        <f ca="1">[1]!BexGetData("DP_1","003N8EMH8GTFRCSWKMPXRRRFI","GSON1112151273")</f>
        <v>#NAME?</v>
      </c>
      <c r="G1598" s="4" t="e">
        <f ca="1">[1]!BexGetData("DP_1","003N8EMH8GTFRCSWKMPXRRXR2","GSON1112151273")</f>
        <v>#NAME?</v>
      </c>
      <c r="H1598" s="4" t="e">
        <f ca="1">[1]!BexGetData("DP_1","003N8EMH8GTFRCSWKMPXRS42M","GSON1112151273")</f>
        <v>#NAME?</v>
      </c>
      <c r="I1598" s="4" t="e">
        <f ca="1">[1]!BexGetData("DP_1","003N8EMH8GTFRCSWKMPXRSAE6","GSON1112151273")</f>
        <v>#NAME?</v>
      </c>
      <c r="J1598" s="4" t="e">
        <f ca="1">[1]!BexGetData("DP_1","003N8EMH8GTFRCSWKMPXRSGPQ","GSON1112151273")</f>
        <v>#NAME?</v>
      </c>
      <c r="K1598" s="8" t="e">
        <f ca="1">[1]!BexGetData("DP_1","003N8EMH8GTFRIVNUPY288VJH","GSON1112151273")</f>
        <v>#NAME?</v>
      </c>
      <c r="L1598" s="8" t="e">
        <f ca="1">[1]!BexGetData("DP_1","003N8EMH8GTFRIVNUPY2891V1","GSON1112151273")</f>
        <v>#NAME?</v>
      </c>
      <c r="M1598" s="8" t="e">
        <f ca="1">[1]!BexGetData("DP_1","003N8EMH8GTFRIVOG7KG9IQXA","GSON1112151273")</f>
        <v>#NAME?</v>
      </c>
      <c r="N1598" s="8" t="e">
        <f ca="1">[1]!BexGetData("DP_1","003N8EMH8GTFRIVOG7KG9IX8U","GSON1112151273")</f>
        <v>#NAME?</v>
      </c>
      <c r="O1598" s="8" t="e">
        <f ca="1">[1]!BexGetData("DP_1","003N8EMH8GTFRIVOG7KG9J3KE","GSON1112151273")</f>
        <v>#NAME?</v>
      </c>
      <c r="P1598" s="8" t="e">
        <f ca="1">[1]!BexGetData("DP_1","003N8EMH8GTFRIVOG7KG9J9VY","GSON1112151273")</f>
        <v>#NAME?</v>
      </c>
      <c r="Q1598" s="4" t="e">
        <f ca="1">[1]!BexGetData("DP_1","00O2TNJGODT0G5Z4TTKYMM5MT","GSON1112151273")</f>
        <v>#NAME?</v>
      </c>
      <c r="R1598" s="4" t="e">
        <f ca="1">[1]!BexGetData("DP_1","00O2TNJGODT0G5Z4TTKYMMBYD","GSON1112151273")</f>
        <v>#NAME?</v>
      </c>
      <c r="S1598" s="4" t="e">
        <f ca="1">[1]!BexGetData("DP_1","00O2TNJGODT0G5Z4TTKYMMI9X","GSON1112151273")</f>
        <v>#NAME?</v>
      </c>
      <c r="T1598" s="4" t="e">
        <f ca="1">[1]!BexGetData("DP_1","00O2TNJGODT0G5Z4TTKYMMOLH","GSON1112151273")</f>
        <v>#NAME?</v>
      </c>
      <c r="U1598" s="4" t="e">
        <f ca="1">[1]!BexGetData("DP_1","00O2TNJGODT0G5Z4TTKYMMUX1","GSON1112151273")</f>
        <v>#NAME?</v>
      </c>
      <c r="V1598" s="4" t="e">
        <f ca="1">[1]!BexGetData("DP_1","00O2TNJGODT0G5Z4TTKYMN18L","GSON1112151273")</f>
        <v>#NAME?</v>
      </c>
      <c r="W1598" s="4" t="e">
        <f ca="1">[1]!BexGetData("DP_1","00O2TNJGODT0G5Z4TTKYMN7K5","GSON1112151273")</f>
        <v>#NAME?</v>
      </c>
    </row>
    <row r="1599" spans="1:23" x14ac:dyDescent="0.2">
      <c r="A1599" s="16" t="s">
        <v>4137</v>
      </c>
      <c r="B1599" s="7" t="s">
        <v>4138</v>
      </c>
      <c r="C1599" s="3" t="e">
        <f ca="1">[1]!BexGetData("DP_1","003N8EMH8GTFRCSWKMPXRR8GU","GSON1112151274")</f>
        <v>#NAME?</v>
      </c>
      <c r="D1599" s="3" t="e">
        <f ca="1">[1]!BexGetData("DP_1","003N8EMH8GTFRCSWKMPXRRESE","GSON1112151274")</f>
        <v>#NAME?</v>
      </c>
      <c r="E1599" s="8" t="e">
        <f ca="1">[1]!BexGetData("DP_1","003N8EMH8GTFRCSWKMPXRRL3Y","GSON1112151274")</f>
        <v>#NAME?</v>
      </c>
      <c r="F1599" s="4" t="e">
        <f ca="1">[1]!BexGetData("DP_1","003N8EMH8GTFRCSWKMPXRRRFI","GSON1112151274")</f>
        <v>#NAME?</v>
      </c>
      <c r="G1599" s="4" t="e">
        <f ca="1">[1]!BexGetData("DP_1","003N8EMH8GTFRCSWKMPXRRXR2","GSON1112151274")</f>
        <v>#NAME?</v>
      </c>
      <c r="H1599" s="4" t="e">
        <f ca="1">[1]!BexGetData("DP_1","003N8EMH8GTFRCSWKMPXRS42M","GSON1112151274")</f>
        <v>#NAME?</v>
      </c>
      <c r="I1599" s="4" t="e">
        <f ca="1">[1]!BexGetData("DP_1","003N8EMH8GTFRCSWKMPXRSAE6","GSON1112151274")</f>
        <v>#NAME?</v>
      </c>
      <c r="J1599" s="4" t="e">
        <f ca="1">[1]!BexGetData("DP_1","003N8EMH8GTFRCSWKMPXRSGPQ","GSON1112151274")</f>
        <v>#NAME?</v>
      </c>
      <c r="K1599" s="8" t="e">
        <f ca="1">[1]!BexGetData("DP_1","003N8EMH8GTFRIVNUPY288VJH","GSON1112151274")</f>
        <v>#NAME?</v>
      </c>
      <c r="L1599" s="8" t="e">
        <f ca="1">[1]!BexGetData("DP_1","003N8EMH8GTFRIVNUPY2891V1","GSON1112151274")</f>
        <v>#NAME?</v>
      </c>
      <c r="M1599" s="8" t="e">
        <f ca="1">[1]!BexGetData("DP_1","003N8EMH8GTFRIVOG7KG9IQXA","GSON1112151274")</f>
        <v>#NAME?</v>
      </c>
      <c r="N1599" s="8" t="e">
        <f ca="1">[1]!BexGetData("DP_1","003N8EMH8GTFRIVOG7KG9IX8U","GSON1112151274")</f>
        <v>#NAME?</v>
      </c>
      <c r="O1599" s="8" t="e">
        <f ca="1">[1]!BexGetData("DP_1","003N8EMH8GTFRIVOG7KG9J3KE","GSON1112151274")</f>
        <v>#NAME?</v>
      </c>
      <c r="P1599" s="8" t="e">
        <f ca="1">[1]!BexGetData("DP_1","003N8EMH8GTFRIVOG7KG9J9VY","GSON1112151274")</f>
        <v>#NAME?</v>
      </c>
      <c r="Q1599" s="4" t="e">
        <f ca="1">[1]!BexGetData("DP_1","00O2TNJGODT0G5Z4TTKYMM5MT","GSON1112151274")</f>
        <v>#NAME?</v>
      </c>
      <c r="R1599" s="4" t="e">
        <f ca="1">[1]!BexGetData("DP_1","00O2TNJGODT0G5Z4TTKYMMBYD","GSON1112151274")</f>
        <v>#NAME?</v>
      </c>
      <c r="S1599" s="4" t="e">
        <f ca="1">[1]!BexGetData("DP_1","00O2TNJGODT0G5Z4TTKYMMI9X","GSON1112151274")</f>
        <v>#NAME?</v>
      </c>
      <c r="T1599" s="4" t="e">
        <f ca="1">[1]!BexGetData("DP_1","00O2TNJGODT0G5Z4TTKYMMOLH","GSON1112151274")</f>
        <v>#NAME?</v>
      </c>
      <c r="U1599" s="4" t="e">
        <f ca="1">[1]!BexGetData("DP_1","00O2TNJGODT0G5Z4TTKYMMUX1","GSON1112151274")</f>
        <v>#NAME?</v>
      </c>
      <c r="V1599" s="4" t="e">
        <f ca="1">[1]!BexGetData("DP_1","00O2TNJGODT0G5Z4TTKYMN18L","GSON1112151274")</f>
        <v>#NAME?</v>
      </c>
      <c r="W1599" s="4" t="e">
        <f ca="1">[1]!BexGetData("DP_1","00O2TNJGODT0G5Z4TTKYMN7K5","GSON1112151274")</f>
        <v>#NAME?</v>
      </c>
    </row>
    <row r="1600" spans="1:23" x14ac:dyDescent="0.2">
      <c r="A1600" s="16" t="s">
        <v>4139</v>
      </c>
      <c r="B1600" s="7" t="s">
        <v>4140</v>
      </c>
      <c r="C1600" s="3" t="e">
        <f ca="1">[1]!BexGetData("DP_1","003N8EMH8GTFRCSWKMPXRR8GU","GSON1112151275")</f>
        <v>#NAME?</v>
      </c>
      <c r="D1600" s="3" t="e">
        <f ca="1">[1]!BexGetData("DP_1","003N8EMH8GTFRCSWKMPXRRESE","GSON1112151275")</f>
        <v>#NAME?</v>
      </c>
      <c r="E1600" s="8" t="e">
        <f ca="1">[1]!BexGetData("DP_1","003N8EMH8GTFRCSWKMPXRRL3Y","GSON1112151275")</f>
        <v>#NAME?</v>
      </c>
      <c r="F1600" s="4" t="e">
        <f ca="1">[1]!BexGetData("DP_1","003N8EMH8GTFRCSWKMPXRRRFI","GSON1112151275")</f>
        <v>#NAME?</v>
      </c>
      <c r="G1600" s="4" t="e">
        <f ca="1">[1]!BexGetData("DP_1","003N8EMH8GTFRCSWKMPXRRXR2","GSON1112151275")</f>
        <v>#NAME?</v>
      </c>
      <c r="H1600" s="4" t="e">
        <f ca="1">[1]!BexGetData("DP_1","003N8EMH8GTFRCSWKMPXRS42M","GSON1112151275")</f>
        <v>#NAME?</v>
      </c>
      <c r="I1600" s="4" t="e">
        <f ca="1">[1]!BexGetData("DP_1","003N8EMH8GTFRCSWKMPXRSAE6","GSON1112151275")</f>
        <v>#NAME?</v>
      </c>
      <c r="J1600" s="4" t="e">
        <f ca="1">[1]!BexGetData("DP_1","003N8EMH8GTFRCSWKMPXRSGPQ","GSON1112151275")</f>
        <v>#NAME?</v>
      </c>
      <c r="K1600" s="8" t="e">
        <f ca="1">[1]!BexGetData("DP_1","003N8EMH8GTFRIVNUPY288VJH","GSON1112151275")</f>
        <v>#NAME?</v>
      </c>
      <c r="L1600" s="8" t="e">
        <f ca="1">[1]!BexGetData("DP_1","003N8EMH8GTFRIVNUPY2891V1","GSON1112151275")</f>
        <v>#NAME?</v>
      </c>
      <c r="M1600" s="8" t="e">
        <f ca="1">[1]!BexGetData("DP_1","003N8EMH8GTFRIVOG7KG9IQXA","GSON1112151275")</f>
        <v>#NAME?</v>
      </c>
      <c r="N1600" s="8" t="e">
        <f ca="1">[1]!BexGetData("DP_1","003N8EMH8GTFRIVOG7KG9IX8U","GSON1112151275")</f>
        <v>#NAME?</v>
      </c>
      <c r="O1600" s="8" t="e">
        <f ca="1">[1]!BexGetData("DP_1","003N8EMH8GTFRIVOG7KG9J3KE","GSON1112151275")</f>
        <v>#NAME?</v>
      </c>
      <c r="P1600" s="8" t="e">
        <f ca="1">[1]!BexGetData("DP_1","003N8EMH8GTFRIVOG7KG9J9VY","GSON1112151275")</f>
        <v>#NAME?</v>
      </c>
      <c r="Q1600" s="4" t="e">
        <f ca="1">[1]!BexGetData("DP_1","00O2TNJGODT0G5Z4TTKYMM5MT","GSON1112151275")</f>
        <v>#NAME?</v>
      </c>
      <c r="R1600" s="4" t="e">
        <f ca="1">[1]!BexGetData("DP_1","00O2TNJGODT0G5Z4TTKYMMBYD","GSON1112151275")</f>
        <v>#NAME?</v>
      </c>
      <c r="S1600" s="4" t="e">
        <f ca="1">[1]!BexGetData("DP_1","00O2TNJGODT0G5Z4TTKYMMI9X","GSON1112151275")</f>
        <v>#NAME?</v>
      </c>
      <c r="T1600" s="4" t="e">
        <f ca="1">[1]!BexGetData("DP_1","00O2TNJGODT0G5Z4TTKYMMOLH","GSON1112151275")</f>
        <v>#NAME?</v>
      </c>
      <c r="U1600" s="4" t="e">
        <f ca="1">[1]!BexGetData("DP_1","00O2TNJGODT0G5Z4TTKYMMUX1","GSON1112151275")</f>
        <v>#NAME?</v>
      </c>
      <c r="V1600" s="4" t="e">
        <f ca="1">[1]!BexGetData("DP_1","00O2TNJGODT0G5Z4TTKYMN18L","GSON1112151275")</f>
        <v>#NAME?</v>
      </c>
      <c r="W1600" s="4" t="e">
        <f ca="1">[1]!BexGetData("DP_1","00O2TNJGODT0G5Z4TTKYMN7K5","GSON1112151275")</f>
        <v>#NAME?</v>
      </c>
    </row>
    <row r="1601" spans="1:23" x14ac:dyDescent="0.2">
      <c r="A1601" s="16" t="s">
        <v>4141</v>
      </c>
      <c r="B1601" s="7" t="s">
        <v>4142</v>
      </c>
      <c r="C1601" s="3" t="e">
        <f ca="1">[1]!BexGetData("DP_1","003N8EMH8GTFRCSWKMPXRR8GU","GSON1112151290")</f>
        <v>#NAME?</v>
      </c>
      <c r="D1601" s="3" t="e">
        <f ca="1">[1]!BexGetData("DP_1","003N8EMH8GTFRCSWKMPXRRESE","GSON1112151290")</f>
        <v>#NAME?</v>
      </c>
      <c r="E1601" s="3" t="e">
        <f ca="1">[1]!BexGetData("DP_1","003N8EMH8GTFRCSWKMPXRRL3Y","GSON1112151290")</f>
        <v>#NAME?</v>
      </c>
      <c r="F1601" s="4" t="e">
        <f ca="1">[1]!BexGetData("DP_1","003N8EMH8GTFRCSWKMPXRRRFI","GSON1112151290")</f>
        <v>#NAME?</v>
      </c>
      <c r="G1601" s="4" t="e">
        <f ca="1">[1]!BexGetData("DP_1","003N8EMH8GTFRCSWKMPXRRXR2","GSON1112151290")</f>
        <v>#NAME?</v>
      </c>
      <c r="H1601" s="4" t="e">
        <f ca="1">[1]!BexGetData("DP_1","003N8EMH8GTFRCSWKMPXRS42M","GSON1112151290")</f>
        <v>#NAME?</v>
      </c>
      <c r="I1601" s="4" t="e">
        <f ca="1">[1]!BexGetData("DP_1","003N8EMH8GTFRCSWKMPXRSAE6","GSON1112151290")</f>
        <v>#NAME?</v>
      </c>
      <c r="J1601" s="4" t="e">
        <f ca="1">[1]!BexGetData("DP_1","003N8EMH8GTFRCSWKMPXRSGPQ","GSON1112151290")</f>
        <v>#NAME?</v>
      </c>
      <c r="K1601" s="3" t="e">
        <f ca="1">[1]!BexGetData("DP_1","003N8EMH8GTFRIVNUPY288VJH","GSON1112151290")</f>
        <v>#NAME?</v>
      </c>
      <c r="L1601" s="3" t="e">
        <f ca="1">[1]!BexGetData("DP_1","003N8EMH8GTFRIVNUPY2891V1","GSON1112151290")</f>
        <v>#NAME?</v>
      </c>
      <c r="M1601" s="8" t="e">
        <f ca="1">[1]!BexGetData("DP_1","003N8EMH8GTFRIVOG7KG9IQXA","GSON1112151290")</f>
        <v>#NAME?</v>
      </c>
      <c r="N1601" s="3" t="e">
        <f ca="1">[1]!BexGetData("DP_1","003N8EMH8GTFRIVOG7KG9IX8U","GSON1112151290")</f>
        <v>#NAME?</v>
      </c>
      <c r="O1601" s="8" t="e">
        <f ca="1">[1]!BexGetData("DP_1","003N8EMH8GTFRIVOG7KG9J3KE","GSON1112151290")</f>
        <v>#NAME?</v>
      </c>
      <c r="P1601" s="3" t="e">
        <f ca="1">[1]!BexGetData("DP_1","003N8EMH8GTFRIVOG7KG9J9VY","GSON1112151290")</f>
        <v>#NAME?</v>
      </c>
      <c r="Q1601" s="4" t="e">
        <f ca="1">[1]!BexGetData("DP_1","00O2TNJGODT0G5Z4TTKYMM5MT","GSON1112151290")</f>
        <v>#NAME?</v>
      </c>
      <c r="R1601" s="4" t="e">
        <f ca="1">[1]!BexGetData("DP_1","00O2TNJGODT0G5Z4TTKYMMBYD","GSON1112151290")</f>
        <v>#NAME?</v>
      </c>
      <c r="S1601" s="4" t="e">
        <f ca="1">[1]!BexGetData("DP_1","00O2TNJGODT0G5Z4TTKYMMI9X","GSON1112151290")</f>
        <v>#NAME?</v>
      </c>
      <c r="T1601" s="4" t="e">
        <f ca="1">[1]!BexGetData("DP_1","00O2TNJGODT0G5Z4TTKYMMOLH","GSON1112151290")</f>
        <v>#NAME?</v>
      </c>
      <c r="U1601" s="4" t="e">
        <f ca="1">[1]!BexGetData("DP_1","00O2TNJGODT0G5Z4TTKYMMUX1","GSON1112151290")</f>
        <v>#NAME?</v>
      </c>
      <c r="V1601" s="4" t="e">
        <f ca="1">[1]!BexGetData("DP_1","00O2TNJGODT0G5Z4TTKYMN18L","GSON1112151290")</f>
        <v>#NAME?</v>
      </c>
      <c r="W1601" s="4" t="e">
        <f ca="1">[1]!BexGetData("DP_1","00O2TNJGODT0G5Z4TTKYMN7K5","GSON1112151290")</f>
        <v>#NAME?</v>
      </c>
    </row>
    <row r="1602" spans="1:23" x14ac:dyDescent="0.2">
      <c r="A1602" s="16" t="s">
        <v>4143</v>
      </c>
      <c r="B1602" s="7" t="s">
        <v>4144</v>
      </c>
      <c r="C1602" s="3" t="e">
        <f ca="1">[1]!BexGetData("DP_1","003N8EMH8GTFRCSWKMPXRR8GU","GSON1112151291")</f>
        <v>#NAME?</v>
      </c>
      <c r="D1602" s="3" t="e">
        <f ca="1">[1]!BexGetData("DP_1","003N8EMH8GTFRCSWKMPXRRESE","GSON1112151291")</f>
        <v>#NAME?</v>
      </c>
      <c r="E1602" s="8" t="e">
        <f ca="1">[1]!BexGetData("DP_1","003N8EMH8GTFRCSWKMPXRRL3Y","GSON1112151291")</f>
        <v>#NAME?</v>
      </c>
      <c r="F1602" s="4" t="e">
        <f ca="1">[1]!BexGetData("DP_1","003N8EMH8GTFRCSWKMPXRRRFI","GSON1112151291")</f>
        <v>#NAME?</v>
      </c>
      <c r="G1602" s="4" t="e">
        <f ca="1">[1]!BexGetData("DP_1","003N8EMH8GTFRCSWKMPXRRXR2","GSON1112151291")</f>
        <v>#NAME?</v>
      </c>
      <c r="H1602" s="4" t="e">
        <f ca="1">[1]!BexGetData("DP_1","003N8EMH8GTFRCSWKMPXRS42M","GSON1112151291")</f>
        <v>#NAME?</v>
      </c>
      <c r="I1602" s="4" t="e">
        <f ca="1">[1]!BexGetData("DP_1","003N8EMH8GTFRCSWKMPXRSAE6","GSON1112151291")</f>
        <v>#NAME?</v>
      </c>
      <c r="J1602" s="4" t="e">
        <f ca="1">[1]!BexGetData("DP_1","003N8EMH8GTFRCSWKMPXRSGPQ","GSON1112151291")</f>
        <v>#NAME?</v>
      </c>
      <c r="K1602" s="8" t="e">
        <f ca="1">[1]!BexGetData("DP_1","003N8EMH8GTFRIVNUPY288VJH","GSON1112151291")</f>
        <v>#NAME?</v>
      </c>
      <c r="L1602" s="8" t="e">
        <f ca="1">[1]!BexGetData("DP_1","003N8EMH8GTFRIVNUPY2891V1","GSON1112151291")</f>
        <v>#NAME?</v>
      </c>
      <c r="M1602" s="8" t="e">
        <f ca="1">[1]!BexGetData("DP_1","003N8EMH8GTFRIVOG7KG9IQXA","GSON1112151291")</f>
        <v>#NAME?</v>
      </c>
      <c r="N1602" s="8" t="e">
        <f ca="1">[1]!BexGetData("DP_1","003N8EMH8GTFRIVOG7KG9IX8U","GSON1112151291")</f>
        <v>#NAME?</v>
      </c>
      <c r="O1602" s="8" t="e">
        <f ca="1">[1]!BexGetData("DP_1","003N8EMH8GTFRIVOG7KG9J3KE","GSON1112151291")</f>
        <v>#NAME?</v>
      </c>
      <c r="P1602" s="8" t="e">
        <f ca="1">[1]!BexGetData("DP_1","003N8EMH8GTFRIVOG7KG9J9VY","GSON1112151291")</f>
        <v>#NAME?</v>
      </c>
      <c r="Q1602" s="4" t="e">
        <f ca="1">[1]!BexGetData("DP_1","00O2TNJGODT0G5Z4TTKYMM5MT","GSON1112151291")</f>
        <v>#NAME?</v>
      </c>
      <c r="R1602" s="4" t="e">
        <f ca="1">[1]!BexGetData("DP_1","00O2TNJGODT0G5Z4TTKYMMBYD","GSON1112151291")</f>
        <v>#NAME?</v>
      </c>
      <c r="S1602" s="4" t="e">
        <f ca="1">[1]!BexGetData("DP_1","00O2TNJGODT0G5Z4TTKYMMI9X","GSON1112151291")</f>
        <v>#NAME?</v>
      </c>
      <c r="T1602" s="4" t="e">
        <f ca="1">[1]!BexGetData("DP_1","00O2TNJGODT0G5Z4TTKYMMOLH","GSON1112151291")</f>
        <v>#NAME?</v>
      </c>
      <c r="U1602" s="4" t="e">
        <f ca="1">[1]!BexGetData("DP_1","00O2TNJGODT0G5Z4TTKYMMUX1","GSON1112151291")</f>
        <v>#NAME?</v>
      </c>
      <c r="V1602" s="4" t="e">
        <f ca="1">[1]!BexGetData("DP_1","00O2TNJGODT0G5Z4TTKYMN18L","GSON1112151291")</f>
        <v>#NAME?</v>
      </c>
      <c r="W1602" s="4" t="e">
        <f ca="1">[1]!BexGetData("DP_1","00O2TNJGODT0G5Z4TTKYMN7K5","GSON1112151291")</f>
        <v>#NAME?</v>
      </c>
    </row>
    <row r="1603" spans="1:23" x14ac:dyDescent="0.2">
      <c r="A1603" s="16" t="s">
        <v>4145</v>
      </c>
      <c r="B1603" s="7" t="s">
        <v>4146</v>
      </c>
      <c r="C1603" s="3" t="e">
        <f ca="1">[1]!BexGetData("DP_1","003N8EMH8GTFRCSWKMPXRR8GU","GSON1112151293")</f>
        <v>#NAME?</v>
      </c>
      <c r="D1603" s="3" t="e">
        <f ca="1">[1]!BexGetData("DP_1","003N8EMH8GTFRCSWKMPXRRESE","GSON1112151293")</f>
        <v>#NAME?</v>
      </c>
      <c r="E1603" s="8" t="e">
        <f ca="1">[1]!BexGetData("DP_1","003N8EMH8GTFRCSWKMPXRRL3Y","GSON1112151293")</f>
        <v>#NAME?</v>
      </c>
      <c r="F1603" s="4" t="e">
        <f ca="1">[1]!BexGetData("DP_1","003N8EMH8GTFRCSWKMPXRRRFI","GSON1112151293")</f>
        <v>#NAME?</v>
      </c>
      <c r="G1603" s="4" t="e">
        <f ca="1">[1]!BexGetData("DP_1","003N8EMH8GTFRCSWKMPXRRXR2","GSON1112151293")</f>
        <v>#NAME?</v>
      </c>
      <c r="H1603" s="4" t="e">
        <f ca="1">[1]!BexGetData("DP_1","003N8EMH8GTFRCSWKMPXRS42M","GSON1112151293")</f>
        <v>#NAME?</v>
      </c>
      <c r="I1603" s="4" t="e">
        <f ca="1">[1]!BexGetData("DP_1","003N8EMH8GTFRCSWKMPXRSAE6","GSON1112151293")</f>
        <v>#NAME?</v>
      </c>
      <c r="J1603" s="4" t="e">
        <f ca="1">[1]!BexGetData("DP_1","003N8EMH8GTFRCSWKMPXRSGPQ","GSON1112151293")</f>
        <v>#NAME?</v>
      </c>
      <c r="K1603" s="8" t="e">
        <f ca="1">[1]!BexGetData("DP_1","003N8EMH8GTFRIVNUPY288VJH","GSON1112151293")</f>
        <v>#NAME?</v>
      </c>
      <c r="L1603" s="8" t="e">
        <f ca="1">[1]!BexGetData("DP_1","003N8EMH8GTFRIVNUPY2891V1","GSON1112151293")</f>
        <v>#NAME?</v>
      </c>
      <c r="M1603" s="8" t="e">
        <f ca="1">[1]!BexGetData("DP_1","003N8EMH8GTFRIVOG7KG9IQXA","GSON1112151293")</f>
        <v>#NAME?</v>
      </c>
      <c r="N1603" s="8" t="e">
        <f ca="1">[1]!BexGetData("DP_1","003N8EMH8GTFRIVOG7KG9IX8U","GSON1112151293")</f>
        <v>#NAME?</v>
      </c>
      <c r="O1603" s="8" t="e">
        <f ca="1">[1]!BexGetData("DP_1","003N8EMH8GTFRIVOG7KG9J3KE","GSON1112151293")</f>
        <v>#NAME?</v>
      </c>
      <c r="P1603" s="8" t="e">
        <f ca="1">[1]!BexGetData("DP_1","003N8EMH8GTFRIVOG7KG9J9VY","GSON1112151293")</f>
        <v>#NAME?</v>
      </c>
      <c r="Q1603" s="4" t="e">
        <f ca="1">[1]!BexGetData("DP_1","00O2TNJGODT0G5Z4TTKYMM5MT","GSON1112151293")</f>
        <v>#NAME?</v>
      </c>
      <c r="R1603" s="4" t="e">
        <f ca="1">[1]!BexGetData("DP_1","00O2TNJGODT0G5Z4TTKYMMBYD","GSON1112151293")</f>
        <v>#NAME?</v>
      </c>
      <c r="S1603" s="4" t="e">
        <f ca="1">[1]!BexGetData("DP_1","00O2TNJGODT0G5Z4TTKYMMI9X","GSON1112151293")</f>
        <v>#NAME?</v>
      </c>
      <c r="T1603" s="4" t="e">
        <f ca="1">[1]!BexGetData("DP_1","00O2TNJGODT0G5Z4TTKYMMOLH","GSON1112151293")</f>
        <v>#NAME?</v>
      </c>
      <c r="U1603" s="4" t="e">
        <f ca="1">[1]!BexGetData("DP_1","00O2TNJGODT0G5Z4TTKYMMUX1","GSON1112151293")</f>
        <v>#NAME?</v>
      </c>
      <c r="V1603" s="4" t="e">
        <f ca="1">[1]!BexGetData("DP_1","00O2TNJGODT0G5Z4TTKYMN18L","GSON1112151293")</f>
        <v>#NAME?</v>
      </c>
      <c r="W1603" s="4" t="e">
        <f ca="1">[1]!BexGetData("DP_1","00O2TNJGODT0G5Z4TTKYMN7K5","GSON1112151293")</f>
        <v>#NAME?</v>
      </c>
    </row>
    <row r="1604" spans="1:23" x14ac:dyDescent="0.2">
      <c r="A1604" s="16" t="s">
        <v>4147</v>
      </c>
      <c r="B1604" s="7" t="s">
        <v>4148</v>
      </c>
      <c r="C1604" s="3" t="e">
        <f ca="1">[1]!BexGetData("DP_1","003N8EMH8GTFRCSWKMPXRR8GU","GSON1112151295")</f>
        <v>#NAME?</v>
      </c>
      <c r="D1604" s="3" t="e">
        <f ca="1">[1]!BexGetData("DP_1","003N8EMH8GTFRCSWKMPXRRESE","GSON1112151295")</f>
        <v>#NAME?</v>
      </c>
      <c r="E1604" s="8" t="e">
        <f ca="1">[1]!BexGetData("DP_1","003N8EMH8GTFRCSWKMPXRRL3Y","GSON1112151295")</f>
        <v>#NAME?</v>
      </c>
      <c r="F1604" s="4" t="e">
        <f ca="1">[1]!BexGetData("DP_1","003N8EMH8GTFRCSWKMPXRRRFI","GSON1112151295")</f>
        <v>#NAME?</v>
      </c>
      <c r="G1604" s="4" t="e">
        <f ca="1">[1]!BexGetData("DP_1","003N8EMH8GTFRCSWKMPXRRXR2","GSON1112151295")</f>
        <v>#NAME?</v>
      </c>
      <c r="H1604" s="4" t="e">
        <f ca="1">[1]!BexGetData("DP_1","003N8EMH8GTFRCSWKMPXRS42M","GSON1112151295")</f>
        <v>#NAME?</v>
      </c>
      <c r="I1604" s="4" t="e">
        <f ca="1">[1]!BexGetData("DP_1","003N8EMH8GTFRCSWKMPXRSAE6","GSON1112151295")</f>
        <v>#NAME?</v>
      </c>
      <c r="J1604" s="4" t="e">
        <f ca="1">[1]!BexGetData("DP_1","003N8EMH8GTFRCSWKMPXRSGPQ","GSON1112151295")</f>
        <v>#NAME?</v>
      </c>
      <c r="K1604" s="8" t="e">
        <f ca="1">[1]!BexGetData("DP_1","003N8EMH8GTFRIVNUPY288VJH","GSON1112151295")</f>
        <v>#NAME?</v>
      </c>
      <c r="L1604" s="8" t="e">
        <f ca="1">[1]!BexGetData("DP_1","003N8EMH8GTFRIVNUPY2891V1","GSON1112151295")</f>
        <v>#NAME?</v>
      </c>
      <c r="M1604" s="8" t="e">
        <f ca="1">[1]!BexGetData("DP_1","003N8EMH8GTFRIVOG7KG9IQXA","GSON1112151295")</f>
        <v>#NAME?</v>
      </c>
      <c r="N1604" s="8" t="e">
        <f ca="1">[1]!BexGetData("DP_1","003N8EMH8GTFRIVOG7KG9IX8U","GSON1112151295")</f>
        <v>#NAME?</v>
      </c>
      <c r="O1604" s="8" t="e">
        <f ca="1">[1]!BexGetData("DP_1","003N8EMH8GTFRIVOG7KG9J3KE","GSON1112151295")</f>
        <v>#NAME?</v>
      </c>
      <c r="P1604" s="8" t="e">
        <f ca="1">[1]!BexGetData("DP_1","003N8EMH8GTFRIVOG7KG9J9VY","GSON1112151295")</f>
        <v>#NAME?</v>
      </c>
      <c r="Q1604" s="4" t="e">
        <f ca="1">[1]!BexGetData("DP_1","00O2TNJGODT0G5Z4TTKYMM5MT","GSON1112151295")</f>
        <v>#NAME?</v>
      </c>
      <c r="R1604" s="4" t="e">
        <f ca="1">[1]!BexGetData("DP_1","00O2TNJGODT0G5Z4TTKYMMBYD","GSON1112151295")</f>
        <v>#NAME?</v>
      </c>
      <c r="S1604" s="4" t="e">
        <f ca="1">[1]!BexGetData("DP_1","00O2TNJGODT0G5Z4TTKYMMI9X","GSON1112151295")</f>
        <v>#NAME?</v>
      </c>
      <c r="T1604" s="4" t="e">
        <f ca="1">[1]!BexGetData("DP_1","00O2TNJGODT0G5Z4TTKYMMOLH","GSON1112151295")</f>
        <v>#NAME?</v>
      </c>
      <c r="U1604" s="4" t="e">
        <f ca="1">[1]!BexGetData("DP_1","00O2TNJGODT0G5Z4TTKYMMUX1","GSON1112151295")</f>
        <v>#NAME?</v>
      </c>
      <c r="V1604" s="4" t="e">
        <f ca="1">[1]!BexGetData("DP_1","00O2TNJGODT0G5Z4TTKYMN18L","GSON1112151295")</f>
        <v>#NAME?</v>
      </c>
      <c r="W1604" s="4" t="e">
        <f ca="1">[1]!BexGetData("DP_1","00O2TNJGODT0G5Z4TTKYMN7K5","GSON1112151295")</f>
        <v>#NAME?</v>
      </c>
    </row>
    <row r="1605" spans="1:23" x14ac:dyDescent="0.2">
      <c r="A1605" s="16" t="s">
        <v>4149</v>
      </c>
      <c r="B1605" s="7" t="s">
        <v>4150</v>
      </c>
      <c r="C1605" s="3" t="e">
        <f ca="1">[1]!BexGetData("DP_1","003N8EMH8GTFRCSWKMPXRR8GU","GSON1112151300")</f>
        <v>#NAME?</v>
      </c>
      <c r="D1605" s="3" t="e">
        <f ca="1">[1]!BexGetData("DP_1","003N8EMH8GTFRCSWKMPXRRESE","GSON1112151300")</f>
        <v>#NAME?</v>
      </c>
      <c r="E1605" s="3" t="e">
        <f ca="1">[1]!BexGetData("DP_1","003N8EMH8GTFRCSWKMPXRRL3Y","GSON1112151300")</f>
        <v>#NAME?</v>
      </c>
      <c r="F1605" s="4" t="e">
        <f ca="1">[1]!BexGetData("DP_1","003N8EMH8GTFRCSWKMPXRRRFI","GSON1112151300")</f>
        <v>#NAME?</v>
      </c>
      <c r="G1605" s="4" t="e">
        <f ca="1">[1]!BexGetData("DP_1","003N8EMH8GTFRCSWKMPXRRXR2","GSON1112151300")</f>
        <v>#NAME?</v>
      </c>
      <c r="H1605" s="4" t="e">
        <f ca="1">[1]!BexGetData("DP_1","003N8EMH8GTFRCSWKMPXRS42M","GSON1112151300")</f>
        <v>#NAME?</v>
      </c>
      <c r="I1605" s="4" t="e">
        <f ca="1">[1]!BexGetData("DP_1","003N8EMH8GTFRCSWKMPXRSAE6","GSON1112151300")</f>
        <v>#NAME?</v>
      </c>
      <c r="J1605" s="4" t="e">
        <f ca="1">[1]!BexGetData("DP_1","003N8EMH8GTFRCSWKMPXRSGPQ","GSON1112151300")</f>
        <v>#NAME?</v>
      </c>
      <c r="K1605" s="3" t="e">
        <f ca="1">[1]!BexGetData("DP_1","003N8EMH8GTFRIVNUPY288VJH","GSON1112151300")</f>
        <v>#NAME?</v>
      </c>
      <c r="L1605" s="3" t="e">
        <f ca="1">[1]!BexGetData("DP_1","003N8EMH8GTFRIVNUPY2891V1","GSON1112151300")</f>
        <v>#NAME?</v>
      </c>
      <c r="M1605" s="8" t="e">
        <f ca="1">[1]!BexGetData("DP_1","003N8EMH8GTFRIVOG7KG9IQXA","GSON1112151300")</f>
        <v>#NAME?</v>
      </c>
      <c r="N1605" s="3" t="e">
        <f ca="1">[1]!BexGetData("DP_1","003N8EMH8GTFRIVOG7KG9IX8U","GSON1112151300")</f>
        <v>#NAME?</v>
      </c>
      <c r="O1605" s="8" t="e">
        <f ca="1">[1]!BexGetData("DP_1","003N8EMH8GTFRIVOG7KG9J3KE","GSON1112151300")</f>
        <v>#NAME?</v>
      </c>
      <c r="P1605" s="3" t="e">
        <f ca="1">[1]!BexGetData("DP_1","003N8EMH8GTFRIVOG7KG9J9VY","GSON1112151300")</f>
        <v>#NAME?</v>
      </c>
      <c r="Q1605" s="4" t="e">
        <f ca="1">[1]!BexGetData("DP_1","00O2TNJGODT0G5Z4TTKYMM5MT","GSON1112151300")</f>
        <v>#NAME?</v>
      </c>
      <c r="R1605" s="4" t="e">
        <f ca="1">[1]!BexGetData("DP_1","00O2TNJGODT0G5Z4TTKYMMBYD","GSON1112151300")</f>
        <v>#NAME?</v>
      </c>
      <c r="S1605" s="4" t="e">
        <f ca="1">[1]!BexGetData("DP_1","00O2TNJGODT0G5Z4TTKYMMI9X","GSON1112151300")</f>
        <v>#NAME?</v>
      </c>
      <c r="T1605" s="4" t="e">
        <f ca="1">[1]!BexGetData("DP_1","00O2TNJGODT0G5Z4TTKYMMOLH","GSON1112151300")</f>
        <v>#NAME?</v>
      </c>
      <c r="U1605" s="4" t="e">
        <f ca="1">[1]!BexGetData("DP_1","00O2TNJGODT0G5Z4TTKYMMUX1","GSON1112151300")</f>
        <v>#NAME?</v>
      </c>
      <c r="V1605" s="4" t="e">
        <f ca="1">[1]!BexGetData("DP_1","00O2TNJGODT0G5Z4TTKYMN18L","GSON1112151300")</f>
        <v>#NAME?</v>
      </c>
      <c r="W1605" s="4" t="e">
        <f ca="1">[1]!BexGetData("DP_1","00O2TNJGODT0G5Z4TTKYMN7K5","GSON1112151300")</f>
        <v>#NAME?</v>
      </c>
    </row>
    <row r="1606" spans="1:23" x14ac:dyDescent="0.2">
      <c r="A1606" s="16" t="s">
        <v>4151</v>
      </c>
      <c r="B1606" s="7" t="s">
        <v>4152</v>
      </c>
      <c r="C1606" s="3" t="e">
        <f ca="1">[1]!BexGetData("DP_1","003N8EMH8GTFRCSWKMPXRR8GU","GSON1112151301")</f>
        <v>#NAME?</v>
      </c>
      <c r="D1606" s="3" t="e">
        <f ca="1">[1]!BexGetData("DP_1","003N8EMH8GTFRCSWKMPXRRESE","GSON1112151301")</f>
        <v>#NAME?</v>
      </c>
      <c r="E1606" s="8" t="e">
        <f ca="1">[1]!BexGetData("DP_1","003N8EMH8GTFRCSWKMPXRRL3Y","GSON1112151301")</f>
        <v>#NAME?</v>
      </c>
      <c r="F1606" s="4" t="e">
        <f ca="1">[1]!BexGetData("DP_1","003N8EMH8GTFRCSWKMPXRRRFI","GSON1112151301")</f>
        <v>#NAME?</v>
      </c>
      <c r="G1606" s="4" t="e">
        <f ca="1">[1]!BexGetData("DP_1","003N8EMH8GTFRCSWKMPXRRXR2","GSON1112151301")</f>
        <v>#NAME?</v>
      </c>
      <c r="H1606" s="4" t="e">
        <f ca="1">[1]!BexGetData("DP_1","003N8EMH8GTFRCSWKMPXRS42M","GSON1112151301")</f>
        <v>#NAME?</v>
      </c>
      <c r="I1606" s="4" t="e">
        <f ca="1">[1]!BexGetData("DP_1","003N8EMH8GTFRCSWKMPXRSAE6","GSON1112151301")</f>
        <v>#NAME?</v>
      </c>
      <c r="J1606" s="4" t="e">
        <f ca="1">[1]!BexGetData("DP_1","003N8EMH8GTFRCSWKMPXRSGPQ","GSON1112151301")</f>
        <v>#NAME?</v>
      </c>
      <c r="K1606" s="8" t="e">
        <f ca="1">[1]!BexGetData("DP_1","003N8EMH8GTFRIVNUPY288VJH","GSON1112151301")</f>
        <v>#NAME?</v>
      </c>
      <c r="L1606" s="8" t="e">
        <f ca="1">[1]!BexGetData("DP_1","003N8EMH8GTFRIVNUPY2891V1","GSON1112151301")</f>
        <v>#NAME?</v>
      </c>
      <c r="M1606" s="8" t="e">
        <f ca="1">[1]!BexGetData("DP_1","003N8EMH8GTFRIVOG7KG9IQXA","GSON1112151301")</f>
        <v>#NAME?</v>
      </c>
      <c r="N1606" s="8" t="e">
        <f ca="1">[1]!BexGetData("DP_1","003N8EMH8GTFRIVOG7KG9IX8U","GSON1112151301")</f>
        <v>#NAME?</v>
      </c>
      <c r="O1606" s="8" t="e">
        <f ca="1">[1]!BexGetData("DP_1","003N8EMH8GTFRIVOG7KG9J3KE","GSON1112151301")</f>
        <v>#NAME?</v>
      </c>
      <c r="P1606" s="8" t="e">
        <f ca="1">[1]!BexGetData("DP_1","003N8EMH8GTFRIVOG7KG9J9VY","GSON1112151301")</f>
        <v>#NAME?</v>
      </c>
      <c r="Q1606" s="4" t="e">
        <f ca="1">[1]!BexGetData("DP_1","00O2TNJGODT0G5Z4TTKYMM5MT","GSON1112151301")</f>
        <v>#NAME?</v>
      </c>
      <c r="R1606" s="4" t="e">
        <f ca="1">[1]!BexGetData("DP_1","00O2TNJGODT0G5Z4TTKYMMBYD","GSON1112151301")</f>
        <v>#NAME?</v>
      </c>
      <c r="S1606" s="4" t="e">
        <f ca="1">[1]!BexGetData("DP_1","00O2TNJGODT0G5Z4TTKYMMI9X","GSON1112151301")</f>
        <v>#NAME?</v>
      </c>
      <c r="T1606" s="4" t="e">
        <f ca="1">[1]!BexGetData("DP_1","00O2TNJGODT0G5Z4TTKYMMOLH","GSON1112151301")</f>
        <v>#NAME?</v>
      </c>
      <c r="U1606" s="4" t="e">
        <f ca="1">[1]!BexGetData("DP_1","00O2TNJGODT0G5Z4TTKYMMUX1","GSON1112151301")</f>
        <v>#NAME?</v>
      </c>
      <c r="V1606" s="4" t="e">
        <f ca="1">[1]!BexGetData("DP_1","00O2TNJGODT0G5Z4TTKYMN18L","GSON1112151301")</f>
        <v>#NAME?</v>
      </c>
      <c r="W1606" s="4" t="e">
        <f ca="1">[1]!BexGetData("DP_1","00O2TNJGODT0G5Z4TTKYMN7K5","GSON1112151301")</f>
        <v>#NAME?</v>
      </c>
    </row>
    <row r="1607" spans="1:23" x14ac:dyDescent="0.2">
      <c r="A1607" s="16" t="s">
        <v>4153</v>
      </c>
      <c r="B1607" s="7" t="s">
        <v>4154</v>
      </c>
      <c r="C1607" s="3" t="e">
        <f ca="1">[1]!BexGetData("DP_1","003N8EMH8GTFRCSWKMPXRR8GU","GSON1112151303")</f>
        <v>#NAME?</v>
      </c>
      <c r="D1607" s="3" t="e">
        <f ca="1">[1]!BexGetData("DP_1","003N8EMH8GTFRCSWKMPXRRESE","GSON1112151303")</f>
        <v>#NAME?</v>
      </c>
      <c r="E1607" s="8" t="e">
        <f ca="1">[1]!BexGetData("DP_1","003N8EMH8GTFRCSWKMPXRRL3Y","GSON1112151303")</f>
        <v>#NAME?</v>
      </c>
      <c r="F1607" s="4" t="e">
        <f ca="1">[1]!BexGetData("DP_1","003N8EMH8GTFRCSWKMPXRRRFI","GSON1112151303")</f>
        <v>#NAME?</v>
      </c>
      <c r="G1607" s="4" t="e">
        <f ca="1">[1]!BexGetData("DP_1","003N8EMH8GTFRCSWKMPXRRXR2","GSON1112151303")</f>
        <v>#NAME?</v>
      </c>
      <c r="H1607" s="4" t="e">
        <f ca="1">[1]!BexGetData("DP_1","003N8EMH8GTFRCSWKMPXRS42M","GSON1112151303")</f>
        <v>#NAME?</v>
      </c>
      <c r="I1607" s="4" t="e">
        <f ca="1">[1]!BexGetData("DP_1","003N8EMH8GTFRCSWKMPXRSAE6","GSON1112151303")</f>
        <v>#NAME?</v>
      </c>
      <c r="J1607" s="4" t="e">
        <f ca="1">[1]!BexGetData("DP_1","003N8EMH8GTFRCSWKMPXRSGPQ","GSON1112151303")</f>
        <v>#NAME?</v>
      </c>
      <c r="K1607" s="8" t="e">
        <f ca="1">[1]!BexGetData("DP_1","003N8EMH8GTFRIVNUPY288VJH","GSON1112151303")</f>
        <v>#NAME?</v>
      </c>
      <c r="L1607" s="8" t="e">
        <f ca="1">[1]!BexGetData("DP_1","003N8EMH8GTFRIVNUPY2891V1","GSON1112151303")</f>
        <v>#NAME?</v>
      </c>
      <c r="M1607" s="8" t="e">
        <f ca="1">[1]!BexGetData("DP_1","003N8EMH8GTFRIVOG7KG9IQXA","GSON1112151303")</f>
        <v>#NAME?</v>
      </c>
      <c r="N1607" s="8" t="e">
        <f ca="1">[1]!BexGetData("DP_1","003N8EMH8GTFRIVOG7KG9IX8U","GSON1112151303")</f>
        <v>#NAME?</v>
      </c>
      <c r="O1607" s="8" t="e">
        <f ca="1">[1]!BexGetData("DP_1","003N8EMH8GTFRIVOG7KG9J3KE","GSON1112151303")</f>
        <v>#NAME?</v>
      </c>
      <c r="P1607" s="8" t="e">
        <f ca="1">[1]!BexGetData("DP_1","003N8EMH8GTFRIVOG7KG9J9VY","GSON1112151303")</f>
        <v>#NAME?</v>
      </c>
      <c r="Q1607" s="4" t="e">
        <f ca="1">[1]!BexGetData("DP_1","00O2TNJGODT0G5Z4TTKYMM5MT","GSON1112151303")</f>
        <v>#NAME?</v>
      </c>
      <c r="R1607" s="4" t="e">
        <f ca="1">[1]!BexGetData("DP_1","00O2TNJGODT0G5Z4TTKYMMBYD","GSON1112151303")</f>
        <v>#NAME?</v>
      </c>
      <c r="S1607" s="4" t="e">
        <f ca="1">[1]!BexGetData("DP_1","00O2TNJGODT0G5Z4TTKYMMI9X","GSON1112151303")</f>
        <v>#NAME?</v>
      </c>
      <c r="T1607" s="4" t="e">
        <f ca="1">[1]!BexGetData("DP_1","00O2TNJGODT0G5Z4TTKYMMOLH","GSON1112151303")</f>
        <v>#NAME?</v>
      </c>
      <c r="U1607" s="4" t="e">
        <f ca="1">[1]!BexGetData("DP_1","00O2TNJGODT0G5Z4TTKYMMUX1","GSON1112151303")</f>
        <v>#NAME?</v>
      </c>
      <c r="V1607" s="4" t="e">
        <f ca="1">[1]!BexGetData("DP_1","00O2TNJGODT0G5Z4TTKYMN18L","GSON1112151303")</f>
        <v>#NAME?</v>
      </c>
      <c r="W1607" s="4" t="e">
        <f ca="1">[1]!BexGetData("DP_1","00O2TNJGODT0G5Z4TTKYMN7K5","GSON1112151303")</f>
        <v>#NAME?</v>
      </c>
    </row>
    <row r="1608" spans="1:23" x14ac:dyDescent="0.2">
      <c r="A1608" s="16" t="s">
        <v>4155</v>
      </c>
      <c r="B1608" s="7" t="s">
        <v>4156</v>
      </c>
      <c r="C1608" s="3" t="e">
        <f ca="1">[1]!BexGetData("DP_1","003N8EMH8GTFRCSWKMPXRR8GU","GSON1112151305")</f>
        <v>#NAME?</v>
      </c>
      <c r="D1608" s="3" t="e">
        <f ca="1">[1]!BexGetData("DP_1","003N8EMH8GTFRCSWKMPXRRESE","GSON1112151305")</f>
        <v>#NAME?</v>
      </c>
      <c r="E1608" s="8" t="e">
        <f ca="1">[1]!BexGetData("DP_1","003N8EMH8GTFRCSWKMPXRRL3Y","GSON1112151305")</f>
        <v>#NAME?</v>
      </c>
      <c r="F1608" s="4" t="e">
        <f ca="1">[1]!BexGetData("DP_1","003N8EMH8GTFRCSWKMPXRRRFI","GSON1112151305")</f>
        <v>#NAME?</v>
      </c>
      <c r="G1608" s="4" t="e">
        <f ca="1">[1]!BexGetData("DP_1","003N8EMH8GTFRCSWKMPXRRXR2","GSON1112151305")</f>
        <v>#NAME?</v>
      </c>
      <c r="H1608" s="4" t="e">
        <f ca="1">[1]!BexGetData("DP_1","003N8EMH8GTFRCSWKMPXRS42M","GSON1112151305")</f>
        <v>#NAME?</v>
      </c>
      <c r="I1608" s="4" t="e">
        <f ca="1">[1]!BexGetData("DP_1","003N8EMH8GTFRCSWKMPXRSAE6","GSON1112151305")</f>
        <v>#NAME?</v>
      </c>
      <c r="J1608" s="4" t="e">
        <f ca="1">[1]!BexGetData("DP_1","003N8EMH8GTFRCSWKMPXRSGPQ","GSON1112151305")</f>
        <v>#NAME?</v>
      </c>
      <c r="K1608" s="8" t="e">
        <f ca="1">[1]!BexGetData("DP_1","003N8EMH8GTFRIVNUPY288VJH","GSON1112151305")</f>
        <v>#NAME?</v>
      </c>
      <c r="L1608" s="8" t="e">
        <f ca="1">[1]!BexGetData("DP_1","003N8EMH8GTFRIVNUPY2891V1","GSON1112151305")</f>
        <v>#NAME?</v>
      </c>
      <c r="M1608" s="8" t="e">
        <f ca="1">[1]!BexGetData("DP_1","003N8EMH8GTFRIVOG7KG9IQXA","GSON1112151305")</f>
        <v>#NAME?</v>
      </c>
      <c r="N1608" s="8" t="e">
        <f ca="1">[1]!BexGetData("DP_1","003N8EMH8GTFRIVOG7KG9IX8U","GSON1112151305")</f>
        <v>#NAME?</v>
      </c>
      <c r="O1608" s="8" t="e">
        <f ca="1">[1]!BexGetData("DP_1","003N8EMH8GTFRIVOG7KG9J3KE","GSON1112151305")</f>
        <v>#NAME?</v>
      </c>
      <c r="P1608" s="8" t="e">
        <f ca="1">[1]!BexGetData("DP_1","003N8EMH8GTFRIVOG7KG9J9VY","GSON1112151305")</f>
        <v>#NAME?</v>
      </c>
      <c r="Q1608" s="4" t="e">
        <f ca="1">[1]!BexGetData("DP_1","00O2TNJGODT0G5Z4TTKYMM5MT","GSON1112151305")</f>
        <v>#NAME?</v>
      </c>
      <c r="R1608" s="4" t="e">
        <f ca="1">[1]!BexGetData("DP_1","00O2TNJGODT0G5Z4TTKYMMBYD","GSON1112151305")</f>
        <v>#NAME?</v>
      </c>
      <c r="S1608" s="4" t="e">
        <f ca="1">[1]!BexGetData("DP_1","00O2TNJGODT0G5Z4TTKYMMI9X","GSON1112151305")</f>
        <v>#NAME?</v>
      </c>
      <c r="T1608" s="4" t="e">
        <f ca="1">[1]!BexGetData("DP_1","00O2TNJGODT0G5Z4TTKYMMOLH","GSON1112151305")</f>
        <v>#NAME?</v>
      </c>
      <c r="U1608" s="4" t="e">
        <f ca="1">[1]!BexGetData("DP_1","00O2TNJGODT0G5Z4TTKYMMUX1","GSON1112151305")</f>
        <v>#NAME?</v>
      </c>
      <c r="V1608" s="4" t="e">
        <f ca="1">[1]!BexGetData("DP_1","00O2TNJGODT0G5Z4TTKYMN18L","GSON1112151305")</f>
        <v>#NAME?</v>
      </c>
      <c r="W1608" s="4" t="e">
        <f ca="1">[1]!BexGetData("DP_1","00O2TNJGODT0G5Z4TTKYMN7K5","GSON1112151305")</f>
        <v>#NAME?</v>
      </c>
    </row>
    <row r="1609" spans="1:23" x14ac:dyDescent="0.2">
      <c r="A1609" s="16" t="s">
        <v>4157</v>
      </c>
      <c r="B1609" s="7" t="s">
        <v>4158</v>
      </c>
      <c r="C1609" s="3" t="e">
        <f ca="1">[1]!BexGetData("DP_1","003N8EMH8GTFRCSWKMPXRR8GU","GSON1112151310")</f>
        <v>#NAME?</v>
      </c>
      <c r="D1609" s="3" t="e">
        <f ca="1">[1]!BexGetData("DP_1","003N8EMH8GTFRCSWKMPXRRESE","GSON1112151310")</f>
        <v>#NAME?</v>
      </c>
      <c r="E1609" s="3" t="e">
        <f ca="1">[1]!BexGetData("DP_1","003N8EMH8GTFRCSWKMPXRRL3Y","GSON1112151310")</f>
        <v>#NAME?</v>
      </c>
      <c r="F1609" s="4" t="e">
        <f ca="1">[1]!BexGetData("DP_1","003N8EMH8GTFRCSWKMPXRRRFI","GSON1112151310")</f>
        <v>#NAME?</v>
      </c>
      <c r="G1609" s="4" t="e">
        <f ca="1">[1]!BexGetData("DP_1","003N8EMH8GTFRCSWKMPXRRXR2","GSON1112151310")</f>
        <v>#NAME?</v>
      </c>
      <c r="H1609" s="4" t="e">
        <f ca="1">[1]!BexGetData("DP_1","003N8EMH8GTFRCSWKMPXRS42M","GSON1112151310")</f>
        <v>#NAME?</v>
      </c>
      <c r="I1609" s="4" t="e">
        <f ca="1">[1]!BexGetData("DP_1","003N8EMH8GTFRCSWKMPXRSAE6","GSON1112151310")</f>
        <v>#NAME?</v>
      </c>
      <c r="J1609" s="4" t="e">
        <f ca="1">[1]!BexGetData("DP_1","003N8EMH8GTFRCSWKMPXRSGPQ","GSON1112151310")</f>
        <v>#NAME?</v>
      </c>
      <c r="K1609" s="3" t="e">
        <f ca="1">[1]!BexGetData("DP_1","003N8EMH8GTFRIVNUPY288VJH","GSON1112151310")</f>
        <v>#NAME?</v>
      </c>
      <c r="L1609" s="3" t="e">
        <f ca="1">[1]!BexGetData("DP_1","003N8EMH8GTFRIVNUPY2891V1","GSON1112151310")</f>
        <v>#NAME?</v>
      </c>
      <c r="M1609" s="8" t="e">
        <f ca="1">[1]!BexGetData("DP_1","003N8EMH8GTFRIVOG7KG9IQXA","GSON1112151310")</f>
        <v>#NAME?</v>
      </c>
      <c r="N1609" s="3" t="e">
        <f ca="1">[1]!BexGetData("DP_1","003N8EMH8GTFRIVOG7KG9IX8U","GSON1112151310")</f>
        <v>#NAME?</v>
      </c>
      <c r="O1609" s="8" t="e">
        <f ca="1">[1]!BexGetData("DP_1","003N8EMH8GTFRIVOG7KG9J3KE","GSON1112151310")</f>
        <v>#NAME?</v>
      </c>
      <c r="P1609" s="3" t="e">
        <f ca="1">[1]!BexGetData("DP_1","003N8EMH8GTFRIVOG7KG9J9VY","GSON1112151310")</f>
        <v>#NAME?</v>
      </c>
      <c r="Q1609" s="4" t="e">
        <f ca="1">[1]!BexGetData("DP_1","00O2TNJGODT0G5Z4TTKYMM5MT","GSON1112151310")</f>
        <v>#NAME?</v>
      </c>
      <c r="R1609" s="4" t="e">
        <f ca="1">[1]!BexGetData("DP_1","00O2TNJGODT0G5Z4TTKYMMBYD","GSON1112151310")</f>
        <v>#NAME?</v>
      </c>
      <c r="S1609" s="4" t="e">
        <f ca="1">[1]!BexGetData("DP_1","00O2TNJGODT0G5Z4TTKYMMI9X","GSON1112151310")</f>
        <v>#NAME?</v>
      </c>
      <c r="T1609" s="4" t="e">
        <f ca="1">[1]!BexGetData("DP_1","00O2TNJGODT0G5Z4TTKYMMOLH","GSON1112151310")</f>
        <v>#NAME?</v>
      </c>
      <c r="U1609" s="4" t="e">
        <f ca="1">[1]!BexGetData("DP_1","00O2TNJGODT0G5Z4TTKYMMUX1","GSON1112151310")</f>
        <v>#NAME?</v>
      </c>
      <c r="V1609" s="4" t="e">
        <f ca="1">[1]!BexGetData("DP_1","00O2TNJGODT0G5Z4TTKYMN18L","GSON1112151310")</f>
        <v>#NAME?</v>
      </c>
      <c r="W1609" s="4" t="e">
        <f ca="1">[1]!BexGetData("DP_1","00O2TNJGODT0G5Z4TTKYMN7K5","GSON1112151310")</f>
        <v>#NAME?</v>
      </c>
    </row>
    <row r="1610" spans="1:23" x14ac:dyDescent="0.2">
      <c r="A1610" s="16" t="s">
        <v>4159</v>
      </c>
      <c r="B1610" s="7" t="s">
        <v>4160</v>
      </c>
      <c r="C1610" s="3" t="e">
        <f ca="1">[1]!BexGetData("DP_1","003N8EMH8GTFRCSWKMPXRR8GU","GSON1112151311")</f>
        <v>#NAME?</v>
      </c>
      <c r="D1610" s="3" t="e">
        <f ca="1">[1]!BexGetData("DP_1","003N8EMH8GTFRCSWKMPXRRESE","GSON1112151311")</f>
        <v>#NAME?</v>
      </c>
      <c r="E1610" s="8" t="e">
        <f ca="1">[1]!BexGetData("DP_1","003N8EMH8GTFRCSWKMPXRRL3Y","GSON1112151311")</f>
        <v>#NAME?</v>
      </c>
      <c r="F1610" s="4" t="e">
        <f ca="1">[1]!BexGetData("DP_1","003N8EMH8GTFRCSWKMPXRRRFI","GSON1112151311")</f>
        <v>#NAME?</v>
      </c>
      <c r="G1610" s="4" t="e">
        <f ca="1">[1]!BexGetData("DP_1","003N8EMH8GTFRCSWKMPXRRXR2","GSON1112151311")</f>
        <v>#NAME?</v>
      </c>
      <c r="H1610" s="4" t="e">
        <f ca="1">[1]!BexGetData("DP_1","003N8EMH8GTFRCSWKMPXRS42M","GSON1112151311")</f>
        <v>#NAME?</v>
      </c>
      <c r="I1610" s="4" t="e">
        <f ca="1">[1]!BexGetData("DP_1","003N8EMH8GTFRCSWKMPXRSAE6","GSON1112151311")</f>
        <v>#NAME?</v>
      </c>
      <c r="J1610" s="4" t="e">
        <f ca="1">[1]!BexGetData("DP_1","003N8EMH8GTFRCSWKMPXRSGPQ","GSON1112151311")</f>
        <v>#NAME?</v>
      </c>
      <c r="K1610" s="8" t="e">
        <f ca="1">[1]!BexGetData("DP_1","003N8EMH8GTFRIVNUPY288VJH","GSON1112151311")</f>
        <v>#NAME?</v>
      </c>
      <c r="L1610" s="8" t="e">
        <f ca="1">[1]!BexGetData("DP_1","003N8EMH8GTFRIVNUPY2891V1","GSON1112151311")</f>
        <v>#NAME?</v>
      </c>
      <c r="M1610" s="8" t="e">
        <f ca="1">[1]!BexGetData("DP_1","003N8EMH8GTFRIVOG7KG9IQXA","GSON1112151311")</f>
        <v>#NAME?</v>
      </c>
      <c r="N1610" s="8" t="e">
        <f ca="1">[1]!BexGetData("DP_1","003N8EMH8GTFRIVOG7KG9IX8U","GSON1112151311")</f>
        <v>#NAME?</v>
      </c>
      <c r="O1610" s="8" t="e">
        <f ca="1">[1]!BexGetData("DP_1","003N8EMH8GTFRIVOG7KG9J3KE","GSON1112151311")</f>
        <v>#NAME?</v>
      </c>
      <c r="P1610" s="8" t="e">
        <f ca="1">[1]!BexGetData("DP_1","003N8EMH8GTFRIVOG7KG9J9VY","GSON1112151311")</f>
        <v>#NAME?</v>
      </c>
      <c r="Q1610" s="4" t="e">
        <f ca="1">[1]!BexGetData("DP_1","00O2TNJGODT0G5Z4TTKYMM5MT","GSON1112151311")</f>
        <v>#NAME?</v>
      </c>
      <c r="R1610" s="4" t="e">
        <f ca="1">[1]!BexGetData("DP_1","00O2TNJGODT0G5Z4TTKYMMBYD","GSON1112151311")</f>
        <v>#NAME?</v>
      </c>
      <c r="S1610" s="4" t="e">
        <f ca="1">[1]!BexGetData("DP_1","00O2TNJGODT0G5Z4TTKYMMI9X","GSON1112151311")</f>
        <v>#NAME?</v>
      </c>
      <c r="T1610" s="4" t="e">
        <f ca="1">[1]!BexGetData("DP_1","00O2TNJGODT0G5Z4TTKYMMOLH","GSON1112151311")</f>
        <v>#NAME?</v>
      </c>
      <c r="U1610" s="4" t="e">
        <f ca="1">[1]!BexGetData("DP_1","00O2TNJGODT0G5Z4TTKYMMUX1","GSON1112151311")</f>
        <v>#NAME?</v>
      </c>
      <c r="V1610" s="4" t="e">
        <f ca="1">[1]!BexGetData("DP_1","00O2TNJGODT0G5Z4TTKYMN18L","GSON1112151311")</f>
        <v>#NAME?</v>
      </c>
      <c r="W1610" s="4" t="e">
        <f ca="1">[1]!BexGetData("DP_1","00O2TNJGODT0G5Z4TTKYMN7K5","GSON1112151311")</f>
        <v>#NAME?</v>
      </c>
    </row>
    <row r="1611" spans="1:23" x14ac:dyDescent="0.2">
      <c r="A1611" s="16" t="s">
        <v>4161</v>
      </c>
      <c r="B1611" s="7" t="s">
        <v>4162</v>
      </c>
      <c r="C1611" s="3" t="e">
        <f ca="1">[1]!BexGetData("DP_1","003N8EMH8GTFRCSWKMPXRR8GU","GSON1112151313")</f>
        <v>#NAME?</v>
      </c>
      <c r="D1611" s="3" t="e">
        <f ca="1">[1]!BexGetData("DP_1","003N8EMH8GTFRCSWKMPXRRESE","GSON1112151313")</f>
        <v>#NAME?</v>
      </c>
      <c r="E1611" s="8" t="e">
        <f ca="1">[1]!BexGetData("DP_1","003N8EMH8GTFRCSWKMPXRRL3Y","GSON1112151313")</f>
        <v>#NAME?</v>
      </c>
      <c r="F1611" s="4" t="e">
        <f ca="1">[1]!BexGetData("DP_1","003N8EMH8GTFRCSWKMPXRRRFI","GSON1112151313")</f>
        <v>#NAME?</v>
      </c>
      <c r="G1611" s="4" t="e">
        <f ca="1">[1]!BexGetData("DP_1","003N8EMH8GTFRCSWKMPXRRXR2","GSON1112151313")</f>
        <v>#NAME?</v>
      </c>
      <c r="H1611" s="4" t="e">
        <f ca="1">[1]!BexGetData("DP_1","003N8EMH8GTFRCSWKMPXRS42M","GSON1112151313")</f>
        <v>#NAME?</v>
      </c>
      <c r="I1611" s="4" t="e">
        <f ca="1">[1]!BexGetData("DP_1","003N8EMH8GTFRCSWKMPXRSAE6","GSON1112151313")</f>
        <v>#NAME?</v>
      </c>
      <c r="J1611" s="4" t="e">
        <f ca="1">[1]!BexGetData("DP_1","003N8EMH8GTFRCSWKMPXRSGPQ","GSON1112151313")</f>
        <v>#NAME?</v>
      </c>
      <c r="K1611" s="8" t="e">
        <f ca="1">[1]!BexGetData("DP_1","003N8EMH8GTFRIVNUPY288VJH","GSON1112151313")</f>
        <v>#NAME?</v>
      </c>
      <c r="L1611" s="8" t="e">
        <f ca="1">[1]!BexGetData("DP_1","003N8EMH8GTFRIVNUPY2891V1","GSON1112151313")</f>
        <v>#NAME?</v>
      </c>
      <c r="M1611" s="8" t="e">
        <f ca="1">[1]!BexGetData("DP_1","003N8EMH8GTFRIVOG7KG9IQXA","GSON1112151313")</f>
        <v>#NAME?</v>
      </c>
      <c r="N1611" s="8" t="e">
        <f ca="1">[1]!BexGetData("DP_1","003N8EMH8GTFRIVOG7KG9IX8U","GSON1112151313")</f>
        <v>#NAME?</v>
      </c>
      <c r="O1611" s="8" t="e">
        <f ca="1">[1]!BexGetData("DP_1","003N8EMH8GTFRIVOG7KG9J3KE","GSON1112151313")</f>
        <v>#NAME?</v>
      </c>
      <c r="P1611" s="8" t="e">
        <f ca="1">[1]!BexGetData("DP_1","003N8EMH8GTFRIVOG7KG9J9VY","GSON1112151313")</f>
        <v>#NAME?</v>
      </c>
      <c r="Q1611" s="4" t="e">
        <f ca="1">[1]!BexGetData("DP_1","00O2TNJGODT0G5Z4TTKYMM5MT","GSON1112151313")</f>
        <v>#NAME?</v>
      </c>
      <c r="R1611" s="4" t="e">
        <f ca="1">[1]!BexGetData("DP_1","00O2TNJGODT0G5Z4TTKYMMBYD","GSON1112151313")</f>
        <v>#NAME?</v>
      </c>
      <c r="S1611" s="4" t="e">
        <f ca="1">[1]!BexGetData("DP_1","00O2TNJGODT0G5Z4TTKYMMI9X","GSON1112151313")</f>
        <v>#NAME?</v>
      </c>
      <c r="T1611" s="4" t="e">
        <f ca="1">[1]!BexGetData("DP_1","00O2TNJGODT0G5Z4TTKYMMOLH","GSON1112151313")</f>
        <v>#NAME?</v>
      </c>
      <c r="U1611" s="4" t="e">
        <f ca="1">[1]!BexGetData("DP_1","00O2TNJGODT0G5Z4TTKYMMUX1","GSON1112151313")</f>
        <v>#NAME?</v>
      </c>
      <c r="V1611" s="4" t="e">
        <f ca="1">[1]!BexGetData("DP_1","00O2TNJGODT0G5Z4TTKYMN18L","GSON1112151313")</f>
        <v>#NAME?</v>
      </c>
      <c r="W1611" s="4" t="e">
        <f ca="1">[1]!BexGetData("DP_1","00O2TNJGODT0G5Z4TTKYMN7K5","GSON1112151313")</f>
        <v>#NAME?</v>
      </c>
    </row>
    <row r="1612" spans="1:23" x14ac:dyDescent="0.2">
      <c r="A1612" s="16" t="s">
        <v>4163</v>
      </c>
      <c r="B1612" s="7" t="s">
        <v>4164</v>
      </c>
      <c r="C1612" s="3" t="e">
        <f ca="1">[1]!BexGetData("DP_1","003N8EMH8GTFRCSWKMPXRR8GU","GSON1112151315")</f>
        <v>#NAME?</v>
      </c>
      <c r="D1612" s="3" t="e">
        <f ca="1">[1]!BexGetData("DP_1","003N8EMH8GTFRCSWKMPXRRESE","GSON1112151315")</f>
        <v>#NAME?</v>
      </c>
      <c r="E1612" s="8" t="e">
        <f ca="1">[1]!BexGetData("DP_1","003N8EMH8GTFRCSWKMPXRRL3Y","GSON1112151315")</f>
        <v>#NAME?</v>
      </c>
      <c r="F1612" s="4" t="e">
        <f ca="1">[1]!BexGetData("DP_1","003N8EMH8GTFRCSWKMPXRRRFI","GSON1112151315")</f>
        <v>#NAME?</v>
      </c>
      <c r="G1612" s="4" t="e">
        <f ca="1">[1]!BexGetData("DP_1","003N8EMH8GTFRCSWKMPXRRXR2","GSON1112151315")</f>
        <v>#NAME?</v>
      </c>
      <c r="H1612" s="4" t="e">
        <f ca="1">[1]!BexGetData("DP_1","003N8EMH8GTFRCSWKMPXRS42M","GSON1112151315")</f>
        <v>#NAME?</v>
      </c>
      <c r="I1612" s="4" t="e">
        <f ca="1">[1]!BexGetData("DP_1","003N8EMH8GTFRCSWKMPXRSAE6","GSON1112151315")</f>
        <v>#NAME?</v>
      </c>
      <c r="J1612" s="4" t="e">
        <f ca="1">[1]!BexGetData("DP_1","003N8EMH8GTFRCSWKMPXRSGPQ","GSON1112151315")</f>
        <v>#NAME?</v>
      </c>
      <c r="K1612" s="8" t="e">
        <f ca="1">[1]!BexGetData("DP_1","003N8EMH8GTFRIVNUPY288VJH","GSON1112151315")</f>
        <v>#NAME?</v>
      </c>
      <c r="L1612" s="8" t="e">
        <f ca="1">[1]!BexGetData("DP_1","003N8EMH8GTFRIVNUPY2891V1","GSON1112151315")</f>
        <v>#NAME?</v>
      </c>
      <c r="M1612" s="8" t="e">
        <f ca="1">[1]!BexGetData("DP_1","003N8EMH8GTFRIVOG7KG9IQXA","GSON1112151315")</f>
        <v>#NAME?</v>
      </c>
      <c r="N1612" s="8" t="e">
        <f ca="1">[1]!BexGetData("DP_1","003N8EMH8GTFRIVOG7KG9IX8U","GSON1112151315")</f>
        <v>#NAME?</v>
      </c>
      <c r="O1612" s="8" t="e">
        <f ca="1">[1]!BexGetData("DP_1","003N8EMH8GTFRIVOG7KG9J3KE","GSON1112151315")</f>
        <v>#NAME?</v>
      </c>
      <c r="P1612" s="8" t="e">
        <f ca="1">[1]!BexGetData("DP_1","003N8EMH8GTFRIVOG7KG9J9VY","GSON1112151315")</f>
        <v>#NAME?</v>
      </c>
      <c r="Q1612" s="4" t="e">
        <f ca="1">[1]!BexGetData("DP_1","00O2TNJGODT0G5Z4TTKYMM5MT","GSON1112151315")</f>
        <v>#NAME?</v>
      </c>
      <c r="R1612" s="4" t="e">
        <f ca="1">[1]!BexGetData("DP_1","00O2TNJGODT0G5Z4TTKYMMBYD","GSON1112151315")</f>
        <v>#NAME?</v>
      </c>
      <c r="S1612" s="4" t="e">
        <f ca="1">[1]!BexGetData("DP_1","00O2TNJGODT0G5Z4TTKYMMI9X","GSON1112151315")</f>
        <v>#NAME?</v>
      </c>
      <c r="T1612" s="4" t="e">
        <f ca="1">[1]!BexGetData("DP_1","00O2TNJGODT0G5Z4TTKYMMOLH","GSON1112151315")</f>
        <v>#NAME?</v>
      </c>
      <c r="U1612" s="4" t="e">
        <f ca="1">[1]!BexGetData("DP_1","00O2TNJGODT0G5Z4TTKYMMUX1","GSON1112151315")</f>
        <v>#NAME?</v>
      </c>
      <c r="V1612" s="4" t="e">
        <f ca="1">[1]!BexGetData("DP_1","00O2TNJGODT0G5Z4TTKYMN18L","GSON1112151315")</f>
        <v>#NAME?</v>
      </c>
      <c r="W1612" s="4" t="e">
        <f ca="1">[1]!BexGetData("DP_1","00O2TNJGODT0G5Z4TTKYMN7K5","GSON1112151315")</f>
        <v>#NAME?</v>
      </c>
    </row>
    <row r="1613" spans="1:23" x14ac:dyDescent="0.2">
      <c r="A1613" s="16" t="s">
        <v>4165</v>
      </c>
      <c r="B1613" s="7" t="s">
        <v>4166</v>
      </c>
      <c r="C1613" s="3" t="e">
        <f ca="1">[1]!BexGetData("DP_1","003N8EMH8GTFRCSWKMPXRR8GU","GSON1112151320")</f>
        <v>#NAME?</v>
      </c>
      <c r="D1613" s="3" t="e">
        <f ca="1">[1]!BexGetData("DP_1","003N8EMH8GTFRCSWKMPXRRESE","GSON1112151320")</f>
        <v>#NAME?</v>
      </c>
      <c r="E1613" s="8" t="e">
        <f ca="1">[1]!BexGetData("DP_1","003N8EMH8GTFRCSWKMPXRRL3Y","GSON1112151320")</f>
        <v>#NAME?</v>
      </c>
      <c r="F1613" s="4" t="e">
        <f ca="1">[1]!BexGetData("DP_1","003N8EMH8GTFRCSWKMPXRRRFI","GSON1112151320")</f>
        <v>#NAME?</v>
      </c>
      <c r="G1613" s="4" t="e">
        <f ca="1">[1]!BexGetData("DP_1","003N8EMH8GTFRCSWKMPXRRXR2","GSON1112151320")</f>
        <v>#NAME?</v>
      </c>
      <c r="H1613" s="4" t="e">
        <f ca="1">[1]!BexGetData("DP_1","003N8EMH8GTFRCSWKMPXRS42M","GSON1112151320")</f>
        <v>#NAME?</v>
      </c>
      <c r="I1613" s="4" t="e">
        <f ca="1">[1]!BexGetData("DP_1","003N8EMH8GTFRCSWKMPXRSAE6","GSON1112151320")</f>
        <v>#NAME?</v>
      </c>
      <c r="J1613" s="4" t="e">
        <f ca="1">[1]!BexGetData("DP_1","003N8EMH8GTFRCSWKMPXRSGPQ","GSON1112151320")</f>
        <v>#NAME?</v>
      </c>
      <c r="K1613" s="8" t="e">
        <f ca="1">[1]!BexGetData("DP_1","003N8EMH8GTFRIVNUPY288VJH","GSON1112151320")</f>
        <v>#NAME?</v>
      </c>
      <c r="L1613" s="8" t="e">
        <f ca="1">[1]!BexGetData("DP_1","003N8EMH8GTFRIVNUPY2891V1","GSON1112151320")</f>
        <v>#NAME?</v>
      </c>
      <c r="M1613" s="8" t="e">
        <f ca="1">[1]!BexGetData("DP_1","003N8EMH8GTFRIVOG7KG9IQXA","GSON1112151320")</f>
        <v>#NAME?</v>
      </c>
      <c r="N1613" s="8" t="e">
        <f ca="1">[1]!BexGetData("DP_1","003N8EMH8GTFRIVOG7KG9IX8U","GSON1112151320")</f>
        <v>#NAME?</v>
      </c>
      <c r="O1613" s="8" t="e">
        <f ca="1">[1]!BexGetData("DP_1","003N8EMH8GTFRIVOG7KG9J3KE","GSON1112151320")</f>
        <v>#NAME?</v>
      </c>
      <c r="P1613" s="8" t="e">
        <f ca="1">[1]!BexGetData("DP_1","003N8EMH8GTFRIVOG7KG9J9VY","GSON1112151320")</f>
        <v>#NAME?</v>
      </c>
      <c r="Q1613" s="4" t="e">
        <f ca="1">[1]!BexGetData("DP_1","00O2TNJGODT0G5Z4TTKYMM5MT","GSON1112151320")</f>
        <v>#NAME?</v>
      </c>
      <c r="R1613" s="4" t="e">
        <f ca="1">[1]!BexGetData("DP_1","00O2TNJGODT0G5Z4TTKYMMBYD","GSON1112151320")</f>
        <v>#NAME?</v>
      </c>
      <c r="S1613" s="4" t="e">
        <f ca="1">[1]!BexGetData("DP_1","00O2TNJGODT0G5Z4TTKYMMI9X","GSON1112151320")</f>
        <v>#NAME?</v>
      </c>
      <c r="T1613" s="4" t="e">
        <f ca="1">[1]!BexGetData("DP_1","00O2TNJGODT0G5Z4TTKYMMOLH","GSON1112151320")</f>
        <v>#NAME?</v>
      </c>
      <c r="U1613" s="4" t="e">
        <f ca="1">[1]!BexGetData("DP_1","00O2TNJGODT0G5Z4TTKYMMUX1","GSON1112151320")</f>
        <v>#NAME?</v>
      </c>
      <c r="V1613" s="4" t="e">
        <f ca="1">[1]!BexGetData("DP_1","00O2TNJGODT0G5Z4TTKYMN18L","GSON1112151320")</f>
        <v>#NAME?</v>
      </c>
      <c r="W1613" s="4" t="e">
        <f ca="1">[1]!BexGetData("DP_1","00O2TNJGODT0G5Z4TTKYMN7K5","GSON1112151320")</f>
        <v>#NAME?</v>
      </c>
    </row>
    <row r="1614" spans="1:23" x14ac:dyDescent="0.2">
      <c r="A1614" s="16" t="s">
        <v>4167</v>
      </c>
      <c r="B1614" s="7" t="s">
        <v>4168</v>
      </c>
      <c r="C1614" s="3" t="e">
        <f ca="1">[1]!BexGetData("DP_1","003N8EMH8GTFRCSWKMPXRR8GU","GSON1112151321")</f>
        <v>#NAME?</v>
      </c>
      <c r="D1614" s="3" t="e">
        <f ca="1">[1]!BexGetData("DP_1","003N8EMH8GTFRCSWKMPXRRESE","GSON1112151321")</f>
        <v>#NAME?</v>
      </c>
      <c r="E1614" s="8" t="e">
        <f ca="1">[1]!BexGetData("DP_1","003N8EMH8GTFRCSWKMPXRRL3Y","GSON1112151321")</f>
        <v>#NAME?</v>
      </c>
      <c r="F1614" s="4" t="e">
        <f ca="1">[1]!BexGetData("DP_1","003N8EMH8GTFRCSWKMPXRRRFI","GSON1112151321")</f>
        <v>#NAME?</v>
      </c>
      <c r="G1614" s="4" t="e">
        <f ca="1">[1]!BexGetData("DP_1","003N8EMH8GTFRCSWKMPXRRXR2","GSON1112151321")</f>
        <v>#NAME?</v>
      </c>
      <c r="H1614" s="4" t="e">
        <f ca="1">[1]!BexGetData("DP_1","003N8EMH8GTFRCSWKMPXRS42M","GSON1112151321")</f>
        <v>#NAME?</v>
      </c>
      <c r="I1614" s="4" t="e">
        <f ca="1">[1]!BexGetData("DP_1","003N8EMH8GTFRCSWKMPXRSAE6","GSON1112151321")</f>
        <v>#NAME?</v>
      </c>
      <c r="J1614" s="4" t="e">
        <f ca="1">[1]!BexGetData("DP_1","003N8EMH8GTFRCSWKMPXRSGPQ","GSON1112151321")</f>
        <v>#NAME?</v>
      </c>
      <c r="K1614" s="8" t="e">
        <f ca="1">[1]!BexGetData("DP_1","003N8EMH8GTFRIVNUPY288VJH","GSON1112151321")</f>
        <v>#NAME?</v>
      </c>
      <c r="L1614" s="8" t="e">
        <f ca="1">[1]!BexGetData("DP_1","003N8EMH8GTFRIVNUPY2891V1","GSON1112151321")</f>
        <v>#NAME?</v>
      </c>
      <c r="M1614" s="8" t="e">
        <f ca="1">[1]!BexGetData("DP_1","003N8EMH8GTFRIVOG7KG9IQXA","GSON1112151321")</f>
        <v>#NAME?</v>
      </c>
      <c r="N1614" s="8" t="e">
        <f ca="1">[1]!BexGetData("DP_1","003N8EMH8GTFRIVOG7KG9IX8U","GSON1112151321")</f>
        <v>#NAME?</v>
      </c>
      <c r="O1614" s="8" t="e">
        <f ca="1">[1]!BexGetData("DP_1","003N8EMH8GTFRIVOG7KG9J3KE","GSON1112151321")</f>
        <v>#NAME?</v>
      </c>
      <c r="P1614" s="8" t="e">
        <f ca="1">[1]!BexGetData("DP_1","003N8EMH8GTFRIVOG7KG9J9VY","GSON1112151321")</f>
        <v>#NAME?</v>
      </c>
      <c r="Q1614" s="4" t="e">
        <f ca="1">[1]!BexGetData("DP_1","00O2TNJGODT0G5Z4TTKYMM5MT","GSON1112151321")</f>
        <v>#NAME?</v>
      </c>
      <c r="R1614" s="4" t="e">
        <f ca="1">[1]!BexGetData("DP_1","00O2TNJGODT0G5Z4TTKYMMBYD","GSON1112151321")</f>
        <v>#NAME?</v>
      </c>
      <c r="S1614" s="4" t="e">
        <f ca="1">[1]!BexGetData("DP_1","00O2TNJGODT0G5Z4TTKYMMI9X","GSON1112151321")</f>
        <v>#NAME?</v>
      </c>
      <c r="T1614" s="4" t="e">
        <f ca="1">[1]!BexGetData("DP_1","00O2TNJGODT0G5Z4TTKYMMOLH","GSON1112151321")</f>
        <v>#NAME?</v>
      </c>
      <c r="U1614" s="4" t="e">
        <f ca="1">[1]!BexGetData("DP_1","00O2TNJGODT0G5Z4TTKYMMUX1","GSON1112151321")</f>
        <v>#NAME?</v>
      </c>
      <c r="V1614" s="4" t="e">
        <f ca="1">[1]!BexGetData("DP_1","00O2TNJGODT0G5Z4TTKYMN18L","GSON1112151321")</f>
        <v>#NAME?</v>
      </c>
      <c r="W1614" s="4" t="e">
        <f ca="1">[1]!BexGetData("DP_1","00O2TNJGODT0G5Z4TTKYMN7K5","GSON1112151321")</f>
        <v>#NAME?</v>
      </c>
    </row>
    <row r="1615" spans="1:23" x14ac:dyDescent="0.2">
      <c r="A1615" s="16" t="s">
        <v>4169</v>
      </c>
      <c r="B1615" s="7" t="s">
        <v>4170</v>
      </c>
      <c r="C1615" s="3" t="e">
        <f ca="1">[1]!BexGetData("DP_1","003N8EMH8GTFRCSWKMPXRR8GU","GSON1112151323")</f>
        <v>#NAME?</v>
      </c>
      <c r="D1615" s="3" t="e">
        <f ca="1">[1]!BexGetData("DP_1","003N8EMH8GTFRCSWKMPXRRESE","GSON1112151323")</f>
        <v>#NAME?</v>
      </c>
      <c r="E1615" s="8" t="e">
        <f ca="1">[1]!BexGetData("DP_1","003N8EMH8GTFRCSWKMPXRRL3Y","GSON1112151323")</f>
        <v>#NAME?</v>
      </c>
      <c r="F1615" s="4" t="e">
        <f ca="1">[1]!BexGetData("DP_1","003N8EMH8GTFRCSWKMPXRRRFI","GSON1112151323")</f>
        <v>#NAME?</v>
      </c>
      <c r="G1615" s="4" t="e">
        <f ca="1">[1]!BexGetData("DP_1","003N8EMH8GTFRCSWKMPXRRXR2","GSON1112151323")</f>
        <v>#NAME?</v>
      </c>
      <c r="H1615" s="4" t="e">
        <f ca="1">[1]!BexGetData("DP_1","003N8EMH8GTFRCSWKMPXRS42M","GSON1112151323")</f>
        <v>#NAME?</v>
      </c>
      <c r="I1615" s="4" t="e">
        <f ca="1">[1]!BexGetData("DP_1","003N8EMH8GTFRCSWKMPXRSAE6","GSON1112151323")</f>
        <v>#NAME?</v>
      </c>
      <c r="J1615" s="4" t="e">
        <f ca="1">[1]!BexGetData("DP_1","003N8EMH8GTFRCSWKMPXRSGPQ","GSON1112151323")</f>
        <v>#NAME?</v>
      </c>
      <c r="K1615" s="8" t="e">
        <f ca="1">[1]!BexGetData("DP_1","003N8EMH8GTFRIVNUPY288VJH","GSON1112151323")</f>
        <v>#NAME?</v>
      </c>
      <c r="L1615" s="8" t="e">
        <f ca="1">[1]!BexGetData("DP_1","003N8EMH8GTFRIVNUPY2891V1","GSON1112151323")</f>
        <v>#NAME?</v>
      </c>
      <c r="M1615" s="8" t="e">
        <f ca="1">[1]!BexGetData("DP_1","003N8EMH8GTFRIVOG7KG9IQXA","GSON1112151323")</f>
        <v>#NAME?</v>
      </c>
      <c r="N1615" s="8" t="e">
        <f ca="1">[1]!BexGetData("DP_1","003N8EMH8GTFRIVOG7KG9IX8U","GSON1112151323")</f>
        <v>#NAME?</v>
      </c>
      <c r="O1615" s="8" t="e">
        <f ca="1">[1]!BexGetData("DP_1","003N8EMH8GTFRIVOG7KG9J3KE","GSON1112151323")</f>
        <v>#NAME?</v>
      </c>
      <c r="P1615" s="8" t="e">
        <f ca="1">[1]!BexGetData("DP_1","003N8EMH8GTFRIVOG7KG9J9VY","GSON1112151323")</f>
        <v>#NAME?</v>
      </c>
      <c r="Q1615" s="4" t="e">
        <f ca="1">[1]!BexGetData("DP_1","00O2TNJGODT0G5Z4TTKYMM5MT","GSON1112151323")</f>
        <v>#NAME?</v>
      </c>
      <c r="R1615" s="4" t="e">
        <f ca="1">[1]!BexGetData("DP_1","00O2TNJGODT0G5Z4TTKYMMBYD","GSON1112151323")</f>
        <v>#NAME?</v>
      </c>
      <c r="S1615" s="4" t="e">
        <f ca="1">[1]!BexGetData("DP_1","00O2TNJGODT0G5Z4TTKYMMI9X","GSON1112151323")</f>
        <v>#NAME?</v>
      </c>
      <c r="T1615" s="4" t="e">
        <f ca="1">[1]!BexGetData("DP_1","00O2TNJGODT0G5Z4TTKYMMOLH","GSON1112151323")</f>
        <v>#NAME?</v>
      </c>
      <c r="U1615" s="4" t="e">
        <f ca="1">[1]!BexGetData("DP_1","00O2TNJGODT0G5Z4TTKYMMUX1","GSON1112151323")</f>
        <v>#NAME?</v>
      </c>
      <c r="V1615" s="4" t="e">
        <f ca="1">[1]!BexGetData("DP_1","00O2TNJGODT0G5Z4TTKYMN18L","GSON1112151323")</f>
        <v>#NAME?</v>
      </c>
      <c r="W1615" s="4" t="e">
        <f ca="1">[1]!BexGetData("DP_1","00O2TNJGODT0G5Z4TTKYMN7K5","GSON1112151323")</f>
        <v>#NAME?</v>
      </c>
    </row>
    <row r="1616" spans="1:23" x14ac:dyDescent="0.2">
      <c r="A1616" s="16" t="s">
        <v>4171</v>
      </c>
      <c r="B1616" s="7" t="s">
        <v>4172</v>
      </c>
      <c r="C1616" s="3" t="e">
        <f ca="1">[1]!BexGetData("DP_1","003N8EMH8GTFRCSWKMPXRR8GU","GSON1112151324")</f>
        <v>#NAME?</v>
      </c>
      <c r="D1616" s="3" t="e">
        <f ca="1">[1]!BexGetData("DP_1","003N8EMH8GTFRCSWKMPXRRESE","GSON1112151324")</f>
        <v>#NAME?</v>
      </c>
      <c r="E1616" s="8" t="e">
        <f ca="1">[1]!BexGetData("DP_1","003N8EMH8GTFRCSWKMPXRRL3Y","GSON1112151324")</f>
        <v>#NAME?</v>
      </c>
      <c r="F1616" s="4" t="e">
        <f ca="1">[1]!BexGetData("DP_1","003N8EMH8GTFRCSWKMPXRRRFI","GSON1112151324")</f>
        <v>#NAME?</v>
      </c>
      <c r="G1616" s="4" t="e">
        <f ca="1">[1]!BexGetData("DP_1","003N8EMH8GTFRCSWKMPXRRXR2","GSON1112151324")</f>
        <v>#NAME?</v>
      </c>
      <c r="H1616" s="4" t="e">
        <f ca="1">[1]!BexGetData("DP_1","003N8EMH8GTFRCSWKMPXRS42M","GSON1112151324")</f>
        <v>#NAME?</v>
      </c>
      <c r="I1616" s="4" t="e">
        <f ca="1">[1]!BexGetData("DP_1","003N8EMH8GTFRCSWKMPXRSAE6","GSON1112151324")</f>
        <v>#NAME?</v>
      </c>
      <c r="J1616" s="4" t="e">
        <f ca="1">[1]!BexGetData("DP_1","003N8EMH8GTFRCSWKMPXRSGPQ","GSON1112151324")</f>
        <v>#NAME?</v>
      </c>
      <c r="K1616" s="8" t="e">
        <f ca="1">[1]!BexGetData("DP_1","003N8EMH8GTFRIVNUPY288VJH","GSON1112151324")</f>
        <v>#NAME?</v>
      </c>
      <c r="L1616" s="8" t="e">
        <f ca="1">[1]!BexGetData("DP_1","003N8EMH8GTFRIVNUPY2891V1","GSON1112151324")</f>
        <v>#NAME?</v>
      </c>
      <c r="M1616" s="8" t="e">
        <f ca="1">[1]!BexGetData("DP_1","003N8EMH8GTFRIVOG7KG9IQXA","GSON1112151324")</f>
        <v>#NAME?</v>
      </c>
      <c r="N1616" s="8" t="e">
        <f ca="1">[1]!BexGetData("DP_1","003N8EMH8GTFRIVOG7KG9IX8U","GSON1112151324")</f>
        <v>#NAME?</v>
      </c>
      <c r="O1616" s="8" t="e">
        <f ca="1">[1]!BexGetData("DP_1","003N8EMH8GTFRIVOG7KG9J3KE","GSON1112151324")</f>
        <v>#NAME?</v>
      </c>
      <c r="P1616" s="8" t="e">
        <f ca="1">[1]!BexGetData("DP_1","003N8EMH8GTFRIVOG7KG9J9VY","GSON1112151324")</f>
        <v>#NAME?</v>
      </c>
      <c r="Q1616" s="4" t="e">
        <f ca="1">[1]!BexGetData("DP_1","00O2TNJGODT0G5Z4TTKYMM5MT","GSON1112151324")</f>
        <v>#NAME?</v>
      </c>
      <c r="R1616" s="4" t="e">
        <f ca="1">[1]!BexGetData("DP_1","00O2TNJGODT0G5Z4TTKYMMBYD","GSON1112151324")</f>
        <v>#NAME?</v>
      </c>
      <c r="S1616" s="4" t="e">
        <f ca="1">[1]!BexGetData("DP_1","00O2TNJGODT0G5Z4TTKYMMI9X","GSON1112151324")</f>
        <v>#NAME?</v>
      </c>
      <c r="T1616" s="4" t="e">
        <f ca="1">[1]!BexGetData("DP_1","00O2TNJGODT0G5Z4TTKYMMOLH","GSON1112151324")</f>
        <v>#NAME?</v>
      </c>
      <c r="U1616" s="4" t="e">
        <f ca="1">[1]!BexGetData("DP_1","00O2TNJGODT0G5Z4TTKYMMUX1","GSON1112151324")</f>
        <v>#NAME?</v>
      </c>
      <c r="V1616" s="4" t="e">
        <f ca="1">[1]!BexGetData("DP_1","00O2TNJGODT0G5Z4TTKYMN18L","GSON1112151324")</f>
        <v>#NAME?</v>
      </c>
      <c r="W1616" s="4" t="e">
        <f ca="1">[1]!BexGetData("DP_1","00O2TNJGODT0G5Z4TTKYMN7K5","GSON1112151324")</f>
        <v>#NAME?</v>
      </c>
    </row>
    <row r="1617" spans="1:23" x14ac:dyDescent="0.2">
      <c r="A1617" s="16" t="s">
        <v>4173</v>
      </c>
      <c r="B1617" s="7" t="s">
        <v>4174</v>
      </c>
      <c r="C1617" s="3" t="e">
        <f ca="1">[1]!BexGetData("DP_1","003N8EMH8GTFRCSWKMPXRR8GU","GSON1112151325")</f>
        <v>#NAME?</v>
      </c>
      <c r="D1617" s="3" t="e">
        <f ca="1">[1]!BexGetData("DP_1","003N8EMH8GTFRCSWKMPXRRESE","GSON1112151325")</f>
        <v>#NAME?</v>
      </c>
      <c r="E1617" s="8" t="e">
        <f ca="1">[1]!BexGetData("DP_1","003N8EMH8GTFRCSWKMPXRRL3Y","GSON1112151325")</f>
        <v>#NAME?</v>
      </c>
      <c r="F1617" s="4" t="e">
        <f ca="1">[1]!BexGetData("DP_1","003N8EMH8GTFRCSWKMPXRRRFI","GSON1112151325")</f>
        <v>#NAME?</v>
      </c>
      <c r="G1617" s="4" t="e">
        <f ca="1">[1]!BexGetData("DP_1","003N8EMH8GTFRCSWKMPXRRXR2","GSON1112151325")</f>
        <v>#NAME?</v>
      </c>
      <c r="H1617" s="4" t="e">
        <f ca="1">[1]!BexGetData("DP_1","003N8EMH8GTFRCSWKMPXRS42M","GSON1112151325")</f>
        <v>#NAME?</v>
      </c>
      <c r="I1617" s="4" t="e">
        <f ca="1">[1]!BexGetData("DP_1","003N8EMH8GTFRCSWKMPXRSAE6","GSON1112151325")</f>
        <v>#NAME?</v>
      </c>
      <c r="J1617" s="4" t="e">
        <f ca="1">[1]!BexGetData("DP_1","003N8EMH8GTFRCSWKMPXRSGPQ","GSON1112151325")</f>
        <v>#NAME?</v>
      </c>
      <c r="K1617" s="8" t="e">
        <f ca="1">[1]!BexGetData("DP_1","003N8EMH8GTFRIVNUPY288VJH","GSON1112151325")</f>
        <v>#NAME?</v>
      </c>
      <c r="L1617" s="8" t="e">
        <f ca="1">[1]!BexGetData("DP_1","003N8EMH8GTFRIVNUPY2891V1","GSON1112151325")</f>
        <v>#NAME?</v>
      </c>
      <c r="M1617" s="8" t="e">
        <f ca="1">[1]!BexGetData("DP_1","003N8EMH8GTFRIVOG7KG9IQXA","GSON1112151325")</f>
        <v>#NAME?</v>
      </c>
      <c r="N1617" s="8" t="e">
        <f ca="1">[1]!BexGetData("DP_1","003N8EMH8GTFRIVOG7KG9IX8U","GSON1112151325")</f>
        <v>#NAME?</v>
      </c>
      <c r="O1617" s="8" t="e">
        <f ca="1">[1]!BexGetData("DP_1","003N8EMH8GTFRIVOG7KG9J3KE","GSON1112151325")</f>
        <v>#NAME?</v>
      </c>
      <c r="P1617" s="8" t="e">
        <f ca="1">[1]!BexGetData("DP_1","003N8EMH8GTFRIVOG7KG9J9VY","GSON1112151325")</f>
        <v>#NAME?</v>
      </c>
      <c r="Q1617" s="4" t="e">
        <f ca="1">[1]!BexGetData("DP_1","00O2TNJGODT0G5Z4TTKYMM5MT","GSON1112151325")</f>
        <v>#NAME?</v>
      </c>
      <c r="R1617" s="4" t="e">
        <f ca="1">[1]!BexGetData("DP_1","00O2TNJGODT0G5Z4TTKYMMBYD","GSON1112151325")</f>
        <v>#NAME?</v>
      </c>
      <c r="S1617" s="4" t="e">
        <f ca="1">[1]!BexGetData("DP_1","00O2TNJGODT0G5Z4TTKYMMI9X","GSON1112151325")</f>
        <v>#NAME?</v>
      </c>
      <c r="T1617" s="4" t="e">
        <f ca="1">[1]!BexGetData("DP_1","00O2TNJGODT0G5Z4TTKYMMOLH","GSON1112151325")</f>
        <v>#NAME?</v>
      </c>
      <c r="U1617" s="4" t="e">
        <f ca="1">[1]!BexGetData("DP_1","00O2TNJGODT0G5Z4TTKYMMUX1","GSON1112151325")</f>
        <v>#NAME?</v>
      </c>
      <c r="V1617" s="4" t="e">
        <f ca="1">[1]!BexGetData("DP_1","00O2TNJGODT0G5Z4TTKYMN18L","GSON1112151325")</f>
        <v>#NAME?</v>
      </c>
      <c r="W1617" s="4" t="e">
        <f ca="1">[1]!BexGetData("DP_1","00O2TNJGODT0G5Z4TTKYMN7K5","GSON1112151325")</f>
        <v>#NAME?</v>
      </c>
    </row>
    <row r="1618" spans="1:23" x14ac:dyDescent="0.2">
      <c r="A1618" s="16" t="s">
        <v>4175</v>
      </c>
      <c r="B1618" s="7" t="s">
        <v>4176</v>
      </c>
      <c r="C1618" s="3" t="e">
        <f ca="1">[1]!BexGetData("DP_1","003N8EMH8GTFRCSWKMPXRR8GU","GSON1112151330")</f>
        <v>#NAME?</v>
      </c>
      <c r="D1618" s="3" t="e">
        <f ca="1">[1]!BexGetData("DP_1","003N8EMH8GTFRCSWKMPXRRESE","GSON1112151330")</f>
        <v>#NAME?</v>
      </c>
      <c r="E1618" s="3" t="e">
        <f ca="1">[1]!BexGetData("DP_1","003N8EMH8GTFRCSWKMPXRRL3Y","GSON1112151330")</f>
        <v>#NAME?</v>
      </c>
      <c r="F1618" s="4" t="e">
        <f ca="1">[1]!BexGetData("DP_1","003N8EMH8GTFRCSWKMPXRRRFI","GSON1112151330")</f>
        <v>#NAME?</v>
      </c>
      <c r="G1618" s="4" t="e">
        <f ca="1">[1]!BexGetData("DP_1","003N8EMH8GTFRCSWKMPXRRXR2","GSON1112151330")</f>
        <v>#NAME?</v>
      </c>
      <c r="H1618" s="4" t="e">
        <f ca="1">[1]!BexGetData("DP_1","003N8EMH8GTFRCSWKMPXRS42M","GSON1112151330")</f>
        <v>#NAME?</v>
      </c>
      <c r="I1618" s="4" t="e">
        <f ca="1">[1]!BexGetData("DP_1","003N8EMH8GTFRCSWKMPXRSAE6","GSON1112151330")</f>
        <v>#NAME?</v>
      </c>
      <c r="J1618" s="4" t="e">
        <f ca="1">[1]!BexGetData("DP_1","003N8EMH8GTFRCSWKMPXRSGPQ","GSON1112151330")</f>
        <v>#NAME?</v>
      </c>
      <c r="K1618" s="3" t="e">
        <f ca="1">[1]!BexGetData("DP_1","003N8EMH8GTFRIVNUPY288VJH","GSON1112151330")</f>
        <v>#NAME?</v>
      </c>
      <c r="L1618" s="3" t="e">
        <f ca="1">[1]!BexGetData("DP_1","003N8EMH8GTFRIVNUPY2891V1","GSON1112151330")</f>
        <v>#NAME?</v>
      </c>
      <c r="M1618" s="8" t="e">
        <f ca="1">[1]!BexGetData("DP_1","003N8EMH8GTFRIVOG7KG9IQXA","GSON1112151330")</f>
        <v>#NAME?</v>
      </c>
      <c r="N1618" s="3" t="e">
        <f ca="1">[1]!BexGetData("DP_1","003N8EMH8GTFRIVOG7KG9IX8U","GSON1112151330")</f>
        <v>#NAME?</v>
      </c>
      <c r="O1618" s="8" t="e">
        <f ca="1">[1]!BexGetData("DP_1","003N8EMH8GTFRIVOG7KG9J3KE","GSON1112151330")</f>
        <v>#NAME?</v>
      </c>
      <c r="P1618" s="3" t="e">
        <f ca="1">[1]!BexGetData("DP_1","003N8EMH8GTFRIVOG7KG9J9VY","GSON1112151330")</f>
        <v>#NAME?</v>
      </c>
      <c r="Q1618" s="4" t="e">
        <f ca="1">[1]!BexGetData("DP_1","00O2TNJGODT0G5Z4TTKYMM5MT","GSON1112151330")</f>
        <v>#NAME?</v>
      </c>
      <c r="R1618" s="4" t="e">
        <f ca="1">[1]!BexGetData("DP_1","00O2TNJGODT0G5Z4TTKYMMBYD","GSON1112151330")</f>
        <v>#NAME?</v>
      </c>
      <c r="S1618" s="4" t="e">
        <f ca="1">[1]!BexGetData("DP_1","00O2TNJGODT0G5Z4TTKYMMI9X","GSON1112151330")</f>
        <v>#NAME?</v>
      </c>
      <c r="T1618" s="4" t="e">
        <f ca="1">[1]!BexGetData("DP_1","00O2TNJGODT0G5Z4TTKYMMOLH","GSON1112151330")</f>
        <v>#NAME?</v>
      </c>
      <c r="U1618" s="4" t="e">
        <f ca="1">[1]!BexGetData("DP_1","00O2TNJGODT0G5Z4TTKYMMUX1","GSON1112151330")</f>
        <v>#NAME?</v>
      </c>
      <c r="V1618" s="4" t="e">
        <f ca="1">[1]!BexGetData("DP_1","00O2TNJGODT0G5Z4TTKYMN18L","GSON1112151330")</f>
        <v>#NAME?</v>
      </c>
      <c r="W1618" s="4" t="e">
        <f ca="1">[1]!BexGetData("DP_1","00O2TNJGODT0G5Z4TTKYMN7K5","GSON1112151330")</f>
        <v>#NAME?</v>
      </c>
    </row>
    <row r="1619" spans="1:23" x14ac:dyDescent="0.2">
      <c r="A1619" s="16" t="s">
        <v>4177</v>
      </c>
      <c r="B1619" s="7" t="s">
        <v>4178</v>
      </c>
      <c r="C1619" s="3" t="e">
        <f ca="1">[1]!BexGetData("DP_1","003N8EMH8GTFRCSWKMPXRR8GU","GSON1112151331")</f>
        <v>#NAME?</v>
      </c>
      <c r="D1619" s="3" t="e">
        <f ca="1">[1]!BexGetData("DP_1","003N8EMH8GTFRCSWKMPXRRESE","GSON1112151331")</f>
        <v>#NAME?</v>
      </c>
      <c r="E1619" s="8" t="e">
        <f ca="1">[1]!BexGetData("DP_1","003N8EMH8GTFRCSWKMPXRRL3Y","GSON1112151331")</f>
        <v>#NAME?</v>
      </c>
      <c r="F1619" s="4" t="e">
        <f ca="1">[1]!BexGetData("DP_1","003N8EMH8GTFRCSWKMPXRRRFI","GSON1112151331")</f>
        <v>#NAME?</v>
      </c>
      <c r="G1619" s="4" t="e">
        <f ca="1">[1]!BexGetData("DP_1","003N8EMH8GTFRCSWKMPXRRXR2","GSON1112151331")</f>
        <v>#NAME?</v>
      </c>
      <c r="H1619" s="4" t="e">
        <f ca="1">[1]!BexGetData("DP_1","003N8EMH8GTFRCSWKMPXRS42M","GSON1112151331")</f>
        <v>#NAME?</v>
      </c>
      <c r="I1619" s="4" t="e">
        <f ca="1">[1]!BexGetData("DP_1","003N8EMH8GTFRCSWKMPXRSAE6","GSON1112151331")</f>
        <v>#NAME?</v>
      </c>
      <c r="J1619" s="4" t="e">
        <f ca="1">[1]!BexGetData("DP_1","003N8EMH8GTFRCSWKMPXRSGPQ","GSON1112151331")</f>
        <v>#NAME?</v>
      </c>
      <c r="K1619" s="8" t="e">
        <f ca="1">[1]!BexGetData("DP_1","003N8EMH8GTFRIVNUPY288VJH","GSON1112151331")</f>
        <v>#NAME?</v>
      </c>
      <c r="L1619" s="8" t="e">
        <f ca="1">[1]!BexGetData("DP_1","003N8EMH8GTFRIVNUPY2891V1","GSON1112151331")</f>
        <v>#NAME?</v>
      </c>
      <c r="M1619" s="8" t="e">
        <f ca="1">[1]!BexGetData("DP_1","003N8EMH8GTFRIVOG7KG9IQXA","GSON1112151331")</f>
        <v>#NAME?</v>
      </c>
      <c r="N1619" s="8" t="e">
        <f ca="1">[1]!BexGetData("DP_1","003N8EMH8GTFRIVOG7KG9IX8U","GSON1112151331")</f>
        <v>#NAME?</v>
      </c>
      <c r="O1619" s="8" t="e">
        <f ca="1">[1]!BexGetData("DP_1","003N8EMH8GTFRIVOG7KG9J3KE","GSON1112151331")</f>
        <v>#NAME?</v>
      </c>
      <c r="P1619" s="8" t="e">
        <f ca="1">[1]!BexGetData("DP_1","003N8EMH8GTFRIVOG7KG9J9VY","GSON1112151331")</f>
        <v>#NAME?</v>
      </c>
      <c r="Q1619" s="4" t="e">
        <f ca="1">[1]!BexGetData("DP_1","00O2TNJGODT0G5Z4TTKYMM5MT","GSON1112151331")</f>
        <v>#NAME?</v>
      </c>
      <c r="R1619" s="4" t="e">
        <f ca="1">[1]!BexGetData("DP_1","00O2TNJGODT0G5Z4TTKYMMBYD","GSON1112151331")</f>
        <v>#NAME?</v>
      </c>
      <c r="S1619" s="4" t="e">
        <f ca="1">[1]!BexGetData("DP_1","00O2TNJGODT0G5Z4TTKYMMI9X","GSON1112151331")</f>
        <v>#NAME?</v>
      </c>
      <c r="T1619" s="4" t="e">
        <f ca="1">[1]!BexGetData("DP_1","00O2TNJGODT0G5Z4TTKYMMOLH","GSON1112151331")</f>
        <v>#NAME?</v>
      </c>
      <c r="U1619" s="4" t="e">
        <f ca="1">[1]!BexGetData("DP_1","00O2TNJGODT0G5Z4TTKYMMUX1","GSON1112151331")</f>
        <v>#NAME?</v>
      </c>
      <c r="V1619" s="4" t="e">
        <f ca="1">[1]!BexGetData("DP_1","00O2TNJGODT0G5Z4TTKYMN18L","GSON1112151331")</f>
        <v>#NAME?</v>
      </c>
      <c r="W1619" s="4" t="e">
        <f ca="1">[1]!BexGetData("DP_1","00O2TNJGODT0G5Z4TTKYMN7K5","GSON1112151331")</f>
        <v>#NAME?</v>
      </c>
    </row>
    <row r="1620" spans="1:23" x14ac:dyDescent="0.2">
      <c r="A1620" s="16" t="s">
        <v>4179</v>
      </c>
      <c r="B1620" s="7" t="s">
        <v>4180</v>
      </c>
      <c r="C1620" s="3" t="e">
        <f ca="1">[1]!BexGetData("DP_1","003N8EMH8GTFRCSWKMPXRR8GU","GSON1112151333")</f>
        <v>#NAME?</v>
      </c>
      <c r="D1620" s="3" t="e">
        <f ca="1">[1]!BexGetData("DP_1","003N8EMH8GTFRCSWKMPXRRESE","GSON1112151333")</f>
        <v>#NAME?</v>
      </c>
      <c r="E1620" s="8" t="e">
        <f ca="1">[1]!BexGetData("DP_1","003N8EMH8GTFRCSWKMPXRRL3Y","GSON1112151333")</f>
        <v>#NAME?</v>
      </c>
      <c r="F1620" s="4" t="e">
        <f ca="1">[1]!BexGetData("DP_1","003N8EMH8GTFRCSWKMPXRRRFI","GSON1112151333")</f>
        <v>#NAME?</v>
      </c>
      <c r="G1620" s="4" t="e">
        <f ca="1">[1]!BexGetData("DP_1","003N8EMH8GTFRCSWKMPXRRXR2","GSON1112151333")</f>
        <v>#NAME?</v>
      </c>
      <c r="H1620" s="4" t="e">
        <f ca="1">[1]!BexGetData("DP_1","003N8EMH8GTFRCSWKMPXRS42M","GSON1112151333")</f>
        <v>#NAME?</v>
      </c>
      <c r="I1620" s="4" t="e">
        <f ca="1">[1]!BexGetData("DP_1","003N8EMH8GTFRCSWKMPXRSAE6","GSON1112151333")</f>
        <v>#NAME?</v>
      </c>
      <c r="J1620" s="4" t="e">
        <f ca="1">[1]!BexGetData("DP_1","003N8EMH8GTFRCSWKMPXRSGPQ","GSON1112151333")</f>
        <v>#NAME?</v>
      </c>
      <c r="K1620" s="8" t="e">
        <f ca="1">[1]!BexGetData("DP_1","003N8EMH8GTFRIVNUPY288VJH","GSON1112151333")</f>
        <v>#NAME?</v>
      </c>
      <c r="L1620" s="8" t="e">
        <f ca="1">[1]!BexGetData("DP_1","003N8EMH8GTFRIVNUPY2891V1","GSON1112151333")</f>
        <v>#NAME?</v>
      </c>
      <c r="M1620" s="8" t="e">
        <f ca="1">[1]!BexGetData("DP_1","003N8EMH8GTFRIVOG7KG9IQXA","GSON1112151333")</f>
        <v>#NAME?</v>
      </c>
      <c r="N1620" s="8" t="e">
        <f ca="1">[1]!BexGetData("DP_1","003N8EMH8GTFRIVOG7KG9IX8U","GSON1112151333")</f>
        <v>#NAME?</v>
      </c>
      <c r="O1620" s="8" t="e">
        <f ca="1">[1]!BexGetData("DP_1","003N8EMH8GTFRIVOG7KG9J3KE","GSON1112151333")</f>
        <v>#NAME?</v>
      </c>
      <c r="P1620" s="8" t="e">
        <f ca="1">[1]!BexGetData("DP_1","003N8EMH8GTFRIVOG7KG9J9VY","GSON1112151333")</f>
        <v>#NAME?</v>
      </c>
      <c r="Q1620" s="4" t="e">
        <f ca="1">[1]!BexGetData("DP_1","00O2TNJGODT0G5Z4TTKYMM5MT","GSON1112151333")</f>
        <v>#NAME?</v>
      </c>
      <c r="R1620" s="4" t="e">
        <f ca="1">[1]!BexGetData("DP_1","00O2TNJGODT0G5Z4TTKYMMBYD","GSON1112151333")</f>
        <v>#NAME?</v>
      </c>
      <c r="S1620" s="4" t="e">
        <f ca="1">[1]!BexGetData("DP_1","00O2TNJGODT0G5Z4TTKYMMI9X","GSON1112151333")</f>
        <v>#NAME?</v>
      </c>
      <c r="T1620" s="4" t="e">
        <f ca="1">[1]!BexGetData("DP_1","00O2TNJGODT0G5Z4TTKYMMOLH","GSON1112151333")</f>
        <v>#NAME?</v>
      </c>
      <c r="U1620" s="4" t="e">
        <f ca="1">[1]!BexGetData("DP_1","00O2TNJGODT0G5Z4TTKYMMUX1","GSON1112151333")</f>
        <v>#NAME?</v>
      </c>
      <c r="V1620" s="4" t="e">
        <f ca="1">[1]!BexGetData("DP_1","00O2TNJGODT0G5Z4TTKYMN18L","GSON1112151333")</f>
        <v>#NAME?</v>
      </c>
      <c r="W1620" s="4" t="e">
        <f ca="1">[1]!BexGetData("DP_1","00O2TNJGODT0G5Z4TTKYMN7K5","GSON1112151333")</f>
        <v>#NAME?</v>
      </c>
    </row>
    <row r="1621" spans="1:23" x14ac:dyDescent="0.2">
      <c r="A1621" s="16" t="s">
        <v>4181</v>
      </c>
      <c r="B1621" s="7" t="s">
        <v>4182</v>
      </c>
      <c r="C1621" s="3" t="e">
        <f ca="1">[1]!BexGetData("DP_1","003N8EMH8GTFRCSWKMPXRR8GU","GSON1112151334")</f>
        <v>#NAME?</v>
      </c>
      <c r="D1621" s="3" t="e">
        <f ca="1">[1]!BexGetData("DP_1","003N8EMH8GTFRCSWKMPXRRESE","GSON1112151334")</f>
        <v>#NAME?</v>
      </c>
      <c r="E1621" s="8" t="e">
        <f ca="1">[1]!BexGetData("DP_1","003N8EMH8GTFRCSWKMPXRRL3Y","GSON1112151334")</f>
        <v>#NAME?</v>
      </c>
      <c r="F1621" s="4" t="e">
        <f ca="1">[1]!BexGetData("DP_1","003N8EMH8GTFRCSWKMPXRRRFI","GSON1112151334")</f>
        <v>#NAME?</v>
      </c>
      <c r="G1621" s="4" t="e">
        <f ca="1">[1]!BexGetData("DP_1","003N8EMH8GTFRCSWKMPXRRXR2","GSON1112151334")</f>
        <v>#NAME?</v>
      </c>
      <c r="H1621" s="4" t="e">
        <f ca="1">[1]!BexGetData("DP_1","003N8EMH8GTFRCSWKMPXRS42M","GSON1112151334")</f>
        <v>#NAME?</v>
      </c>
      <c r="I1621" s="4" t="e">
        <f ca="1">[1]!BexGetData("DP_1","003N8EMH8GTFRCSWKMPXRSAE6","GSON1112151334")</f>
        <v>#NAME?</v>
      </c>
      <c r="J1621" s="4" t="e">
        <f ca="1">[1]!BexGetData("DP_1","003N8EMH8GTFRCSWKMPXRSGPQ","GSON1112151334")</f>
        <v>#NAME?</v>
      </c>
      <c r="K1621" s="8" t="e">
        <f ca="1">[1]!BexGetData("DP_1","003N8EMH8GTFRIVNUPY288VJH","GSON1112151334")</f>
        <v>#NAME?</v>
      </c>
      <c r="L1621" s="8" t="e">
        <f ca="1">[1]!BexGetData("DP_1","003N8EMH8GTFRIVNUPY2891V1","GSON1112151334")</f>
        <v>#NAME?</v>
      </c>
      <c r="M1621" s="8" t="e">
        <f ca="1">[1]!BexGetData("DP_1","003N8EMH8GTFRIVOG7KG9IQXA","GSON1112151334")</f>
        <v>#NAME?</v>
      </c>
      <c r="N1621" s="8" t="e">
        <f ca="1">[1]!BexGetData("DP_1","003N8EMH8GTFRIVOG7KG9IX8U","GSON1112151334")</f>
        <v>#NAME?</v>
      </c>
      <c r="O1621" s="8" t="e">
        <f ca="1">[1]!BexGetData("DP_1","003N8EMH8GTFRIVOG7KG9J3KE","GSON1112151334")</f>
        <v>#NAME?</v>
      </c>
      <c r="P1621" s="8" t="e">
        <f ca="1">[1]!BexGetData("DP_1","003N8EMH8GTFRIVOG7KG9J9VY","GSON1112151334")</f>
        <v>#NAME?</v>
      </c>
      <c r="Q1621" s="4" t="e">
        <f ca="1">[1]!BexGetData("DP_1","00O2TNJGODT0G5Z4TTKYMM5MT","GSON1112151334")</f>
        <v>#NAME?</v>
      </c>
      <c r="R1621" s="4" t="e">
        <f ca="1">[1]!BexGetData("DP_1","00O2TNJGODT0G5Z4TTKYMMBYD","GSON1112151334")</f>
        <v>#NAME?</v>
      </c>
      <c r="S1621" s="4" t="e">
        <f ca="1">[1]!BexGetData("DP_1","00O2TNJGODT0G5Z4TTKYMMI9X","GSON1112151334")</f>
        <v>#NAME?</v>
      </c>
      <c r="T1621" s="4" t="e">
        <f ca="1">[1]!BexGetData("DP_1","00O2TNJGODT0G5Z4TTKYMMOLH","GSON1112151334")</f>
        <v>#NAME?</v>
      </c>
      <c r="U1621" s="4" t="e">
        <f ca="1">[1]!BexGetData("DP_1","00O2TNJGODT0G5Z4TTKYMMUX1","GSON1112151334")</f>
        <v>#NAME?</v>
      </c>
      <c r="V1621" s="4" t="e">
        <f ca="1">[1]!BexGetData("DP_1","00O2TNJGODT0G5Z4TTKYMN18L","GSON1112151334")</f>
        <v>#NAME?</v>
      </c>
      <c r="W1621" s="4" t="e">
        <f ca="1">[1]!BexGetData("DP_1","00O2TNJGODT0G5Z4TTKYMN7K5","GSON1112151334")</f>
        <v>#NAME?</v>
      </c>
    </row>
    <row r="1622" spans="1:23" x14ac:dyDescent="0.2">
      <c r="A1622" s="16" t="s">
        <v>4183</v>
      </c>
      <c r="B1622" s="7" t="s">
        <v>4184</v>
      </c>
      <c r="C1622" s="3" t="e">
        <f ca="1">[1]!BexGetData("DP_1","003N8EMH8GTFRCSWKMPXRR8GU","GSON1112151335")</f>
        <v>#NAME?</v>
      </c>
      <c r="D1622" s="3" t="e">
        <f ca="1">[1]!BexGetData("DP_1","003N8EMH8GTFRCSWKMPXRRESE","GSON1112151335")</f>
        <v>#NAME?</v>
      </c>
      <c r="E1622" s="8" t="e">
        <f ca="1">[1]!BexGetData("DP_1","003N8EMH8GTFRCSWKMPXRRL3Y","GSON1112151335")</f>
        <v>#NAME?</v>
      </c>
      <c r="F1622" s="4" t="e">
        <f ca="1">[1]!BexGetData("DP_1","003N8EMH8GTFRCSWKMPXRRRFI","GSON1112151335")</f>
        <v>#NAME?</v>
      </c>
      <c r="G1622" s="4" t="e">
        <f ca="1">[1]!BexGetData("DP_1","003N8EMH8GTFRCSWKMPXRRXR2","GSON1112151335")</f>
        <v>#NAME?</v>
      </c>
      <c r="H1622" s="4" t="e">
        <f ca="1">[1]!BexGetData("DP_1","003N8EMH8GTFRCSWKMPXRS42M","GSON1112151335")</f>
        <v>#NAME?</v>
      </c>
      <c r="I1622" s="4" t="e">
        <f ca="1">[1]!BexGetData("DP_1","003N8EMH8GTFRCSWKMPXRSAE6","GSON1112151335")</f>
        <v>#NAME?</v>
      </c>
      <c r="J1622" s="4" t="e">
        <f ca="1">[1]!BexGetData("DP_1","003N8EMH8GTFRCSWKMPXRSGPQ","GSON1112151335")</f>
        <v>#NAME?</v>
      </c>
      <c r="K1622" s="8" t="e">
        <f ca="1">[1]!BexGetData("DP_1","003N8EMH8GTFRIVNUPY288VJH","GSON1112151335")</f>
        <v>#NAME?</v>
      </c>
      <c r="L1622" s="8" t="e">
        <f ca="1">[1]!BexGetData("DP_1","003N8EMH8GTFRIVNUPY2891V1","GSON1112151335")</f>
        <v>#NAME?</v>
      </c>
      <c r="M1622" s="8" t="e">
        <f ca="1">[1]!BexGetData("DP_1","003N8EMH8GTFRIVOG7KG9IQXA","GSON1112151335")</f>
        <v>#NAME?</v>
      </c>
      <c r="N1622" s="8" t="e">
        <f ca="1">[1]!BexGetData("DP_1","003N8EMH8GTFRIVOG7KG9IX8U","GSON1112151335")</f>
        <v>#NAME?</v>
      </c>
      <c r="O1622" s="8" t="e">
        <f ca="1">[1]!BexGetData("DP_1","003N8EMH8GTFRIVOG7KG9J3KE","GSON1112151335")</f>
        <v>#NAME?</v>
      </c>
      <c r="P1622" s="8" t="e">
        <f ca="1">[1]!BexGetData("DP_1","003N8EMH8GTFRIVOG7KG9J9VY","GSON1112151335")</f>
        <v>#NAME?</v>
      </c>
      <c r="Q1622" s="4" t="e">
        <f ca="1">[1]!BexGetData("DP_1","00O2TNJGODT0G5Z4TTKYMM5MT","GSON1112151335")</f>
        <v>#NAME?</v>
      </c>
      <c r="R1622" s="4" t="e">
        <f ca="1">[1]!BexGetData("DP_1","00O2TNJGODT0G5Z4TTKYMMBYD","GSON1112151335")</f>
        <v>#NAME?</v>
      </c>
      <c r="S1622" s="4" t="e">
        <f ca="1">[1]!BexGetData("DP_1","00O2TNJGODT0G5Z4TTKYMMI9X","GSON1112151335")</f>
        <v>#NAME?</v>
      </c>
      <c r="T1622" s="4" t="e">
        <f ca="1">[1]!BexGetData("DP_1","00O2TNJGODT0G5Z4TTKYMMOLH","GSON1112151335")</f>
        <v>#NAME?</v>
      </c>
      <c r="U1622" s="4" t="e">
        <f ca="1">[1]!BexGetData("DP_1","00O2TNJGODT0G5Z4TTKYMMUX1","GSON1112151335")</f>
        <v>#NAME?</v>
      </c>
      <c r="V1622" s="4" t="e">
        <f ca="1">[1]!BexGetData("DP_1","00O2TNJGODT0G5Z4TTKYMN18L","GSON1112151335")</f>
        <v>#NAME?</v>
      </c>
      <c r="W1622" s="4" t="e">
        <f ca="1">[1]!BexGetData("DP_1","00O2TNJGODT0G5Z4TTKYMN7K5","GSON1112151335")</f>
        <v>#NAME?</v>
      </c>
    </row>
    <row r="1623" spans="1:23" x14ac:dyDescent="0.2">
      <c r="A1623" s="16" t="s">
        <v>4185</v>
      </c>
      <c r="B1623" s="7" t="s">
        <v>4186</v>
      </c>
      <c r="C1623" s="3" t="e">
        <f ca="1">[1]!BexGetData("DP_1","003N8EMH8GTFRCSWKMPXRR8GU","GSON1112151340")</f>
        <v>#NAME?</v>
      </c>
      <c r="D1623" s="3" t="e">
        <f ca="1">[1]!BexGetData("DP_1","003N8EMH8GTFRCSWKMPXRRESE","GSON1112151340")</f>
        <v>#NAME?</v>
      </c>
      <c r="E1623" s="3" t="e">
        <f ca="1">[1]!BexGetData("DP_1","003N8EMH8GTFRCSWKMPXRRL3Y","GSON1112151340")</f>
        <v>#NAME?</v>
      </c>
      <c r="F1623" s="4" t="e">
        <f ca="1">[1]!BexGetData("DP_1","003N8EMH8GTFRCSWKMPXRRRFI","GSON1112151340")</f>
        <v>#NAME?</v>
      </c>
      <c r="G1623" s="4" t="e">
        <f ca="1">[1]!BexGetData("DP_1","003N8EMH8GTFRCSWKMPXRRXR2","GSON1112151340")</f>
        <v>#NAME?</v>
      </c>
      <c r="H1623" s="4" t="e">
        <f ca="1">[1]!BexGetData("DP_1","003N8EMH8GTFRCSWKMPXRS42M","GSON1112151340")</f>
        <v>#NAME?</v>
      </c>
      <c r="I1623" s="4" t="e">
        <f ca="1">[1]!BexGetData("DP_1","003N8EMH8GTFRCSWKMPXRSAE6","GSON1112151340")</f>
        <v>#NAME?</v>
      </c>
      <c r="J1623" s="4" t="e">
        <f ca="1">[1]!BexGetData("DP_1","003N8EMH8GTFRCSWKMPXRSGPQ","GSON1112151340")</f>
        <v>#NAME?</v>
      </c>
      <c r="K1623" s="3" t="e">
        <f ca="1">[1]!BexGetData("DP_1","003N8EMH8GTFRIVNUPY288VJH","GSON1112151340")</f>
        <v>#NAME?</v>
      </c>
      <c r="L1623" s="3" t="e">
        <f ca="1">[1]!BexGetData("DP_1","003N8EMH8GTFRIVNUPY2891V1","GSON1112151340")</f>
        <v>#NAME?</v>
      </c>
      <c r="M1623" s="8" t="e">
        <f ca="1">[1]!BexGetData("DP_1","003N8EMH8GTFRIVOG7KG9IQXA","GSON1112151340")</f>
        <v>#NAME?</v>
      </c>
      <c r="N1623" s="3" t="e">
        <f ca="1">[1]!BexGetData("DP_1","003N8EMH8GTFRIVOG7KG9IX8U","GSON1112151340")</f>
        <v>#NAME?</v>
      </c>
      <c r="O1623" s="8" t="e">
        <f ca="1">[1]!BexGetData("DP_1","003N8EMH8GTFRIVOG7KG9J3KE","GSON1112151340")</f>
        <v>#NAME?</v>
      </c>
      <c r="P1623" s="3" t="e">
        <f ca="1">[1]!BexGetData("DP_1","003N8EMH8GTFRIVOG7KG9J9VY","GSON1112151340")</f>
        <v>#NAME?</v>
      </c>
      <c r="Q1623" s="4" t="e">
        <f ca="1">[1]!BexGetData("DP_1","00O2TNJGODT0G5Z4TTKYMM5MT","GSON1112151340")</f>
        <v>#NAME?</v>
      </c>
      <c r="R1623" s="4" t="e">
        <f ca="1">[1]!BexGetData("DP_1","00O2TNJGODT0G5Z4TTKYMMBYD","GSON1112151340")</f>
        <v>#NAME?</v>
      </c>
      <c r="S1623" s="4" t="e">
        <f ca="1">[1]!BexGetData("DP_1","00O2TNJGODT0G5Z4TTKYMMI9X","GSON1112151340")</f>
        <v>#NAME?</v>
      </c>
      <c r="T1623" s="4" t="e">
        <f ca="1">[1]!BexGetData("DP_1","00O2TNJGODT0G5Z4TTKYMMOLH","GSON1112151340")</f>
        <v>#NAME?</v>
      </c>
      <c r="U1623" s="4" t="e">
        <f ca="1">[1]!BexGetData("DP_1","00O2TNJGODT0G5Z4TTKYMMUX1","GSON1112151340")</f>
        <v>#NAME?</v>
      </c>
      <c r="V1623" s="4" t="e">
        <f ca="1">[1]!BexGetData("DP_1","00O2TNJGODT0G5Z4TTKYMN18L","GSON1112151340")</f>
        <v>#NAME?</v>
      </c>
      <c r="W1623" s="4" t="e">
        <f ca="1">[1]!BexGetData("DP_1","00O2TNJGODT0G5Z4TTKYMN7K5","GSON1112151340")</f>
        <v>#NAME?</v>
      </c>
    </row>
    <row r="1624" spans="1:23" x14ac:dyDescent="0.2">
      <c r="A1624" s="16" t="s">
        <v>4187</v>
      </c>
      <c r="B1624" s="7" t="s">
        <v>4188</v>
      </c>
      <c r="C1624" s="3" t="e">
        <f ca="1">[1]!BexGetData("DP_1","003N8EMH8GTFRCSWKMPXRR8GU","GSON1112151341")</f>
        <v>#NAME?</v>
      </c>
      <c r="D1624" s="3" t="e">
        <f ca="1">[1]!BexGetData("DP_1","003N8EMH8GTFRCSWKMPXRRESE","GSON1112151341")</f>
        <v>#NAME?</v>
      </c>
      <c r="E1624" s="8" t="e">
        <f ca="1">[1]!BexGetData("DP_1","003N8EMH8GTFRCSWKMPXRRL3Y","GSON1112151341")</f>
        <v>#NAME?</v>
      </c>
      <c r="F1624" s="4" t="e">
        <f ca="1">[1]!BexGetData("DP_1","003N8EMH8GTFRCSWKMPXRRRFI","GSON1112151341")</f>
        <v>#NAME?</v>
      </c>
      <c r="G1624" s="4" t="e">
        <f ca="1">[1]!BexGetData("DP_1","003N8EMH8GTFRCSWKMPXRRXR2","GSON1112151341")</f>
        <v>#NAME?</v>
      </c>
      <c r="H1624" s="4" t="e">
        <f ca="1">[1]!BexGetData("DP_1","003N8EMH8GTFRCSWKMPXRS42M","GSON1112151341")</f>
        <v>#NAME?</v>
      </c>
      <c r="I1624" s="4" t="e">
        <f ca="1">[1]!BexGetData("DP_1","003N8EMH8GTFRCSWKMPXRSAE6","GSON1112151341")</f>
        <v>#NAME?</v>
      </c>
      <c r="J1624" s="4" t="e">
        <f ca="1">[1]!BexGetData("DP_1","003N8EMH8GTFRCSWKMPXRSGPQ","GSON1112151341")</f>
        <v>#NAME?</v>
      </c>
      <c r="K1624" s="8" t="e">
        <f ca="1">[1]!BexGetData("DP_1","003N8EMH8GTFRIVNUPY288VJH","GSON1112151341")</f>
        <v>#NAME?</v>
      </c>
      <c r="L1624" s="8" t="e">
        <f ca="1">[1]!BexGetData("DP_1","003N8EMH8GTFRIVNUPY2891V1","GSON1112151341")</f>
        <v>#NAME?</v>
      </c>
      <c r="M1624" s="8" t="e">
        <f ca="1">[1]!BexGetData("DP_1","003N8EMH8GTFRIVOG7KG9IQXA","GSON1112151341")</f>
        <v>#NAME?</v>
      </c>
      <c r="N1624" s="8" t="e">
        <f ca="1">[1]!BexGetData("DP_1","003N8EMH8GTFRIVOG7KG9IX8U","GSON1112151341")</f>
        <v>#NAME?</v>
      </c>
      <c r="O1624" s="8" t="e">
        <f ca="1">[1]!BexGetData("DP_1","003N8EMH8GTFRIVOG7KG9J3KE","GSON1112151341")</f>
        <v>#NAME?</v>
      </c>
      <c r="P1624" s="8" t="e">
        <f ca="1">[1]!BexGetData("DP_1","003N8EMH8GTFRIVOG7KG9J9VY","GSON1112151341")</f>
        <v>#NAME?</v>
      </c>
      <c r="Q1624" s="4" t="e">
        <f ca="1">[1]!BexGetData("DP_1","00O2TNJGODT0G5Z4TTKYMM5MT","GSON1112151341")</f>
        <v>#NAME?</v>
      </c>
      <c r="R1624" s="4" t="e">
        <f ca="1">[1]!BexGetData("DP_1","00O2TNJGODT0G5Z4TTKYMMBYD","GSON1112151341")</f>
        <v>#NAME?</v>
      </c>
      <c r="S1624" s="4" t="e">
        <f ca="1">[1]!BexGetData("DP_1","00O2TNJGODT0G5Z4TTKYMMI9X","GSON1112151341")</f>
        <v>#NAME?</v>
      </c>
      <c r="T1624" s="4" t="e">
        <f ca="1">[1]!BexGetData("DP_1","00O2TNJGODT0G5Z4TTKYMMOLH","GSON1112151341")</f>
        <v>#NAME?</v>
      </c>
      <c r="U1624" s="4" t="e">
        <f ca="1">[1]!BexGetData("DP_1","00O2TNJGODT0G5Z4TTKYMMUX1","GSON1112151341")</f>
        <v>#NAME?</v>
      </c>
      <c r="V1624" s="4" t="e">
        <f ca="1">[1]!BexGetData("DP_1","00O2TNJGODT0G5Z4TTKYMN18L","GSON1112151341")</f>
        <v>#NAME?</v>
      </c>
      <c r="W1624" s="4" t="e">
        <f ca="1">[1]!BexGetData("DP_1","00O2TNJGODT0G5Z4TTKYMN7K5","GSON1112151341")</f>
        <v>#NAME?</v>
      </c>
    </row>
    <row r="1625" spans="1:23" x14ac:dyDescent="0.2">
      <c r="A1625" s="16" t="s">
        <v>4189</v>
      </c>
      <c r="B1625" s="7" t="s">
        <v>4190</v>
      </c>
      <c r="C1625" s="3" t="e">
        <f ca="1">[1]!BexGetData("DP_1","003N8EMH8GTFRCSWKMPXRR8GU","GSON1112151343")</f>
        <v>#NAME?</v>
      </c>
      <c r="D1625" s="3" t="e">
        <f ca="1">[1]!BexGetData("DP_1","003N8EMH8GTFRCSWKMPXRRESE","GSON1112151343")</f>
        <v>#NAME?</v>
      </c>
      <c r="E1625" s="8" t="e">
        <f ca="1">[1]!BexGetData("DP_1","003N8EMH8GTFRCSWKMPXRRL3Y","GSON1112151343")</f>
        <v>#NAME?</v>
      </c>
      <c r="F1625" s="4" t="e">
        <f ca="1">[1]!BexGetData("DP_1","003N8EMH8GTFRCSWKMPXRRRFI","GSON1112151343")</f>
        <v>#NAME?</v>
      </c>
      <c r="G1625" s="4" t="e">
        <f ca="1">[1]!BexGetData("DP_1","003N8EMH8GTFRCSWKMPXRRXR2","GSON1112151343")</f>
        <v>#NAME?</v>
      </c>
      <c r="H1625" s="4" t="e">
        <f ca="1">[1]!BexGetData("DP_1","003N8EMH8GTFRCSWKMPXRS42M","GSON1112151343")</f>
        <v>#NAME?</v>
      </c>
      <c r="I1625" s="4" t="e">
        <f ca="1">[1]!BexGetData("DP_1","003N8EMH8GTFRCSWKMPXRSAE6","GSON1112151343")</f>
        <v>#NAME?</v>
      </c>
      <c r="J1625" s="4" t="e">
        <f ca="1">[1]!BexGetData("DP_1","003N8EMH8GTFRCSWKMPXRSGPQ","GSON1112151343")</f>
        <v>#NAME?</v>
      </c>
      <c r="K1625" s="8" t="e">
        <f ca="1">[1]!BexGetData("DP_1","003N8EMH8GTFRIVNUPY288VJH","GSON1112151343")</f>
        <v>#NAME?</v>
      </c>
      <c r="L1625" s="8" t="e">
        <f ca="1">[1]!BexGetData("DP_1","003N8EMH8GTFRIVNUPY2891V1","GSON1112151343")</f>
        <v>#NAME?</v>
      </c>
      <c r="M1625" s="8" t="e">
        <f ca="1">[1]!BexGetData("DP_1","003N8EMH8GTFRIVOG7KG9IQXA","GSON1112151343")</f>
        <v>#NAME?</v>
      </c>
      <c r="N1625" s="8" t="e">
        <f ca="1">[1]!BexGetData("DP_1","003N8EMH8GTFRIVOG7KG9IX8U","GSON1112151343")</f>
        <v>#NAME?</v>
      </c>
      <c r="O1625" s="8" t="e">
        <f ca="1">[1]!BexGetData("DP_1","003N8EMH8GTFRIVOG7KG9J3KE","GSON1112151343")</f>
        <v>#NAME?</v>
      </c>
      <c r="P1625" s="8" t="e">
        <f ca="1">[1]!BexGetData("DP_1","003N8EMH8GTFRIVOG7KG9J9VY","GSON1112151343")</f>
        <v>#NAME?</v>
      </c>
      <c r="Q1625" s="4" t="e">
        <f ca="1">[1]!BexGetData("DP_1","00O2TNJGODT0G5Z4TTKYMM5MT","GSON1112151343")</f>
        <v>#NAME?</v>
      </c>
      <c r="R1625" s="4" t="e">
        <f ca="1">[1]!BexGetData("DP_1","00O2TNJGODT0G5Z4TTKYMMBYD","GSON1112151343")</f>
        <v>#NAME?</v>
      </c>
      <c r="S1625" s="4" t="e">
        <f ca="1">[1]!BexGetData("DP_1","00O2TNJGODT0G5Z4TTKYMMI9X","GSON1112151343")</f>
        <v>#NAME?</v>
      </c>
      <c r="T1625" s="4" t="e">
        <f ca="1">[1]!BexGetData("DP_1","00O2TNJGODT0G5Z4TTKYMMOLH","GSON1112151343")</f>
        <v>#NAME?</v>
      </c>
      <c r="U1625" s="4" t="e">
        <f ca="1">[1]!BexGetData("DP_1","00O2TNJGODT0G5Z4TTKYMMUX1","GSON1112151343")</f>
        <v>#NAME?</v>
      </c>
      <c r="V1625" s="4" t="e">
        <f ca="1">[1]!BexGetData("DP_1","00O2TNJGODT0G5Z4TTKYMN18L","GSON1112151343")</f>
        <v>#NAME?</v>
      </c>
      <c r="W1625" s="4" t="e">
        <f ca="1">[1]!BexGetData("DP_1","00O2TNJGODT0G5Z4TTKYMN7K5","GSON1112151343")</f>
        <v>#NAME?</v>
      </c>
    </row>
    <row r="1626" spans="1:23" x14ac:dyDescent="0.2">
      <c r="A1626" s="16" t="s">
        <v>4191</v>
      </c>
      <c r="B1626" s="7" t="s">
        <v>4192</v>
      </c>
      <c r="C1626" s="3" t="e">
        <f ca="1">[1]!BexGetData("DP_1","003N8EMH8GTFRCSWKMPXRR8GU","GSON1112151344")</f>
        <v>#NAME?</v>
      </c>
      <c r="D1626" s="3" t="e">
        <f ca="1">[1]!BexGetData("DP_1","003N8EMH8GTFRCSWKMPXRRESE","GSON1112151344")</f>
        <v>#NAME?</v>
      </c>
      <c r="E1626" s="8" t="e">
        <f ca="1">[1]!BexGetData("DP_1","003N8EMH8GTFRCSWKMPXRRL3Y","GSON1112151344")</f>
        <v>#NAME?</v>
      </c>
      <c r="F1626" s="4" t="e">
        <f ca="1">[1]!BexGetData("DP_1","003N8EMH8GTFRCSWKMPXRRRFI","GSON1112151344")</f>
        <v>#NAME?</v>
      </c>
      <c r="G1626" s="4" t="e">
        <f ca="1">[1]!BexGetData("DP_1","003N8EMH8GTFRCSWKMPXRRXR2","GSON1112151344")</f>
        <v>#NAME?</v>
      </c>
      <c r="H1626" s="4" t="e">
        <f ca="1">[1]!BexGetData("DP_1","003N8EMH8GTFRCSWKMPXRS42M","GSON1112151344")</f>
        <v>#NAME?</v>
      </c>
      <c r="I1626" s="4" t="e">
        <f ca="1">[1]!BexGetData("DP_1","003N8EMH8GTFRCSWKMPXRSAE6","GSON1112151344")</f>
        <v>#NAME?</v>
      </c>
      <c r="J1626" s="4" t="e">
        <f ca="1">[1]!BexGetData("DP_1","003N8EMH8GTFRCSWKMPXRSGPQ","GSON1112151344")</f>
        <v>#NAME?</v>
      </c>
      <c r="K1626" s="8" t="e">
        <f ca="1">[1]!BexGetData("DP_1","003N8EMH8GTFRIVNUPY288VJH","GSON1112151344")</f>
        <v>#NAME?</v>
      </c>
      <c r="L1626" s="8" t="e">
        <f ca="1">[1]!BexGetData("DP_1","003N8EMH8GTFRIVNUPY2891V1","GSON1112151344")</f>
        <v>#NAME?</v>
      </c>
      <c r="M1626" s="8" t="e">
        <f ca="1">[1]!BexGetData("DP_1","003N8EMH8GTFRIVOG7KG9IQXA","GSON1112151344")</f>
        <v>#NAME?</v>
      </c>
      <c r="N1626" s="8" t="e">
        <f ca="1">[1]!BexGetData("DP_1","003N8EMH8GTFRIVOG7KG9IX8U","GSON1112151344")</f>
        <v>#NAME?</v>
      </c>
      <c r="O1626" s="8" t="e">
        <f ca="1">[1]!BexGetData("DP_1","003N8EMH8GTFRIVOG7KG9J3KE","GSON1112151344")</f>
        <v>#NAME?</v>
      </c>
      <c r="P1626" s="8" t="e">
        <f ca="1">[1]!BexGetData("DP_1","003N8EMH8GTFRIVOG7KG9J9VY","GSON1112151344")</f>
        <v>#NAME?</v>
      </c>
      <c r="Q1626" s="4" t="e">
        <f ca="1">[1]!BexGetData("DP_1","00O2TNJGODT0G5Z4TTKYMM5MT","GSON1112151344")</f>
        <v>#NAME?</v>
      </c>
      <c r="R1626" s="4" t="e">
        <f ca="1">[1]!BexGetData("DP_1","00O2TNJGODT0G5Z4TTKYMMBYD","GSON1112151344")</f>
        <v>#NAME?</v>
      </c>
      <c r="S1626" s="4" t="e">
        <f ca="1">[1]!BexGetData("DP_1","00O2TNJGODT0G5Z4TTKYMMI9X","GSON1112151344")</f>
        <v>#NAME?</v>
      </c>
      <c r="T1626" s="4" t="e">
        <f ca="1">[1]!BexGetData("DP_1","00O2TNJGODT0G5Z4TTKYMMOLH","GSON1112151344")</f>
        <v>#NAME?</v>
      </c>
      <c r="U1626" s="4" t="e">
        <f ca="1">[1]!BexGetData("DP_1","00O2TNJGODT0G5Z4TTKYMMUX1","GSON1112151344")</f>
        <v>#NAME?</v>
      </c>
      <c r="V1626" s="4" t="e">
        <f ca="1">[1]!BexGetData("DP_1","00O2TNJGODT0G5Z4TTKYMN18L","GSON1112151344")</f>
        <v>#NAME?</v>
      </c>
      <c r="W1626" s="4" t="e">
        <f ca="1">[1]!BexGetData("DP_1","00O2TNJGODT0G5Z4TTKYMN7K5","GSON1112151344")</f>
        <v>#NAME?</v>
      </c>
    </row>
    <row r="1627" spans="1:23" x14ac:dyDescent="0.2">
      <c r="A1627" s="16" t="s">
        <v>4193</v>
      </c>
      <c r="B1627" s="7" t="s">
        <v>4194</v>
      </c>
      <c r="C1627" s="3" t="e">
        <f ca="1">[1]!BexGetData("DP_1","003N8EMH8GTFRCSWKMPXRR8GU","GSON1112151345")</f>
        <v>#NAME?</v>
      </c>
      <c r="D1627" s="3" t="e">
        <f ca="1">[1]!BexGetData("DP_1","003N8EMH8GTFRCSWKMPXRRESE","GSON1112151345")</f>
        <v>#NAME?</v>
      </c>
      <c r="E1627" s="8" t="e">
        <f ca="1">[1]!BexGetData("DP_1","003N8EMH8GTFRCSWKMPXRRL3Y","GSON1112151345")</f>
        <v>#NAME?</v>
      </c>
      <c r="F1627" s="4" t="e">
        <f ca="1">[1]!BexGetData("DP_1","003N8EMH8GTFRCSWKMPXRRRFI","GSON1112151345")</f>
        <v>#NAME?</v>
      </c>
      <c r="G1627" s="4" t="e">
        <f ca="1">[1]!BexGetData("DP_1","003N8EMH8GTFRCSWKMPXRRXR2","GSON1112151345")</f>
        <v>#NAME?</v>
      </c>
      <c r="H1627" s="4" t="e">
        <f ca="1">[1]!BexGetData("DP_1","003N8EMH8GTFRCSWKMPXRS42M","GSON1112151345")</f>
        <v>#NAME?</v>
      </c>
      <c r="I1627" s="4" t="e">
        <f ca="1">[1]!BexGetData("DP_1","003N8EMH8GTFRCSWKMPXRSAE6","GSON1112151345")</f>
        <v>#NAME?</v>
      </c>
      <c r="J1627" s="4" t="e">
        <f ca="1">[1]!BexGetData("DP_1","003N8EMH8GTFRCSWKMPXRSGPQ","GSON1112151345")</f>
        <v>#NAME?</v>
      </c>
      <c r="K1627" s="8" t="e">
        <f ca="1">[1]!BexGetData("DP_1","003N8EMH8GTFRIVNUPY288VJH","GSON1112151345")</f>
        <v>#NAME?</v>
      </c>
      <c r="L1627" s="8" t="e">
        <f ca="1">[1]!BexGetData("DP_1","003N8EMH8GTFRIVNUPY2891V1","GSON1112151345")</f>
        <v>#NAME?</v>
      </c>
      <c r="M1627" s="8" t="e">
        <f ca="1">[1]!BexGetData("DP_1","003N8EMH8GTFRIVOG7KG9IQXA","GSON1112151345")</f>
        <v>#NAME?</v>
      </c>
      <c r="N1627" s="8" t="e">
        <f ca="1">[1]!BexGetData("DP_1","003N8EMH8GTFRIVOG7KG9IX8U","GSON1112151345")</f>
        <v>#NAME?</v>
      </c>
      <c r="O1627" s="8" t="e">
        <f ca="1">[1]!BexGetData("DP_1","003N8EMH8GTFRIVOG7KG9J3KE","GSON1112151345")</f>
        <v>#NAME?</v>
      </c>
      <c r="P1627" s="8" t="e">
        <f ca="1">[1]!BexGetData("DP_1","003N8EMH8GTFRIVOG7KG9J9VY","GSON1112151345")</f>
        <v>#NAME?</v>
      </c>
      <c r="Q1627" s="4" t="e">
        <f ca="1">[1]!BexGetData("DP_1","00O2TNJGODT0G5Z4TTKYMM5MT","GSON1112151345")</f>
        <v>#NAME?</v>
      </c>
      <c r="R1627" s="4" t="e">
        <f ca="1">[1]!BexGetData("DP_1","00O2TNJGODT0G5Z4TTKYMMBYD","GSON1112151345")</f>
        <v>#NAME?</v>
      </c>
      <c r="S1627" s="4" t="e">
        <f ca="1">[1]!BexGetData("DP_1","00O2TNJGODT0G5Z4TTKYMMI9X","GSON1112151345")</f>
        <v>#NAME?</v>
      </c>
      <c r="T1627" s="4" t="e">
        <f ca="1">[1]!BexGetData("DP_1","00O2TNJGODT0G5Z4TTKYMMOLH","GSON1112151345")</f>
        <v>#NAME?</v>
      </c>
      <c r="U1627" s="4" t="e">
        <f ca="1">[1]!BexGetData("DP_1","00O2TNJGODT0G5Z4TTKYMMUX1","GSON1112151345")</f>
        <v>#NAME?</v>
      </c>
      <c r="V1627" s="4" t="e">
        <f ca="1">[1]!BexGetData("DP_1","00O2TNJGODT0G5Z4TTKYMN18L","GSON1112151345")</f>
        <v>#NAME?</v>
      </c>
      <c r="W1627" s="4" t="e">
        <f ca="1">[1]!BexGetData("DP_1","00O2TNJGODT0G5Z4TTKYMN7K5","GSON1112151345")</f>
        <v>#NAME?</v>
      </c>
    </row>
    <row r="1628" spans="1:23" x14ac:dyDescent="0.2">
      <c r="A1628" s="16" t="s">
        <v>4195</v>
      </c>
      <c r="B1628" s="7" t="s">
        <v>4196</v>
      </c>
      <c r="C1628" s="3" t="e">
        <f ca="1">[1]!BexGetData("DP_1","003N8EMH8GTFRCSWKMPXRR8GU","GSON1112151350")</f>
        <v>#NAME?</v>
      </c>
      <c r="D1628" s="3" t="e">
        <f ca="1">[1]!BexGetData("DP_1","003N8EMH8GTFRCSWKMPXRRESE","GSON1112151350")</f>
        <v>#NAME?</v>
      </c>
      <c r="E1628" s="8" t="e">
        <f ca="1">[1]!BexGetData("DP_1","003N8EMH8GTFRCSWKMPXRRL3Y","GSON1112151350")</f>
        <v>#NAME?</v>
      </c>
      <c r="F1628" s="4" t="e">
        <f ca="1">[1]!BexGetData("DP_1","003N8EMH8GTFRCSWKMPXRRRFI","GSON1112151350")</f>
        <v>#NAME?</v>
      </c>
      <c r="G1628" s="4" t="e">
        <f ca="1">[1]!BexGetData("DP_1","003N8EMH8GTFRCSWKMPXRRXR2","GSON1112151350")</f>
        <v>#NAME?</v>
      </c>
      <c r="H1628" s="4" t="e">
        <f ca="1">[1]!BexGetData("DP_1","003N8EMH8GTFRCSWKMPXRS42M","GSON1112151350")</f>
        <v>#NAME?</v>
      </c>
      <c r="I1628" s="4" t="e">
        <f ca="1">[1]!BexGetData("DP_1","003N8EMH8GTFRCSWKMPXRSAE6","GSON1112151350")</f>
        <v>#NAME?</v>
      </c>
      <c r="J1628" s="4" t="e">
        <f ca="1">[1]!BexGetData("DP_1","003N8EMH8GTFRCSWKMPXRSGPQ","GSON1112151350")</f>
        <v>#NAME?</v>
      </c>
      <c r="K1628" s="8" t="e">
        <f ca="1">[1]!BexGetData("DP_1","003N8EMH8GTFRIVNUPY288VJH","GSON1112151350")</f>
        <v>#NAME?</v>
      </c>
      <c r="L1628" s="8" t="e">
        <f ca="1">[1]!BexGetData("DP_1","003N8EMH8GTFRIVNUPY2891V1","GSON1112151350")</f>
        <v>#NAME?</v>
      </c>
      <c r="M1628" s="8" t="e">
        <f ca="1">[1]!BexGetData("DP_1","003N8EMH8GTFRIVOG7KG9IQXA","GSON1112151350")</f>
        <v>#NAME?</v>
      </c>
      <c r="N1628" s="8" t="e">
        <f ca="1">[1]!BexGetData("DP_1","003N8EMH8GTFRIVOG7KG9IX8U","GSON1112151350")</f>
        <v>#NAME?</v>
      </c>
      <c r="O1628" s="8" t="e">
        <f ca="1">[1]!BexGetData("DP_1","003N8EMH8GTFRIVOG7KG9J3KE","GSON1112151350")</f>
        <v>#NAME?</v>
      </c>
      <c r="P1628" s="8" t="e">
        <f ca="1">[1]!BexGetData("DP_1","003N8EMH8GTFRIVOG7KG9J9VY","GSON1112151350")</f>
        <v>#NAME?</v>
      </c>
      <c r="Q1628" s="4" t="e">
        <f ca="1">[1]!BexGetData("DP_1","00O2TNJGODT0G5Z4TTKYMM5MT","GSON1112151350")</f>
        <v>#NAME?</v>
      </c>
      <c r="R1628" s="4" t="e">
        <f ca="1">[1]!BexGetData("DP_1","00O2TNJGODT0G5Z4TTKYMMBYD","GSON1112151350")</f>
        <v>#NAME?</v>
      </c>
      <c r="S1628" s="4" t="e">
        <f ca="1">[1]!BexGetData("DP_1","00O2TNJGODT0G5Z4TTKYMMI9X","GSON1112151350")</f>
        <v>#NAME?</v>
      </c>
      <c r="T1628" s="4" t="e">
        <f ca="1">[1]!BexGetData("DP_1","00O2TNJGODT0G5Z4TTKYMMOLH","GSON1112151350")</f>
        <v>#NAME?</v>
      </c>
      <c r="U1628" s="4" t="e">
        <f ca="1">[1]!BexGetData("DP_1","00O2TNJGODT0G5Z4TTKYMMUX1","GSON1112151350")</f>
        <v>#NAME?</v>
      </c>
      <c r="V1628" s="4" t="e">
        <f ca="1">[1]!BexGetData("DP_1","00O2TNJGODT0G5Z4TTKYMN18L","GSON1112151350")</f>
        <v>#NAME?</v>
      </c>
      <c r="W1628" s="4" t="e">
        <f ca="1">[1]!BexGetData("DP_1","00O2TNJGODT0G5Z4TTKYMN7K5","GSON1112151350")</f>
        <v>#NAME?</v>
      </c>
    </row>
    <row r="1629" spans="1:23" x14ac:dyDescent="0.2">
      <c r="A1629" s="16" t="s">
        <v>4197</v>
      </c>
      <c r="B1629" s="7" t="s">
        <v>4198</v>
      </c>
      <c r="C1629" s="3" t="e">
        <f ca="1">[1]!BexGetData("DP_1","003N8EMH8GTFRCSWKMPXRR8GU","GSON1112151351")</f>
        <v>#NAME?</v>
      </c>
      <c r="D1629" s="3" t="e">
        <f ca="1">[1]!BexGetData("DP_1","003N8EMH8GTFRCSWKMPXRRESE","GSON1112151351")</f>
        <v>#NAME?</v>
      </c>
      <c r="E1629" s="8" t="e">
        <f ca="1">[1]!BexGetData("DP_1","003N8EMH8GTFRCSWKMPXRRL3Y","GSON1112151351")</f>
        <v>#NAME?</v>
      </c>
      <c r="F1629" s="4" t="e">
        <f ca="1">[1]!BexGetData("DP_1","003N8EMH8GTFRCSWKMPXRRRFI","GSON1112151351")</f>
        <v>#NAME?</v>
      </c>
      <c r="G1629" s="4" t="e">
        <f ca="1">[1]!BexGetData("DP_1","003N8EMH8GTFRCSWKMPXRRXR2","GSON1112151351")</f>
        <v>#NAME?</v>
      </c>
      <c r="H1629" s="4" t="e">
        <f ca="1">[1]!BexGetData("DP_1","003N8EMH8GTFRCSWKMPXRS42M","GSON1112151351")</f>
        <v>#NAME?</v>
      </c>
      <c r="I1629" s="4" t="e">
        <f ca="1">[1]!BexGetData("DP_1","003N8EMH8GTFRCSWKMPXRSAE6","GSON1112151351")</f>
        <v>#NAME?</v>
      </c>
      <c r="J1629" s="4" t="e">
        <f ca="1">[1]!BexGetData("DP_1","003N8EMH8GTFRCSWKMPXRSGPQ","GSON1112151351")</f>
        <v>#NAME?</v>
      </c>
      <c r="K1629" s="8" t="e">
        <f ca="1">[1]!BexGetData("DP_1","003N8EMH8GTFRIVNUPY288VJH","GSON1112151351")</f>
        <v>#NAME?</v>
      </c>
      <c r="L1629" s="8" t="e">
        <f ca="1">[1]!BexGetData("DP_1","003N8EMH8GTFRIVNUPY2891V1","GSON1112151351")</f>
        <v>#NAME?</v>
      </c>
      <c r="M1629" s="8" t="e">
        <f ca="1">[1]!BexGetData("DP_1","003N8EMH8GTFRIVOG7KG9IQXA","GSON1112151351")</f>
        <v>#NAME?</v>
      </c>
      <c r="N1629" s="8" t="e">
        <f ca="1">[1]!BexGetData("DP_1","003N8EMH8GTFRIVOG7KG9IX8U","GSON1112151351")</f>
        <v>#NAME?</v>
      </c>
      <c r="O1629" s="8" t="e">
        <f ca="1">[1]!BexGetData("DP_1","003N8EMH8GTFRIVOG7KG9J3KE","GSON1112151351")</f>
        <v>#NAME?</v>
      </c>
      <c r="P1629" s="8" t="e">
        <f ca="1">[1]!BexGetData("DP_1","003N8EMH8GTFRIVOG7KG9J9VY","GSON1112151351")</f>
        <v>#NAME?</v>
      </c>
      <c r="Q1629" s="4" t="e">
        <f ca="1">[1]!BexGetData("DP_1","00O2TNJGODT0G5Z4TTKYMM5MT","GSON1112151351")</f>
        <v>#NAME?</v>
      </c>
      <c r="R1629" s="4" t="e">
        <f ca="1">[1]!BexGetData("DP_1","00O2TNJGODT0G5Z4TTKYMMBYD","GSON1112151351")</f>
        <v>#NAME?</v>
      </c>
      <c r="S1629" s="4" t="e">
        <f ca="1">[1]!BexGetData("DP_1","00O2TNJGODT0G5Z4TTKYMMI9X","GSON1112151351")</f>
        <v>#NAME?</v>
      </c>
      <c r="T1629" s="4" t="e">
        <f ca="1">[1]!BexGetData("DP_1","00O2TNJGODT0G5Z4TTKYMMOLH","GSON1112151351")</f>
        <v>#NAME?</v>
      </c>
      <c r="U1629" s="4" t="e">
        <f ca="1">[1]!BexGetData("DP_1","00O2TNJGODT0G5Z4TTKYMMUX1","GSON1112151351")</f>
        <v>#NAME?</v>
      </c>
      <c r="V1629" s="4" t="e">
        <f ca="1">[1]!BexGetData("DP_1","00O2TNJGODT0G5Z4TTKYMN18L","GSON1112151351")</f>
        <v>#NAME?</v>
      </c>
      <c r="W1629" s="4" t="e">
        <f ca="1">[1]!BexGetData("DP_1","00O2TNJGODT0G5Z4TTKYMN7K5","GSON1112151351")</f>
        <v>#NAME?</v>
      </c>
    </row>
    <row r="1630" spans="1:23" x14ac:dyDescent="0.2">
      <c r="A1630" s="16" t="s">
        <v>4199</v>
      </c>
      <c r="B1630" s="7" t="s">
        <v>4200</v>
      </c>
      <c r="C1630" s="3" t="e">
        <f ca="1">[1]!BexGetData("DP_1","003N8EMH8GTFRCSWKMPXRR8GU","GSON1112151353")</f>
        <v>#NAME?</v>
      </c>
      <c r="D1630" s="3" t="e">
        <f ca="1">[1]!BexGetData("DP_1","003N8EMH8GTFRCSWKMPXRRESE","GSON1112151353")</f>
        <v>#NAME?</v>
      </c>
      <c r="E1630" s="8" t="e">
        <f ca="1">[1]!BexGetData("DP_1","003N8EMH8GTFRCSWKMPXRRL3Y","GSON1112151353")</f>
        <v>#NAME?</v>
      </c>
      <c r="F1630" s="4" t="e">
        <f ca="1">[1]!BexGetData("DP_1","003N8EMH8GTFRCSWKMPXRRRFI","GSON1112151353")</f>
        <v>#NAME?</v>
      </c>
      <c r="G1630" s="4" t="e">
        <f ca="1">[1]!BexGetData("DP_1","003N8EMH8GTFRCSWKMPXRRXR2","GSON1112151353")</f>
        <v>#NAME?</v>
      </c>
      <c r="H1630" s="4" t="e">
        <f ca="1">[1]!BexGetData("DP_1","003N8EMH8GTFRCSWKMPXRS42M","GSON1112151353")</f>
        <v>#NAME?</v>
      </c>
      <c r="I1630" s="4" t="e">
        <f ca="1">[1]!BexGetData("DP_1","003N8EMH8GTFRCSWKMPXRSAE6","GSON1112151353")</f>
        <v>#NAME?</v>
      </c>
      <c r="J1630" s="4" t="e">
        <f ca="1">[1]!BexGetData("DP_1","003N8EMH8GTFRCSWKMPXRSGPQ","GSON1112151353")</f>
        <v>#NAME?</v>
      </c>
      <c r="K1630" s="8" t="e">
        <f ca="1">[1]!BexGetData("DP_1","003N8EMH8GTFRIVNUPY288VJH","GSON1112151353")</f>
        <v>#NAME?</v>
      </c>
      <c r="L1630" s="8" t="e">
        <f ca="1">[1]!BexGetData("DP_1","003N8EMH8GTFRIVNUPY2891V1","GSON1112151353")</f>
        <v>#NAME?</v>
      </c>
      <c r="M1630" s="8" t="e">
        <f ca="1">[1]!BexGetData("DP_1","003N8EMH8GTFRIVOG7KG9IQXA","GSON1112151353")</f>
        <v>#NAME?</v>
      </c>
      <c r="N1630" s="8" t="e">
        <f ca="1">[1]!BexGetData("DP_1","003N8EMH8GTFRIVOG7KG9IX8U","GSON1112151353")</f>
        <v>#NAME?</v>
      </c>
      <c r="O1630" s="8" t="e">
        <f ca="1">[1]!BexGetData("DP_1","003N8EMH8GTFRIVOG7KG9J3KE","GSON1112151353")</f>
        <v>#NAME?</v>
      </c>
      <c r="P1630" s="8" t="e">
        <f ca="1">[1]!BexGetData("DP_1","003N8EMH8GTFRIVOG7KG9J9VY","GSON1112151353")</f>
        <v>#NAME?</v>
      </c>
      <c r="Q1630" s="4" t="e">
        <f ca="1">[1]!BexGetData("DP_1","00O2TNJGODT0G5Z4TTKYMM5MT","GSON1112151353")</f>
        <v>#NAME?</v>
      </c>
      <c r="R1630" s="4" t="e">
        <f ca="1">[1]!BexGetData("DP_1","00O2TNJGODT0G5Z4TTKYMMBYD","GSON1112151353")</f>
        <v>#NAME?</v>
      </c>
      <c r="S1630" s="4" t="e">
        <f ca="1">[1]!BexGetData("DP_1","00O2TNJGODT0G5Z4TTKYMMI9X","GSON1112151353")</f>
        <v>#NAME?</v>
      </c>
      <c r="T1630" s="4" t="e">
        <f ca="1">[1]!BexGetData("DP_1","00O2TNJGODT0G5Z4TTKYMMOLH","GSON1112151353")</f>
        <v>#NAME?</v>
      </c>
      <c r="U1630" s="4" t="e">
        <f ca="1">[1]!BexGetData("DP_1","00O2TNJGODT0G5Z4TTKYMMUX1","GSON1112151353")</f>
        <v>#NAME?</v>
      </c>
      <c r="V1630" s="4" t="e">
        <f ca="1">[1]!BexGetData("DP_1","00O2TNJGODT0G5Z4TTKYMN18L","GSON1112151353")</f>
        <v>#NAME?</v>
      </c>
      <c r="W1630" s="4" t="e">
        <f ca="1">[1]!BexGetData("DP_1","00O2TNJGODT0G5Z4TTKYMN7K5","GSON1112151353")</f>
        <v>#NAME?</v>
      </c>
    </row>
    <row r="1631" spans="1:23" x14ac:dyDescent="0.2">
      <c r="A1631" s="16" t="s">
        <v>4201</v>
      </c>
      <c r="B1631" s="7" t="s">
        <v>4202</v>
      </c>
      <c r="C1631" s="3" t="e">
        <f ca="1">[1]!BexGetData("DP_1","003N8EMH8GTFRCSWKMPXRR8GU","GSON1112151354")</f>
        <v>#NAME?</v>
      </c>
      <c r="D1631" s="3" t="e">
        <f ca="1">[1]!BexGetData("DP_1","003N8EMH8GTFRCSWKMPXRRESE","GSON1112151354")</f>
        <v>#NAME?</v>
      </c>
      <c r="E1631" s="8" t="e">
        <f ca="1">[1]!BexGetData("DP_1","003N8EMH8GTFRCSWKMPXRRL3Y","GSON1112151354")</f>
        <v>#NAME?</v>
      </c>
      <c r="F1631" s="4" t="e">
        <f ca="1">[1]!BexGetData("DP_1","003N8EMH8GTFRCSWKMPXRRRFI","GSON1112151354")</f>
        <v>#NAME?</v>
      </c>
      <c r="G1631" s="4" t="e">
        <f ca="1">[1]!BexGetData("DP_1","003N8EMH8GTFRCSWKMPXRRXR2","GSON1112151354")</f>
        <v>#NAME?</v>
      </c>
      <c r="H1631" s="4" t="e">
        <f ca="1">[1]!BexGetData("DP_1","003N8EMH8GTFRCSWKMPXRS42M","GSON1112151354")</f>
        <v>#NAME?</v>
      </c>
      <c r="I1631" s="4" t="e">
        <f ca="1">[1]!BexGetData("DP_1","003N8EMH8GTFRCSWKMPXRSAE6","GSON1112151354")</f>
        <v>#NAME?</v>
      </c>
      <c r="J1631" s="4" t="e">
        <f ca="1">[1]!BexGetData("DP_1","003N8EMH8GTFRCSWKMPXRSGPQ","GSON1112151354")</f>
        <v>#NAME?</v>
      </c>
      <c r="K1631" s="8" t="e">
        <f ca="1">[1]!BexGetData("DP_1","003N8EMH8GTFRIVNUPY288VJH","GSON1112151354")</f>
        <v>#NAME?</v>
      </c>
      <c r="L1631" s="8" t="e">
        <f ca="1">[1]!BexGetData("DP_1","003N8EMH8GTFRIVNUPY2891V1","GSON1112151354")</f>
        <v>#NAME?</v>
      </c>
      <c r="M1631" s="8" t="e">
        <f ca="1">[1]!BexGetData("DP_1","003N8EMH8GTFRIVOG7KG9IQXA","GSON1112151354")</f>
        <v>#NAME?</v>
      </c>
      <c r="N1631" s="8" t="e">
        <f ca="1">[1]!BexGetData("DP_1","003N8EMH8GTFRIVOG7KG9IX8U","GSON1112151354")</f>
        <v>#NAME?</v>
      </c>
      <c r="O1631" s="8" t="e">
        <f ca="1">[1]!BexGetData("DP_1","003N8EMH8GTFRIVOG7KG9J3KE","GSON1112151354")</f>
        <v>#NAME?</v>
      </c>
      <c r="P1631" s="8" t="e">
        <f ca="1">[1]!BexGetData("DP_1","003N8EMH8GTFRIVOG7KG9J9VY","GSON1112151354")</f>
        <v>#NAME?</v>
      </c>
      <c r="Q1631" s="4" t="e">
        <f ca="1">[1]!BexGetData("DP_1","00O2TNJGODT0G5Z4TTKYMM5MT","GSON1112151354")</f>
        <v>#NAME?</v>
      </c>
      <c r="R1631" s="4" t="e">
        <f ca="1">[1]!BexGetData("DP_1","00O2TNJGODT0G5Z4TTKYMMBYD","GSON1112151354")</f>
        <v>#NAME?</v>
      </c>
      <c r="S1631" s="4" t="e">
        <f ca="1">[1]!BexGetData("DP_1","00O2TNJGODT0G5Z4TTKYMMI9X","GSON1112151354")</f>
        <v>#NAME?</v>
      </c>
      <c r="T1631" s="4" t="e">
        <f ca="1">[1]!BexGetData("DP_1","00O2TNJGODT0G5Z4TTKYMMOLH","GSON1112151354")</f>
        <v>#NAME?</v>
      </c>
      <c r="U1631" s="4" t="e">
        <f ca="1">[1]!BexGetData("DP_1","00O2TNJGODT0G5Z4TTKYMMUX1","GSON1112151354")</f>
        <v>#NAME?</v>
      </c>
      <c r="V1631" s="4" t="e">
        <f ca="1">[1]!BexGetData("DP_1","00O2TNJGODT0G5Z4TTKYMN18L","GSON1112151354")</f>
        <v>#NAME?</v>
      </c>
      <c r="W1631" s="4" t="e">
        <f ca="1">[1]!BexGetData("DP_1","00O2TNJGODT0G5Z4TTKYMN7K5","GSON1112151354")</f>
        <v>#NAME?</v>
      </c>
    </row>
    <row r="1632" spans="1:23" x14ac:dyDescent="0.2">
      <c r="A1632" s="16" t="s">
        <v>4203</v>
      </c>
      <c r="B1632" s="7" t="s">
        <v>4204</v>
      </c>
      <c r="C1632" s="3" t="e">
        <f ca="1">[1]!BexGetData("DP_1","003N8EMH8GTFRCSWKMPXRR8GU","GSON1112151355")</f>
        <v>#NAME?</v>
      </c>
      <c r="D1632" s="3" t="e">
        <f ca="1">[1]!BexGetData("DP_1","003N8EMH8GTFRCSWKMPXRRESE","GSON1112151355")</f>
        <v>#NAME?</v>
      </c>
      <c r="E1632" s="8" t="e">
        <f ca="1">[1]!BexGetData("DP_1","003N8EMH8GTFRCSWKMPXRRL3Y","GSON1112151355")</f>
        <v>#NAME?</v>
      </c>
      <c r="F1632" s="4" t="e">
        <f ca="1">[1]!BexGetData("DP_1","003N8EMH8GTFRCSWKMPXRRRFI","GSON1112151355")</f>
        <v>#NAME?</v>
      </c>
      <c r="G1632" s="4" t="e">
        <f ca="1">[1]!BexGetData("DP_1","003N8EMH8GTFRCSWKMPXRRXR2","GSON1112151355")</f>
        <v>#NAME?</v>
      </c>
      <c r="H1632" s="4" t="e">
        <f ca="1">[1]!BexGetData("DP_1","003N8EMH8GTFRCSWKMPXRS42M","GSON1112151355")</f>
        <v>#NAME?</v>
      </c>
      <c r="I1632" s="4" t="e">
        <f ca="1">[1]!BexGetData("DP_1","003N8EMH8GTFRCSWKMPXRSAE6","GSON1112151355")</f>
        <v>#NAME?</v>
      </c>
      <c r="J1632" s="4" t="e">
        <f ca="1">[1]!BexGetData("DP_1","003N8EMH8GTFRCSWKMPXRSGPQ","GSON1112151355")</f>
        <v>#NAME?</v>
      </c>
      <c r="K1632" s="8" t="e">
        <f ca="1">[1]!BexGetData("DP_1","003N8EMH8GTFRIVNUPY288VJH","GSON1112151355")</f>
        <v>#NAME?</v>
      </c>
      <c r="L1632" s="8" t="e">
        <f ca="1">[1]!BexGetData("DP_1","003N8EMH8GTFRIVNUPY2891V1","GSON1112151355")</f>
        <v>#NAME?</v>
      </c>
      <c r="M1632" s="8" t="e">
        <f ca="1">[1]!BexGetData("DP_1","003N8EMH8GTFRIVOG7KG9IQXA","GSON1112151355")</f>
        <v>#NAME?</v>
      </c>
      <c r="N1632" s="8" t="e">
        <f ca="1">[1]!BexGetData("DP_1","003N8EMH8GTFRIVOG7KG9IX8U","GSON1112151355")</f>
        <v>#NAME?</v>
      </c>
      <c r="O1632" s="8" t="e">
        <f ca="1">[1]!BexGetData("DP_1","003N8EMH8GTFRIVOG7KG9J3KE","GSON1112151355")</f>
        <v>#NAME?</v>
      </c>
      <c r="P1632" s="8" t="e">
        <f ca="1">[1]!BexGetData("DP_1","003N8EMH8GTFRIVOG7KG9J9VY","GSON1112151355")</f>
        <v>#NAME?</v>
      </c>
      <c r="Q1632" s="4" t="e">
        <f ca="1">[1]!BexGetData("DP_1","00O2TNJGODT0G5Z4TTKYMM5MT","GSON1112151355")</f>
        <v>#NAME?</v>
      </c>
      <c r="R1632" s="4" t="e">
        <f ca="1">[1]!BexGetData("DP_1","00O2TNJGODT0G5Z4TTKYMMBYD","GSON1112151355")</f>
        <v>#NAME?</v>
      </c>
      <c r="S1632" s="4" t="e">
        <f ca="1">[1]!BexGetData("DP_1","00O2TNJGODT0G5Z4TTKYMMI9X","GSON1112151355")</f>
        <v>#NAME?</v>
      </c>
      <c r="T1632" s="4" t="e">
        <f ca="1">[1]!BexGetData("DP_1","00O2TNJGODT0G5Z4TTKYMMOLH","GSON1112151355")</f>
        <v>#NAME?</v>
      </c>
      <c r="U1632" s="4" t="e">
        <f ca="1">[1]!BexGetData("DP_1","00O2TNJGODT0G5Z4TTKYMMUX1","GSON1112151355")</f>
        <v>#NAME?</v>
      </c>
      <c r="V1632" s="4" t="e">
        <f ca="1">[1]!BexGetData("DP_1","00O2TNJGODT0G5Z4TTKYMN18L","GSON1112151355")</f>
        <v>#NAME?</v>
      </c>
      <c r="W1632" s="4" t="e">
        <f ca="1">[1]!BexGetData("DP_1","00O2TNJGODT0G5Z4TTKYMN7K5","GSON1112151355")</f>
        <v>#NAME?</v>
      </c>
    </row>
    <row r="1633" spans="1:23" x14ac:dyDescent="0.2">
      <c r="A1633" s="16" t="s">
        <v>4205</v>
      </c>
      <c r="B1633" s="7" t="s">
        <v>4206</v>
      </c>
      <c r="C1633" s="3" t="e">
        <f ca="1">[1]!BexGetData("DP_1","003N8EMH8GTFRCSWKMPXRR8GU","GSON1112151360")</f>
        <v>#NAME?</v>
      </c>
      <c r="D1633" s="3" t="e">
        <f ca="1">[1]!BexGetData("DP_1","003N8EMH8GTFRCSWKMPXRRESE","GSON1112151360")</f>
        <v>#NAME?</v>
      </c>
      <c r="E1633" s="3" t="e">
        <f ca="1">[1]!BexGetData("DP_1","003N8EMH8GTFRCSWKMPXRRL3Y","GSON1112151360")</f>
        <v>#NAME?</v>
      </c>
      <c r="F1633" s="4" t="e">
        <f ca="1">[1]!BexGetData("DP_1","003N8EMH8GTFRCSWKMPXRRRFI","GSON1112151360")</f>
        <v>#NAME?</v>
      </c>
      <c r="G1633" s="4" t="e">
        <f ca="1">[1]!BexGetData("DP_1","003N8EMH8GTFRCSWKMPXRRXR2","GSON1112151360")</f>
        <v>#NAME?</v>
      </c>
      <c r="H1633" s="4" t="e">
        <f ca="1">[1]!BexGetData("DP_1","003N8EMH8GTFRCSWKMPXRS42M","GSON1112151360")</f>
        <v>#NAME?</v>
      </c>
      <c r="I1633" s="4" t="e">
        <f ca="1">[1]!BexGetData("DP_1","003N8EMH8GTFRCSWKMPXRSAE6","GSON1112151360")</f>
        <v>#NAME?</v>
      </c>
      <c r="J1633" s="4" t="e">
        <f ca="1">[1]!BexGetData("DP_1","003N8EMH8GTFRCSWKMPXRSGPQ","GSON1112151360")</f>
        <v>#NAME?</v>
      </c>
      <c r="K1633" s="3" t="e">
        <f ca="1">[1]!BexGetData("DP_1","003N8EMH8GTFRIVNUPY288VJH","GSON1112151360")</f>
        <v>#NAME?</v>
      </c>
      <c r="L1633" s="3" t="e">
        <f ca="1">[1]!BexGetData("DP_1","003N8EMH8GTFRIVNUPY2891V1","GSON1112151360")</f>
        <v>#NAME?</v>
      </c>
      <c r="M1633" s="8" t="e">
        <f ca="1">[1]!BexGetData("DP_1","003N8EMH8GTFRIVOG7KG9IQXA","GSON1112151360")</f>
        <v>#NAME?</v>
      </c>
      <c r="N1633" s="3" t="e">
        <f ca="1">[1]!BexGetData("DP_1","003N8EMH8GTFRIVOG7KG9IX8U","GSON1112151360")</f>
        <v>#NAME?</v>
      </c>
      <c r="O1633" s="8" t="e">
        <f ca="1">[1]!BexGetData("DP_1","003N8EMH8GTFRIVOG7KG9J3KE","GSON1112151360")</f>
        <v>#NAME?</v>
      </c>
      <c r="P1633" s="3" t="e">
        <f ca="1">[1]!BexGetData("DP_1","003N8EMH8GTFRIVOG7KG9J9VY","GSON1112151360")</f>
        <v>#NAME?</v>
      </c>
      <c r="Q1633" s="4" t="e">
        <f ca="1">[1]!BexGetData("DP_1","00O2TNJGODT0G5Z4TTKYMM5MT","GSON1112151360")</f>
        <v>#NAME?</v>
      </c>
      <c r="R1633" s="4" t="e">
        <f ca="1">[1]!BexGetData("DP_1","00O2TNJGODT0G5Z4TTKYMMBYD","GSON1112151360")</f>
        <v>#NAME?</v>
      </c>
      <c r="S1633" s="4" t="e">
        <f ca="1">[1]!BexGetData("DP_1","00O2TNJGODT0G5Z4TTKYMMI9X","GSON1112151360")</f>
        <v>#NAME?</v>
      </c>
      <c r="T1633" s="4" t="e">
        <f ca="1">[1]!BexGetData("DP_1","00O2TNJGODT0G5Z4TTKYMMOLH","GSON1112151360")</f>
        <v>#NAME?</v>
      </c>
      <c r="U1633" s="4" t="e">
        <f ca="1">[1]!BexGetData("DP_1","00O2TNJGODT0G5Z4TTKYMMUX1","GSON1112151360")</f>
        <v>#NAME?</v>
      </c>
      <c r="V1633" s="4" t="e">
        <f ca="1">[1]!BexGetData("DP_1","00O2TNJGODT0G5Z4TTKYMN18L","GSON1112151360")</f>
        <v>#NAME?</v>
      </c>
      <c r="W1633" s="4" t="e">
        <f ca="1">[1]!BexGetData("DP_1","00O2TNJGODT0G5Z4TTKYMN7K5","GSON1112151360")</f>
        <v>#NAME?</v>
      </c>
    </row>
    <row r="1634" spans="1:23" x14ac:dyDescent="0.2">
      <c r="A1634" s="16" t="s">
        <v>4207</v>
      </c>
      <c r="B1634" s="7" t="s">
        <v>4208</v>
      </c>
      <c r="C1634" s="3" t="e">
        <f ca="1">[1]!BexGetData("DP_1","003N8EMH8GTFRCSWKMPXRR8GU","GSON1112151361")</f>
        <v>#NAME?</v>
      </c>
      <c r="D1634" s="3" t="e">
        <f ca="1">[1]!BexGetData("DP_1","003N8EMH8GTFRCSWKMPXRRESE","GSON1112151361")</f>
        <v>#NAME?</v>
      </c>
      <c r="E1634" s="8" t="e">
        <f ca="1">[1]!BexGetData("DP_1","003N8EMH8GTFRCSWKMPXRRL3Y","GSON1112151361")</f>
        <v>#NAME?</v>
      </c>
      <c r="F1634" s="4" t="e">
        <f ca="1">[1]!BexGetData("DP_1","003N8EMH8GTFRCSWKMPXRRRFI","GSON1112151361")</f>
        <v>#NAME?</v>
      </c>
      <c r="G1634" s="4" t="e">
        <f ca="1">[1]!BexGetData("DP_1","003N8EMH8GTFRCSWKMPXRRXR2","GSON1112151361")</f>
        <v>#NAME?</v>
      </c>
      <c r="H1634" s="4" t="e">
        <f ca="1">[1]!BexGetData("DP_1","003N8EMH8GTFRCSWKMPXRS42M","GSON1112151361")</f>
        <v>#NAME?</v>
      </c>
      <c r="I1634" s="4" t="e">
        <f ca="1">[1]!BexGetData("DP_1","003N8EMH8GTFRCSWKMPXRSAE6","GSON1112151361")</f>
        <v>#NAME?</v>
      </c>
      <c r="J1634" s="4" t="e">
        <f ca="1">[1]!BexGetData("DP_1","003N8EMH8GTFRCSWKMPXRSGPQ","GSON1112151361")</f>
        <v>#NAME?</v>
      </c>
      <c r="K1634" s="8" t="e">
        <f ca="1">[1]!BexGetData("DP_1","003N8EMH8GTFRIVNUPY288VJH","GSON1112151361")</f>
        <v>#NAME?</v>
      </c>
      <c r="L1634" s="8" t="e">
        <f ca="1">[1]!BexGetData("DP_1","003N8EMH8GTFRIVNUPY2891V1","GSON1112151361")</f>
        <v>#NAME?</v>
      </c>
      <c r="M1634" s="8" t="e">
        <f ca="1">[1]!BexGetData("DP_1","003N8EMH8GTFRIVOG7KG9IQXA","GSON1112151361")</f>
        <v>#NAME?</v>
      </c>
      <c r="N1634" s="8" t="e">
        <f ca="1">[1]!BexGetData("DP_1","003N8EMH8GTFRIVOG7KG9IX8U","GSON1112151361")</f>
        <v>#NAME?</v>
      </c>
      <c r="O1634" s="8" t="e">
        <f ca="1">[1]!BexGetData("DP_1","003N8EMH8GTFRIVOG7KG9J3KE","GSON1112151361")</f>
        <v>#NAME?</v>
      </c>
      <c r="P1634" s="8" t="e">
        <f ca="1">[1]!BexGetData("DP_1","003N8EMH8GTFRIVOG7KG9J9VY","GSON1112151361")</f>
        <v>#NAME?</v>
      </c>
      <c r="Q1634" s="4" t="e">
        <f ca="1">[1]!BexGetData("DP_1","00O2TNJGODT0G5Z4TTKYMM5MT","GSON1112151361")</f>
        <v>#NAME?</v>
      </c>
      <c r="R1634" s="4" t="e">
        <f ca="1">[1]!BexGetData("DP_1","00O2TNJGODT0G5Z4TTKYMMBYD","GSON1112151361")</f>
        <v>#NAME?</v>
      </c>
      <c r="S1634" s="4" t="e">
        <f ca="1">[1]!BexGetData("DP_1","00O2TNJGODT0G5Z4TTKYMMI9X","GSON1112151361")</f>
        <v>#NAME?</v>
      </c>
      <c r="T1634" s="4" t="e">
        <f ca="1">[1]!BexGetData("DP_1","00O2TNJGODT0G5Z4TTKYMMOLH","GSON1112151361")</f>
        <v>#NAME?</v>
      </c>
      <c r="U1634" s="4" t="e">
        <f ca="1">[1]!BexGetData("DP_1","00O2TNJGODT0G5Z4TTKYMMUX1","GSON1112151361")</f>
        <v>#NAME?</v>
      </c>
      <c r="V1634" s="4" t="e">
        <f ca="1">[1]!BexGetData("DP_1","00O2TNJGODT0G5Z4TTKYMN18L","GSON1112151361")</f>
        <v>#NAME?</v>
      </c>
      <c r="W1634" s="4" t="e">
        <f ca="1">[1]!BexGetData("DP_1","00O2TNJGODT0G5Z4TTKYMN7K5","GSON1112151361")</f>
        <v>#NAME?</v>
      </c>
    </row>
    <row r="1635" spans="1:23" x14ac:dyDescent="0.2">
      <c r="A1635" s="16" t="s">
        <v>4209</v>
      </c>
      <c r="B1635" s="7" t="s">
        <v>4210</v>
      </c>
      <c r="C1635" s="3" t="e">
        <f ca="1">[1]!BexGetData("DP_1","003N8EMH8GTFRCSWKMPXRR8GU","GSON1112151363")</f>
        <v>#NAME?</v>
      </c>
      <c r="D1635" s="3" t="e">
        <f ca="1">[1]!BexGetData("DP_1","003N8EMH8GTFRCSWKMPXRRESE","GSON1112151363")</f>
        <v>#NAME?</v>
      </c>
      <c r="E1635" s="8" t="e">
        <f ca="1">[1]!BexGetData("DP_1","003N8EMH8GTFRCSWKMPXRRL3Y","GSON1112151363")</f>
        <v>#NAME?</v>
      </c>
      <c r="F1635" s="4" t="e">
        <f ca="1">[1]!BexGetData("DP_1","003N8EMH8GTFRCSWKMPXRRRFI","GSON1112151363")</f>
        <v>#NAME?</v>
      </c>
      <c r="G1635" s="4" t="e">
        <f ca="1">[1]!BexGetData("DP_1","003N8EMH8GTFRCSWKMPXRRXR2","GSON1112151363")</f>
        <v>#NAME?</v>
      </c>
      <c r="H1635" s="4" t="e">
        <f ca="1">[1]!BexGetData("DP_1","003N8EMH8GTFRCSWKMPXRS42M","GSON1112151363")</f>
        <v>#NAME?</v>
      </c>
      <c r="I1635" s="4" t="e">
        <f ca="1">[1]!BexGetData("DP_1","003N8EMH8GTFRCSWKMPXRSAE6","GSON1112151363")</f>
        <v>#NAME?</v>
      </c>
      <c r="J1635" s="4" t="e">
        <f ca="1">[1]!BexGetData("DP_1","003N8EMH8GTFRCSWKMPXRSGPQ","GSON1112151363")</f>
        <v>#NAME?</v>
      </c>
      <c r="K1635" s="8" t="e">
        <f ca="1">[1]!BexGetData("DP_1","003N8EMH8GTFRIVNUPY288VJH","GSON1112151363")</f>
        <v>#NAME?</v>
      </c>
      <c r="L1635" s="8" t="e">
        <f ca="1">[1]!BexGetData("DP_1","003N8EMH8GTFRIVNUPY2891V1","GSON1112151363")</f>
        <v>#NAME?</v>
      </c>
      <c r="M1635" s="8" t="e">
        <f ca="1">[1]!BexGetData("DP_1","003N8EMH8GTFRIVOG7KG9IQXA","GSON1112151363")</f>
        <v>#NAME?</v>
      </c>
      <c r="N1635" s="8" t="e">
        <f ca="1">[1]!BexGetData("DP_1","003N8EMH8GTFRIVOG7KG9IX8U","GSON1112151363")</f>
        <v>#NAME?</v>
      </c>
      <c r="O1635" s="8" t="e">
        <f ca="1">[1]!BexGetData("DP_1","003N8EMH8GTFRIVOG7KG9J3KE","GSON1112151363")</f>
        <v>#NAME?</v>
      </c>
      <c r="P1635" s="8" t="e">
        <f ca="1">[1]!BexGetData("DP_1","003N8EMH8GTFRIVOG7KG9J9VY","GSON1112151363")</f>
        <v>#NAME?</v>
      </c>
      <c r="Q1635" s="4" t="e">
        <f ca="1">[1]!BexGetData("DP_1","00O2TNJGODT0G5Z4TTKYMM5MT","GSON1112151363")</f>
        <v>#NAME?</v>
      </c>
      <c r="R1635" s="4" t="e">
        <f ca="1">[1]!BexGetData("DP_1","00O2TNJGODT0G5Z4TTKYMMBYD","GSON1112151363")</f>
        <v>#NAME?</v>
      </c>
      <c r="S1635" s="4" t="e">
        <f ca="1">[1]!BexGetData("DP_1","00O2TNJGODT0G5Z4TTKYMMI9X","GSON1112151363")</f>
        <v>#NAME?</v>
      </c>
      <c r="T1635" s="4" t="e">
        <f ca="1">[1]!BexGetData("DP_1","00O2TNJGODT0G5Z4TTKYMMOLH","GSON1112151363")</f>
        <v>#NAME?</v>
      </c>
      <c r="U1635" s="4" t="e">
        <f ca="1">[1]!BexGetData("DP_1","00O2TNJGODT0G5Z4TTKYMMUX1","GSON1112151363")</f>
        <v>#NAME?</v>
      </c>
      <c r="V1635" s="4" t="e">
        <f ca="1">[1]!BexGetData("DP_1","00O2TNJGODT0G5Z4TTKYMN18L","GSON1112151363")</f>
        <v>#NAME?</v>
      </c>
      <c r="W1635" s="4" t="e">
        <f ca="1">[1]!BexGetData("DP_1","00O2TNJGODT0G5Z4TTKYMN7K5","GSON1112151363")</f>
        <v>#NAME?</v>
      </c>
    </row>
    <row r="1636" spans="1:23" x14ac:dyDescent="0.2">
      <c r="A1636" s="16" t="s">
        <v>4211</v>
      </c>
      <c r="B1636" s="7" t="s">
        <v>4212</v>
      </c>
      <c r="C1636" s="3" t="e">
        <f ca="1">[1]!BexGetData("DP_1","003N8EMH8GTFRCSWKMPXRR8GU","GSON1112151365")</f>
        <v>#NAME?</v>
      </c>
      <c r="D1636" s="3" t="e">
        <f ca="1">[1]!BexGetData("DP_1","003N8EMH8GTFRCSWKMPXRRESE","GSON1112151365")</f>
        <v>#NAME?</v>
      </c>
      <c r="E1636" s="8" t="e">
        <f ca="1">[1]!BexGetData("DP_1","003N8EMH8GTFRCSWKMPXRRL3Y","GSON1112151365")</f>
        <v>#NAME?</v>
      </c>
      <c r="F1636" s="4" t="e">
        <f ca="1">[1]!BexGetData("DP_1","003N8EMH8GTFRCSWKMPXRRRFI","GSON1112151365")</f>
        <v>#NAME?</v>
      </c>
      <c r="G1636" s="4" t="e">
        <f ca="1">[1]!BexGetData("DP_1","003N8EMH8GTFRCSWKMPXRRXR2","GSON1112151365")</f>
        <v>#NAME?</v>
      </c>
      <c r="H1636" s="4" t="e">
        <f ca="1">[1]!BexGetData("DP_1","003N8EMH8GTFRCSWKMPXRS42M","GSON1112151365")</f>
        <v>#NAME?</v>
      </c>
      <c r="I1636" s="4" t="e">
        <f ca="1">[1]!BexGetData("DP_1","003N8EMH8GTFRCSWKMPXRSAE6","GSON1112151365")</f>
        <v>#NAME?</v>
      </c>
      <c r="J1636" s="4" t="e">
        <f ca="1">[1]!BexGetData("DP_1","003N8EMH8GTFRCSWKMPXRSGPQ","GSON1112151365")</f>
        <v>#NAME?</v>
      </c>
      <c r="K1636" s="8" t="e">
        <f ca="1">[1]!BexGetData("DP_1","003N8EMH8GTFRIVNUPY288VJH","GSON1112151365")</f>
        <v>#NAME?</v>
      </c>
      <c r="L1636" s="8" t="e">
        <f ca="1">[1]!BexGetData("DP_1","003N8EMH8GTFRIVNUPY2891V1","GSON1112151365")</f>
        <v>#NAME?</v>
      </c>
      <c r="M1636" s="8" t="e">
        <f ca="1">[1]!BexGetData("DP_1","003N8EMH8GTFRIVOG7KG9IQXA","GSON1112151365")</f>
        <v>#NAME?</v>
      </c>
      <c r="N1636" s="8" t="e">
        <f ca="1">[1]!BexGetData("DP_1","003N8EMH8GTFRIVOG7KG9IX8U","GSON1112151365")</f>
        <v>#NAME?</v>
      </c>
      <c r="O1636" s="8" t="e">
        <f ca="1">[1]!BexGetData("DP_1","003N8EMH8GTFRIVOG7KG9J3KE","GSON1112151365")</f>
        <v>#NAME?</v>
      </c>
      <c r="P1636" s="8" t="e">
        <f ca="1">[1]!BexGetData("DP_1","003N8EMH8GTFRIVOG7KG9J9VY","GSON1112151365")</f>
        <v>#NAME?</v>
      </c>
      <c r="Q1636" s="4" t="e">
        <f ca="1">[1]!BexGetData("DP_1","00O2TNJGODT0G5Z4TTKYMM5MT","GSON1112151365")</f>
        <v>#NAME?</v>
      </c>
      <c r="R1636" s="4" t="e">
        <f ca="1">[1]!BexGetData("DP_1","00O2TNJGODT0G5Z4TTKYMMBYD","GSON1112151365")</f>
        <v>#NAME?</v>
      </c>
      <c r="S1636" s="4" t="e">
        <f ca="1">[1]!BexGetData("DP_1","00O2TNJGODT0G5Z4TTKYMMI9X","GSON1112151365")</f>
        <v>#NAME?</v>
      </c>
      <c r="T1636" s="4" t="e">
        <f ca="1">[1]!BexGetData("DP_1","00O2TNJGODT0G5Z4TTKYMMOLH","GSON1112151365")</f>
        <v>#NAME?</v>
      </c>
      <c r="U1636" s="4" t="e">
        <f ca="1">[1]!BexGetData("DP_1","00O2TNJGODT0G5Z4TTKYMMUX1","GSON1112151365")</f>
        <v>#NAME?</v>
      </c>
      <c r="V1636" s="4" t="e">
        <f ca="1">[1]!BexGetData("DP_1","00O2TNJGODT0G5Z4TTKYMN18L","GSON1112151365")</f>
        <v>#NAME?</v>
      </c>
      <c r="W1636" s="4" t="e">
        <f ca="1">[1]!BexGetData("DP_1","00O2TNJGODT0G5Z4TTKYMN7K5","GSON1112151365")</f>
        <v>#NAME?</v>
      </c>
    </row>
    <row r="1637" spans="1:23" x14ac:dyDescent="0.2">
      <c r="A1637" s="16" t="s">
        <v>4213</v>
      </c>
      <c r="B1637" s="7" t="s">
        <v>4214</v>
      </c>
      <c r="C1637" s="3" t="e">
        <f ca="1">[1]!BexGetData("DP_1","003N8EMH8GTFRCSWKMPXRR8GU","GSON1112151370")</f>
        <v>#NAME?</v>
      </c>
      <c r="D1637" s="3" t="e">
        <f ca="1">[1]!BexGetData("DP_1","003N8EMH8GTFRCSWKMPXRRESE","GSON1112151370")</f>
        <v>#NAME?</v>
      </c>
      <c r="E1637" s="3" t="e">
        <f ca="1">[1]!BexGetData("DP_1","003N8EMH8GTFRCSWKMPXRRL3Y","GSON1112151370")</f>
        <v>#NAME?</v>
      </c>
      <c r="F1637" s="4" t="e">
        <f ca="1">[1]!BexGetData("DP_1","003N8EMH8GTFRCSWKMPXRRRFI","GSON1112151370")</f>
        <v>#NAME?</v>
      </c>
      <c r="G1637" s="4" t="e">
        <f ca="1">[1]!BexGetData("DP_1","003N8EMH8GTFRCSWKMPXRRXR2","GSON1112151370")</f>
        <v>#NAME?</v>
      </c>
      <c r="H1637" s="4" t="e">
        <f ca="1">[1]!BexGetData("DP_1","003N8EMH8GTFRCSWKMPXRS42M","GSON1112151370")</f>
        <v>#NAME?</v>
      </c>
      <c r="I1637" s="4" t="e">
        <f ca="1">[1]!BexGetData("DP_1","003N8EMH8GTFRCSWKMPXRSAE6","GSON1112151370")</f>
        <v>#NAME?</v>
      </c>
      <c r="J1637" s="4" t="e">
        <f ca="1">[1]!BexGetData("DP_1","003N8EMH8GTFRCSWKMPXRSGPQ","GSON1112151370")</f>
        <v>#NAME?</v>
      </c>
      <c r="K1637" s="3" t="e">
        <f ca="1">[1]!BexGetData("DP_1","003N8EMH8GTFRIVNUPY288VJH","GSON1112151370")</f>
        <v>#NAME?</v>
      </c>
      <c r="L1637" s="3" t="e">
        <f ca="1">[1]!BexGetData("DP_1","003N8EMH8GTFRIVNUPY2891V1","GSON1112151370")</f>
        <v>#NAME?</v>
      </c>
      <c r="M1637" s="8" t="e">
        <f ca="1">[1]!BexGetData("DP_1","003N8EMH8GTFRIVOG7KG9IQXA","GSON1112151370")</f>
        <v>#NAME?</v>
      </c>
      <c r="N1637" s="3" t="e">
        <f ca="1">[1]!BexGetData("DP_1","003N8EMH8GTFRIVOG7KG9IX8U","GSON1112151370")</f>
        <v>#NAME?</v>
      </c>
      <c r="O1637" s="8" t="e">
        <f ca="1">[1]!BexGetData("DP_1","003N8EMH8GTFRIVOG7KG9J3KE","GSON1112151370")</f>
        <v>#NAME?</v>
      </c>
      <c r="P1637" s="3" t="e">
        <f ca="1">[1]!BexGetData("DP_1","003N8EMH8GTFRIVOG7KG9J9VY","GSON1112151370")</f>
        <v>#NAME?</v>
      </c>
      <c r="Q1637" s="4" t="e">
        <f ca="1">[1]!BexGetData("DP_1","00O2TNJGODT0G5Z4TTKYMM5MT","GSON1112151370")</f>
        <v>#NAME?</v>
      </c>
      <c r="R1637" s="4" t="e">
        <f ca="1">[1]!BexGetData("DP_1","00O2TNJGODT0G5Z4TTKYMMBYD","GSON1112151370")</f>
        <v>#NAME?</v>
      </c>
      <c r="S1637" s="4" t="e">
        <f ca="1">[1]!BexGetData("DP_1","00O2TNJGODT0G5Z4TTKYMMI9X","GSON1112151370")</f>
        <v>#NAME?</v>
      </c>
      <c r="T1637" s="4" t="e">
        <f ca="1">[1]!BexGetData("DP_1","00O2TNJGODT0G5Z4TTKYMMOLH","GSON1112151370")</f>
        <v>#NAME?</v>
      </c>
      <c r="U1637" s="4" t="e">
        <f ca="1">[1]!BexGetData("DP_1","00O2TNJGODT0G5Z4TTKYMMUX1","GSON1112151370")</f>
        <v>#NAME?</v>
      </c>
      <c r="V1637" s="4" t="e">
        <f ca="1">[1]!BexGetData("DP_1","00O2TNJGODT0G5Z4TTKYMN18L","GSON1112151370")</f>
        <v>#NAME?</v>
      </c>
      <c r="W1637" s="4" t="e">
        <f ca="1">[1]!BexGetData("DP_1","00O2TNJGODT0G5Z4TTKYMN7K5","GSON1112151370")</f>
        <v>#NAME?</v>
      </c>
    </row>
    <row r="1638" spans="1:23" x14ac:dyDescent="0.2">
      <c r="A1638" s="16" t="s">
        <v>4215</v>
      </c>
      <c r="B1638" s="7" t="s">
        <v>4216</v>
      </c>
      <c r="C1638" s="3" t="e">
        <f ca="1">[1]!BexGetData("DP_1","003N8EMH8GTFRCSWKMPXRR8GU","GSON1112151371")</f>
        <v>#NAME?</v>
      </c>
      <c r="D1638" s="3" t="e">
        <f ca="1">[1]!BexGetData("DP_1","003N8EMH8GTFRCSWKMPXRRESE","GSON1112151371")</f>
        <v>#NAME?</v>
      </c>
      <c r="E1638" s="8" t="e">
        <f ca="1">[1]!BexGetData("DP_1","003N8EMH8GTFRCSWKMPXRRL3Y","GSON1112151371")</f>
        <v>#NAME?</v>
      </c>
      <c r="F1638" s="4" t="e">
        <f ca="1">[1]!BexGetData("DP_1","003N8EMH8GTFRCSWKMPXRRRFI","GSON1112151371")</f>
        <v>#NAME?</v>
      </c>
      <c r="G1638" s="4" t="e">
        <f ca="1">[1]!BexGetData("DP_1","003N8EMH8GTFRCSWKMPXRRXR2","GSON1112151371")</f>
        <v>#NAME?</v>
      </c>
      <c r="H1638" s="4" t="e">
        <f ca="1">[1]!BexGetData("DP_1","003N8EMH8GTFRCSWKMPXRS42M","GSON1112151371")</f>
        <v>#NAME?</v>
      </c>
      <c r="I1638" s="4" t="e">
        <f ca="1">[1]!BexGetData("DP_1","003N8EMH8GTFRCSWKMPXRSAE6","GSON1112151371")</f>
        <v>#NAME?</v>
      </c>
      <c r="J1638" s="4" t="e">
        <f ca="1">[1]!BexGetData("DP_1","003N8EMH8GTFRCSWKMPXRSGPQ","GSON1112151371")</f>
        <v>#NAME?</v>
      </c>
      <c r="K1638" s="8" t="e">
        <f ca="1">[1]!BexGetData("DP_1","003N8EMH8GTFRIVNUPY288VJH","GSON1112151371")</f>
        <v>#NAME?</v>
      </c>
      <c r="L1638" s="8" t="e">
        <f ca="1">[1]!BexGetData("DP_1","003N8EMH8GTFRIVNUPY2891V1","GSON1112151371")</f>
        <v>#NAME?</v>
      </c>
      <c r="M1638" s="8" t="e">
        <f ca="1">[1]!BexGetData("DP_1","003N8EMH8GTFRIVOG7KG9IQXA","GSON1112151371")</f>
        <v>#NAME?</v>
      </c>
      <c r="N1638" s="8" t="e">
        <f ca="1">[1]!BexGetData("DP_1","003N8EMH8GTFRIVOG7KG9IX8U","GSON1112151371")</f>
        <v>#NAME?</v>
      </c>
      <c r="O1638" s="8" t="e">
        <f ca="1">[1]!BexGetData("DP_1","003N8EMH8GTFRIVOG7KG9J3KE","GSON1112151371")</f>
        <v>#NAME?</v>
      </c>
      <c r="P1638" s="8" t="e">
        <f ca="1">[1]!BexGetData("DP_1","003N8EMH8GTFRIVOG7KG9J9VY","GSON1112151371")</f>
        <v>#NAME?</v>
      </c>
      <c r="Q1638" s="4" t="e">
        <f ca="1">[1]!BexGetData("DP_1","00O2TNJGODT0G5Z4TTKYMM5MT","GSON1112151371")</f>
        <v>#NAME?</v>
      </c>
      <c r="R1638" s="4" t="e">
        <f ca="1">[1]!BexGetData("DP_1","00O2TNJGODT0G5Z4TTKYMMBYD","GSON1112151371")</f>
        <v>#NAME?</v>
      </c>
      <c r="S1638" s="4" t="e">
        <f ca="1">[1]!BexGetData("DP_1","00O2TNJGODT0G5Z4TTKYMMI9X","GSON1112151371")</f>
        <v>#NAME?</v>
      </c>
      <c r="T1638" s="4" t="e">
        <f ca="1">[1]!BexGetData("DP_1","00O2TNJGODT0G5Z4TTKYMMOLH","GSON1112151371")</f>
        <v>#NAME?</v>
      </c>
      <c r="U1638" s="4" t="e">
        <f ca="1">[1]!BexGetData("DP_1","00O2TNJGODT0G5Z4TTKYMMUX1","GSON1112151371")</f>
        <v>#NAME?</v>
      </c>
      <c r="V1638" s="4" t="e">
        <f ca="1">[1]!BexGetData("DP_1","00O2TNJGODT0G5Z4TTKYMN18L","GSON1112151371")</f>
        <v>#NAME?</v>
      </c>
      <c r="W1638" s="4" t="e">
        <f ca="1">[1]!BexGetData("DP_1","00O2TNJGODT0G5Z4TTKYMN7K5","GSON1112151371")</f>
        <v>#NAME?</v>
      </c>
    </row>
    <row r="1639" spans="1:23" x14ac:dyDescent="0.2">
      <c r="A1639" s="16" t="s">
        <v>4217</v>
      </c>
      <c r="B1639" s="7" t="s">
        <v>4218</v>
      </c>
      <c r="C1639" s="3" t="e">
        <f ca="1">[1]!BexGetData("DP_1","003N8EMH8GTFRCSWKMPXRR8GU","GSON1112151373")</f>
        <v>#NAME?</v>
      </c>
      <c r="D1639" s="3" t="e">
        <f ca="1">[1]!BexGetData("DP_1","003N8EMH8GTFRCSWKMPXRRESE","GSON1112151373")</f>
        <v>#NAME?</v>
      </c>
      <c r="E1639" s="8" t="e">
        <f ca="1">[1]!BexGetData("DP_1","003N8EMH8GTFRCSWKMPXRRL3Y","GSON1112151373")</f>
        <v>#NAME?</v>
      </c>
      <c r="F1639" s="4" t="e">
        <f ca="1">[1]!BexGetData("DP_1","003N8EMH8GTFRCSWKMPXRRRFI","GSON1112151373")</f>
        <v>#NAME?</v>
      </c>
      <c r="G1639" s="4" t="e">
        <f ca="1">[1]!BexGetData("DP_1","003N8EMH8GTFRCSWKMPXRRXR2","GSON1112151373")</f>
        <v>#NAME?</v>
      </c>
      <c r="H1639" s="4" t="e">
        <f ca="1">[1]!BexGetData("DP_1","003N8EMH8GTFRCSWKMPXRS42M","GSON1112151373")</f>
        <v>#NAME?</v>
      </c>
      <c r="I1639" s="4" t="e">
        <f ca="1">[1]!BexGetData("DP_1","003N8EMH8GTFRCSWKMPXRSAE6","GSON1112151373")</f>
        <v>#NAME?</v>
      </c>
      <c r="J1639" s="4" t="e">
        <f ca="1">[1]!BexGetData("DP_1","003N8EMH8GTFRCSWKMPXRSGPQ","GSON1112151373")</f>
        <v>#NAME?</v>
      </c>
      <c r="K1639" s="8" t="e">
        <f ca="1">[1]!BexGetData("DP_1","003N8EMH8GTFRIVNUPY288VJH","GSON1112151373")</f>
        <v>#NAME?</v>
      </c>
      <c r="L1639" s="8" t="e">
        <f ca="1">[1]!BexGetData("DP_1","003N8EMH8GTFRIVNUPY2891V1","GSON1112151373")</f>
        <v>#NAME?</v>
      </c>
      <c r="M1639" s="8" t="e">
        <f ca="1">[1]!BexGetData("DP_1","003N8EMH8GTFRIVOG7KG9IQXA","GSON1112151373")</f>
        <v>#NAME?</v>
      </c>
      <c r="N1639" s="8" t="e">
        <f ca="1">[1]!BexGetData("DP_1","003N8EMH8GTFRIVOG7KG9IX8U","GSON1112151373")</f>
        <v>#NAME?</v>
      </c>
      <c r="O1639" s="8" t="e">
        <f ca="1">[1]!BexGetData("DP_1","003N8EMH8GTFRIVOG7KG9J3KE","GSON1112151373")</f>
        <v>#NAME?</v>
      </c>
      <c r="P1639" s="8" t="e">
        <f ca="1">[1]!BexGetData("DP_1","003N8EMH8GTFRIVOG7KG9J9VY","GSON1112151373")</f>
        <v>#NAME?</v>
      </c>
      <c r="Q1639" s="4" t="e">
        <f ca="1">[1]!BexGetData("DP_1","00O2TNJGODT0G5Z4TTKYMM5MT","GSON1112151373")</f>
        <v>#NAME?</v>
      </c>
      <c r="R1639" s="4" t="e">
        <f ca="1">[1]!BexGetData("DP_1","00O2TNJGODT0G5Z4TTKYMMBYD","GSON1112151373")</f>
        <v>#NAME?</v>
      </c>
      <c r="S1639" s="4" t="e">
        <f ca="1">[1]!BexGetData("DP_1","00O2TNJGODT0G5Z4TTKYMMI9X","GSON1112151373")</f>
        <v>#NAME?</v>
      </c>
      <c r="T1639" s="4" t="e">
        <f ca="1">[1]!BexGetData("DP_1","00O2TNJGODT0G5Z4TTKYMMOLH","GSON1112151373")</f>
        <v>#NAME?</v>
      </c>
      <c r="U1639" s="4" t="e">
        <f ca="1">[1]!BexGetData("DP_1","00O2TNJGODT0G5Z4TTKYMMUX1","GSON1112151373")</f>
        <v>#NAME?</v>
      </c>
      <c r="V1639" s="4" t="e">
        <f ca="1">[1]!BexGetData("DP_1","00O2TNJGODT0G5Z4TTKYMN18L","GSON1112151373")</f>
        <v>#NAME?</v>
      </c>
      <c r="W1639" s="4" t="e">
        <f ca="1">[1]!BexGetData("DP_1","00O2TNJGODT0G5Z4TTKYMN7K5","GSON1112151373")</f>
        <v>#NAME?</v>
      </c>
    </row>
    <row r="1640" spans="1:23" x14ac:dyDescent="0.2">
      <c r="A1640" s="16" t="s">
        <v>4219</v>
      </c>
      <c r="B1640" s="7" t="s">
        <v>4220</v>
      </c>
      <c r="C1640" s="3" t="e">
        <f ca="1">[1]!BexGetData("DP_1","003N8EMH8GTFRCSWKMPXRR8GU","GSON1112151375")</f>
        <v>#NAME?</v>
      </c>
      <c r="D1640" s="3" t="e">
        <f ca="1">[1]!BexGetData("DP_1","003N8EMH8GTFRCSWKMPXRRESE","GSON1112151375")</f>
        <v>#NAME?</v>
      </c>
      <c r="E1640" s="8" t="e">
        <f ca="1">[1]!BexGetData("DP_1","003N8EMH8GTFRCSWKMPXRRL3Y","GSON1112151375")</f>
        <v>#NAME?</v>
      </c>
      <c r="F1640" s="4" t="e">
        <f ca="1">[1]!BexGetData("DP_1","003N8EMH8GTFRCSWKMPXRRRFI","GSON1112151375")</f>
        <v>#NAME?</v>
      </c>
      <c r="G1640" s="4" t="e">
        <f ca="1">[1]!BexGetData("DP_1","003N8EMH8GTFRCSWKMPXRRXR2","GSON1112151375")</f>
        <v>#NAME?</v>
      </c>
      <c r="H1640" s="4" t="e">
        <f ca="1">[1]!BexGetData("DP_1","003N8EMH8GTFRCSWKMPXRS42M","GSON1112151375")</f>
        <v>#NAME?</v>
      </c>
      <c r="I1640" s="4" t="e">
        <f ca="1">[1]!BexGetData("DP_1","003N8EMH8GTFRCSWKMPXRSAE6","GSON1112151375")</f>
        <v>#NAME?</v>
      </c>
      <c r="J1640" s="4" t="e">
        <f ca="1">[1]!BexGetData("DP_1","003N8EMH8GTFRCSWKMPXRSGPQ","GSON1112151375")</f>
        <v>#NAME?</v>
      </c>
      <c r="K1640" s="8" t="e">
        <f ca="1">[1]!BexGetData("DP_1","003N8EMH8GTFRIVNUPY288VJH","GSON1112151375")</f>
        <v>#NAME?</v>
      </c>
      <c r="L1640" s="8" t="e">
        <f ca="1">[1]!BexGetData("DP_1","003N8EMH8GTFRIVNUPY2891V1","GSON1112151375")</f>
        <v>#NAME?</v>
      </c>
      <c r="M1640" s="8" t="e">
        <f ca="1">[1]!BexGetData("DP_1","003N8EMH8GTFRIVOG7KG9IQXA","GSON1112151375")</f>
        <v>#NAME?</v>
      </c>
      <c r="N1640" s="8" t="e">
        <f ca="1">[1]!BexGetData("DP_1","003N8EMH8GTFRIVOG7KG9IX8U","GSON1112151375")</f>
        <v>#NAME?</v>
      </c>
      <c r="O1640" s="8" t="e">
        <f ca="1">[1]!BexGetData("DP_1","003N8EMH8GTFRIVOG7KG9J3KE","GSON1112151375")</f>
        <v>#NAME?</v>
      </c>
      <c r="P1640" s="8" t="e">
        <f ca="1">[1]!BexGetData("DP_1","003N8EMH8GTFRIVOG7KG9J9VY","GSON1112151375")</f>
        <v>#NAME?</v>
      </c>
      <c r="Q1640" s="4" t="e">
        <f ca="1">[1]!BexGetData("DP_1","00O2TNJGODT0G5Z4TTKYMM5MT","GSON1112151375")</f>
        <v>#NAME?</v>
      </c>
      <c r="R1640" s="4" t="e">
        <f ca="1">[1]!BexGetData("DP_1","00O2TNJGODT0G5Z4TTKYMMBYD","GSON1112151375")</f>
        <v>#NAME?</v>
      </c>
      <c r="S1640" s="4" t="e">
        <f ca="1">[1]!BexGetData("DP_1","00O2TNJGODT0G5Z4TTKYMMI9X","GSON1112151375")</f>
        <v>#NAME?</v>
      </c>
      <c r="T1640" s="4" t="e">
        <f ca="1">[1]!BexGetData("DP_1","00O2TNJGODT0G5Z4TTKYMMOLH","GSON1112151375")</f>
        <v>#NAME?</v>
      </c>
      <c r="U1640" s="4" t="e">
        <f ca="1">[1]!BexGetData("DP_1","00O2TNJGODT0G5Z4TTKYMMUX1","GSON1112151375")</f>
        <v>#NAME?</v>
      </c>
      <c r="V1640" s="4" t="e">
        <f ca="1">[1]!BexGetData("DP_1","00O2TNJGODT0G5Z4TTKYMN18L","GSON1112151375")</f>
        <v>#NAME?</v>
      </c>
      <c r="W1640" s="4" t="e">
        <f ca="1">[1]!BexGetData("DP_1","00O2TNJGODT0G5Z4TTKYMN7K5","GSON1112151375")</f>
        <v>#NAME?</v>
      </c>
    </row>
    <row r="1641" spans="1:23" x14ac:dyDescent="0.2">
      <c r="A1641" s="16" t="s">
        <v>4221</v>
      </c>
      <c r="B1641" s="7" t="s">
        <v>4222</v>
      </c>
      <c r="C1641" s="3" t="e">
        <f ca="1">[1]!BexGetData("DP_1","003N8EMH8GTFRCSWKMPXRR8GU","GSON1112151380")</f>
        <v>#NAME?</v>
      </c>
      <c r="D1641" s="3" t="e">
        <f ca="1">[1]!BexGetData("DP_1","003N8EMH8GTFRCSWKMPXRRESE","GSON1112151380")</f>
        <v>#NAME?</v>
      </c>
      <c r="E1641" s="3" t="e">
        <f ca="1">[1]!BexGetData("DP_1","003N8EMH8GTFRCSWKMPXRRL3Y","GSON1112151380")</f>
        <v>#NAME?</v>
      </c>
      <c r="F1641" s="4" t="e">
        <f ca="1">[1]!BexGetData("DP_1","003N8EMH8GTFRCSWKMPXRRRFI","GSON1112151380")</f>
        <v>#NAME?</v>
      </c>
      <c r="G1641" s="4" t="e">
        <f ca="1">[1]!BexGetData("DP_1","003N8EMH8GTFRCSWKMPXRRXR2","GSON1112151380")</f>
        <v>#NAME?</v>
      </c>
      <c r="H1641" s="4" t="e">
        <f ca="1">[1]!BexGetData("DP_1","003N8EMH8GTFRCSWKMPXRS42M","GSON1112151380")</f>
        <v>#NAME?</v>
      </c>
      <c r="I1641" s="4" t="e">
        <f ca="1">[1]!BexGetData("DP_1","003N8EMH8GTFRCSWKMPXRSAE6","GSON1112151380")</f>
        <v>#NAME?</v>
      </c>
      <c r="J1641" s="4" t="e">
        <f ca="1">[1]!BexGetData("DP_1","003N8EMH8GTFRCSWKMPXRSGPQ","GSON1112151380")</f>
        <v>#NAME?</v>
      </c>
      <c r="K1641" s="3" t="e">
        <f ca="1">[1]!BexGetData("DP_1","003N8EMH8GTFRIVNUPY288VJH","GSON1112151380")</f>
        <v>#NAME?</v>
      </c>
      <c r="L1641" s="3" t="e">
        <f ca="1">[1]!BexGetData("DP_1","003N8EMH8GTFRIVNUPY2891V1","GSON1112151380")</f>
        <v>#NAME?</v>
      </c>
      <c r="M1641" s="8" t="e">
        <f ca="1">[1]!BexGetData("DP_1","003N8EMH8GTFRIVOG7KG9IQXA","GSON1112151380")</f>
        <v>#NAME?</v>
      </c>
      <c r="N1641" s="3" t="e">
        <f ca="1">[1]!BexGetData("DP_1","003N8EMH8GTFRIVOG7KG9IX8U","GSON1112151380")</f>
        <v>#NAME?</v>
      </c>
      <c r="O1641" s="8" t="e">
        <f ca="1">[1]!BexGetData("DP_1","003N8EMH8GTFRIVOG7KG9J3KE","GSON1112151380")</f>
        <v>#NAME?</v>
      </c>
      <c r="P1641" s="3" t="e">
        <f ca="1">[1]!BexGetData("DP_1","003N8EMH8GTFRIVOG7KG9J9VY","GSON1112151380")</f>
        <v>#NAME?</v>
      </c>
      <c r="Q1641" s="4" t="e">
        <f ca="1">[1]!BexGetData("DP_1","00O2TNJGODT0G5Z4TTKYMM5MT","GSON1112151380")</f>
        <v>#NAME?</v>
      </c>
      <c r="R1641" s="4" t="e">
        <f ca="1">[1]!BexGetData("DP_1","00O2TNJGODT0G5Z4TTKYMMBYD","GSON1112151380")</f>
        <v>#NAME?</v>
      </c>
      <c r="S1641" s="4" t="e">
        <f ca="1">[1]!BexGetData("DP_1","00O2TNJGODT0G5Z4TTKYMMI9X","GSON1112151380")</f>
        <v>#NAME?</v>
      </c>
      <c r="T1641" s="4" t="e">
        <f ca="1">[1]!BexGetData("DP_1","00O2TNJGODT0G5Z4TTKYMMOLH","GSON1112151380")</f>
        <v>#NAME?</v>
      </c>
      <c r="U1641" s="4" t="e">
        <f ca="1">[1]!BexGetData("DP_1","00O2TNJGODT0G5Z4TTKYMMUX1","GSON1112151380")</f>
        <v>#NAME?</v>
      </c>
      <c r="V1641" s="4" t="e">
        <f ca="1">[1]!BexGetData("DP_1","00O2TNJGODT0G5Z4TTKYMN18L","GSON1112151380")</f>
        <v>#NAME?</v>
      </c>
      <c r="W1641" s="4" t="e">
        <f ca="1">[1]!BexGetData("DP_1","00O2TNJGODT0G5Z4TTKYMN7K5","GSON1112151380")</f>
        <v>#NAME?</v>
      </c>
    </row>
    <row r="1642" spans="1:23" x14ac:dyDescent="0.2">
      <c r="A1642" s="16" t="s">
        <v>4223</v>
      </c>
      <c r="B1642" s="7" t="s">
        <v>4224</v>
      </c>
      <c r="C1642" s="3" t="e">
        <f ca="1">[1]!BexGetData("DP_1","003N8EMH8GTFRCSWKMPXRR8GU","GSON1112151381")</f>
        <v>#NAME?</v>
      </c>
      <c r="D1642" s="3" t="e">
        <f ca="1">[1]!BexGetData("DP_1","003N8EMH8GTFRCSWKMPXRRESE","GSON1112151381")</f>
        <v>#NAME?</v>
      </c>
      <c r="E1642" s="8" t="e">
        <f ca="1">[1]!BexGetData("DP_1","003N8EMH8GTFRCSWKMPXRRL3Y","GSON1112151381")</f>
        <v>#NAME?</v>
      </c>
      <c r="F1642" s="4" t="e">
        <f ca="1">[1]!BexGetData("DP_1","003N8EMH8GTFRCSWKMPXRRRFI","GSON1112151381")</f>
        <v>#NAME?</v>
      </c>
      <c r="G1642" s="4" t="e">
        <f ca="1">[1]!BexGetData("DP_1","003N8EMH8GTFRCSWKMPXRRXR2","GSON1112151381")</f>
        <v>#NAME?</v>
      </c>
      <c r="H1642" s="4" t="e">
        <f ca="1">[1]!BexGetData("DP_1","003N8EMH8GTFRCSWKMPXRS42M","GSON1112151381")</f>
        <v>#NAME?</v>
      </c>
      <c r="I1642" s="4" t="e">
        <f ca="1">[1]!BexGetData("DP_1","003N8EMH8GTFRCSWKMPXRSAE6","GSON1112151381")</f>
        <v>#NAME?</v>
      </c>
      <c r="J1642" s="4" t="e">
        <f ca="1">[1]!BexGetData("DP_1","003N8EMH8GTFRCSWKMPXRSGPQ","GSON1112151381")</f>
        <v>#NAME?</v>
      </c>
      <c r="K1642" s="8" t="e">
        <f ca="1">[1]!BexGetData("DP_1","003N8EMH8GTFRIVNUPY288VJH","GSON1112151381")</f>
        <v>#NAME?</v>
      </c>
      <c r="L1642" s="8" t="e">
        <f ca="1">[1]!BexGetData("DP_1","003N8EMH8GTFRIVNUPY2891V1","GSON1112151381")</f>
        <v>#NAME?</v>
      </c>
      <c r="M1642" s="8" t="e">
        <f ca="1">[1]!BexGetData("DP_1","003N8EMH8GTFRIVOG7KG9IQXA","GSON1112151381")</f>
        <v>#NAME?</v>
      </c>
      <c r="N1642" s="8" t="e">
        <f ca="1">[1]!BexGetData("DP_1","003N8EMH8GTFRIVOG7KG9IX8U","GSON1112151381")</f>
        <v>#NAME?</v>
      </c>
      <c r="O1642" s="8" t="e">
        <f ca="1">[1]!BexGetData("DP_1","003N8EMH8GTFRIVOG7KG9J3KE","GSON1112151381")</f>
        <v>#NAME?</v>
      </c>
      <c r="P1642" s="8" t="e">
        <f ca="1">[1]!BexGetData("DP_1","003N8EMH8GTFRIVOG7KG9J9VY","GSON1112151381")</f>
        <v>#NAME?</v>
      </c>
      <c r="Q1642" s="4" t="e">
        <f ca="1">[1]!BexGetData("DP_1","00O2TNJGODT0G5Z4TTKYMM5MT","GSON1112151381")</f>
        <v>#NAME?</v>
      </c>
      <c r="R1642" s="4" t="e">
        <f ca="1">[1]!BexGetData("DP_1","00O2TNJGODT0G5Z4TTKYMMBYD","GSON1112151381")</f>
        <v>#NAME?</v>
      </c>
      <c r="S1642" s="4" t="e">
        <f ca="1">[1]!BexGetData("DP_1","00O2TNJGODT0G5Z4TTKYMMI9X","GSON1112151381")</f>
        <v>#NAME?</v>
      </c>
      <c r="T1642" s="4" t="e">
        <f ca="1">[1]!BexGetData("DP_1","00O2TNJGODT0G5Z4TTKYMMOLH","GSON1112151381")</f>
        <v>#NAME?</v>
      </c>
      <c r="U1642" s="4" t="e">
        <f ca="1">[1]!BexGetData("DP_1","00O2TNJGODT0G5Z4TTKYMMUX1","GSON1112151381")</f>
        <v>#NAME?</v>
      </c>
      <c r="V1642" s="4" t="e">
        <f ca="1">[1]!BexGetData("DP_1","00O2TNJGODT0G5Z4TTKYMN18L","GSON1112151381")</f>
        <v>#NAME?</v>
      </c>
      <c r="W1642" s="4" t="e">
        <f ca="1">[1]!BexGetData("DP_1","00O2TNJGODT0G5Z4TTKYMN7K5","GSON1112151381")</f>
        <v>#NAME?</v>
      </c>
    </row>
    <row r="1643" spans="1:23" x14ac:dyDescent="0.2">
      <c r="A1643" s="16" t="s">
        <v>4225</v>
      </c>
      <c r="B1643" s="7" t="s">
        <v>4226</v>
      </c>
      <c r="C1643" s="3" t="e">
        <f ca="1">[1]!BexGetData("DP_1","003N8EMH8GTFRCSWKMPXRR8GU","GSON1112151382")</f>
        <v>#NAME?</v>
      </c>
      <c r="D1643" s="3" t="e">
        <f ca="1">[1]!BexGetData("DP_1","003N8EMH8GTFRCSWKMPXRRESE","GSON1112151382")</f>
        <v>#NAME?</v>
      </c>
      <c r="E1643" s="3" t="e">
        <f ca="1">[1]!BexGetData("DP_1","003N8EMH8GTFRCSWKMPXRRL3Y","GSON1112151382")</f>
        <v>#NAME?</v>
      </c>
      <c r="F1643" s="4" t="e">
        <f ca="1">[1]!BexGetData("DP_1","003N8EMH8GTFRCSWKMPXRRRFI","GSON1112151382")</f>
        <v>#NAME?</v>
      </c>
      <c r="G1643" s="4" t="e">
        <f ca="1">[1]!BexGetData("DP_1","003N8EMH8GTFRCSWKMPXRRXR2","GSON1112151382")</f>
        <v>#NAME?</v>
      </c>
      <c r="H1643" s="4" t="e">
        <f ca="1">[1]!BexGetData("DP_1","003N8EMH8GTFRCSWKMPXRS42M","GSON1112151382")</f>
        <v>#NAME?</v>
      </c>
      <c r="I1643" s="4" t="e">
        <f ca="1">[1]!BexGetData("DP_1","003N8EMH8GTFRCSWKMPXRSAE6","GSON1112151382")</f>
        <v>#NAME?</v>
      </c>
      <c r="J1643" s="4" t="e">
        <f ca="1">[1]!BexGetData("DP_1","003N8EMH8GTFRCSWKMPXRSGPQ","GSON1112151382")</f>
        <v>#NAME?</v>
      </c>
      <c r="K1643" s="3" t="e">
        <f ca="1">[1]!BexGetData("DP_1","003N8EMH8GTFRIVNUPY288VJH","GSON1112151382")</f>
        <v>#NAME?</v>
      </c>
      <c r="L1643" s="3" t="e">
        <f ca="1">[1]!BexGetData("DP_1","003N8EMH8GTFRIVNUPY2891V1","GSON1112151382")</f>
        <v>#NAME?</v>
      </c>
      <c r="M1643" s="3" t="e">
        <f ca="1">[1]!BexGetData("DP_1","003N8EMH8GTFRIVOG7KG9IQXA","GSON1112151382")</f>
        <v>#NAME?</v>
      </c>
      <c r="N1643" s="8" t="e">
        <f ca="1">[1]!BexGetData("DP_1","003N8EMH8GTFRIVOG7KG9IX8U","GSON1112151382")</f>
        <v>#NAME?</v>
      </c>
      <c r="O1643" s="3" t="e">
        <f ca="1">[1]!BexGetData("DP_1","003N8EMH8GTFRIVOG7KG9J3KE","GSON1112151382")</f>
        <v>#NAME?</v>
      </c>
      <c r="P1643" s="8" t="e">
        <f ca="1">[1]!BexGetData("DP_1","003N8EMH8GTFRIVOG7KG9J9VY","GSON1112151382")</f>
        <v>#NAME?</v>
      </c>
      <c r="Q1643" s="4" t="e">
        <f ca="1">[1]!BexGetData("DP_1","00O2TNJGODT0G5Z4TTKYMM5MT","GSON1112151382")</f>
        <v>#NAME?</v>
      </c>
      <c r="R1643" s="4" t="e">
        <f ca="1">[1]!BexGetData("DP_1","00O2TNJGODT0G5Z4TTKYMMBYD","GSON1112151382")</f>
        <v>#NAME?</v>
      </c>
      <c r="S1643" s="4" t="e">
        <f ca="1">[1]!BexGetData("DP_1","00O2TNJGODT0G5Z4TTKYMMI9X","GSON1112151382")</f>
        <v>#NAME?</v>
      </c>
      <c r="T1643" s="4" t="e">
        <f ca="1">[1]!BexGetData("DP_1","00O2TNJGODT0G5Z4TTKYMMOLH","GSON1112151382")</f>
        <v>#NAME?</v>
      </c>
      <c r="U1643" s="4" t="e">
        <f ca="1">[1]!BexGetData("DP_1","00O2TNJGODT0G5Z4TTKYMMUX1","GSON1112151382")</f>
        <v>#NAME?</v>
      </c>
      <c r="V1643" s="4" t="e">
        <f ca="1">[1]!BexGetData("DP_1","00O2TNJGODT0G5Z4TTKYMN18L","GSON1112151382")</f>
        <v>#NAME?</v>
      </c>
      <c r="W1643" s="4" t="e">
        <f ca="1">[1]!BexGetData("DP_1","00O2TNJGODT0G5Z4TTKYMN7K5","GSON1112151382")</f>
        <v>#NAME?</v>
      </c>
    </row>
    <row r="1644" spans="1:23" x14ac:dyDescent="0.2">
      <c r="A1644" s="16" t="s">
        <v>4227</v>
      </c>
      <c r="B1644" s="7" t="s">
        <v>4228</v>
      </c>
      <c r="C1644" s="3" t="e">
        <f ca="1">[1]!BexGetData("DP_1","003N8EMH8GTFRCSWKMPXRR8GU","GSON1112151383")</f>
        <v>#NAME?</v>
      </c>
      <c r="D1644" s="3" t="e">
        <f ca="1">[1]!BexGetData("DP_1","003N8EMH8GTFRCSWKMPXRRESE","GSON1112151383")</f>
        <v>#NAME?</v>
      </c>
      <c r="E1644" s="8" t="e">
        <f ca="1">[1]!BexGetData("DP_1","003N8EMH8GTFRCSWKMPXRRL3Y","GSON1112151383")</f>
        <v>#NAME?</v>
      </c>
      <c r="F1644" s="4" t="e">
        <f ca="1">[1]!BexGetData("DP_1","003N8EMH8GTFRCSWKMPXRRRFI","GSON1112151383")</f>
        <v>#NAME?</v>
      </c>
      <c r="G1644" s="4" t="e">
        <f ca="1">[1]!BexGetData("DP_1","003N8EMH8GTFRCSWKMPXRRXR2","GSON1112151383")</f>
        <v>#NAME?</v>
      </c>
      <c r="H1644" s="4" t="e">
        <f ca="1">[1]!BexGetData("DP_1","003N8EMH8GTFRCSWKMPXRS42M","GSON1112151383")</f>
        <v>#NAME?</v>
      </c>
      <c r="I1644" s="4" t="e">
        <f ca="1">[1]!BexGetData("DP_1","003N8EMH8GTFRCSWKMPXRSAE6","GSON1112151383")</f>
        <v>#NAME?</v>
      </c>
      <c r="J1644" s="4" t="e">
        <f ca="1">[1]!BexGetData("DP_1","003N8EMH8GTFRCSWKMPXRSGPQ","GSON1112151383")</f>
        <v>#NAME?</v>
      </c>
      <c r="K1644" s="8" t="e">
        <f ca="1">[1]!BexGetData("DP_1","003N8EMH8GTFRIVNUPY288VJH","GSON1112151383")</f>
        <v>#NAME?</v>
      </c>
      <c r="L1644" s="8" t="e">
        <f ca="1">[1]!BexGetData("DP_1","003N8EMH8GTFRIVNUPY2891V1","GSON1112151383")</f>
        <v>#NAME?</v>
      </c>
      <c r="M1644" s="8" t="e">
        <f ca="1">[1]!BexGetData("DP_1","003N8EMH8GTFRIVOG7KG9IQXA","GSON1112151383")</f>
        <v>#NAME?</v>
      </c>
      <c r="N1644" s="8" t="e">
        <f ca="1">[1]!BexGetData("DP_1","003N8EMH8GTFRIVOG7KG9IX8U","GSON1112151383")</f>
        <v>#NAME?</v>
      </c>
      <c r="O1644" s="8" t="e">
        <f ca="1">[1]!BexGetData("DP_1","003N8EMH8GTFRIVOG7KG9J3KE","GSON1112151383")</f>
        <v>#NAME?</v>
      </c>
      <c r="P1644" s="8" t="e">
        <f ca="1">[1]!BexGetData("DP_1","003N8EMH8GTFRIVOG7KG9J9VY","GSON1112151383")</f>
        <v>#NAME?</v>
      </c>
      <c r="Q1644" s="4" t="e">
        <f ca="1">[1]!BexGetData("DP_1","00O2TNJGODT0G5Z4TTKYMM5MT","GSON1112151383")</f>
        <v>#NAME?</v>
      </c>
      <c r="R1644" s="4" t="e">
        <f ca="1">[1]!BexGetData("DP_1","00O2TNJGODT0G5Z4TTKYMMBYD","GSON1112151383")</f>
        <v>#NAME?</v>
      </c>
      <c r="S1644" s="4" t="e">
        <f ca="1">[1]!BexGetData("DP_1","00O2TNJGODT0G5Z4TTKYMMI9X","GSON1112151383")</f>
        <v>#NAME?</v>
      </c>
      <c r="T1644" s="4" t="e">
        <f ca="1">[1]!BexGetData("DP_1","00O2TNJGODT0G5Z4TTKYMMOLH","GSON1112151383")</f>
        <v>#NAME?</v>
      </c>
      <c r="U1644" s="4" t="e">
        <f ca="1">[1]!BexGetData("DP_1","00O2TNJGODT0G5Z4TTKYMMUX1","GSON1112151383")</f>
        <v>#NAME?</v>
      </c>
      <c r="V1644" s="4" t="e">
        <f ca="1">[1]!BexGetData("DP_1","00O2TNJGODT0G5Z4TTKYMN18L","GSON1112151383")</f>
        <v>#NAME?</v>
      </c>
      <c r="W1644" s="4" t="e">
        <f ca="1">[1]!BexGetData("DP_1","00O2TNJGODT0G5Z4TTKYMN7K5","GSON1112151383")</f>
        <v>#NAME?</v>
      </c>
    </row>
    <row r="1645" spans="1:23" x14ac:dyDescent="0.2">
      <c r="A1645" s="16" t="s">
        <v>4229</v>
      </c>
      <c r="B1645" s="7" t="s">
        <v>4230</v>
      </c>
      <c r="C1645" s="3" t="e">
        <f ca="1">[1]!BexGetData("DP_1","003N8EMH8GTFRCSWKMPXRR8GU","GSON1112151384")</f>
        <v>#NAME?</v>
      </c>
      <c r="D1645" s="3" t="e">
        <f ca="1">[1]!BexGetData("DP_1","003N8EMH8GTFRCSWKMPXRRESE","GSON1112151384")</f>
        <v>#NAME?</v>
      </c>
      <c r="E1645" s="8" t="e">
        <f ca="1">[1]!BexGetData("DP_1","003N8EMH8GTFRCSWKMPXRRL3Y","GSON1112151384")</f>
        <v>#NAME?</v>
      </c>
      <c r="F1645" s="4" t="e">
        <f ca="1">[1]!BexGetData("DP_1","003N8EMH8GTFRCSWKMPXRRRFI","GSON1112151384")</f>
        <v>#NAME?</v>
      </c>
      <c r="G1645" s="4" t="e">
        <f ca="1">[1]!BexGetData("DP_1","003N8EMH8GTFRCSWKMPXRRXR2","GSON1112151384")</f>
        <v>#NAME?</v>
      </c>
      <c r="H1645" s="4" t="e">
        <f ca="1">[1]!BexGetData("DP_1","003N8EMH8GTFRCSWKMPXRS42M","GSON1112151384")</f>
        <v>#NAME?</v>
      </c>
      <c r="I1645" s="4" t="e">
        <f ca="1">[1]!BexGetData("DP_1","003N8EMH8GTFRCSWKMPXRSAE6","GSON1112151384")</f>
        <v>#NAME?</v>
      </c>
      <c r="J1645" s="4" t="e">
        <f ca="1">[1]!BexGetData("DP_1","003N8EMH8GTFRCSWKMPXRSGPQ","GSON1112151384")</f>
        <v>#NAME?</v>
      </c>
      <c r="K1645" s="8" t="e">
        <f ca="1">[1]!BexGetData("DP_1","003N8EMH8GTFRIVNUPY288VJH","GSON1112151384")</f>
        <v>#NAME?</v>
      </c>
      <c r="L1645" s="8" t="e">
        <f ca="1">[1]!BexGetData("DP_1","003N8EMH8GTFRIVNUPY2891V1","GSON1112151384")</f>
        <v>#NAME?</v>
      </c>
      <c r="M1645" s="8" t="e">
        <f ca="1">[1]!BexGetData("DP_1","003N8EMH8GTFRIVOG7KG9IQXA","GSON1112151384")</f>
        <v>#NAME?</v>
      </c>
      <c r="N1645" s="8" t="e">
        <f ca="1">[1]!BexGetData("DP_1","003N8EMH8GTFRIVOG7KG9IX8U","GSON1112151384")</f>
        <v>#NAME?</v>
      </c>
      <c r="O1645" s="8" t="e">
        <f ca="1">[1]!BexGetData("DP_1","003N8EMH8GTFRIVOG7KG9J3KE","GSON1112151384")</f>
        <v>#NAME?</v>
      </c>
      <c r="P1645" s="8" t="e">
        <f ca="1">[1]!BexGetData("DP_1","003N8EMH8GTFRIVOG7KG9J9VY","GSON1112151384")</f>
        <v>#NAME?</v>
      </c>
      <c r="Q1645" s="4" t="e">
        <f ca="1">[1]!BexGetData("DP_1","00O2TNJGODT0G5Z4TTKYMM5MT","GSON1112151384")</f>
        <v>#NAME?</v>
      </c>
      <c r="R1645" s="4" t="e">
        <f ca="1">[1]!BexGetData("DP_1","00O2TNJGODT0G5Z4TTKYMMBYD","GSON1112151384")</f>
        <v>#NAME?</v>
      </c>
      <c r="S1645" s="4" t="e">
        <f ca="1">[1]!BexGetData("DP_1","00O2TNJGODT0G5Z4TTKYMMI9X","GSON1112151384")</f>
        <v>#NAME?</v>
      </c>
      <c r="T1645" s="4" t="e">
        <f ca="1">[1]!BexGetData("DP_1","00O2TNJGODT0G5Z4TTKYMMOLH","GSON1112151384")</f>
        <v>#NAME?</v>
      </c>
      <c r="U1645" s="4" t="e">
        <f ca="1">[1]!BexGetData("DP_1","00O2TNJGODT0G5Z4TTKYMMUX1","GSON1112151384")</f>
        <v>#NAME?</v>
      </c>
      <c r="V1645" s="4" t="e">
        <f ca="1">[1]!BexGetData("DP_1","00O2TNJGODT0G5Z4TTKYMN18L","GSON1112151384")</f>
        <v>#NAME?</v>
      </c>
      <c r="W1645" s="4" t="e">
        <f ca="1">[1]!BexGetData("DP_1","00O2TNJGODT0G5Z4TTKYMN7K5","GSON1112151384")</f>
        <v>#NAME?</v>
      </c>
    </row>
    <row r="1646" spans="1:23" x14ac:dyDescent="0.2">
      <c r="A1646" s="16" t="s">
        <v>4231</v>
      </c>
      <c r="B1646" s="7" t="s">
        <v>4232</v>
      </c>
      <c r="C1646" s="3" t="e">
        <f ca="1">[1]!BexGetData("DP_1","003N8EMH8GTFRCSWKMPXRR8GU","GSON1112151385")</f>
        <v>#NAME?</v>
      </c>
      <c r="D1646" s="3" t="e">
        <f ca="1">[1]!BexGetData("DP_1","003N8EMH8GTFRCSWKMPXRRESE","GSON1112151385")</f>
        <v>#NAME?</v>
      </c>
      <c r="E1646" s="8" t="e">
        <f ca="1">[1]!BexGetData("DP_1","003N8EMH8GTFRCSWKMPXRRL3Y","GSON1112151385")</f>
        <v>#NAME?</v>
      </c>
      <c r="F1646" s="4" t="e">
        <f ca="1">[1]!BexGetData("DP_1","003N8EMH8GTFRCSWKMPXRRRFI","GSON1112151385")</f>
        <v>#NAME?</v>
      </c>
      <c r="G1646" s="4" t="e">
        <f ca="1">[1]!BexGetData("DP_1","003N8EMH8GTFRCSWKMPXRRXR2","GSON1112151385")</f>
        <v>#NAME?</v>
      </c>
      <c r="H1646" s="4" t="e">
        <f ca="1">[1]!BexGetData("DP_1","003N8EMH8GTFRCSWKMPXRS42M","GSON1112151385")</f>
        <v>#NAME?</v>
      </c>
      <c r="I1646" s="4" t="e">
        <f ca="1">[1]!BexGetData("DP_1","003N8EMH8GTFRCSWKMPXRSAE6","GSON1112151385")</f>
        <v>#NAME?</v>
      </c>
      <c r="J1646" s="4" t="e">
        <f ca="1">[1]!BexGetData("DP_1","003N8EMH8GTFRCSWKMPXRSGPQ","GSON1112151385")</f>
        <v>#NAME?</v>
      </c>
      <c r="K1646" s="8" t="e">
        <f ca="1">[1]!BexGetData("DP_1","003N8EMH8GTFRIVNUPY288VJH","GSON1112151385")</f>
        <v>#NAME?</v>
      </c>
      <c r="L1646" s="8" t="e">
        <f ca="1">[1]!BexGetData("DP_1","003N8EMH8GTFRIVNUPY2891V1","GSON1112151385")</f>
        <v>#NAME?</v>
      </c>
      <c r="M1646" s="8" t="e">
        <f ca="1">[1]!BexGetData("DP_1","003N8EMH8GTFRIVOG7KG9IQXA","GSON1112151385")</f>
        <v>#NAME?</v>
      </c>
      <c r="N1646" s="8" t="e">
        <f ca="1">[1]!BexGetData("DP_1","003N8EMH8GTFRIVOG7KG9IX8U","GSON1112151385")</f>
        <v>#NAME?</v>
      </c>
      <c r="O1646" s="8" t="e">
        <f ca="1">[1]!BexGetData("DP_1","003N8EMH8GTFRIVOG7KG9J3KE","GSON1112151385")</f>
        <v>#NAME?</v>
      </c>
      <c r="P1646" s="8" t="e">
        <f ca="1">[1]!BexGetData("DP_1","003N8EMH8GTFRIVOG7KG9J9VY","GSON1112151385")</f>
        <v>#NAME?</v>
      </c>
      <c r="Q1646" s="4" t="e">
        <f ca="1">[1]!BexGetData("DP_1","00O2TNJGODT0G5Z4TTKYMM5MT","GSON1112151385")</f>
        <v>#NAME?</v>
      </c>
      <c r="R1646" s="4" t="e">
        <f ca="1">[1]!BexGetData("DP_1","00O2TNJGODT0G5Z4TTKYMMBYD","GSON1112151385")</f>
        <v>#NAME?</v>
      </c>
      <c r="S1646" s="4" t="e">
        <f ca="1">[1]!BexGetData("DP_1","00O2TNJGODT0G5Z4TTKYMMI9X","GSON1112151385")</f>
        <v>#NAME?</v>
      </c>
      <c r="T1646" s="4" t="e">
        <f ca="1">[1]!BexGetData("DP_1","00O2TNJGODT0G5Z4TTKYMMOLH","GSON1112151385")</f>
        <v>#NAME?</v>
      </c>
      <c r="U1646" s="4" t="e">
        <f ca="1">[1]!BexGetData("DP_1","00O2TNJGODT0G5Z4TTKYMMUX1","GSON1112151385")</f>
        <v>#NAME?</v>
      </c>
      <c r="V1646" s="4" t="e">
        <f ca="1">[1]!BexGetData("DP_1","00O2TNJGODT0G5Z4TTKYMN18L","GSON1112151385")</f>
        <v>#NAME?</v>
      </c>
      <c r="W1646" s="4" t="e">
        <f ca="1">[1]!BexGetData("DP_1","00O2TNJGODT0G5Z4TTKYMN7K5","GSON1112151385")</f>
        <v>#NAME?</v>
      </c>
    </row>
    <row r="1647" spans="1:23" x14ac:dyDescent="0.2">
      <c r="A1647" s="16" t="s">
        <v>4233</v>
      </c>
      <c r="B1647" s="7" t="s">
        <v>4234</v>
      </c>
      <c r="C1647" s="3" t="e">
        <f ca="1">[1]!BexGetData("DP_1","003N8EMH8GTFRCSWKMPXRR8GU","GSON1112151390")</f>
        <v>#NAME?</v>
      </c>
      <c r="D1647" s="3" t="e">
        <f ca="1">[1]!BexGetData("DP_1","003N8EMH8GTFRCSWKMPXRRESE","GSON1112151390")</f>
        <v>#NAME?</v>
      </c>
      <c r="E1647" s="3" t="e">
        <f ca="1">[1]!BexGetData("DP_1","003N8EMH8GTFRCSWKMPXRRL3Y","GSON1112151390")</f>
        <v>#NAME?</v>
      </c>
      <c r="F1647" s="4" t="e">
        <f ca="1">[1]!BexGetData("DP_1","003N8EMH8GTFRCSWKMPXRRRFI","GSON1112151390")</f>
        <v>#NAME?</v>
      </c>
      <c r="G1647" s="4" t="e">
        <f ca="1">[1]!BexGetData("DP_1","003N8EMH8GTFRCSWKMPXRRXR2","GSON1112151390")</f>
        <v>#NAME?</v>
      </c>
      <c r="H1647" s="4" t="e">
        <f ca="1">[1]!BexGetData("DP_1","003N8EMH8GTFRCSWKMPXRS42M","GSON1112151390")</f>
        <v>#NAME?</v>
      </c>
      <c r="I1647" s="4" t="e">
        <f ca="1">[1]!BexGetData("DP_1","003N8EMH8GTFRCSWKMPXRSAE6","GSON1112151390")</f>
        <v>#NAME?</v>
      </c>
      <c r="J1647" s="4" t="e">
        <f ca="1">[1]!BexGetData("DP_1","003N8EMH8GTFRCSWKMPXRSGPQ","GSON1112151390")</f>
        <v>#NAME?</v>
      </c>
      <c r="K1647" s="3" t="e">
        <f ca="1">[1]!BexGetData("DP_1","003N8EMH8GTFRIVNUPY288VJH","GSON1112151390")</f>
        <v>#NAME?</v>
      </c>
      <c r="L1647" s="3" t="e">
        <f ca="1">[1]!BexGetData("DP_1","003N8EMH8GTFRIVNUPY2891V1","GSON1112151390")</f>
        <v>#NAME?</v>
      </c>
      <c r="M1647" s="8" t="e">
        <f ca="1">[1]!BexGetData("DP_1","003N8EMH8GTFRIVOG7KG9IQXA","GSON1112151390")</f>
        <v>#NAME?</v>
      </c>
      <c r="N1647" s="3" t="e">
        <f ca="1">[1]!BexGetData("DP_1","003N8EMH8GTFRIVOG7KG9IX8U","GSON1112151390")</f>
        <v>#NAME?</v>
      </c>
      <c r="O1647" s="8" t="e">
        <f ca="1">[1]!BexGetData("DP_1","003N8EMH8GTFRIVOG7KG9J3KE","GSON1112151390")</f>
        <v>#NAME?</v>
      </c>
      <c r="P1647" s="3" t="e">
        <f ca="1">[1]!BexGetData("DP_1","003N8EMH8GTFRIVOG7KG9J9VY","GSON1112151390")</f>
        <v>#NAME?</v>
      </c>
      <c r="Q1647" s="4" t="e">
        <f ca="1">[1]!BexGetData("DP_1","00O2TNJGODT0G5Z4TTKYMM5MT","GSON1112151390")</f>
        <v>#NAME?</v>
      </c>
      <c r="R1647" s="4" t="e">
        <f ca="1">[1]!BexGetData("DP_1","00O2TNJGODT0G5Z4TTKYMMBYD","GSON1112151390")</f>
        <v>#NAME?</v>
      </c>
      <c r="S1647" s="4" t="e">
        <f ca="1">[1]!BexGetData("DP_1","00O2TNJGODT0G5Z4TTKYMMI9X","GSON1112151390")</f>
        <v>#NAME?</v>
      </c>
      <c r="T1647" s="4" t="e">
        <f ca="1">[1]!BexGetData("DP_1","00O2TNJGODT0G5Z4TTKYMMOLH","GSON1112151390")</f>
        <v>#NAME?</v>
      </c>
      <c r="U1647" s="4" t="e">
        <f ca="1">[1]!BexGetData("DP_1","00O2TNJGODT0G5Z4TTKYMMUX1","GSON1112151390")</f>
        <v>#NAME?</v>
      </c>
      <c r="V1647" s="4" t="e">
        <f ca="1">[1]!BexGetData("DP_1","00O2TNJGODT0G5Z4TTKYMN18L","GSON1112151390")</f>
        <v>#NAME?</v>
      </c>
      <c r="W1647" s="4" t="e">
        <f ca="1">[1]!BexGetData("DP_1","00O2TNJGODT0G5Z4TTKYMN7K5","GSON1112151390")</f>
        <v>#NAME?</v>
      </c>
    </row>
    <row r="1648" spans="1:23" x14ac:dyDescent="0.2">
      <c r="A1648" s="16" t="s">
        <v>4235</v>
      </c>
      <c r="B1648" s="7" t="s">
        <v>4236</v>
      </c>
      <c r="C1648" s="3" t="e">
        <f ca="1">[1]!BexGetData("DP_1","003N8EMH8GTFRCSWKMPXRR8GU","GSON1112151391")</f>
        <v>#NAME?</v>
      </c>
      <c r="D1648" s="3" t="e">
        <f ca="1">[1]!BexGetData("DP_1","003N8EMH8GTFRCSWKMPXRRESE","GSON1112151391")</f>
        <v>#NAME?</v>
      </c>
      <c r="E1648" s="8" t="e">
        <f ca="1">[1]!BexGetData("DP_1","003N8EMH8GTFRCSWKMPXRRL3Y","GSON1112151391")</f>
        <v>#NAME?</v>
      </c>
      <c r="F1648" s="4" t="e">
        <f ca="1">[1]!BexGetData("DP_1","003N8EMH8GTFRCSWKMPXRRRFI","GSON1112151391")</f>
        <v>#NAME?</v>
      </c>
      <c r="G1648" s="4" t="e">
        <f ca="1">[1]!BexGetData("DP_1","003N8EMH8GTFRCSWKMPXRRXR2","GSON1112151391")</f>
        <v>#NAME?</v>
      </c>
      <c r="H1648" s="4" t="e">
        <f ca="1">[1]!BexGetData("DP_1","003N8EMH8GTFRCSWKMPXRS42M","GSON1112151391")</f>
        <v>#NAME?</v>
      </c>
      <c r="I1648" s="4" t="e">
        <f ca="1">[1]!BexGetData("DP_1","003N8EMH8GTFRCSWKMPXRSAE6","GSON1112151391")</f>
        <v>#NAME?</v>
      </c>
      <c r="J1648" s="4" t="e">
        <f ca="1">[1]!BexGetData("DP_1","003N8EMH8GTFRCSWKMPXRSGPQ","GSON1112151391")</f>
        <v>#NAME?</v>
      </c>
      <c r="K1648" s="8" t="e">
        <f ca="1">[1]!BexGetData("DP_1","003N8EMH8GTFRIVNUPY288VJH","GSON1112151391")</f>
        <v>#NAME?</v>
      </c>
      <c r="L1648" s="8" t="e">
        <f ca="1">[1]!BexGetData("DP_1","003N8EMH8GTFRIVNUPY2891V1","GSON1112151391")</f>
        <v>#NAME?</v>
      </c>
      <c r="M1648" s="8" t="e">
        <f ca="1">[1]!BexGetData("DP_1","003N8EMH8GTFRIVOG7KG9IQXA","GSON1112151391")</f>
        <v>#NAME?</v>
      </c>
      <c r="N1648" s="8" t="e">
        <f ca="1">[1]!BexGetData("DP_1","003N8EMH8GTFRIVOG7KG9IX8U","GSON1112151391")</f>
        <v>#NAME?</v>
      </c>
      <c r="O1648" s="8" t="e">
        <f ca="1">[1]!BexGetData("DP_1","003N8EMH8GTFRIVOG7KG9J3KE","GSON1112151391")</f>
        <v>#NAME?</v>
      </c>
      <c r="P1648" s="8" t="e">
        <f ca="1">[1]!BexGetData("DP_1","003N8EMH8GTFRIVOG7KG9J9VY","GSON1112151391")</f>
        <v>#NAME?</v>
      </c>
      <c r="Q1648" s="4" t="e">
        <f ca="1">[1]!BexGetData("DP_1","00O2TNJGODT0G5Z4TTKYMM5MT","GSON1112151391")</f>
        <v>#NAME?</v>
      </c>
      <c r="R1648" s="4" t="e">
        <f ca="1">[1]!BexGetData("DP_1","00O2TNJGODT0G5Z4TTKYMMBYD","GSON1112151391")</f>
        <v>#NAME?</v>
      </c>
      <c r="S1648" s="4" t="e">
        <f ca="1">[1]!BexGetData("DP_1","00O2TNJGODT0G5Z4TTKYMMI9X","GSON1112151391")</f>
        <v>#NAME?</v>
      </c>
      <c r="T1648" s="4" t="e">
        <f ca="1">[1]!BexGetData("DP_1","00O2TNJGODT0G5Z4TTKYMMOLH","GSON1112151391")</f>
        <v>#NAME?</v>
      </c>
      <c r="U1648" s="4" t="e">
        <f ca="1">[1]!BexGetData("DP_1","00O2TNJGODT0G5Z4TTKYMMUX1","GSON1112151391")</f>
        <v>#NAME?</v>
      </c>
      <c r="V1648" s="4" t="e">
        <f ca="1">[1]!BexGetData("DP_1","00O2TNJGODT0G5Z4TTKYMN18L","GSON1112151391")</f>
        <v>#NAME?</v>
      </c>
      <c r="W1648" s="4" t="e">
        <f ca="1">[1]!BexGetData("DP_1","00O2TNJGODT0G5Z4TTKYMN7K5","GSON1112151391")</f>
        <v>#NAME?</v>
      </c>
    </row>
    <row r="1649" spans="1:23" x14ac:dyDescent="0.2">
      <c r="A1649" s="16" t="s">
        <v>4237</v>
      </c>
      <c r="B1649" s="7" t="s">
        <v>4238</v>
      </c>
      <c r="C1649" s="3" t="e">
        <f ca="1">[1]!BexGetData("DP_1","003N8EMH8GTFRCSWKMPXRR8GU","GSON1112151393")</f>
        <v>#NAME?</v>
      </c>
      <c r="D1649" s="3" t="e">
        <f ca="1">[1]!BexGetData("DP_1","003N8EMH8GTFRCSWKMPXRRESE","GSON1112151393")</f>
        <v>#NAME?</v>
      </c>
      <c r="E1649" s="8" t="e">
        <f ca="1">[1]!BexGetData("DP_1","003N8EMH8GTFRCSWKMPXRRL3Y","GSON1112151393")</f>
        <v>#NAME?</v>
      </c>
      <c r="F1649" s="4" t="e">
        <f ca="1">[1]!BexGetData("DP_1","003N8EMH8GTFRCSWKMPXRRRFI","GSON1112151393")</f>
        <v>#NAME?</v>
      </c>
      <c r="G1649" s="4" t="e">
        <f ca="1">[1]!BexGetData("DP_1","003N8EMH8GTFRCSWKMPXRRXR2","GSON1112151393")</f>
        <v>#NAME?</v>
      </c>
      <c r="H1649" s="4" t="e">
        <f ca="1">[1]!BexGetData("DP_1","003N8EMH8GTFRCSWKMPXRS42M","GSON1112151393")</f>
        <v>#NAME?</v>
      </c>
      <c r="I1649" s="4" t="e">
        <f ca="1">[1]!BexGetData("DP_1","003N8EMH8GTFRCSWKMPXRSAE6","GSON1112151393")</f>
        <v>#NAME?</v>
      </c>
      <c r="J1649" s="4" t="e">
        <f ca="1">[1]!BexGetData("DP_1","003N8EMH8GTFRCSWKMPXRSGPQ","GSON1112151393")</f>
        <v>#NAME?</v>
      </c>
      <c r="K1649" s="8" t="e">
        <f ca="1">[1]!BexGetData("DP_1","003N8EMH8GTFRIVNUPY288VJH","GSON1112151393")</f>
        <v>#NAME?</v>
      </c>
      <c r="L1649" s="8" t="e">
        <f ca="1">[1]!BexGetData("DP_1","003N8EMH8GTFRIVNUPY2891V1","GSON1112151393")</f>
        <v>#NAME?</v>
      </c>
      <c r="M1649" s="8" t="e">
        <f ca="1">[1]!BexGetData("DP_1","003N8EMH8GTFRIVOG7KG9IQXA","GSON1112151393")</f>
        <v>#NAME?</v>
      </c>
      <c r="N1649" s="8" t="e">
        <f ca="1">[1]!BexGetData("DP_1","003N8EMH8GTFRIVOG7KG9IX8U","GSON1112151393")</f>
        <v>#NAME?</v>
      </c>
      <c r="O1649" s="8" t="e">
        <f ca="1">[1]!BexGetData("DP_1","003N8EMH8GTFRIVOG7KG9J3KE","GSON1112151393")</f>
        <v>#NAME?</v>
      </c>
      <c r="P1649" s="8" t="e">
        <f ca="1">[1]!BexGetData("DP_1","003N8EMH8GTFRIVOG7KG9J9VY","GSON1112151393")</f>
        <v>#NAME?</v>
      </c>
      <c r="Q1649" s="4" t="e">
        <f ca="1">[1]!BexGetData("DP_1","00O2TNJGODT0G5Z4TTKYMM5MT","GSON1112151393")</f>
        <v>#NAME?</v>
      </c>
      <c r="R1649" s="4" t="e">
        <f ca="1">[1]!BexGetData("DP_1","00O2TNJGODT0G5Z4TTKYMMBYD","GSON1112151393")</f>
        <v>#NAME?</v>
      </c>
      <c r="S1649" s="4" t="e">
        <f ca="1">[1]!BexGetData("DP_1","00O2TNJGODT0G5Z4TTKYMMI9X","GSON1112151393")</f>
        <v>#NAME?</v>
      </c>
      <c r="T1649" s="4" t="e">
        <f ca="1">[1]!BexGetData("DP_1","00O2TNJGODT0G5Z4TTKYMMOLH","GSON1112151393")</f>
        <v>#NAME?</v>
      </c>
      <c r="U1649" s="4" t="e">
        <f ca="1">[1]!BexGetData("DP_1","00O2TNJGODT0G5Z4TTKYMMUX1","GSON1112151393")</f>
        <v>#NAME?</v>
      </c>
      <c r="V1649" s="4" t="e">
        <f ca="1">[1]!BexGetData("DP_1","00O2TNJGODT0G5Z4TTKYMN18L","GSON1112151393")</f>
        <v>#NAME?</v>
      </c>
      <c r="W1649" s="4" t="e">
        <f ca="1">[1]!BexGetData("DP_1","00O2TNJGODT0G5Z4TTKYMN7K5","GSON1112151393")</f>
        <v>#NAME?</v>
      </c>
    </row>
    <row r="1650" spans="1:23" x14ac:dyDescent="0.2">
      <c r="A1650" s="16" t="s">
        <v>4239</v>
      </c>
      <c r="B1650" s="7" t="s">
        <v>4240</v>
      </c>
      <c r="C1650" s="3" t="e">
        <f ca="1">[1]!BexGetData("DP_1","003N8EMH8GTFRCSWKMPXRR8GU","GSON1112151394")</f>
        <v>#NAME?</v>
      </c>
      <c r="D1650" s="3" t="e">
        <f ca="1">[1]!BexGetData("DP_1","003N8EMH8GTFRCSWKMPXRRESE","GSON1112151394")</f>
        <v>#NAME?</v>
      </c>
      <c r="E1650" s="8" t="e">
        <f ca="1">[1]!BexGetData("DP_1","003N8EMH8GTFRCSWKMPXRRL3Y","GSON1112151394")</f>
        <v>#NAME?</v>
      </c>
      <c r="F1650" s="4" t="e">
        <f ca="1">[1]!BexGetData("DP_1","003N8EMH8GTFRCSWKMPXRRRFI","GSON1112151394")</f>
        <v>#NAME?</v>
      </c>
      <c r="G1650" s="4" t="e">
        <f ca="1">[1]!BexGetData("DP_1","003N8EMH8GTFRCSWKMPXRRXR2","GSON1112151394")</f>
        <v>#NAME?</v>
      </c>
      <c r="H1650" s="4" t="e">
        <f ca="1">[1]!BexGetData("DP_1","003N8EMH8GTFRCSWKMPXRS42M","GSON1112151394")</f>
        <v>#NAME?</v>
      </c>
      <c r="I1650" s="4" t="e">
        <f ca="1">[1]!BexGetData("DP_1","003N8EMH8GTFRCSWKMPXRSAE6","GSON1112151394")</f>
        <v>#NAME?</v>
      </c>
      <c r="J1650" s="4" t="e">
        <f ca="1">[1]!BexGetData("DP_1","003N8EMH8GTFRCSWKMPXRSGPQ","GSON1112151394")</f>
        <v>#NAME?</v>
      </c>
      <c r="K1650" s="8" t="e">
        <f ca="1">[1]!BexGetData("DP_1","003N8EMH8GTFRIVNUPY288VJH","GSON1112151394")</f>
        <v>#NAME?</v>
      </c>
      <c r="L1650" s="8" t="e">
        <f ca="1">[1]!BexGetData("DP_1","003N8EMH8GTFRIVNUPY2891V1","GSON1112151394")</f>
        <v>#NAME?</v>
      </c>
      <c r="M1650" s="8" t="e">
        <f ca="1">[1]!BexGetData("DP_1","003N8EMH8GTFRIVOG7KG9IQXA","GSON1112151394")</f>
        <v>#NAME?</v>
      </c>
      <c r="N1650" s="8" t="e">
        <f ca="1">[1]!BexGetData("DP_1","003N8EMH8GTFRIVOG7KG9IX8U","GSON1112151394")</f>
        <v>#NAME?</v>
      </c>
      <c r="O1650" s="8" t="e">
        <f ca="1">[1]!BexGetData("DP_1","003N8EMH8GTFRIVOG7KG9J3KE","GSON1112151394")</f>
        <v>#NAME?</v>
      </c>
      <c r="P1650" s="8" t="e">
        <f ca="1">[1]!BexGetData("DP_1","003N8EMH8GTFRIVOG7KG9J9VY","GSON1112151394")</f>
        <v>#NAME?</v>
      </c>
      <c r="Q1650" s="4" t="e">
        <f ca="1">[1]!BexGetData("DP_1","00O2TNJGODT0G5Z4TTKYMM5MT","GSON1112151394")</f>
        <v>#NAME?</v>
      </c>
      <c r="R1650" s="4" t="e">
        <f ca="1">[1]!BexGetData("DP_1","00O2TNJGODT0G5Z4TTKYMMBYD","GSON1112151394")</f>
        <v>#NAME?</v>
      </c>
      <c r="S1650" s="4" t="e">
        <f ca="1">[1]!BexGetData("DP_1","00O2TNJGODT0G5Z4TTKYMMI9X","GSON1112151394")</f>
        <v>#NAME?</v>
      </c>
      <c r="T1650" s="4" t="e">
        <f ca="1">[1]!BexGetData("DP_1","00O2TNJGODT0G5Z4TTKYMMOLH","GSON1112151394")</f>
        <v>#NAME?</v>
      </c>
      <c r="U1650" s="4" t="e">
        <f ca="1">[1]!BexGetData("DP_1","00O2TNJGODT0G5Z4TTKYMMUX1","GSON1112151394")</f>
        <v>#NAME?</v>
      </c>
      <c r="V1650" s="4" t="e">
        <f ca="1">[1]!BexGetData("DP_1","00O2TNJGODT0G5Z4TTKYMN18L","GSON1112151394")</f>
        <v>#NAME?</v>
      </c>
      <c r="W1650" s="4" t="e">
        <f ca="1">[1]!BexGetData("DP_1","00O2TNJGODT0G5Z4TTKYMN7K5","GSON1112151394")</f>
        <v>#NAME?</v>
      </c>
    </row>
    <row r="1651" spans="1:23" x14ac:dyDescent="0.2">
      <c r="A1651" s="16" t="s">
        <v>4241</v>
      </c>
      <c r="B1651" s="7" t="s">
        <v>4242</v>
      </c>
      <c r="C1651" s="3" t="e">
        <f ca="1">[1]!BexGetData("DP_1","003N8EMH8GTFRCSWKMPXRR8GU","GSON1112151395")</f>
        <v>#NAME?</v>
      </c>
      <c r="D1651" s="3" t="e">
        <f ca="1">[1]!BexGetData("DP_1","003N8EMH8GTFRCSWKMPXRRESE","GSON1112151395")</f>
        <v>#NAME?</v>
      </c>
      <c r="E1651" s="8" t="e">
        <f ca="1">[1]!BexGetData("DP_1","003N8EMH8GTFRCSWKMPXRRL3Y","GSON1112151395")</f>
        <v>#NAME?</v>
      </c>
      <c r="F1651" s="4" t="e">
        <f ca="1">[1]!BexGetData("DP_1","003N8EMH8GTFRCSWKMPXRRRFI","GSON1112151395")</f>
        <v>#NAME?</v>
      </c>
      <c r="G1651" s="4" t="e">
        <f ca="1">[1]!BexGetData("DP_1","003N8EMH8GTFRCSWKMPXRRXR2","GSON1112151395")</f>
        <v>#NAME?</v>
      </c>
      <c r="H1651" s="4" t="e">
        <f ca="1">[1]!BexGetData("DP_1","003N8EMH8GTFRCSWKMPXRS42M","GSON1112151395")</f>
        <v>#NAME?</v>
      </c>
      <c r="I1651" s="4" t="e">
        <f ca="1">[1]!BexGetData("DP_1","003N8EMH8GTFRCSWKMPXRSAE6","GSON1112151395")</f>
        <v>#NAME?</v>
      </c>
      <c r="J1651" s="4" t="e">
        <f ca="1">[1]!BexGetData("DP_1","003N8EMH8GTFRCSWKMPXRSGPQ","GSON1112151395")</f>
        <v>#NAME?</v>
      </c>
      <c r="K1651" s="8" t="e">
        <f ca="1">[1]!BexGetData("DP_1","003N8EMH8GTFRIVNUPY288VJH","GSON1112151395")</f>
        <v>#NAME?</v>
      </c>
      <c r="L1651" s="8" t="e">
        <f ca="1">[1]!BexGetData("DP_1","003N8EMH8GTFRIVNUPY2891V1","GSON1112151395")</f>
        <v>#NAME?</v>
      </c>
      <c r="M1651" s="8" t="e">
        <f ca="1">[1]!BexGetData("DP_1","003N8EMH8GTFRIVOG7KG9IQXA","GSON1112151395")</f>
        <v>#NAME?</v>
      </c>
      <c r="N1651" s="8" t="e">
        <f ca="1">[1]!BexGetData("DP_1","003N8EMH8GTFRIVOG7KG9IX8U","GSON1112151395")</f>
        <v>#NAME?</v>
      </c>
      <c r="O1651" s="8" t="e">
        <f ca="1">[1]!BexGetData("DP_1","003N8EMH8GTFRIVOG7KG9J3KE","GSON1112151395")</f>
        <v>#NAME?</v>
      </c>
      <c r="P1651" s="8" t="e">
        <f ca="1">[1]!BexGetData("DP_1","003N8EMH8GTFRIVOG7KG9J9VY","GSON1112151395")</f>
        <v>#NAME?</v>
      </c>
      <c r="Q1651" s="4" t="e">
        <f ca="1">[1]!BexGetData("DP_1","00O2TNJGODT0G5Z4TTKYMM5MT","GSON1112151395")</f>
        <v>#NAME?</v>
      </c>
      <c r="R1651" s="4" t="e">
        <f ca="1">[1]!BexGetData("DP_1","00O2TNJGODT0G5Z4TTKYMMBYD","GSON1112151395")</f>
        <v>#NAME?</v>
      </c>
      <c r="S1651" s="4" t="e">
        <f ca="1">[1]!BexGetData("DP_1","00O2TNJGODT0G5Z4TTKYMMI9X","GSON1112151395")</f>
        <v>#NAME?</v>
      </c>
      <c r="T1651" s="4" t="e">
        <f ca="1">[1]!BexGetData("DP_1","00O2TNJGODT0G5Z4TTKYMMOLH","GSON1112151395")</f>
        <v>#NAME?</v>
      </c>
      <c r="U1651" s="4" t="e">
        <f ca="1">[1]!BexGetData("DP_1","00O2TNJGODT0G5Z4TTKYMMUX1","GSON1112151395")</f>
        <v>#NAME?</v>
      </c>
      <c r="V1651" s="4" t="e">
        <f ca="1">[1]!BexGetData("DP_1","00O2TNJGODT0G5Z4TTKYMN18L","GSON1112151395")</f>
        <v>#NAME?</v>
      </c>
      <c r="W1651" s="4" t="e">
        <f ca="1">[1]!BexGetData("DP_1","00O2TNJGODT0G5Z4TTKYMN7K5","GSON1112151395")</f>
        <v>#NAME?</v>
      </c>
    </row>
    <row r="1652" spans="1:23" x14ac:dyDescent="0.2">
      <c r="A1652" s="16" t="s">
        <v>4243</v>
      </c>
      <c r="B1652" s="7" t="s">
        <v>4244</v>
      </c>
      <c r="C1652" s="3" t="e">
        <f ca="1">[1]!BexGetData("DP_1","003N8EMH8GTFRCSWKMPXRR8GU","GSON1112151400")</f>
        <v>#NAME?</v>
      </c>
      <c r="D1652" s="3" t="e">
        <f ca="1">[1]!BexGetData("DP_1","003N8EMH8GTFRCSWKMPXRRESE","GSON1112151400")</f>
        <v>#NAME?</v>
      </c>
      <c r="E1652" s="3" t="e">
        <f ca="1">[1]!BexGetData("DP_1","003N8EMH8GTFRCSWKMPXRRL3Y","GSON1112151400")</f>
        <v>#NAME?</v>
      </c>
      <c r="F1652" s="4" t="e">
        <f ca="1">[1]!BexGetData("DP_1","003N8EMH8GTFRCSWKMPXRRRFI","GSON1112151400")</f>
        <v>#NAME?</v>
      </c>
      <c r="G1652" s="4" t="e">
        <f ca="1">[1]!BexGetData("DP_1","003N8EMH8GTFRCSWKMPXRRXR2","GSON1112151400")</f>
        <v>#NAME?</v>
      </c>
      <c r="H1652" s="4" t="e">
        <f ca="1">[1]!BexGetData("DP_1","003N8EMH8GTFRCSWKMPXRS42M","GSON1112151400")</f>
        <v>#NAME?</v>
      </c>
      <c r="I1652" s="4" t="e">
        <f ca="1">[1]!BexGetData("DP_1","003N8EMH8GTFRCSWKMPXRSAE6","GSON1112151400")</f>
        <v>#NAME?</v>
      </c>
      <c r="J1652" s="4" t="e">
        <f ca="1">[1]!BexGetData("DP_1","003N8EMH8GTFRCSWKMPXRSGPQ","GSON1112151400")</f>
        <v>#NAME?</v>
      </c>
      <c r="K1652" s="3" t="e">
        <f ca="1">[1]!BexGetData("DP_1","003N8EMH8GTFRIVNUPY288VJH","GSON1112151400")</f>
        <v>#NAME?</v>
      </c>
      <c r="L1652" s="3" t="e">
        <f ca="1">[1]!BexGetData("DP_1","003N8EMH8GTFRIVNUPY2891V1","GSON1112151400")</f>
        <v>#NAME?</v>
      </c>
      <c r="M1652" s="8" t="e">
        <f ca="1">[1]!BexGetData("DP_1","003N8EMH8GTFRIVOG7KG9IQXA","GSON1112151400")</f>
        <v>#NAME?</v>
      </c>
      <c r="N1652" s="3" t="e">
        <f ca="1">[1]!BexGetData("DP_1","003N8EMH8GTFRIVOG7KG9IX8U","GSON1112151400")</f>
        <v>#NAME?</v>
      </c>
      <c r="O1652" s="8" t="e">
        <f ca="1">[1]!BexGetData("DP_1","003N8EMH8GTFRIVOG7KG9J3KE","GSON1112151400")</f>
        <v>#NAME?</v>
      </c>
      <c r="P1652" s="3" t="e">
        <f ca="1">[1]!BexGetData("DP_1","003N8EMH8GTFRIVOG7KG9J9VY","GSON1112151400")</f>
        <v>#NAME?</v>
      </c>
      <c r="Q1652" s="4" t="e">
        <f ca="1">[1]!BexGetData("DP_1","00O2TNJGODT0G5Z4TTKYMM5MT","GSON1112151400")</f>
        <v>#NAME?</v>
      </c>
      <c r="R1652" s="4" t="e">
        <f ca="1">[1]!BexGetData("DP_1","00O2TNJGODT0G5Z4TTKYMMBYD","GSON1112151400")</f>
        <v>#NAME?</v>
      </c>
      <c r="S1652" s="4" t="e">
        <f ca="1">[1]!BexGetData("DP_1","00O2TNJGODT0G5Z4TTKYMMI9X","GSON1112151400")</f>
        <v>#NAME?</v>
      </c>
      <c r="T1652" s="4" t="e">
        <f ca="1">[1]!BexGetData("DP_1","00O2TNJGODT0G5Z4TTKYMMOLH","GSON1112151400")</f>
        <v>#NAME?</v>
      </c>
      <c r="U1652" s="4" t="e">
        <f ca="1">[1]!BexGetData("DP_1","00O2TNJGODT0G5Z4TTKYMMUX1","GSON1112151400")</f>
        <v>#NAME?</v>
      </c>
      <c r="V1652" s="4" t="e">
        <f ca="1">[1]!BexGetData("DP_1","00O2TNJGODT0G5Z4TTKYMN18L","GSON1112151400")</f>
        <v>#NAME?</v>
      </c>
      <c r="W1652" s="4" t="e">
        <f ca="1">[1]!BexGetData("DP_1","00O2TNJGODT0G5Z4TTKYMN7K5","GSON1112151400")</f>
        <v>#NAME?</v>
      </c>
    </row>
    <row r="1653" spans="1:23" x14ac:dyDescent="0.2">
      <c r="A1653" s="16" t="s">
        <v>4245</v>
      </c>
      <c r="B1653" s="7" t="s">
        <v>4246</v>
      </c>
      <c r="C1653" s="3" t="e">
        <f ca="1">[1]!BexGetData("DP_1","003N8EMH8GTFRCSWKMPXRR8GU","GSON1112151401")</f>
        <v>#NAME?</v>
      </c>
      <c r="D1653" s="3" t="e">
        <f ca="1">[1]!BexGetData("DP_1","003N8EMH8GTFRCSWKMPXRRESE","GSON1112151401")</f>
        <v>#NAME?</v>
      </c>
      <c r="E1653" s="8" t="e">
        <f ca="1">[1]!BexGetData("DP_1","003N8EMH8GTFRCSWKMPXRRL3Y","GSON1112151401")</f>
        <v>#NAME?</v>
      </c>
      <c r="F1653" s="4" t="e">
        <f ca="1">[1]!BexGetData("DP_1","003N8EMH8GTFRCSWKMPXRRRFI","GSON1112151401")</f>
        <v>#NAME?</v>
      </c>
      <c r="G1653" s="4" t="e">
        <f ca="1">[1]!BexGetData("DP_1","003N8EMH8GTFRCSWKMPXRRXR2","GSON1112151401")</f>
        <v>#NAME?</v>
      </c>
      <c r="H1653" s="4" t="e">
        <f ca="1">[1]!BexGetData("DP_1","003N8EMH8GTFRCSWKMPXRS42M","GSON1112151401")</f>
        <v>#NAME?</v>
      </c>
      <c r="I1653" s="4" t="e">
        <f ca="1">[1]!BexGetData("DP_1","003N8EMH8GTFRCSWKMPXRSAE6","GSON1112151401")</f>
        <v>#NAME?</v>
      </c>
      <c r="J1653" s="4" t="e">
        <f ca="1">[1]!BexGetData("DP_1","003N8EMH8GTFRCSWKMPXRSGPQ","GSON1112151401")</f>
        <v>#NAME?</v>
      </c>
      <c r="K1653" s="8" t="e">
        <f ca="1">[1]!BexGetData("DP_1","003N8EMH8GTFRIVNUPY288VJH","GSON1112151401")</f>
        <v>#NAME?</v>
      </c>
      <c r="L1653" s="8" t="e">
        <f ca="1">[1]!BexGetData("DP_1","003N8EMH8GTFRIVNUPY2891V1","GSON1112151401")</f>
        <v>#NAME?</v>
      </c>
      <c r="M1653" s="8" t="e">
        <f ca="1">[1]!BexGetData("DP_1","003N8EMH8GTFRIVOG7KG9IQXA","GSON1112151401")</f>
        <v>#NAME?</v>
      </c>
      <c r="N1653" s="8" t="e">
        <f ca="1">[1]!BexGetData("DP_1","003N8EMH8GTFRIVOG7KG9IX8U","GSON1112151401")</f>
        <v>#NAME?</v>
      </c>
      <c r="O1653" s="8" t="e">
        <f ca="1">[1]!BexGetData("DP_1","003N8EMH8GTFRIVOG7KG9J3KE","GSON1112151401")</f>
        <v>#NAME?</v>
      </c>
      <c r="P1653" s="8" t="e">
        <f ca="1">[1]!BexGetData("DP_1","003N8EMH8GTFRIVOG7KG9J9VY","GSON1112151401")</f>
        <v>#NAME?</v>
      </c>
      <c r="Q1653" s="4" t="e">
        <f ca="1">[1]!BexGetData("DP_1","00O2TNJGODT0G5Z4TTKYMM5MT","GSON1112151401")</f>
        <v>#NAME?</v>
      </c>
      <c r="R1653" s="4" t="e">
        <f ca="1">[1]!BexGetData("DP_1","00O2TNJGODT0G5Z4TTKYMMBYD","GSON1112151401")</f>
        <v>#NAME?</v>
      </c>
      <c r="S1653" s="4" t="e">
        <f ca="1">[1]!BexGetData("DP_1","00O2TNJGODT0G5Z4TTKYMMI9X","GSON1112151401")</f>
        <v>#NAME?</v>
      </c>
      <c r="T1653" s="4" t="e">
        <f ca="1">[1]!BexGetData("DP_1","00O2TNJGODT0G5Z4TTKYMMOLH","GSON1112151401")</f>
        <v>#NAME?</v>
      </c>
      <c r="U1653" s="4" t="e">
        <f ca="1">[1]!BexGetData("DP_1","00O2TNJGODT0G5Z4TTKYMMUX1","GSON1112151401")</f>
        <v>#NAME?</v>
      </c>
      <c r="V1653" s="4" t="e">
        <f ca="1">[1]!BexGetData("DP_1","00O2TNJGODT0G5Z4TTKYMN18L","GSON1112151401")</f>
        <v>#NAME?</v>
      </c>
      <c r="W1653" s="4" t="e">
        <f ca="1">[1]!BexGetData("DP_1","00O2TNJGODT0G5Z4TTKYMN7K5","GSON1112151401")</f>
        <v>#NAME?</v>
      </c>
    </row>
    <row r="1654" spans="1:23" x14ac:dyDescent="0.2">
      <c r="A1654" s="16" t="s">
        <v>4247</v>
      </c>
      <c r="B1654" s="7" t="s">
        <v>4248</v>
      </c>
      <c r="C1654" s="3" t="e">
        <f ca="1">[1]!BexGetData("DP_1","003N8EMH8GTFRCSWKMPXRR8GU","GSON1112151403")</f>
        <v>#NAME?</v>
      </c>
      <c r="D1654" s="3" t="e">
        <f ca="1">[1]!BexGetData("DP_1","003N8EMH8GTFRCSWKMPXRRESE","GSON1112151403")</f>
        <v>#NAME?</v>
      </c>
      <c r="E1654" s="8" t="e">
        <f ca="1">[1]!BexGetData("DP_1","003N8EMH8GTFRCSWKMPXRRL3Y","GSON1112151403")</f>
        <v>#NAME?</v>
      </c>
      <c r="F1654" s="4" t="e">
        <f ca="1">[1]!BexGetData("DP_1","003N8EMH8GTFRCSWKMPXRRRFI","GSON1112151403")</f>
        <v>#NAME?</v>
      </c>
      <c r="G1654" s="4" t="e">
        <f ca="1">[1]!BexGetData("DP_1","003N8EMH8GTFRCSWKMPXRRXR2","GSON1112151403")</f>
        <v>#NAME?</v>
      </c>
      <c r="H1654" s="4" t="e">
        <f ca="1">[1]!BexGetData("DP_1","003N8EMH8GTFRCSWKMPXRS42M","GSON1112151403")</f>
        <v>#NAME?</v>
      </c>
      <c r="I1654" s="4" t="e">
        <f ca="1">[1]!BexGetData("DP_1","003N8EMH8GTFRCSWKMPXRSAE6","GSON1112151403")</f>
        <v>#NAME?</v>
      </c>
      <c r="J1654" s="4" t="e">
        <f ca="1">[1]!BexGetData("DP_1","003N8EMH8GTFRCSWKMPXRSGPQ","GSON1112151403")</f>
        <v>#NAME?</v>
      </c>
      <c r="K1654" s="8" t="e">
        <f ca="1">[1]!BexGetData("DP_1","003N8EMH8GTFRIVNUPY288VJH","GSON1112151403")</f>
        <v>#NAME?</v>
      </c>
      <c r="L1654" s="8" t="e">
        <f ca="1">[1]!BexGetData("DP_1","003N8EMH8GTFRIVNUPY2891V1","GSON1112151403")</f>
        <v>#NAME?</v>
      </c>
      <c r="M1654" s="8" t="e">
        <f ca="1">[1]!BexGetData("DP_1","003N8EMH8GTFRIVOG7KG9IQXA","GSON1112151403")</f>
        <v>#NAME?</v>
      </c>
      <c r="N1654" s="8" t="e">
        <f ca="1">[1]!BexGetData("DP_1","003N8EMH8GTFRIVOG7KG9IX8U","GSON1112151403")</f>
        <v>#NAME?</v>
      </c>
      <c r="O1654" s="8" t="e">
        <f ca="1">[1]!BexGetData("DP_1","003N8EMH8GTFRIVOG7KG9J3KE","GSON1112151403")</f>
        <v>#NAME?</v>
      </c>
      <c r="P1654" s="8" t="e">
        <f ca="1">[1]!BexGetData("DP_1","003N8EMH8GTFRIVOG7KG9J9VY","GSON1112151403")</f>
        <v>#NAME?</v>
      </c>
      <c r="Q1654" s="4" t="e">
        <f ca="1">[1]!BexGetData("DP_1","00O2TNJGODT0G5Z4TTKYMM5MT","GSON1112151403")</f>
        <v>#NAME?</v>
      </c>
      <c r="R1654" s="4" t="e">
        <f ca="1">[1]!BexGetData("DP_1","00O2TNJGODT0G5Z4TTKYMMBYD","GSON1112151403")</f>
        <v>#NAME?</v>
      </c>
      <c r="S1654" s="4" t="e">
        <f ca="1">[1]!BexGetData("DP_1","00O2TNJGODT0G5Z4TTKYMMI9X","GSON1112151403")</f>
        <v>#NAME?</v>
      </c>
      <c r="T1654" s="4" t="e">
        <f ca="1">[1]!BexGetData("DP_1","00O2TNJGODT0G5Z4TTKYMMOLH","GSON1112151403")</f>
        <v>#NAME?</v>
      </c>
      <c r="U1654" s="4" t="e">
        <f ca="1">[1]!BexGetData("DP_1","00O2TNJGODT0G5Z4TTKYMMUX1","GSON1112151403")</f>
        <v>#NAME?</v>
      </c>
      <c r="V1654" s="4" t="e">
        <f ca="1">[1]!BexGetData("DP_1","00O2TNJGODT0G5Z4TTKYMN18L","GSON1112151403")</f>
        <v>#NAME?</v>
      </c>
      <c r="W1654" s="4" t="e">
        <f ca="1">[1]!BexGetData("DP_1","00O2TNJGODT0G5Z4TTKYMN7K5","GSON1112151403")</f>
        <v>#NAME?</v>
      </c>
    </row>
    <row r="1655" spans="1:23" x14ac:dyDescent="0.2">
      <c r="A1655" s="16" t="s">
        <v>4249</v>
      </c>
      <c r="B1655" s="7" t="s">
        <v>4250</v>
      </c>
      <c r="C1655" s="3" t="e">
        <f ca="1">[1]!BexGetData("DP_1","003N8EMH8GTFRCSWKMPXRR8GU","GSON1112151404")</f>
        <v>#NAME?</v>
      </c>
      <c r="D1655" s="3" t="e">
        <f ca="1">[1]!BexGetData("DP_1","003N8EMH8GTFRCSWKMPXRRESE","GSON1112151404")</f>
        <v>#NAME?</v>
      </c>
      <c r="E1655" s="8" t="e">
        <f ca="1">[1]!BexGetData("DP_1","003N8EMH8GTFRCSWKMPXRRL3Y","GSON1112151404")</f>
        <v>#NAME?</v>
      </c>
      <c r="F1655" s="4" t="e">
        <f ca="1">[1]!BexGetData("DP_1","003N8EMH8GTFRCSWKMPXRRRFI","GSON1112151404")</f>
        <v>#NAME?</v>
      </c>
      <c r="G1655" s="4" t="e">
        <f ca="1">[1]!BexGetData("DP_1","003N8EMH8GTFRCSWKMPXRRXR2","GSON1112151404")</f>
        <v>#NAME?</v>
      </c>
      <c r="H1655" s="4" t="e">
        <f ca="1">[1]!BexGetData("DP_1","003N8EMH8GTFRCSWKMPXRS42M","GSON1112151404")</f>
        <v>#NAME?</v>
      </c>
      <c r="I1655" s="4" t="e">
        <f ca="1">[1]!BexGetData("DP_1","003N8EMH8GTFRCSWKMPXRSAE6","GSON1112151404")</f>
        <v>#NAME?</v>
      </c>
      <c r="J1655" s="4" t="e">
        <f ca="1">[1]!BexGetData("DP_1","003N8EMH8GTFRCSWKMPXRSGPQ","GSON1112151404")</f>
        <v>#NAME?</v>
      </c>
      <c r="K1655" s="8" t="e">
        <f ca="1">[1]!BexGetData("DP_1","003N8EMH8GTFRIVNUPY288VJH","GSON1112151404")</f>
        <v>#NAME?</v>
      </c>
      <c r="L1655" s="8" t="e">
        <f ca="1">[1]!BexGetData("DP_1","003N8EMH8GTFRIVNUPY2891V1","GSON1112151404")</f>
        <v>#NAME?</v>
      </c>
      <c r="M1655" s="8" t="e">
        <f ca="1">[1]!BexGetData("DP_1","003N8EMH8GTFRIVOG7KG9IQXA","GSON1112151404")</f>
        <v>#NAME?</v>
      </c>
      <c r="N1655" s="8" t="e">
        <f ca="1">[1]!BexGetData("DP_1","003N8EMH8GTFRIVOG7KG9IX8U","GSON1112151404")</f>
        <v>#NAME?</v>
      </c>
      <c r="O1655" s="8" t="e">
        <f ca="1">[1]!BexGetData("DP_1","003N8EMH8GTFRIVOG7KG9J3KE","GSON1112151404")</f>
        <v>#NAME?</v>
      </c>
      <c r="P1655" s="8" t="e">
        <f ca="1">[1]!BexGetData("DP_1","003N8EMH8GTFRIVOG7KG9J9VY","GSON1112151404")</f>
        <v>#NAME?</v>
      </c>
      <c r="Q1655" s="4" t="e">
        <f ca="1">[1]!BexGetData("DP_1","00O2TNJGODT0G5Z4TTKYMM5MT","GSON1112151404")</f>
        <v>#NAME?</v>
      </c>
      <c r="R1655" s="4" t="e">
        <f ca="1">[1]!BexGetData("DP_1","00O2TNJGODT0G5Z4TTKYMMBYD","GSON1112151404")</f>
        <v>#NAME?</v>
      </c>
      <c r="S1655" s="4" t="e">
        <f ca="1">[1]!BexGetData("DP_1","00O2TNJGODT0G5Z4TTKYMMI9X","GSON1112151404")</f>
        <v>#NAME?</v>
      </c>
      <c r="T1655" s="4" t="e">
        <f ca="1">[1]!BexGetData("DP_1","00O2TNJGODT0G5Z4TTKYMMOLH","GSON1112151404")</f>
        <v>#NAME?</v>
      </c>
      <c r="U1655" s="4" t="e">
        <f ca="1">[1]!BexGetData("DP_1","00O2TNJGODT0G5Z4TTKYMMUX1","GSON1112151404")</f>
        <v>#NAME?</v>
      </c>
      <c r="V1655" s="4" t="e">
        <f ca="1">[1]!BexGetData("DP_1","00O2TNJGODT0G5Z4TTKYMN18L","GSON1112151404")</f>
        <v>#NAME?</v>
      </c>
      <c r="W1655" s="4" t="e">
        <f ca="1">[1]!BexGetData("DP_1","00O2TNJGODT0G5Z4TTKYMN7K5","GSON1112151404")</f>
        <v>#NAME?</v>
      </c>
    </row>
    <row r="1656" spans="1:23" x14ac:dyDescent="0.2">
      <c r="A1656" s="16" t="s">
        <v>4251</v>
      </c>
      <c r="B1656" s="7" t="s">
        <v>4252</v>
      </c>
      <c r="C1656" s="3" t="e">
        <f ca="1">[1]!BexGetData("DP_1","003N8EMH8GTFRCSWKMPXRR8GU","GSON1112151405")</f>
        <v>#NAME?</v>
      </c>
      <c r="D1656" s="3" t="e">
        <f ca="1">[1]!BexGetData("DP_1","003N8EMH8GTFRCSWKMPXRRESE","GSON1112151405")</f>
        <v>#NAME?</v>
      </c>
      <c r="E1656" s="8" t="e">
        <f ca="1">[1]!BexGetData("DP_1","003N8EMH8GTFRCSWKMPXRRL3Y","GSON1112151405")</f>
        <v>#NAME?</v>
      </c>
      <c r="F1656" s="4" t="e">
        <f ca="1">[1]!BexGetData("DP_1","003N8EMH8GTFRCSWKMPXRRRFI","GSON1112151405")</f>
        <v>#NAME?</v>
      </c>
      <c r="G1656" s="4" t="e">
        <f ca="1">[1]!BexGetData("DP_1","003N8EMH8GTFRCSWKMPXRRXR2","GSON1112151405")</f>
        <v>#NAME?</v>
      </c>
      <c r="H1656" s="4" t="e">
        <f ca="1">[1]!BexGetData("DP_1","003N8EMH8GTFRCSWKMPXRS42M","GSON1112151405")</f>
        <v>#NAME?</v>
      </c>
      <c r="I1656" s="4" t="e">
        <f ca="1">[1]!BexGetData("DP_1","003N8EMH8GTFRCSWKMPXRSAE6","GSON1112151405")</f>
        <v>#NAME?</v>
      </c>
      <c r="J1656" s="4" t="e">
        <f ca="1">[1]!BexGetData("DP_1","003N8EMH8GTFRCSWKMPXRSGPQ","GSON1112151405")</f>
        <v>#NAME?</v>
      </c>
      <c r="K1656" s="8" t="e">
        <f ca="1">[1]!BexGetData("DP_1","003N8EMH8GTFRIVNUPY288VJH","GSON1112151405")</f>
        <v>#NAME?</v>
      </c>
      <c r="L1656" s="8" t="e">
        <f ca="1">[1]!BexGetData("DP_1","003N8EMH8GTFRIVNUPY2891V1","GSON1112151405")</f>
        <v>#NAME?</v>
      </c>
      <c r="M1656" s="8" t="e">
        <f ca="1">[1]!BexGetData("DP_1","003N8EMH8GTFRIVOG7KG9IQXA","GSON1112151405")</f>
        <v>#NAME?</v>
      </c>
      <c r="N1656" s="8" t="e">
        <f ca="1">[1]!BexGetData("DP_1","003N8EMH8GTFRIVOG7KG9IX8U","GSON1112151405")</f>
        <v>#NAME?</v>
      </c>
      <c r="O1656" s="8" t="e">
        <f ca="1">[1]!BexGetData("DP_1","003N8EMH8GTFRIVOG7KG9J3KE","GSON1112151405")</f>
        <v>#NAME?</v>
      </c>
      <c r="P1656" s="8" t="e">
        <f ca="1">[1]!BexGetData("DP_1","003N8EMH8GTFRIVOG7KG9J9VY","GSON1112151405")</f>
        <v>#NAME?</v>
      </c>
      <c r="Q1656" s="4" t="e">
        <f ca="1">[1]!BexGetData("DP_1","00O2TNJGODT0G5Z4TTKYMM5MT","GSON1112151405")</f>
        <v>#NAME?</v>
      </c>
      <c r="R1656" s="4" t="e">
        <f ca="1">[1]!BexGetData("DP_1","00O2TNJGODT0G5Z4TTKYMMBYD","GSON1112151405")</f>
        <v>#NAME?</v>
      </c>
      <c r="S1656" s="4" t="e">
        <f ca="1">[1]!BexGetData("DP_1","00O2TNJGODT0G5Z4TTKYMMI9X","GSON1112151405")</f>
        <v>#NAME?</v>
      </c>
      <c r="T1656" s="4" t="e">
        <f ca="1">[1]!BexGetData("DP_1","00O2TNJGODT0G5Z4TTKYMMOLH","GSON1112151405")</f>
        <v>#NAME?</v>
      </c>
      <c r="U1656" s="4" t="e">
        <f ca="1">[1]!BexGetData("DP_1","00O2TNJGODT0G5Z4TTKYMMUX1","GSON1112151405")</f>
        <v>#NAME?</v>
      </c>
      <c r="V1656" s="4" t="e">
        <f ca="1">[1]!BexGetData("DP_1","00O2TNJGODT0G5Z4TTKYMN18L","GSON1112151405")</f>
        <v>#NAME?</v>
      </c>
      <c r="W1656" s="4" t="e">
        <f ca="1">[1]!BexGetData("DP_1","00O2TNJGODT0G5Z4TTKYMN7K5","GSON1112151405")</f>
        <v>#NAME?</v>
      </c>
    </row>
    <row r="1657" spans="1:23" x14ac:dyDescent="0.2">
      <c r="A1657" s="16" t="s">
        <v>4253</v>
      </c>
      <c r="B1657" s="7" t="s">
        <v>4254</v>
      </c>
      <c r="C1657" s="3" t="e">
        <f ca="1">[1]!BexGetData("DP_1","003N8EMH8GTFRCSWKMPXRR8GU","GSON1112151420")</f>
        <v>#NAME?</v>
      </c>
      <c r="D1657" s="3" t="e">
        <f ca="1">[1]!BexGetData("DP_1","003N8EMH8GTFRCSWKMPXRRESE","GSON1112151420")</f>
        <v>#NAME?</v>
      </c>
      <c r="E1657" s="8" t="e">
        <f ca="1">[1]!BexGetData("DP_1","003N8EMH8GTFRCSWKMPXRRL3Y","GSON1112151420")</f>
        <v>#NAME?</v>
      </c>
      <c r="F1657" s="4" t="e">
        <f ca="1">[1]!BexGetData("DP_1","003N8EMH8GTFRCSWKMPXRRRFI","GSON1112151420")</f>
        <v>#NAME?</v>
      </c>
      <c r="G1657" s="4" t="e">
        <f ca="1">[1]!BexGetData("DP_1","003N8EMH8GTFRCSWKMPXRRXR2","GSON1112151420")</f>
        <v>#NAME?</v>
      </c>
      <c r="H1657" s="4" t="e">
        <f ca="1">[1]!BexGetData("DP_1","003N8EMH8GTFRCSWKMPXRS42M","GSON1112151420")</f>
        <v>#NAME?</v>
      </c>
      <c r="I1657" s="4" t="e">
        <f ca="1">[1]!BexGetData("DP_1","003N8EMH8GTFRCSWKMPXRSAE6","GSON1112151420")</f>
        <v>#NAME?</v>
      </c>
      <c r="J1657" s="4" t="e">
        <f ca="1">[1]!BexGetData("DP_1","003N8EMH8GTFRCSWKMPXRSGPQ","GSON1112151420")</f>
        <v>#NAME?</v>
      </c>
      <c r="K1657" s="8" t="e">
        <f ca="1">[1]!BexGetData("DP_1","003N8EMH8GTFRIVNUPY288VJH","GSON1112151420")</f>
        <v>#NAME?</v>
      </c>
      <c r="L1657" s="8" t="e">
        <f ca="1">[1]!BexGetData("DP_1","003N8EMH8GTFRIVNUPY2891V1","GSON1112151420")</f>
        <v>#NAME?</v>
      </c>
      <c r="M1657" s="8" t="e">
        <f ca="1">[1]!BexGetData("DP_1","003N8EMH8GTFRIVOG7KG9IQXA","GSON1112151420")</f>
        <v>#NAME?</v>
      </c>
      <c r="N1657" s="8" t="e">
        <f ca="1">[1]!BexGetData("DP_1","003N8EMH8GTFRIVOG7KG9IX8U","GSON1112151420")</f>
        <v>#NAME?</v>
      </c>
      <c r="O1657" s="8" t="e">
        <f ca="1">[1]!BexGetData("DP_1","003N8EMH8GTFRIVOG7KG9J3KE","GSON1112151420")</f>
        <v>#NAME?</v>
      </c>
      <c r="P1657" s="8" t="e">
        <f ca="1">[1]!BexGetData("DP_1","003N8EMH8GTFRIVOG7KG9J9VY","GSON1112151420")</f>
        <v>#NAME?</v>
      </c>
      <c r="Q1657" s="4" t="e">
        <f ca="1">[1]!BexGetData("DP_1","00O2TNJGODT0G5Z4TTKYMM5MT","GSON1112151420")</f>
        <v>#NAME?</v>
      </c>
      <c r="R1657" s="4" t="e">
        <f ca="1">[1]!BexGetData("DP_1","00O2TNJGODT0G5Z4TTKYMMBYD","GSON1112151420")</f>
        <v>#NAME?</v>
      </c>
      <c r="S1657" s="4" t="e">
        <f ca="1">[1]!BexGetData("DP_1","00O2TNJGODT0G5Z4TTKYMMI9X","GSON1112151420")</f>
        <v>#NAME?</v>
      </c>
      <c r="T1657" s="4" t="e">
        <f ca="1">[1]!BexGetData("DP_1","00O2TNJGODT0G5Z4TTKYMMOLH","GSON1112151420")</f>
        <v>#NAME?</v>
      </c>
      <c r="U1657" s="4" t="e">
        <f ca="1">[1]!BexGetData("DP_1","00O2TNJGODT0G5Z4TTKYMMUX1","GSON1112151420")</f>
        <v>#NAME?</v>
      </c>
      <c r="V1657" s="4" t="e">
        <f ca="1">[1]!BexGetData("DP_1","00O2TNJGODT0G5Z4TTKYMN18L","GSON1112151420")</f>
        <v>#NAME?</v>
      </c>
      <c r="W1657" s="4" t="e">
        <f ca="1">[1]!BexGetData("DP_1","00O2TNJGODT0G5Z4TTKYMN7K5","GSON1112151420")</f>
        <v>#NAME?</v>
      </c>
    </row>
    <row r="1658" spans="1:23" x14ac:dyDescent="0.2">
      <c r="A1658" s="16" t="s">
        <v>4255</v>
      </c>
      <c r="B1658" s="7" t="s">
        <v>4256</v>
      </c>
      <c r="C1658" s="3" t="e">
        <f ca="1">[1]!BexGetData("DP_1","003N8EMH8GTFRCSWKMPXRR8GU","GSON1112151421")</f>
        <v>#NAME?</v>
      </c>
      <c r="D1658" s="3" t="e">
        <f ca="1">[1]!BexGetData("DP_1","003N8EMH8GTFRCSWKMPXRRESE","GSON1112151421")</f>
        <v>#NAME?</v>
      </c>
      <c r="E1658" s="8" t="e">
        <f ca="1">[1]!BexGetData("DP_1","003N8EMH8GTFRCSWKMPXRRL3Y","GSON1112151421")</f>
        <v>#NAME?</v>
      </c>
      <c r="F1658" s="4" t="e">
        <f ca="1">[1]!BexGetData("DP_1","003N8EMH8GTFRCSWKMPXRRRFI","GSON1112151421")</f>
        <v>#NAME?</v>
      </c>
      <c r="G1658" s="4" t="e">
        <f ca="1">[1]!BexGetData("DP_1","003N8EMH8GTFRCSWKMPXRRXR2","GSON1112151421")</f>
        <v>#NAME?</v>
      </c>
      <c r="H1658" s="4" t="e">
        <f ca="1">[1]!BexGetData("DP_1","003N8EMH8GTFRCSWKMPXRS42M","GSON1112151421")</f>
        <v>#NAME?</v>
      </c>
      <c r="I1658" s="4" t="e">
        <f ca="1">[1]!BexGetData("DP_1","003N8EMH8GTFRCSWKMPXRSAE6","GSON1112151421")</f>
        <v>#NAME?</v>
      </c>
      <c r="J1658" s="4" t="e">
        <f ca="1">[1]!BexGetData("DP_1","003N8EMH8GTFRCSWKMPXRSGPQ","GSON1112151421")</f>
        <v>#NAME?</v>
      </c>
      <c r="K1658" s="8" t="e">
        <f ca="1">[1]!BexGetData("DP_1","003N8EMH8GTFRIVNUPY288VJH","GSON1112151421")</f>
        <v>#NAME?</v>
      </c>
      <c r="L1658" s="8" t="e">
        <f ca="1">[1]!BexGetData("DP_1","003N8EMH8GTFRIVNUPY2891V1","GSON1112151421")</f>
        <v>#NAME?</v>
      </c>
      <c r="M1658" s="8" t="e">
        <f ca="1">[1]!BexGetData("DP_1","003N8EMH8GTFRIVOG7KG9IQXA","GSON1112151421")</f>
        <v>#NAME?</v>
      </c>
      <c r="N1658" s="8" t="e">
        <f ca="1">[1]!BexGetData("DP_1","003N8EMH8GTFRIVOG7KG9IX8U","GSON1112151421")</f>
        <v>#NAME?</v>
      </c>
      <c r="O1658" s="8" t="e">
        <f ca="1">[1]!BexGetData("DP_1","003N8EMH8GTFRIVOG7KG9J3KE","GSON1112151421")</f>
        <v>#NAME?</v>
      </c>
      <c r="P1658" s="8" t="e">
        <f ca="1">[1]!BexGetData("DP_1","003N8EMH8GTFRIVOG7KG9J9VY","GSON1112151421")</f>
        <v>#NAME?</v>
      </c>
      <c r="Q1658" s="4" t="e">
        <f ca="1">[1]!BexGetData("DP_1","00O2TNJGODT0G5Z4TTKYMM5MT","GSON1112151421")</f>
        <v>#NAME?</v>
      </c>
      <c r="R1658" s="4" t="e">
        <f ca="1">[1]!BexGetData("DP_1","00O2TNJGODT0G5Z4TTKYMMBYD","GSON1112151421")</f>
        <v>#NAME?</v>
      </c>
      <c r="S1658" s="4" t="e">
        <f ca="1">[1]!BexGetData("DP_1","00O2TNJGODT0G5Z4TTKYMMI9X","GSON1112151421")</f>
        <v>#NAME?</v>
      </c>
      <c r="T1658" s="4" t="e">
        <f ca="1">[1]!BexGetData("DP_1","00O2TNJGODT0G5Z4TTKYMMOLH","GSON1112151421")</f>
        <v>#NAME?</v>
      </c>
      <c r="U1658" s="4" t="e">
        <f ca="1">[1]!BexGetData("DP_1","00O2TNJGODT0G5Z4TTKYMMUX1","GSON1112151421")</f>
        <v>#NAME?</v>
      </c>
      <c r="V1658" s="4" t="e">
        <f ca="1">[1]!BexGetData("DP_1","00O2TNJGODT0G5Z4TTKYMN18L","GSON1112151421")</f>
        <v>#NAME?</v>
      </c>
      <c r="W1658" s="4" t="e">
        <f ca="1">[1]!BexGetData("DP_1","00O2TNJGODT0G5Z4TTKYMN7K5","GSON1112151421")</f>
        <v>#NAME?</v>
      </c>
    </row>
    <row r="1659" spans="1:23" x14ac:dyDescent="0.2">
      <c r="A1659" s="16" t="s">
        <v>4257</v>
      </c>
      <c r="B1659" s="7" t="s">
        <v>4258</v>
      </c>
      <c r="C1659" s="3" t="e">
        <f ca="1">[1]!BexGetData("DP_1","003N8EMH8GTFRCSWKMPXRR8GU","GSON1112151423")</f>
        <v>#NAME?</v>
      </c>
      <c r="D1659" s="3" t="e">
        <f ca="1">[1]!BexGetData("DP_1","003N8EMH8GTFRCSWKMPXRRESE","GSON1112151423")</f>
        <v>#NAME?</v>
      </c>
      <c r="E1659" s="8" t="e">
        <f ca="1">[1]!BexGetData("DP_1","003N8EMH8GTFRCSWKMPXRRL3Y","GSON1112151423")</f>
        <v>#NAME?</v>
      </c>
      <c r="F1659" s="4" t="e">
        <f ca="1">[1]!BexGetData("DP_1","003N8EMH8GTFRCSWKMPXRRRFI","GSON1112151423")</f>
        <v>#NAME?</v>
      </c>
      <c r="G1659" s="4" t="e">
        <f ca="1">[1]!BexGetData("DP_1","003N8EMH8GTFRCSWKMPXRRXR2","GSON1112151423")</f>
        <v>#NAME?</v>
      </c>
      <c r="H1659" s="4" t="e">
        <f ca="1">[1]!BexGetData("DP_1","003N8EMH8GTFRCSWKMPXRS42M","GSON1112151423")</f>
        <v>#NAME?</v>
      </c>
      <c r="I1659" s="4" t="e">
        <f ca="1">[1]!BexGetData("DP_1","003N8EMH8GTFRCSWKMPXRSAE6","GSON1112151423")</f>
        <v>#NAME?</v>
      </c>
      <c r="J1659" s="4" t="e">
        <f ca="1">[1]!BexGetData("DP_1","003N8EMH8GTFRCSWKMPXRSGPQ","GSON1112151423")</f>
        <v>#NAME?</v>
      </c>
      <c r="K1659" s="8" t="e">
        <f ca="1">[1]!BexGetData("DP_1","003N8EMH8GTFRIVNUPY288VJH","GSON1112151423")</f>
        <v>#NAME?</v>
      </c>
      <c r="L1659" s="8" t="e">
        <f ca="1">[1]!BexGetData("DP_1","003N8EMH8GTFRIVNUPY2891V1","GSON1112151423")</f>
        <v>#NAME?</v>
      </c>
      <c r="M1659" s="8" t="e">
        <f ca="1">[1]!BexGetData("DP_1","003N8EMH8GTFRIVOG7KG9IQXA","GSON1112151423")</f>
        <v>#NAME?</v>
      </c>
      <c r="N1659" s="8" t="e">
        <f ca="1">[1]!BexGetData("DP_1","003N8EMH8GTFRIVOG7KG9IX8U","GSON1112151423")</f>
        <v>#NAME?</v>
      </c>
      <c r="O1659" s="8" t="e">
        <f ca="1">[1]!BexGetData("DP_1","003N8EMH8GTFRIVOG7KG9J3KE","GSON1112151423")</f>
        <v>#NAME?</v>
      </c>
      <c r="P1659" s="8" t="e">
        <f ca="1">[1]!BexGetData("DP_1","003N8EMH8GTFRIVOG7KG9J9VY","GSON1112151423")</f>
        <v>#NAME?</v>
      </c>
      <c r="Q1659" s="4" t="e">
        <f ca="1">[1]!BexGetData("DP_1","00O2TNJGODT0G5Z4TTKYMM5MT","GSON1112151423")</f>
        <v>#NAME?</v>
      </c>
      <c r="R1659" s="4" t="e">
        <f ca="1">[1]!BexGetData("DP_1","00O2TNJGODT0G5Z4TTKYMMBYD","GSON1112151423")</f>
        <v>#NAME?</v>
      </c>
      <c r="S1659" s="4" t="e">
        <f ca="1">[1]!BexGetData("DP_1","00O2TNJGODT0G5Z4TTKYMMI9X","GSON1112151423")</f>
        <v>#NAME?</v>
      </c>
      <c r="T1659" s="4" t="e">
        <f ca="1">[1]!BexGetData("DP_1","00O2TNJGODT0G5Z4TTKYMMOLH","GSON1112151423")</f>
        <v>#NAME?</v>
      </c>
      <c r="U1659" s="4" t="e">
        <f ca="1">[1]!BexGetData("DP_1","00O2TNJGODT0G5Z4TTKYMMUX1","GSON1112151423")</f>
        <v>#NAME?</v>
      </c>
      <c r="V1659" s="4" t="e">
        <f ca="1">[1]!BexGetData("DP_1","00O2TNJGODT0G5Z4TTKYMN18L","GSON1112151423")</f>
        <v>#NAME?</v>
      </c>
      <c r="W1659" s="4" t="e">
        <f ca="1">[1]!BexGetData("DP_1","00O2TNJGODT0G5Z4TTKYMN7K5","GSON1112151423")</f>
        <v>#NAME?</v>
      </c>
    </row>
    <row r="1660" spans="1:23" x14ac:dyDescent="0.2">
      <c r="A1660" s="16" t="s">
        <v>4259</v>
      </c>
      <c r="B1660" s="7" t="s">
        <v>4260</v>
      </c>
      <c r="C1660" s="3" t="e">
        <f ca="1">[1]!BexGetData("DP_1","003N8EMH8GTFRCSWKMPXRR8GU","GSON1112151424")</f>
        <v>#NAME?</v>
      </c>
      <c r="D1660" s="3" t="e">
        <f ca="1">[1]!BexGetData("DP_1","003N8EMH8GTFRCSWKMPXRRESE","GSON1112151424")</f>
        <v>#NAME?</v>
      </c>
      <c r="E1660" s="8" t="e">
        <f ca="1">[1]!BexGetData("DP_1","003N8EMH8GTFRCSWKMPXRRL3Y","GSON1112151424")</f>
        <v>#NAME?</v>
      </c>
      <c r="F1660" s="4" t="e">
        <f ca="1">[1]!BexGetData("DP_1","003N8EMH8GTFRCSWKMPXRRRFI","GSON1112151424")</f>
        <v>#NAME?</v>
      </c>
      <c r="G1660" s="4" t="e">
        <f ca="1">[1]!BexGetData("DP_1","003N8EMH8GTFRCSWKMPXRRXR2","GSON1112151424")</f>
        <v>#NAME?</v>
      </c>
      <c r="H1660" s="4" t="e">
        <f ca="1">[1]!BexGetData("DP_1","003N8EMH8GTFRCSWKMPXRS42M","GSON1112151424")</f>
        <v>#NAME?</v>
      </c>
      <c r="I1660" s="4" t="e">
        <f ca="1">[1]!BexGetData("DP_1","003N8EMH8GTFRCSWKMPXRSAE6","GSON1112151424")</f>
        <v>#NAME?</v>
      </c>
      <c r="J1660" s="4" t="e">
        <f ca="1">[1]!BexGetData("DP_1","003N8EMH8GTFRCSWKMPXRSGPQ","GSON1112151424")</f>
        <v>#NAME?</v>
      </c>
      <c r="K1660" s="8" t="e">
        <f ca="1">[1]!BexGetData("DP_1","003N8EMH8GTFRIVNUPY288VJH","GSON1112151424")</f>
        <v>#NAME?</v>
      </c>
      <c r="L1660" s="8" t="e">
        <f ca="1">[1]!BexGetData("DP_1","003N8EMH8GTFRIVNUPY2891V1","GSON1112151424")</f>
        <v>#NAME?</v>
      </c>
      <c r="M1660" s="8" t="e">
        <f ca="1">[1]!BexGetData("DP_1","003N8EMH8GTFRIVOG7KG9IQXA","GSON1112151424")</f>
        <v>#NAME?</v>
      </c>
      <c r="N1660" s="8" t="e">
        <f ca="1">[1]!BexGetData("DP_1","003N8EMH8GTFRIVOG7KG9IX8U","GSON1112151424")</f>
        <v>#NAME?</v>
      </c>
      <c r="O1660" s="8" t="e">
        <f ca="1">[1]!BexGetData("DP_1","003N8EMH8GTFRIVOG7KG9J3KE","GSON1112151424")</f>
        <v>#NAME?</v>
      </c>
      <c r="P1660" s="8" t="e">
        <f ca="1">[1]!BexGetData("DP_1","003N8EMH8GTFRIVOG7KG9J9VY","GSON1112151424")</f>
        <v>#NAME?</v>
      </c>
      <c r="Q1660" s="4" t="e">
        <f ca="1">[1]!BexGetData("DP_1","00O2TNJGODT0G5Z4TTKYMM5MT","GSON1112151424")</f>
        <v>#NAME?</v>
      </c>
      <c r="R1660" s="4" t="e">
        <f ca="1">[1]!BexGetData("DP_1","00O2TNJGODT0G5Z4TTKYMMBYD","GSON1112151424")</f>
        <v>#NAME?</v>
      </c>
      <c r="S1660" s="4" t="e">
        <f ca="1">[1]!BexGetData("DP_1","00O2TNJGODT0G5Z4TTKYMMI9X","GSON1112151424")</f>
        <v>#NAME?</v>
      </c>
      <c r="T1660" s="4" t="e">
        <f ca="1">[1]!BexGetData("DP_1","00O2TNJGODT0G5Z4TTKYMMOLH","GSON1112151424")</f>
        <v>#NAME?</v>
      </c>
      <c r="U1660" s="4" t="e">
        <f ca="1">[1]!BexGetData("DP_1","00O2TNJGODT0G5Z4TTKYMMUX1","GSON1112151424")</f>
        <v>#NAME?</v>
      </c>
      <c r="V1660" s="4" t="e">
        <f ca="1">[1]!BexGetData("DP_1","00O2TNJGODT0G5Z4TTKYMN18L","GSON1112151424")</f>
        <v>#NAME?</v>
      </c>
      <c r="W1660" s="4" t="e">
        <f ca="1">[1]!BexGetData("DP_1","00O2TNJGODT0G5Z4TTKYMN7K5","GSON1112151424")</f>
        <v>#NAME?</v>
      </c>
    </row>
    <row r="1661" spans="1:23" x14ac:dyDescent="0.2">
      <c r="A1661" s="16" t="s">
        <v>4261</v>
      </c>
      <c r="B1661" s="7" t="s">
        <v>4262</v>
      </c>
      <c r="C1661" s="3" t="e">
        <f ca="1">[1]!BexGetData("DP_1","003N8EMH8GTFRCSWKMPXRR8GU","GSON1112151425")</f>
        <v>#NAME?</v>
      </c>
      <c r="D1661" s="3" t="e">
        <f ca="1">[1]!BexGetData("DP_1","003N8EMH8GTFRCSWKMPXRRESE","GSON1112151425")</f>
        <v>#NAME?</v>
      </c>
      <c r="E1661" s="8" t="e">
        <f ca="1">[1]!BexGetData("DP_1","003N8EMH8GTFRCSWKMPXRRL3Y","GSON1112151425")</f>
        <v>#NAME?</v>
      </c>
      <c r="F1661" s="4" t="e">
        <f ca="1">[1]!BexGetData("DP_1","003N8EMH8GTFRCSWKMPXRRRFI","GSON1112151425")</f>
        <v>#NAME?</v>
      </c>
      <c r="G1661" s="4" t="e">
        <f ca="1">[1]!BexGetData("DP_1","003N8EMH8GTFRCSWKMPXRRXR2","GSON1112151425")</f>
        <v>#NAME?</v>
      </c>
      <c r="H1661" s="4" t="e">
        <f ca="1">[1]!BexGetData("DP_1","003N8EMH8GTFRCSWKMPXRS42M","GSON1112151425")</f>
        <v>#NAME?</v>
      </c>
      <c r="I1661" s="4" t="e">
        <f ca="1">[1]!BexGetData("DP_1","003N8EMH8GTFRCSWKMPXRSAE6","GSON1112151425")</f>
        <v>#NAME?</v>
      </c>
      <c r="J1661" s="4" t="e">
        <f ca="1">[1]!BexGetData("DP_1","003N8EMH8GTFRCSWKMPXRSGPQ","GSON1112151425")</f>
        <v>#NAME?</v>
      </c>
      <c r="K1661" s="8" t="e">
        <f ca="1">[1]!BexGetData("DP_1","003N8EMH8GTFRIVNUPY288VJH","GSON1112151425")</f>
        <v>#NAME?</v>
      </c>
      <c r="L1661" s="8" t="e">
        <f ca="1">[1]!BexGetData("DP_1","003N8EMH8GTFRIVNUPY2891V1","GSON1112151425")</f>
        <v>#NAME?</v>
      </c>
      <c r="M1661" s="8" t="e">
        <f ca="1">[1]!BexGetData("DP_1","003N8EMH8GTFRIVOG7KG9IQXA","GSON1112151425")</f>
        <v>#NAME?</v>
      </c>
      <c r="N1661" s="8" t="e">
        <f ca="1">[1]!BexGetData("DP_1","003N8EMH8GTFRIVOG7KG9IX8U","GSON1112151425")</f>
        <v>#NAME?</v>
      </c>
      <c r="O1661" s="8" t="e">
        <f ca="1">[1]!BexGetData("DP_1","003N8EMH8GTFRIVOG7KG9J3KE","GSON1112151425")</f>
        <v>#NAME?</v>
      </c>
      <c r="P1661" s="8" t="e">
        <f ca="1">[1]!BexGetData("DP_1","003N8EMH8GTFRIVOG7KG9J9VY","GSON1112151425")</f>
        <v>#NAME?</v>
      </c>
      <c r="Q1661" s="4" t="e">
        <f ca="1">[1]!BexGetData("DP_1","00O2TNJGODT0G5Z4TTKYMM5MT","GSON1112151425")</f>
        <v>#NAME?</v>
      </c>
      <c r="R1661" s="4" t="e">
        <f ca="1">[1]!BexGetData("DP_1","00O2TNJGODT0G5Z4TTKYMMBYD","GSON1112151425")</f>
        <v>#NAME?</v>
      </c>
      <c r="S1661" s="4" t="e">
        <f ca="1">[1]!BexGetData("DP_1","00O2TNJGODT0G5Z4TTKYMMI9X","GSON1112151425")</f>
        <v>#NAME?</v>
      </c>
      <c r="T1661" s="4" t="e">
        <f ca="1">[1]!BexGetData("DP_1","00O2TNJGODT0G5Z4TTKYMMOLH","GSON1112151425")</f>
        <v>#NAME?</v>
      </c>
      <c r="U1661" s="4" t="e">
        <f ca="1">[1]!BexGetData("DP_1","00O2TNJGODT0G5Z4TTKYMMUX1","GSON1112151425")</f>
        <v>#NAME?</v>
      </c>
      <c r="V1661" s="4" t="e">
        <f ca="1">[1]!BexGetData("DP_1","00O2TNJGODT0G5Z4TTKYMN18L","GSON1112151425")</f>
        <v>#NAME?</v>
      </c>
      <c r="W1661" s="4" t="e">
        <f ca="1">[1]!BexGetData("DP_1","00O2TNJGODT0G5Z4TTKYMN7K5","GSON1112151425")</f>
        <v>#NAME?</v>
      </c>
    </row>
    <row r="1662" spans="1:23" x14ac:dyDescent="0.2">
      <c r="A1662" s="16" t="s">
        <v>4263</v>
      </c>
      <c r="B1662" s="7" t="s">
        <v>4264</v>
      </c>
      <c r="C1662" s="3" t="e">
        <f ca="1">[1]!BexGetData("DP_1","003N8EMH8GTFRCSWKMPXRR8GU","GSON1112151430")</f>
        <v>#NAME?</v>
      </c>
      <c r="D1662" s="3" t="e">
        <f ca="1">[1]!BexGetData("DP_1","003N8EMH8GTFRCSWKMPXRRESE","GSON1112151430")</f>
        <v>#NAME?</v>
      </c>
      <c r="E1662" s="3" t="e">
        <f ca="1">[1]!BexGetData("DP_1","003N8EMH8GTFRCSWKMPXRRL3Y","GSON1112151430")</f>
        <v>#NAME?</v>
      </c>
      <c r="F1662" s="4" t="e">
        <f ca="1">[1]!BexGetData("DP_1","003N8EMH8GTFRCSWKMPXRRRFI","GSON1112151430")</f>
        <v>#NAME?</v>
      </c>
      <c r="G1662" s="4" t="e">
        <f ca="1">[1]!BexGetData("DP_1","003N8EMH8GTFRCSWKMPXRRXR2","GSON1112151430")</f>
        <v>#NAME?</v>
      </c>
      <c r="H1662" s="4" t="e">
        <f ca="1">[1]!BexGetData("DP_1","003N8EMH8GTFRCSWKMPXRS42M","GSON1112151430")</f>
        <v>#NAME?</v>
      </c>
      <c r="I1662" s="4" t="e">
        <f ca="1">[1]!BexGetData("DP_1","003N8EMH8GTFRCSWKMPXRSAE6","GSON1112151430")</f>
        <v>#NAME?</v>
      </c>
      <c r="J1662" s="4" t="e">
        <f ca="1">[1]!BexGetData("DP_1","003N8EMH8GTFRCSWKMPXRSGPQ","GSON1112151430")</f>
        <v>#NAME?</v>
      </c>
      <c r="K1662" s="3" t="e">
        <f ca="1">[1]!BexGetData("DP_1","003N8EMH8GTFRIVNUPY288VJH","GSON1112151430")</f>
        <v>#NAME?</v>
      </c>
      <c r="L1662" s="3" t="e">
        <f ca="1">[1]!BexGetData("DP_1","003N8EMH8GTFRIVNUPY2891V1","GSON1112151430")</f>
        <v>#NAME?</v>
      </c>
      <c r="M1662" s="8" t="e">
        <f ca="1">[1]!BexGetData("DP_1","003N8EMH8GTFRIVOG7KG9IQXA","GSON1112151430")</f>
        <v>#NAME?</v>
      </c>
      <c r="N1662" s="3" t="e">
        <f ca="1">[1]!BexGetData("DP_1","003N8EMH8GTFRIVOG7KG9IX8U","GSON1112151430")</f>
        <v>#NAME?</v>
      </c>
      <c r="O1662" s="8" t="e">
        <f ca="1">[1]!BexGetData("DP_1","003N8EMH8GTFRIVOG7KG9J3KE","GSON1112151430")</f>
        <v>#NAME?</v>
      </c>
      <c r="P1662" s="3" t="e">
        <f ca="1">[1]!BexGetData("DP_1","003N8EMH8GTFRIVOG7KG9J9VY","GSON1112151430")</f>
        <v>#NAME?</v>
      </c>
      <c r="Q1662" s="4" t="e">
        <f ca="1">[1]!BexGetData("DP_1","00O2TNJGODT0G5Z4TTKYMM5MT","GSON1112151430")</f>
        <v>#NAME?</v>
      </c>
      <c r="R1662" s="4" t="e">
        <f ca="1">[1]!BexGetData("DP_1","00O2TNJGODT0G5Z4TTKYMMBYD","GSON1112151430")</f>
        <v>#NAME?</v>
      </c>
      <c r="S1662" s="4" t="e">
        <f ca="1">[1]!BexGetData("DP_1","00O2TNJGODT0G5Z4TTKYMMI9X","GSON1112151430")</f>
        <v>#NAME?</v>
      </c>
      <c r="T1662" s="4" t="e">
        <f ca="1">[1]!BexGetData("DP_1","00O2TNJGODT0G5Z4TTKYMMOLH","GSON1112151430")</f>
        <v>#NAME?</v>
      </c>
      <c r="U1662" s="4" t="e">
        <f ca="1">[1]!BexGetData("DP_1","00O2TNJGODT0G5Z4TTKYMMUX1","GSON1112151430")</f>
        <v>#NAME?</v>
      </c>
      <c r="V1662" s="4" t="e">
        <f ca="1">[1]!BexGetData("DP_1","00O2TNJGODT0G5Z4TTKYMN18L","GSON1112151430")</f>
        <v>#NAME?</v>
      </c>
      <c r="W1662" s="4" t="e">
        <f ca="1">[1]!BexGetData("DP_1","00O2TNJGODT0G5Z4TTKYMN7K5","GSON1112151430")</f>
        <v>#NAME?</v>
      </c>
    </row>
    <row r="1663" spans="1:23" x14ac:dyDescent="0.2">
      <c r="A1663" s="16" t="s">
        <v>4265</v>
      </c>
      <c r="B1663" s="7" t="s">
        <v>4266</v>
      </c>
      <c r="C1663" s="3" t="e">
        <f ca="1">[1]!BexGetData("DP_1","003N8EMH8GTFRCSWKMPXRR8GU","GSON1112151431")</f>
        <v>#NAME?</v>
      </c>
      <c r="D1663" s="3" t="e">
        <f ca="1">[1]!BexGetData("DP_1","003N8EMH8GTFRCSWKMPXRRESE","GSON1112151431")</f>
        <v>#NAME?</v>
      </c>
      <c r="E1663" s="8" t="e">
        <f ca="1">[1]!BexGetData("DP_1","003N8EMH8GTFRCSWKMPXRRL3Y","GSON1112151431")</f>
        <v>#NAME?</v>
      </c>
      <c r="F1663" s="4" t="e">
        <f ca="1">[1]!BexGetData("DP_1","003N8EMH8GTFRCSWKMPXRRRFI","GSON1112151431")</f>
        <v>#NAME?</v>
      </c>
      <c r="G1663" s="4" t="e">
        <f ca="1">[1]!BexGetData("DP_1","003N8EMH8GTFRCSWKMPXRRXR2","GSON1112151431")</f>
        <v>#NAME?</v>
      </c>
      <c r="H1663" s="4" t="e">
        <f ca="1">[1]!BexGetData("DP_1","003N8EMH8GTFRCSWKMPXRS42M","GSON1112151431")</f>
        <v>#NAME?</v>
      </c>
      <c r="I1663" s="4" t="e">
        <f ca="1">[1]!BexGetData("DP_1","003N8EMH8GTFRCSWKMPXRSAE6","GSON1112151431")</f>
        <v>#NAME?</v>
      </c>
      <c r="J1663" s="4" t="e">
        <f ca="1">[1]!BexGetData("DP_1","003N8EMH8GTFRCSWKMPXRSGPQ","GSON1112151431")</f>
        <v>#NAME?</v>
      </c>
      <c r="K1663" s="8" t="e">
        <f ca="1">[1]!BexGetData("DP_1","003N8EMH8GTFRIVNUPY288VJH","GSON1112151431")</f>
        <v>#NAME?</v>
      </c>
      <c r="L1663" s="8" t="e">
        <f ca="1">[1]!BexGetData("DP_1","003N8EMH8GTFRIVNUPY2891V1","GSON1112151431")</f>
        <v>#NAME?</v>
      </c>
      <c r="M1663" s="8" t="e">
        <f ca="1">[1]!BexGetData("DP_1","003N8EMH8GTFRIVOG7KG9IQXA","GSON1112151431")</f>
        <v>#NAME?</v>
      </c>
      <c r="N1663" s="8" t="e">
        <f ca="1">[1]!BexGetData("DP_1","003N8EMH8GTFRIVOG7KG9IX8U","GSON1112151431")</f>
        <v>#NAME?</v>
      </c>
      <c r="O1663" s="8" t="e">
        <f ca="1">[1]!BexGetData("DP_1","003N8EMH8GTFRIVOG7KG9J3KE","GSON1112151431")</f>
        <v>#NAME?</v>
      </c>
      <c r="P1663" s="8" t="e">
        <f ca="1">[1]!BexGetData("DP_1","003N8EMH8GTFRIVOG7KG9J9VY","GSON1112151431")</f>
        <v>#NAME?</v>
      </c>
      <c r="Q1663" s="4" t="e">
        <f ca="1">[1]!BexGetData("DP_1","00O2TNJGODT0G5Z4TTKYMM5MT","GSON1112151431")</f>
        <v>#NAME?</v>
      </c>
      <c r="R1663" s="4" t="e">
        <f ca="1">[1]!BexGetData("DP_1","00O2TNJGODT0G5Z4TTKYMMBYD","GSON1112151431")</f>
        <v>#NAME?</v>
      </c>
      <c r="S1663" s="4" t="e">
        <f ca="1">[1]!BexGetData("DP_1","00O2TNJGODT0G5Z4TTKYMMI9X","GSON1112151431")</f>
        <v>#NAME?</v>
      </c>
      <c r="T1663" s="4" t="e">
        <f ca="1">[1]!BexGetData("DP_1","00O2TNJGODT0G5Z4TTKYMMOLH","GSON1112151431")</f>
        <v>#NAME?</v>
      </c>
      <c r="U1663" s="4" t="e">
        <f ca="1">[1]!BexGetData("DP_1","00O2TNJGODT0G5Z4TTKYMMUX1","GSON1112151431")</f>
        <v>#NAME?</v>
      </c>
      <c r="V1663" s="4" t="e">
        <f ca="1">[1]!BexGetData("DP_1","00O2TNJGODT0G5Z4TTKYMN18L","GSON1112151431")</f>
        <v>#NAME?</v>
      </c>
      <c r="W1663" s="4" t="e">
        <f ca="1">[1]!BexGetData("DP_1","00O2TNJGODT0G5Z4TTKYMN7K5","GSON1112151431")</f>
        <v>#NAME?</v>
      </c>
    </row>
    <row r="1664" spans="1:23" x14ac:dyDescent="0.2">
      <c r="A1664" s="16" t="s">
        <v>4267</v>
      </c>
      <c r="B1664" s="7" t="s">
        <v>4268</v>
      </c>
      <c r="C1664" s="3" t="e">
        <f ca="1">[1]!BexGetData("DP_1","003N8EMH8GTFRCSWKMPXRR8GU","GSON1112151433")</f>
        <v>#NAME?</v>
      </c>
      <c r="D1664" s="3" t="e">
        <f ca="1">[1]!BexGetData("DP_1","003N8EMH8GTFRCSWKMPXRRESE","GSON1112151433")</f>
        <v>#NAME?</v>
      </c>
      <c r="E1664" s="8" t="e">
        <f ca="1">[1]!BexGetData("DP_1","003N8EMH8GTFRCSWKMPXRRL3Y","GSON1112151433")</f>
        <v>#NAME?</v>
      </c>
      <c r="F1664" s="4" t="e">
        <f ca="1">[1]!BexGetData("DP_1","003N8EMH8GTFRCSWKMPXRRRFI","GSON1112151433")</f>
        <v>#NAME?</v>
      </c>
      <c r="G1664" s="4" t="e">
        <f ca="1">[1]!BexGetData("DP_1","003N8EMH8GTFRCSWKMPXRRXR2","GSON1112151433")</f>
        <v>#NAME?</v>
      </c>
      <c r="H1664" s="4" t="e">
        <f ca="1">[1]!BexGetData("DP_1","003N8EMH8GTFRCSWKMPXRS42M","GSON1112151433")</f>
        <v>#NAME?</v>
      </c>
      <c r="I1664" s="4" t="e">
        <f ca="1">[1]!BexGetData("DP_1","003N8EMH8GTFRCSWKMPXRSAE6","GSON1112151433")</f>
        <v>#NAME?</v>
      </c>
      <c r="J1664" s="4" t="e">
        <f ca="1">[1]!BexGetData("DP_1","003N8EMH8GTFRCSWKMPXRSGPQ","GSON1112151433")</f>
        <v>#NAME?</v>
      </c>
      <c r="K1664" s="8" t="e">
        <f ca="1">[1]!BexGetData("DP_1","003N8EMH8GTFRIVNUPY288VJH","GSON1112151433")</f>
        <v>#NAME?</v>
      </c>
      <c r="L1664" s="8" t="e">
        <f ca="1">[1]!BexGetData("DP_1","003N8EMH8GTFRIVNUPY2891V1","GSON1112151433")</f>
        <v>#NAME?</v>
      </c>
      <c r="M1664" s="8" t="e">
        <f ca="1">[1]!BexGetData("DP_1","003N8EMH8GTFRIVOG7KG9IQXA","GSON1112151433")</f>
        <v>#NAME?</v>
      </c>
      <c r="N1664" s="8" t="e">
        <f ca="1">[1]!BexGetData("DP_1","003N8EMH8GTFRIVOG7KG9IX8U","GSON1112151433")</f>
        <v>#NAME?</v>
      </c>
      <c r="O1664" s="8" t="e">
        <f ca="1">[1]!BexGetData("DP_1","003N8EMH8GTFRIVOG7KG9J3KE","GSON1112151433")</f>
        <v>#NAME?</v>
      </c>
      <c r="P1664" s="8" t="e">
        <f ca="1">[1]!BexGetData("DP_1","003N8EMH8GTFRIVOG7KG9J9VY","GSON1112151433")</f>
        <v>#NAME?</v>
      </c>
      <c r="Q1664" s="4" t="e">
        <f ca="1">[1]!BexGetData("DP_1","00O2TNJGODT0G5Z4TTKYMM5MT","GSON1112151433")</f>
        <v>#NAME?</v>
      </c>
      <c r="R1664" s="4" t="e">
        <f ca="1">[1]!BexGetData("DP_1","00O2TNJGODT0G5Z4TTKYMMBYD","GSON1112151433")</f>
        <v>#NAME?</v>
      </c>
      <c r="S1664" s="4" t="e">
        <f ca="1">[1]!BexGetData("DP_1","00O2TNJGODT0G5Z4TTKYMMI9X","GSON1112151433")</f>
        <v>#NAME?</v>
      </c>
      <c r="T1664" s="4" t="e">
        <f ca="1">[1]!BexGetData("DP_1","00O2TNJGODT0G5Z4TTKYMMOLH","GSON1112151433")</f>
        <v>#NAME?</v>
      </c>
      <c r="U1664" s="4" t="e">
        <f ca="1">[1]!BexGetData("DP_1","00O2TNJGODT0G5Z4TTKYMMUX1","GSON1112151433")</f>
        <v>#NAME?</v>
      </c>
      <c r="V1664" s="4" t="e">
        <f ca="1">[1]!BexGetData("DP_1","00O2TNJGODT0G5Z4TTKYMN18L","GSON1112151433")</f>
        <v>#NAME?</v>
      </c>
      <c r="W1664" s="4" t="e">
        <f ca="1">[1]!BexGetData("DP_1","00O2TNJGODT0G5Z4TTKYMN7K5","GSON1112151433")</f>
        <v>#NAME?</v>
      </c>
    </row>
    <row r="1665" spans="1:23" x14ac:dyDescent="0.2">
      <c r="A1665" s="16" t="s">
        <v>4269</v>
      </c>
      <c r="B1665" s="7" t="s">
        <v>4270</v>
      </c>
      <c r="C1665" s="3" t="e">
        <f ca="1">[1]!BexGetData("DP_1","003N8EMH8GTFRCSWKMPXRR8GU","GSON1112151434")</f>
        <v>#NAME?</v>
      </c>
      <c r="D1665" s="3" t="e">
        <f ca="1">[1]!BexGetData("DP_1","003N8EMH8GTFRCSWKMPXRRESE","GSON1112151434")</f>
        <v>#NAME?</v>
      </c>
      <c r="E1665" s="8" t="e">
        <f ca="1">[1]!BexGetData("DP_1","003N8EMH8GTFRCSWKMPXRRL3Y","GSON1112151434")</f>
        <v>#NAME?</v>
      </c>
      <c r="F1665" s="4" t="e">
        <f ca="1">[1]!BexGetData("DP_1","003N8EMH8GTFRCSWKMPXRRRFI","GSON1112151434")</f>
        <v>#NAME?</v>
      </c>
      <c r="G1665" s="4" t="e">
        <f ca="1">[1]!BexGetData("DP_1","003N8EMH8GTFRCSWKMPXRRXR2","GSON1112151434")</f>
        <v>#NAME?</v>
      </c>
      <c r="H1665" s="4" t="e">
        <f ca="1">[1]!BexGetData("DP_1","003N8EMH8GTFRCSWKMPXRS42M","GSON1112151434")</f>
        <v>#NAME?</v>
      </c>
      <c r="I1665" s="4" t="e">
        <f ca="1">[1]!BexGetData("DP_1","003N8EMH8GTFRCSWKMPXRSAE6","GSON1112151434")</f>
        <v>#NAME?</v>
      </c>
      <c r="J1665" s="4" t="e">
        <f ca="1">[1]!BexGetData("DP_1","003N8EMH8GTFRCSWKMPXRSGPQ","GSON1112151434")</f>
        <v>#NAME?</v>
      </c>
      <c r="K1665" s="8" t="e">
        <f ca="1">[1]!BexGetData("DP_1","003N8EMH8GTFRIVNUPY288VJH","GSON1112151434")</f>
        <v>#NAME?</v>
      </c>
      <c r="L1665" s="8" t="e">
        <f ca="1">[1]!BexGetData("DP_1","003N8EMH8GTFRIVNUPY2891V1","GSON1112151434")</f>
        <v>#NAME?</v>
      </c>
      <c r="M1665" s="8" t="e">
        <f ca="1">[1]!BexGetData("DP_1","003N8EMH8GTFRIVOG7KG9IQXA","GSON1112151434")</f>
        <v>#NAME?</v>
      </c>
      <c r="N1665" s="8" t="e">
        <f ca="1">[1]!BexGetData("DP_1","003N8EMH8GTFRIVOG7KG9IX8U","GSON1112151434")</f>
        <v>#NAME?</v>
      </c>
      <c r="O1665" s="8" t="e">
        <f ca="1">[1]!BexGetData("DP_1","003N8EMH8GTFRIVOG7KG9J3KE","GSON1112151434")</f>
        <v>#NAME?</v>
      </c>
      <c r="P1665" s="8" t="e">
        <f ca="1">[1]!BexGetData("DP_1","003N8EMH8GTFRIVOG7KG9J9VY","GSON1112151434")</f>
        <v>#NAME?</v>
      </c>
      <c r="Q1665" s="4" t="e">
        <f ca="1">[1]!BexGetData("DP_1","00O2TNJGODT0G5Z4TTKYMM5MT","GSON1112151434")</f>
        <v>#NAME?</v>
      </c>
      <c r="R1665" s="4" t="e">
        <f ca="1">[1]!BexGetData("DP_1","00O2TNJGODT0G5Z4TTKYMMBYD","GSON1112151434")</f>
        <v>#NAME?</v>
      </c>
      <c r="S1665" s="4" t="e">
        <f ca="1">[1]!BexGetData("DP_1","00O2TNJGODT0G5Z4TTKYMMI9X","GSON1112151434")</f>
        <v>#NAME?</v>
      </c>
      <c r="T1665" s="4" t="e">
        <f ca="1">[1]!BexGetData("DP_1","00O2TNJGODT0G5Z4TTKYMMOLH","GSON1112151434")</f>
        <v>#NAME?</v>
      </c>
      <c r="U1665" s="4" t="e">
        <f ca="1">[1]!BexGetData("DP_1","00O2TNJGODT0G5Z4TTKYMMUX1","GSON1112151434")</f>
        <v>#NAME?</v>
      </c>
      <c r="V1665" s="4" t="e">
        <f ca="1">[1]!BexGetData("DP_1","00O2TNJGODT0G5Z4TTKYMN18L","GSON1112151434")</f>
        <v>#NAME?</v>
      </c>
      <c r="W1665" s="4" t="e">
        <f ca="1">[1]!BexGetData("DP_1","00O2TNJGODT0G5Z4TTKYMN7K5","GSON1112151434")</f>
        <v>#NAME?</v>
      </c>
    </row>
    <row r="1666" spans="1:23" x14ac:dyDescent="0.2">
      <c r="A1666" s="16" t="s">
        <v>4271</v>
      </c>
      <c r="B1666" s="7" t="s">
        <v>4272</v>
      </c>
      <c r="C1666" s="3" t="e">
        <f ca="1">[1]!BexGetData("DP_1","003N8EMH8GTFRCSWKMPXRR8GU","GSON1112151435")</f>
        <v>#NAME?</v>
      </c>
      <c r="D1666" s="3" t="e">
        <f ca="1">[1]!BexGetData("DP_1","003N8EMH8GTFRCSWKMPXRRESE","GSON1112151435")</f>
        <v>#NAME?</v>
      </c>
      <c r="E1666" s="8" t="e">
        <f ca="1">[1]!BexGetData("DP_1","003N8EMH8GTFRCSWKMPXRRL3Y","GSON1112151435")</f>
        <v>#NAME?</v>
      </c>
      <c r="F1666" s="4" t="e">
        <f ca="1">[1]!BexGetData("DP_1","003N8EMH8GTFRCSWKMPXRRRFI","GSON1112151435")</f>
        <v>#NAME?</v>
      </c>
      <c r="G1666" s="4" t="e">
        <f ca="1">[1]!BexGetData("DP_1","003N8EMH8GTFRCSWKMPXRRXR2","GSON1112151435")</f>
        <v>#NAME?</v>
      </c>
      <c r="H1666" s="4" t="e">
        <f ca="1">[1]!BexGetData("DP_1","003N8EMH8GTFRCSWKMPXRS42M","GSON1112151435")</f>
        <v>#NAME?</v>
      </c>
      <c r="I1666" s="4" t="e">
        <f ca="1">[1]!BexGetData("DP_1","003N8EMH8GTFRCSWKMPXRSAE6","GSON1112151435")</f>
        <v>#NAME?</v>
      </c>
      <c r="J1666" s="4" t="e">
        <f ca="1">[1]!BexGetData("DP_1","003N8EMH8GTFRCSWKMPXRSGPQ","GSON1112151435")</f>
        <v>#NAME?</v>
      </c>
      <c r="K1666" s="8" t="e">
        <f ca="1">[1]!BexGetData("DP_1","003N8EMH8GTFRIVNUPY288VJH","GSON1112151435")</f>
        <v>#NAME?</v>
      </c>
      <c r="L1666" s="8" t="e">
        <f ca="1">[1]!BexGetData("DP_1","003N8EMH8GTFRIVNUPY2891V1","GSON1112151435")</f>
        <v>#NAME?</v>
      </c>
      <c r="M1666" s="8" t="e">
        <f ca="1">[1]!BexGetData("DP_1","003N8EMH8GTFRIVOG7KG9IQXA","GSON1112151435")</f>
        <v>#NAME?</v>
      </c>
      <c r="N1666" s="8" t="e">
        <f ca="1">[1]!BexGetData("DP_1","003N8EMH8GTFRIVOG7KG9IX8U","GSON1112151435")</f>
        <v>#NAME?</v>
      </c>
      <c r="O1666" s="8" t="e">
        <f ca="1">[1]!BexGetData("DP_1","003N8EMH8GTFRIVOG7KG9J3KE","GSON1112151435")</f>
        <v>#NAME?</v>
      </c>
      <c r="P1666" s="8" t="e">
        <f ca="1">[1]!BexGetData("DP_1","003N8EMH8GTFRIVOG7KG9J9VY","GSON1112151435")</f>
        <v>#NAME?</v>
      </c>
      <c r="Q1666" s="4" t="e">
        <f ca="1">[1]!BexGetData("DP_1","00O2TNJGODT0G5Z4TTKYMM5MT","GSON1112151435")</f>
        <v>#NAME?</v>
      </c>
      <c r="R1666" s="4" t="e">
        <f ca="1">[1]!BexGetData("DP_1","00O2TNJGODT0G5Z4TTKYMMBYD","GSON1112151435")</f>
        <v>#NAME?</v>
      </c>
      <c r="S1666" s="4" t="e">
        <f ca="1">[1]!BexGetData("DP_1","00O2TNJGODT0G5Z4TTKYMMI9X","GSON1112151435")</f>
        <v>#NAME?</v>
      </c>
      <c r="T1666" s="4" t="e">
        <f ca="1">[1]!BexGetData("DP_1","00O2TNJGODT0G5Z4TTKYMMOLH","GSON1112151435")</f>
        <v>#NAME?</v>
      </c>
      <c r="U1666" s="4" t="e">
        <f ca="1">[1]!BexGetData("DP_1","00O2TNJGODT0G5Z4TTKYMMUX1","GSON1112151435")</f>
        <v>#NAME?</v>
      </c>
      <c r="V1666" s="4" t="e">
        <f ca="1">[1]!BexGetData("DP_1","00O2TNJGODT0G5Z4TTKYMN18L","GSON1112151435")</f>
        <v>#NAME?</v>
      </c>
      <c r="W1666" s="4" t="e">
        <f ca="1">[1]!BexGetData("DP_1","00O2TNJGODT0G5Z4TTKYMN7K5","GSON1112151435")</f>
        <v>#NAME?</v>
      </c>
    </row>
    <row r="1667" spans="1:23" x14ac:dyDescent="0.2">
      <c r="A1667" s="16" t="s">
        <v>4273</v>
      </c>
      <c r="B1667" s="7" t="s">
        <v>4274</v>
      </c>
      <c r="C1667" s="3" t="e">
        <f ca="1">[1]!BexGetData("DP_1","003N8EMH8GTFRCSWKMPXRR8GU","GSON1112151450")</f>
        <v>#NAME?</v>
      </c>
      <c r="D1667" s="3" t="e">
        <f ca="1">[1]!BexGetData("DP_1","003N8EMH8GTFRCSWKMPXRRESE","GSON1112151450")</f>
        <v>#NAME?</v>
      </c>
      <c r="E1667" s="3" t="e">
        <f ca="1">[1]!BexGetData("DP_1","003N8EMH8GTFRCSWKMPXRRL3Y","GSON1112151450")</f>
        <v>#NAME?</v>
      </c>
      <c r="F1667" s="4" t="e">
        <f ca="1">[1]!BexGetData("DP_1","003N8EMH8GTFRCSWKMPXRRRFI","GSON1112151450")</f>
        <v>#NAME?</v>
      </c>
      <c r="G1667" s="4" t="e">
        <f ca="1">[1]!BexGetData("DP_1","003N8EMH8GTFRCSWKMPXRRXR2","GSON1112151450")</f>
        <v>#NAME?</v>
      </c>
      <c r="H1667" s="4" t="e">
        <f ca="1">[1]!BexGetData("DP_1","003N8EMH8GTFRCSWKMPXRS42M","GSON1112151450")</f>
        <v>#NAME?</v>
      </c>
      <c r="I1667" s="4" t="e">
        <f ca="1">[1]!BexGetData("DP_1","003N8EMH8GTFRCSWKMPXRSAE6","GSON1112151450")</f>
        <v>#NAME?</v>
      </c>
      <c r="J1667" s="4" t="e">
        <f ca="1">[1]!BexGetData("DP_1","003N8EMH8GTFRCSWKMPXRSGPQ","GSON1112151450")</f>
        <v>#NAME?</v>
      </c>
      <c r="K1667" s="3" t="e">
        <f ca="1">[1]!BexGetData("DP_1","003N8EMH8GTFRIVNUPY288VJH","GSON1112151450")</f>
        <v>#NAME?</v>
      </c>
      <c r="L1667" s="3" t="e">
        <f ca="1">[1]!BexGetData("DP_1","003N8EMH8GTFRIVNUPY2891V1","GSON1112151450")</f>
        <v>#NAME?</v>
      </c>
      <c r="M1667" s="8" t="e">
        <f ca="1">[1]!BexGetData("DP_1","003N8EMH8GTFRIVOG7KG9IQXA","GSON1112151450")</f>
        <v>#NAME?</v>
      </c>
      <c r="N1667" s="3" t="e">
        <f ca="1">[1]!BexGetData("DP_1","003N8EMH8GTFRIVOG7KG9IX8U","GSON1112151450")</f>
        <v>#NAME?</v>
      </c>
      <c r="O1667" s="8" t="e">
        <f ca="1">[1]!BexGetData("DP_1","003N8EMH8GTFRIVOG7KG9J3KE","GSON1112151450")</f>
        <v>#NAME?</v>
      </c>
      <c r="P1667" s="3" t="e">
        <f ca="1">[1]!BexGetData("DP_1","003N8EMH8GTFRIVOG7KG9J9VY","GSON1112151450")</f>
        <v>#NAME?</v>
      </c>
      <c r="Q1667" s="4" t="e">
        <f ca="1">[1]!BexGetData("DP_1","00O2TNJGODT0G5Z4TTKYMM5MT","GSON1112151450")</f>
        <v>#NAME?</v>
      </c>
      <c r="R1667" s="4" t="e">
        <f ca="1">[1]!BexGetData("DP_1","00O2TNJGODT0G5Z4TTKYMMBYD","GSON1112151450")</f>
        <v>#NAME?</v>
      </c>
      <c r="S1667" s="4" t="e">
        <f ca="1">[1]!BexGetData("DP_1","00O2TNJGODT0G5Z4TTKYMMI9X","GSON1112151450")</f>
        <v>#NAME?</v>
      </c>
      <c r="T1667" s="4" t="e">
        <f ca="1">[1]!BexGetData("DP_1","00O2TNJGODT0G5Z4TTKYMMOLH","GSON1112151450")</f>
        <v>#NAME?</v>
      </c>
      <c r="U1667" s="4" t="e">
        <f ca="1">[1]!BexGetData("DP_1","00O2TNJGODT0G5Z4TTKYMMUX1","GSON1112151450")</f>
        <v>#NAME?</v>
      </c>
      <c r="V1667" s="4" t="e">
        <f ca="1">[1]!BexGetData("DP_1","00O2TNJGODT0G5Z4TTKYMN18L","GSON1112151450")</f>
        <v>#NAME?</v>
      </c>
      <c r="W1667" s="4" t="e">
        <f ca="1">[1]!BexGetData("DP_1","00O2TNJGODT0G5Z4TTKYMN7K5","GSON1112151450")</f>
        <v>#NAME?</v>
      </c>
    </row>
    <row r="1668" spans="1:23" x14ac:dyDescent="0.2">
      <c r="A1668" s="16" t="s">
        <v>4275</v>
      </c>
      <c r="B1668" s="7" t="s">
        <v>4276</v>
      </c>
      <c r="C1668" s="3" t="e">
        <f ca="1">[1]!BexGetData("DP_1","003N8EMH8GTFRCSWKMPXRR8GU","GSON1112151451")</f>
        <v>#NAME?</v>
      </c>
      <c r="D1668" s="3" t="e">
        <f ca="1">[1]!BexGetData("DP_1","003N8EMH8GTFRCSWKMPXRRESE","GSON1112151451")</f>
        <v>#NAME?</v>
      </c>
      <c r="E1668" s="8" t="e">
        <f ca="1">[1]!BexGetData("DP_1","003N8EMH8GTFRCSWKMPXRRL3Y","GSON1112151451")</f>
        <v>#NAME?</v>
      </c>
      <c r="F1668" s="4" t="e">
        <f ca="1">[1]!BexGetData("DP_1","003N8EMH8GTFRCSWKMPXRRRFI","GSON1112151451")</f>
        <v>#NAME?</v>
      </c>
      <c r="G1668" s="4" t="e">
        <f ca="1">[1]!BexGetData("DP_1","003N8EMH8GTFRCSWKMPXRRXR2","GSON1112151451")</f>
        <v>#NAME?</v>
      </c>
      <c r="H1668" s="4" t="e">
        <f ca="1">[1]!BexGetData("DP_1","003N8EMH8GTFRCSWKMPXRS42M","GSON1112151451")</f>
        <v>#NAME?</v>
      </c>
      <c r="I1668" s="4" t="e">
        <f ca="1">[1]!BexGetData("DP_1","003N8EMH8GTFRCSWKMPXRSAE6","GSON1112151451")</f>
        <v>#NAME?</v>
      </c>
      <c r="J1668" s="4" t="e">
        <f ca="1">[1]!BexGetData("DP_1","003N8EMH8GTFRCSWKMPXRSGPQ","GSON1112151451")</f>
        <v>#NAME?</v>
      </c>
      <c r="K1668" s="8" t="e">
        <f ca="1">[1]!BexGetData("DP_1","003N8EMH8GTFRIVNUPY288VJH","GSON1112151451")</f>
        <v>#NAME?</v>
      </c>
      <c r="L1668" s="8" t="e">
        <f ca="1">[1]!BexGetData("DP_1","003N8EMH8GTFRIVNUPY2891V1","GSON1112151451")</f>
        <v>#NAME?</v>
      </c>
      <c r="M1668" s="8" t="e">
        <f ca="1">[1]!BexGetData("DP_1","003N8EMH8GTFRIVOG7KG9IQXA","GSON1112151451")</f>
        <v>#NAME?</v>
      </c>
      <c r="N1668" s="8" t="e">
        <f ca="1">[1]!BexGetData("DP_1","003N8EMH8GTFRIVOG7KG9IX8U","GSON1112151451")</f>
        <v>#NAME?</v>
      </c>
      <c r="O1668" s="8" t="e">
        <f ca="1">[1]!BexGetData("DP_1","003N8EMH8GTFRIVOG7KG9J3KE","GSON1112151451")</f>
        <v>#NAME?</v>
      </c>
      <c r="P1668" s="8" t="e">
        <f ca="1">[1]!BexGetData("DP_1","003N8EMH8GTFRIVOG7KG9J9VY","GSON1112151451")</f>
        <v>#NAME?</v>
      </c>
      <c r="Q1668" s="4" t="e">
        <f ca="1">[1]!BexGetData("DP_1","00O2TNJGODT0G5Z4TTKYMM5MT","GSON1112151451")</f>
        <v>#NAME?</v>
      </c>
      <c r="R1668" s="4" t="e">
        <f ca="1">[1]!BexGetData("DP_1","00O2TNJGODT0G5Z4TTKYMMBYD","GSON1112151451")</f>
        <v>#NAME?</v>
      </c>
      <c r="S1668" s="4" t="e">
        <f ca="1">[1]!BexGetData("DP_1","00O2TNJGODT0G5Z4TTKYMMI9X","GSON1112151451")</f>
        <v>#NAME?</v>
      </c>
      <c r="T1668" s="4" t="e">
        <f ca="1">[1]!BexGetData("DP_1","00O2TNJGODT0G5Z4TTKYMMOLH","GSON1112151451")</f>
        <v>#NAME?</v>
      </c>
      <c r="U1668" s="4" t="e">
        <f ca="1">[1]!BexGetData("DP_1","00O2TNJGODT0G5Z4TTKYMMUX1","GSON1112151451")</f>
        <v>#NAME?</v>
      </c>
      <c r="V1668" s="4" t="e">
        <f ca="1">[1]!BexGetData("DP_1","00O2TNJGODT0G5Z4TTKYMN18L","GSON1112151451")</f>
        <v>#NAME?</v>
      </c>
      <c r="W1668" s="4" t="e">
        <f ca="1">[1]!BexGetData("DP_1","00O2TNJGODT0G5Z4TTKYMN7K5","GSON1112151451")</f>
        <v>#NAME?</v>
      </c>
    </row>
    <row r="1669" spans="1:23" x14ac:dyDescent="0.2">
      <c r="A1669" s="16" t="s">
        <v>4277</v>
      </c>
      <c r="B1669" s="7" t="s">
        <v>4278</v>
      </c>
      <c r="C1669" s="3" t="e">
        <f ca="1">[1]!BexGetData("DP_1","003N8EMH8GTFRCSWKMPXRR8GU","GSON1112151453")</f>
        <v>#NAME?</v>
      </c>
      <c r="D1669" s="3" t="e">
        <f ca="1">[1]!BexGetData("DP_1","003N8EMH8GTFRCSWKMPXRRESE","GSON1112151453")</f>
        <v>#NAME?</v>
      </c>
      <c r="E1669" s="8" t="e">
        <f ca="1">[1]!BexGetData("DP_1","003N8EMH8GTFRCSWKMPXRRL3Y","GSON1112151453")</f>
        <v>#NAME?</v>
      </c>
      <c r="F1669" s="4" t="e">
        <f ca="1">[1]!BexGetData("DP_1","003N8EMH8GTFRCSWKMPXRRRFI","GSON1112151453")</f>
        <v>#NAME?</v>
      </c>
      <c r="G1669" s="4" t="e">
        <f ca="1">[1]!BexGetData("DP_1","003N8EMH8GTFRCSWKMPXRRXR2","GSON1112151453")</f>
        <v>#NAME?</v>
      </c>
      <c r="H1669" s="4" t="e">
        <f ca="1">[1]!BexGetData("DP_1","003N8EMH8GTFRCSWKMPXRS42M","GSON1112151453")</f>
        <v>#NAME?</v>
      </c>
      <c r="I1669" s="4" t="e">
        <f ca="1">[1]!BexGetData("DP_1","003N8EMH8GTFRCSWKMPXRSAE6","GSON1112151453")</f>
        <v>#NAME?</v>
      </c>
      <c r="J1669" s="4" t="e">
        <f ca="1">[1]!BexGetData("DP_1","003N8EMH8GTFRCSWKMPXRSGPQ","GSON1112151453")</f>
        <v>#NAME?</v>
      </c>
      <c r="K1669" s="8" t="e">
        <f ca="1">[1]!BexGetData("DP_1","003N8EMH8GTFRIVNUPY288VJH","GSON1112151453")</f>
        <v>#NAME?</v>
      </c>
      <c r="L1669" s="8" t="e">
        <f ca="1">[1]!BexGetData("DP_1","003N8EMH8GTFRIVNUPY2891V1","GSON1112151453")</f>
        <v>#NAME?</v>
      </c>
      <c r="M1669" s="8" t="e">
        <f ca="1">[1]!BexGetData("DP_1","003N8EMH8GTFRIVOG7KG9IQXA","GSON1112151453")</f>
        <v>#NAME?</v>
      </c>
      <c r="N1669" s="8" t="e">
        <f ca="1">[1]!BexGetData("DP_1","003N8EMH8GTFRIVOG7KG9IX8U","GSON1112151453")</f>
        <v>#NAME?</v>
      </c>
      <c r="O1669" s="8" t="e">
        <f ca="1">[1]!BexGetData("DP_1","003N8EMH8GTFRIVOG7KG9J3KE","GSON1112151453")</f>
        <v>#NAME?</v>
      </c>
      <c r="P1669" s="8" t="e">
        <f ca="1">[1]!BexGetData("DP_1","003N8EMH8GTFRIVOG7KG9J9VY","GSON1112151453")</f>
        <v>#NAME?</v>
      </c>
      <c r="Q1669" s="4" t="e">
        <f ca="1">[1]!BexGetData("DP_1","00O2TNJGODT0G5Z4TTKYMM5MT","GSON1112151453")</f>
        <v>#NAME?</v>
      </c>
      <c r="R1669" s="4" t="e">
        <f ca="1">[1]!BexGetData("DP_1","00O2TNJGODT0G5Z4TTKYMMBYD","GSON1112151453")</f>
        <v>#NAME?</v>
      </c>
      <c r="S1669" s="4" t="e">
        <f ca="1">[1]!BexGetData("DP_1","00O2TNJGODT0G5Z4TTKYMMI9X","GSON1112151453")</f>
        <v>#NAME?</v>
      </c>
      <c r="T1669" s="4" t="e">
        <f ca="1">[1]!BexGetData("DP_1","00O2TNJGODT0G5Z4TTKYMMOLH","GSON1112151453")</f>
        <v>#NAME?</v>
      </c>
      <c r="U1669" s="4" t="e">
        <f ca="1">[1]!BexGetData("DP_1","00O2TNJGODT0G5Z4TTKYMMUX1","GSON1112151453")</f>
        <v>#NAME?</v>
      </c>
      <c r="V1669" s="4" t="e">
        <f ca="1">[1]!BexGetData("DP_1","00O2TNJGODT0G5Z4TTKYMN18L","GSON1112151453")</f>
        <v>#NAME?</v>
      </c>
      <c r="W1669" s="4" t="e">
        <f ca="1">[1]!BexGetData("DP_1","00O2TNJGODT0G5Z4TTKYMN7K5","GSON1112151453")</f>
        <v>#NAME?</v>
      </c>
    </row>
    <row r="1670" spans="1:23" x14ac:dyDescent="0.2">
      <c r="A1670" s="16" t="s">
        <v>4279</v>
      </c>
      <c r="B1670" s="7" t="s">
        <v>4280</v>
      </c>
      <c r="C1670" s="3" t="e">
        <f ca="1">[1]!BexGetData("DP_1","003N8EMH8GTFRCSWKMPXRR8GU","GSON1112151454")</f>
        <v>#NAME?</v>
      </c>
      <c r="D1670" s="3" t="e">
        <f ca="1">[1]!BexGetData("DP_1","003N8EMH8GTFRCSWKMPXRRESE","GSON1112151454")</f>
        <v>#NAME?</v>
      </c>
      <c r="E1670" s="8" t="e">
        <f ca="1">[1]!BexGetData("DP_1","003N8EMH8GTFRCSWKMPXRRL3Y","GSON1112151454")</f>
        <v>#NAME?</v>
      </c>
      <c r="F1670" s="4" t="e">
        <f ca="1">[1]!BexGetData("DP_1","003N8EMH8GTFRCSWKMPXRRRFI","GSON1112151454")</f>
        <v>#NAME?</v>
      </c>
      <c r="G1670" s="4" t="e">
        <f ca="1">[1]!BexGetData("DP_1","003N8EMH8GTFRCSWKMPXRRXR2","GSON1112151454")</f>
        <v>#NAME?</v>
      </c>
      <c r="H1670" s="4" t="e">
        <f ca="1">[1]!BexGetData("DP_1","003N8EMH8GTFRCSWKMPXRS42M","GSON1112151454")</f>
        <v>#NAME?</v>
      </c>
      <c r="I1670" s="4" t="e">
        <f ca="1">[1]!BexGetData("DP_1","003N8EMH8GTFRCSWKMPXRSAE6","GSON1112151454")</f>
        <v>#NAME?</v>
      </c>
      <c r="J1670" s="4" t="e">
        <f ca="1">[1]!BexGetData("DP_1","003N8EMH8GTFRCSWKMPXRSGPQ","GSON1112151454")</f>
        <v>#NAME?</v>
      </c>
      <c r="K1670" s="8" t="e">
        <f ca="1">[1]!BexGetData("DP_1","003N8EMH8GTFRIVNUPY288VJH","GSON1112151454")</f>
        <v>#NAME?</v>
      </c>
      <c r="L1670" s="8" t="e">
        <f ca="1">[1]!BexGetData("DP_1","003N8EMH8GTFRIVNUPY2891V1","GSON1112151454")</f>
        <v>#NAME?</v>
      </c>
      <c r="M1670" s="8" t="e">
        <f ca="1">[1]!BexGetData("DP_1","003N8EMH8GTFRIVOG7KG9IQXA","GSON1112151454")</f>
        <v>#NAME?</v>
      </c>
      <c r="N1670" s="8" t="e">
        <f ca="1">[1]!BexGetData("DP_1","003N8EMH8GTFRIVOG7KG9IX8U","GSON1112151454")</f>
        <v>#NAME?</v>
      </c>
      <c r="O1670" s="8" t="e">
        <f ca="1">[1]!BexGetData("DP_1","003N8EMH8GTFRIVOG7KG9J3KE","GSON1112151454")</f>
        <v>#NAME?</v>
      </c>
      <c r="P1670" s="8" t="e">
        <f ca="1">[1]!BexGetData("DP_1","003N8EMH8GTFRIVOG7KG9J9VY","GSON1112151454")</f>
        <v>#NAME?</v>
      </c>
      <c r="Q1670" s="4" t="e">
        <f ca="1">[1]!BexGetData("DP_1","00O2TNJGODT0G5Z4TTKYMM5MT","GSON1112151454")</f>
        <v>#NAME?</v>
      </c>
      <c r="R1670" s="4" t="e">
        <f ca="1">[1]!BexGetData("DP_1","00O2TNJGODT0G5Z4TTKYMMBYD","GSON1112151454")</f>
        <v>#NAME?</v>
      </c>
      <c r="S1670" s="4" t="e">
        <f ca="1">[1]!BexGetData("DP_1","00O2TNJGODT0G5Z4TTKYMMI9X","GSON1112151454")</f>
        <v>#NAME?</v>
      </c>
      <c r="T1670" s="4" t="e">
        <f ca="1">[1]!BexGetData("DP_1","00O2TNJGODT0G5Z4TTKYMMOLH","GSON1112151454")</f>
        <v>#NAME?</v>
      </c>
      <c r="U1670" s="4" t="e">
        <f ca="1">[1]!BexGetData("DP_1","00O2TNJGODT0G5Z4TTKYMMUX1","GSON1112151454")</f>
        <v>#NAME?</v>
      </c>
      <c r="V1670" s="4" t="e">
        <f ca="1">[1]!BexGetData("DP_1","00O2TNJGODT0G5Z4TTKYMN18L","GSON1112151454")</f>
        <v>#NAME?</v>
      </c>
      <c r="W1670" s="4" t="e">
        <f ca="1">[1]!BexGetData("DP_1","00O2TNJGODT0G5Z4TTKYMN7K5","GSON1112151454")</f>
        <v>#NAME?</v>
      </c>
    </row>
    <row r="1671" spans="1:23" x14ac:dyDescent="0.2">
      <c r="A1671" s="16" t="s">
        <v>4281</v>
      </c>
      <c r="B1671" s="7" t="s">
        <v>4282</v>
      </c>
      <c r="C1671" s="3" t="e">
        <f ca="1">[1]!BexGetData("DP_1","003N8EMH8GTFRCSWKMPXRR8GU","GSON1112151455")</f>
        <v>#NAME?</v>
      </c>
      <c r="D1671" s="3" t="e">
        <f ca="1">[1]!BexGetData("DP_1","003N8EMH8GTFRCSWKMPXRRESE","GSON1112151455")</f>
        <v>#NAME?</v>
      </c>
      <c r="E1671" s="8" t="e">
        <f ca="1">[1]!BexGetData("DP_1","003N8EMH8GTFRCSWKMPXRRL3Y","GSON1112151455")</f>
        <v>#NAME?</v>
      </c>
      <c r="F1671" s="4" t="e">
        <f ca="1">[1]!BexGetData("DP_1","003N8EMH8GTFRCSWKMPXRRRFI","GSON1112151455")</f>
        <v>#NAME?</v>
      </c>
      <c r="G1671" s="4" t="e">
        <f ca="1">[1]!BexGetData("DP_1","003N8EMH8GTFRCSWKMPXRRXR2","GSON1112151455")</f>
        <v>#NAME?</v>
      </c>
      <c r="H1671" s="4" t="e">
        <f ca="1">[1]!BexGetData("DP_1","003N8EMH8GTFRCSWKMPXRS42M","GSON1112151455")</f>
        <v>#NAME?</v>
      </c>
      <c r="I1671" s="4" t="e">
        <f ca="1">[1]!BexGetData("DP_1","003N8EMH8GTFRCSWKMPXRSAE6","GSON1112151455")</f>
        <v>#NAME?</v>
      </c>
      <c r="J1671" s="4" t="e">
        <f ca="1">[1]!BexGetData("DP_1","003N8EMH8GTFRCSWKMPXRSGPQ","GSON1112151455")</f>
        <v>#NAME?</v>
      </c>
      <c r="K1671" s="8" t="e">
        <f ca="1">[1]!BexGetData("DP_1","003N8EMH8GTFRIVNUPY288VJH","GSON1112151455")</f>
        <v>#NAME?</v>
      </c>
      <c r="L1671" s="8" t="e">
        <f ca="1">[1]!BexGetData("DP_1","003N8EMH8GTFRIVNUPY2891V1","GSON1112151455")</f>
        <v>#NAME?</v>
      </c>
      <c r="M1671" s="8" t="e">
        <f ca="1">[1]!BexGetData("DP_1","003N8EMH8GTFRIVOG7KG9IQXA","GSON1112151455")</f>
        <v>#NAME?</v>
      </c>
      <c r="N1671" s="8" t="e">
        <f ca="1">[1]!BexGetData("DP_1","003N8EMH8GTFRIVOG7KG9IX8U","GSON1112151455")</f>
        <v>#NAME?</v>
      </c>
      <c r="O1671" s="8" t="e">
        <f ca="1">[1]!BexGetData("DP_1","003N8EMH8GTFRIVOG7KG9J3KE","GSON1112151455")</f>
        <v>#NAME?</v>
      </c>
      <c r="P1671" s="8" t="e">
        <f ca="1">[1]!BexGetData("DP_1","003N8EMH8GTFRIVOG7KG9J9VY","GSON1112151455")</f>
        <v>#NAME?</v>
      </c>
      <c r="Q1671" s="4" t="e">
        <f ca="1">[1]!BexGetData("DP_1","00O2TNJGODT0G5Z4TTKYMM5MT","GSON1112151455")</f>
        <v>#NAME?</v>
      </c>
      <c r="R1671" s="4" t="e">
        <f ca="1">[1]!BexGetData("DP_1","00O2TNJGODT0G5Z4TTKYMMBYD","GSON1112151455")</f>
        <v>#NAME?</v>
      </c>
      <c r="S1671" s="4" t="e">
        <f ca="1">[1]!BexGetData("DP_1","00O2TNJGODT0G5Z4TTKYMMI9X","GSON1112151455")</f>
        <v>#NAME?</v>
      </c>
      <c r="T1671" s="4" t="e">
        <f ca="1">[1]!BexGetData("DP_1","00O2TNJGODT0G5Z4TTKYMMOLH","GSON1112151455")</f>
        <v>#NAME?</v>
      </c>
      <c r="U1671" s="4" t="e">
        <f ca="1">[1]!BexGetData("DP_1","00O2TNJGODT0G5Z4TTKYMMUX1","GSON1112151455")</f>
        <v>#NAME?</v>
      </c>
      <c r="V1671" s="4" t="e">
        <f ca="1">[1]!BexGetData("DP_1","00O2TNJGODT0G5Z4TTKYMN18L","GSON1112151455")</f>
        <v>#NAME?</v>
      </c>
      <c r="W1671" s="4" t="e">
        <f ca="1">[1]!BexGetData("DP_1","00O2TNJGODT0G5Z4TTKYMN7K5","GSON1112151455")</f>
        <v>#NAME?</v>
      </c>
    </row>
    <row r="1672" spans="1:23" x14ac:dyDescent="0.2">
      <c r="A1672" s="16" t="s">
        <v>4283</v>
      </c>
      <c r="B1672" s="7" t="s">
        <v>4284</v>
      </c>
      <c r="C1672" s="3" t="e">
        <f ca="1">[1]!BexGetData("DP_1","003N8EMH8GTFRCSWKMPXRR8GU","GSON1112160010")</f>
        <v>#NAME?</v>
      </c>
      <c r="D1672" s="3" t="e">
        <f ca="1">[1]!BexGetData("DP_1","003N8EMH8GTFRCSWKMPXRRESE","GSON1112160010")</f>
        <v>#NAME?</v>
      </c>
      <c r="E1672" s="3" t="e">
        <f ca="1">[1]!BexGetData("DP_1","003N8EMH8GTFRCSWKMPXRRL3Y","GSON1112160010")</f>
        <v>#NAME?</v>
      </c>
      <c r="F1672" s="3" t="e">
        <f ca="1">[1]!BexGetData("DP_1","003N8EMH8GTFRCSWKMPXRRRFI","GSON1112160010")</f>
        <v>#NAME?</v>
      </c>
      <c r="G1672" s="3" t="e">
        <f ca="1">[1]!BexGetData("DP_1","003N8EMH8GTFRCSWKMPXRRXR2","GSON1112160010")</f>
        <v>#NAME?</v>
      </c>
      <c r="H1672" s="8" t="e">
        <f ca="1">[1]!BexGetData("DP_1","003N8EMH8GTFRCSWKMPXRS42M","GSON1112160010")</f>
        <v>#NAME?</v>
      </c>
      <c r="I1672" s="3" t="e">
        <f ca="1">[1]!BexGetData("DP_1","003N8EMH8GTFRCSWKMPXRSAE6","GSON1112160010")</f>
        <v>#NAME?</v>
      </c>
      <c r="J1672" s="4" t="e">
        <f ca="1">[1]!BexGetData("DP_1","003N8EMH8GTFRCSWKMPXRSGPQ","GSON1112160010")</f>
        <v>#NAME?</v>
      </c>
      <c r="K1672" s="3" t="e">
        <f ca="1">[1]!BexGetData("DP_1","003N8EMH8GTFRIVNUPY288VJH","GSON1112160010")</f>
        <v>#NAME?</v>
      </c>
      <c r="L1672" s="3" t="e">
        <f ca="1">[1]!BexGetData("DP_1","003N8EMH8GTFRIVNUPY2891V1","GSON1112160010")</f>
        <v>#NAME?</v>
      </c>
      <c r="M1672" s="3" t="e">
        <f ca="1">[1]!BexGetData("DP_1","003N8EMH8GTFRIVOG7KG9IQXA","GSON1112160010")</f>
        <v>#NAME?</v>
      </c>
      <c r="N1672" s="8" t="e">
        <f ca="1">[1]!BexGetData("DP_1","003N8EMH8GTFRIVOG7KG9IX8U","GSON1112160010")</f>
        <v>#NAME?</v>
      </c>
      <c r="O1672" s="3" t="e">
        <f ca="1">[1]!BexGetData("DP_1","003N8EMH8GTFRIVOG7KG9J3KE","GSON1112160010")</f>
        <v>#NAME?</v>
      </c>
      <c r="P1672" s="8" t="e">
        <f ca="1">[1]!BexGetData("DP_1","003N8EMH8GTFRIVOG7KG9J9VY","GSON1112160010")</f>
        <v>#NAME?</v>
      </c>
      <c r="Q1672" s="4" t="e">
        <f ca="1">[1]!BexGetData("DP_1","00O2TNJGODT0G5Z4TTKYMM5MT","GSON1112160010")</f>
        <v>#NAME?</v>
      </c>
      <c r="R1672" s="3" t="e">
        <f ca="1">[1]!BexGetData("DP_1","00O2TNJGODT0G5Z4TTKYMMBYD","GSON1112160010")</f>
        <v>#NAME?</v>
      </c>
      <c r="S1672" s="3" t="e">
        <f ca="1">[1]!BexGetData("DP_1","00O2TNJGODT0G5Z4TTKYMMI9X","GSON1112160010")</f>
        <v>#NAME?</v>
      </c>
      <c r="T1672" s="8" t="e">
        <f ca="1">[1]!BexGetData("DP_1","00O2TNJGODT0G5Z4TTKYMMOLH","GSON1112160010")</f>
        <v>#NAME?</v>
      </c>
      <c r="U1672" s="3" t="e">
        <f ca="1">[1]!BexGetData("DP_1","00O2TNJGODT0G5Z4TTKYMMUX1","GSON1112160010")</f>
        <v>#NAME?</v>
      </c>
      <c r="V1672" s="8" t="e">
        <f ca="1">[1]!BexGetData("DP_1","00O2TNJGODT0G5Z4TTKYMN18L","GSON1112160010")</f>
        <v>#NAME?</v>
      </c>
      <c r="W1672" s="3" t="e">
        <f ca="1">[1]!BexGetData("DP_1","00O2TNJGODT0G5Z4TTKYMN7K5","GSON1112160010")</f>
        <v>#NAME?</v>
      </c>
    </row>
    <row r="1673" spans="1:23" x14ac:dyDescent="0.2">
      <c r="A1673" s="16" t="s">
        <v>4285</v>
      </c>
      <c r="B1673" s="7" t="s">
        <v>4286</v>
      </c>
      <c r="C1673" s="3" t="e">
        <f ca="1">[1]!BexGetData("DP_1","003N8EMH8GTFRCSWKMPXRR8GU","GSON1112160011")</f>
        <v>#NAME?</v>
      </c>
      <c r="D1673" s="3" t="e">
        <f ca="1">[1]!BexGetData("DP_1","003N8EMH8GTFRCSWKMPXRRESE","GSON1112160011")</f>
        <v>#NAME?</v>
      </c>
      <c r="E1673" s="8" t="e">
        <f ca="1">[1]!BexGetData("DP_1","003N8EMH8GTFRCSWKMPXRRL3Y","GSON1112160011")</f>
        <v>#NAME?</v>
      </c>
      <c r="F1673" s="4" t="e">
        <f ca="1">[1]!BexGetData("DP_1","003N8EMH8GTFRCSWKMPXRRRFI","GSON1112160011")</f>
        <v>#NAME?</v>
      </c>
      <c r="G1673" s="4" t="e">
        <f ca="1">[1]!BexGetData("DP_1","003N8EMH8GTFRCSWKMPXRRXR2","GSON1112160011")</f>
        <v>#NAME?</v>
      </c>
      <c r="H1673" s="4" t="e">
        <f ca="1">[1]!BexGetData("DP_1","003N8EMH8GTFRCSWKMPXRS42M","GSON1112160011")</f>
        <v>#NAME?</v>
      </c>
      <c r="I1673" s="4" t="e">
        <f ca="1">[1]!BexGetData("DP_1","003N8EMH8GTFRCSWKMPXRSAE6","GSON1112160011")</f>
        <v>#NAME?</v>
      </c>
      <c r="J1673" s="4" t="e">
        <f ca="1">[1]!BexGetData("DP_1","003N8EMH8GTFRCSWKMPXRSGPQ","GSON1112160011")</f>
        <v>#NAME?</v>
      </c>
      <c r="K1673" s="8" t="e">
        <f ca="1">[1]!BexGetData("DP_1","003N8EMH8GTFRIVNUPY288VJH","GSON1112160011")</f>
        <v>#NAME?</v>
      </c>
      <c r="L1673" s="8" t="e">
        <f ca="1">[1]!BexGetData("DP_1","003N8EMH8GTFRIVNUPY2891V1","GSON1112160011")</f>
        <v>#NAME?</v>
      </c>
      <c r="M1673" s="8" t="e">
        <f ca="1">[1]!BexGetData("DP_1","003N8EMH8GTFRIVOG7KG9IQXA","GSON1112160011")</f>
        <v>#NAME?</v>
      </c>
      <c r="N1673" s="8" t="e">
        <f ca="1">[1]!BexGetData("DP_1","003N8EMH8GTFRIVOG7KG9IX8U","GSON1112160011")</f>
        <v>#NAME?</v>
      </c>
      <c r="O1673" s="8" t="e">
        <f ca="1">[1]!BexGetData("DP_1","003N8EMH8GTFRIVOG7KG9J3KE","GSON1112160011")</f>
        <v>#NAME?</v>
      </c>
      <c r="P1673" s="8" t="e">
        <f ca="1">[1]!BexGetData("DP_1","003N8EMH8GTFRIVOG7KG9J9VY","GSON1112160011")</f>
        <v>#NAME?</v>
      </c>
      <c r="Q1673" s="4" t="e">
        <f ca="1">[1]!BexGetData("DP_1","00O2TNJGODT0G5Z4TTKYMM5MT","GSON1112160011")</f>
        <v>#NAME?</v>
      </c>
      <c r="R1673" s="4" t="e">
        <f ca="1">[1]!BexGetData("DP_1","00O2TNJGODT0G5Z4TTKYMMBYD","GSON1112160011")</f>
        <v>#NAME?</v>
      </c>
      <c r="S1673" s="4" t="e">
        <f ca="1">[1]!BexGetData("DP_1","00O2TNJGODT0G5Z4TTKYMMI9X","GSON1112160011")</f>
        <v>#NAME?</v>
      </c>
      <c r="T1673" s="4" t="e">
        <f ca="1">[1]!BexGetData("DP_1","00O2TNJGODT0G5Z4TTKYMMOLH","GSON1112160011")</f>
        <v>#NAME?</v>
      </c>
      <c r="U1673" s="4" t="e">
        <f ca="1">[1]!BexGetData("DP_1","00O2TNJGODT0G5Z4TTKYMMUX1","GSON1112160011")</f>
        <v>#NAME?</v>
      </c>
      <c r="V1673" s="4" t="e">
        <f ca="1">[1]!BexGetData("DP_1","00O2TNJGODT0G5Z4TTKYMN18L","GSON1112160011")</f>
        <v>#NAME?</v>
      </c>
      <c r="W1673" s="4" t="e">
        <f ca="1">[1]!BexGetData("DP_1","00O2TNJGODT0G5Z4TTKYMN7K5","GSON1112160011")</f>
        <v>#NAME?</v>
      </c>
    </row>
    <row r="1674" spans="1:23" x14ac:dyDescent="0.2">
      <c r="A1674" s="16" t="s">
        <v>4287</v>
      </c>
      <c r="B1674" s="7" t="s">
        <v>1613</v>
      </c>
      <c r="C1674" s="3" t="e">
        <f ca="1">[1]!BexGetData("DP_1","003N8EMH8GTFRCSWKMPXRR8GU","GSON1112160012")</f>
        <v>#NAME?</v>
      </c>
      <c r="D1674" s="3" t="e">
        <f ca="1">[1]!BexGetData("DP_1","003N8EMH8GTFRCSWKMPXRRESE","GSON1112160012")</f>
        <v>#NAME?</v>
      </c>
      <c r="E1674" s="8" t="e">
        <f ca="1">[1]!BexGetData("DP_1","003N8EMH8GTFRCSWKMPXRRL3Y","GSON1112160012")</f>
        <v>#NAME?</v>
      </c>
      <c r="F1674" s="4" t="e">
        <f ca="1">[1]!BexGetData("DP_1","003N8EMH8GTFRCSWKMPXRRRFI","GSON1112160012")</f>
        <v>#NAME?</v>
      </c>
      <c r="G1674" s="4" t="e">
        <f ca="1">[1]!BexGetData("DP_1","003N8EMH8GTFRCSWKMPXRRXR2","GSON1112160012")</f>
        <v>#NAME?</v>
      </c>
      <c r="H1674" s="4" t="e">
        <f ca="1">[1]!BexGetData("DP_1","003N8EMH8GTFRCSWKMPXRS42M","GSON1112160012")</f>
        <v>#NAME?</v>
      </c>
      <c r="I1674" s="4" t="e">
        <f ca="1">[1]!BexGetData("DP_1","003N8EMH8GTFRCSWKMPXRSAE6","GSON1112160012")</f>
        <v>#NAME?</v>
      </c>
      <c r="J1674" s="4" t="e">
        <f ca="1">[1]!BexGetData("DP_1","003N8EMH8GTFRCSWKMPXRSGPQ","GSON1112160012")</f>
        <v>#NAME?</v>
      </c>
      <c r="K1674" s="8" t="e">
        <f ca="1">[1]!BexGetData("DP_1","003N8EMH8GTFRIVNUPY288VJH","GSON1112160012")</f>
        <v>#NAME?</v>
      </c>
      <c r="L1674" s="8" t="e">
        <f ca="1">[1]!BexGetData("DP_1","003N8EMH8GTFRIVNUPY2891V1","GSON1112160012")</f>
        <v>#NAME?</v>
      </c>
      <c r="M1674" s="8" t="e">
        <f ca="1">[1]!BexGetData("DP_1","003N8EMH8GTFRIVOG7KG9IQXA","GSON1112160012")</f>
        <v>#NAME?</v>
      </c>
      <c r="N1674" s="8" t="e">
        <f ca="1">[1]!BexGetData("DP_1","003N8EMH8GTFRIVOG7KG9IX8U","GSON1112160012")</f>
        <v>#NAME?</v>
      </c>
      <c r="O1674" s="8" t="e">
        <f ca="1">[1]!BexGetData("DP_1","003N8EMH8GTFRIVOG7KG9J3KE","GSON1112160012")</f>
        <v>#NAME?</v>
      </c>
      <c r="P1674" s="8" t="e">
        <f ca="1">[1]!BexGetData("DP_1","003N8EMH8GTFRIVOG7KG9J9VY","GSON1112160012")</f>
        <v>#NAME?</v>
      </c>
      <c r="Q1674" s="4" t="e">
        <f ca="1">[1]!BexGetData("DP_1","00O2TNJGODT0G5Z4TTKYMM5MT","GSON1112160012")</f>
        <v>#NAME?</v>
      </c>
      <c r="R1674" s="4" t="e">
        <f ca="1">[1]!BexGetData("DP_1","00O2TNJGODT0G5Z4TTKYMMBYD","GSON1112160012")</f>
        <v>#NAME?</v>
      </c>
      <c r="S1674" s="4" t="e">
        <f ca="1">[1]!BexGetData("DP_1","00O2TNJGODT0G5Z4TTKYMMI9X","GSON1112160012")</f>
        <v>#NAME?</v>
      </c>
      <c r="T1674" s="4" t="e">
        <f ca="1">[1]!BexGetData("DP_1","00O2TNJGODT0G5Z4TTKYMMOLH","GSON1112160012")</f>
        <v>#NAME?</v>
      </c>
      <c r="U1674" s="4" t="e">
        <f ca="1">[1]!BexGetData("DP_1","00O2TNJGODT0G5Z4TTKYMMUX1","GSON1112160012")</f>
        <v>#NAME?</v>
      </c>
      <c r="V1674" s="4" t="e">
        <f ca="1">[1]!BexGetData("DP_1","00O2TNJGODT0G5Z4TTKYMN18L","GSON1112160012")</f>
        <v>#NAME?</v>
      </c>
      <c r="W1674" s="4" t="e">
        <f ca="1">[1]!BexGetData("DP_1","00O2TNJGODT0G5Z4TTKYMN7K5","GSON1112160012")</f>
        <v>#NAME?</v>
      </c>
    </row>
    <row r="1675" spans="1:23" x14ac:dyDescent="0.2">
      <c r="A1675" s="16" t="s">
        <v>665</v>
      </c>
      <c r="B1675" s="7" t="s">
        <v>666</v>
      </c>
      <c r="C1675" s="3" t="e">
        <f ca="1">[1]!BexGetData("DP_1","003N8EMH8GTFRCSWKMPXRR8GU","GSON1112160013")</f>
        <v>#NAME?</v>
      </c>
      <c r="D1675" s="3" t="e">
        <f ca="1">[1]!BexGetData("DP_1","003N8EMH8GTFRCSWKMPXRRESE","GSON1112160013")</f>
        <v>#NAME?</v>
      </c>
      <c r="E1675" s="8" t="e">
        <f ca="1">[1]!BexGetData("DP_1","003N8EMH8GTFRCSWKMPXRRL3Y","GSON1112160013")</f>
        <v>#NAME?</v>
      </c>
      <c r="F1675" s="4" t="e">
        <f ca="1">[1]!BexGetData("DP_1","003N8EMH8GTFRCSWKMPXRRRFI","GSON1112160013")</f>
        <v>#NAME?</v>
      </c>
      <c r="G1675" s="4" t="e">
        <f ca="1">[1]!BexGetData("DP_1","003N8EMH8GTFRCSWKMPXRRXR2","GSON1112160013")</f>
        <v>#NAME?</v>
      </c>
      <c r="H1675" s="4" t="e">
        <f ca="1">[1]!BexGetData("DP_1","003N8EMH8GTFRCSWKMPXRS42M","GSON1112160013")</f>
        <v>#NAME?</v>
      </c>
      <c r="I1675" s="4" t="e">
        <f ca="1">[1]!BexGetData("DP_1","003N8EMH8GTFRCSWKMPXRSAE6","GSON1112160013")</f>
        <v>#NAME?</v>
      </c>
      <c r="J1675" s="4" t="e">
        <f ca="1">[1]!BexGetData("DP_1","003N8EMH8GTFRCSWKMPXRSGPQ","GSON1112160013")</f>
        <v>#NAME?</v>
      </c>
      <c r="K1675" s="8" t="e">
        <f ca="1">[1]!BexGetData("DP_1","003N8EMH8GTFRIVNUPY288VJH","GSON1112160013")</f>
        <v>#NAME?</v>
      </c>
      <c r="L1675" s="8" t="e">
        <f ca="1">[1]!BexGetData("DP_1","003N8EMH8GTFRIVNUPY2891V1","GSON1112160013")</f>
        <v>#NAME?</v>
      </c>
      <c r="M1675" s="8" t="e">
        <f ca="1">[1]!BexGetData("DP_1","003N8EMH8GTFRIVOG7KG9IQXA","GSON1112160013")</f>
        <v>#NAME?</v>
      </c>
      <c r="N1675" s="8" t="e">
        <f ca="1">[1]!BexGetData("DP_1","003N8EMH8GTFRIVOG7KG9IX8U","GSON1112160013")</f>
        <v>#NAME?</v>
      </c>
      <c r="O1675" s="8" t="e">
        <f ca="1">[1]!BexGetData("DP_1","003N8EMH8GTFRIVOG7KG9J3KE","GSON1112160013")</f>
        <v>#NAME?</v>
      </c>
      <c r="P1675" s="8" t="e">
        <f ca="1">[1]!BexGetData("DP_1","003N8EMH8GTFRIVOG7KG9J9VY","GSON1112160013")</f>
        <v>#NAME?</v>
      </c>
      <c r="Q1675" s="4" t="e">
        <f ca="1">[1]!BexGetData("DP_1","00O2TNJGODT0G5Z4TTKYMM5MT","GSON1112160013")</f>
        <v>#NAME?</v>
      </c>
      <c r="R1675" s="4" t="e">
        <f ca="1">[1]!BexGetData("DP_1","00O2TNJGODT0G5Z4TTKYMMBYD","GSON1112160013")</f>
        <v>#NAME?</v>
      </c>
      <c r="S1675" s="4" t="e">
        <f ca="1">[1]!BexGetData("DP_1","00O2TNJGODT0G5Z4TTKYMMI9X","GSON1112160013")</f>
        <v>#NAME?</v>
      </c>
      <c r="T1675" s="4" t="e">
        <f ca="1">[1]!BexGetData("DP_1","00O2TNJGODT0G5Z4TTKYMMOLH","GSON1112160013")</f>
        <v>#NAME?</v>
      </c>
      <c r="U1675" s="4" t="e">
        <f ca="1">[1]!BexGetData("DP_1","00O2TNJGODT0G5Z4TTKYMMUX1","GSON1112160013")</f>
        <v>#NAME?</v>
      </c>
      <c r="V1675" s="4" t="e">
        <f ca="1">[1]!BexGetData("DP_1","00O2TNJGODT0G5Z4TTKYMN18L","GSON1112160013")</f>
        <v>#NAME?</v>
      </c>
      <c r="W1675" s="4" t="e">
        <f ca="1">[1]!BexGetData("DP_1","00O2TNJGODT0G5Z4TTKYMN7K5","GSON1112160013")</f>
        <v>#NAME?</v>
      </c>
    </row>
    <row r="1676" spans="1:23" x14ac:dyDescent="0.2">
      <c r="A1676" s="16" t="s">
        <v>4288</v>
      </c>
      <c r="B1676" s="7" t="s">
        <v>4289</v>
      </c>
      <c r="C1676" s="3" t="e">
        <f ca="1">[1]!BexGetData("DP_1","003N8EMH8GTFRCSWKMPXRR8GU","GSON1112160014")</f>
        <v>#NAME?</v>
      </c>
      <c r="D1676" s="3" t="e">
        <f ca="1">[1]!BexGetData("DP_1","003N8EMH8GTFRCSWKMPXRRESE","GSON1112160014")</f>
        <v>#NAME?</v>
      </c>
      <c r="E1676" s="8" t="e">
        <f ca="1">[1]!BexGetData("DP_1","003N8EMH8GTFRCSWKMPXRRL3Y","GSON1112160014")</f>
        <v>#NAME?</v>
      </c>
      <c r="F1676" s="4" t="e">
        <f ca="1">[1]!BexGetData("DP_1","003N8EMH8GTFRCSWKMPXRRRFI","GSON1112160014")</f>
        <v>#NAME?</v>
      </c>
      <c r="G1676" s="4" t="e">
        <f ca="1">[1]!BexGetData("DP_1","003N8EMH8GTFRCSWKMPXRRXR2","GSON1112160014")</f>
        <v>#NAME?</v>
      </c>
      <c r="H1676" s="4" t="e">
        <f ca="1">[1]!BexGetData("DP_1","003N8EMH8GTFRCSWKMPXRS42M","GSON1112160014")</f>
        <v>#NAME?</v>
      </c>
      <c r="I1676" s="4" t="e">
        <f ca="1">[1]!BexGetData("DP_1","003N8EMH8GTFRCSWKMPXRSAE6","GSON1112160014")</f>
        <v>#NAME?</v>
      </c>
      <c r="J1676" s="4" t="e">
        <f ca="1">[1]!BexGetData("DP_1","003N8EMH8GTFRCSWKMPXRSGPQ","GSON1112160014")</f>
        <v>#NAME?</v>
      </c>
      <c r="K1676" s="8" t="e">
        <f ca="1">[1]!BexGetData("DP_1","003N8EMH8GTFRIVNUPY288VJH","GSON1112160014")</f>
        <v>#NAME?</v>
      </c>
      <c r="L1676" s="8" t="e">
        <f ca="1">[1]!BexGetData("DP_1","003N8EMH8GTFRIVNUPY2891V1","GSON1112160014")</f>
        <v>#NAME?</v>
      </c>
      <c r="M1676" s="8" t="e">
        <f ca="1">[1]!BexGetData("DP_1","003N8EMH8GTFRIVOG7KG9IQXA","GSON1112160014")</f>
        <v>#NAME?</v>
      </c>
      <c r="N1676" s="8" t="e">
        <f ca="1">[1]!BexGetData("DP_1","003N8EMH8GTFRIVOG7KG9IX8U","GSON1112160014")</f>
        <v>#NAME?</v>
      </c>
      <c r="O1676" s="8" t="e">
        <f ca="1">[1]!BexGetData("DP_1","003N8EMH8GTFRIVOG7KG9J3KE","GSON1112160014")</f>
        <v>#NAME?</v>
      </c>
      <c r="P1676" s="8" t="e">
        <f ca="1">[1]!BexGetData("DP_1","003N8EMH8GTFRIVOG7KG9J9VY","GSON1112160014")</f>
        <v>#NAME?</v>
      </c>
      <c r="Q1676" s="4" t="e">
        <f ca="1">[1]!BexGetData("DP_1","00O2TNJGODT0G5Z4TTKYMM5MT","GSON1112160014")</f>
        <v>#NAME?</v>
      </c>
      <c r="R1676" s="4" t="e">
        <f ca="1">[1]!BexGetData("DP_1","00O2TNJGODT0G5Z4TTKYMMBYD","GSON1112160014")</f>
        <v>#NAME?</v>
      </c>
      <c r="S1676" s="4" t="e">
        <f ca="1">[1]!BexGetData("DP_1","00O2TNJGODT0G5Z4TTKYMMI9X","GSON1112160014")</f>
        <v>#NAME?</v>
      </c>
      <c r="T1676" s="4" t="e">
        <f ca="1">[1]!BexGetData("DP_1","00O2TNJGODT0G5Z4TTKYMMOLH","GSON1112160014")</f>
        <v>#NAME?</v>
      </c>
      <c r="U1676" s="4" t="e">
        <f ca="1">[1]!BexGetData("DP_1","00O2TNJGODT0G5Z4TTKYMMUX1","GSON1112160014")</f>
        <v>#NAME?</v>
      </c>
      <c r="V1676" s="4" t="e">
        <f ca="1">[1]!BexGetData("DP_1","00O2TNJGODT0G5Z4TTKYMN18L","GSON1112160014")</f>
        <v>#NAME?</v>
      </c>
      <c r="W1676" s="4" t="e">
        <f ca="1">[1]!BexGetData("DP_1","00O2TNJGODT0G5Z4TTKYMN7K5","GSON1112160014")</f>
        <v>#NAME?</v>
      </c>
    </row>
    <row r="1677" spans="1:23" x14ac:dyDescent="0.2">
      <c r="A1677" s="16" t="s">
        <v>4290</v>
      </c>
      <c r="B1677" s="7" t="s">
        <v>4291</v>
      </c>
      <c r="C1677" s="3" t="e">
        <f ca="1">[1]!BexGetData("DP_1","003N8EMH8GTFRCSWKMPXRR8GU","GSON1112160020")</f>
        <v>#NAME?</v>
      </c>
      <c r="D1677" s="3" t="e">
        <f ca="1">[1]!BexGetData("DP_1","003N8EMH8GTFRCSWKMPXRRESE","GSON1112160020")</f>
        <v>#NAME?</v>
      </c>
      <c r="E1677" s="3" t="e">
        <f ca="1">[1]!BexGetData("DP_1","003N8EMH8GTFRCSWKMPXRRL3Y","GSON1112160020")</f>
        <v>#NAME?</v>
      </c>
      <c r="F1677" s="3" t="e">
        <f ca="1">[1]!BexGetData("DP_1","003N8EMH8GTFRCSWKMPXRRRFI","GSON1112160020")</f>
        <v>#NAME?</v>
      </c>
      <c r="G1677" s="3" t="e">
        <f ca="1">[1]!BexGetData("DP_1","003N8EMH8GTFRCSWKMPXRRXR2","GSON1112160020")</f>
        <v>#NAME?</v>
      </c>
      <c r="H1677" s="8" t="e">
        <f ca="1">[1]!BexGetData("DP_1","003N8EMH8GTFRCSWKMPXRS42M","GSON1112160020")</f>
        <v>#NAME?</v>
      </c>
      <c r="I1677" s="3" t="e">
        <f ca="1">[1]!BexGetData("DP_1","003N8EMH8GTFRCSWKMPXRSAE6","GSON1112160020")</f>
        <v>#NAME?</v>
      </c>
      <c r="J1677" s="4" t="e">
        <f ca="1">[1]!BexGetData("DP_1","003N8EMH8GTFRCSWKMPXRSGPQ","GSON1112160020")</f>
        <v>#NAME?</v>
      </c>
      <c r="K1677" s="3" t="e">
        <f ca="1">[1]!BexGetData("DP_1","003N8EMH8GTFRIVNUPY288VJH","GSON1112160020")</f>
        <v>#NAME?</v>
      </c>
      <c r="L1677" s="3" t="e">
        <f ca="1">[1]!BexGetData("DP_1","003N8EMH8GTFRIVNUPY2891V1","GSON1112160020")</f>
        <v>#NAME?</v>
      </c>
      <c r="M1677" s="8" t="e">
        <f ca="1">[1]!BexGetData("DP_1","003N8EMH8GTFRIVOG7KG9IQXA","GSON1112160020")</f>
        <v>#NAME?</v>
      </c>
      <c r="N1677" s="3" t="e">
        <f ca="1">[1]!BexGetData("DP_1","003N8EMH8GTFRIVOG7KG9IX8U","GSON1112160020")</f>
        <v>#NAME?</v>
      </c>
      <c r="O1677" s="8" t="e">
        <f ca="1">[1]!BexGetData("DP_1","003N8EMH8GTFRIVOG7KG9J3KE","GSON1112160020")</f>
        <v>#NAME?</v>
      </c>
      <c r="P1677" s="3" t="e">
        <f ca="1">[1]!BexGetData("DP_1","003N8EMH8GTFRIVOG7KG9J9VY","GSON1112160020")</f>
        <v>#NAME?</v>
      </c>
      <c r="Q1677" s="4" t="e">
        <f ca="1">[1]!BexGetData("DP_1","00O2TNJGODT0G5Z4TTKYMM5MT","GSON1112160020")</f>
        <v>#NAME?</v>
      </c>
      <c r="R1677" s="3" t="e">
        <f ca="1">[1]!BexGetData("DP_1","00O2TNJGODT0G5Z4TTKYMMBYD","GSON1112160020")</f>
        <v>#NAME?</v>
      </c>
      <c r="S1677" s="3" t="e">
        <f ca="1">[1]!BexGetData("DP_1","00O2TNJGODT0G5Z4TTKYMMI9X","GSON1112160020")</f>
        <v>#NAME?</v>
      </c>
      <c r="T1677" s="8" t="e">
        <f ca="1">[1]!BexGetData("DP_1","00O2TNJGODT0G5Z4TTKYMMOLH","GSON1112160020")</f>
        <v>#NAME?</v>
      </c>
      <c r="U1677" s="3" t="e">
        <f ca="1">[1]!BexGetData("DP_1","00O2TNJGODT0G5Z4TTKYMMUX1","GSON1112160020")</f>
        <v>#NAME?</v>
      </c>
      <c r="V1677" s="8" t="e">
        <f ca="1">[1]!BexGetData("DP_1","00O2TNJGODT0G5Z4TTKYMN18L","GSON1112160020")</f>
        <v>#NAME?</v>
      </c>
      <c r="W1677" s="3" t="e">
        <f ca="1">[1]!BexGetData("DP_1","00O2TNJGODT0G5Z4TTKYMN7K5","GSON1112160020")</f>
        <v>#NAME?</v>
      </c>
    </row>
    <row r="1678" spans="1:23" x14ac:dyDescent="0.2">
      <c r="A1678" s="16" t="s">
        <v>4292</v>
      </c>
      <c r="B1678" s="7" t="s">
        <v>4293</v>
      </c>
      <c r="C1678" s="3" t="e">
        <f ca="1">[1]!BexGetData("DP_1","003N8EMH8GTFRCSWKMPXRR8GU","GSON1112160021")</f>
        <v>#NAME?</v>
      </c>
      <c r="D1678" s="3" t="e">
        <f ca="1">[1]!BexGetData("DP_1","003N8EMH8GTFRCSWKMPXRRESE","GSON1112160021")</f>
        <v>#NAME?</v>
      </c>
      <c r="E1678" s="8" t="e">
        <f ca="1">[1]!BexGetData("DP_1","003N8EMH8GTFRCSWKMPXRRL3Y","GSON1112160021")</f>
        <v>#NAME?</v>
      </c>
      <c r="F1678" s="4" t="e">
        <f ca="1">[1]!BexGetData("DP_1","003N8EMH8GTFRCSWKMPXRRRFI","GSON1112160021")</f>
        <v>#NAME?</v>
      </c>
      <c r="G1678" s="4" t="e">
        <f ca="1">[1]!BexGetData("DP_1","003N8EMH8GTFRCSWKMPXRRXR2","GSON1112160021")</f>
        <v>#NAME?</v>
      </c>
      <c r="H1678" s="4" t="e">
        <f ca="1">[1]!BexGetData("DP_1","003N8EMH8GTFRCSWKMPXRS42M","GSON1112160021")</f>
        <v>#NAME?</v>
      </c>
      <c r="I1678" s="4" t="e">
        <f ca="1">[1]!BexGetData("DP_1","003N8EMH8GTFRCSWKMPXRSAE6","GSON1112160021")</f>
        <v>#NAME?</v>
      </c>
      <c r="J1678" s="4" t="e">
        <f ca="1">[1]!BexGetData("DP_1","003N8EMH8GTFRCSWKMPXRSGPQ","GSON1112160021")</f>
        <v>#NAME?</v>
      </c>
      <c r="K1678" s="8" t="e">
        <f ca="1">[1]!BexGetData("DP_1","003N8EMH8GTFRIVNUPY288VJH","GSON1112160021")</f>
        <v>#NAME?</v>
      </c>
      <c r="L1678" s="8" t="e">
        <f ca="1">[1]!BexGetData("DP_1","003N8EMH8GTFRIVNUPY2891V1","GSON1112160021")</f>
        <v>#NAME?</v>
      </c>
      <c r="M1678" s="8" t="e">
        <f ca="1">[1]!BexGetData("DP_1","003N8EMH8GTFRIVOG7KG9IQXA","GSON1112160021")</f>
        <v>#NAME?</v>
      </c>
      <c r="N1678" s="8" t="e">
        <f ca="1">[1]!BexGetData("DP_1","003N8EMH8GTFRIVOG7KG9IX8U","GSON1112160021")</f>
        <v>#NAME?</v>
      </c>
      <c r="O1678" s="8" t="e">
        <f ca="1">[1]!BexGetData("DP_1","003N8EMH8GTFRIVOG7KG9J3KE","GSON1112160021")</f>
        <v>#NAME?</v>
      </c>
      <c r="P1678" s="8" t="e">
        <f ca="1">[1]!BexGetData("DP_1","003N8EMH8GTFRIVOG7KG9J9VY","GSON1112160021")</f>
        <v>#NAME?</v>
      </c>
      <c r="Q1678" s="4" t="e">
        <f ca="1">[1]!BexGetData("DP_1","00O2TNJGODT0G5Z4TTKYMM5MT","GSON1112160021")</f>
        <v>#NAME?</v>
      </c>
      <c r="R1678" s="4" t="e">
        <f ca="1">[1]!BexGetData("DP_1","00O2TNJGODT0G5Z4TTKYMMBYD","GSON1112160021")</f>
        <v>#NAME?</v>
      </c>
      <c r="S1678" s="4" t="e">
        <f ca="1">[1]!BexGetData("DP_1","00O2TNJGODT0G5Z4TTKYMMI9X","GSON1112160021")</f>
        <v>#NAME?</v>
      </c>
      <c r="T1678" s="4" t="e">
        <f ca="1">[1]!BexGetData("DP_1","00O2TNJGODT0G5Z4TTKYMMOLH","GSON1112160021")</f>
        <v>#NAME?</v>
      </c>
      <c r="U1678" s="4" t="e">
        <f ca="1">[1]!BexGetData("DP_1","00O2TNJGODT0G5Z4TTKYMMUX1","GSON1112160021")</f>
        <v>#NAME?</v>
      </c>
      <c r="V1678" s="4" t="e">
        <f ca="1">[1]!BexGetData("DP_1","00O2TNJGODT0G5Z4TTKYMN18L","GSON1112160021")</f>
        <v>#NAME?</v>
      </c>
      <c r="W1678" s="4" t="e">
        <f ca="1">[1]!BexGetData("DP_1","00O2TNJGODT0G5Z4TTKYMN7K5","GSON1112160021")</f>
        <v>#NAME?</v>
      </c>
    </row>
    <row r="1679" spans="1:23" x14ac:dyDescent="0.2">
      <c r="A1679" s="16" t="s">
        <v>1190</v>
      </c>
      <c r="B1679" s="7" t="s">
        <v>1191</v>
      </c>
      <c r="C1679" s="3" t="e">
        <f ca="1">[1]!BexGetData("DP_1","003N8EMH8GTFRCSWKMPXRR8GU","GSON1112160023")</f>
        <v>#NAME?</v>
      </c>
      <c r="D1679" s="3" t="e">
        <f ca="1">[1]!BexGetData("DP_1","003N8EMH8GTFRCSWKMPXRRESE","GSON1112160023")</f>
        <v>#NAME?</v>
      </c>
      <c r="E1679" s="8" t="e">
        <f ca="1">[1]!BexGetData("DP_1","003N8EMH8GTFRCSWKMPXRRL3Y","GSON1112160023")</f>
        <v>#NAME?</v>
      </c>
      <c r="F1679" s="4" t="e">
        <f ca="1">[1]!BexGetData("DP_1","003N8EMH8GTFRCSWKMPXRRRFI","GSON1112160023")</f>
        <v>#NAME?</v>
      </c>
      <c r="G1679" s="4" t="e">
        <f ca="1">[1]!BexGetData("DP_1","003N8EMH8GTFRCSWKMPXRRXR2","GSON1112160023")</f>
        <v>#NAME?</v>
      </c>
      <c r="H1679" s="4" t="e">
        <f ca="1">[1]!BexGetData("DP_1","003N8EMH8GTFRCSWKMPXRS42M","GSON1112160023")</f>
        <v>#NAME?</v>
      </c>
      <c r="I1679" s="4" t="e">
        <f ca="1">[1]!BexGetData("DP_1","003N8EMH8GTFRCSWKMPXRSAE6","GSON1112160023")</f>
        <v>#NAME?</v>
      </c>
      <c r="J1679" s="4" t="e">
        <f ca="1">[1]!BexGetData("DP_1","003N8EMH8GTFRCSWKMPXRSGPQ","GSON1112160023")</f>
        <v>#NAME?</v>
      </c>
      <c r="K1679" s="8" t="e">
        <f ca="1">[1]!BexGetData("DP_1","003N8EMH8GTFRIVNUPY288VJH","GSON1112160023")</f>
        <v>#NAME?</v>
      </c>
      <c r="L1679" s="8" t="e">
        <f ca="1">[1]!BexGetData("DP_1","003N8EMH8GTFRIVNUPY2891V1","GSON1112160023")</f>
        <v>#NAME?</v>
      </c>
      <c r="M1679" s="8" t="e">
        <f ca="1">[1]!BexGetData("DP_1","003N8EMH8GTFRIVOG7KG9IQXA","GSON1112160023")</f>
        <v>#NAME?</v>
      </c>
      <c r="N1679" s="8" t="e">
        <f ca="1">[1]!BexGetData("DP_1","003N8EMH8GTFRIVOG7KG9IX8U","GSON1112160023")</f>
        <v>#NAME?</v>
      </c>
      <c r="O1679" s="8" t="e">
        <f ca="1">[1]!BexGetData("DP_1","003N8EMH8GTFRIVOG7KG9J3KE","GSON1112160023")</f>
        <v>#NAME?</v>
      </c>
      <c r="P1679" s="8" t="e">
        <f ca="1">[1]!BexGetData("DP_1","003N8EMH8GTFRIVOG7KG9J9VY","GSON1112160023")</f>
        <v>#NAME?</v>
      </c>
      <c r="Q1679" s="4" t="e">
        <f ca="1">[1]!BexGetData("DP_1","00O2TNJGODT0G5Z4TTKYMM5MT","GSON1112160023")</f>
        <v>#NAME?</v>
      </c>
      <c r="R1679" s="4" t="e">
        <f ca="1">[1]!BexGetData("DP_1","00O2TNJGODT0G5Z4TTKYMMBYD","GSON1112160023")</f>
        <v>#NAME?</v>
      </c>
      <c r="S1679" s="4" t="e">
        <f ca="1">[1]!BexGetData("DP_1","00O2TNJGODT0G5Z4TTKYMMI9X","GSON1112160023")</f>
        <v>#NAME?</v>
      </c>
      <c r="T1679" s="4" t="e">
        <f ca="1">[1]!BexGetData("DP_1","00O2TNJGODT0G5Z4TTKYMMOLH","GSON1112160023")</f>
        <v>#NAME?</v>
      </c>
      <c r="U1679" s="4" t="e">
        <f ca="1">[1]!BexGetData("DP_1","00O2TNJGODT0G5Z4TTKYMMUX1","GSON1112160023")</f>
        <v>#NAME?</v>
      </c>
      <c r="V1679" s="4" t="e">
        <f ca="1">[1]!BexGetData("DP_1","00O2TNJGODT0G5Z4TTKYMN18L","GSON1112160023")</f>
        <v>#NAME?</v>
      </c>
      <c r="W1679" s="4" t="e">
        <f ca="1">[1]!BexGetData("DP_1","00O2TNJGODT0G5Z4TTKYMN7K5","GSON1112160023")</f>
        <v>#NAME?</v>
      </c>
    </row>
    <row r="1680" spans="1:23" x14ac:dyDescent="0.2">
      <c r="A1680" s="16" t="s">
        <v>4294</v>
      </c>
      <c r="B1680" s="7" t="s">
        <v>4295</v>
      </c>
      <c r="C1680" s="3" t="e">
        <f ca="1">[1]!BexGetData("DP_1","003N8EMH8GTFRCSWKMPXRR8GU","GSON1112160024")</f>
        <v>#NAME?</v>
      </c>
      <c r="D1680" s="3" t="e">
        <f ca="1">[1]!BexGetData("DP_1","003N8EMH8GTFRCSWKMPXRRESE","GSON1112160024")</f>
        <v>#NAME?</v>
      </c>
      <c r="E1680" s="8" t="e">
        <f ca="1">[1]!BexGetData("DP_1","003N8EMH8GTFRCSWKMPXRRL3Y","GSON1112160024")</f>
        <v>#NAME?</v>
      </c>
      <c r="F1680" s="4" t="e">
        <f ca="1">[1]!BexGetData("DP_1","003N8EMH8GTFRCSWKMPXRRRFI","GSON1112160024")</f>
        <v>#NAME?</v>
      </c>
      <c r="G1680" s="4" t="e">
        <f ca="1">[1]!BexGetData("DP_1","003N8EMH8GTFRCSWKMPXRRXR2","GSON1112160024")</f>
        <v>#NAME?</v>
      </c>
      <c r="H1680" s="4" t="e">
        <f ca="1">[1]!BexGetData("DP_1","003N8EMH8GTFRCSWKMPXRS42M","GSON1112160024")</f>
        <v>#NAME?</v>
      </c>
      <c r="I1680" s="4" t="e">
        <f ca="1">[1]!BexGetData("DP_1","003N8EMH8GTFRCSWKMPXRSAE6","GSON1112160024")</f>
        <v>#NAME?</v>
      </c>
      <c r="J1680" s="4" t="e">
        <f ca="1">[1]!BexGetData("DP_1","003N8EMH8GTFRCSWKMPXRSGPQ","GSON1112160024")</f>
        <v>#NAME?</v>
      </c>
      <c r="K1680" s="8" t="e">
        <f ca="1">[1]!BexGetData("DP_1","003N8EMH8GTFRIVNUPY288VJH","GSON1112160024")</f>
        <v>#NAME?</v>
      </c>
      <c r="L1680" s="8" t="e">
        <f ca="1">[1]!BexGetData("DP_1","003N8EMH8GTFRIVNUPY2891V1","GSON1112160024")</f>
        <v>#NAME?</v>
      </c>
      <c r="M1680" s="8" t="e">
        <f ca="1">[1]!BexGetData("DP_1","003N8EMH8GTFRIVOG7KG9IQXA","GSON1112160024")</f>
        <v>#NAME?</v>
      </c>
      <c r="N1680" s="8" t="e">
        <f ca="1">[1]!BexGetData("DP_1","003N8EMH8GTFRIVOG7KG9IX8U","GSON1112160024")</f>
        <v>#NAME?</v>
      </c>
      <c r="O1680" s="8" t="e">
        <f ca="1">[1]!BexGetData("DP_1","003N8EMH8GTFRIVOG7KG9J3KE","GSON1112160024")</f>
        <v>#NAME?</v>
      </c>
      <c r="P1680" s="8" t="e">
        <f ca="1">[1]!BexGetData("DP_1","003N8EMH8GTFRIVOG7KG9J9VY","GSON1112160024")</f>
        <v>#NAME?</v>
      </c>
      <c r="Q1680" s="4" t="e">
        <f ca="1">[1]!BexGetData("DP_1","00O2TNJGODT0G5Z4TTKYMM5MT","GSON1112160024")</f>
        <v>#NAME?</v>
      </c>
      <c r="R1680" s="4" t="e">
        <f ca="1">[1]!BexGetData("DP_1","00O2TNJGODT0G5Z4TTKYMMBYD","GSON1112160024")</f>
        <v>#NAME?</v>
      </c>
      <c r="S1680" s="4" t="e">
        <f ca="1">[1]!BexGetData("DP_1","00O2TNJGODT0G5Z4TTKYMMI9X","GSON1112160024")</f>
        <v>#NAME?</v>
      </c>
      <c r="T1680" s="4" t="e">
        <f ca="1">[1]!BexGetData("DP_1","00O2TNJGODT0G5Z4TTKYMMOLH","GSON1112160024")</f>
        <v>#NAME?</v>
      </c>
      <c r="U1680" s="4" t="e">
        <f ca="1">[1]!BexGetData("DP_1","00O2TNJGODT0G5Z4TTKYMMUX1","GSON1112160024")</f>
        <v>#NAME?</v>
      </c>
      <c r="V1680" s="4" t="e">
        <f ca="1">[1]!BexGetData("DP_1","00O2TNJGODT0G5Z4TTKYMN18L","GSON1112160024")</f>
        <v>#NAME?</v>
      </c>
      <c r="W1680" s="4" t="e">
        <f ca="1">[1]!BexGetData("DP_1","00O2TNJGODT0G5Z4TTKYMN7K5","GSON1112160024")</f>
        <v>#NAME?</v>
      </c>
    </row>
    <row r="1681" spans="1:23" x14ac:dyDescent="0.2">
      <c r="A1681" s="16" t="s">
        <v>4296</v>
      </c>
      <c r="B1681" s="7" t="s">
        <v>4297</v>
      </c>
      <c r="C1681" s="3" t="e">
        <f ca="1">[1]!BexGetData("DP_1","003N8EMH8GTFRCSWKMPXRR8GU","GSON1112160030")</f>
        <v>#NAME?</v>
      </c>
      <c r="D1681" s="8" t="e">
        <f ca="1">[1]!BexGetData("DP_1","003N8EMH8GTFRCSWKMPXRRESE","GSON1112160030")</f>
        <v>#NAME?</v>
      </c>
      <c r="E1681" s="3" t="e">
        <f ca="1">[1]!BexGetData("DP_1","003N8EMH8GTFRCSWKMPXRRL3Y","GSON1112160030")</f>
        <v>#NAME?</v>
      </c>
      <c r="F1681" s="3" t="e">
        <f ca="1">[1]!BexGetData("DP_1","003N8EMH8GTFRCSWKMPXRRRFI","GSON1112160030")</f>
        <v>#NAME?</v>
      </c>
      <c r="G1681" s="3" t="e">
        <f ca="1">[1]!BexGetData("DP_1","003N8EMH8GTFRCSWKMPXRRXR2","GSON1112160030")</f>
        <v>#NAME?</v>
      </c>
      <c r="H1681" s="8" t="e">
        <f ca="1">[1]!BexGetData("DP_1","003N8EMH8GTFRCSWKMPXRS42M","GSON1112160030")</f>
        <v>#NAME?</v>
      </c>
      <c r="I1681" s="3" t="e">
        <f ca="1">[1]!BexGetData("DP_1","003N8EMH8GTFRCSWKMPXRSAE6","GSON1112160030")</f>
        <v>#NAME?</v>
      </c>
      <c r="J1681" s="4" t="e">
        <f ca="1">[1]!BexGetData("DP_1","003N8EMH8GTFRCSWKMPXRSGPQ","GSON1112160030")</f>
        <v>#NAME?</v>
      </c>
      <c r="K1681" s="3" t="e">
        <f ca="1">[1]!BexGetData("DP_1","003N8EMH8GTFRIVNUPY288VJH","GSON1112160030")</f>
        <v>#NAME?</v>
      </c>
      <c r="L1681" s="3" t="e">
        <f ca="1">[1]!BexGetData("DP_1","003N8EMH8GTFRIVNUPY2891V1","GSON1112160030")</f>
        <v>#NAME?</v>
      </c>
      <c r="M1681" s="8" t="e">
        <f ca="1">[1]!BexGetData("DP_1","003N8EMH8GTFRIVOG7KG9IQXA","GSON1112160030")</f>
        <v>#NAME?</v>
      </c>
      <c r="N1681" s="3" t="e">
        <f ca="1">[1]!BexGetData("DP_1","003N8EMH8GTFRIVOG7KG9IX8U","GSON1112160030")</f>
        <v>#NAME?</v>
      </c>
      <c r="O1681" s="8" t="e">
        <f ca="1">[1]!BexGetData("DP_1","003N8EMH8GTFRIVOG7KG9J3KE","GSON1112160030")</f>
        <v>#NAME?</v>
      </c>
      <c r="P1681" s="3" t="e">
        <f ca="1">[1]!BexGetData("DP_1","003N8EMH8GTFRIVOG7KG9J9VY","GSON1112160030")</f>
        <v>#NAME?</v>
      </c>
      <c r="Q1681" s="4" t="e">
        <f ca="1">[1]!BexGetData("DP_1","00O2TNJGODT0G5Z4TTKYMM5MT","GSON1112160030")</f>
        <v>#NAME?</v>
      </c>
      <c r="R1681" s="3" t="e">
        <f ca="1">[1]!BexGetData("DP_1","00O2TNJGODT0G5Z4TTKYMMBYD","GSON1112160030")</f>
        <v>#NAME?</v>
      </c>
      <c r="S1681" s="3" t="e">
        <f ca="1">[1]!BexGetData("DP_1","00O2TNJGODT0G5Z4TTKYMMI9X","GSON1112160030")</f>
        <v>#NAME?</v>
      </c>
      <c r="T1681" s="8" t="e">
        <f ca="1">[1]!BexGetData("DP_1","00O2TNJGODT0G5Z4TTKYMMOLH","GSON1112160030")</f>
        <v>#NAME?</v>
      </c>
      <c r="U1681" s="3" t="e">
        <f ca="1">[1]!BexGetData("DP_1","00O2TNJGODT0G5Z4TTKYMMUX1","GSON1112160030")</f>
        <v>#NAME?</v>
      </c>
      <c r="V1681" s="8" t="e">
        <f ca="1">[1]!BexGetData("DP_1","00O2TNJGODT0G5Z4TTKYMN18L","GSON1112160030")</f>
        <v>#NAME?</v>
      </c>
      <c r="W1681" s="3" t="e">
        <f ca="1">[1]!BexGetData("DP_1","00O2TNJGODT0G5Z4TTKYMN7K5","GSON1112160030")</f>
        <v>#NAME?</v>
      </c>
    </row>
    <row r="1682" spans="1:23" x14ac:dyDescent="0.2">
      <c r="A1682" s="16" t="s">
        <v>4298</v>
      </c>
      <c r="B1682" s="7" t="s">
        <v>4299</v>
      </c>
      <c r="C1682" s="3" t="e">
        <f ca="1">[1]!BexGetData("DP_1","003N8EMH8GTFRCSWKMPXRR8GU","GSON1112160035")</f>
        <v>#NAME?</v>
      </c>
      <c r="D1682" s="3" t="e">
        <f ca="1">[1]!BexGetData("DP_1","003N8EMH8GTFRCSWKMPXRRESE","GSON1112160035")</f>
        <v>#NAME?</v>
      </c>
      <c r="E1682" s="8" t="e">
        <f ca="1">[1]!BexGetData("DP_1","003N8EMH8GTFRCSWKMPXRRL3Y","GSON1112160035")</f>
        <v>#NAME?</v>
      </c>
      <c r="F1682" s="4" t="e">
        <f ca="1">[1]!BexGetData("DP_1","003N8EMH8GTFRCSWKMPXRRRFI","GSON1112160035")</f>
        <v>#NAME?</v>
      </c>
      <c r="G1682" s="4" t="e">
        <f ca="1">[1]!BexGetData("DP_1","003N8EMH8GTFRCSWKMPXRRXR2","GSON1112160035")</f>
        <v>#NAME?</v>
      </c>
      <c r="H1682" s="4" t="e">
        <f ca="1">[1]!BexGetData("DP_1","003N8EMH8GTFRCSWKMPXRS42M","GSON1112160035")</f>
        <v>#NAME?</v>
      </c>
      <c r="I1682" s="4" t="e">
        <f ca="1">[1]!BexGetData("DP_1","003N8EMH8GTFRCSWKMPXRSAE6","GSON1112160035")</f>
        <v>#NAME?</v>
      </c>
      <c r="J1682" s="4" t="e">
        <f ca="1">[1]!BexGetData("DP_1","003N8EMH8GTFRCSWKMPXRSGPQ","GSON1112160035")</f>
        <v>#NAME?</v>
      </c>
      <c r="K1682" s="8" t="e">
        <f ca="1">[1]!BexGetData("DP_1","003N8EMH8GTFRIVNUPY288VJH","GSON1112160035")</f>
        <v>#NAME?</v>
      </c>
      <c r="L1682" s="8" t="e">
        <f ca="1">[1]!BexGetData("DP_1","003N8EMH8GTFRIVNUPY2891V1","GSON1112160035")</f>
        <v>#NAME?</v>
      </c>
      <c r="M1682" s="8" t="e">
        <f ca="1">[1]!BexGetData("DP_1","003N8EMH8GTFRIVOG7KG9IQXA","GSON1112160035")</f>
        <v>#NAME?</v>
      </c>
      <c r="N1682" s="8" t="e">
        <f ca="1">[1]!BexGetData("DP_1","003N8EMH8GTFRIVOG7KG9IX8U","GSON1112160035")</f>
        <v>#NAME?</v>
      </c>
      <c r="O1682" s="8" t="e">
        <f ca="1">[1]!BexGetData("DP_1","003N8EMH8GTFRIVOG7KG9J3KE","GSON1112160035")</f>
        <v>#NAME?</v>
      </c>
      <c r="P1682" s="8" t="e">
        <f ca="1">[1]!BexGetData("DP_1","003N8EMH8GTFRIVOG7KG9J9VY","GSON1112160035")</f>
        <v>#NAME?</v>
      </c>
      <c r="Q1682" s="4" t="e">
        <f ca="1">[1]!BexGetData("DP_1","00O2TNJGODT0G5Z4TTKYMM5MT","GSON1112160035")</f>
        <v>#NAME?</v>
      </c>
      <c r="R1682" s="4" t="e">
        <f ca="1">[1]!BexGetData("DP_1","00O2TNJGODT0G5Z4TTKYMMBYD","GSON1112160035")</f>
        <v>#NAME?</v>
      </c>
      <c r="S1682" s="4" t="e">
        <f ca="1">[1]!BexGetData("DP_1","00O2TNJGODT0G5Z4TTKYMMI9X","GSON1112160035")</f>
        <v>#NAME?</v>
      </c>
      <c r="T1682" s="4" t="e">
        <f ca="1">[1]!BexGetData("DP_1","00O2TNJGODT0G5Z4TTKYMMOLH","GSON1112160035")</f>
        <v>#NAME?</v>
      </c>
      <c r="U1682" s="4" t="e">
        <f ca="1">[1]!BexGetData("DP_1","00O2TNJGODT0G5Z4TTKYMMUX1","GSON1112160035")</f>
        <v>#NAME?</v>
      </c>
      <c r="V1682" s="4" t="e">
        <f ca="1">[1]!BexGetData("DP_1","00O2TNJGODT0G5Z4TTKYMN18L","GSON1112160035")</f>
        <v>#NAME?</v>
      </c>
      <c r="W1682" s="4" t="e">
        <f ca="1">[1]!BexGetData("DP_1","00O2TNJGODT0G5Z4TTKYMN7K5","GSON1112160035")</f>
        <v>#NAME?</v>
      </c>
    </row>
    <row r="1683" spans="1:23" x14ac:dyDescent="0.2">
      <c r="A1683" s="16" t="s">
        <v>4300</v>
      </c>
      <c r="B1683" s="7" t="s">
        <v>4301</v>
      </c>
      <c r="C1683" s="8" t="e">
        <f ca="1">[1]!BexGetData("DP_1","003N8EMH8GTFRCSWKMPXRR8GU","GSON1112160040")</f>
        <v>#NAME?</v>
      </c>
      <c r="D1683" s="8" t="e">
        <f ca="1">[1]!BexGetData("DP_1","003N8EMH8GTFRCSWKMPXRRESE","GSON1112160040")</f>
        <v>#NAME?</v>
      </c>
      <c r="E1683" s="3" t="e">
        <f ca="1">[1]!BexGetData("DP_1","003N8EMH8GTFRCSWKMPXRRL3Y","GSON1112160040")</f>
        <v>#NAME?</v>
      </c>
      <c r="F1683" s="3" t="e">
        <f ca="1">[1]!BexGetData("DP_1","003N8EMH8GTFRCSWKMPXRRRFI","GSON1112160040")</f>
        <v>#NAME?</v>
      </c>
      <c r="G1683" s="3" t="e">
        <f ca="1">[1]!BexGetData("DP_1","003N8EMH8GTFRCSWKMPXRRXR2","GSON1112160040")</f>
        <v>#NAME?</v>
      </c>
      <c r="H1683" s="8" t="e">
        <f ca="1">[1]!BexGetData("DP_1","003N8EMH8GTFRCSWKMPXRS42M","GSON1112160040")</f>
        <v>#NAME?</v>
      </c>
      <c r="I1683" s="3" t="e">
        <f ca="1">[1]!BexGetData("DP_1","003N8EMH8GTFRCSWKMPXRSAE6","GSON1112160040")</f>
        <v>#NAME?</v>
      </c>
      <c r="J1683" s="4" t="e">
        <f ca="1">[1]!BexGetData("DP_1","003N8EMH8GTFRCSWKMPXRSGPQ","GSON1112160040")</f>
        <v>#NAME?</v>
      </c>
      <c r="K1683" s="8" t="e">
        <f ca="1">[1]!BexGetData("DP_1","003N8EMH8GTFRIVNUPY288VJH","GSON1112160040")</f>
        <v>#NAME?</v>
      </c>
      <c r="L1683" s="8" t="e">
        <f ca="1">[1]!BexGetData("DP_1","003N8EMH8GTFRIVNUPY2891V1","GSON1112160040")</f>
        <v>#NAME?</v>
      </c>
      <c r="M1683" s="8" t="e">
        <f ca="1">[1]!BexGetData("DP_1","003N8EMH8GTFRIVOG7KG9IQXA","GSON1112160040")</f>
        <v>#NAME?</v>
      </c>
      <c r="N1683" s="8" t="e">
        <f ca="1">[1]!BexGetData("DP_1","003N8EMH8GTFRIVOG7KG9IX8U","GSON1112160040")</f>
        <v>#NAME?</v>
      </c>
      <c r="O1683" s="8" t="e">
        <f ca="1">[1]!BexGetData("DP_1","003N8EMH8GTFRIVOG7KG9J3KE","GSON1112160040")</f>
        <v>#NAME?</v>
      </c>
      <c r="P1683" s="8" t="e">
        <f ca="1">[1]!BexGetData("DP_1","003N8EMH8GTFRIVOG7KG9J9VY","GSON1112160040")</f>
        <v>#NAME?</v>
      </c>
      <c r="Q1683" s="4" t="e">
        <f ca="1">[1]!BexGetData("DP_1","00O2TNJGODT0G5Z4TTKYMM5MT","GSON1112160040")</f>
        <v>#NAME?</v>
      </c>
      <c r="R1683" s="3" t="e">
        <f ca="1">[1]!BexGetData("DP_1","00O2TNJGODT0G5Z4TTKYMMBYD","GSON1112160040")</f>
        <v>#NAME?</v>
      </c>
      <c r="S1683" s="3" t="e">
        <f ca="1">[1]!BexGetData("DP_1","00O2TNJGODT0G5Z4TTKYMMI9X","GSON1112160040")</f>
        <v>#NAME?</v>
      </c>
      <c r="T1683" s="8" t="e">
        <f ca="1">[1]!BexGetData("DP_1","00O2TNJGODT0G5Z4TTKYMMOLH","GSON1112160040")</f>
        <v>#NAME?</v>
      </c>
      <c r="U1683" s="3" t="e">
        <f ca="1">[1]!BexGetData("DP_1","00O2TNJGODT0G5Z4TTKYMMUX1","GSON1112160040")</f>
        <v>#NAME?</v>
      </c>
      <c r="V1683" s="8" t="e">
        <f ca="1">[1]!BexGetData("DP_1","00O2TNJGODT0G5Z4TTKYMN18L","GSON1112160040")</f>
        <v>#NAME?</v>
      </c>
      <c r="W1683" s="3" t="e">
        <f ca="1">[1]!BexGetData("DP_1","00O2TNJGODT0G5Z4TTKYMN7K5","GSON1112160040")</f>
        <v>#NAME?</v>
      </c>
    </row>
    <row r="1684" spans="1:23" x14ac:dyDescent="0.2">
      <c r="A1684" s="16" t="s">
        <v>4302</v>
      </c>
      <c r="B1684" s="7" t="s">
        <v>4303</v>
      </c>
      <c r="C1684" s="3" t="e">
        <f ca="1">[1]!BexGetData("DP_1","003N8EMH8GTFRCSWKMPXRR8GU","GSON1112160050")</f>
        <v>#NAME?</v>
      </c>
      <c r="D1684" s="8" t="e">
        <f ca="1">[1]!BexGetData("DP_1","003N8EMH8GTFRCSWKMPXRRESE","GSON1112160050")</f>
        <v>#NAME?</v>
      </c>
      <c r="E1684" s="3" t="e">
        <f ca="1">[1]!BexGetData("DP_1","003N8EMH8GTFRCSWKMPXRRL3Y","GSON1112160050")</f>
        <v>#NAME?</v>
      </c>
      <c r="F1684" s="3" t="e">
        <f ca="1">[1]!BexGetData("DP_1","003N8EMH8GTFRCSWKMPXRRRFI","GSON1112160050")</f>
        <v>#NAME?</v>
      </c>
      <c r="G1684" s="3" t="e">
        <f ca="1">[1]!BexGetData("DP_1","003N8EMH8GTFRCSWKMPXRRXR2","GSON1112160050")</f>
        <v>#NAME?</v>
      </c>
      <c r="H1684" s="8" t="e">
        <f ca="1">[1]!BexGetData("DP_1","003N8EMH8GTFRCSWKMPXRS42M","GSON1112160050")</f>
        <v>#NAME?</v>
      </c>
      <c r="I1684" s="3" t="e">
        <f ca="1">[1]!BexGetData("DP_1","003N8EMH8GTFRCSWKMPXRSAE6","GSON1112160050")</f>
        <v>#NAME?</v>
      </c>
      <c r="J1684" s="4" t="e">
        <f ca="1">[1]!BexGetData("DP_1","003N8EMH8GTFRCSWKMPXRSGPQ","GSON1112160050")</f>
        <v>#NAME?</v>
      </c>
      <c r="K1684" s="3" t="e">
        <f ca="1">[1]!BexGetData("DP_1","003N8EMH8GTFRIVNUPY288VJH","GSON1112160050")</f>
        <v>#NAME?</v>
      </c>
      <c r="L1684" s="3" t="e">
        <f ca="1">[1]!BexGetData("DP_1","003N8EMH8GTFRIVNUPY2891V1","GSON1112160050")</f>
        <v>#NAME?</v>
      </c>
      <c r="M1684" s="8" t="e">
        <f ca="1">[1]!BexGetData("DP_1","003N8EMH8GTFRIVOG7KG9IQXA","GSON1112160050")</f>
        <v>#NAME?</v>
      </c>
      <c r="N1684" s="3" t="e">
        <f ca="1">[1]!BexGetData("DP_1","003N8EMH8GTFRIVOG7KG9IX8U","GSON1112160050")</f>
        <v>#NAME?</v>
      </c>
      <c r="O1684" s="8" t="e">
        <f ca="1">[1]!BexGetData("DP_1","003N8EMH8GTFRIVOG7KG9J3KE","GSON1112160050")</f>
        <v>#NAME?</v>
      </c>
      <c r="P1684" s="3" t="e">
        <f ca="1">[1]!BexGetData("DP_1","003N8EMH8GTFRIVOG7KG9J9VY","GSON1112160050")</f>
        <v>#NAME?</v>
      </c>
      <c r="Q1684" s="4" t="e">
        <f ca="1">[1]!BexGetData("DP_1","00O2TNJGODT0G5Z4TTKYMM5MT","GSON1112160050")</f>
        <v>#NAME?</v>
      </c>
      <c r="R1684" s="3" t="e">
        <f ca="1">[1]!BexGetData("DP_1","00O2TNJGODT0G5Z4TTKYMMBYD","GSON1112160050")</f>
        <v>#NAME?</v>
      </c>
      <c r="S1684" s="3" t="e">
        <f ca="1">[1]!BexGetData("DP_1","00O2TNJGODT0G5Z4TTKYMMI9X","GSON1112160050")</f>
        <v>#NAME?</v>
      </c>
      <c r="T1684" s="8" t="e">
        <f ca="1">[1]!BexGetData("DP_1","00O2TNJGODT0G5Z4TTKYMMOLH","GSON1112160050")</f>
        <v>#NAME?</v>
      </c>
      <c r="U1684" s="3" t="e">
        <f ca="1">[1]!BexGetData("DP_1","00O2TNJGODT0G5Z4TTKYMMUX1","GSON1112160050")</f>
        <v>#NAME?</v>
      </c>
      <c r="V1684" s="8" t="e">
        <f ca="1">[1]!BexGetData("DP_1","00O2TNJGODT0G5Z4TTKYMN18L","GSON1112160050")</f>
        <v>#NAME?</v>
      </c>
      <c r="W1684" s="3" t="e">
        <f ca="1">[1]!BexGetData("DP_1","00O2TNJGODT0G5Z4TTKYMN7K5","GSON1112160050")</f>
        <v>#NAME?</v>
      </c>
    </row>
    <row r="1685" spans="1:23" x14ac:dyDescent="0.2">
      <c r="A1685" s="16" t="s">
        <v>4304</v>
      </c>
      <c r="B1685" s="7" t="s">
        <v>4305</v>
      </c>
      <c r="C1685" s="3" t="e">
        <f ca="1">[1]!BexGetData("DP_1","003N8EMH8GTFRCSWKMPXRR8GU","GSON1112160051")</f>
        <v>#NAME?</v>
      </c>
      <c r="D1685" s="3" t="e">
        <f ca="1">[1]!BexGetData("DP_1","003N8EMH8GTFRCSWKMPXRRESE","GSON1112160051")</f>
        <v>#NAME?</v>
      </c>
      <c r="E1685" s="8" t="e">
        <f ca="1">[1]!BexGetData("DP_1","003N8EMH8GTFRCSWKMPXRRL3Y","GSON1112160051")</f>
        <v>#NAME?</v>
      </c>
      <c r="F1685" s="4" t="e">
        <f ca="1">[1]!BexGetData("DP_1","003N8EMH8GTFRCSWKMPXRRRFI","GSON1112160051")</f>
        <v>#NAME?</v>
      </c>
      <c r="G1685" s="4" t="e">
        <f ca="1">[1]!BexGetData("DP_1","003N8EMH8GTFRCSWKMPXRRXR2","GSON1112160051")</f>
        <v>#NAME?</v>
      </c>
      <c r="H1685" s="4" t="e">
        <f ca="1">[1]!BexGetData("DP_1","003N8EMH8GTFRCSWKMPXRS42M","GSON1112160051")</f>
        <v>#NAME?</v>
      </c>
      <c r="I1685" s="4" t="e">
        <f ca="1">[1]!BexGetData("DP_1","003N8EMH8GTFRCSWKMPXRSAE6","GSON1112160051")</f>
        <v>#NAME?</v>
      </c>
      <c r="J1685" s="4" t="e">
        <f ca="1">[1]!BexGetData("DP_1","003N8EMH8GTFRCSWKMPXRSGPQ","GSON1112160051")</f>
        <v>#NAME?</v>
      </c>
      <c r="K1685" s="8" t="e">
        <f ca="1">[1]!BexGetData("DP_1","003N8EMH8GTFRIVNUPY288VJH","GSON1112160051")</f>
        <v>#NAME?</v>
      </c>
      <c r="L1685" s="8" t="e">
        <f ca="1">[1]!BexGetData("DP_1","003N8EMH8GTFRIVNUPY2891V1","GSON1112160051")</f>
        <v>#NAME?</v>
      </c>
      <c r="M1685" s="8" t="e">
        <f ca="1">[1]!BexGetData("DP_1","003N8EMH8GTFRIVOG7KG9IQXA","GSON1112160051")</f>
        <v>#NAME?</v>
      </c>
      <c r="N1685" s="8" t="e">
        <f ca="1">[1]!BexGetData("DP_1","003N8EMH8GTFRIVOG7KG9IX8U","GSON1112160051")</f>
        <v>#NAME?</v>
      </c>
      <c r="O1685" s="8" t="e">
        <f ca="1">[1]!BexGetData("DP_1","003N8EMH8GTFRIVOG7KG9J3KE","GSON1112160051")</f>
        <v>#NAME?</v>
      </c>
      <c r="P1685" s="8" t="e">
        <f ca="1">[1]!BexGetData("DP_1","003N8EMH8GTFRIVOG7KG9J9VY","GSON1112160051")</f>
        <v>#NAME?</v>
      </c>
      <c r="Q1685" s="4" t="e">
        <f ca="1">[1]!BexGetData("DP_1","00O2TNJGODT0G5Z4TTKYMM5MT","GSON1112160051")</f>
        <v>#NAME?</v>
      </c>
      <c r="R1685" s="4" t="e">
        <f ca="1">[1]!BexGetData("DP_1","00O2TNJGODT0G5Z4TTKYMMBYD","GSON1112160051")</f>
        <v>#NAME?</v>
      </c>
      <c r="S1685" s="4" t="e">
        <f ca="1">[1]!BexGetData("DP_1","00O2TNJGODT0G5Z4TTKYMMI9X","GSON1112160051")</f>
        <v>#NAME?</v>
      </c>
      <c r="T1685" s="4" t="e">
        <f ca="1">[1]!BexGetData("DP_1","00O2TNJGODT0G5Z4TTKYMMOLH","GSON1112160051")</f>
        <v>#NAME?</v>
      </c>
      <c r="U1685" s="4" t="e">
        <f ca="1">[1]!BexGetData("DP_1","00O2TNJGODT0G5Z4TTKYMMUX1","GSON1112160051")</f>
        <v>#NAME?</v>
      </c>
      <c r="V1685" s="4" t="e">
        <f ca="1">[1]!BexGetData("DP_1","00O2TNJGODT0G5Z4TTKYMN18L","GSON1112160051")</f>
        <v>#NAME?</v>
      </c>
      <c r="W1685" s="4" t="e">
        <f ca="1">[1]!BexGetData("DP_1","00O2TNJGODT0G5Z4TTKYMN7K5","GSON1112160051")</f>
        <v>#NAME?</v>
      </c>
    </row>
    <row r="1686" spans="1:23" x14ac:dyDescent="0.2">
      <c r="A1686" s="16" t="s">
        <v>4306</v>
      </c>
      <c r="B1686" s="7" t="s">
        <v>4307</v>
      </c>
      <c r="C1686" s="3" t="e">
        <f ca="1">[1]!BexGetData("DP_1","003N8EMH8GTFRCSWKMPXRR8GU","GSON1112160055")</f>
        <v>#NAME?</v>
      </c>
      <c r="D1686" s="3" t="e">
        <f ca="1">[1]!BexGetData("DP_1","003N8EMH8GTFRCSWKMPXRRESE","GSON1112160055")</f>
        <v>#NAME?</v>
      </c>
      <c r="E1686" s="8" t="e">
        <f ca="1">[1]!BexGetData("DP_1","003N8EMH8GTFRCSWKMPXRRL3Y","GSON1112160055")</f>
        <v>#NAME?</v>
      </c>
      <c r="F1686" s="4" t="e">
        <f ca="1">[1]!BexGetData("DP_1","003N8EMH8GTFRCSWKMPXRRRFI","GSON1112160055")</f>
        <v>#NAME?</v>
      </c>
      <c r="G1686" s="4" t="e">
        <f ca="1">[1]!BexGetData("DP_1","003N8EMH8GTFRCSWKMPXRRXR2","GSON1112160055")</f>
        <v>#NAME?</v>
      </c>
      <c r="H1686" s="4" t="e">
        <f ca="1">[1]!BexGetData("DP_1","003N8EMH8GTFRCSWKMPXRS42M","GSON1112160055")</f>
        <v>#NAME?</v>
      </c>
      <c r="I1686" s="4" t="e">
        <f ca="1">[1]!BexGetData("DP_1","003N8EMH8GTFRCSWKMPXRSAE6","GSON1112160055")</f>
        <v>#NAME?</v>
      </c>
      <c r="J1686" s="4" t="e">
        <f ca="1">[1]!BexGetData("DP_1","003N8EMH8GTFRCSWKMPXRSGPQ","GSON1112160055")</f>
        <v>#NAME?</v>
      </c>
      <c r="K1686" s="8" t="e">
        <f ca="1">[1]!BexGetData("DP_1","003N8EMH8GTFRIVNUPY288VJH","GSON1112160055")</f>
        <v>#NAME?</v>
      </c>
      <c r="L1686" s="8" t="e">
        <f ca="1">[1]!BexGetData("DP_1","003N8EMH8GTFRIVNUPY2891V1","GSON1112160055")</f>
        <v>#NAME?</v>
      </c>
      <c r="M1686" s="8" t="e">
        <f ca="1">[1]!BexGetData("DP_1","003N8EMH8GTFRIVOG7KG9IQXA","GSON1112160055")</f>
        <v>#NAME?</v>
      </c>
      <c r="N1686" s="8" t="e">
        <f ca="1">[1]!BexGetData("DP_1","003N8EMH8GTFRIVOG7KG9IX8U","GSON1112160055")</f>
        <v>#NAME?</v>
      </c>
      <c r="O1686" s="8" t="e">
        <f ca="1">[1]!BexGetData("DP_1","003N8EMH8GTFRIVOG7KG9J3KE","GSON1112160055")</f>
        <v>#NAME?</v>
      </c>
      <c r="P1686" s="8" t="e">
        <f ca="1">[1]!BexGetData("DP_1","003N8EMH8GTFRIVOG7KG9J9VY","GSON1112160055")</f>
        <v>#NAME?</v>
      </c>
      <c r="Q1686" s="4" t="e">
        <f ca="1">[1]!BexGetData("DP_1","00O2TNJGODT0G5Z4TTKYMM5MT","GSON1112160055")</f>
        <v>#NAME?</v>
      </c>
      <c r="R1686" s="4" t="e">
        <f ca="1">[1]!BexGetData("DP_1","00O2TNJGODT0G5Z4TTKYMMBYD","GSON1112160055")</f>
        <v>#NAME?</v>
      </c>
      <c r="S1686" s="4" t="e">
        <f ca="1">[1]!BexGetData("DP_1","00O2TNJGODT0G5Z4TTKYMMI9X","GSON1112160055")</f>
        <v>#NAME?</v>
      </c>
      <c r="T1686" s="4" t="e">
        <f ca="1">[1]!BexGetData("DP_1","00O2TNJGODT0G5Z4TTKYMMOLH","GSON1112160055")</f>
        <v>#NAME?</v>
      </c>
      <c r="U1686" s="4" t="e">
        <f ca="1">[1]!BexGetData("DP_1","00O2TNJGODT0G5Z4TTKYMMUX1","GSON1112160055")</f>
        <v>#NAME?</v>
      </c>
      <c r="V1686" s="4" t="e">
        <f ca="1">[1]!BexGetData("DP_1","00O2TNJGODT0G5Z4TTKYMN18L","GSON1112160055")</f>
        <v>#NAME?</v>
      </c>
      <c r="W1686" s="4" t="e">
        <f ca="1">[1]!BexGetData("DP_1","00O2TNJGODT0G5Z4TTKYMN7K5","GSON1112160055")</f>
        <v>#NAME?</v>
      </c>
    </row>
    <row r="1687" spans="1:23" x14ac:dyDescent="0.2">
      <c r="A1687" s="16" t="s">
        <v>4308</v>
      </c>
      <c r="B1687" s="7" t="s">
        <v>4309</v>
      </c>
      <c r="C1687" s="8" t="e">
        <f ca="1">[1]!BexGetData("DP_1","003N8EMH8GTFRCSWKMPXRR8GU","GSON1112160060")</f>
        <v>#NAME?</v>
      </c>
      <c r="D1687" s="8" t="e">
        <f ca="1">[1]!BexGetData("DP_1","003N8EMH8GTFRCSWKMPXRRESE","GSON1112160060")</f>
        <v>#NAME?</v>
      </c>
      <c r="E1687" s="3" t="e">
        <f ca="1">[1]!BexGetData("DP_1","003N8EMH8GTFRCSWKMPXRRL3Y","GSON1112160060")</f>
        <v>#NAME?</v>
      </c>
      <c r="F1687" s="3" t="e">
        <f ca="1">[1]!BexGetData("DP_1","003N8EMH8GTFRCSWKMPXRRRFI","GSON1112160060")</f>
        <v>#NAME?</v>
      </c>
      <c r="G1687" s="3" t="e">
        <f ca="1">[1]!BexGetData("DP_1","003N8EMH8GTFRCSWKMPXRRXR2","GSON1112160060")</f>
        <v>#NAME?</v>
      </c>
      <c r="H1687" s="8" t="e">
        <f ca="1">[1]!BexGetData("DP_1","003N8EMH8GTFRCSWKMPXRS42M","GSON1112160060")</f>
        <v>#NAME?</v>
      </c>
      <c r="I1687" s="3" t="e">
        <f ca="1">[1]!BexGetData("DP_1","003N8EMH8GTFRCSWKMPXRSAE6","GSON1112160060")</f>
        <v>#NAME?</v>
      </c>
      <c r="J1687" s="4" t="e">
        <f ca="1">[1]!BexGetData("DP_1","003N8EMH8GTFRCSWKMPXRSGPQ","GSON1112160060")</f>
        <v>#NAME?</v>
      </c>
      <c r="K1687" s="8" t="e">
        <f ca="1">[1]!BexGetData("DP_1","003N8EMH8GTFRIVNUPY288VJH","GSON1112160060")</f>
        <v>#NAME?</v>
      </c>
      <c r="L1687" s="8" t="e">
        <f ca="1">[1]!BexGetData("DP_1","003N8EMH8GTFRIVNUPY2891V1","GSON1112160060")</f>
        <v>#NAME?</v>
      </c>
      <c r="M1687" s="8" t="e">
        <f ca="1">[1]!BexGetData("DP_1","003N8EMH8GTFRIVOG7KG9IQXA","GSON1112160060")</f>
        <v>#NAME?</v>
      </c>
      <c r="N1687" s="8" t="e">
        <f ca="1">[1]!BexGetData("DP_1","003N8EMH8GTFRIVOG7KG9IX8U","GSON1112160060")</f>
        <v>#NAME?</v>
      </c>
      <c r="O1687" s="8" t="e">
        <f ca="1">[1]!BexGetData("DP_1","003N8EMH8GTFRIVOG7KG9J3KE","GSON1112160060")</f>
        <v>#NAME?</v>
      </c>
      <c r="P1687" s="8" t="e">
        <f ca="1">[1]!BexGetData("DP_1","003N8EMH8GTFRIVOG7KG9J9VY","GSON1112160060")</f>
        <v>#NAME?</v>
      </c>
      <c r="Q1687" s="4" t="e">
        <f ca="1">[1]!BexGetData("DP_1","00O2TNJGODT0G5Z4TTKYMM5MT","GSON1112160060")</f>
        <v>#NAME?</v>
      </c>
      <c r="R1687" s="3" t="e">
        <f ca="1">[1]!BexGetData("DP_1","00O2TNJGODT0G5Z4TTKYMMBYD","GSON1112160060")</f>
        <v>#NAME?</v>
      </c>
      <c r="S1687" s="3" t="e">
        <f ca="1">[1]!BexGetData("DP_1","00O2TNJGODT0G5Z4TTKYMMI9X","GSON1112160060")</f>
        <v>#NAME?</v>
      </c>
      <c r="T1687" s="8" t="e">
        <f ca="1">[1]!BexGetData("DP_1","00O2TNJGODT0G5Z4TTKYMMOLH","GSON1112160060")</f>
        <v>#NAME?</v>
      </c>
      <c r="U1687" s="3" t="e">
        <f ca="1">[1]!BexGetData("DP_1","00O2TNJGODT0G5Z4TTKYMMUX1","GSON1112160060")</f>
        <v>#NAME?</v>
      </c>
      <c r="V1687" s="8" t="e">
        <f ca="1">[1]!BexGetData("DP_1","00O2TNJGODT0G5Z4TTKYMN18L","GSON1112160060")</f>
        <v>#NAME?</v>
      </c>
      <c r="W1687" s="3" t="e">
        <f ca="1">[1]!BexGetData("DP_1","00O2TNJGODT0G5Z4TTKYMN7K5","GSON1112160060")</f>
        <v>#NAME?</v>
      </c>
    </row>
    <row r="1688" spans="1:23" x14ac:dyDescent="0.2">
      <c r="A1688" s="16" t="s">
        <v>4310</v>
      </c>
      <c r="B1688" s="7" t="s">
        <v>4311</v>
      </c>
      <c r="C1688" s="3" t="e">
        <f ca="1">[1]!BexGetData("DP_1","003N8EMH8GTFRCSWKMPXRR8GU","GSON1112160070")</f>
        <v>#NAME?</v>
      </c>
      <c r="D1688" s="8" t="e">
        <f ca="1">[1]!BexGetData("DP_1","003N8EMH8GTFRCSWKMPXRRESE","GSON1112160070")</f>
        <v>#NAME?</v>
      </c>
      <c r="E1688" s="3" t="e">
        <f ca="1">[1]!BexGetData("DP_1","003N8EMH8GTFRCSWKMPXRRL3Y","GSON1112160070")</f>
        <v>#NAME?</v>
      </c>
      <c r="F1688" s="3" t="e">
        <f ca="1">[1]!BexGetData("DP_1","003N8EMH8GTFRCSWKMPXRRRFI","GSON1112160070")</f>
        <v>#NAME?</v>
      </c>
      <c r="G1688" s="3" t="e">
        <f ca="1">[1]!BexGetData("DP_1","003N8EMH8GTFRCSWKMPXRRXR2","GSON1112160070")</f>
        <v>#NAME?</v>
      </c>
      <c r="H1688" s="8" t="e">
        <f ca="1">[1]!BexGetData("DP_1","003N8EMH8GTFRCSWKMPXRS42M","GSON1112160070")</f>
        <v>#NAME?</v>
      </c>
      <c r="I1688" s="3" t="e">
        <f ca="1">[1]!BexGetData("DP_1","003N8EMH8GTFRCSWKMPXRSAE6","GSON1112160070")</f>
        <v>#NAME?</v>
      </c>
      <c r="J1688" s="4" t="e">
        <f ca="1">[1]!BexGetData("DP_1","003N8EMH8GTFRCSWKMPXRSGPQ","GSON1112160070")</f>
        <v>#NAME?</v>
      </c>
      <c r="K1688" s="3" t="e">
        <f ca="1">[1]!BexGetData("DP_1","003N8EMH8GTFRIVNUPY288VJH","GSON1112160070")</f>
        <v>#NAME?</v>
      </c>
      <c r="L1688" s="3" t="e">
        <f ca="1">[1]!BexGetData("DP_1","003N8EMH8GTFRIVNUPY2891V1","GSON1112160070")</f>
        <v>#NAME?</v>
      </c>
      <c r="M1688" s="8" t="e">
        <f ca="1">[1]!BexGetData("DP_1","003N8EMH8GTFRIVOG7KG9IQXA","GSON1112160070")</f>
        <v>#NAME?</v>
      </c>
      <c r="N1688" s="3" t="e">
        <f ca="1">[1]!BexGetData("DP_1","003N8EMH8GTFRIVOG7KG9IX8U","GSON1112160070")</f>
        <v>#NAME?</v>
      </c>
      <c r="O1688" s="8" t="e">
        <f ca="1">[1]!BexGetData("DP_1","003N8EMH8GTFRIVOG7KG9J3KE","GSON1112160070")</f>
        <v>#NAME?</v>
      </c>
      <c r="P1688" s="3" t="e">
        <f ca="1">[1]!BexGetData("DP_1","003N8EMH8GTFRIVOG7KG9J9VY","GSON1112160070")</f>
        <v>#NAME?</v>
      </c>
      <c r="Q1688" s="4" t="e">
        <f ca="1">[1]!BexGetData("DP_1","00O2TNJGODT0G5Z4TTKYMM5MT","GSON1112160070")</f>
        <v>#NAME?</v>
      </c>
      <c r="R1688" s="3" t="e">
        <f ca="1">[1]!BexGetData("DP_1","00O2TNJGODT0G5Z4TTKYMMBYD","GSON1112160070")</f>
        <v>#NAME?</v>
      </c>
      <c r="S1688" s="3" t="e">
        <f ca="1">[1]!BexGetData("DP_1","00O2TNJGODT0G5Z4TTKYMMI9X","GSON1112160070")</f>
        <v>#NAME?</v>
      </c>
      <c r="T1688" s="8" t="e">
        <f ca="1">[1]!BexGetData("DP_1","00O2TNJGODT0G5Z4TTKYMMOLH","GSON1112160070")</f>
        <v>#NAME?</v>
      </c>
      <c r="U1688" s="3" t="e">
        <f ca="1">[1]!BexGetData("DP_1","00O2TNJGODT0G5Z4TTKYMMUX1","GSON1112160070")</f>
        <v>#NAME?</v>
      </c>
      <c r="V1688" s="8" t="e">
        <f ca="1">[1]!BexGetData("DP_1","00O2TNJGODT0G5Z4TTKYMN18L","GSON1112160070")</f>
        <v>#NAME?</v>
      </c>
      <c r="W1688" s="3" t="e">
        <f ca="1">[1]!BexGetData("DP_1","00O2TNJGODT0G5Z4TTKYMN7K5","GSON1112160070")</f>
        <v>#NAME?</v>
      </c>
    </row>
    <row r="1689" spans="1:23" x14ac:dyDescent="0.2">
      <c r="A1689" s="16" t="s">
        <v>4312</v>
      </c>
      <c r="B1689" s="7" t="s">
        <v>4313</v>
      </c>
      <c r="C1689" s="3" t="e">
        <f ca="1">[1]!BexGetData("DP_1","003N8EMH8GTFRCSWKMPXRR8GU","GSON1112160071")</f>
        <v>#NAME?</v>
      </c>
      <c r="D1689" s="3" t="e">
        <f ca="1">[1]!BexGetData("DP_1","003N8EMH8GTFRCSWKMPXRRESE","GSON1112160071")</f>
        <v>#NAME?</v>
      </c>
      <c r="E1689" s="8" t="e">
        <f ca="1">[1]!BexGetData("DP_1","003N8EMH8GTFRCSWKMPXRRL3Y","GSON1112160071")</f>
        <v>#NAME?</v>
      </c>
      <c r="F1689" s="4" t="e">
        <f ca="1">[1]!BexGetData("DP_1","003N8EMH8GTFRCSWKMPXRRRFI","GSON1112160071")</f>
        <v>#NAME?</v>
      </c>
      <c r="G1689" s="4" t="e">
        <f ca="1">[1]!BexGetData("DP_1","003N8EMH8GTFRCSWKMPXRRXR2","GSON1112160071")</f>
        <v>#NAME?</v>
      </c>
      <c r="H1689" s="4" t="e">
        <f ca="1">[1]!BexGetData("DP_1","003N8EMH8GTFRCSWKMPXRS42M","GSON1112160071")</f>
        <v>#NAME?</v>
      </c>
      <c r="I1689" s="4" t="e">
        <f ca="1">[1]!BexGetData("DP_1","003N8EMH8GTFRCSWKMPXRSAE6","GSON1112160071")</f>
        <v>#NAME?</v>
      </c>
      <c r="J1689" s="4" t="e">
        <f ca="1">[1]!BexGetData("DP_1","003N8EMH8GTFRCSWKMPXRSGPQ","GSON1112160071")</f>
        <v>#NAME?</v>
      </c>
      <c r="K1689" s="8" t="e">
        <f ca="1">[1]!BexGetData("DP_1","003N8EMH8GTFRIVNUPY288VJH","GSON1112160071")</f>
        <v>#NAME?</v>
      </c>
      <c r="L1689" s="8" t="e">
        <f ca="1">[1]!BexGetData("DP_1","003N8EMH8GTFRIVNUPY2891V1","GSON1112160071")</f>
        <v>#NAME?</v>
      </c>
      <c r="M1689" s="8" t="e">
        <f ca="1">[1]!BexGetData("DP_1","003N8EMH8GTFRIVOG7KG9IQXA","GSON1112160071")</f>
        <v>#NAME?</v>
      </c>
      <c r="N1689" s="8" t="e">
        <f ca="1">[1]!BexGetData("DP_1","003N8EMH8GTFRIVOG7KG9IX8U","GSON1112160071")</f>
        <v>#NAME?</v>
      </c>
      <c r="O1689" s="8" t="e">
        <f ca="1">[1]!BexGetData("DP_1","003N8EMH8GTFRIVOG7KG9J3KE","GSON1112160071")</f>
        <v>#NAME?</v>
      </c>
      <c r="P1689" s="8" t="e">
        <f ca="1">[1]!BexGetData("DP_1","003N8EMH8GTFRIVOG7KG9J9VY","GSON1112160071")</f>
        <v>#NAME?</v>
      </c>
      <c r="Q1689" s="4" t="e">
        <f ca="1">[1]!BexGetData("DP_1","00O2TNJGODT0G5Z4TTKYMM5MT","GSON1112160071")</f>
        <v>#NAME?</v>
      </c>
      <c r="R1689" s="4" t="e">
        <f ca="1">[1]!BexGetData("DP_1","00O2TNJGODT0G5Z4TTKYMMBYD","GSON1112160071")</f>
        <v>#NAME?</v>
      </c>
      <c r="S1689" s="4" t="e">
        <f ca="1">[1]!BexGetData("DP_1","00O2TNJGODT0G5Z4TTKYMMI9X","GSON1112160071")</f>
        <v>#NAME?</v>
      </c>
      <c r="T1689" s="4" t="e">
        <f ca="1">[1]!BexGetData("DP_1","00O2TNJGODT0G5Z4TTKYMMOLH","GSON1112160071")</f>
        <v>#NAME?</v>
      </c>
      <c r="U1689" s="4" t="e">
        <f ca="1">[1]!BexGetData("DP_1","00O2TNJGODT0G5Z4TTKYMMUX1","GSON1112160071")</f>
        <v>#NAME?</v>
      </c>
      <c r="V1689" s="4" t="e">
        <f ca="1">[1]!BexGetData("DP_1","00O2TNJGODT0G5Z4TTKYMN18L","GSON1112160071")</f>
        <v>#NAME?</v>
      </c>
      <c r="W1689" s="4" t="e">
        <f ca="1">[1]!BexGetData("DP_1","00O2TNJGODT0G5Z4TTKYMN7K5","GSON1112160071")</f>
        <v>#NAME?</v>
      </c>
    </row>
    <row r="1690" spans="1:23" x14ac:dyDescent="0.2">
      <c r="A1690" s="16" t="s">
        <v>4314</v>
      </c>
      <c r="B1690" s="7" t="s">
        <v>4315</v>
      </c>
      <c r="C1690" s="3" t="e">
        <f ca="1">[1]!BexGetData("DP_1","003N8EMH8GTFRCSWKMPXRR8GU","GSON1112160075")</f>
        <v>#NAME?</v>
      </c>
      <c r="D1690" s="3" t="e">
        <f ca="1">[1]!BexGetData("DP_1","003N8EMH8GTFRCSWKMPXRRESE","GSON1112160075")</f>
        <v>#NAME?</v>
      </c>
      <c r="E1690" s="8" t="e">
        <f ca="1">[1]!BexGetData("DP_1","003N8EMH8GTFRCSWKMPXRRL3Y","GSON1112160075")</f>
        <v>#NAME?</v>
      </c>
      <c r="F1690" s="4" t="e">
        <f ca="1">[1]!BexGetData("DP_1","003N8EMH8GTFRCSWKMPXRRRFI","GSON1112160075")</f>
        <v>#NAME?</v>
      </c>
      <c r="G1690" s="4" t="e">
        <f ca="1">[1]!BexGetData("DP_1","003N8EMH8GTFRCSWKMPXRRXR2","GSON1112160075")</f>
        <v>#NAME?</v>
      </c>
      <c r="H1690" s="4" t="e">
        <f ca="1">[1]!BexGetData("DP_1","003N8EMH8GTFRCSWKMPXRS42M","GSON1112160075")</f>
        <v>#NAME?</v>
      </c>
      <c r="I1690" s="4" t="e">
        <f ca="1">[1]!BexGetData("DP_1","003N8EMH8GTFRCSWKMPXRSAE6","GSON1112160075")</f>
        <v>#NAME?</v>
      </c>
      <c r="J1690" s="4" t="e">
        <f ca="1">[1]!BexGetData("DP_1","003N8EMH8GTFRCSWKMPXRSGPQ","GSON1112160075")</f>
        <v>#NAME?</v>
      </c>
      <c r="K1690" s="8" t="e">
        <f ca="1">[1]!BexGetData("DP_1","003N8EMH8GTFRIVNUPY288VJH","GSON1112160075")</f>
        <v>#NAME?</v>
      </c>
      <c r="L1690" s="8" t="e">
        <f ca="1">[1]!BexGetData("DP_1","003N8EMH8GTFRIVNUPY2891V1","GSON1112160075")</f>
        <v>#NAME?</v>
      </c>
      <c r="M1690" s="8" t="e">
        <f ca="1">[1]!BexGetData("DP_1","003N8EMH8GTFRIVOG7KG9IQXA","GSON1112160075")</f>
        <v>#NAME?</v>
      </c>
      <c r="N1690" s="8" t="e">
        <f ca="1">[1]!BexGetData("DP_1","003N8EMH8GTFRIVOG7KG9IX8U","GSON1112160075")</f>
        <v>#NAME?</v>
      </c>
      <c r="O1690" s="8" t="e">
        <f ca="1">[1]!BexGetData("DP_1","003N8EMH8GTFRIVOG7KG9J3KE","GSON1112160075")</f>
        <v>#NAME?</v>
      </c>
      <c r="P1690" s="8" t="e">
        <f ca="1">[1]!BexGetData("DP_1","003N8EMH8GTFRIVOG7KG9J9VY","GSON1112160075")</f>
        <v>#NAME?</v>
      </c>
      <c r="Q1690" s="4" t="e">
        <f ca="1">[1]!BexGetData("DP_1","00O2TNJGODT0G5Z4TTKYMM5MT","GSON1112160075")</f>
        <v>#NAME?</v>
      </c>
      <c r="R1690" s="4" t="e">
        <f ca="1">[1]!BexGetData("DP_1","00O2TNJGODT0G5Z4TTKYMMBYD","GSON1112160075")</f>
        <v>#NAME?</v>
      </c>
      <c r="S1690" s="4" t="e">
        <f ca="1">[1]!BexGetData("DP_1","00O2TNJGODT0G5Z4TTKYMMI9X","GSON1112160075")</f>
        <v>#NAME?</v>
      </c>
      <c r="T1690" s="4" t="e">
        <f ca="1">[1]!BexGetData("DP_1","00O2TNJGODT0G5Z4TTKYMMOLH","GSON1112160075")</f>
        <v>#NAME?</v>
      </c>
      <c r="U1690" s="4" t="e">
        <f ca="1">[1]!BexGetData("DP_1","00O2TNJGODT0G5Z4TTKYMMUX1","GSON1112160075")</f>
        <v>#NAME?</v>
      </c>
      <c r="V1690" s="4" t="e">
        <f ca="1">[1]!BexGetData("DP_1","00O2TNJGODT0G5Z4TTKYMN18L","GSON1112160075")</f>
        <v>#NAME?</v>
      </c>
      <c r="W1690" s="4" t="e">
        <f ca="1">[1]!BexGetData("DP_1","00O2TNJGODT0G5Z4TTKYMN7K5","GSON1112160075")</f>
        <v>#NAME?</v>
      </c>
    </row>
    <row r="1691" spans="1:23" x14ac:dyDescent="0.2">
      <c r="A1691" s="16" t="s">
        <v>4316</v>
      </c>
      <c r="B1691" s="7" t="s">
        <v>4317</v>
      </c>
      <c r="C1691" s="3" t="e">
        <f ca="1">[1]!BexGetData("DP_1","003N8EMH8GTFRCSWKMPXRR8GU","GSON1112160080")</f>
        <v>#NAME?</v>
      </c>
      <c r="D1691" s="8" t="e">
        <f ca="1">[1]!BexGetData("DP_1","003N8EMH8GTFRCSWKMPXRRESE","GSON1112160080")</f>
        <v>#NAME?</v>
      </c>
      <c r="E1691" s="3" t="e">
        <f ca="1">[1]!BexGetData("DP_1","003N8EMH8GTFRCSWKMPXRRL3Y","GSON1112160080")</f>
        <v>#NAME?</v>
      </c>
      <c r="F1691" s="3" t="e">
        <f ca="1">[1]!BexGetData("DP_1","003N8EMH8GTFRCSWKMPXRRRFI","GSON1112160080")</f>
        <v>#NAME?</v>
      </c>
      <c r="G1691" s="3" t="e">
        <f ca="1">[1]!BexGetData("DP_1","003N8EMH8GTFRCSWKMPXRRXR2","GSON1112160080")</f>
        <v>#NAME?</v>
      </c>
      <c r="H1691" s="8" t="e">
        <f ca="1">[1]!BexGetData("DP_1","003N8EMH8GTFRCSWKMPXRS42M","GSON1112160080")</f>
        <v>#NAME?</v>
      </c>
      <c r="I1691" s="3" t="e">
        <f ca="1">[1]!BexGetData("DP_1","003N8EMH8GTFRCSWKMPXRSAE6","GSON1112160080")</f>
        <v>#NAME?</v>
      </c>
      <c r="J1691" s="4" t="e">
        <f ca="1">[1]!BexGetData("DP_1","003N8EMH8GTFRCSWKMPXRSGPQ","GSON1112160080")</f>
        <v>#NAME?</v>
      </c>
      <c r="K1691" s="3" t="e">
        <f ca="1">[1]!BexGetData("DP_1","003N8EMH8GTFRIVNUPY288VJH","GSON1112160080")</f>
        <v>#NAME?</v>
      </c>
      <c r="L1691" s="3" t="e">
        <f ca="1">[1]!BexGetData("DP_1","003N8EMH8GTFRIVNUPY2891V1","GSON1112160080")</f>
        <v>#NAME?</v>
      </c>
      <c r="M1691" s="8" t="e">
        <f ca="1">[1]!BexGetData("DP_1","003N8EMH8GTFRIVOG7KG9IQXA","GSON1112160080")</f>
        <v>#NAME?</v>
      </c>
      <c r="N1691" s="3" t="e">
        <f ca="1">[1]!BexGetData("DP_1","003N8EMH8GTFRIVOG7KG9IX8U","GSON1112160080")</f>
        <v>#NAME?</v>
      </c>
      <c r="O1691" s="8" t="e">
        <f ca="1">[1]!BexGetData("DP_1","003N8EMH8GTFRIVOG7KG9J3KE","GSON1112160080")</f>
        <v>#NAME?</v>
      </c>
      <c r="P1691" s="3" t="e">
        <f ca="1">[1]!BexGetData("DP_1","003N8EMH8GTFRIVOG7KG9J9VY","GSON1112160080")</f>
        <v>#NAME?</v>
      </c>
      <c r="Q1691" s="4" t="e">
        <f ca="1">[1]!BexGetData("DP_1","00O2TNJGODT0G5Z4TTKYMM5MT","GSON1112160080")</f>
        <v>#NAME?</v>
      </c>
      <c r="R1691" s="3" t="e">
        <f ca="1">[1]!BexGetData("DP_1","00O2TNJGODT0G5Z4TTKYMMBYD","GSON1112160080")</f>
        <v>#NAME?</v>
      </c>
      <c r="S1691" s="3" t="e">
        <f ca="1">[1]!BexGetData("DP_1","00O2TNJGODT0G5Z4TTKYMMI9X","GSON1112160080")</f>
        <v>#NAME?</v>
      </c>
      <c r="T1691" s="8" t="e">
        <f ca="1">[1]!BexGetData("DP_1","00O2TNJGODT0G5Z4TTKYMMOLH","GSON1112160080")</f>
        <v>#NAME?</v>
      </c>
      <c r="U1691" s="3" t="e">
        <f ca="1">[1]!BexGetData("DP_1","00O2TNJGODT0G5Z4TTKYMMUX1","GSON1112160080")</f>
        <v>#NAME?</v>
      </c>
      <c r="V1691" s="8" t="e">
        <f ca="1">[1]!BexGetData("DP_1","00O2TNJGODT0G5Z4TTKYMN18L","GSON1112160080")</f>
        <v>#NAME?</v>
      </c>
      <c r="W1691" s="3" t="e">
        <f ca="1">[1]!BexGetData("DP_1","00O2TNJGODT0G5Z4TTKYMN7K5","GSON1112160080")</f>
        <v>#NAME?</v>
      </c>
    </row>
    <row r="1692" spans="1:23" x14ac:dyDescent="0.2">
      <c r="A1692" s="16" t="s">
        <v>4318</v>
      </c>
      <c r="B1692" s="7" t="s">
        <v>4319</v>
      </c>
      <c r="C1692" s="3" t="e">
        <f ca="1">[1]!BexGetData("DP_1","003N8EMH8GTFRCSWKMPXRR8GU","GSON1112160085")</f>
        <v>#NAME?</v>
      </c>
      <c r="D1692" s="3" t="e">
        <f ca="1">[1]!BexGetData("DP_1","003N8EMH8GTFRCSWKMPXRRESE","GSON1112160085")</f>
        <v>#NAME?</v>
      </c>
      <c r="E1692" s="8" t="e">
        <f ca="1">[1]!BexGetData("DP_1","003N8EMH8GTFRCSWKMPXRRL3Y","GSON1112160085")</f>
        <v>#NAME?</v>
      </c>
      <c r="F1692" s="4" t="e">
        <f ca="1">[1]!BexGetData("DP_1","003N8EMH8GTFRCSWKMPXRRRFI","GSON1112160085")</f>
        <v>#NAME?</v>
      </c>
      <c r="G1692" s="4" t="e">
        <f ca="1">[1]!BexGetData("DP_1","003N8EMH8GTFRCSWKMPXRRXR2","GSON1112160085")</f>
        <v>#NAME?</v>
      </c>
      <c r="H1692" s="4" t="e">
        <f ca="1">[1]!BexGetData("DP_1","003N8EMH8GTFRCSWKMPXRS42M","GSON1112160085")</f>
        <v>#NAME?</v>
      </c>
      <c r="I1692" s="4" t="e">
        <f ca="1">[1]!BexGetData("DP_1","003N8EMH8GTFRCSWKMPXRSAE6","GSON1112160085")</f>
        <v>#NAME?</v>
      </c>
      <c r="J1692" s="4" t="e">
        <f ca="1">[1]!BexGetData("DP_1","003N8EMH8GTFRCSWKMPXRSGPQ","GSON1112160085")</f>
        <v>#NAME?</v>
      </c>
      <c r="K1692" s="8" t="e">
        <f ca="1">[1]!BexGetData("DP_1","003N8EMH8GTFRIVNUPY288VJH","GSON1112160085")</f>
        <v>#NAME?</v>
      </c>
      <c r="L1692" s="8" t="e">
        <f ca="1">[1]!BexGetData("DP_1","003N8EMH8GTFRIVNUPY2891V1","GSON1112160085")</f>
        <v>#NAME?</v>
      </c>
      <c r="M1692" s="8" t="e">
        <f ca="1">[1]!BexGetData("DP_1","003N8EMH8GTFRIVOG7KG9IQXA","GSON1112160085")</f>
        <v>#NAME?</v>
      </c>
      <c r="N1692" s="8" t="e">
        <f ca="1">[1]!BexGetData("DP_1","003N8EMH8GTFRIVOG7KG9IX8U","GSON1112160085")</f>
        <v>#NAME?</v>
      </c>
      <c r="O1692" s="8" t="e">
        <f ca="1">[1]!BexGetData("DP_1","003N8EMH8GTFRIVOG7KG9J3KE","GSON1112160085")</f>
        <v>#NAME?</v>
      </c>
      <c r="P1692" s="8" t="e">
        <f ca="1">[1]!BexGetData("DP_1","003N8EMH8GTFRIVOG7KG9J9VY","GSON1112160085")</f>
        <v>#NAME?</v>
      </c>
      <c r="Q1692" s="4" t="e">
        <f ca="1">[1]!BexGetData("DP_1","00O2TNJGODT0G5Z4TTKYMM5MT","GSON1112160085")</f>
        <v>#NAME?</v>
      </c>
      <c r="R1692" s="4" t="e">
        <f ca="1">[1]!BexGetData("DP_1","00O2TNJGODT0G5Z4TTKYMMBYD","GSON1112160085")</f>
        <v>#NAME?</v>
      </c>
      <c r="S1692" s="4" t="e">
        <f ca="1">[1]!BexGetData("DP_1","00O2TNJGODT0G5Z4TTKYMMI9X","GSON1112160085")</f>
        <v>#NAME?</v>
      </c>
      <c r="T1692" s="4" t="e">
        <f ca="1">[1]!BexGetData("DP_1","00O2TNJGODT0G5Z4TTKYMMOLH","GSON1112160085")</f>
        <v>#NAME?</v>
      </c>
      <c r="U1692" s="4" t="e">
        <f ca="1">[1]!BexGetData("DP_1","00O2TNJGODT0G5Z4TTKYMMUX1","GSON1112160085")</f>
        <v>#NAME?</v>
      </c>
      <c r="V1692" s="4" t="e">
        <f ca="1">[1]!BexGetData("DP_1","00O2TNJGODT0G5Z4TTKYMN18L","GSON1112160085")</f>
        <v>#NAME?</v>
      </c>
      <c r="W1692" s="4" t="e">
        <f ca="1">[1]!BexGetData("DP_1","00O2TNJGODT0G5Z4TTKYMN7K5","GSON1112160085")</f>
        <v>#NAME?</v>
      </c>
    </row>
    <row r="1693" spans="1:23" x14ac:dyDescent="0.2">
      <c r="A1693" s="16" t="s">
        <v>1192</v>
      </c>
      <c r="B1693" s="7" t="s">
        <v>1193</v>
      </c>
      <c r="C1693" s="3" t="e">
        <f ca="1">[1]!BexGetData("DP_1","003N8EMH8GTFRCSWKMPXRR8GU","GSON1112160110")</f>
        <v>#NAME?</v>
      </c>
      <c r="D1693" s="3" t="e">
        <f ca="1">[1]!BexGetData("DP_1","003N8EMH8GTFRCSWKMPXRRESE","GSON1112160110")</f>
        <v>#NAME?</v>
      </c>
      <c r="E1693" s="3" t="e">
        <f ca="1">[1]!BexGetData("DP_1","003N8EMH8GTFRCSWKMPXRRL3Y","GSON1112160110")</f>
        <v>#NAME?</v>
      </c>
      <c r="F1693" s="3" t="e">
        <f ca="1">[1]!BexGetData("DP_1","003N8EMH8GTFRCSWKMPXRRRFI","GSON1112160110")</f>
        <v>#NAME?</v>
      </c>
      <c r="G1693" s="3" t="e">
        <f ca="1">[1]!BexGetData("DP_1","003N8EMH8GTFRCSWKMPXRRXR2","GSON1112160110")</f>
        <v>#NAME?</v>
      </c>
      <c r="H1693" s="8" t="e">
        <f ca="1">[1]!BexGetData("DP_1","003N8EMH8GTFRCSWKMPXRS42M","GSON1112160110")</f>
        <v>#NAME?</v>
      </c>
      <c r="I1693" s="3" t="e">
        <f ca="1">[1]!BexGetData("DP_1","003N8EMH8GTFRCSWKMPXRSAE6","GSON1112160110")</f>
        <v>#NAME?</v>
      </c>
      <c r="J1693" s="4" t="e">
        <f ca="1">[1]!BexGetData("DP_1","003N8EMH8GTFRCSWKMPXRSGPQ","GSON1112160110")</f>
        <v>#NAME?</v>
      </c>
      <c r="K1693" s="3" t="e">
        <f ca="1">[1]!BexGetData("DP_1","003N8EMH8GTFRIVNUPY288VJH","GSON1112160110")</f>
        <v>#NAME?</v>
      </c>
      <c r="L1693" s="3" t="e">
        <f ca="1">[1]!BexGetData("DP_1","003N8EMH8GTFRIVNUPY2891V1","GSON1112160110")</f>
        <v>#NAME?</v>
      </c>
      <c r="M1693" s="3" t="e">
        <f ca="1">[1]!BexGetData("DP_1","003N8EMH8GTFRIVOG7KG9IQXA","GSON1112160110")</f>
        <v>#NAME?</v>
      </c>
      <c r="N1693" s="8" t="e">
        <f ca="1">[1]!BexGetData("DP_1","003N8EMH8GTFRIVOG7KG9IX8U","GSON1112160110")</f>
        <v>#NAME?</v>
      </c>
      <c r="O1693" s="3" t="e">
        <f ca="1">[1]!BexGetData("DP_1","003N8EMH8GTFRIVOG7KG9J3KE","GSON1112160110")</f>
        <v>#NAME?</v>
      </c>
      <c r="P1693" s="8" t="e">
        <f ca="1">[1]!BexGetData("DP_1","003N8EMH8GTFRIVOG7KG9J9VY","GSON1112160110")</f>
        <v>#NAME?</v>
      </c>
      <c r="Q1693" s="4" t="e">
        <f ca="1">[1]!BexGetData("DP_1","00O2TNJGODT0G5Z4TTKYMM5MT","GSON1112160110")</f>
        <v>#NAME?</v>
      </c>
      <c r="R1693" s="3" t="e">
        <f ca="1">[1]!BexGetData("DP_1","00O2TNJGODT0G5Z4TTKYMMBYD","GSON1112160110")</f>
        <v>#NAME?</v>
      </c>
      <c r="S1693" s="3" t="e">
        <f ca="1">[1]!BexGetData("DP_1","00O2TNJGODT0G5Z4TTKYMMI9X","GSON1112160110")</f>
        <v>#NAME?</v>
      </c>
      <c r="T1693" s="8" t="e">
        <f ca="1">[1]!BexGetData("DP_1","00O2TNJGODT0G5Z4TTKYMMOLH","GSON1112160110")</f>
        <v>#NAME?</v>
      </c>
      <c r="U1693" s="3" t="e">
        <f ca="1">[1]!BexGetData("DP_1","00O2TNJGODT0G5Z4TTKYMMUX1","GSON1112160110")</f>
        <v>#NAME?</v>
      </c>
      <c r="V1693" s="8" t="e">
        <f ca="1">[1]!BexGetData("DP_1","00O2TNJGODT0G5Z4TTKYMN18L","GSON1112160110")</f>
        <v>#NAME?</v>
      </c>
      <c r="W1693" s="3" t="e">
        <f ca="1">[1]!BexGetData("DP_1","00O2TNJGODT0G5Z4TTKYMN7K5","GSON1112160110")</f>
        <v>#NAME?</v>
      </c>
    </row>
    <row r="1694" spans="1:23" x14ac:dyDescent="0.2">
      <c r="A1694" s="16" t="s">
        <v>1194</v>
      </c>
      <c r="B1694" s="7" t="s">
        <v>1195</v>
      </c>
      <c r="C1694" s="3" t="e">
        <f ca="1">[1]!BexGetData("DP_1","003N8EMH8GTFRCSWKMPXRR8GU","GSON1112160111")</f>
        <v>#NAME?</v>
      </c>
      <c r="D1694" s="3" t="e">
        <f ca="1">[1]!BexGetData("DP_1","003N8EMH8GTFRCSWKMPXRRESE","GSON1112160111")</f>
        <v>#NAME?</v>
      </c>
      <c r="E1694" s="8" t="e">
        <f ca="1">[1]!BexGetData("DP_1","003N8EMH8GTFRCSWKMPXRRL3Y","GSON1112160111")</f>
        <v>#NAME?</v>
      </c>
      <c r="F1694" s="4" t="e">
        <f ca="1">[1]!BexGetData("DP_1","003N8EMH8GTFRCSWKMPXRRRFI","GSON1112160111")</f>
        <v>#NAME?</v>
      </c>
      <c r="G1694" s="4" t="e">
        <f ca="1">[1]!BexGetData("DP_1","003N8EMH8GTFRCSWKMPXRRXR2","GSON1112160111")</f>
        <v>#NAME?</v>
      </c>
      <c r="H1694" s="4" t="e">
        <f ca="1">[1]!BexGetData("DP_1","003N8EMH8GTFRCSWKMPXRS42M","GSON1112160111")</f>
        <v>#NAME?</v>
      </c>
      <c r="I1694" s="4" t="e">
        <f ca="1">[1]!BexGetData("DP_1","003N8EMH8GTFRCSWKMPXRSAE6","GSON1112160111")</f>
        <v>#NAME?</v>
      </c>
      <c r="J1694" s="4" t="e">
        <f ca="1">[1]!BexGetData("DP_1","003N8EMH8GTFRCSWKMPXRSGPQ","GSON1112160111")</f>
        <v>#NAME?</v>
      </c>
      <c r="K1694" s="8" t="e">
        <f ca="1">[1]!BexGetData("DP_1","003N8EMH8GTFRIVNUPY288VJH","GSON1112160111")</f>
        <v>#NAME?</v>
      </c>
      <c r="L1694" s="8" t="e">
        <f ca="1">[1]!BexGetData("DP_1","003N8EMH8GTFRIVNUPY2891V1","GSON1112160111")</f>
        <v>#NAME?</v>
      </c>
      <c r="M1694" s="8" t="e">
        <f ca="1">[1]!BexGetData("DP_1","003N8EMH8GTFRIVOG7KG9IQXA","GSON1112160111")</f>
        <v>#NAME?</v>
      </c>
      <c r="N1694" s="8" t="e">
        <f ca="1">[1]!BexGetData("DP_1","003N8EMH8GTFRIVOG7KG9IX8U","GSON1112160111")</f>
        <v>#NAME?</v>
      </c>
      <c r="O1694" s="8" t="e">
        <f ca="1">[1]!BexGetData("DP_1","003N8EMH8GTFRIVOG7KG9J3KE","GSON1112160111")</f>
        <v>#NAME?</v>
      </c>
      <c r="P1694" s="8" t="e">
        <f ca="1">[1]!BexGetData("DP_1","003N8EMH8GTFRIVOG7KG9J9VY","GSON1112160111")</f>
        <v>#NAME?</v>
      </c>
      <c r="Q1694" s="4" t="e">
        <f ca="1">[1]!BexGetData("DP_1","00O2TNJGODT0G5Z4TTKYMM5MT","GSON1112160111")</f>
        <v>#NAME?</v>
      </c>
      <c r="R1694" s="4" t="e">
        <f ca="1">[1]!BexGetData("DP_1","00O2TNJGODT0G5Z4TTKYMMBYD","GSON1112160111")</f>
        <v>#NAME?</v>
      </c>
      <c r="S1694" s="4" t="e">
        <f ca="1">[1]!BexGetData("DP_1","00O2TNJGODT0G5Z4TTKYMMI9X","GSON1112160111")</f>
        <v>#NAME?</v>
      </c>
      <c r="T1694" s="4" t="e">
        <f ca="1">[1]!BexGetData("DP_1","00O2TNJGODT0G5Z4TTKYMMOLH","GSON1112160111")</f>
        <v>#NAME?</v>
      </c>
      <c r="U1694" s="4" t="e">
        <f ca="1">[1]!BexGetData("DP_1","00O2TNJGODT0G5Z4TTKYMMUX1","GSON1112160111")</f>
        <v>#NAME?</v>
      </c>
      <c r="V1694" s="4" t="e">
        <f ca="1">[1]!BexGetData("DP_1","00O2TNJGODT0G5Z4TTKYMN18L","GSON1112160111")</f>
        <v>#NAME?</v>
      </c>
      <c r="W1694" s="4" t="e">
        <f ca="1">[1]!BexGetData("DP_1","00O2TNJGODT0G5Z4TTKYMN7K5","GSON1112160111")</f>
        <v>#NAME?</v>
      </c>
    </row>
    <row r="1695" spans="1:23" x14ac:dyDescent="0.2">
      <c r="A1695" s="16" t="s">
        <v>4320</v>
      </c>
      <c r="B1695" s="7" t="s">
        <v>4321</v>
      </c>
      <c r="C1695" s="3" t="e">
        <f ca="1">[1]!BexGetData("DP_1","003N8EMH8GTFRCSWKMPXRR8GU","GSON1112160112")</f>
        <v>#NAME?</v>
      </c>
      <c r="D1695" s="3" t="e">
        <f ca="1">[1]!BexGetData("DP_1","003N8EMH8GTFRCSWKMPXRRESE","GSON1112160112")</f>
        <v>#NAME?</v>
      </c>
      <c r="E1695" s="8" t="e">
        <f ca="1">[1]!BexGetData("DP_1","003N8EMH8GTFRCSWKMPXRRL3Y","GSON1112160112")</f>
        <v>#NAME?</v>
      </c>
      <c r="F1695" s="3" t="e">
        <f ca="1">[1]!BexGetData("DP_1","003N8EMH8GTFRCSWKMPXRRRFI","GSON1112160112")</f>
        <v>#NAME?</v>
      </c>
      <c r="G1695" s="8" t="e">
        <f ca="1">[1]!BexGetData("DP_1","003N8EMH8GTFRCSWKMPXRRXR2","GSON1112160112")</f>
        <v>#NAME?</v>
      </c>
      <c r="H1695" s="3" t="e">
        <f ca="1">[1]!BexGetData("DP_1","003N8EMH8GTFRCSWKMPXRS42M","GSON1112160112")</f>
        <v>#NAME?</v>
      </c>
      <c r="I1695" s="3" t="e">
        <f ca="1">[1]!BexGetData("DP_1","003N8EMH8GTFRCSWKMPXRSAE6","GSON1112160112")</f>
        <v>#NAME?</v>
      </c>
      <c r="J1695" s="4" t="e">
        <f ca="1">[1]!BexGetData("DP_1","003N8EMH8GTFRCSWKMPXRSGPQ","GSON1112160112")</f>
        <v>#NAME?</v>
      </c>
      <c r="K1695" s="3" t="e">
        <f ca="1">[1]!BexGetData("DP_1","003N8EMH8GTFRIVNUPY288VJH","GSON1112160112")</f>
        <v>#NAME?</v>
      </c>
      <c r="L1695" s="3" t="e">
        <f ca="1">[1]!BexGetData("DP_1","003N8EMH8GTFRIVNUPY2891V1","GSON1112160112")</f>
        <v>#NAME?</v>
      </c>
      <c r="M1695" s="8" t="e">
        <f ca="1">[1]!BexGetData("DP_1","003N8EMH8GTFRIVOG7KG9IQXA","GSON1112160112")</f>
        <v>#NAME?</v>
      </c>
      <c r="N1695" s="3" t="e">
        <f ca="1">[1]!BexGetData("DP_1","003N8EMH8GTFRIVOG7KG9IX8U","GSON1112160112")</f>
        <v>#NAME?</v>
      </c>
      <c r="O1695" s="8" t="e">
        <f ca="1">[1]!BexGetData("DP_1","003N8EMH8GTFRIVOG7KG9J3KE","GSON1112160112")</f>
        <v>#NAME?</v>
      </c>
      <c r="P1695" s="3" t="e">
        <f ca="1">[1]!BexGetData("DP_1","003N8EMH8GTFRIVOG7KG9J9VY","GSON1112160112")</f>
        <v>#NAME?</v>
      </c>
      <c r="Q1695" s="4" t="e">
        <f ca="1">[1]!BexGetData("DP_1","00O2TNJGODT0G5Z4TTKYMM5MT","GSON1112160112")</f>
        <v>#NAME?</v>
      </c>
      <c r="R1695" s="3" t="e">
        <f ca="1">[1]!BexGetData("DP_1","00O2TNJGODT0G5Z4TTKYMMBYD","GSON1112160112")</f>
        <v>#NAME?</v>
      </c>
      <c r="S1695" s="3" t="e">
        <f ca="1">[1]!BexGetData("DP_1","00O2TNJGODT0G5Z4TTKYMMI9X","GSON1112160112")</f>
        <v>#NAME?</v>
      </c>
      <c r="T1695" s="3" t="e">
        <f ca="1">[1]!BexGetData("DP_1","00O2TNJGODT0G5Z4TTKYMMOLH","GSON1112160112")</f>
        <v>#NAME?</v>
      </c>
      <c r="U1695" s="8" t="e">
        <f ca="1">[1]!BexGetData("DP_1","00O2TNJGODT0G5Z4TTKYMMUX1","GSON1112160112")</f>
        <v>#NAME?</v>
      </c>
      <c r="V1695" s="3" t="e">
        <f ca="1">[1]!BexGetData("DP_1","00O2TNJGODT0G5Z4TTKYMN18L","GSON1112160112")</f>
        <v>#NAME?</v>
      </c>
      <c r="W1695" s="8" t="e">
        <f ca="1">[1]!BexGetData("DP_1","00O2TNJGODT0G5Z4TTKYMN7K5","GSON1112160112")</f>
        <v>#NAME?</v>
      </c>
    </row>
    <row r="1696" spans="1:23" x14ac:dyDescent="0.2">
      <c r="A1696" s="16" t="s">
        <v>1614</v>
      </c>
      <c r="B1696" s="7" t="s">
        <v>1615</v>
      </c>
      <c r="C1696" s="3" t="e">
        <f ca="1">[1]!BexGetData("DP_1","003N8EMH8GTFRCSWKMPXRR8GU","GSON1112160113")</f>
        <v>#NAME?</v>
      </c>
      <c r="D1696" s="3" t="e">
        <f ca="1">[1]!BexGetData("DP_1","003N8EMH8GTFRCSWKMPXRRESE","GSON1112160113")</f>
        <v>#NAME?</v>
      </c>
      <c r="E1696" s="8" t="e">
        <f ca="1">[1]!BexGetData("DP_1","003N8EMH8GTFRCSWKMPXRRL3Y","GSON1112160113")</f>
        <v>#NAME?</v>
      </c>
      <c r="F1696" s="4" t="e">
        <f ca="1">[1]!BexGetData("DP_1","003N8EMH8GTFRCSWKMPXRRRFI","GSON1112160113")</f>
        <v>#NAME?</v>
      </c>
      <c r="G1696" s="4" t="e">
        <f ca="1">[1]!BexGetData("DP_1","003N8EMH8GTFRCSWKMPXRRXR2","GSON1112160113")</f>
        <v>#NAME?</v>
      </c>
      <c r="H1696" s="4" t="e">
        <f ca="1">[1]!BexGetData("DP_1","003N8EMH8GTFRCSWKMPXRS42M","GSON1112160113")</f>
        <v>#NAME?</v>
      </c>
      <c r="I1696" s="4" t="e">
        <f ca="1">[1]!BexGetData("DP_1","003N8EMH8GTFRCSWKMPXRSAE6","GSON1112160113")</f>
        <v>#NAME?</v>
      </c>
      <c r="J1696" s="4" t="e">
        <f ca="1">[1]!BexGetData("DP_1","003N8EMH8GTFRCSWKMPXRSGPQ","GSON1112160113")</f>
        <v>#NAME?</v>
      </c>
      <c r="K1696" s="8" t="e">
        <f ca="1">[1]!BexGetData("DP_1","003N8EMH8GTFRIVNUPY288VJH","GSON1112160113")</f>
        <v>#NAME?</v>
      </c>
      <c r="L1696" s="8" t="e">
        <f ca="1">[1]!BexGetData("DP_1","003N8EMH8GTFRIVNUPY2891V1","GSON1112160113")</f>
        <v>#NAME?</v>
      </c>
      <c r="M1696" s="8" t="e">
        <f ca="1">[1]!BexGetData("DP_1","003N8EMH8GTFRIVOG7KG9IQXA","GSON1112160113")</f>
        <v>#NAME?</v>
      </c>
      <c r="N1696" s="8" t="e">
        <f ca="1">[1]!BexGetData("DP_1","003N8EMH8GTFRIVOG7KG9IX8U","GSON1112160113")</f>
        <v>#NAME?</v>
      </c>
      <c r="O1696" s="8" t="e">
        <f ca="1">[1]!BexGetData("DP_1","003N8EMH8GTFRIVOG7KG9J3KE","GSON1112160113")</f>
        <v>#NAME?</v>
      </c>
      <c r="P1696" s="8" t="e">
        <f ca="1">[1]!BexGetData("DP_1","003N8EMH8GTFRIVOG7KG9J9VY","GSON1112160113")</f>
        <v>#NAME?</v>
      </c>
      <c r="Q1696" s="4" t="e">
        <f ca="1">[1]!BexGetData("DP_1","00O2TNJGODT0G5Z4TTKYMM5MT","GSON1112160113")</f>
        <v>#NAME?</v>
      </c>
      <c r="R1696" s="4" t="e">
        <f ca="1">[1]!BexGetData("DP_1","00O2TNJGODT0G5Z4TTKYMMBYD","GSON1112160113")</f>
        <v>#NAME?</v>
      </c>
      <c r="S1696" s="4" t="e">
        <f ca="1">[1]!BexGetData("DP_1","00O2TNJGODT0G5Z4TTKYMMI9X","GSON1112160113")</f>
        <v>#NAME?</v>
      </c>
      <c r="T1696" s="4" t="e">
        <f ca="1">[1]!BexGetData("DP_1","00O2TNJGODT0G5Z4TTKYMMOLH","GSON1112160113")</f>
        <v>#NAME?</v>
      </c>
      <c r="U1696" s="4" t="e">
        <f ca="1">[1]!BexGetData("DP_1","00O2TNJGODT0G5Z4TTKYMMUX1","GSON1112160113")</f>
        <v>#NAME?</v>
      </c>
      <c r="V1696" s="4" t="e">
        <f ca="1">[1]!BexGetData("DP_1","00O2TNJGODT0G5Z4TTKYMN18L","GSON1112160113")</f>
        <v>#NAME?</v>
      </c>
      <c r="W1696" s="4" t="e">
        <f ca="1">[1]!BexGetData("DP_1","00O2TNJGODT0G5Z4TTKYMN7K5","GSON1112160113")</f>
        <v>#NAME?</v>
      </c>
    </row>
    <row r="1697" spans="1:23" x14ac:dyDescent="0.2">
      <c r="A1697" s="16" t="s">
        <v>4322</v>
      </c>
      <c r="B1697" s="7" t="s">
        <v>4323</v>
      </c>
      <c r="C1697" s="3" t="e">
        <f ca="1">[1]!BexGetData("DP_1","003N8EMH8GTFRCSWKMPXRR8GU","GSON1112160115")</f>
        <v>#NAME?</v>
      </c>
      <c r="D1697" s="3" t="e">
        <f ca="1">[1]!BexGetData("DP_1","003N8EMH8GTFRCSWKMPXRRESE","GSON1112160115")</f>
        <v>#NAME?</v>
      </c>
      <c r="E1697" s="8" t="e">
        <f ca="1">[1]!BexGetData("DP_1","003N8EMH8GTFRCSWKMPXRRL3Y","GSON1112160115")</f>
        <v>#NAME?</v>
      </c>
      <c r="F1697" s="4" t="e">
        <f ca="1">[1]!BexGetData("DP_1","003N8EMH8GTFRCSWKMPXRRRFI","GSON1112160115")</f>
        <v>#NAME?</v>
      </c>
      <c r="G1697" s="4" t="e">
        <f ca="1">[1]!BexGetData("DP_1","003N8EMH8GTFRCSWKMPXRRXR2","GSON1112160115")</f>
        <v>#NAME?</v>
      </c>
      <c r="H1697" s="4" t="e">
        <f ca="1">[1]!BexGetData("DP_1","003N8EMH8GTFRCSWKMPXRS42M","GSON1112160115")</f>
        <v>#NAME?</v>
      </c>
      <c r="I1697" s="4" t="e">
        <f ca="1">[1]!BexGetData("DP_1","003N8EMH8GTFRCSWKMPXRSAE6","GSON1112160115")</f>
        <v>#NAME?</v>
      </c>
      <c r="J1697" s="4" t="e">
        <f ca="1">[1]!BexGetData("DP_1","003N8EMH8GTFRCSWKMPXRSGPQ","GSON1112160115")</f>
        <v>#NAME?</v>
      </c>
      <c r="K1697" s="8" t="e">
        <f ca="1">[1]!BexGetData("DP_1","003N8EMH8GTFRIVNUPY288VJH","GSON1112160115")</f>
        <v>#NAME?</v>
      </c>
      <c r="L1697" s="8" t="e">
        <f ca="1">[1]!BexGetData("DP_1","003N8EMH8GTFRIVNUPY2891V1","GSON1112160115")</f>
        <v>#NAME?</v>
      </c>
      <c r="M1697" s="8" t="e">
        <f ca="1">[1]!BexGetData("DP_1","003N8EMH8GTFRIVOG7KG9IQXA","GSON1112160115")</f>
        <v>#NAME?</v>
      </c>
      <c r="N1697" s="8" t="e">
        <f ca="1">[1]!BexGetData("DP_1","003N8EMH8GTFRIVOG7KG9IX8U","GSON1112160115")</f>
        <v>#NAME?</v>
      </c>
      <c r="O1697" s="8" t="e">
        <f ca="1">[1]!BexGetData("DP_1","003N8EMH8GTFRIVOG7KG9J3KE","GSON1112160115")</f>
        <v>#NAME?</v>
      </c>
      <c r="P1697" s="8" t="e">
        <f ca="1">[1]!BexGetData("DP_1","003N8EMH8GTFRIVOG7KG9J9VY","GSON1112160115")</f>
        <v>#NAME?</v>
      </c>
      <c r="Q1697" s="4" t="e">
        <f ca="1">[1]!BexGetData("DP_1","00O2TNJGODT0G5Z4TTKYMM5MT","GSON1112160115")</f>
        <v>#NAME?</v>
      </c>
      <c r="R1697" s="4" t="e">
        <f ca="1">[1]!BexGetData("DP_1","00O2TNJGODT0G5Z4TTKYMMBYD","GSON1112160115")</f>
        <v>#NAME?</v>
      </c>
      <c r="S1697" s="4" t="e">
        <f ca="1">[1]!BexGetData("DP_1","00O2TNJGODT0G5Z4TTKYMMI9X","GSON1112160115")</f>
        <v>#NAME?</v>
      </c>
      <c r="T1697" s="4" t="e">
        <f ca="1">[1]!BexGetData("DP_1","00O2TNJGODT0G5Z4TTKYMMOLH","GSON1112160115")</f>
        <v>#NAME?</v>
      </c>
      <c r="U1697" s="4" t="e">
        <f ca="1">[1]!BexGetData("DP_1","00O2TNJGODT0G5Z4TTKYMMUX1","GSON1112160115")</f>
        <v>#NAME?</v>
      </c>
      <c r="V1697" s="4" t="e">
        <f ca="1">[1]!BexGetData("DP_1","00O2TNJGODT0G5Z4TTKYMN18L","GSON1112160115")</f>
        <v>#NAME?</v>
      </c>
      <c r="W1697" s="4" t="e">
        <f ca="1">[1]!BexGetData("DP_1","00O2TNJGODT0G5Z4TTKYMN7K5","GSON1112160115")</f>
        <v>#NAME?</v>
      </c>
    </row>
    <row r="1698" spans="1:23" x14ac:dyDescent="0.2">
      <c r="A1698" s="16" t="s">
        <v>4324</v>
      </c>
      <c r="B1698" s="7" t="s">
        <v>4325</v>
      </c>
      <c r="C1698" s="3" t="e">
        <f ca="1">[1]!BexGetData("DP_1","003N8EMH8GTFRCSWKMPXRR8GU","GSON1112160120")</f>
        <v>#NAME?</v>
      </c>
      <c r="D1698" s="8" t="e">
        <f ca="1">[1]!BexGetData("DP_1","003N8EMH8GTFRCSWKMPXRRESE","GSON1112160120")</f>
        <v>#NAME?</v>
      </c>
      <c r="E1698" s="3" t="e">
        <f ca="1">[1]!BexGetData("DP_1","003N8EMH8GTFRCSWKMPXRRL3Y","GSON1112160120")</f>
        <v>#NAME?</v>
      </c>
      <c r="F1698" s="3" t="e">
        <f ca="1">[1]!BexGetData("DP_1","003N8EMH8GTFRCSWKMPXRRRFI","GSON1112160120")</f>
        <v>#NAME?</v>
      </c>
      <c r="G1698" s="3" t="e">
        <f ca="1">[1]!BexGetData("DP_1","003N8EMH8GTFRCSWKMPXRRXR2","GSON1112160120")</f>
        <v>#NAME?</v>
      </c>
      <c r="H1698" s="8" t="e">
        <f ca="1">[1]!BexGetData("DP_1","003N8EMH8GTFRCSWKMPXRS42M","GSON1112160120")</f>
        <v>#NAME?</v>
      </c>
      <c r="I1698" s="3" t="e">
        <f ca="1">[1]!BexGetData("DP_1","003N8EMH8GTFRCSWKMPXRSAE6","GSON1112160120")</f>
        <v>#NAME?</v>
      </c>
      <c r="J1698" s="4" t="e">
        <f ca="1">[1]!BexGetData("DP_1","003N8EMH8GTFRCSWKMPXRSGPQ","GSON1112160120")</f>
        <v>#NAME?</v>
      </c>
      <c r="K1698" s="3" t="e">
        <f ca="1">[1]!BexGetData("DP_1","003N8EMH8GTFRIVNUPY288VJH","GSON1112160120")</f>
        <v>#NAME?</v>
      </c>
      <c r="L1698" s="3" t="e">
        <f ca="1">[1]!BexGetData("DP_1","003N8EMH8GTFRIVNUPY2891V1","GSON1112160120")</f>
        <v>#NAME?</v>
      </c>
      <c r="M1698" s="8" t="e">
        <f ca="1">[1]!BexGetData("DP_1","003N8EMH8GTFRIVOG7KG9IQXA","GSON1112160120")</f>
        <v>#NAME?</v>
      </c>
      <c r="N1698" s="3" t="e">
        <f ca="1">[1]!BexGetData("DP_1","003N8EMH8GTFRIVOG7KG9IX8U","GSON1112160120")</f>
        <v>#NAME?</v>
      </c>
      <c r="O1698" s="8" t="e">
        <f ca="1">[1]!BexGetData("DP_1","003N8EMH8GTFRIVOG7KG9J3KE","GSON1112160120")</f>
        <v>#NAME?</v>
      </c>
      <c r="P1698" s="3" t="e">
        <f ca="1">[1]!BexGetData("DP_1","003N8EMH8GTFRIVOG7KG9J9VY","GSON1112160120")</f>
        <v>#NAME?</v>
      </c>
      <c r="Q1698" s="4" t="e">
        <f ca="1">[1]!BexGetData("DP_1","00O2TNJGODT0G5Z4TTKYMM5MT","GSON1112160120")</f>
        <v>#NAME?</v>
      </c>
      <c r="R1698" s="3" t="e">
        <f ca="1">[1]!BexGetData("DP_1","00O2TNJGODT0G5Z4TTKYMMBYD","GSON1112160120")</f>
        <v>#NAME?</v>
      </c>
      <c r="S1698" s="3" t="e">
        <f ca="1">[1]!BexGetData("DP_1","00O2TNJGODT0G5Z4TTKYMMI9X","GSON1112160120")</f>
        <v>#NAME?</v>
      </c>
      <c r="T1698" s="8" t="e">
        <f ca="1">[1]!BexGetData("DP_1","00O2TNJGODT0G5Z4TTKYMMOLH","GSON1112160120")</f>
        <v>#NAME?</v>
      </c>
      <c r="U1698" s="3" t="e">
        <f ca="1">[1]!BexGetData("DP_1","00O2TNJGODT0G5Z4TTKYMMUX1","GSON1112160120")</f>
        <v>#NAME?</v>
      </c>
      <c r="V1698" s="8" t="e">
        <f ca="1">[1]!BexGetData("DP_1","00O2TNJGODT0G5Z4TTKYMN18L","GSON1112160120")</f>
        <v>#NAME?</v>
      </c>
      <c r="W1698" s="3" t="e">
        <f ca="1">[1]!BexGetData("DP_1","00O2TNJGODT0G5Z4TTKYMN7K5","GSON1112160120")</f>
        <v>#NAME?</v>
      </c>
    </row>
    <row r="1699" spans="1:23" x14ac:dyDescent="0.2">
      <c r="A1699" s="16" t="s">
        <v>4326</v>
      </c>
      <c r="B1699" s="7" t="s">
        <v>4327</v>
      </c>
      <c r="C1699" s="3" t="e">
        <f ca="1">[1]!BexGetData("DP_1","003N8EMH8GTFRCSWKMPXRR8GU","GSON1112160125")</f>
        <v>#NAME?</v>
      </c>
      <c r="D1699" s="3" t="e">
        <f ca="1">[1]!BexGetData("DP_1","003N8EMH8GTFRCSWKMPXRRESE","GSON1112160125")</f>
        <v>#NAME?</v>
      </c>
      <c r="E1699" s="8" t="e">
        <f ca="1">[1]!BexGetData("DP_1","003N8EMH8GTFRCSWKMPXRRL3Y","GSON1112160125")</f>
        <v>#NAME?</v>
      </c>
      <c r="F1699" s="4" t="e">
        <f ca="1">[1]!BexGetData("DP_1","003N8EMH8GTFRCSWKMPXRRRFI","GSON1112160125")</f>
        <v>#NAME?</v>
      </c>
      <c r="G1699" s="4" t="e">
        <f ca="1">[1]!BexGetData("DP_1","003N8EMH8GTFRCSWKMPXRRXR2","GSON1112160125")</f>
        <v>#NAME?</v>
      </c>
      <c r="H1699" s="4" t="e">
        <f ca="1">[1]!BexGetData("DP_1","003N8EMH8GTFRCSWKMPXRS42M","GSON1112160125")</f>
        <v>#NAME?</v>
      </c>
      <c r="I1699" s="4" t="e">
        <f ca="1">[1]!BexGetData("DP_1","003N8EMH8GTFRCSWKMPXRSAE6","GSON1112160125")</f>
        <v>#NAME?</v>
      </c>
      <c r="J1699" s="4" t="e">
        <f ca="1">[1]!BexGetData("DP_1","003N8EMH8GTFRCSWKMPXRSGPQ","GSON1112160125")</f>
        <v>#NAME?</v>
      </c>
      <c r="K1699" s="8" t="e">
        <f ca="1">[1]!BexGetData("DP_1","003N8EMH8GTFRIVNUPY288VJH","GSON1112160125")</f>
        <v>#NAME?</v>
      </c>
      <c r="L1699" s="8" t="e">
        <f ca="1">[1]!BexGetData("DP_1","003N8EMH8GTFRIVNUPY2891V1","GSON1112160125")</f>
        <v>#NAME?</v>
      </c>
      <c r="M1699" s="8" t="e">
        <f ca="1">[1]!BexGetData("DP_1","003N8EMH8GTFRIVOG7KG9IQXA","GSON1112160125")</f>
        <v>#NAME?</v>
      </c>
      <c r="N1699" s="8" t="e">
        <f ca="1">[1]!BexGetData("DP_1","003N8EMH8GTFRIVOG7KG9IX8U","GSON1112160125")</f>
        <v>#NAME?</v>
      </c>
      <c r="O1699" s="8" t="e">
        <f ca="1">[1]!BexGetData("DP_1","003N8EMH8GTFRIVOG7KG9J3KE","GSON1112160125")</f>
        <v>#NAME?</v>
      </c>
      <c r="P1699" s="8" t="e">
        <f ca="1">[1]!BexGetData("DP_1","003N8EMH8GTFRIVOG7KG9J9VY","GSON1112160125")</f>
        <v>#NAME?</v>
      </c>
      <c r="Q1699" s="4" t="e">
        <f ca="1">[1]!BexGetData("DP_1","00O2TNJGODT0G5Z4TTKYMM5MT","GSON1112160125")</f>
        <v>#NAME?</v>
      </c>
      <c r="R1699" s="4" t="e">
        <f ca="1">[1]!BexGetData("DP_1","00O2TNJGODT0G5Z4TTKYMMBYD","GSON1112160125")</f>
        <v>#NAME?</v>
      </c>
      <c r="S1699" s="4" t="e">
        <f ca="1">[1]!BexGetData("DP_1","00O2TNJGODT0G5Z4TTKYMMI9X","GSON1112160125")</f>
        <v>#NAME?</v>
      </c>
      <c r="T1699" s="4" t="e">
        <f ca="1">[1]!BexGetData("DP_1","00O2TNJGODT0G5Z4TTKYMMOLH","GSON1112160125")</f>
        <v>#NAME?</v>
      </c>
      <c r="U1699" s="4" t="e">
        <f ca="1">[1]!BexGetData("DP_1","00O2TNJGODT0G5Z4TTKYMMUX1","GSON1112160125")</f>
        <v>#NAME?</v>
      </c>
      <c r="V1699" s="4" t="e">
        <f ca="1">[1]!BexGetData("DP_1","00O2TNJGODT0G5Z4TTKYMN18L","GSON1112160125")</f>
        <v>#NAME?</v>
      </c>
      <c r="W1699" s="4" t="e">
        <f ca="1">[1]!BexGetData("DP_1","00O2TNJGODT0G5Z4TTKYMN7K5","GSON1112160125")</f>
        <v>#NAME?</v>
      </c>
    </row>
    <row r="1700" spans="1:23" x14ac:dyDescent="0.2">
      <c r="A1700" s="16" t="s">
        <v>4328</v>
      </c>
      <c r="B1700" s="7" t="s">
        <v>4329</v>
      </c>
      <c r="C1700" s="8" t="e">
        <f ca="1">[1]!BexGetData("DP_1","003N8EMH8GTFRCSWKMPXRR8GU","GSON1112160130")</f>
        <v>#NAME?</v>
      </c>
      <c r="D1700" s="8" t="e">
        <f ca="1">[1]!BexGetData("DP_1","003N8EMH8GTFRCSWKMPXRRESE","GSON1112160130")</f>
        <v>#NAME?</v>
      </c>
      <c r="E1700" s="3" t="e">
        <f ca="1">[1]!BexGetData("DP_1","003N8EMH8GTFRCSWKMPXRRL3Y","GSON1112160130")</f>
        <v>#NAME?</v>
      </c>
      <c r="F1700" s="3" t="e">
        <f ca="1">[1]!BexGetData("DP_1","003N8EMH8GTFRCSWKMPXRRRFI","GSON1112160130")</f>
        <v>#NAME?</v>
      </c>
      <c r="G1700" s="3" t="e">
        <f ca="1">[1]!BexGetData("DP_1","003N8EMH8GTFRCSWKMPXRRXR2","GSON1112160130")</f>
        <v>#NAME?</v>
      </c>
      <c r="H1700" s="8" t="e">
        <f ca="1">[1]!BexGetData("DP_1","003N8EMH8GTFRCSWKMPXRS42M","GSON1112160130")</f>
        <v>#NAME?</v>
      </c>
      <c r="I1700" s="3" t="e">
        <f ca="1">[1]!BexGetData("DP_1","003N8EMH8GTFRCSWKMPXRSAE6","GSON1112160130")</f>
        <v>#NAME?</v>
      </c>
      <c r="J1700" s="4" t="e">
        <f ca="1">[1]!BexGetData("DP_1","003N8EMH8GTFRCSWKMPXRSGPQ","GSON1112160130")</f>
        <v>#NAME?</v>
      </c>
      <c r="K1700" s="8" t="e">
        <f ca="1">[1]!BexGetData("DP_1","003N8EMH8GTFRIVNUPY288VJH","GSON1112160130")</f>
        <v>#NAME?</v>
      </c>
      <c r="L1700" s="8" t="e">
        <f ca="1">[1]!BexGetData("DP_1","003N8EMH8GTFRIVNUPY2891V1","GSON1112160130")</f>
        <v>#NAME?</v>
      </c>
      <c r="M1700" s="8" t="e">
        <f ca="1">[1]!BexGetData("DP_1","003N8EMH8GTFRIVOG7KG9IQXA","GSON1112160130")</f>
        <v>#NAME?</v>
      </c>
      <c r="N1700" s="8" t="e">
        <f ca="1">[1]!BexGetData("DP_1","003N8EMH8GTFRIVOG7KG9IX8U","GSON1112160130")</f>
        <v>#NAME?</v>
      </c>
      <c r="O1700" s="8" t="e">
        <f ca="1">[1]!BexGetData("DP_1","003N8EMH8GTFRIVOG7KG9J3KE","GSON1112160130")</f>
        <v>#NAME?</v>
      </c>
      <c r="P1700" s="8" t="e">
        <f ca="1">[1]!BexGetData("DP_1","003N8EMH8GTFRIVOG7KG9J9VY","GSON1112160130")</f>
        <v>#NAME?</v>
      </c>
      <c r="Q1700" s="4" t="e">
        <f ca="1">[1]!BexGetData("DP_1","00O2TNJGODT0G5Z4TTKYMM5MT","GSON1112160130")</f>
        <v>#NAME?</v>
      </c>
      <c r="R1700" s="3" t="e">
        <f ca="1">[1]!BexGetData("DP_1","00O2TNJGODT0G5Z4TTKYMMBYD","GSON1112160130")</f>
        <v>#NAME?</v>
      </c>
      <c r="S1700" s="3" t="e">
        <f ca="1">[1]!BexGetData("DP_1","00O2TNJGODT0G5Z4TTKYMMI9X","GSON1112160130")</f>
        <v>#NAME?</v>
      </c>
      <c r="T1700" s="8" t="e">
        <f ca="1">[1]!BexGetData("DP_1","00O2TNJGODT0G5Z4TTKYMMOLH","GSON1112160130")</f>
        <v>#NAME?</v>
      </c>
      <c r="U1700" s="3" t="e">
        <f ca="1">[1]!BexGetData("DP_1","00O2TNJGODT0G5Z4TTKYMMUX1","GSON1112160130")</f>
        <v>#NAME?</v>
      </c>
      <c r="V1700" s="8" t="e">
        <f ca="1">[1]!BexGetData("DP_1","00O2TNJGODT0G5Z4TTKYMN18L","GSON1112160130")</f>
        <v>#NAME?</v>
      </c>
      <c r="W1700" s="3" t="e">
        <f ca="1">[1]!BexGetData("DP_1","00O2TNJGODT0G5Z4TTKYMN7K5","GSON1112160130")</f>
        <v>#NAME?</v>
      </c>
    </row>
    <row r="1701" spans="1:23" x14ac:dyDescent="0.2">
      <c r="A1701" s="16" t="s">
        <v>4330</v>
      </c>
      <c r="B1701" s="7" t="s">
        <v>4331</v>
      </c>
      <c r="C1701" s="3" t="e">
        <f ca="1">[1]!BexGetData("DP_1","003N8EMH8GTFRCSWKMPXRR8GU","GSON1112160150")</f>
        <v>#NAME?</v>
      </c>
      <c r="D1701" s="3" t="e">
        <f ca="1">[1]!BexGetData("DP_1","003N8EMH8GTFRCSWKMPXRRESE","GSON1112160150")</f>
        <v>#NAME?</v>
      </c>
      <c r="E1701" s="8" t="e">
        <f ca="1">[1]!BexGetData("DP_1","003N8EMH8GTFRCSWKMPXRRL3Y","GSON1112160150")</f>
        <v>#NAME?</v>
      </c>
      <c r="F1701" s="3" t="e">
        <f ca="1">[1]!BexGetData("DP_1","003N8EMH8GTFRCSWKMPXRRRFI","GSON1112160150")</f>
        <v>#NAME?</v>
      </c>
      <c r="G1701" s="3" t="e">
        <f ca="1">[1]!BexGetData("DP_1","003N8EMH8GTFRCSWKMPXRRXR2","GSON1112160150")</f>
        <v>#NAME?</v>
      </c>
      <c r="H1701" s="8" t="e">
        <f ca="1">[1]!BexGetData("DP_1","003N8EMH8GTFRCSWKMPXRS42M","GSON1112160150")</f>
        <v>#NAME?</v>
      </c>
      <c r="I1701" s="3" t="e">
        <f ca="1">[1]!BexGetData("DP_1","003N8EMH8GTFRCSWKMPXRSAE6","GSON1112160150")</f>
        <v>#NAME?</v>
      </c>
      <c r="J1701" s="4" t="e">
        <f ca="1">[1]!BexGetData("DP_1","003N8EMH8GTFRCSWKMPXRSGPQ","GSON1112160150")</f>
        <v>#NAME?</v>
      </c>
      <c r="K1701" s="3" t="e">
        <f ca="1">[1]!BexGetData("DP_1","003N8EMH8GTFRIVNUPY288VJH","GSON1112160150")</f>
        <v>#NAME?</v>
      </c>
      <c r="L1701" s="3" t="e">
        <f ca="1">[1]!BexGetData("DP_1","003N8EMH8GTFRIVNUPY2891V1","GSON1112160150")</f>
        <v>#NAME?</v>
      </c>
      <c r="M1701" s="3" t="e">
        <f ca="1">[1]!BexGetData("DP_1","003N8EMH8GTFRIVOG7KG9IQXA","GSON1112160150")</f>
        <v>#NAME?</v>
      </c>
      <c r="N1701" s="8" t="e">
        <f ca="1">[1]!BexGetData("DP_1","003N8EMH8GTFRIVOG7KG9IX8U","GSON1112160150")</f>
        <v>#NAME?</v>
      </c>
      <c r="O1701" s="3" t="e">
        <f ca="1">[1]!BexGetData("DP_1","003N8EMH8GTFRIVOG7KG9J3KE","GSON1112160150")</f>
        <v>#NAME?</v>
      </c>
      <c r="P1701" s="8" t="e">
        <f ca="1">[1]!BexGetData("DP_1","003N8EMH8GTFRIVOG7KG9J9VY","GSON1112160150")</f>
        <v>#NAME?</v>
      </c>
      <c r="Q1701" s="4" t="e">
        <f ca="1">[1]!BexGetData("DP_1","00O2TNJGODT0G5Z4TTKYMM5MT","GSON1112160150")</f>
        <v>#NAME?</v>
      </c>
      <c r="R1701" s="3" t="e">
        <f ca="1">[1]!BexGetData("DP_1","00O2TNJGODT0G5Z4TTKYMMBYD","GSON1112160150")</f>
        <v>#NAME?</v>
      </c>
      <c r="S1701" s="3" t="e">
        <f ca="1">[1]!BexGetData("DP_1","00O2TNJGODT0G5Z4TTKYMMI9X","GSON1112160150")</f>
        <v>#NAME?</v>
      </c>
      <c r="T1701" s="8" t="e">
        <f ca="1">[1]!BexGetData("DP_1","00O2TNJGODT0G5Z4TTKYMMOLH","GSON1112160150")</f>
        <v>#NAME?</v>
      </c>
      <c r="U1701" s="3" t="e">
        <f ca="1">[1]!BexGetData("DP_1","00O2TNJGODT0G5Z4TTKYMMUX1","GSON1112160150")</f>
        <v>#NAME?</v>
      </c>
      <c r="V1701" s="8" t="e">
        <f ca="1">[1]!BexGetData("DP_1","00O2TNJGODT0G5Z4TTKYMN18L","GSON1112160150")</f>
        <v>#NAME?</v>
      </c>
      <c r="W1701" s="3" t="e">
        <f ca="1">[1]!BexGetData("DP_1","00O2TNJGODT0G5Z4TTKYMN7K5","GSON1112160150")</f>
        <v>#NAME?</v>
      </c>
    </row>
    <row r="1702" spans="1:23" x14ac:dyDescent="0.2">
      <c r="A1702" s="16" t="s">
        <v>4332</v>
      </c>
      <c r="B1702" s="7" t="s">
        <v>4333</v>
      </c>
      <c r="C1702" s="3" t="e">
        <f ca="1">[1]!BexGetData("DP_1","003N8EMH8GTFRCSWKMPXRR8GU","GSON1112160153")</f>
        <v>#NAME?</v>
      </c>
      <c r="D1702" s="3" t="e">
        <f ca="1">[1]!BexGetData("DP_1","003N8EMH8GTFRCSWKMPXRRESE","GSON1112160153")</f>
        <v>#NAME?</v>
      </c>
      <c r="E1702" s="8" t="e">
        <f ca="1">[1]!BexGetData("DP_1","003N8EMH8GTFRCSWKMPXRRL3Y","GSON1112160153")</f>
        <v>#NAME?</v>
      </c>
      <c r="F1702" s="4" t="e">
        <f ca="1">[1]!BexGetData("DP_1","003N8EMH8GTFRCSWKMPXRRRFI","GSON1112160153")</f>
        <v>#NAME?</v>
      </c>
      <c r="G1702" s="4" t="e">
        <f ca="1">[1]!BexGetData("DP_1","003N8EMH8GTFRCSWKMPXRRXR2","GSON1112160153")</f>
        <v>#NAME?</v>
      </c>
      <c r="H1702" s="4" t="e">
        <f ca="1">[1]!BexGetData("DP_1","003N8EMH8GTFRCSWKMPXRS42M","GSON1112160153")</f>
        <v>#NAME?</v>
      </c>
      <c r="I1702" s="4" t="e">
        <f ca="1">[1]!BexGetData("DP_1","003N8EMH8GTFRCSWKMPXRSAE6","GSON1112160153")</f>
        <v>#NAME?</v>
      </c>
      <c r="J1702" s="4" t="e">
        <f ca="1">[1]!BexGetData("DP_1","003N8EMH8GTFRCSWKMPXRSGPQ","GSON1112160153")</f>
        <v>#NAME?</v>
      </c>
      <c r="K1702" s="8" t="e">
        <f ca="1">[1]!BexGetData("DP_1","003N8EMH8GTFRIVNUPY288VJH","GSON1112160153")</f>
        <v>#NAME?</v>
      </c>
      <c r="L1702" s="8" t="e">
        <f ca="1">[1]!BexGetData("DP_1","003N8EMH8GTFRIVNUPY2891V1","GSON1112160153")</f>
        <v>#NAME?</v>
      </c>
      <c r="M1702" s="8" t="e">
        <f ca="1">[1]!BexGetData("DP_1","003N8EMH8GTFRIVOG7KG9IQXA","GSON1112160153")</f>
        <v>#NAME?</v>
      </c>
      <c r="N1702" s="8" t="e">
        <f ca="1">[1]!BexGetData("DP_1","003N8EMH8GTFRIVOG7KG9IX8U","GSON1112160153")</f>
        <v>#NAME?</v>
      </c>
      <c r="O1702" s="8" t="e">
        <f ca="1">[1]!BexGetData("DP_1","003N8EMH8GTFRIVOG7KG9J3KE","GSON1112160153")</f>
        <v>#NAME?</v>
      </c>
      <c r="P1702" s="8" t="e">
        <f ca="1">[1]!BexGetData("DP_1","003N8EMH8GTFRIVOG7KG9J9VY","GSON1112160153")</f>
        <v>#NAME?</v>
      </c>
      <c r="Q1702" s="4" t="e">
        <f ca="1">[1]!BexGetData("DP_1","00O2TNJGODT0G5Z4TTKYMM5MT","GSON1112160153")</f>
        <v>#NAME?</v>
      </c>
      <c r="R1702" s="4" t="e">
        <f ca="1">[1]!BexGetData("DP_1","00O2TNJGODT0G5Z4TTKYMMBYD","GSON1112160153")</f>
        <v>#NAME?</v>
      </c>
      <c r="S1702" s="4" t="e">
        <f ca="1">[1]!BexGetData("DP_1","00O2TNJGODT0G5Z4TTKYMMI9X","GSON1112160153")</f>
        <v>#NAME?</v>
      </c>
      <c r="T1702" s="4" t="e">
        <f ca="1">[1]!BexGetData("DP_1","00O2TNJGODT0G5Z4TTKYMMOLH","GSON1112160153")</f>
        <v>#NAME?</v>
      </c>
      <c r="U1702" s="4" t="e">
        <f ca="1">[1]!BexGetData("DP_1","00O2TNJGODT0G5Z4TTKYMMUX1","GSON1112160153")</f>
        <v>#NAME?</v>
      </c>
      <c r="V1702" s="4" t="e">
        <f ca="1">[1]!BexGetData("DP_1","00O2TNJGODT0G5Z4TTKYMN18L","GSON1112160153")</f>
        <v>#NAME?</v>
      </c>
      <c r="W1702" s="4" t="e">
        <f ca="1">[1]!BexGetData("DP_1","00O2TNJGODT0G5Z4TTKYMN7K5","GSON1112160153")</f>
        <v>#NAME?</v>
      </c>
    </row>
    <row r="1703" spans="1:23" x14ac:dyDescent="0.2">
      <c r="A1703" s="16" t="s">
        <v>4334</v>
      </c>
      <c r="B1703" s="7" t="s">
        <v>4335</v>
      </c>
      <c r="C1703" s="3" t="e">
        <f ca="1">[1]!BexGetData("DP_1","003N8EMH8GTFRCSWKMPXRR8GU","GSON1112160155")</f>
        <v>#NAME?</v>
      </c>
      <c r="D1703" s="3" t="e">
        <f ca="1">[1]!BexGetData("DP_1","003N8EMH8GTFRCSWKMPXRRESE","GSON1112160155")</f>
        <v>#NAME?</v>
      </c>
      <c r="E1703" s="8" t="e">
        <f ca="1">[1]!BexGetData("DP_1","003N8EMH8GTFRCSWKMPXRRL3Y","GSON1112160155")</f>
        <v>#NAME?</v>
      </c>
      <c r="F1703" s="4" t="e">
        <f ca="1">[1]!BexGetData("DP_1","003N8EMH8GTFRCSWKMPXRRRFI","GSON1112160155")</f>
        <v>#NAME?</v>
      </c>
      <c r="G1703" s="4" t="e">
        <f ca="1">[1]!BexGetData("DP_1","003N8EMH8GTFRCSWKMPXRRXR2","GSON1112160155")</f>
        <v>#NAME?</v>
      </c>
      <c r="H1703" s="4" t="e">
        <f ca="1">[1]!BexGetData("DP_1","003N8EMH8GTFRCSWKMPXRS42M","GSON1112160155")</f>
        <v>#NAME?</v>
      </c>
      <c r="I1703" s="4" t="e">
        <f ca="1">[1]!BexGetData("DP_1","003N8EMH8GTFRCSWKMPXRSAE6","GSON1112160155")</f>
        <v>#NAME?</v>
      </c>
      <c r="J1703" s="4" t="e">
        <f ca="1">[1]!BexGetData("DP_1","003N8EMH8GTFRCSWKMPXRSGPQ","GSON1112160155")</f>
        <v>#NAME?</v>
      </c>
      <c r="K1703" s="8" t="e">
        <f ca="1">[1]!BexGetData("DP_1","003N8EMH8GTFRIVNUPY288VJH","GSON1112160155")</f>
        <v>#NAME?</v>
      </c>
      <c r="L1703" s="8" t="e">
        <f ca="1">[1]!BexGetData("DP_1","003N8EMH8GTFRIVNUPY2891V1","GSON1112160155")</f>
        <v>#NAME?</v>
      </c>
      <c r="M1703" s="8" t="e">
        <f ca="1">[1]!BexGetData("DP_1","003N8EMH8GTFRIVOG7KG9IQXA","GSON1112160155")</f>
        <v>#NAME?</v>
      </c>
      <c r="N1703" s="8" t="e">
        <f ca="1">[1]!BexGetData("DP_1","003N8EMH8GTFRIVOG7KG9IX8U","GSON1112160155")</f>
        <v>#NAME?</v>
      </c>
      <c r="O1703" s="8" t="e">
        <f ca="1">[1]!BexGetData("DP_1","003N8EMH8GTFRIVOG7KG9J3KE","GSON1112160155")</f>
        <v>#NAME?</v>
      </c>
      <c r="P1703" s="8" t="e">
        <f ca="1">[1]!BexGetData("DP_1","003N8EMH8GTFRIVOG7KG9J9VY","GSON1112160155")</f>
        <v>#NAME?</v>
      </c>
      <c r="Q1703" s="4" t="e">
        <f ca="1">[1]!BexGetData("DP_1","00O2TNJGODT0G5Z4TTKYMM5MT","GSON1112160155")</f>
        <v>#NAME?</v>
      </c>
      <c r="R1703" s="4" t="e">
        <f ca="1">[1]!BexGetData("DP_1","00O2TNJGODT0G5Z4TTKYMMBYD","GSON1112160155")</f>
        <v>#NAME?</v>
      </c>
      <c r="S1703" s="4" t="e">
        <f ca="1">[1]!BexGetData("DP_1","00O2TNJGODT0G5Z4TTKYMMI9X","GSON1112160155")</f>
        <v>#NAME?</v>
      </c>
      <c r="T1703" s="4" t="e">
        <f ca="1">[1]!BexGetData("DP_1","00O2TNJGODT0G5Z4TTKYMMOLH","GSON1112160155")</f>
        <v>#NAME?</v>
      </c>
      <c r="U1703" s="4" t="e">
        <f ca="1">[1]!BexGetData("DP_1","00O2TNJGODT0G5Z4TTKYMMUX1","GSON1112160155")</f>
        <v>#NAME?</v>
      </c>
      <c r="V1703" s="4" t="e">
        <f ca="1">[1]!BexGetData("DP_1","00O2TNJGODT0G5Z4TTKYMN18L","GSON1112160155")</f>
        <v>#NAME?</v>
      </c>
      <c r="W1703" s="4" t="e">
        <f ca="1">[1]!BexGetData("DP_1","00O2TNJGODT0G5Z4TTKYMN7K5","GSON1112160155")</f>
        <v>#NAME?</v>
      </c>
    </row>
    <row r="1704" spans="1:23" x14ac:dyDescent="0.2">
      <c r="A1704" s="16" t="s">
        <v>4336</v>
      </c>
      <c r="B1704" s="7" t="s">
        <v>4337</v>
      </c>
      <c r="C1704" s="3" t="e">
        <f ca="1">[1]!BexGetData("DP_1","003N8EMH8GTFRCSWKMPXRR8GU","GSON1112160160")</f>
        <v>#NAME?</v>
      </c>
      <c r="D1704" s="8" t="e">
        <f ca="1">[1]!BexGetData("DP_1","003N8EMH8GTFRCSWKMPXRRESE","GSON1112160160")</f>
        <v>#NAME?</v>
      </c>
      <c r="E1704" s="3" t="e">
        <f ca="1">[1]!BexGetData("DP_1","003N8EMH8GTFRCSWKMPXRRL3Y","GSON1112160160")</f>
        <v>#NAME?</v>
      </c>
      <c r="F1704" s="3" t="e">
        <f ca="1">[1]!BexGetData("DP_1","003N8EMH8GTFRCSWKMPXRRRFI","GSON1112160160")</f>
        <v>#NAME?</v>
      </c>
      <c r="G1704" s="3" t="e">
        <f ca="1">[1]!BexGetData("DP_1","003N8EMH8GTFRCSWKMPXRRXR2","GSON1112160160")</f>
        <v>#NAME?</v>
      </c>
      <c r="H1704" s="8" t="e">
        <f ca="1">[1]!BexGetData("DP_1","003N8EMH8GTFRCSWKMPXRS42M","GSON1112160160")</f>
        <v>#NAME?</v>
      </c>
      <c r="I1704" s="3" t="e">
        <f ca="1">[1]!BexGetData("DP_1","003N8EMH8GTFRCSWKMPXRSAE6","GSON1112160160")</f>
        <v>#NAME?</v>
      </c>
      <c r="J1704" s="4" t="e">
        <f ca="1">[1]!BexGetData("DP_1","003N8EMH8GTFRCSWKMPXRSGPQ","GSON1112160160")</f>
        <v>#NAME?</v>
      </c>
      <c r="K1704" s="3" t="e">
        <f ca="1">[1]!BexGetData("DP_1","003N8EMH8GTFRIVNUPY288VJH","GSON1112160160")</f>
        <v>#NAME?</v>
      </c>
      <c r="L1704" s="3" t="e">
        <f ca="1">[1]!BexGetData("DP_1","003N8EMH8GTFRIVNUPY2891V1","GSON1112160160")</f>
        <v>#NAME?</v>
      </c>
      <c r="M1704" s="8" t="e">
        <f ca="1">[1]!BexGetData("DP_1","003N8EMH8GTFRIVOG7KG9IQXA","GSON1112160160")</f>
        <v>#NAME?</v>
      </c>
      <c r="N1704" s="3" t="e">
        <f ca="1">[1]!BexGetData("DP_1","003N8EMH8GTFRIVOG7KG9IX8U","GSON1112160160")</f>
        <v>#NAME?</v>
      </c>
      <c r="O1704" s="8" t="e">
        <f ca="1">[1]!BexGetData("DP_1","003N8EMH8GTFRIVOG7KG9J3KE","GSON1112160160")</f>
        <v>#NAME?</v>
      </c>
      <c r="P1704" s="3" t="e">
        <f ca="1">[1]!BexGetData("DP_1","003N8EMH8GTFRIVOG7KG9J9VY","GSON1112160160")</f>
        <v>#NAME?</v>
      </c>
      <c r="Q1704" s="4" t="e">
        <f ca="1">[1]!BexGetData("DP_1","00O2TNJGODT0G5Z4TTKYMM5MT","GSON1112160160")</f>
        <v>#NAME?</v>
      </c>
      <c r="R1704" s="3" t="e">
        <f ca="1">[1]!BexGetData("DP_1","00O2TNJGODT0G5Z4TTKYMMBYD","GSON1112160160")</f>
        <v>#NAME?</v>
      </c>
      <c r="S1704" s="3" t="e">
        <f ca="1">[1]!BexGetData("DP_1","00O2TNJGODT0G5Z4TTKYMMI9X","GSON1112160160")</f>
        <v>#NAME?</v>
      </c>
      <c r="T1704" s="8" t="e">
        <f ca="1">[1]!BexGetData("DP_1","00O2TNJGODT0G5Z4TTKYMMOLH","GSON1112160160")</f>
        <v>#NAME?</v>
      </c>
      <c r="U1704" s="3" t="e">
        <f ca="1">[1]!BexGetData("DP_1","00O2TNJGODT0G5Z4TTKYMMUX1","GSON1112160160")</f>
        <v>#NAME?</v>
      </c>
      <c r="V1704" s="8" t="e">
        <f ca="1">[1]!BexGetData("DP_1","00O2TNJGODT0G5Z4TTKYMN18L","GSON1112160160")</f>
        <v>#NAME?</v>
      </c>
      <c r="W1704" s="3" t="e">
        <f ca="1">[1]!BexGetData("DP_1","00O2TNJGODT0G5Z4TTKYMN7K5","GSON1112160160")</f>
        <v>#NAME?</v>
      </c>
    </row>
    <row r="1705" spans="1:23" x14ac:dyDescent="0.2">
      <c r="A1705" s="16" t="s">
        <v>4338</v>
      </c>
      <c r="B1705" s="7" t="s">
        <v>4339</v>
      </c>
      <c r="C1705" s="3" t="e">
        <f ca="1">[1]!BexGetData("DP_1","003N8EMH8GTFRCSWKMPXRR8GU","GSON1112160165")</f>
        <v>#NAME?</v>
      </c>
      <c r="D1705" s="3" t="e">
        <f ca="1">[1]!BexGetData("DP_1","003N8EMH8GTFRCSWKMPXRRESE","GSON1112160165")</f>
        <v>#NAME?</v>
      </c>
      <c r="E1705" s="8" t="e">
        <f ca="1">[1]!BexGetData("DP_1","003N8EMH8GTFRCSWKMPXRRL3Y","GSON1112160165")</f>
        <v>#NAME?</v>
      </c>
      <c r="F1705" s="4" t="e">
        <f ca="1">[1]!BexGetData("DP_1","003N8EMH8GTFRCSWKMPXRRRFI","GSON1112160165")</f>
        <v>#NAME?</v>
      </c>
      <c r="G1705" s="4" t="e">
        <f ca="1">[1]!BexGetData("DP_1","003N8EMH8GTFRCSWKMPXRRXR2","GSON1112160165")</f>
        <v>#NAME?</v>
      </c>
      <c r="H1705" s="4" t="e">
        <f ca="1">[1]!BexGetData("DP_1","003N8EMH8GTFRCSWKMPXRS42M","GSON1112160165")</f>
        <v>#NAME?</v>
      </c>
      <c r="I1705" s="4" t="e">
        <f ca="1">[1]!BexGetData("DP_1","003N8EMH8GTFRCSWKMPXRSAE6","GSON1112160165")</f>
        <v>#NAME?</v>
      </c>
      <c r="J1705" s="4" t="e">
        <f ca="1">[1]!BexGetData("DP_1","003N8EMH8GTFRCSWKMPXRSGPQ","GSON1112160165")</f>
        <v>#NAME?</v>
      </c>
      <c r="K1705" s="8" t="e">
        <f ca="1">[1]!BexGetData("DP_1","003N8EMH8GTFRIVNUPY288VJH","GSON1112160165")</f>
        <v>#NAME?</v>
      </c>
      <c r="L1705" s="8" t="e">
        <f ca="1">[1]!BexGetData("DP_1","003N8EMH8GTFRIVNUPY2891V1","GSON1112160165")</f>
        <v>#NAME?</v>
      </c>
      <c r="M1705" s="8" t="e">
        <f ca="1">[1]!BexGetData("DP_1","003N8EMH8GTFRIVOG7KG9IQXA","GSON1112160165")</f>
        <v>#NAME?</v>
      </c>
      <c r="N1705" s="8" t="e">
        <f ca="1">[1]!BexGetData("DP_1","003N8EMH8GTFRIVOG7KG9IX8U","GSON1112160165")</f>
        <v>#NAME?</v>
      </c>
      <c r="O1705" s="8" t="e">
        <f ca="1">[1]!BexGetData("DP_1","003N8EMH8GTFRIVOG7KG9J3KE","GSON1112160165")</f>
        <v>#NAME?</v>
      </c>
      <c r="P1705" s="8" t="e">
        <f ca="1">[1]!BexGetData("DP_1","003N8EMH8GTFRIVOG7KG9J9VY","GSON1112160165")</f>
        <v>#NAME?</v>
      </c>
      <c r="Q1705" s="4" t="e">
        <f ca="1">[1]!BexGetData("DP_1","00O2TNJGODT0G5Z4TTKYMM5MT","GSON1112160165")</f>
        <v>#NAME?</v>
      </c>
      <c r="R1705" s="4" t="e">
        <f ca="1">[1]!BexGetData("DP_1","00O2TNJGODT0G5Z4TTKYMMBYD","GSON1112160165")</f>
        <v>#NAME?</v>
      </c>
      <c r="S1705" s="4" t="e">
        <f ca="1">[1]!BexGetData("DP_1","00O2TNJGODT0G5Z4TTKYMMI9X","GSON1112160165")</f>
        <v>#NAME?</v>
      </c>
      <c r="T1705" s="4" t="e">
        <f ca="1">[1]!BexGetData("DP_1","00O2TNJGODT0G5Z4TTKYMMOLH","GSON1112160165")</f>
        <v>#NAME?</v>
      </c>
      <c r="U1705" s="4" t="e">
        <f ca="1">[1]!BexGetData("DP_1","00O2TNJGODT0G5Z4TTKYMMUX1","GSON1112160165")</f>
        <v>#NAME?</v>
      </c>
      <c r="V1705" s="4" t="e">
        <f ca="1">[1]!BexGetData("DP_1","00O2TNJGODT0G5Z4TTKYMN18L","GSON1112160165")</f>
        <v>#NAME?</v>
      </c>
      <c r="W1705" s="4" t="e">
        <f ca="1">[1]!BexGetData("DP_1","00O2TNJGODT0G5Z4TTKYMN7K5","GSON1112160165")</f>
        <v>#NAME?</v>
      </c>
    </row>
    <row r="1706" spans="1:23" x14ac:dyDescent="0.2">
      <c r="A1706" s="16" t="s">
        <v>4340</v>
      </c>
      <c r="B1706" s="7" t="s">
        <v>4341</v>
      </c>
      <c r="C1706" s="3" t="e">
        <f ca="1">[1]!BexGetData("DP_1","003N8EMH8GTFRCSWKMPXRR8GU","GSON1112160180")</f>
        <v>#NAME?</v>
      </c>
      <c r="D1706" s="3" t="e">
        <f ca="1">[1]!BexGetData("DP_1","003N8EMH8GTFRCSWKMPXRRESE","GSON1112160180")</f>
        <v>#NAME?</v>
      </c>
      <c r="E1706" s="3" t="e">
        <f ca="1">[1]!BexGetData("DP_1","003N8EMH8GTFRCSWKMPXRRL3Y","GSON1112160180")</f>
        <v>#NAME?</v>
      </c>
      <c r="F1706" s="3" t="e">
        <f ca="1">[1]!BexGetData("DP_1","003N8EMH8GTFRCSWKMPXRRRFI","GSON1112160180")</f>
        <v>#NAME?</v>
      </c>
      <c r="G1706" s="3" t="e">
        <f ca="1">[1]!BexGetData("DP_1","003N8EMH8GTFRCSWKMPXRRXR2","GSON1112160180")</f>
        <v>#NAME?</v>
      </c>
      <c r="H1706" s="8" t="e">
        <f ca="1">[1]!BexGetData("DP_1","003N8EMH8GTFRCSWKMPXRS42M","GSON1112160180")</f>
        <v>#NAME?</v>
      </c>
      <c r="I1706" s="3" t="e">
        <f ca="1">[1]!BexGetData("DP_1","003N8EMH8GTFRCSWKMPXRSAE6","GSON1112160180")</f>
        <v>#NAME?</v>
      </c>
      <c r="J1706" s="4" t="e">
        <f ca="1">[1]!BexGetData("DP_1","003N8EMH8GTFRCSWKMPXRSGPQ","GSON1112160180")</f>
        <v>#NAME?</v>
      </c>
      <c r="K1706" s="3" t="e">
        <f ca="1">[1]!BexGetData("DP_1","003N8EMH8GTFRIVNUPY288VJH","GSON1112160180")</f>
        <v>#NAME?</v>
      </c>
      <c r="L1706" s="3" t="e">
        <f ca="1">[1]!BexGetData("DP_1","003N8EMH8GTFRIVNUPY2891V1","GSON1112160180")</f>
        <v>#NAME?</v>
      </c>
      <c r="M1706" s="3" t="e">
        <f ca="1">[1]!BexGetData("DP_1","003N8EMH8GTFRIVOG7KG9IQXA","GSON1112160180")</f>
        <v>#NAME?</v>
      </c>
      <c r="N1706" s="8" t="e">
        <f ca="1">[1]!BexGetData("DP_1","003N8EMH8GTFRIVOG7KG9IX8U","GSON1112160180")</f>
        <v>#NAME?</v>
      </c>
      <c r="O1706" s="3" t="e">
        <f ca="1">[1]!BexGetData("DP_1","003N8EMH8GTFRIVOG7KG9J3KE","GSON1112160180")</f>
        <v>#NAME?</v>
      </c>
      <c r="P1706" s="8" t="e">
        <f ca="1">[1]!BexGetData("DP_1","003N8EMH8GTFRIVOG7KG9J9VY","GSON1112160180")</f>
        <v>#NAME?</v>
      </c>
      <c r="Q1706" s="4" t="e">
        <f ca="1">[1]!BexGetData("DP_1","00O2TNJGODT0G5Z4TTKYMM5MT","GSON1112160180")</f>
        <v>#NAME?</v>
      </c>
      <c r="R1706" s="3" t="e">
        <f ca="1">[1]!BexGetData("DP_1","00O2TNJGODT0G5Z4TTKYMMBYD","GSON1112160180")</f>
        <v>#NAME?</v>
      </c>
      <c r="S1706" s="3" t="e">
        <f ca="1">[1]!BexGetData("DP_1","00O2TNJGODT0G5Z4TTKYMMI9X","GSON1112160180")</f>
        <v>#NAME?</v>
      </c>
      <c r="T1706" s="8" t="e">
        <f ca="1">[1]!BexGetData("DP_1","00O2TNJGODT0G5Z4TTKYMMOLH","GSON1112160180")</f>
        <v>#NAME?</v>
      </c>
      <c r="U1706" s="3" t="e">
        <f ca="1">[1]!BexGetData("DP_1","00O2TNJGODT0G5Z4TTKYMMUX1","GSON1112160180")</f>
        <v>#NAME?</v>
      </c>
      <c r="V1706" s="8" t="e">
        <f ca="1">[1]!BexGetData("DP_1","00O2TNJGODT0G5Z4TTKYMN18L","GSON1112160180")</f>
        <v>#NAME?</v>
      </c>
      <c r="W1706" s="3" t="e">
        <f ca="1">[1]!BexGetData("DP_1","00O2TNJGODT0G5Z4TTKYMN7K5","GSON1112160180")</f>
        <v>#NAME?</v>
      </c>
    </row>
    <row r="1707" spans="1:23" x14ac:dyDescent="0.2">
      <c r="A1707" s="16" t="s">
        <v>4342</v>
      </c>
      <c r="B1707" s="7" t="s">
        <v>4343</v>
      </c>
      <c r="C1707" s="3" t="e">
        <f ca="1">[1]!BexGetData("DP_1","003N8EMH8GTFRCSWKMPXRR8GU","GSON1112160181")</f>
        <v>#NAME?</v>
      </c>
      <c r="D1707" s="3" t="e">
        <f ca="1">[1]!BexGetData("DP_1","003N8EMH8GTFRCSWKMPXRRESE","GSON1112160181")</f>
        <v>#NAME?</v>
      </c>
      <c r="E1707" s="8" t="e">
        <f ca="1">[1]!BexGetData("DP_1","003N8EMH8GTFRCSWKMPXRRL3Y","GSON1112160181")</f>
        <v>#NAME?</v>
      </c>
      <c r="F1707" s="4" t="e">
        <f ca="1">[1]!BexGetData("DP_1","003N8EMH8GTFRCSWKMPXRRRFI","GSON1112160181")</f>
        <v>#NAME?</v>
      </c>
      <c r="G1707" s="4" t="e">
        <f ca="1">[1]!BexGetData("DP_1","003N8EMH8GTFRCSWKMPXRRXR2","GSON1112160181")</f>
        <v>#NAME?</v>
      </c>
      <c r="H1707" s="4" t="e">
        <f ca="1">[1]!BexGetData("DP_1","003N8EMH8GTFRCSWKMPXRS42M","GSON1112160181")</f>
        <v>#NAME?</v>
      </c>
      <c r="I1707" s="4" t="e">
        <f ca="1">[1]!BexGetData("DP_1","003N8EMH8GTFRCSWKMPXRSAE6","GSON1112160181")</f>
        <v>#NAME?</v>
      </c>
      <c r="J1707" s="4" t="e">
        <f ca="1">[1]!BexGetData("DP_1","003N8EMH8GTFRCSWKMPXRSGPQ","GSON1112160181")</f>
        <v>#NAME?</v>
      </c>
      <c r="K1707" s="8" t="e">
        <f ca="1">[1]!BexGetData("DP_1","003N8EMH8GTFRIVNUPY288VJH","GSON1112160181")</f>
        <v>#NAME?</v>
      </c>
      <c r="L1707" s="8" t="e">
        <f ca="1">[1]!BexGetData("DP_1","003N8EMH8GTFRIVNUPY2891V1","GSON1112160181")</f>
        <v>#NAME?</v>
      </c>
      <c r="M1707" s="8" t="e">
        <f ca="1">[1]!BexGetData("DP_1","003N8EMH8GTFRIVOG7KG9IQXA","GSON1112160181")</f>
        <v>#NAME?</v>
      </c>
      <c r="N1707" s="8" t="e">
        <f ca="1">[1]!BexGetData("DP_1","003N8EMH8GTFRIVOG7KG9IX8U","GSON1112160181")</f>
        <v>#NAME?</v>
      </c>
      <c r="O1707" s="8" t="e">
        <f ca="1">[1]!BexGetData("DP_1","003N8EMH8GTFRIVOG7KG9J3KE","GSON1112160181")</f>
        <v>#NAME?</v>
      </c>
      <c r="P1707" s="8" t="e">
        <f ca="1">[1]!BexGetData("DP_1","003N8EMH8GTFRIVOG7KG9J9VY","GSON1112160181")</f>
        <v>#NAME?</v>
      </c>
      <c r="Q1707" s="4" t="e">
        <f ca="1">[1]!BexGetData("DP_1","00O2TNJGODT0G5Z4TTKYMM5MT","GSON1112160181")</f>
        <v>#NAME?</v>
      </c>
      <c r="R1707" s="4" t="e">
        <f ca="1">[1]!BexGetData("DP_1","00O2TNJGODT0G5Z4TTKYMMBYD","GSON1112160181")</f>
        <v>#NAME?</v>
      </c>
      <c r="S1707" s="4" t="e">
        <f ca="1">[1]!BexGetData("DP_1","00O2TNJGODT0G5Z4TTKYMMI9X","GSON1112160181")</f>
        <v>#NAME?</v>
      </c>
      <c r="T1707" s="4" t="e">
        <f ca="1">[1]!BexGetData("DP_1","00O2TNJGODT0G5Z4TTKYMMOLH","GSON1112160181")</f>
        <v>#NAME?</v>
      </c>
      <c r="U1707" s="4" t="e">
        <f ca="1">[1]!BexGetData("DP_1","00O2TNJGODT0G5Z4TTKYMMUX1","GSON1112160181")</f>
        <v>#NAME?</v>
      </c>
      <c r="V1707" s="4" t="e">
        <f ca="1">[1]!BexGetData("DP_1","00O2TNJGODT0G5Z4TTKYMN18L","GSON1112160181")</f>
        <v>#NAME?</v>
      </c>
      <c r="W1707" s="4" t="e">
        <f ca="1">[1]!BexGetData("DP_1","00O2TNJGODT0G5Z4TTKYMN7K5","GSON1112160181")</f>
        <v>#NAME?</v>
      </c>
    </row>
    <row r="1708" spans="1:23" x14ac:dyDescent="0.2">
      <c r="A1708" s="16" t="s">
        <v>4344</v>
      </c>
      <c r="B1708" s="7" t="s">
        <v>4345</v>
      </c>
      <c r="C1708" s="3" t="e">
        <f ca="1">[1]!BexGetData("DP_1","003N8EMH8GTFRCSWKMPXRR8GU","GSON1112160183")</f>
        <v>#NAME?</v>
      </c>
      <c r="D1708" s="3" t="e">
        <f ca="1">[1]!BexGetData("DP_1","003N8EMH8GTFRCSWKMPXRRESE","GSON1112160183")</f>
        <v>#NAME?</v>
      </c>
      <c r="E1708" s="8" t="e">
        <f ca="1">[1]!BexGetData("DP_1","003N8EMH8GTFRCSWKMPXRRL3Y","GSON1112160183")</f>
        <v>#NAME?</v>
      </c>
      <c r="F1708" s="4" t="e">
        <f ca="1">[1]!BexGetData("DP_1","003N8EMH8GTFRCSWKMPXRRRFI","GSON1112160183")</f>
        <v>#NAME?</v>
      </c>
      <c r="G1708" s="4" t="e">
        <f ca="1">[1]!BexGetData("DP_1","003N8EMH8GTFRCSWKMPXRRXR2","GSON1112160183")</f>
        <v>#NAME?</v>
      </c>
      <c r="H1708" s="4" t="e">
        <f ca="1">[1]!BexGetData("DP_1","003N8EMH8GTFRCSWKMPXRS42M","GSON1112160183")</f>
        <v>#NAME?</v>
      </c>
      <c r="I1708" s="4" t="e">
        <f ca="1">[1]!BexGetData("DP_1","003N8EMH8GTFRCSWKMPXRSAE6","GSON1112160183")</f>
        <v>#NAME?</v>
      </c>
      <c r="J1708" s="4" t="e">
        <f ca="1">[1]!BexGetData("DP_1","003N8EMH8GTFRCSWKMPXRSGPQ","GSON1112160183")</f>
        <v>#NAME?</v>
      </c>
      <c r="K1708" s="8" t="e">
        <f ca="1">[1]!BexGetData("DP_1","003N8EMH8GTFRIVNUPY288VJH","GSON1112160183")</f>
        <v>#NAME?</v>
      </c>
      <c r="L1708" s="8" t="e">
        <f ca="1">[1]!BexGetData("DP_1","003N8EMH8GTFRIVNUPY2891V1","GSON1112160183")</f>
        <v>#NAME?</v>
      </c>
      <c r="M1708" s="8" t="e">
        <f ca="1">[1]!BexGetData("DP_1","003N8EMH8GTFRIVOG7KG9IQXA","GSON1112160183")</f>
        <v>#NAME?</v>
      </c>
      <c r="N1708" s="8" t="e">
        <f ca="1">[1]!BexGetData("DP_1","003N8EMH8GTFRIVOG7KG9IX8U","GSON1112160183")</f>
        <v>#NAME?</v>
      </c>
      <c r="O1708" s="8" t="e">
        <f ca="1">[1]!BexGetData("DP_1","003N8EMH8GTFRIVOG7KG9J3KE","GSON1112160183")</f>
        <v>#NAME?</v>
      </c>
      <c r="P1708" s="8" t="e">
        <f ca="1">[1]!BexGetData("DP_1","003N8EMH8GTFRIVOG7KG9J9VY","GSON1112160183")</f>
        <v>#NAME?</v>
      </c>
      <c r="Q1708" s="4" t="e">
        <f ca="1">[1]!BexGetData("DP_1","00O2TNJGODT0G5Z4TTKYMM5MT","GSON1112160183")</f>
        <v>#NAME?</v>
      </c>
      <c r="R1708" s="4" t="e">
        <f ca="1">[1]!BexGetData("DP_1","00O2TNJGODT0G5Z4TTKYMMBYD","GSON1112160183")</f>
        <v>#NAME?</v>
      </c>
      <c r="S1708" s="4" t="e">
        <f ca="1">[1]!BexGetData("DP_1","00O2TNJGODT0G5Z4TTKYMMI9X","GSON1112160183")</f>
        <v>#NAME?</v>
      </c>
      <c r="T1708" s="4" t="e">
        <f ca="1">[1]!BexGetData("DP_1","00O2TNJGODT0G5Z4TTKYMMOLH","GSON1112160183")</f>
        <v>#NAME?</v>
      </c>
      <c r="U1708" s="4" t="e">
        <f ca="1">[1]!BexGetData("DP_1","00O2TNJGODT0G5Z4TTKYMMUX1","GSON1112160183")</f>
        <v>#NAME?</v>
      </c>
      <c r="V1708" s="4" t="e">
        <f ca="1">[1]!BexGetData("DP_1","00O2TNJGODT0G5Z4TTKYMN18L","GSON1112160183")</f>
        <v>#NAME?</v>
      </c>
      <c r="W1708" s="4" t="e">
        <f ca="1">[1]!BexGetData("DP_1","00O2TNJGODT0G5Z4TTKYMN7K5","GSON1112160183")</f>
        <v>#NAME?</v>
      </c>
    </row>
    <row r="1709" spans="1:23" x14ac:dyDescent="0.2">
      <c r="A1709" s="16" t="s">
        <v>4346</v>
      </c>
      <c r="B1709" s="7" t="s">
        <v>4347</v>
      </c>
      <c r="C1709" s="3" t="e">
        <f ca="1">[1]!BexGetData("DP_1","003N8EMH8GTFRCSWKMPXRR8GU","GSON1112160184")</f>
        <v>#NAME?</v>
      </c>
      <c r="D1709" s="3" t="e">
        <f ca="1">[1]!BexGetData("DP_1","003N8EMH8GTFRCSWKMPXRRESE","GSON1112160184")</f>
        <v>#NAME?</v>
      </c>
      <c r="E1709" s="8" t="e">
        <f ca="1">[1]!BexGetData("DP_1","003N8EMH8GTFRCSWKMPXRRL3Y","GSON1112160184")</f>
        <v>#NAME?</v>
      </c>
      <c r="F1709" s="4" t="e">
        <f ca="1">[1]!BexGetData("DP_1","003N8EMH8GTFRCSWKMPXRRRFI","GSON1112160184")</f>
        <v>#NAME?</v>
      </c>
      <c r="G1709" s="4" t="e">
        <f ca="1">[1]!BexGetData("DP_1","003N8EMH8GTFRCSWKMPXRRXR2","GSON1112160184")</f>
        <v>#NAME?</v>
      </c>
      <c r="H1709" s="4" t="e">
        <f ca="1">[1]!BexGetData("DP_1","003N8EMH8GTFRCSWKMPXRS42M","GSON1112160184")</f>
        <v>#NAME?</v>
      </c>
      <c r="I1709" s="4" t="e">
        <f ca="1">[1]!BexGetData("DP_1","003N8EMH8GTFRCSWKMPXRSAE6","GSON1112160184")</f>
        <v>#NAME?</v>
      </c>
      <c r="J1709" s="4" t="e">
        <f ca="1">[1]!BexGetData("DP_1","003N8EMH8GTFRCSWKMPXRSGPQ","GSON1112160184")</f>
        <v>#NAME?</v>
      </c>
      <c r="K1709" s="8" t="e">
        <f ca="1">[1]!BexGetData("DP_1","003N8EMH8GTFRIVNUPY288VJH","GSON1112160184")</f>
        <v>#NAME?</v>
      </c>
      <c r="L1709" s="8" t="e">
        <f ca="1">[1]!BexGetData("DP_1","003N8EMH8GTFRIVNUPY2891V1","GSON1112160184")</f>
        <v>#NAME?</v>
      </c>
      <c r="M1709" s="8" t="e">
        <f ca="1">[1]!BexGetData("DP_1","003N8EMH8GTFRIVOG7KG9IQXA","GSON1112160184")</f>
        <v>#NAME?</v>
      </c>
      <c r="N1709" s="8" t="e">
        <f ca="1">[1]!BexGetData("DP_1","003N8EMH8GTFRIVOG7KG9IX8U","GSON1112160184")</f>
        <v>#NAME?</v>
      </c>
      <c r="O1709" s="8" t="e">
        <f ca="1">[1]!BexGetData("DP_1","003N8EMH8GTFRIVOG7KG9J3KE","GSON1112160184")</f>
        <v>#NAME?</v>
      </c>
      <c r="P1709" s="8" t="e">
        <f ca="1">[1]!BexGetData("DP_1","003N8EMH8GTFRIVOG7KG9J9VY","GSON1112160184")</f>
        <v>#NAME?</v>
      </c>
      <c r="Q1709" s="4" t="e">
        <f ca="1">[1]!BexGetData("DP_1","00O2TNJGODT0G5Z4TTKYMM5MT","GSON1112160184")</f>
        <v>#NAME?</v>
      </c>
      <c r="R1709" s="4" t="e">
        <f ca="1">[1]!BexGetData("DP_1","00O2TNJGODT0G5Z4TTKYMMBYD","GSON1112160184")</f>
        <v>#NAME?</v>
      </c>
      <c r="S1709" s="4" t="e">
        <f ca="1">[1]!BexGetData("DP_1","00O2TNJGODT0G5Z4TTKYMMI9X","GSON1112160184")</f>
        <v>#NAME?</v>
      </c>
      <c r="T1709" s="4" t="e">
        <f ca="1">[1]!BexGetData("DP_1","00O2TNJGODT0G5Z4TTKYMMOLH","GSON1112160184")</f>
        <v>#NAME?</v>
      </c>
      <c r="U1709" s="4" t="e">
        <f ca="1">[1]!BexGetData("DP_1","00O2TNJGODT0G5Z4TTKYMMUX1","GSON1112160184")</f>
        <v>#NAME?</v>
      </c>
      <c r="V1709" s="4" t="e">
        <f ca="1">[1]!BexGetData("DP_1","00O2TNJGODT0G5Z4TTKYMN18L","GSON1112160184")</f>
        <v>#NAME?</v>
      </c>
      <c r="W1709" s="4" t="e">
        <f ca="1">[1]!BexGetData("DP_1","00O2TNJGODT0G5Z4TTKYMN7K5","GSON1112160184")</f>
        <v>#NAME?</v>
      </c>
    </row>
    <row r="1710" spans="1:23" x14ac:dyDescent="0.2">
      <c r="A1710" s="16" t="s">
        <v>4348</v>
      </c>
      <c r="B1710" s="7" t="s">
        <v>4349</v>
      </c>
      <c r="C1710" s="3" t="e">
        <f ca="1">[1]!BexGetData("DP_1","003N8EMH8GTFRCSWKMPXRR8GU","GSON1112160185")</f>
        <v>#NAME?</v>
      </c>
      <c r="D1710" s="3" t="e">
        <f ca="1">[1]!BexGetData("DP_1","003N8EMH8GTFRCSWKMPXRRESE","GSON1112160185")</f>
        <v>#NAME?</v>
      </c>
      <c r="E1710" s="8" t="e">
        <f ca="1">[1]!BexGetData("DP_1","003N8EMH8GTFRCSWKMPXRRL3Y","GSON1112160185")</f>
        <v>#NAME?</v>
      </c>
      <c r="F1710" s="4" t="e">
        <f ca="1">[1]!BexGetData("DP_1","003N8EMH8GTFRCSWKMPXRRRFI","GSON1112160185")</f>
        <v>#NAME?</v>
      </c>
      <c r="G1710" s="4" t="e">
        <f ca="1">[1]!BexGetData("DP_1","003N8EMH8GTFRCSWKMPXRRXR2","GSON1112160185")</f>
        <v>#NAME?</v>
      </c>
      <c r="H1710" s="4" t="e">
        <f ca="1">[1]!BexGetData("DP_1","003N8EMH8GTFRCSWKMPXRS42M","GSON1112160185")</f>
        <v>#NAME?</v>
      </c>
      <c r="I1710" s="4" t="e">
        <f ca="1">[1]!BexGetData("DP_1","003N8EMH8GTFRCSWKMPXRSAE6","GSON1112160185")</f>
        <v>#NAME?</v>
      </c>
      <c r="J1710" s="4" t="e">
        <f ca="1">[1]!BexGetData("DP_1","003N8EMH8GTFRCSWKMPXRSGPQ","GSON1112160185")</f>
        <v>#NAME?</v>
      </c>
      <c r="K1710" s="8" t="e">
        <f ca="1">[1]!BexGetData("DP_1","003N8EMH8GTFRIVNUPY288VJH","GSON1112160185")</f>
        <v>#NAME?</v>
      </c>
      <c r="L1710" s="8" t="e">
        <f ca="1">[1]!BexGetData("DP_1","003N8EMH8GTFRIVNUPY2891V1","GSON1112160185")</f>
        <v>#NAME?</v>
      </c>
      <c r="M1710" s="8" t="e">
        <f ca="1">[1]!BexGetData("DP_1","003N8EMH8GTFRIVOG7KG9IQXA","GSON1112160185")</f>
        <v>#NAME?</v>
      </c>
      <c r="N1710" s="8" t="e">
        <f ca="1">[1]!BexGetData("DP_1","003N8EMH8GTFRIVOG7KG9IX8U","GSON1112160185")</f>
        <v>#NAME?</v>
      </c>
      <c r="O1710" s="8" t="e">
        <f ca="1">[1]!BexGetData("DP_1","003N8EMH8GTFRIVOG7KG9J3KE","GSON1112160185")</f>
        <v>#NAME?</v>
      </c>
      <c r="P1710" s="8" t="e">
        <f ca="1">[1]!BexGetData("DP_1","003N8EMH8GTFRIVOG7KG9J9VY","GSON1112160185")</f>
        <v>#NAME?</v>
      </c>
      <c r="Q1710" s="4" t="e">
        <f ca="1">[1]!BexGetData("DP_1","00O2TNJGODT0G5Z4TTKYMM5MT","GSON1112160185")</f>
        <v>#NAME?</v>
      </c>
      <c r="R1710" s="4" t="e">
        <f ca="1">[1]!BexGetData("DP_1","00O2TNJGODT0G5Z4TTKYMMBYD","GSON1112160185")</f>
        <v>#NAME?</v>
      </c>
      <c r="S1710" s="4" t="e">
        <f ca="1">[1]!BexGetData("DP_1","00O2TNJGODT0G5Z4TTKYMMI9X","GSON1112160185")</f>
        <v>#NAME?</v>
      </c>
      <c r="T1710" s="4" t="e">
        <f ca="1">[1]!BexGetData("DP_1","00O2TNJGODT0G5Z4TTKYMMOLH","GSON1112160185")</f>
        <v>#NAME?</v>
      </c>
      <c r="U1710" s="4" t="e">
        <f ca="1">[1]!BexGetData("DP_1","00O2TNJGODT0G5Z4TTKYMMUX1","GSON1112160185")</f>
        <v>#NAME?</v>
      </c>
      <c r="V1710" s="4" t="e">
        <f ca="1">[1]!BexGetData("DP_1","00O2TNJGODT0G5Z4TTKYMN18L","GSON1112160185")</f>
        <v>#NAME?</v>
      </c>
      <c r="W1710" s="4" t="e">
        <f ca="1">[1]!BexGetData("DP_1","00O2TNJGODT0G5Z4TTKYMN7K5","GSON1112160185")</f>
        <v>#NAME?</v>
      </c>
    </row>
    <row r="1711" spans="1:23" x14ac:dyDescent="0.2">
      <c r="A1711" s="16" t="s">
        <v>4350</v>
      </c>
      <c r="B1711" s="7" t="s">
        <v>4351</v>
      </c>
      <c r="C1711" s="3" t="e">
        <f ca="1">[1]!BexGetData("DP_1","003N8EMH8GTFRCSWKMPXRR8GU","GSON1112160190")</f>
        <v>#NAME?</v>
      </c>
      <c r="D1711" s="3" t="e">
        <f ca="1">[1]!BexGetData("DP_1","003N8EMH8GTFRCSWKMPXRRESE","GSON1112160190")</f>
        <v>#NAME?</v>
      </c>
      <c r="E1711" s="3" t="e">
        <f ca="1">[1]!BexGetData("DP_1","003N8EMH8GTFRCSWKMPXRRL3Y","GSON1112160190")</f>
        <v>#NAME?</v>
      </c>
      <c r="F1711" s="3" t="e">
        <f ca="1">[1]!BexGetData("DP_1","003N8EMH8GTFRCSWKMPXRRRFI","GSON1112160190")</f>
        <v>#NAME?</v>
      </c>
      <c r="G1711" s="3" t="e">
        <f ca="1">[1]!BexGetData("DP_1","003N8EMH8GTFRCSWKMPXRRXR2","GSON1112160190")</f>
        <v>#NAME?</v>
      </c>
      <c r="H1711" s="8" t="e">
        <f ca="1">[1]!BexGetData("DP_1","003N8EMH8GTFRCSWKMPXRS42M","GSON1112160190")</f>
        <v>#NAME?</v>
      </c>
      <c r="I1711" s="3" t="e">
        <f ca="1">[1]!BexGetData("DP_1","003N8EMH8GTFRCSWKMPXRSAE6","GSON1112160190")</f>
        <v>#NAME?</v>
      </c>
      <c r="J1711" s="4" t="e">
        <f ca="1">[1]!BexGetData("DP_1","003N8EMH8GTFRCSWKMPXRSGPQ","GSON1112160190")</f>
        <v>#NAME?</v>
      </c>
      <c r="K1711" s="3" t="e">
        <f ca="1">[1]!BexGetData("DP_1","003N8EMH8GTFRIVNUPY288VJH","GSON1112160190")</f>
        <v>#NAME?</v>
      </c>
      <c r="L1711" s="3" t="e">
        <f ca="1">[1]!BexGetData("DP_1","003N8EMH8GTFRIVNUPY2891V1","GSON1112160190")</f>
        <v>#NAME?</v>
      </c>
      <c r="M1711" s="3" t="e">
        <f ca="1">[1]!BexGetData("DP_1","003N8EMH8GTFRIVOG7KG9IQXA","GSON1112160190")</f>
        <v>#NAME?</v>
      </c>
      <c r="N1711" s="8" t="e">
        <f ca="1">[1]!BexGetData("DP_1","003N8EMH8GTFRIVOG7KG9IX8U","GSON1112160190")</f>
        <v>#NAME?</v>
      </c>
      <c r="O1711" s="3" t="e">
        <f ca="1">[1]!BexGetData("DP_1","003N8EMH8GTFRIVOG7KG9J3KE","GSON1112160190")</f>
        <v>#NAME?</v>
      </c>
      <c r="P1711" s="8" t="e">
        <f ca="1">[1]!BexGetData("DP_1","003N8EMH8GTFRIVOG7KG9J9VY","GSON1112160190")</f>
        <v>#NAME?</v>
      </c>
      <c r="Q1711" s="4" t="e">
        <f ca="1">[1]!BexGetData("DP_1","00O2TNJGODT0G5Z4TTKYMM5MT","GSON1112160190")</f>
        <v>#NAME?</v>
      </c>
      <c r="R1711" s="3" t="e">
        <f ca="1">[1]!BexGetData("DP_1","00O2TNJGODT0G5Z4TTKYMMBYD","GSON1112160190")</f>
        <v>#NAME?</v>
      </c>
      <c r="S1711" s="3" t="e">
        <f ca="1">[1]!BexGetData("DP_1","00O2TNJGODT0G5Z4TTKYMMI9X","GSON1112160190")</f>
        <v>#NAME?</v>
      </c>
      <c r="T1711" s="8" t="e">
        <f ca="1">[1]!BexGetData("DP_1","00O2TNJGODT0G5Z4TTKYMMOLH","GSON1112160190")</f>
        <v>#NAME?</v>
      </c>
      <c r="U1711" s="3" t="e">
        <f ca="1">[1]!BexGetData("DP_1","00O2TNJGODT0G5Z4TTKYMMUX1","GSON1112160190")</f>
        <v>#NAME?</v>
      </c>
      <c r="V1711" s="8" t="e">
        <f ca="1">[1]!BexGetData("DP_1","00O2TNJGODT0G5Z4TTKYMN18L","GSON1112160190")</f>
        <v>#NAME?</v>
      </c>
      <c r="W1711" s="3" t="e">
        <f ca="1">[1]!BexGetData("DP_1","00O2TNJGODT0G5Z4TTKYMN7K5","GSON1112160190")</f>
        <v>#NAME?</v>
      </c>
    </row>
    <row r="1712" spans="1:23" x14ac:dyDescent="0.2">
      <c r="A1712" s="16" t="s">
        <v>4352</v>
      </c>
      <c r="B1712" s="7" t="s">
        <v>4353</v>
      </c>
      <c r="C1712" s="3" t="e">
        <f ca="1">[1]!BexGetData("DP_1","003N8EMH8GTFRCSWKMPXRR8GU","GSON1112160191")</f>
        <v>#NAME?</v>
      </c>
      <c r="D1712" s="3" t="e">
        <f ca="1">[1]!BexGetData("DP_1","003N8EMH8GTFRCSWKMPXRRESE","GSON1112160191")</f>
        <v>#NAME?</v>
      </c>
      <c r="E1712" s="8" t="e">
        <f ca="1">[1]!BexGetData("DP_1","003N8EMH8GTFRCSWKMPXRRL3Y","GSON1112160191")</f>
        <v>#NAME?</v>
      </c>
      <c r="F1712" s="4" t="e">
        <f ca="1">[1]!BexGetData("DP_1","003N8EMH8GTFRCSWKMPXRRRFI","GSON1112160191")</f>
        <v>#NAME?</v>
      </c>
      <c r="G1712" s="4" t="e">
        <f ca="1">[1]!BexGetData("DP_1","003N8EMH8GTFRCSWKMPXRRXR2","GSON1112160191")</f>
        <v>#NAME?</v>
      </c>
      <c r="H1712" s="4" t="e">
        <f ca="1">[1]!BexGetData("DP_1","003N8EMH8GTFRCSWKMPXRS42M","GSON1112160191")</f>
        <v>#NAME?</v>
      </c>
      <c r="I1712" s="4" t="e">
        <f ca="1">[1]!BexGetData("DP_1","003N8EMH8GTFRCSWKMPXRSAE6","GSON1112160191")</f>
        <v>#NAME?</v>
      </c>
      <c r="J1712" s="4" t="e">
        <f ca="1">[1]!BexGetData("DP_1","003N8EMH8GTFRCSWKMPXRSGPQ","GSON1112160191")</f>
        <v>#NAME?</v>
      </c>
      <c r="K1712" s="8" t="e">
        <f ca="1">[1]!BexGetData("DP_1","003N8EMH8GTFRIVNUPY288VJH","GSON1112160191")</f>
        <v>#NAME?</v>
      </c>
      <c r="L1712" s="8" t="e">
        <f ca="1">[1]!BexGetData("DP_1","003N8EMH8GTFRIVNUPY2891V1","GSON1112160191")</f>
        <v>#NAME?</v>
      </c>
      <c r="M1712" s="8" t="e">
        <f ca="1">[1]!BexGetData("DP_1","003N8EMH8GTFRIVOG7KG9IQXA","GSON1112160191")</f>
        <v>#NAME?</v>
      </c>
      <c r="N1712" s="8" t="e">
        <f ca="1">[1]!BexGetData("DP_1","003N8EMH8GTFRIVOG7KG9IX8U","GSON1112160191")</f>
        <v>#NAME?</v>
      </c>
      <c r="O1712" s="8" t="e">
        <f ca="1">[1]!BexGetData("DP_1","003N8EMH8GTFRIVOG7KG9J3KE","GSON1112160191")</f>
        <v>#NAME?</v>
      </c>
      <c r="P1712" s="8" t="e">
        <f ca="1">[1]!BexGetData("DP_1","003N8EMH8GTFRIVOG7KG9J9VY","GSON1112160191")</f>
        <v>#NAME?</v>
      </c>
      <c r="Q1712" s="4" t="e">
        <f ca="1">[1]!BexGetData("DP_1","00O2TNJGODT0G5Z4TTKYMM5MT","GSON1112160191")</f>
        <v>#NAME?</v>
      </c>
      <c r="R1712" s="4" t="e">
        <f ca="1">[1]!BexGetData("DP_1","00O2TNJGODT0G5Z4TTKYMMBYD","GSON1112160191")</f>
        <v>#NAME?</v>
      </c>
      <c r="S1712" s="4" t="e">
        <f ca="1">[1]!BexGetData("DP_1","00O2TNJGODT0G5Z4TTKYMMI9X","GSON1112160191")</f>
        <v>#NAME?</v>
      </c>
      <c r="T1712" s="4" t="e">
        <f ca="1">[1]!BexGetData("DP_1","00O2TNJGODT0G5Z4TTKYMMOLH","GSON1112160191")</f>
        <v>#NAME?</v>
      </c>
      <c r="U1712" s="4" t="e">
        <f ca="1">[1]!BexGetData("DP_1","00O2TNJGODT0G5Z4TTKYMMUX1","GSON1112160191")</f>
        <v>#NAME?</v>
      </c>
      <c r="V1712" s="4" t="e">
        <f ca="1">[1]!BexGetData("DP_1","00O2TNJGODT0G5Z4TTKYMN18L","GSON1112160191")</f>
        <v>#NAME?</v>
      </c>
      <c r="W1712" s="4" t="e">
        <f ca="1">[1]!BexGetData("DP_1","00O2TNJGODT0G5Z4TTKYMN7K5","GSON1112160191")</f>
        <v>#NAME?</v>
      </c>
    </row>
    <row r="1713" spans="1:23" x14ac:dyDescent="0.2">
      <c r="A1713" s="16" t="s">
        <v>4354</v>
      </c>
      <c r="B1713" s="7" t="s">
        <v>4355</v>
      </c>
      <c r="C1713" s="3" t="e">
        <f ca="1">[1]!BexGetData("DP_1","003N8EMH8GTFRCSWKMPXRR8GU","GSON1112160192")</f>
        <v>#NAME?</v>
      </c>
      <c r="D1713" s="3" t="e">
        <f ca="1">[1]!BexGetData("DP_1","003N8EMH8GTFRCSWKMPXRRESE","GSON1112160192")</f>
        <v>#NAME?</v>
      </c>
      <c r="E1713" s="3" t="e">
        <f ca="1">[1]!BexGetData("DP_1","003N8EMH8GTFRCSWKMPXRRL3Y","GSON1112160192")</f>
        <v>#NAME?</v>
      </c>
      <c r="F1713" s="3" t="e">
        <f ca="1">[1]!BexGetData("DP_1","003N8EMH8GTFRCSWKMPXRRRFI","GSON1112160192")</f>
        <v>#NAME?</v>
      </c>
      <c r="G1713" s="8" t="e">
        <f ca="1">[1]!BexGetData("DP_1","003N8EMH8GTFRCSWKMPXRRXR2","GSON1112160192")</f>
        <v>#NAME?</v>
      </c>
      <c r="H1713" s="3" t="e">
        <f ca="1">[1]!BexGetData("DP_1","003N8EMH8GTFRCSWKMPXRS42M","GSON1112160192")</f>
        <v>#NAME?</v>
      </c>
      <c r="I1713" s="3" t="e">
        <f ca="1">[1]!BexGetData("DP_1","003N8EMH8GTFRCSWKMPXRSAE6","GSON1112160192")</f>
        <v>#NAME?</v>
      </c>
      <c r="J1713" s="4" t="e">
        <f ca="1">[1]!BexGetData("DP_1","003N8EMH8GTFRCSWKMPXRSGPQ","GSON1112160192")</f>
        <v>#NAME?</v>
      </c>
      <c r="K1713" s="3" t="e">
        <f ca="1">[1]!BexGetData("DP_1","003N8EMH8GTFRIVNUPY288VJH","GSON1112160192")</f>
        <v>#NAME?</v>
      </c>
      <c r="L1713" s="3" t="e">
        <f ca="1">[1]!BexGetData("DP_1","003N8EMH8GTFRIVNUPY2891V1","GSON1112160192")</f>
        <v>#NAME?</v>
      </c>
      <c r="M1713" s="8" t="e">
        <f ca="1">[1]!BexGetData("DP_1","003N8EMH8GTFRIVOG7KG9IQXA","GSON1112160192")</f>
        <v>#NAME?</v>
      </c>
      <c r="N1713" s="3" t="e">
        <f ca="1">[1]!BexGetData("DP_1","003N8EMH8GTFRIVOG7KG9IX8U","GSON1112160192")</f>
        <v>#NAME?</v>
      </c>
      <c r="O1713" s="8" t="e">
        <f ca="1">[1]!BexGetData("DP_1","003N8EMH8GTFRIVOG7KG9J3KE","GSON1112160192")</f>
        <v>#NAME?</v>
      </c>
      <c r="P1713" s="3" t="e">
        <f ca="1">[1]!BexGetData("DP_1","003N8EMH8GTFRIVOG7KG9J9VY","GSON1112160192")</f>
        <v>#NAME?</v>
      </c>
      <c r="Q1713" s="4" t="e">
        <f ca="1">[1]!BexGetData("DP_1","00O2TNJGODT0G5Z4TTKYMM5MT","GSON1112160192")</f>
        <v>#NAME?</v>
      </c>
      <c r="R1713" s="3" t="e">
        <f ca="1">[1]!BexGetData("DP_1","00O2TNJGODT0G5Z4TTKYMMBYD","GSON1112160192")</f>
        <v>#NAME?</v>
      </c>
      <c r="S1713" s="3" t="e">
        <f ca="1">[1]!BexGetData("DP_1","00O2TNJGODT0G5Z4TTKYMMI9X","GSON1112160192")</f>
        <v>#NAME?</v>
      </c>
      <c r="T1713" s="3" t="e">
        <f ca="1">[1]!BexGetData("DP_1","00O2TNJGODT0G5Z4TTKYMMOLH","GSON1112160192")</f>
        <v>#NAME?</v>
      </c>
      <c r="U1713" s="8" t="e">
        <f ca="1">[1]!BexGetData("DP_1","00O2TNJGODT0G5Z4TTKYMMUX1","GSON1112160192")</f>
        <v>#NAME?</v>
      </c>
      <c r="V1713" s="3" t="e">
        <f ca="1">[1]!BexGetData("DP_1","00O2TNJGODT0G5Z4TTKYMN18L","GSON1112160192")</f>
        <v>#NAME?</v>
      </c>
      <c r="W1713" s="8" t="e">
        <f ca="1">[1]!BexGetData("DP_1","00O2TNJGODT0G5Z4TTKYMN7K5","GSON1112160192")</f>
        <v>#NAME?</v>
      </c>
    </row>
    <row r="1714" spans="1:23" x14ac:dyDescent="0.2">
      <c r="A1714" s="16" t="s">
        <v>4356</v>
      </c>
      <c r="B1714" s="7" t="s">
        <v>4357</v>
      </c>
      <c r="C1714" s="3" t="e">
        <f ca="1">[1]!BexGetData("DP_1","003N8EMH8GTFRCSWKMPXRR8GU","GSON1112160193")</f>
        <v>#NAME?</v>
      </c>
      <c r="D1714" s="3" t="e">
        <f ca="1">[1]!BexGetData("DP_1","003N8EMH8GTFRCSWKMPXRRESE","GSON1112160193")</f>
        <v>#NAME?</v>
      </c>
      <c r="E1714" s="8" t="e">
        <f ca="1">[1]!BexGetData("DP_1","003N8EMH8GTFRCSWKMPXRRL3Y","GSON1112160193")</f>
        <v>#NAME?</v>
      </c>
      <c r="F1714" s="4" t="e">
        <f ca="1">[1]!BexGetData("DP_1","003N8EMH8GTFRCSWKMPXRRRFI","GSON1112160193")</f>
        <v>#NAME?</v>
      </c>
      <c r="G1714" s="4" t="e">
        <f ca="1">[1]!BexGetData("DP_1","003N8EMH8GTFRCSWKMPXRRXR2","GSON1112160193")</f>
        <v>#NAME?</v>
      </c>
      <c r="H1714" s="4" t="e">
        <f ca="1">[1]!BexGetData("DP_1","003N8EMH8GTFRCSWKMPXRS42M","GSON1112160193")</f>
        <v>#NAME?</v>
      </c>
      <c r="I1714" s="4" t="e">
        <f ca="1">[1]!BexGetData("DP_1","003N8EMH8GTFRCSWKMPXRSAE6","GSON1112160193")</f>
        <v>#NAME?</v>
      </c>
      <c r="J1714" s="4" t="e">
        <f ca="1">[1]!BexGetData("DP_1","003N8EMH8GTFRCSWKMPXRSGPQ","GSON1112160193")</f>
        <v>#NAME?</v>
      </c>
      <c r="K1714" s="8" t="e">
        <f ca="1">[1]!BexGetData("DP_1","003N8EMH8GTFRIVNUPY288VJH","GSON1112160193")</f>
        <v>#NAME?</v>
      </c>
      <c r="L1714" s="8" t="e">
        <f ca="1">[1]!BexGetData("DP_1","003N8EMH8GTFRIVNUPY2891V1","GSON1112160193")</f>
        <v>#NAME?</v>
      </c>
      <c r="M1714" s="8" t="e">
        <f ca="1">[1]!BexGetData("DP_1","003N8EMH8GTFRIVOG7KG9IQXA","GSON1112160193")</f>
        <v>#NAME?</v>
      </c>
      <c r="N1714" s="8" t="e">
        <f ca="1">[1]!BexGetData("DP_1","003N8EMH8GTFRIVOG7KG9IX8U","GSON1112160193")</f>
        <v>#NAME?</v>
      </c>
      <c r="O1714" s="8" t="e">
        <f ca="1">[1]!BexGetData("DP_1","003N8EMH8GTFRIVOG7KG9J3KE","GSON1112160193")</f>
        <v>#NAME?</v>
      </c>
      <c r="P1714" s="8" t="e">
        <f ca="1">[1]!BexGetData("DP_1","003N8EMH8GTFRIVOG7KG9J9VY","GSON1112160193")</f>
        <v>#NAME?</v>
      </c>
      <c r="Q1714" s="4" t="e">
        <f ca="1">[1]!BexGetData("DP_1","00O2TNJGODT0G5Z4TTKYMM5MT","GSON1112160193")</f>
        <v>#NAME?</v>
      </c>
      <c r="R1714" s="4" t="e">
        <f ca="1">[1]!BexGetData("DP_1","00O2TNJGODT0G5Z4TTKYMMBYD","GSON1112160193")</f>
        <v>#NAME?</v>
      </c>
      <c r="S1714" s="4" t="e">
        <f ca="1">[1]!BexGetData("DP_1","00O2TNJGODT0G5Z4TTKYMMI9X","GSON1112160193")</f>
        <v>#NAME?</v>
      </c>
      <c r="T1714" s="4" t="e">
        <f ca="1">[1]!BexGetData("DP_1","00O2TNJGODT0G5Z4TTKYMMOLH","GSON1112160193")</f>
        <v>#NAME?</v>
      </c>
      <c r="U1714" s="4" t="e">
        <f ca="1">[1]!BexGetData("DP_1","00O2TNJGODT0G5Z4TTKYMMUX1","GSON1112160193")</f>
        <v>#NAME?</v>
      </c>
      <c r="V1714" s="4" t="e">
        <f ca="1">[1]!BexGetData("DP_1","00O2TNJGODT0G5Z4TTKYMN18L","GSON1112160193")</f>
        <v>#NAME?</v>
      </c>
      <c r="W1714" s="4" t="e">
        <f ca="1">[1]!BexGetData("DP_1","00O2TNJGODT0G5Z4TTKYMN7K5","GSON1112160193")</f>
        <v>#NAME?</v>
      </c>
    </row>
    <row r="1715" spans="1:23" x14ac:dyDescent="0.2">
      <c r="A1715" s="16" t="s">
        <v>4358</v>
      </c>
      <c r="B1715" s="7" t="s">
        <v>4359</v>
      </c>
      <c r="C1715" s="3" t="e">
        <f ca="1">[1]!BexGetData("DP_1","003N8EMH8GTFRCSWKMPXRR8GU","GSON1112160194")</f>
        <v>#NAME?</v>
      </c>
      <c r="D1715" s="3" t="e">
        <f ca="1">[1]!BexGetData("DP_1","003N8EMH8GTFRCSWKMPXRRESE","GSON1112160194")</f>
        <v>#NAME?</v>
      </c>
      <c r="E1715" s="8" t="e">
        <f ca="1">[1]!BexGetData("DP_1","003N8EMH8GTFRCSWKMPXRRL3Y","GSON1112160194")</f>
        <v>#NAME?</v>
      </c>
      <c r="F1715" s="4" t="e">
        <f ca="1">[1]!BexGetData("DP_1","003N8EMH8GTFRCSWKMPXRRRFI","GSON1112160194")</f>
        <v>#NAME?</v>
      </c>
      <c r="G1715" s="4" t="e">
        <f ca="1">[1]!BexGetData("DP_1","003N8EMH8GTFRCSWKMPXRRXR2","GSON1112160194")</f>
        <v>#NAME?</v>
      </c>
      <c r="H1715" s="4" t="e">
        <f ca="1">[1]!BexGetData("DP_1","003N8EMH8GTFRCSWKMPXRS42M","GSON1112160194")</f>
        <v>#NAME?</v>
      </c>
      <c r="I1715" s="4" t="e">
        <f ca="1">[1]!BexGetData("DP_1","003N8EMH8GTFRCSWKMPXRSAE6","GSON1112160194")</f>
        <v>#NAME?</v>
      </c>
      <c r="J1715" s="4" t="e">
        <f ca="1">[1]!BexGetData("DP_1","003N8EMH8GTFRCSWKMPXRSGPQ","GSON1112160194")</f>
        <v>#NAME?</v>
      </c>
      <c r="K1715" s="8" t="e">
        <f ca="1">[1]!BexGetData("DP_1","003N8EMH8GTFRIVNUPY288VJH","GSON1112160194")</f>
        <v>#NAME?</v>
      </c>
      <c r="L1715" s="8" t="e">
        <f ca="1">[1]!BexGetData("DP_1","003N8EMH8GTFRIVNUPY2891V1","GSON1112160194")</f>
        <v>#NAME?</v>
      </c>
      <c r="M1715" s="8" t="e">
        <f ca="1">[1]!BexGetData("DP_1","003N8EMH8GTFRIVOG7KG9IQXA","GSON1112160194")</f>
        <v>#NAME?</v>
      </c>
      <c r="N1715" s="8" t="e">
        <f ca="1">[1]!BexGetData("DP_1","003N8EMH8GTFRIVOG7KG9IX8U","GSON1112160194")</f>
        <v>#NAME?</v>
      </c>
      <c r="O1715" s="8" t="e">
        <f ca="1">[1]!BexGetData("DP_1","003N8EMH8GTFRIVOG7KG9J3KE","GSON1112160194")</f>
        <v>#NAME?</v>
      </c>
      <c r="P1715" s="8" t="e">
        <f ca="1">[1]!BexGetData("DP_1","003N8EMH8GTFRIVOG7KG9J9VY","GSON1112160194")</f>
        <v>#NAME?</v>
      </c>
      <c r="Q1715" s="4" t="e">
        <f ca="1">[1]!BexGetData("DP_1","00O2TNJGODT0G5Z4TTKYMM5MT","GSON1112160194")</f>
        <v>#NAME?</v>
      </c>
      <c r="R1715" s="4" t="e">
        <f ca="1">[1]!BexGetData("DP_1","00O2TNJGODT0G5Z4TTKYMMBYD","GSON1112160194")</f>
        <v>#NAME?</v>
      </c>
      <c r="S1715" s="4" t="e">
        <f ca="1">[1]!BexGetData("DP_1","00O2TNJGODT0G5Z4TTKYMMI9X","GSON1112160194")</f>
        <v>#NAME?</v>
      </c>
      <c r="T1715" s="4" t="e">
        <f ca="1">[1]!BexGetData("DP_1","00O2TNJGODT0G5Z4TTKYMMOLH","GSON1112160194")</f>
        <v>#NAME?</v>
      </c>
      <c r="U1715" s="4" t="e">
        <f ca="1">[1]!BexGetData("DP_1","00O2TNJGODT0G5Z4TTKYMMUX1","GSON1112160194")</f>
        <v>#NAME?</v>
      </c>
      <c r="V1715" s="4" t="e">
        <f ca="1">[1]!BexGetData("DP_1","00O2TNJGODT0G5Z4TTKYMN18L","GSON1112160194")</f>
        <v>#NAME?</v>
      </c>
      <c r="W1715" s="4" t="e">
        <f ca="1">[1]!BexGetData("DP_1","00O2TNJGODT0G5Z4TTKYMN7K5","GSON1112160194")</f>
        <v>#NAME?</v>
      </c>
    </row>
    <row r="1716" spans="1:23" x14ac:dyDescent="0.2">
      <c r="A1716" s="16" t="s">
        <v>4360</v>
      </c>
      <c r="B1716" s="7" t="s">
        <v>4361</v>
      </c>
      <c r="C1716" s="3" t="e">
        <f ca="1">[1]!BexGetData("DP_1","003N8EMH8GTFRCSWKMPXRR8GU","GSON1112160195")</f>
        <v>#NAME?</v>
      </c>
      <c r="D1716" s="3" t="e">
        <f ca="1">[1]!BexGetData("DP_1","003N8EMH8GTFRCSWKMPXRRESE","GSON1112160195")</f>
        <v>#NAME?</v>
      </c>
      <c r="E1716" s="8" t="e">
        <f ca="1">[1]!BexGetData("DP_1","003N8EMH8GTFRCSWKMPXRRL3Y","GSON1112160195")</f>
        <v>#NAME?</v>
      </c>
      <c r="F1716" s="4" t="e">
        <f ca="1">[1]!BexGetData("DP_1","003N8EMH8GTFRCSWKMPXRRRFI","GSON1112160195")</f>
        <v>#NAME?</v>
      </c>
      <c r="G1716" s="4" t="e">
        <f ca="1">[1]!BexGetData("DP_1","003N8EMH8GTFRCSWKMPXRRXR2","GSON1112160195")</f>
        <v>#NAME?</v>
      </c>
      <c r="H1716" s="4" t="e">
        <f ca="1">[1]!BexGetData("DP_1","003N8EMH8GTFRCSWKMPXRS42M","GSON1112160195")</f>
        <v>#NAME?</v>
      </c>
      <c r="I1716" s="4" t="e">
        <f ca="1">[1]!BexGetData("DP_1","003N8EMH8GTFRCSWKMPXRSAE6","GSON1112160195")</f>
        <v>#NAME?</v>
      </c>
      <c r="J1716" s="4" t="e">
        <f ca="1">[1]!BexGetData("DP_1","003N8EMH8GTFRCSWKMPXRSGPQ","GSON1112160195")</f>
        <v>#NAME?</v>
      </c>
      <c r="K1716" s="8" t="e">
        <f ca="1">[1]!BexGetData("DP_1","003N8EMH8GTFRIVNUPY288VJH","GSON1112160195")</f>
        <v>#NAME?</v>
      </c>
      <c r="L1716" s="8" t="e">
        <f ca="1">[1]!BexGetData("DP_1","003N8EMH8GTFRIVNUPY2891V1","GSON1112160195")</f>
        <v>#NAME?</v>
      </c>
      <c r="M1716" s="8" t="e">
        <f ca="1">[1]!BexGetData("DP_1","003N8EMH8GTFRIVOG7KG9IQXA","GSON1112160195")</f>
        <v>#NAME?</v>
      </c>
      <c r="N1716" s="8" t="e">
        <f ca="1">[1]!BexGetData("DP_1","003N8EMH8GTFRIVOG7KG9IX8U","GSON1112160195")</f>
        <v>#NAME?</v>
      </c>
      <c r="O1716" s="8" t="e">
        <f ca="1">[1]!BexGetData("DP_1","003N8EMH8GTFRIVOG7KG9J3KE","GSON1112160195")</f>
        <v>#NAME?</v>
      </c>
      <c r="P1716" s="8" t="e">
        <f ca="1">[1]!BexGetData("DP_1","003N8EMH8GTFRIVOG7KG9J9VY","GSON1112160195")</f>
        <v>#NAME?</v>
      </c>
      <c r="Q1716" s="4" t="e">
        <f ca="1">[1]!BexGetData("DP_1","00O2TNJGODT0G5Z4TTKYMM5MT","GSON1112160195")</f>
        <v>#NAME?</v>
      </c>
      <c r="R1716" s="4" t="e">
        <f ca="1">[1]!BexGetData("DP_1","00O2TNJGODT0G5Z4TTKYMMBYD","GSON1112160195")</f>
        <v>#NAME?</v>
      </c>
      <c r="S1716" s="4" t="e">
        <f ca="1">[1]!BexGetData("DP_1","00O2TNJGODT0G5Z4TTKYMMI9X","GSON1112160195")</f>
        <v>#NAME?</v>
      </c>
      <c r="T1716" s="4" t="e">
        <f ca="1">[1]!BexGetData("DP_1","00O2TNJGODT0G5Z4TTKYMMOLH","GSON1112160195")</f>
        <v>#NAME?</v>
      </c>
      <c r="U1716" s="4" t="e">
        <f ca="1">[1]!BexGetData("DP_1","00O2TNJGODT0G5Z4TTKYMMUX1","GSON1112160195")</f>
        <v>#NAME?</v>
      </c>
      <c r="V1716" s="4" t="e">
        <f ca="1">[1]!BexGetData("DP_1","00O2TNJGODT0G5Z4TTKYMN18L","GSON1112160195")</f>
        <v>#NAME?</v>
      </c>
      <c r="W1716" s="4" t="e">
        <f ca="1">[1]!BexGetData("DP_1","00O2TNJGODT0G5Z4TTKYMN7K5","GSON1112160195")</f>
        <v>#NAME?</v>
      </c>
    </row>
    <row r="1717" spans="1:23" x14ac:dyDescent="0.2">
      <c r="A1717" s="16" t="s">
        <v>4362</v>
      </c>
      <c r="B1717" s="7" t="s">
        <v>4363</v>
      </c>
      <c r="C1717" s="3" t="e">
        <f ca="1">[1]!BexGetData("DP_1","003N8EMH8GTFRCSWKMPXRR8GU","GSON1112160200")</f>
        <v>#NAME?</v>
      </c>
      <c r="D1717" s="3" t="e">
        <f ca="1">[1]!BexGetData("DP_1","003N8EMH8GTFRCSWKMPXRRESE","GSON1112160200")</f>
        <v>#NAME?</v>
      </c>
      <c r="E1717" s="3" t="e">
        <f ca="1">[1]!BexGetData("DP_1","003N8EMH8GTFRCSWKMPXRRL3Y","GSON1112160200")</f>
        <v>#NAME?</v>
      </c>
      <c r="F1717" s="3" t="e">
        <f ca="1">[1]!BexGetData("DP_1","003N8EMH8GTFRCSWKMPXRRRFI","GSON1112160200")</f>
        <v>#NAME?</v>
      </c>
      <c r="G1717" s="3" t="e">
        <f ca="1">[1]!BexGetData("DP_1","003N8EMH8GTFRCSWKMPXRRXR2","GSON1112160200")</f>
        <v>#NAME?</v>
      </c>
      <c r="H1717" s="8" t="e">
        <f ca="1">[1]!BexGetData("DP_1","003N8EMH8GTFRCSWKMPXRS42M","GSON1112160200")</f>
        <v>#NAME?</v>
      </c>
      <c r="I1717" s="3" t="e">
        <f ca="1">[1]!BexGetData("DP_1","003N8EMH8GTFRCSWKMPXRSAE6","GSON1112160200")</f>
        <v>#NAME?</v>
      </c>
      <c r="J1717" s="4" t="e">
        <f ca="1">[1]!BexGetData("DP_1","003N8EMH8GTFRCSWKMPXRSGPQ","GSON1112160200")</f>
        <v>#NAME?</v>
      </c>
      <c r="K1717" s="3" t="e">
        <f ca="1">[1]!BexGetData("DP_1","003N8EMH8GTFRIVNUPY288VJH","GSON1112160200")</f>
        <v>#NAME?</v>
      </c>
      <c r="L1717" s="3" t="e">
        <f ca="1">[1]!BexGetData("DP_1","003N8EMH8GTFRIVNUPY2891V1","GSON1112160200")</f>
        <v>#NAME?</v>
      </c>
      <c r="M1717" s="3" t="e">
        <f ca="1">[1]!BexGetData("DP_1","003N8EMH8GTFRIVOG7KG9IQXA","GSON1112160200")</f>
        <v>#NAME?</v>
      </c>
      <c r="N1717" s="8" t="e">
        <f ca="1">[1]!BexGetData("DP_1","003N8EMH8GTFRIVOG7KG9IX8U","GSON1112160200")</f>
        <v>#NAME?</v>
      </c>
      <c r="O1717" s="3" t="e">
        <f ca="1">[1]!BexGetData("DP_1","003N8EMH8GTFRIVOG7KG9J3KE","GSON1112160200")</f>
        <v>#NAME?</v>
      </c>
      <c r="P1717" s="8" t="e">
        <f ca="1">[1]!BexGetData("DP_1","003N8EMH8GTFRIVOG7KG9J9VY","GSON1112160200")</f>
        <v>#NAME?</v>
      </c>
      <c r="Q1717" s="4" t="e">
        <f ca="1">[1]!BexGetData("DP_1","00O2TNJGODT0G5Z4TTKYMM5MT","GSON1112160200")</f>
        <v>#NAME?</v>
      </c>
      <c r="R1717" s="3" t="e">
        <f ca="1">[1]!BexGetData("DP_1","00O2TNJGODT0G5Z4TTKYMMBYD","GSON1112160200")</f>
        <v>#NAME?</v>
      </c>
      <c r="S1717" s="3" t="e">
        <f ca="1">[1]!BexGetData("DP_1","00O2TNJGODT0G5Z4TTKYMMI9X","GSON1112160200")</f>
        <v>#NAME?</v>
      </c>
      <c r="T1717" s="8" t="e">
        <f ca="1">[1]!BexGetData("DP_1","00O2TNJGODT0G5Z4TTKYMMOLH","GSON1112160200")</f>
        <v>#NAME?</v>
      </c>
      <c r="U1717" s="3" t="e">
        <f ca="1">[1]!BexGetData("DP_1","00O2TNJGODT0G5Z4TTKYMMUX1","GSON1112160200")</f>
        <v>#NAME?</v>
      </c>
      <c r="V1717" s="8" t="e">
        <f ca="1">[1]!BexGetData("DP_1","00O2TNJGODT0G5Z4TTKYMN18L","GSON1112160200")</f>
        <v>#NAME?</v>
      </c>
      <c r="W1717" s="3" t="e">
        <f ca="1">[1]!BexGetData("DP_1","00O2TNJGODT0G5Z4TTKYMN7K5","GSON1112160200")</f>
        <v>#NAME?</v>
      </c>
    </row>
    <row r="1718" spans="1:23" x14ac:dyDescent="0.2">
      <c r="A1718" s="16" t="s">
        <v>4364</v>
      </c>
      <c r="B1718" s="7" t="s">
        <v>4365</v>
      </c>
      <c r="C1718" s="3" t="e">
        <f ca="1">[1]!BexGetData("DP_1","003N8EMH8GTFRCSWKMPXRR8GU","GSON1112160201")</f>
        <v>#NAME?</v>
      </c>
      <c r="D1718" s="3" t="e">
        <f ca="1">[1]!BexGetData("DP_1","003N8EMH8GTFRCSWKMPXRRESE","GSON1112160201")</f>
        <v>#NAME?</v>
      </c>
      <c r="E1718" s="8" t="e">
        <f ca="1">[1]!BexGetData("DP_1","003N8EMH8GTFRCSWKMPXRRL3Y","GSON1112160201")</f>
        <v>#NAME?</v>
      </c>
      <c r="F1718" s="4" t="e">
        <f ca="1">[1]!BexGetData("DP_1","003N8EMH8GTFRCSWKMPXRRRFI","GSON1112160201")</f>
        <v>#NAME?</v>
      </c>
      <c r="G1718" s="4" t="e">
        <f ca="1">[1]!BexGetData("DP_1","003N8EMH8GTFRCSWKMPXRRXR2","GSON1112160201")</f>
        <v>#NAME?</v>
      </c>
      <c r="H1718" s="4" t="e">
        <f ca="1">[1]!BexGetData("DP_1","003N8EMH8GTFRCSWKMPXRS42M","GSON1112160201")</f>
        <v>#NAME?</v>
      </c>
      <c r="I1718" s="4" t="e">
        <f ca="1">[1]!BexGetData("DP_1","003N8EMH8GTFRCSWKMPXRSAE6","GSON1112160201")</f>
        <v>#NAME?</v>
      </c>
      <c r="J1718" s="4" t="e">
        <f ca="1">[1]!BexGetData("DP_1","003N8EMH8GTFRCSWKMPXRSGPQ","GSON1112160201")</f>
        <v>#NAME?</v>
      </c>
      <c r="K1718" s="8" t="e">
        <f ca="1">[1]!BexGetData("DP_1","003N8EMH8GTFRIVNUPY288VJH","GSON1112160201")</f>
        <v>#NAME?</v>
      </c>
      <c r="L1718" s="8" t="e">
        <f ca="1">[1]!BexGetData("DP_1","003N8EMH8GTFRIVNUPY2891V1","GSON1112160201")</f>
        <v>#NAME?</v>
      </c>
      <c r="M1718" s="8" t="e">
        <f ca="1">[1]!BexGetData("DP_1","003N8EMH8GTFRIVOG7KG9IQXA","GSON1112160201")</f>
        <v>#NAME?</v>
      </c>
      <c r="N1718" s="8" t="e">
        <f ca="1">[1]!BexGetData("DP_1","003N8EMH8GTFRIVOG7KG9IX8U","GSON1112160201")</f>
        <v>#NAME?</v>
      </c>
      <c r="O1718" s="8" t="e">
        <f ca="1">[1]!BexGetData("DP_1","003N8EMH8GTFRIVOG7KG9J3KE","GSON1112160201")</f>
        <v>#NAME?</v>
      </c>
      <c r="P1718" s="8" t="e">
        <f ca="1">[1]!BexGetData("DP_1","003N8EMH8GTFRIVOG7KG9J9VY","GSON1112160201")</f>
        <v>#NAME?</v>
      </c>
      <c r="Q1718" s="4" t="e">
        <f ca="1">[1]!BexGetData("DP_1","00O2TNJGODT0G5Z4TTKYMM5MT","GSON1112160201")</f>
        <v>#NAME?</v>
      </c>
      <c r="R1718" s="4" t="e">
        <f ca="1">[1]!BexGetData("DP_1","00O2TNJGODT0G5Z4TTKYMMBYD","GSON1112160201")</f>
        <v>#NAME?</v>
      </c>
      <c r="S1718" s="4" t="e">
        <f ca="1">[1]!BexGetData("DP_1","00O2TNJGODT0G5Z4TTKYMMI9X","GSON1112160201")</f>
        <v>#NAME?</v>
      </c>
      <c r="T1718" s="4" t="e">
        <f ca="1">[1]!BexGetData("DP_1","00O2TNJGODT0G5Z4TTKYMMOLH","GSON1112160201")</f>
        <v>#NAME?</v>
      </c>
      <c r="U1718" s="4" t="e">
        <f ca="1">[1]!BexGetData("DP_1","00O2TNJGODT0G5Z4TTKYMMUX1","GSON1112160201")</f>
        <v>#NAME?</v>
      </c>
      <c r="V1718" s="4" t="e">
        <f ca="1">[1]!BexGetData("DP_1","00O2TNJGODT0G5Z4TTKYMN18L","GSON1112160201")</f>
        <v>#NAME?</v>
      </c>
      <c r="W1718" s="4" t="e">
        <f ca="1">[1]!BexGetData("DP_1","00O2TNJGODT0G5Z4TTKYMN7K5","GSON1112160201")</f>
        <v>#NAME?</v>
      </c>
    </row>
    <row r="1719" spans="1:23" x14ac:dyDescent="0.2">
      <c r="A1719" s="16" t="s">
        <v>4366</v>
      </c>
      <c r="B1719" s="7" t="s">
        <v>4367</v>
      </c>
      <c r="C1719" s="3" t="e">
        <f ca="1">[1]!BexGetData("DP_1","003N8EMH8GTFRCSWKMPXRR8GU","GSON1112160203")</f>
        <v>#NAME?</v>
      </c>
      <c r="D1719" s="3" t="e">
        <f ca="1">[1]!BexGetData("DP_1","003N8EMH8GTFRCSWKMPXRRESE","GSON1112160203")</f>
        <v>#NAME?</v>
      </c>
      <c r="E1719" s="8" t="e">
        <f ca="1">[1]!BexGetData("DP_1","003N8EMH8GTFRCSWKMPXRRL3Y","GSON1112160203")</f>
        <v>#NAME?</v>
      </c>
      <c r="F1719" s="4" t="e">
        <f ca="1">[1]!BexGetData("DP_1","003N8EMH8GTFRCSWKMPXRRRFI","GSON1112160203")</f>
        <v>#NAME?</v>
      </c>
      <c r="G1719" s="4" t="e">
        <f ca="1">[1]!BexGetData("DP_1","003N8EMH8GTFRCSWKMPXRRXR2","GSON1112160203")</f>
        <v>#NAME?</v>
      </c>
      <c r="H1719" s="4" t="e">
        <f ca="1">[1]!BexGetData("DP_1","003N8EMH8GTFRCSWKMPXRS42M","GSON1112160203")</f>
        <v>#NAME?</v>
      </c>
      <c r="I1719" s="4" t="e">
        <f ca="1">[1]!BexGetData("DP_1","003N8EMH8GTFRCSWKMPXRSAE6","GSON1112160203")</f>
        <v>#NAME?</v>
      </c>
      <c r="J1719" s="4" t="e">
        <f ca="1">[1]!BexGetData("DP_1","003N8EMH8GTFRCSWKMPXRSGPQ","GSON1112160203")</f>
        <v>#NAME?</v>
      </c>
      <c r="K1719" s="8" t="e">
        <f ca="1">[1]!BexGetData("DP_1","003N8EMH8GTFRIVNUPY288VJH","GSON1112160203")</f>
        <v>#NAME?</v>
      </c>
      <c r="L1719" s="8" t="e">
        <f ca="1">[1]!BexGetData("DP_1","003N8EMH8GTFRIVNUPY2891V1","GSON1112160203")</f>
        <v>#NAME?</v>
      </c>
      <c r="M1719" s="8" t="e">
        <f ca="1">[1]!BexGetData("DP_1","003N8EMH8GTFRIVOG7KG9IQXA","GSON1112160203")</f>
        <v>#NAME?</v>
      </c>
      <c r="N1719" s="8" t="e">
        <f ca="1">[1]!BexGetData("DP_1","003N8EMH8GTFRIVOG7KG9IX8U","GSON1112160203")</f>
        <v>#NAME?</v>
      </c>
      <c r="O1719" s="8" t="e">
        <f ca="1">[1]!BexGetData("DP_1","003N8EMH8GTFRIVOG7KG9J3KE","GSON1112160203")</f>
        <v>#NAME?</v>
      </c>
      <c r="P1719" s="8" t="e">
        <f ca="1">[1]!BexGetData("DP_1","003N8EMH8GTFRIVOG7KG9J9VY","GSON1112160203")</f>
        <v>#NAME?</v>
      </c>
      <c r="Q1719" s="4" t="e">
        <f ca="1">[1]!BexGetData("DP_1","00O2TNJGODT0G5Z4TTKYMM5MT","GSON1112160203")</f>
        <v>#NAME?</v>
      </c>
      <c r="R1719" s="4" t="e">
        <f ca="1">[1]!BexGetData("DP_1","00O2TNJGODT0G5Z4TTKYMMBYD","GSON1112160203")</f>
        <v>#NAME?</v>
      </c>
      <c r="S1719" s="4" t="e">
        <f ca="1">[1]!BexGetData("DP_1","00O2TNJGODT0G5Z4TTKYMMI9X","GSON1112160203")</f>
        <v>#NAME?</v>
      </c>
      <c r="T1719" s="4" t="e">
        <f ca="1">[1]!BexGetData("DP_1","00O2TNJGODT0G5Z4TTKYMMOLH","GSON1112160203")</f>
        <v>#NAME?</v>
      </c>
      <c r="U1719" s="4" t="e">
        <f ca="1">[1]!BexGetData("DP_1","00O2TNJGODT0G5Z4TTKYMMUX1","GSON1112160203")</f>
        <v>#NAME?</v>
      </c>
      <c r="V1719" s="4" t="e">
        <f ca="1">[1]!BexGetData("DP_1","00O2TNJGODT0G5Z4TTKYMN18L","GSON1112160203")</f>
        <v>#NAME?</v>
      </c>
      <c r="W1719" s="4" t="e">
        <f ca="1">[1]!BexGetData("DP_1","00O2TNJGODT0G5Z4TTKYMN7K5","GSON1112160203")</f>
        <v>#NAME?</v>
      </c>
    </row>
    <row r="1720" spans="1:23" x14ac:dyDescent="0.2">
      <c r="A1720" s="16" t="s">
        <v>4368</v>
      </c>
      <c r="B1720" s="7" t="s">
        <v>4369</v>
      </c>
      <c r="C1720" s="3" t="e">
        <f ca="1">[1]!BexGetData("DP_1","003N8EMH8GTFRCSWKMPXRR8GU","GSON1112160204")</f>
        <v>#NAME?</v>
      </c>
      <c r="D1720" s="3" t="e">
        <f ca="1">[1]!BexGetData("DP_1","003N8EMH8GTFRCSWKMPXRRESE","GSON1112160204")</f>
        <v>#NAME?</v>
      </c>
      <c r="E1720" s="8" t="e">
        <f ca="1">[1]!BexGetData("DP_1","003N8EMH8GTFRCSWKMPXRRL3Y","GSON1112160204")</f>
        <v>#NAME?</v>
      </c>
      <c r="F1720" s="4" t="e">
        <f ca="1">[1]!BexGetData("DP_1","003N8EMH8GTFRCSWKMPXRRRFI","GSON1112160204")</f>
        <v>#NAME?</v>
      </c>
      <c r="G1720" s="4" t="e">
        <f ca="1">[1]!BexGetData("DP_1","003N8EMH8GTFRCSWKMPXRRXR2","GSON1112160204")</f>
        <v>#NAME?</v>
      </c>
      <c r="H1720" s="4" t="e">
        <f ca="1">[1]!BexGetData("DP_1","003N8EMH8GTFRCSWKMPXRS42M","GSON1112160204")</f>
        <v>#NAME?</v>
      </c>
      <c r="I1720" s="4" t="e">
        <f ca="1">[1]!BexGetData("DP_1","003N8EMH8GTFRCSWKMPXRSAE6","GSON1112160204")</f>
        <v>#NAME?</v>
      </c>
      <c r="J1720" s="4" t="e">
        <f ca="1">[1]!BexGetData("DP_1","003N8EMH8GTFRCSWKMPXRSGPQ","GSON1112160204")</f>
        <v>#NAME?</v>
      </c>
      <c r="K1720" s="8" t="e">
        <f ca="1">[1]!BexGetData("DP_1","003N8EMH8GTFRIVNUPY288VJH","GSON1112160204")</f>
        <v>#NAME?</v>
      </c>
      <c r="L1720" s="8" t="e">
        <f ca="1">[1]!BexGetData("DP_1","003N8EMH8GTFRIVNUPY2891V1","GSON1112160204")</f>
        <v>#NAME?</v>
      </c>
      <c r="M1720" s="8" t="e">
        <f ca="1">[1]!BexGetData("DP_1","003N8EMH8GTFRIVOG7KG9IQXA","GSON1112160204")</f>
        <v>#NAME?</v>
      </c>
      <c r="N1720" s="8" t="e">
        <f ca="1">[1]!BexGetData("DP_1","003N8EMH8GTFRIVOG7KG9IX8U","GSON1112160204")</f>
        <v>#NAME?</v>
      </c>
      <c r="O1720" s="8" t="e">
        <f ca="1">[1]!BexGetData("DP_1","003N8EMH8GTFRIVOG7KG9J3KE","GSON1112160204")</f>
        <v>#NAME?</v>
      </c>
      <c r="P1720" s="8" t="e">
        <f ca="1">[1]!BexGetData("DP_1","003N8EMH8GTFRIVOG7KG9J9VY","GSON1112160204")</f>
        <v>#NAME?</v>
      </c>
      <c r="Q1720" s="4" t="e">
        <f ca="1">[1]!BexGetData("DP_1","00O2TNJGODT0G5Z4TTKYMM5MT","GSON1112160204")</f>
        <v>#NAME?</v>
      </c>
      <c r="R1720" s="4" t="e">
        <f ca="1">[1]!BexGetData("DP_1","00O2TNJGODT0G5Z4TTKYMMBYD","GSON1112160204")</f>
        <v>#NAME?</v>
      </c>
      <c r="S1720" s="4" t="e">
        <f ca="1">[1]!BexGetData("DP_1","00O2TNJGODT0G5Z4TTKYMMI9X","GSON1112160204")</f>
        <v>#NAME?</v>
      </c>
      <c r="T1720" s="4" t="e">
        <f ca="1">[1]!BexGetData("DP_1","00O2TNJGODT0G5Z4TTKYMMOLH","GSON1112160204")</f>
        <v>#NAME?</v>
      </c>
      <c r="U1720" s="4" t="e">
        <f ca="1">[1]!BexGetData("DP_1","00O2TNJGODT0G5Z4TTKYMMUX1","GSON1112160204")</f>
        <v>#NAME?</v>
      </c>
      <c r="V1720" s="4" t="e">
        <f ca="1">[1]!BexGetData("DP_1","00O2TNJGODT0G5Z4TTKYMN18L","GSON1112160204")</f>
        <v>#NAME?</v>
      </c>
      <c r="W1720" s="4" t="e">
        <f ca="1">[1]!BexGetData("DP_1","00O2TNJGODT0G5Z4TTKYMN7K5","GSON1112160204")</f>
        <v>#NAME?</v>
      </c>
    </row>
    <row r="1721" spans="1:23" x14ac:dyDescent="0.2">
      <c r="A1721" s="16" t="s">
        <v>4370</v>
      </c>
      <c r="B1721" s="7" t="s">
        <v>4371</v>
      </c>
      <c r="C1721" s="3" t="e">
        <f ca="1">[1]!BexGetData("DP_1","003N8EMH8GTFRCSWKMPXRR8GU","GSON1112160205")</f>
        <v>#NAME?</v>
      </c>
      <c r="D1721" s="3" t="e">
        <f ca="1">[1]!BexGetData("DP_1","003N8EMH8GTFRCSWKMPXRRESE","GSON1112160205")</f>
        <v>#NAME?</v>
      </c>
      <c r="E1721" s="8" t="e">
        <f ca="1">[1]!BexGetData("DP_1","003N8EMH8GTFRCSWKMPXRRL3Y","GSON1112160205")</f>
        <v>#NAME?</v>
      </c>
      <c r="F1721" s="4" t="e">
        <f ca="1">[1]!BexGetData("DP_1","003N8EMH8GTFRCSWKMPXRRRFI","GSON1112160205")</f>
        <v>#NAME?</v>
      </c>
      <c r="G1721" s="4" t="e">
        <f ca="1">[1]!BexGetData("DP_1","003N8EMH8GTFRCSWKMPXRRXR2","GSON1112160205")</f>
        <v>#NAME?</v>
      </c>
      <c r="H1721" s="4" t="e">
        <f ca="1">[1]!BexGetData("DP_1","003N8EMH8GTFRCSWKMPXRS42M","GSON1112160205")</f>
        <v>#NAME?</v>
      </c>
      <c r="I1721" s="4" t="e">
        <f ca="1">[1]!BexGetData("DP_1","003N8EMH8GTFRCSWKMPXRSAE6","GSON1112160205")</f>
        <v>#NAME?</v>
      </c>
      <c r="J1721" s="4" t="e">
        <f ca="1">[1]!BexGetData("DP_1","003N8EMH8GTFRCSWKMPXRSGPQ","GSON1112160205")</f>
        <v>#NAME?</v>
      </c>
      <c r="K1721" s="8" t="e">
        <f ca="1">[1]!BexGetData("DP_1","003N8EMH8GTFRIVNUPY288VJH","GSON1112160205")</f>
        <v>#NAME?</v>
      </c>
      <c r="L1721" s="8" t="e">
        <f ca="1">[1]!BexGetData("DP_1","003N8EMH8GTFRIVNUPY2891V1","GSON1112160205")</f>
        <v>#NAME?</v>
      </c>
      <c r="M1721" s="8" t="e">
        <f ca="1">[1]!BexGetData("DP_1","003N8EMH8GTFRIVOG7KG9IQXA","GSON1112160205")</f>
        <v>#NAME?</v>
      </c>
      <c r="N1721" s="8" t="e">
        <f ca="1">[1]!BexGetData("DP_1","003N8EMH8GTFRIVOG7KG9IX8U","GSON1112160205")</f>
        <v>#NAME?</v>
      </c>
      <c r="O1721" s="8" t="e">
        <f ca="1">[1]!BexGetData("DP_1","003N8EMH8GTFRIVOG7KG9J3KE","GSON1112160205")</f>
        <v>#NAME?</v>
      </c>
      <c r="P1721" s="8" t="e">
        <f ca="1">[1]!BexGetData("DP_1","003N8EMH8GTFRIVOG7KG9J9VY","GSON1112160205")</f>
        <v>#NAME?</v>
      </c>
      <c r="Q1721" s="4" t="e">
        <f ca="1">[1]!BexGetData("DP_1","00O2TNJGODT0G5Z4TTKYMM5MT","GSON1112160205")</f>
        <v>#NAME?</v>
      </c>
      <c r="R1721" s="4" t="e">
        <f ca="1">[1]!BexGetData("DP_1","00O2TNJGODT0G5Z4TTKYMMBYD","GSON1112160205")</f>
        <v>#NAME?</v>
      </c>
      <c r="S1721" s="4" t="e">
        <f ca="1">[1]!BexGetData("DP_1","00O2TNJGODT0G5Z4TTKYMMI9X","GSON1112160205")</f>
        <v>#NAME?</v>
      </c>
      <c r="T1721" s="4" t="e">
        <f ca="1">[1]!BexGetData("DP_1","00O2TNJGODT0G5Z4TTKYMMOLH","GSON1112160205")</f>
        <v>#NAME?</v>
      </c>
      <c r="U1721" s="4" t="e">
        <f ca="1">[1]!BexGetData("DP_1","00O2TNJGODT0G5Z4TTKYMMUX1","GSON1112160205")</f>
        <v>#NAME?</v>
      </c>
      <c r="V1721" s="4" t="e">
        <f ca="1">[1]!BexGetData("DP_1","00O2TNJGODT0G5Z4TTKYMN18L","GSON1112160205")</f>
        <v>#NAME?</v>
      </c>
      <c r="W1721" s="4" t="e">
        <f ca="1">[1]!BexGetData("DP_1","00O2TNJGODT0G5Z4TTKYMN7K5","GSON1112160205")</f>
        <v>#NAME?</v>
      </c>
    </row>
    <row r="1722" spans="1:23" x14ac:dyDescent="0.2">
      <c r="A1722" s="16" t="s">
        <v>4372</v>
      </c>
      <c r="B1722" s="7" t="s">
        <v>4373</v>
      </c>
      <c r="C1722" s="3" t="e">
        <f ca="1">[1]!BexGetData("DP_1","003N8EMH8GTFRCSWKMPXRR8GU","GSON1112160210")</f>
        <v>#NAME?</v>
      </c>
      <c r="D1722" s="3" t="e">
        <f ca="1">[1]!BexGetData("DP_1","003N8EMH8GTFRCSWKMPXRRESE","GSON1112160210")</f>
        <v>#NAME?</v>
      </c>
      <c r="E1722" s="3" t="e">
        <f ca="1">[1]!BexGetData("DP_1","003N8EMH8GTFRCSWKMPXRRL3Y","GSON1112160210")</f>
        <v>#NAME?</v>
      </c>
      <c r="F1722" s="3" t="e">
        <f ca="1">[1]!BexGetData("DP_1","003N8EMH8GTFRCSWKMPXRRRFI","GSON1112160210")</f>
        <v>#NAME?</v>
      </c>
      <c r="G1722" s="3" t="e">
        <f ca="1">[1]!BexGetData("DP_1","003N8EMH8GTFRCSWKMPXRRXR2","GSON1112160210")</f>
        <v>#NAME?</v>
      </c>
      <c r="H1722" s="8" t="e">
        <f ca="1">[1]!BexGetData("DP_1","003N8EMH8GTFRCSWKMPXRS42M","GSON1112160210")</f>
        <v>#NAME?</v>
      </c>
      <c r="I1722" s="3" t="e">
        <f ca="1">[1]!BexGetData("DP_1","003N8EMH8GTFRCSWKMPXRSAE6","GSON1112160210")</f>
        <v>#NAME?</v>
      </c>
      <c r="J1722" s="4" t="e">
        <f ca="1">[1]!BexGetData("DP_1","003N8EMH8GTFRCSWKMPXRSGPQ","GSON1112160210")</f>
        <v>#NAME?</v>
      </c>
      <c r="K1722" s="3" t="e">
        <f ca="1">[1]!BexGetData("DP_1","003N8EMH8GTFRIVNUPY288VJH","GSON1112160210")</f>
        <v>#NAME?</v>
      </c>
      <c r="L1722" s="3" t="e">
        <f ca="1">[1]!BexGetData("DP_1","003N8EMH8GTFRIVNUPY2891V1","GSON1112160210")</f>
        <v>#NAME?</v>
      </c>
      <c r="M1722" s="3" t="e">
        <f ca="1">[1]!BexGetData("DP_1","003N8EMH8GTFRIVOG7KG9IQXA","GSON1112160210")</f>
        <v>#NAME?</v>
      </c>
      <c r="N1722" s="8" t="e">
        <f ca="1">[1]!BexGetData("DP_1","003N8EMH8GTFRIVOG7KG9IX8U","GSON1112160210")</f>
        <v>#NAME?</v>
      </c>
      <c r="O1722" s="3" t="e">
        <f ca="1">[1]!BexGetData("DP_1","003N8EMH8GTFRIVOG7KG9J3KE","GSON1112160210")</f>
        <v>#NAME?</v>
      </c>
      <c r="P1722" s="8" t="e">
        <f ca="1">[1]!BexGetData("DP_1","003N8EMH8GTFRIVOG7KG9J9VY","GSON1112160210")</f>
        <v>#NAME?</v>
      </c>
      <c r="Q1722" s="4" t="e">
        <f ca="1">[1]!BexGetData("DP_1","00O2TNJGODT0G5Z4TTKYMM5MT","GSON1112160210")</f>
        <v>#NAME?</v>
      </c>
      <c r="R1722" s="3" t="e">
        <f ca="1">[1]!BexGetData("DP_1","00O2TNJGODT0G5Z4TTKYMMBYD","GSON1112160210")</f>
        <v>#NAME?</v>
      </c>
      <c r="S1722" s="3" t="e">
        <f ca="1">[1]!BexGetData("DP_1","00O2TNJGODT0G5Z4TTKYMMI9X","GSON1112160210")</f>
        <v>#NAME?</v>
      </c>
      <c r="T1722" s="8" t="e">
        <f ca="1">[1]!BexGetData("DP_1","00O2TNJGODT0G5Z4TTKYMMOLH","GSON1112160210")</f>
        <v>#NAME?</v>
      </c>
      <c r="U1722" s="3" t="e">
        <f ca="1">[1]!BexGetData("DP_1","00O2TNJGODT0G5Z4TTKYMMUX1","GSON1112160210")</f>
        <v>#NAME?</v>
      </c>
      <c r="V1722" s="8" t="e">
        <f ca="1">[1]!BexGetData("DP_1","00O2TNJGODT0G5Z4TTKYMN18L","GSON1112160210")</f>
        <v>#NAME?</v>
      </c>
      <c r="W1722" s="3" t="e">
        <f ca="1">[1]!BexGetData("DP_1","00O2TNJGODT0G5Z4TTKYMN7K5","GSON1112160210")</f>
        <v>#NAME?</v>
      </c>
    </row>
    <row r="1723" spans="1:23" x14ac:dyDescent="0.2">
      <c r="A1723" s="16" t="s">
        <v>4374</v>
      </c>
      <c r="B1723" s="7" t="s">
        <v>4375</v>
      </c>
      <c r="C1723" s="3" t="e">
        <f ca="1">[1]!BexGetData("DP_1","003N8EMH8GTFRCSWKMPXRR8GU","GSON1112160211")</f>
        <v>#NAME?</v>
      </c>
      <c r="D1723" s="3" t="e">
        <f ca="1">[1]!BexGetData("DP_1","003N8EMH8GTFRCSWKMPXRRESE","GSON1112160211")</f>
        <v>#NAME?</v>
      </c>
      <c r="E1723" s="8" t="e">
        <f ca="1">[1]!BexGetData("DP_1","003N8EMH8GTFRCSWKMPXRRL3Y","GSON1112160211")</f>
        <v>#NAME?</v>
      </c>
      <c r="F1723" s="4" t="e">
        <f ca="1">[1]!BexGetData("DP_1","003N8EMH8GTFRCSWKMPXRRRFI","GSON1112160211")</f>
        <v>#NAME?</v>
      </c>
      <c r="G1723" s="4" t="e">
        <f ca="1">[1]!BexGetData("DP_1","003N8EMH8GTFRCSWKMPXRRXR2","GSON1112160211")</f>
        <v>#NAME?</v>
      </c>
      <c r="H1723" s="4" t="e">
        <f ca="1">[1]!BexGetData("DP_1","003N8EMH8GTFRCSWKMPXRS42M","GSON1112160211")</f>
        <v>#NAME?</v>
      </c>
      <c r="I1723" s="4" t="e">
        <f ca="1">[1]!BexGetData("DP_1","003N8EMH8GTFRCSWKMPXRSAE6","GSON1112160211")</f>
        <v>#NAME?</v>
      </c>
      <c r="J1723" s="4" t="e">
        <f ca="1">[1]!BexGetData("DP_1","003N8EMH8GTFRCSWKMPXRSGPQ","GSON1112160211")</f>
        <v>#NAME?</v>
      </c>
      <c r="K1723" s="8" t="e">
        <f ca="1">[1]!BexGetData("DP_1","003N8EMH8GTFRIVNUPY288VJH","GSON1112160211")</f>
        <v>#NAME?</v>
      </c>
      <c r="L1723" s="8" t="e">
        <f ca="1">[1]!BexGetData("DP_1","003N8EMH8GTFRIVNUPY2891V1","GSON1112160211")</f>
        <v>#NAME?</v>
      </c>
      <c r="M1723" s="8" t="e">
        <f ca="1">[1]!BexGetData("DP_1","003N8EMH8GTFRIVOG7KG9IQXA","GSON1112160211")</f>
        <v>#NAME?</v>
      </c>
      <c r="N1723" s="8" t="e">
        <f ca="1">[1]!BexGetData("DP_1","003N8EMH8GTFRIVOG7KG9IX8U","GSON1112160211")</f>
        <v>#NAME?</v>
      </c>
      <c r="O1723" s="8" t="e">
        <f ca="1">[1]!BexGetData("DP_1","003N8EMH8GTFRIVOG7KG9J3KE","GSON1112160211")</f>
        <v>#NAME?</v>
      </c>
      <c r="P1723" s="8" t="e">
        <f ca="1">[1]!BexGetData("DP_1","003N8EMH8GTFRIVOG7KG9J9VY","GSON1112160211")</f>
        <v>#NAME?</v>
      </c>
      <c r="Q1723" s="4" t="e">
        <f ca="1">[1]!BexGetData("DP_1","00O2TNJGODT0G5Z4TTKYMM5MT","GSON1112160211")</f>
        <v>#NAME?</v>
      </c>
      <c r="R1723" s="4" t="e">
        <f ca="1">[1]!BexGetData("DP_1","00O2TNJGODT0G5Z4TTKYMMBYD","GSON1112160211")</f>
        <v>#NAME?</v>
      </c>
      <c r="S1723" s="4" t="e">
        <f ca="1">[1]!BexGetData("DP_1","00O2TNJGODT0G5Z4TTKYMMI9X","GSON1112160211")</f>
        <v>#NAME?</v>
      </c>
      <c r="T1723" s="4" t="e">
        <f ca="1">[1]!BexGetData("DP_1","00O2TNJGODT0G5Z4TTKYMMOLH","GSON1112160211")</f>
        <v>#NAME?</v>
      </c>
      <c r="U1723" s="4" t="e">
        <f ca="1">[1]!BexGetData("DP_1","00O2TNJGODT0G5Z4TTKYMMUX1","GSON1112160211")</f>
        <v>#NAME?</v>
      </c>
      <c r="V1723" s="4" t="e">
        <f ca="1">[1]!BexGetData("DP_1","00O2TNJGODT0G5Z4TTKYMN18L","GSON1112160211")</f>
        <v>#NAME?</v>
      </c>
      <c r="W1723" s="4" t="e">
        <f ca="1">[1]!BexGetData("DP_1","00O2TNJGODT0G5Z4TTKYMN7K5","GSON1112160211")</f>
        <v>#NAME?</v>
      </c>
    </row>
    <row r="1724" spans="1:23" x14ac:dyDescent="0.2">
      <c r="A1724" s="16" t="s">
        <v>4376</v>
      </c>
      <c r="B1724" s="7" t="s">
        <v>4377</v>
      </c>
      <c r="C1724" s="3" t="e">
        <f ca="1">[1]!BexGetData("DP_1","003N8EMH8GTFRCSWKMPXRR8GU","GSON1112160212")</f>
        <v>#NAME?</v>
      </c>
      <c r="D1724" s="3" t="e">
        <f ca="1">[1]!BexGetData("DP_1","003N8EMH8GTFRCSWKMPXRRESE","GSON1112160212")</f>
        <v>#NAME?</v>
      </c>
      <c r="E1724" s="3" t="e">
        <f ca="1">[1]!BexGetData("DP_1","003N8EMH8GTFRCSWKMPXRRL3Y","GSON1112160212")</f>
        <v>#NAME?</v>
      </c>
      <c r="F1724" s="3" t="e">
        <f ca="1">[1]!BexGetData("DP_1","003N8EMH8GTFRCSWKMPXRRRFI","GSON1112160212")</f>
        <v>#NAME?</v>
      </c>
      <c r="G1724" s="8" t="e">
        <f ca="1">[1]!BexGetData("DP_1","003N8EMH8GTFRCSWKMPXRRXR2","GSON1112160212")</f>
        <v>#NAME?</v>
      </c>
      <c r="H1724" s="3" t="e">
        <f ca="1">[1]!BexGetData("DP_1","003N8EMH8GTFRCSWKMPXRS42M","GSON1112160212")</f>
        <v>#NAME?</v>
      </c>
      <c r="I1724" s="3" t="e">
        <f ca="1">[1]!BexGetData("DP_1","003N8EMH8GTFRCSWKMPXRSAE6","GSON1112160212")</f>
        <v>#NAME?</v>
      </c>
      <c r="J1724" s="4" t="e">
        <f ca="1">[1]!BexGetData("DP_1","003N8EMH8GTFRCSWKMPXRSGPQ","GSON1112160212")</f>
        <v>#NAME?</v>
      </c>
      <c r="K1724" s="3" t="e">
        <f ca="1">[1]!BexGetData("DP_1","003N8EMH8GTFRIVNUPY288VJH","GSON1112160212")</f>
        <v>#NAME?</v>
      </c>
      <c r="L1724" s="3" t="e">
        <f ca="1">[1]!BexGetData("DP_1","003N8EMH8GTFRIVNUPY2891V1","GSON1112160212")</f>
        <v>#NAME?</v>
      </c>
      <c r="M1724" s="8" t="e">
        <f ca="1">[1]!BexGetData("DP_1","003N8EMH8GTFRIVOG7KG9IQXA","GSON1112160212")</f>
        <v>#NAME?</v>
      </c>
      <c r="N1724" s="3" t="e">
        <f ca="1">[1]!BexGetData("DP_1","003N8EMH8GTFRIVOG7KG9IX8U","GSON1112160212")</f>
        <v>#NAME?</v>
      </c>
      <c r="O1724" s="8" t="e">
        <f ca="1">[1]!BexGetData("DP_1","003N8EMH8GTFRIVOG7KG9J3KE","GSON1112160212")</f>
        <v>#NAME?</v>
      </c>
      <c r="P1724" s="3" t="e">
        <f ca="1">[1]!BexGetData("DP_1","003N8EMH8GTFRIVOG7KG9J9VY","GSON1112160212")</f>
        <v>#NAME?</v>
      </c>
      <c r="Q1724" s="4" t="e">
        <f ca="1">[1]!BexGetData("DP_1","00O2TNJGODT0G5Z4TTKYMM5MT","GSON1112160212")</f>
        <v>#NAME?</v>
      </c>
      <c r="R1724" s="3" t="e">
        <f ca="1">[1]!BexGetData("DP_1","00O2TNJGODT0G5Z4TTKYMMBYD","GSON1112160212")</f>
        <v>#NAME?</v>
      </c>
      <c r="S1724" s="3" t="e">
        <f ca="1">[1]!BexGetData("DP_1","00O2TNJGODT0G5Z4TTKYMMI9X","GSON1112160212")</f>
        <v>#NAME?</v>
      </c>
      <c r="T1724" s="3" t="e">
        <f ca="1">[1]!BexGetData("DP_1","00O2TNJGODT0G5Z4TTKYMMOLH","GSON1112160212")</f>
        <v>#NAME?</v>
      </c>
      <c r="U1724" s="8" t="e">
        <f ca="1">[1]!BexGetData("DP_1","00O2TNJGODT0G5Z4TTKYMMUX1","GSON1112160212")</f>
        <v>#NAME?</v>
      </c>
      <c r="V1724" s="3" t="e">
        <f ca="1">[1]!BexGetData("DP_1","00O2TNJGODT0G5Z4TTKYMN18L","GSON1112160212")</f>
        <v>#NAME?</v>
      </c>
      <c r="W1724" s="8" t="e">
        <f ca="1">[1]!BexGetData("DP_1","00O2TNJGODT0G5Z4TTKYMN7K5","GSON1112160212")</f>
        <v>#NAME?</v>
      </c>
    </row>
    <row r="1725" spans="1:23" x14ac:dyDescent="0.2">
      <c r="A1725" s="16" t="s">
        <v>4378</v>
      </c>
      <c r="B1725" s="7" t="s">
        <v>4379</v>
      </c>
      <c r="C1725" s="3" t="e">
        <f ca="1">[1]!BexGetData("DP_1","003N8EMH8GTFRCSWKMPXRR8GU","GSON1112160213")</f>
        <v>#NAME?</v>
      </c>
      <c r="D1725" s="3" t="e">
        <f ca="1">[1]!BexGetData("DP_1","003N8EMH8GTFRCSWKMPXRRESE","GSON1112160213")</f>
        <v>#NAME?</v>
      </c>
      <c r="E1725" s="8" t="e">
        <f ca="1">[1]!BexGetData("DP_1","003N8EMH8GTFRCSWKMPXRRL3Y","GSON1112160213")</f>
        <v>#NAME?</v>
      </c>
      <c r="F1725" s="4" t="e">
        <f ca="1">[1]!BexGetData("DP_1","003N8EMH8GTFRCSWKMPXRRRFI","GSON1112160213")</f>
        <v>#NAME?</v>
      </c>
      <c r="G1725" s="4" t="e">
        <f ca="1">[1]!BexGetData("DP_1","003N8EMH8GTFRCSWKMPXRRXR2","GSON1112160213")</f>
        <v>#NAME?</v>
      </c>
      <c r="H1725" s="4" t="e">
        <f ca="1">[1]!BexGetData("DP_1","003N8EMH8GTFRCSWKMPXRS42M","GSON1112160213")</f>
        <v>#NAME?</v>
      </c>
      <c r="I1725" s="4" t="e">
        <f ca="1">[1]!BexGetData("DP_1","003N8EMH8GTFRCSWKMPXRSAE6","GSON1112160213")</f>
        <v>#NAME?</v>
      </c>
      <c r="J1725" s="4" t="e">
        <f ca="1">[1]!BexGetData("DP_1","003N8EMH8GTFRCSWKMPXRSGPQ","GSON1112160213")</f>
        <v>#NAME?</v>
      </c>
      <c r="K1725" s="8" t="e">
        <f ca="1">[1]!BexGetData("DP_1","003N8EMH8GTFRIVNUPY288VJH","GSON1112160213")</f>
        <v>#NAME?</v>
      </c>
      <c r="L1725" s="8" t="e">
        <f ca="1">[1]!BexGetData("DP_1","003N8EMH8GTFRIVNUPY2891V1","GSON1112160213")</f>
        <v>#NAME?</v>
      </c>
      <c r="M1725" s="8" t="e">
        <f ca="1">[1]!BexGetData("DP_1","003N8EMH8GTFRIVOG7KG9IQXA","GSON1112160213")</f>
        <v>#NAME?</v>
      </c>
      <c r="N1725" s="8" t="e">
        <f ca="1">[1]!BexGetData("DP_1","003N8EMH8GTFRIVOG7KG9IX8U","GSON1112160213")</f>
        <v>#NAME?</v>
      </c>
      <c r="O1725" s="8" t="e">
        <f ca="1">[1]!BexGetData("DP_1","003N8EMH8GTFRIVOG7KG9J3KE","GSON1112160213")</f>
        <v>#NAME?</v>
      </c>
      <c r="P1725" s="8" t="e">
        <f ca="1">[1]!BexGetData("DP_1","003N8EMH8GTFRIVOG7KG9J9VY","GSON1112160213")</f>
        <v>#NAME?</v>
      </c>
      <c r="Q1725" s="4" t="e">
        <f ca="1">[1]!BexGetData("DP_1","00O2TNJGODT0G5Z4TTKYMM5MT","GSON1112160213")</f>
        <v>#NAME?</v>
      </c>
      <c r="R1725" s="4" t="e">
        <f ca="1">[1]!BexGetData("DP_1","00O2TNJGODT0G5Z4TTKYMMBYD","GSON1112160213")</f>
        <v>#NAME?</v>
      </c>
      <c r="S1725" s="4" t="e">
        <f ca="1">[1]!BexGetData("DP_1","00O2TNJGODT0G5Z4TTKYMMI9X","GSON1112160213")</f>
        <v>#NAME?</v>
      </c>
      <c r="T1725" s="4" t="e">
        <f ca="1">[1]!BexGetData("DP_1","00O2TNJGODT0G5Z4TTKYMMOLH","GSON1112160213")</f>
        <v>#NAME?</v>
      </c>
      <c r="U1725" s="4" t="e">
        <f ca="1">[1]!BexGetData("DP_1","00O2TNJGODT0G5Z4TTKYMMUX1","GSON1112160213")</f>
        <v>#NAME?</v>
      </c>
      <c r="V1725" s="4" t="e">
        <f ca="1">[1]!BexGetData("DP_1","00O2TNJGODT0G5Z4TTKYMN18L","GSON1112160213")</f>
        <v>#NAME?</v>
      </c>
      <c r="W1725" s="4" t="e">
        <f ca="1">[1]!BexGetData("DP_1","00O2TNJGODT0G5Z4TTKYMN7K5","GSON1112160213")</f>
        <v>#NAME?</v>
      </c>
    </row>
    <row r="1726" spans="1:23" x14ac:dyDescent="0.2">
      <c r="A1726" s="16" t="s">
        <v>4380</v>
      </c>
      <c r="B1726" s="7" t="s">
        <v>4381</v>
      </c>
      <c r="C1726" s="3" t="e">
        <f ca="1">[1]!BexGetData("DP_1","003N8EMH8GTFRCSWKMPXRR8GU","GSON1112160214")</f>
        <v>#NAME?</v>
      </c>
      <c r="D1726" s="3" t="e">
        <f ca="1">[1]!BexGetData("DP_1","003N8EMH8GTFRCSWKMPXRRESE","GSON1112160214")</f>
        <v>#NAME?</v>
      </c>
      <c r="E1726" s="8" t="e">
        <f ca="1">[1]!BexGetData("DP_1","003N8EMH8GTFRCSWKMPXRRL3Y","GSON1112160214")</f>
        <v>#NAME?</v>
      </c>
      <c r="F1726" s="4" t="e">
        <f ca="1">[1]!BexGetData("DP_1","003N8EMH8GTFRCSWKMPXRRRFI","GSON1112160214")</f>
        <v>#NAME?</v>
      </c>
      <c r="G1726" s="4" t="e">
        <f ca="1">[1]!BexGetData("DP_1","003N8EMH8GTFRCSWKMPXRRXR2","GSON1112160214")</f>
        <v>#NAME?</v>
      </c>
      <c r="H1726" s="4" t="e">
        <f ca="1">[1]!BexGetData("DP_1","003N8EMH8GTFRCSWKMPXRS42M","GSON1112160214")</f>
        <v>#NAME?</v>
      </c>
      <c r="I1726" s="4" t="e">
        <f ca="1">[1]!BexGetData("DP_1","003N8EMH8GTFRCSWKMPXRSAE6","GSON1112160214")</f>
        <v>#NAME?</v>
      </c>
      <c r="J1726" s="4" t="e">
        <f ca="1">[1]!BexGetData("DP_1","003N8EMH8GTFRCSWKMPXRSGPQ","GSON1112160214")</f>
        <v>#NAME?</v>
      </c>
      <c r="K1726" s="8" t="e">
        <f ca="1">[1]!BexGetData("DP_1","003N8EMH8GTFRIVNUPY288VJH","GSON1112160214")</f>
        <v>#NAME?</v>
      </c>
      <c r="L1726" s="8" t="e">
        <f ca="1">[1]!BexGetData("DP_1","003N8EMH8GTFRIVNUPY2891V1","GSON1112160214")</f>
        <v>#NAME?</v>
      </c>
      <c r="M1726" s="8" t="e">
        <f ca="1">[1]!BexGetData("DP_1","003N8EMH8GTFRIVOG7KG9IQXA","GSON1112160214")</f>
        <v>#NAME?</v>
      </c>
      <c r="N1726" s="8" t="e">
        <f ca="1">[1]!BexGetData("DP_1","003N8EMH8GTFRIVOG7KG9IX8U","GSON1112160214")</f>
        <v>#NAME?</v>
      </c>
      <c r="O1726" s="8" t="e">
        <f ca="1">[1]!BexGetData("DP_1","003N8EMH8GTFRIVOG7KG9J3KE","GSON1112160214")</f>
        <v>#NAME?</v>
      </c>
      <c r="P1726" s="8" t="e">
        <f ca="1">[1]!BexGetData("DP_1","003N8EMH8GTFRIVOG7KG9J9VY","GSON1112160214")</f>
        <v>#NAME?</v>
      </c>
      <c r="Q1726" s="4" t="e">
        <f ca="1">[1]!BexGetData("DP_1","00O2TNJGODT0G5Z4TTKYMM5MT","GSON1112160214")</f>
        <v>#NAME?</v>
      </c>
      <c r="R1726" s="4" t="e">
        <f ca="1">[1]!BexGetData("DP_1","00O2TNJGODT0G5Z4TTKYMMBYD","GSON1112160214")</f>
        <v>#NAME?</v>
      </c>
      <c r="S1726" s="4" t="e">
        <f ca="1">[1]!BexGetData("DP_1","00O2TNJGODT0G5Z4TTKYMMI9X","GSON1112160214")</f>
        <v>#NAME?</v>
      </c>
      <c r="T1726" s="4" t="e">
        <f ca="1">[1]!BexGetData("DP_1","00O2TNJGODT0G5Z4TTKYMMOLH","GSON1112160214")</f>
        <v>#NAME?</v>
      </c>
      <c r="U1726" s="4" t="e">
        <f ca="1">[1]!BexGetData("DP_1","00O2TNJGODT0G5Z4TTKYMMUX1","GSON1112160214")</f>
        <v>#NAME?</v>
      </c>
      <c r="V1726" s="4" t="e">
        <f ca="1">[1]!BexGetData("DP_1","00O2TNJGODT0G5Z4TTKYMN18L","GSON1112160214")</f>
        <v>#NAME?</v>
      </c>
      <c r="W1726" s="4" t="e">
        <f ca="1">[1]!BexGetData("DP_1","00O2TNJGODT0G5Z4TTKYMN7K5","GSON1112160214")</f>
        <v>#NAME?</v>
      </c>
    </row>
    <row r="1727" spans="1:23" x14ac:dyDescent="0.2">
      <c r="A1727" s="16" t="s">
        <v>4382</v>
      </c>
      <c r="B1727" s="7" t="s">
        <v>4383</v>
      </c>
      <c r="C1727" s="3" t="e">
        <f ca="1">[1]!BexGetData("DP_1","003N8EMH8GTFRCSWKMPXRR8GU","GSON1112160215")</f>
        <v>#NAME?</v>
      </c>
      <c r="D1727" s="3" t="e">
        <f ca="1">[1]!BexGetData("DP_1","003N8EMH8GTFRCSWKMPXRRESE","GSON1112160215")</f>
        <v>#NAME?</v>
      </c>
      <c r="E1727" s="8" t="e">
        <f ca="1">[1]!BexGetData("DP_1","003N8EMH8GTFRCSWKMPXRRL3Y","GSON1112160215")</f>
        <v>#NAME?</v>
      </c>
      <c r="F1727" s="4" t="e">
        <f ca="1">[1]!BexGetData("DP_1","003N8EMH8GTFRCSWKMPXRRRFI","GSON1112160215")</f>
        <v>#NAME?</v>
      </c>
      <c r="G1727" s="4" t="e">
        <f ca="1">[1]!BexGetData("DP_1","003N8EMH8GTFRCSWKMPXRRXR2","GSON1112160215")</f>
        <v>#NAME?</v>
      </c>
      <c r="H1727" s="4" t="e">
        <f ca="1">[1]!BexGetData("DP_1","003N8EMH8GTFRCSWKMPXRS42M","GSON1112160215")</f>
        <v>#NAME?</v>
      </c>
      <c r="I1727" s="4" t="e">
        <f ca="1">[1]!BexGetData("DP_1","003N8EMH8GTFRCSWKMPXRSAE6","GSON1112160215")</f>
        <v>#NAME?</v>
      </c>
      <c r="J1727" s="4" t="e">
        <f ca="1">[1]!BexGetData("DP_1","003N8EMH8GTFRCSWKMPXRSGPQ","GSON1112160215")</f>
        <v>#NAME?</v>
      </c>
      <c r="K1727" s="8" t="e">
        <f ca="1">[1]!BexGetData("DP_1","003N8EMH8GTFRIVNUPY288VJH","GSON1112160215")</f>
        <v>#NAME?</v>
      </c>
      <c r="L1727" s="8" t="e">
        <f ca="1">[1]!BexGetData("DP_1","003N8EMH8GTFRIVNUPY2891V1","GSON1112160215")</f>
        <v>#NAME?</v>
      </c>
      <c r="M1727" s="8" t="e">
        <f ca="1">[1]!BexGetData("DP_1","003N8EMH8GTFRIVOG7KG9IQXA","GSON1112160215")</f>
        <v>#NAME?</v>
      </c>
      <c r="N1727" s="8" t="e">
        <f ca="1">[1]!BexGetData("DP_1","003N8EMH8GTFRIVOG7KG9IX8U","GSON1112160215")</f>
        <v>#NAME?</v>
      </c>
      <c r="O1727" s="8" t="e">
        <f ca="1">[1]!BexGetData("DP_1","003N8EMH8GTFRIVOG7KG9J3KE","GSON1112160215")</f>
        <v>#NAME?</v>
      </c>
      <c r="P1727" s="8" t="e">
        <f ca="1">[1]!BexGetData("DP_1","003N8EMH8GTFRIVOG7KG9J9VY","GSON1112160215")</f>
        <v>#NAME?</v>
      </c>
      <c r="Q1727" s="4" t="e">
        <f ca="1">[1]!BexGetData("DP_1","00O2TNJGODT0G5Z4TTKYMM5MT","GSON1112160215")</f>
        <v>#NAME?</v>
      </c>
      <c r="R1727" s="4" t="e">
        <f ca="1">[1]!BexGetData("DP_1","00O2TNJGODT0G5Z4TTKYMMBYD","GSON1112160215")</f>
        <v>#NAME?</v>
      </c>
      <c r="S1727" s="4" t="e">
        <f ca="1">[1]!BexGetData("DP_1","00O2TNJGODT0G5Z4TTKYMMI9X","GSON1112160215")</f>
        <v>#NAME?</v>
      </c>
      <c r="T1727" s="4" t="e">
        <f ca="1">[1]!BexGetData("DP_1","00O2TNJGODT0G5Z4TTKYMMOLH","GSON1112160215")</f>
        <v>#NAME?</v>
      </c>
      <c r="U1727" s="4" t="e">
        <f ca="1">[1]!BexGetData("DP_1","00O2TNJGODT0G5Z4TTKYMMUX1","GSON1112160215")</f>
        <v>#NAME?</v>
      </c>
      <c r="V1727" s="4" t="e">
        <f ca="1">[1]!BexGetData("DP_1","00O2TNJGODT0G5Z4TTKYMN18L","GSON1112160215")</f>
        <v>#NAME?</v>
      </c>
      <c r="W1727" s="4" t="e">
        <f ca="1">[1]!BexGetData("DP_1","00O2TNJGODT0G5Z4TTKYMN7K5","GSON1112160215")</f>
        <v>#NAME?</v>
      </c>
    </row>
    <row r="1728" spans="1:23" x14ac:dyDescent="0.2">
      <c r="A1728" s="16" t="s">
        <v>4384</v>
      </c>
      <c r="B1728" s="7" t="s">
        <v>4385</v>
      </c>
      <c r="C1728" s="3" t="e">
        <f ca="1">[1]!BexGetData("DP_1","003N8EMH8GTFRCSWKMPXRR8GU","GSON1112160220")</f>
        <v>#NAME?</v>
      </c>
      <c r="D1728" s="3" t="e">
        <f ca="1">[1]!BexGetData("DP_1","003N8EMH8GTFRCSWKMPXRRESE","GSON1112160220")</f>
        <v>#NAME?</v>
      </c>
      <c r="E1728" s="3" t="e">
        <f ca="1">[1]!BexGetData("DP_1","003N8EMH8GTFRCSWKMPXRRL3Y","GSON1112160220")</f>
        <v>#NAME?</v>
      </c>
      <c r="F1728" s="3" t="e">
        <f ca="1">[1]!BexGetData("DP_1","003N8EMH8GTFRCSWKMPXRRRFI","GSON1112160220")</f>
        <v>#NAME?</v>
      </c>
      <c r="G1728" s="3" t="e">
        <f ca="1">[1]!BexGetData("DP_1","003N8EMH8GTFRCSWKMPXRRXR2","GSON1112160220")</f>
        <v>#NAME?</v>
      </c>
      <c r="H1728" s="8" t="e">
        <f ca="1">[1]!BexGetData("DP_1","003N8EMH8GTFRCSWKMPXRS42M","GSON1112160220")</f>
        <v>#NAME?</v>
      </c>
      <c r="I1728" s="3" t="e">
        <f ca="1">[1]!BexGetData("DP_1","003N8EMH8GTFRCSWKMPXRSAE6","GSON1112160220")</f>
        <v>#NAME?</v>
      </c>
      <c r="J1728" s="4" t="e">
        <f ca="1">[1]!BexGetData("DP_1","003N8EMH8GTFRCSWKMPXRSGPQ","GSON1112160220")</f>
        <v>#NAME?</v>
      </c>
      <c r="K1728" s="3" t="e">
        <f ca="1">[1]!BexGetData("DP_1","003N8EMH8GTFRIVNUPY288VJH","GSON1112160220")</f>
        <v>#NAME?</v>
      </c>
      <c r="L1728" s="3" t="e">
        <f ca="1">[1]!BexGetData("DP_1","003N8EMH8GTFRIVNUPY2891V1","GSON1112160220")</f>
        <v>#NAME?</v>
      </c>
      <c r="M1728" s="8" t="e">
        <f ca="1">[1]!BexGetData("DP_1","003N8EMH8GTFRIVOG7KG9IQXA","GSON1112160220")</f>
        <v>#NAME?</v>
      </c>
      <c r="N1728" s="3" t="e">
        <f ca="1">[1]!BexGetData("DP_1","003N8EMH8GTFRIVOG7KG9IX8U","GSON1112160220")</f>
        <v>#NAME?</v>
      </c>
      <c r="O1728" s="8" t="e">
        <f ca="1">[1]!BexGetData("DP_1","003N8EMH8GTFRIVOG7KG9J3KE","GSON1112160220")</f>
        <v>#NAME?</v>
      </c>
      <c r="P1728" s="3" t="e">
        <f ca="1">[1]!BexGetData("DP_1","003N8EMH8GTFRIVOG7KG9J9VY","GSON1112160220")</f>
        <v>#NAME?</v>
      </c>
      <c r="Q1728" s="4" t="e">
        <f ca="1">[1]!BexGetData("DP_1","00O2TNJGODT0G5Z4TTKYMM5MT","GSON1112160220")</f>
        <v>#NAME?</v>
      </c>
      <c r="R1728" s="3" t="e">
        <f ca="1">[1]!BexGetData("DP_1","00O2TNJGODT0G5Z4TTKYMMBYD","GSON1112160220")</f>
        <v>#NAME?</v>
      </c>
      <c r="S1728" s="3" t="e">
        <f ca="1">[1]!BexGetData("DP_1","00O2TNJGODT0G5Z4TTKYMMI9X","GSON1112160220")</f>
        <v>#NAME?</v>
      </c>
      <c r="T1728" s="8" t="e">
        <f ca="1">[1]!BexGetData("DP_1","00O2TNJGODT0G5Z4TTKYMMOLH","GSON1112160220")</f>
        <v>#NAME?</v>
      </c>
      <c r="U1728" s="3" t="e">
        <f ca="1">[1]!BexGetData("DP_1","00O2TNJGODT0G5Z4TTKYMMUX1","GSON1112160220")</f>
        <v>#NAME?</v>
      </c>
      <c r="V1728" s="8" t="e">
        <f ca="1">[1]!BexGetData("DP_1","00O2TNJGODT0G5Z4TTKYMN18L","GSON1112160220")</f>
        <v>#NAME?</v>
      </c>
      <c r="W1728" s="3" t="e">
        <f ca="1">[1]!BexGetData("DP_1","00O2TNJGODT0G5Z4TTKYMN7K5","GSON1112160220")</f>
        <v>#NAME?</v>
      </c>
    </row>
    <row r="1729" spans="1:23" x14ac:dyDescent="0.2">
      <c r="A1729" s="16" t="s">
        <v>4386</v>
      </c>
      <c r="B1729" s="7" t="s">
        <v>4387</v>
      </c>
      <c r="C1729" s="3" t="e">
        <f ca="1">[1]!BexGetData("DP_1","003N8EMH8GTFRCSWKMPXRR8GU","GSON1112160221")</f>
        <v>#NAME?</v>
      </c>
      <c r="D1729" s="3" t="e">
        <f ca="1">[1]!BexGetData("DP_1","003N8EMH8GTFRCSWKMPXRRESE","GSON1112160221")</f>
        <v>#NAME?</v>
      </c>
      <c r="E1729" s="8" t="e">
        <f ca="1">[1]!BexGetData("DP_1","003N8EMH8GTFRCSWKMPXRRL3Y","GSON1112160221")</f>
        <v>#NAME?</v>
      </c>
      <c r="F1729" s="4" t="e">
        <f ca="1">[1]!BexGetData("DP_1","003N8EMH8GTFRCSWKMPXRRRFI","GSON1112160221")</f>
        <v>#NAME?</v>
      </c>
      <c r="G1729" s="4" t="e">
        <f ca="1">[1]!BexGetData("DP_1","003N8EMH8GTFRCSWKMPXRRXR2","GSON1112160221")</f>
        <v>#NAME?</v>
      </c>
      <c r="H1729" s="4" t="e">
        <f ca="1">[1]!BexGetData("DP_1","003N8EMH8GTFRCSWKMPXRS42M","GSON1112160221")</f>
        <v>#NAME?</v>
      </c>
      <c r="I1729" s="4" t="e">
        <f ca="1">[1]!BexGetData("DP_1","003N8EMH8GTFRCSWKMPXRSAE6","GSON1112160221")</f>
        <v>#NAME?</v>
      </c>
      <c r="J1729" s="4" t="e">
        <f ca="1">[1]!BexGetData("DP_1","003N8EMH8GTFRCSWKMPXRSGPQ","GSON1112160221")</f>
        <v>#NAME?</v>
      </c>
      <c r="K1729" s="8" t="e">
        <f ca="1">[1]!BexGetData("DP_1","003N8EMH8GTFRIVNUPY288VJH","GSON1112160221")</f>
        <v>#NAME?</v>
      </c>
      <c r="L1729" s="8" t="e">
        <f ca="1">[1]!BexGetData("DP_1","003N8EMH8GTFRIVNUPY2891V1","GSON1112160221")</f>
        <v>#NAME?</v>
      </c>
      <c r="M1729" s="8" t="e">
        <f ca="1">[1]!BexGetData("DP_1","003N8EMH8GTFRIVOG7KG9IQXA","GSON1112160221")</f>
        <v>#NAME?</v>
      </c>
      <c r="N1729" s="8" t="e">
        <f ca="1">[1]!BexGetData("DP_1","003N8EMH8GTFRIVOG7KG9IX8U","GSON1112160221")</f>
        <v>#NAME?</v>
      </c>
      <c r="O1729" s="8" t="e">
        <f ca="1">[1]!BexGetData("DP_1","003N8EMH8GTFRIVOG7KG9J3KE","GSON1112160221")</f>
        <v>#NAME?</v>
      </c>
      <c r="P1729" s="8" t="e">
        <f ca="1">[1]!BexGetData("DP_1","003N8EMH8GTFRIVOG7KG9J9VY","GSON1112160221")</f>
        <v>#NAME?</v>
      </c>
      <c r="Q1729" s="4" t="e">
        <f ca="1">[1]!BexGetData("DP_1","00O2TNJGODT0G5Z4TTKYMM5MT","GSON1112160221")</f>
        <v>#NAME?</v>
      </c>
      <c r="R1729" s="4" t="e">
        <f ca="1">[1]!BexGetData("DP_1","00O2TNJGODT0G5Z4TTKYMMBYD","GSON1112160221")</f>
        <v>#NAME?</v>
      </c>
      <c r="S1729" s="4" t="e">
        <f ca="1">[1]!BexGetData("DP_1","00O2TNJGODT0G5Z4TTKYMMI9X","GSON1112160221")</f>
        <v>#NAME?</v>
      </c>
      <c r="T1729" s="4" t="e">
        <f ca="1">[1]!BexGetData("DP_1","00O2TNJGODT0G5Z4TTKYMMOLH","GSON1112160221")</f>
        <v>#NAME?</v>
      </c>
      <c r="U1729" s="4" t="e">
        <f ca="1">[1]!BexGetData("DP_1","00O2TNJGODT0G5Z4TTKYMMUX1","GSON1112160221")</f>
        <v>#NAME?</v>
      </c>
      <c r="V1729" s="4" t="e">
        <f ca="1">[1]!BexGetData("DP_1","00O2TNJGODT0G5Z4TTKYMN18L","GSON1112160221")</f>
        <v>#NAME?</v>
      </c>
      <c r="W1729" s="4" t="e">
        <f ca="1">[1]!BexGetData("DP_1","00O2TNJGODT0G5Z4TTKYMN7K5","GSON1112160221")</f>
        <v>#NAME?</v>
      </c>
    </row>
    <row r="1730" spans="1:23" x14ac:dyDescent="0.2">
      <c r="A1730" s="16" t="s">
        <v>4388</v>
      </c>
      <c r="B1730" s="7" t="s">
        <v>4389</v>
      </c>
      <c r="C1730" s="3" t="e">
        <f ca="1">[1]!BexGetData("DP_1","003N8EMH8GTFRCSWKMPXRR8GU","GSON1112160222")</f>
        <v>#NAME?</v>
      </c>
      <c r="D1730" s="3" t="e">
        <f ca="1">[1]!BexGetData("DP_1","003N8EMH8GTFRCSWKMPXRRESE","GSON1112160222")</f>
        <v>#NAME?</v>
      </c>
      <c r="E1730" s="8" t="e">
        <f ca="1">[1]!BexGetData("DP_1","003N8EMH8GTFRCSWKMPXRRL3Y","GSON1112160222")</f>
        <v>#NAME?</v>
      </c>
      <c r="F1730" s="3" t="e">
        <f ca="1">[1]!BexGetData("DP_1","003N8EMH8GTFRCSWKMPXRRRFI","GSON1112160222")</f>
        <v>#NAME?</v>
      </c>
      <c r="G1730" s="8" t="e">
        <f ca="1">[1]!BexGetData("DP_1","003N8EMH8GTFRCSWKMPXRRXR2","GSON1112160222")</f>
        <v>#NAME?</v>
      </c>
      <c r="H1730" s="3" t="e">
        <f ca="1">[1]!BexGetData("DP_1","003N8EMH8GTFRCSWKMPXRS42M","GSON1112160222")</f>
        <v>#NAME?</v>
      </c>
      <c r="I1730" s="3" t="e">
        <f ca="1">[1]!BexGetData("DP_1","003N8EMH8GTFRCSWKMPXRSAE6","GSON1112160222")</f>
        <v>#NAME?</v>
      </c>
      <c r="J1730" s="4" t="e">
        <f ca="1">[1]!BexGetData("DP_1","003N8EMH8GTFRCSWKMPXRSGPQ","GSON1112160222")</f>
        <v>#NAME?</v>
      </c>
      <c r="K1730" s="3" t="e">
        <f ca="1">[1]!BexGetData("DP_1","003N8EMH8GTFRIVNUPY288VJH","GSON1112160222")</f>
        <v>#NAME?</v>
      </c>
      <c r="L1730" s="3" t="e">
        <f ca="1">[1]!BexGetData("DP_1","003N8EMH8GTFRIVNUPY2891V1","GSON1112160222")</f>
        <v>#NAME?</v>
      </c>
      <c r="M1730" s="8" t="e">
        <f ca="1">[1]!BexGetData("DP_1","003N8EMH8GTFRIVOG7KG9IQXA","GSON1112160222")</f>
        <v>#NAME?</v>
      </c>
      <c r="N1730" s="3" t="e">
        <f ca="1">[1]!BexGetData("DP_1","003N8EMH8GTFRIVOG7KG9IX8U","GSON1112160222")</f>
        <v>#NAME?</v>
      </c>
      <c r="O1730" s="8" t="e">
        <f ca="1">[1]!BexGetData("DP_1","003N8EMH8GTFRIVOG7KG9J3KE","GSON1112160222")</f>
        <v>#NAME?</v>
      </c>
      <c r="P1730" s="3" t="e">
        <f ca="1">[1]!BexGetData("DP_1","003N8EMH8GTFRIVOG7KG9J9VY","GSON1112160222")</f>
        <v>#NAME?</v>
      </c>
      <c r="Q1730" s="4" t="e">
        <f ca="1">[1]!BexGetData("DP_1","00O2TNJGODT0G5Z4TTKYMM5MT","GSON1112160222")</f>
        <v>#NAME?</v>
      </c>
      <c r="R1730" s="3" t="e">
        <f ca="1">[1]!BexGetData("DP_1","00O2TNJGODT0G5Z4TTKYMMBYD","GSON1112160222")</f>
        <v>#NAME?</v>
      </c>
      <c r="S1730" s="3" t="e">
        <f ca="1">[1]!BexGetData("DP_1","00O2TNJGODT0G5Z4TTKYMMI9X","GSON1112160222")</f>
        <v>#NAME?</v>
      </c>
      <c r="T1730" s="3" t="e">
        <f ca="1">[1]!BexGetData("DP_1","00O2TNJGODT0G5Z4TTKYMMOLH","GSON1112160222")</f>
        <v>#NAME?</v>
      </c>
      <c r="U1730" s="8" t="e">
        <f ca="1">[1]!BexGetData("DP_1","00O2TNJGODT0G5Z4TTKYMMUX1","GSON1112160222")</f>
        <v>#NAME?</v>
      </c>
      <c r="V1730" s="3" t="e">
        <f ca="1">[1]!BexGetData("DP_1","00O2TNJGODT0G5Z4TTKYMN18L","GSON1112160222")</f>
        <v>#NAME?</v>
      </c>
      <c r="W1730" s="8" t="e">
        <f ca="1">[1]!BexGetData("DP_1","00O2TNJGODT0G5Z4TTKYMN7K5","GSON1112160222")</f>
        <v>#NAME?</v>
      </c>
    </row>
    <row r="1731" spans="1:23" x14ac:dyDescent="0.2">
      <c r="A1731" s="16" t="s">
        <v>4390</v>
      </c>
      <c r="B1731" s="7" t="s">
        <v>4391</v>
      </c>
      <c r="C1731" s="3" t="e">
        <f ca="1">[1]!BexGetData("DP_1","003N8EMH8GTFRCSWKMPXRR8GU","GSON1112160223")</f>
        <v>#NAME?</v>
      </c>
      <c r="D1731" s="3" t="e">
        <f ca="1">[1]!BexGetData("DP_1","003N8EMH8GTFRCSWKMPXRRESE","GSON1112160223")</f>
        <v>#NAME?</v>
      </c>
      <c r="E1731" s="8" t="e">
        <f ca="1">[1]!BexGetData("DP_1","003N8EMH8GTFRCSWKMPXRRL3Y","GSON1112160223")</f>
        <v>#NAME?</v>
      </c>
      <c r="F1731" s="4" t="e">
        <f ca="1">[1]!BexGetData("DP_1","003N8EMH8GTFRCSWKMPXRRRFI","GSON1112160223")</f>
        <v>#NAME?</v>
      </c>
      <c r="G1731" s="4" t="e">
        <f ca="1">[1]!BexGetData("DP_1","003N8EMH8GTFRCSWKMPXRRXR2","GSON1112160223")</f>
        <v>#NAME?</v>
      </c>
      <c r="H1731" s="4" t="e">
        <f ca="1">[1]!BexGetData("DP_1","003N8EMH8GTFRCSWKMPXRS42M","GSON1112160223")</f>
        <v>#NAME?</v>
      </c>
      <c r="I1731" s="4" t="e">
        <f ca="1">[1]!BexGetData("DP_1","003N8EMH8GTFRCSWKMPXRSAE6","GSON1112160223")</f>
        <v>#NAME?</v>
      </c>
      <c r="J1731" s="4" t="e">
        <f ca="1">[1]!BexGetData("DP_1","003N8EMH8GTFRCSWKMPXRSGPQ","GSON1112160223")</f>
        <v>#NAME?</v>
      </c>
      <c r="K1731" s="8" t="e">
        <f ca="1">[1]!BexGetData("DP_1","003N8EMH8GTFRIVNUPY288VJH","GSON1112160223")</f>
        <v>#NAME?</v>
      </c>
      <c r="L1731" s="8" t="e">
        <f ca="1">[1]!BexGetData("DP_1","003N8EMH8GTFRIVNUPY2891V1","GSON1112160223")</f>
        <v>#NAME?</v>
      </c>
      <c r="M1731" s="8" t="e">
        <f ca="1">[1]!BexGetData("DP_1","003N8EMH8GTFRIVOG7KG9IQXA","GSON1112160223")</f>
        <v>#NAME?</v>
      </c>
      <c r="N1731" s="8" t="e">
        <f ca="1">[1]!BexGetData("DP_1","003N8EMH8GTFRIVOG7KG9IX8U","GSON1112160223")</f>
        <v>#NAME?</v>
      </c>
      <c r="O1731" s="8" t="e">
        <f ca="1">[1]!BexGetData("DP_1","003N8EMH8GTFRIVOG7KG9J3KE","GSON1112160223")</f>
        <v>#NAME?</v>
      </c>
      <c r="P1731" s="8" t="e">
        <f ca="1">[1]!BexGetData("DP_1","003N8EMH8GTFRIVOG7KG9J9VY","GSON1112160223")</f>
        <v>#NAME?</v>
      </c>
      <c r="Q1731" s="4" t="e">
        <f ca="1">[1]!BexGetData("DP_1","00O2TNJGODT0G5Z4TTKYMM5MT","GSON1112160223")</f>
        <v>#NAME?</v>
      </c>
      <c r="R1731" s="4" t="e">
        <f ca="1">[1]!BexGetData("DP_1","00O2TNJGODT0G5Z4TTKYMMBYD","GSON1112160223")</f>
        <v>#NAME?</v>
      </c>
      <c r="S1731" s="4" t="e">
        <f ca="1">[1]!BexGetData("DP_1","00O2TNJGODT0G5Z4TTKYMMI9X","GSON1112160223")</f>
        <v>#NAME?</v>
      </c>
      <c r="T1731" s="4" t="e">
        <f ca="1">[1]!BexGetData("DP_1","00O2TNJGODT0G5Z4TTKYMMOLH","GSON1112160223")</f>
        <v>#NAME?</v>
      </c>
      <c r="U1731" s="4" t="e">
        <f ca="1">[1]!BexGetData("DP_1","00O2TNJGODT0G5Z4TTKYMMUX1","GSON1112160223")</f>
        <v>#NAME?</v>
      </c>
      <c r="V1731" s="4" t="e">
        <f ca="1">[1]!BexGetData("DP_1","00O2TNJGODT0G5Z4TTKYMN18L","GSON1112160223")</f>
        <v>#NAME?</v>
      </c>
      <c r="W1731" s="4" t="e">
        <f ca="1">[1]!BexGetData("DP_1","00O2TNJGODT0G5Z4TTKYMN7K5","GSON1112160223")</f>
        <v>#NAME?</v>
      </c>
    </row>
    <row r="1732" spans="1:23" x14ac:dyDescent="0.2">
      <c r="A1732" s="16" t="s">
        <v>4392</v>
      </c>
      <c r="B1732" s="7" t="s">
        <v>4393</v>
      </c>
      <c r="C1732" s="3" t="e">
        <f ca="1">[1]!BexGetData("DP_1","003N8EMH8GTFRCSWKMPXRR8GU","GSON1112160224")</f>
        <v>#NAME?</v>
      </c>
      <c r="D1732" s="3" t="e">
        <f ca="1">[1]!BexGetData("DP_1","003N8EMH8GTFRCSWKMPXRRESE","GSON1112160224")</f>
        <v>#NAME?</v>
      </c>
      <c r="E1732" s="8" t="e">
        <f ca="1">[1]!BexGetData("DP_1","003N8EMH8GTFRCSWKMPXRRL3Y","GSON1112160224")</f>
        <v>#NAME?</v>
      </c>
      <c r="F1732" s="4" t="e">
        <f ca="1">[1]!BexGetData("DP_1","003N8EMH8GTFRCSWKMPXRRRFI","GSON1112160224")</f>
        <v>#NAME?</v>
      </c>
      <c r="G1732" s="4" t="e">
        <f ca="1">[1]!BexGetData("DP_1","003N8EMH8GTFRCSWKMPXRRXR2","GSON1112160224")</f>
        <v>#NAME?</v>
      </c>
      <c r="H1732" s="4" t="e">
        <f ca="1">[1]!BexGetData("DP_1","003N8EMH8GTFRCSWKMPXRS42M","GSON1112160224")</f>
        <v>#NAME?</v>
      </c>
      <c r="I1732" s="4" t="e">
        <f ca="1">[1]!BexGetData("DP_1","003N8EMH8GTFRCSWKMPXRSAE6","GSON1112160224")</f>
        <v>#NAME?</v>
      </c>
      <c r="J1732" s="4" t="e">
        <f ca="1">[1]!BexGetData("DP_1","003N8EMH8GTFRCSWKMPXRSGPQ","GSON1112160224")</f>
        <v>#NAME?</v>
      </c>
      <c r="K1732" s="8" t="e">
        <f ca="1">[1]!BexGetData("DP_1","003N8EMH8GTFRIVNUPY288VJH","GSON1112160224")</f>
        <v>#NAME?</v>
      </c>
      <c r="L1732" s="8" t="e">
        <f ca="1">[1]!BexGetData("DP_1","003N8EMH8GTFRIVNUPY2891V1","GSON1112160224")</f>
        <v>#NAME?</v>
      </c>
      <c r="M1732" s="8" t="e">
        <f ca="1">[1]!BexGetData("DP_1","003N8EMH8GTFRIVOG7KG9IQXA","GSON1112160224")</f>
        <v>#NAME?</v>
      </c>
      <c r="N1732" s="8" t="e">
        <f ca="1">[1]!BexGetData("DP_1","003N8EMH8GTFRIVOG7KG9IX8U","GSON1112160224")</f>
        <v>#NAME?</v>
      </c>
      <c r="O1732" s="8" t="e">
        <f ca="1">[1]!BexGetData("DP_1","003N8EMH8GTFRIVOG7KG9J3KE","GSON1112160224")</f>
        <v>#NAME?</v>
      </c>
      <c r="P1732" s="8" t="e">
        <f ca="1">[1]!BexGetData("DP_1","003N8EMH8GTFRIVOG7KG9J9VY","GSON1112160224")</f>
        <v>#NAME?</v>
      </c>
      <c r="Q1732" s="4" t="e">
        <f ca="1">[1]!BexGetData("DP_1","00O2TNJGODT0G5Z4TTKYMM5MT","GSON1112160224")</f>
        <v>#NAME?</v>
      </c>
      <c r="R1732" s="4" t="e">
        <f ca="1">[1]!BexGetData("DP_1","00O2TNJGODT0G5Z4TTKYMMBYD","GSON1112160224")</f>
        <v>#NAME?</v>
      </c>
      <c r="S1732" s="4" t="e">
        <f ca="1">[1]!BexGetData("DP_1","00O2TNJGODT0G5Z4TTKYMMI9X","GSON1112160224")</f>
        <v>#NAME?</v>
      </c>
      <c r="T1732" s="4" t="e">
        <f ca="1">[1]!BexGetData("DP_1","00O2TNJGODT0G5Z4TTKYMMOLH","GSON1112160224")</f>
        <v>#NAME?</v>
      </c>
      <c r="U1732" s="4" t="e">
        <f ca="1">[1]!BexGetData("DP_1","00O2TNJGODT0G5Z4TTKYMMUX1","GSON1112160224")</f>
        <v>#NAME?</v>
      </c>
      <c r="V1732" s="4" t="e">
        <f ca="1">[1]!BexGetData("DP_1","00O2TNJGODT0G5Z4TTKYMN18L","GSON1112160224")</f>
        <v>#NAME?</v>
      </c>
      <c r="W1732" s="4" t="e">
        <f ca="1">[1]!BexGetData("DP_1","00O2TNJGODT0G5Z4TTKYMN7K5","GSON1112160224")</f>
        <v>#NAME?</v>
      </c>
    </row>
    <row r="1733" spans="1:23" x14ac:dyDescent="0.2">
      <c r="A1733" s="16" t="s">
        <v>4394</v>
      </c>
      <c r="B1733" s="7" t="s">
        <v>4395</v>
      </c>
      <c r="C1733" s="3" t="e">
        <f ca="1">[1]!BexGetData("DP_1","003N8EMH8GTFRCSWKMPXRR8GU","GSON1112160225")</f>
        <v>#NAME?</v>
      </c>
      <c r="D1733" s="3" t="e">
        <f ca="1">[1]!BexGetData("DP_1","003N8EMH8GTFRCSWKMPXRRESE","GSON1112160225")</f>
        <v>#NAME?</v>
      </c>
      <c r="E1733" s="8" t="e">
        <f ca="1">[1]!BexGetData("DP_1","003N8EMH8GTFRCSWKMPXRRL3Y","GSON1112160225")</f>
        <v>#NAME?</v>
      </c>
      <c r="F1733" s="4" t="e">
        <f ca="1">[1]!BexGetData("DP_1","003N8EMH8GTFRCSWKMPXRRRFI","GSON1112160225")</f>
        <v>#NAME?</v>
      </c>
      <c r="G1733" s="4" t="e">
        <f ca="1">[1]!BexGetData("DP_1","003N8EMH8GTFRCSWKMPXRRXR2","GSON1112160225")</f>
        <v>#NAME?</v>
      </c>
      <c r="H1733" s="4" t="e">
        <f ca="1">[1]!BexGetData("DP_1","003N8EMH8GTFRCSWKMPXRS42M","GSON1112160225")</f>
        <v>#NAME?</v>
      </c>
      <c r="I1733" s="4" t="e">
        <f ca="1">[1]!BexGetData("DP_1","003N8EMH8GTFRCSWKMPXRSAE6","GSON1112160225")</f>
        <v>#NAME?</v>
      </c>
      <c r="J1733" s="4" t="e">
        <f ca="1">[1]!BexGetData("DP_1","003N8EMH8GTFRCSWKMPXRSGPQ","GSON1112160225")</f>
        <v>#NAME?</v>
      </c>
      <c r="K1733" s="8" t="e">
        <f ca="1">[1]!BexGetData("DP_1","003N8EMH8GTFRIVNUPY288VJH","GSON1112160225")</f>
        <v>#NAME?</v>
      </c>
      <c r="L1733" s="8" t="e">
        <f ca="1">[1]!BexGetData("DP_1","003N8EMH8GTFRIVNUPY2891V1","GSON1112160225")</f>
        <v>#NAME?</v>
      </c>
      <c r="M1733" s="8" t="e">
        <f ca="1">[1]!BexGetData("DP_1","003N8EMH8GTFRIVOG7KG9IQXA","GSON1112160225")</f>
        <v>#NAME?</v>
      </c>
      <c r="N1733" s="8" t="e">
        <f ca="1">[1]!BexGetData("DP_1","003N8EMH8GTFRIVOG7KG9IX8U","GSON1112160225")</f>
        <v>#NAME?</v>
      </c>
      <c r="O1733" s="8" t="e">
        <f ca="1">[1]!BexGetData("DP_1","003N8EMH8GTFRIVOG7KG9J3KE","GSON1112160225")</f>
        <v>#NAME?</v>
      </c>
      <c r="P1733" s="8" t="e">
        <f ca="1">[1]!BexGetData("DP_1","003N8EMH8GTFRIVOG7KG9J9VY","GSON1112160225")</f>
        <v>#NAME?</v>
      </c>
      <c r="Q1733" s="4" t="e">
        <f ca="1">[1]!BexGetData("DP_1","00O2TNJGODT0G5Z4TTKYMM5MT","GSON1112160225")</f>
        <v>#NAME?</v>
      </c>
      <c r="R1733" s="4" t="e">
        <f ca="1">[1]!BexGetData("DP_1","00O2TNJGODT0G5Z4TTKYMMBYD","GSON1112160225")</f>
        <v>#NAME?</v>
      </c>
      <c r="S1733" s="4" t="e">
        <f ca="1">[1]!BexGetData("DP_1","00O2TNJGODT0G5Z4TTKYMMI9X","GSON1112160225")</f>
        <v>#NAME?</v>
      </c>
      <c r="T1733" s="4" t="e">
        <f ca="1">[1]!BexGetData("DP_1","00O2TNJGODT0G5Z4TTKYMMOLH","GSON1112160225")</f>
        <v>#NAME?</v>
      </c>
      <c r="U1733" s="4" t="e">
        <f ca="1">[1]!BexGetData("DP_1","00O2TNJGODT0G5Z4TTKYMMUX1","GSON1112160225")</f>
        <v>#NAME?</v>
      </c>
      <c r="V1733" s="4" t="e">
        <f ca="1">[1]!BexGetData("DP_1","00O2TNJGODT0G5Z4TTKYMN18L","GSON1112160225")</f>
        <v>#NAME?</v>
      </c>
      <c r="W1733" s="4" t="e">
        <f ca="1">[1]!BexGetData("DP_1","00O2TNJGODT0G5Z4TTKYMN7K5","GSON1112160225")</f>
        <v>#NAME?</v>
      </c>
    </row>
    <row r="1734" spans="1:23" x14ac:dyDescent="0.2">
      <c r="A1734" s="16" t="s">
        <v>4396</v>
      </c>
      <c r="B1734" s="7" t="s">
        <v>4397</v>
      </c>
      <c r="C1734" s="3" t="e">
        <f ca="1">[1]!BexGetData("DP_1","003N8EMH8GTFRCSWKMPXRR8GU","GSON1112160230")</f>
        <v>#NAME?</v>
      </c>
      <c r="D1734" s="3" t="e">
        <f ca="1">[1]!BexGetData("DP_1","003N8EMH8GTFRCSWKMPXRRESE","GSON1112160230")</f>
        <v>#NAME?</v>
      </c>
      <c r="E1734" s="3" t="e">
        <f ca="1">[1]!BexGetData("DP_1","003N8EMH8GTFRCSWKMPXRRL3Y","GSON1112160230")</f>
        <v>#NAME?</v>
      </c>
      <c r="F1734" s="3" t="e">
        <f ca="1">[1]!BexGetData("DP_1","003N8EMH8GTFRCSWKMPXRRRFI","GSON1112160230")</f>
        <v>#NAME?</v>
      </c>
      <c r="G1734" s="3" t="e">
        <f ca="1">[1]!BexGetData("DP_1","003N8EMH8GTFRCSWKMPXRRXR2","GSON1112160230")</f>
        <v>#NAME?</v>
      </c>
      <c r="H1734" s="8" t="e">
        <f ca="1">[1]!BexGetData("DP_1","003N8EMH8GTFRCSWKMPXRS42M","GSON1112160230")</f>
        <v>#NAME?</v>
      </c>
      <c r="I1734" s="3" t="e">
        <f ca="1">[1]!BexGetData("DP_1","003N8EMH8GTFRCSWKMPXRSAE6","GSON1112160230")</f>
        <v>#NAME?</v>
      </c>
      <c r="J1734" s="4" t="e">
        <f ca="1">[1]!BexGetData("DP_1","003N8EMH8GTFRCSWKMPXRSGPQ","GSON1112160230")</f>
        <v>#NAME?</v>
      </c>
      <c r="K1734" s="3" t="e">
        <f ca="1">[1]!BexGetData("DP_1","003N8EMH8GTFRIVNUPY288VJH","GSON1112160230")</f>
        <v>#NAME?</v>
      </c>
      <c r="L1734" s="3" t="e">
        <f ca="1">[1]!BexGetData("DP_1","003N8EMH8GTFRIVNUPY2891V1","GSON1112160230")</f>
        <v>#NAME?</v>
      </c>
      <c r="M1734" s="8" t="e">
        <f ca="1">[1]!BexGetData("DP_1","003N8EMH8GTFRIVOG7KG9IQXA","GSON1112160230")</f>
        <v>#NAME?</v>
      </c>
      <c r="N1734" s="3" t="e">
        <f ca="1">[1]!BexGetData("DP_1","003N8EMH8GTFRIVOG7KG9IX8U","GSON1112160230")</f>
        <v>#NAME?</v>
      </c>
      <c r="O1734" s="8" t="e">
        <f ca="1">[1]!BexGetData("DP_1","003N8EMH8GTFRIVOG7KG9J3KE","GSON1112160230")</f>
        <v>#NAME?</v>
      </c>
      <c r="P1734" s="3" t="e">
        <f ca="1">[1]!BexGetData("DP_1","003N8EMH8GTFRIVOG7KG9J9VY","GSON1112160230")</f>
        <v>#NAME?</v>
      </c>
      <c r="Q1734" s="4" t="e">
        <f ca="1">[1]!BexGetData("DP_1","00O2TNJGODT0G5Z4TTKYMM5MT","GSON1112160230")</f>
        <v>#NAME?</v>
      </c>
      <c r="R1734" s="3" t="e">
        <f ca="1">[1]!BexGetData("DP_1","00O2TNJGODT0G5Z4TTKYMMBYD","GSON1112160230")</f>
        <v>#NAME?</v>
      </c>
      <c r="S1734" s="3" t="e">
        <f ca="1">[1]!BexGetData("DP_1","00O2TNJGODT0G5Z4TTKYMMI9X","GSON1112160230")</f>
        <v>#NAME?</v>
      </c>
      <c r="T1734" s="8" t="e">
        <f ca="1">[1]!BexGetData("DP_1","00O2TNJGODT0G5Z4TTKYMMOLH","GSON1112160230")</f>
        <v>#NAME?</v>
      </c>
      <c r="U1734" s="3" t="e">
        <f ca="1">[1]!BexGetData("DP_1","00O2TNJGODT0G5Z4TTKYMMUX1","GSON1112160230")</f>
        <v>#NAME?</v>
      </c>
      <c r="V1734" s="8" t="e">
        <f ca="1">[1]!BexGetData("DP_1","00O2TNJGODT0G5Z4TTKYMN18L","GSON1112160230")</f>
        <v>#NAME?</v>
      </c>
      <c r="W1734" s="3" t="e">
        <f ca="1">[1]!BexGetData("DP_1","00O2TNJGODT0G5Z4TTKYMN7K5","GSON1112160230")</f>
        <v>#NAME?</v>
      </c>
    </row>
    <row r="1735" spans="1:23" x14ac:dyDescent="0.2">
      <c r="A1735" s="16" t="s">
        <v>4398</v>
      </c>
      <c r="B1735" s="7" t="s">
        <v>4399</v>
      </c>
      <c r="C1735" s="3" t="e">
        <f ca="1">[1]!BexGetData("DP_1","003N8EMH8GTFRCSWKMPXRR8GU","GSON1112160231")</f>
        <v>#NAME?</v>
      </c>
      <c r="D1735" s="3" t="e">
        <f ca="1">[1]!BexGetData("DP_1","003N8EMH8GTFRCSWKMPXRRESE","GSON1112160231")</f>
        <v>#NAME?</v>
      </c>
      <c r="E1735" s="8" t="e">
        <f ca="1">[1]!BexGetData("DP_1","003N8EMH8GTFRCSWKMPXRRL3Y","GSON1112160231")</f>
        <v>#NAME?</v>
      </c>
      <c r="F1735" s="4" t="e">
        <f ca="1">[1]!BexGetData("DP_1","003N8EMH8GTFRCSWKMPXRRRFI","GSON1112160231")</f>
        <v>#NAME?</v>
      </c>
      <c r="G1735" s="4" t="e">
        <f ca="1">[1]!BexGetData("DP_1","003N8EMH8GTFRCSWKMPXRRXR2","GSON1112160231")</f>
        <v>#NAME?</v>
      </c>
      <c r="H1735" s="4" t="e">
        <f ca="1">[1]!BexGetData("DP_1","003N8EMH8GTFRCSWKMPXRS42M","GSON1112160231")</f>
        <v>#NAME?</v>
      </c>
      <c r="I1735" s="4" t="e">
        <f ca="1">[1]!BexGetData("DP_1","003N8EMH8GTFRCSWKMPXRSAE6","GSON1112160231")</f>
        <v>#NAME?</v>
      </c>
      <c r="J1735" s="4" t="e">
        <f ca="1">[1]!BexGetData("DP_1","003N8EMH8GTFRCSWKMPXRSGPQ","GSON1112160231")</f>
        <v>#NAME?</v>
      </c>
      <c r="K1735" s="8" t="e">
        <f ca="1">[1]!BexGetData("DP_1","003N8EMH8GTFRIVNUPY288VJH","GSON1112160231")</f>
        <v>#NAME?</v>
      </c>
      <c r="L1735" s="8" t="e">
        <f ca="1">[1]!BexGetData("DP_1","003N8EMH8GTFRIVNUPY2891V1","GSON1112160231")</f>
        <v>#NAME?</v>
      </c>
      <c r="M1735" s="8" t="e">
        <f ca="1">[1]!BexGetData("DP_1","003N8EMH8GTFRIVOG7KG9IQXA","GSON1112160231")</f>
        <v>#NAME?</v>
      </c>
      <c r="N1735" s="8" t="e">
        <f ca="1">[1]!BexGetData("DP_1","003N8EMH8GTFRIVOG7KG9IX8U","GSON1112160231")</f>
        <v>#NAME?</v>
      </c>
      <c r="O1735" s="8" t="e">
        <f ca="1">[1]!BexGetData("DP_1","003N8EMH8GTFRIVOG7KG9J3KE","GSON1112160231")</f>
        <v>#NAME?</v>
      </c>
      <c r="P1735" s="8" t="e">
        <f ca="1">[1]!BexGetData("DP_1","003N8EMH8GTFRIVOG7KG9J9VY","GSON1112160231")</f>
        <v>#NAME?</v>
      </c>
      <c r="Q1735" s="4" t="e">
        <f ca="1">[1]!BexGetData("DP_1","00O2TNJGODT0G5Z4TTKYMM5MT","GSON1112160231")</f>
        <v>#NAME?</v>
      </c>
      <c r="R1735" s="4" t="e">
        <f ca="1">[1]!BexGetData("DP_1","00O2TNJGODT0G5Z4TTKYMMBYD","GSON1112160231")</f>
        <v>#NAME?</v>
      </c>
      <c r="S1735" s="4" t="e">
        <f ca="1">[1]!BexGetData("DP_1","00O2TNJGODT0G5Z4TTKYMMI9X","GSON1112160231")</f>
        <v>#NAME?</v>
      </c>
      <c r="T1735" s="4" t="e">
        <f ca="1">[1]!BexGetData("DP_1","00O2TNJGODT0G5Z4TTKYMMOLH","GSON1112160231")</f>
        <v>#NAME?</v>
      </c>
      <c r="U1735" s="4" t="e">
        <f ca="1">[1]!BexGetData("DP_1","00O2TNJGODT0G5Z4TTKYMMUX1","GSON1112160231")</f>
        <v>#NAME?</v>
      </c>
      <c r="V1735" s="4" t="e">
        <f ca="1">[1]!BexGetData("DP_1","00O2TNJGODT0G5Z4TTKYMN18L","GSON1112160231")</f>
        <v>#NAME?</v>
      </c>
      <c r="W1735" s="4" t="e">
        <f ca="1">[1]!BexGetData("DP_1","00O2TNJGODT0G5Z4TTKYMN7K5","GSON1112160231")</f>
        <v>#NAME?</v>
      </c>
    </row>
    <row r="1736" spans="1:23" x14ac:dyDescent="0.2">
      <c r="A1736" s="16" t="s">
        <v>4400</v>
      </c>
      <c r="B1736" s="7" t="s">
        <v>4401</v>
      </c>
      <c r="C1736" s="3" t="e">
        <f ca="1">[1]!BexGetData("DP_1","003N8EMH8GTFRCSWKMPXRR8GU","GSON1112160233")</f>
        <v>#NAME?</v>
      </c>
      <c r="D1736" s="3" t="e">
        <f ca="1">[1]!BexGetData("DP_1","003N8EMH8GTFRCSWKMPXRRESE","GSON1112160233")</f>
        <v>#NAME?</v>
      </c>
      <c r="E1736" s="8" t="e">
        <f ca="1">[1]!BexGetData("DP_1","003N8EMH8GTFRCSWKMPXRRL3Y","GSON1112160233")</f>
        <v>#NAME?</v>
      </c>
      <c r="F1736" s="4" t="e">
        <f ca="1">[1]!BexGetData("DP_1","003N8EMH8GTFRCSWKMPXRRRFI","GSON1112160233")</f>
        <v>#NAME?</v>
      </c>
      <c r="G1736" s="4" t="e">
        <f ca="1">[1]!BexGetData("DP_1","003N8EMH8GTFRCSWKMPXRRXR2","GSON1112160233")</f>
        <v>#NAME?</v>
      </c>
      <c r="H1736" s="4" t="e">
        <f ca="1">[1]!BexGetData("DP_1","003N8EMH8GTFRCSWKMPXRS42M","GSON1112160233")</f>
        <v>#NAME?</v>
      </c>
      <c r="I1736" s="4" t="e">
        <f ca="1">[1]!BexGetData("DP_1","003N8EMH8GTFRCSWKMPXRSAE6","GSON1112160233")</f>
        <v>#NAME?</v>
      </c>
      <c r="J1736" s="4" t="e">
        <f ca="1">[1]!BexGetData("DP_1","003N8EMH8GTFRCSWKMPXRSGPQ","GSON1112160233")</f>
        <v>#NAME?</v>
      </c>
      <c r="K1736" s="8" t="e">
        <f ca="1">[1]!BexGetData("DP_1","003N8EMH8GTFRIVNUPY288VJH","GSON1112160233")</f>
        <v>#NAME?</v>
      </c>
      <c r="L1736" s="8" t="e">
        <f ca="1">[1]!BexGetData("DP_1","003N8EMH8GTFRIVNUPY2891V1","GSON1112160233")</f>
        <v>#NAME?</v>
      </c>
      <c r="M1736" s="8" t="e">
        <f ca="1">[1]!BexGetData("DP_1","003N8EMH8GTFRIVOG7KG9IQXA","GSON1112160233")</f>
        <v>#NAME?</v>
      </c>
      <c r="N1736" s="8" t="e">
        <f ca="1">[1]!BexGetData("DP_1","003N8EMH8GTFRIVOG7KG9IX8U","GSON1112160233")</f>
        <v>#NAME?</v>
      </c>
      <c r="O1736" s="8" t="e">
        <f ca="1">[1]!BexGetData("DP_1","003N8EMH8GTFRIVOG7KG9J3KE","GSON1112160233")</f>
        <v>#NAME?</v>
      </c>
      <c r="P1736" s="8" t="e">
        <f ca="1">[1]!BexGetData("DP_1","003N8EMH8GTFRIVOG7KG9J9VY","GSON1112160233")</f>
        <v>#NAME?</v>
      </c>
      <c r="Q1736" s="4" t="e">
        <f ca="1">[1]!BexGetData("DP_1","00O2TNJGODT0G5Z4TTKYMM5MT","GSON1112160233")</f>
        <v>#NAME?</v>
      </c>
      <c r="R1736" s="4" t="e">
        <f ca="1">[1]!BexGetData("DP_1","00O2TNJGODT0G5Z4TTKYMMBYD","GSON1112160233")</f>
        <v>#NAME?</v>
      </c>
      <c r="S1736" s="4" t="e">
        <f ca="1">[1]!BexGetData("DP_1","00O2TNJGODT0G5Z4TTKYMMI9X","GSON1112160233")</f>
        <v>#NAME?</v>
      </c>
      <c r="T1736" s="4" t="e">
        <f ca="1">[1]!BexGetData("DP_1","00O2TNJGODT0G5Z4TTKYMMOLH","GSON1112160233")</f>
        <v>#NAME?</v>
      </c>
      <c r="U1736" s="4" t="e">
        <f ca="1">[1]!BexGetData("DP_1","00O2TNJGODT0G5Z4TTKYMMUX1","GSON1112160233")</f>
        <v>#NAME?</v>
      </c>
      <c r="V1736" s="4" t="e">
        <f ca="1">[1]!BexGetData("DP_1","00O2TNJGODT0G5Z4TTKYMN18L","GSON1112160233")</f>
        <v>#NAME?</v>
      </c>
      <c r="W1736" s="4" t="e">
        <f ca="1">[1]!BexGetData("DP_1","00O2TNJGODT0G5Z4TTKYMN7K5","GSON1112160233")</f>
        <v>#NAME?</v>
      </c>
    </row>
    <row r="1737" spans="1:23" x14ac:dyDescent="0.2">
      <c r="A1737" s="16" t="s">
        <v>4402</v>
      </c>
      <c r="B1737" s="7" t="s">
        <v>4403</v>
      </c>
      <c r="C1737" s="3" t="e">
        <f ca="1">[1]!BexGetData("DP_1","003N8EMH8GTFRCSWKMPXRR8GU","GSON1112160234")</f>
        <v>#NAME?</v>
      </c>
      <c r="D1737" s="3" t="e">
        <f ca="1">[1]!BexGetData("DP_1","003N8EMH8GTFRCSWKMPXRRESE","GSON1112160234")</f>
        <v>#NAME?</v>
      </c>
      <c r="E1737" s="8" t="e">
        <f ca="1">[1]!BexGetData("DP_1","003N8EMH8GTFRCSWKMPXRRL3Y","GSON1112160234")</f>
        <v>#NAME?</v>
      </c>
      <c r="F1737" s="4" t="e">
        <f ca="1">[1]!BexGetData("DP_1","003N8EMH8GTFRCSWKMPXRRRFI","GSON1112160234")</f>
        <v>#NAME?</v>
      </c>
      <c r="G1737" s="4" t="e">
        <f ca="1">[1]!BexGetData("DP_1","003N8EMH8GTFRCSWKMPXRRXR2","GSON1112160234")</f>
        <v>#NAME?</v>
      </c>
      <c r="H1737" s="4" t="e">
        <f ca="1">[1]!BexGetData("DP_1","003N8EMH8GTFRCSWKMPXRS42M","GSON1112160234")</f>
        <v>#NAME?</v>
      </c>
      <c r="I1737" s="4" t="e">
        <f ca="1">[1]!BexGetData("DP_1","003N8EMH8GTFRCSWKMPXRSAE6","GSON1112160234")</f>
        <v>#NAME?</v>
      </c>
      <c r="J1737" s="4" t="e">
        <f ca="1">[1]!BexGetData("DP_1","003N8EMH8GTFRCSWKMPXRSGPQ","GSON1112160234")</f>
        <v>#NAME?</v>
      </c>
      <c r="K1737" s="8" t="e">
        <f ca="1">[1]!BexGetData("DP_1","003N8EMH8GTFRIVNUPY288VJH","GSON1112160234")</f>
        <v>#NAME?</v>
      </c>
      <c r="L1737" s="8" t="e">
        <f ca="1">[1]!BexGetData("DP_1","003N8EMH8GTFRIVNUPY2891V1","GSON1112160234")</f>
        <v>#NAME?</v>
      </c>
      <c r="M1737" s="8" t="e">
        <f ca="1">[1]!BexGetData("DP_1","003N8EMH8GTFRIVOG7KG9IQXA","GSON1112160234")</f>
        <v>#NAME?</v>
      </c>
      <c r="N1737" s="8" t="e">
        <f ca="1">[1]!BexGetData("DP_1","003N8EMH8GTFRIVOG7KG9IX8U","GSON1112160234")</f>
        <v>#NAME?</v>
      </c>
      <c r="O1737" s="8" t="e">
        <f ca="1">[1]!BexGetData("DP_1","003N8EMH8GTFRIVOG7KG9J3KE","GSON1112160234")</f>
        <v>#NAME?</v>
      </c>
      <c r="P1737" s="8" t="e">
        <f ca="1">[1]!BexGetData("DP_1","003N8EMH8GTFRIVOG7KG9J9VY","GSON1112160234")</f>
        <v>#NAME?</v>
      </c>
      <c r="Q1737" s="4" t="e">
        <f ca="1">[1]!BexGetData("DP_1","00O2TNJGODT0G5Z4TTKYMM5MT","GSON1112160234")</f>
        <v>#NAME?</v>
      </c>
      <c r="R1737" s="4" t="e">
        <f ca="1">[1]!BexGetData("DP_1","00O2TNJGODT0G5Z4TTKYMMBYD","GSON1112160234")</f>
        <v>#NAME?</v>
      </c>
      <c r="S1737" s="4" t="e">
        <f ca="1">[1]!BexGetData("DP_1","00O2TNJGODT0G5Z4TTKYMMI9X","GSON1112160234")</f>
        <v>#NAME?</v>
      </c>
      <c r="T1737" s="4" t="e">
        <f ca="1">[1]!BexGetData("DP_1","00O2TNJGODT0G5Z4TTKYMMOLH","GSON1112160234")</f>
        <v>#NAME?</v>
      </c>
      <c r="U1737" s="4" t="e">
        <f ca="1">[1]!BexGetData("DP_1","00O2TNJGODT0G5Z4TTKYMMUX1","GSON1112160234")</f>
        <v>#NAME?</v>
      </c>
      <c r="V1737" s="4" t="e">
        <f ca="1">[1]!BexGetData("DP_1","00O2TNJGODT0G5Z4TTKYMN18L","GSON1112160234")</f>
        <v>#NAME?</v>
      </c>
      <c r="W1737" s="4" t="e">
        <f ca="1">[1]!BexGetData("DP_1","00O2TNJGODT0G5Z4TTKYMN7K5","GSON1112160234")</f>
        <v>#NAME?</v>
      </c>
    </row>
    <row r="1738" spans="1:23" x14ac:dyDescent="0.2">
      <c r="A1738" s="16" t="s">
        <v>4404</v>
      </c>
      <c r="B1738" s="7" t="s">
        <v>4405</v>
      </c>
      <c r="C1738" s="3" t="e">
        <f ca="1">[1]!BexGetData("DP_1","003N8EMH8GTFRCSWKMPXRR8GU","GSON1112160235")</f>
        <v>#NAME?</v>
      </c>
      <c r="D1738" s="3" t="e">
        <f ca="1">[1]!BexGetData("DP_1","003N8EMH8GTFRCSWKMPXRRESE","GSON1112160235")</f>
        <v>#NAME?</v>
      </c>
      <c r="E1738" s="8" t="e">
        <f ca="1">[1]!BexGetData("DP_1","003N8EMH8GTFRCSWKMPXRRL3Y","GSON1112160235")</f>
        <v>#NAME?</v>
      </c>
      <c r="F1738" s="4" t="e">
        <f ca="1">[1]!BexGetData("DP_1","003N8EMH8GTFRCSWKMPXRRRFI","GSON1112160235")</f>
        <v>#NAME?</v>
      </c>
      <c r="G1738" s="4" t="e">
        <f ca="1">[1]!BexGetData("DP_1","003N8EMH8GTFRCSWKMPXRRXR2","GSON1112160235")</f>
        <v>#NAME?</v>
      </c>
      <c r="H1738" s="4" t="e">
        <f ca="1">[1]!BexGetData("DP_1","003N8EMH8GTFRCSWKMPXRS42M","GSON1112160235")</f>
        <v>#NAME?</v>
      </c>
      <c r="I1738" s="4" t="e">
        <f ca="1">[1]!BexGetData("DP_1","003N8EMH8GTFRCSWKMPXRSAE6","GSON1112160235")</f>
        <v>#NAME?</v>
      </c>
      <c r="J1738" s="4" t="e">
        <f ca="1">[1]!BexGetData("DP_1","003N8EMH8GTFRCSWKMPXRSGPQ","GSON1112160235")</f>
        <v>#NAME?</v>
      </c>
      <c r="K1738" s="8" t="e">
        <f ca="1">[1]!BexGetData("DP_1","003N8EMH8GTFRIVNUPY288VJH","GSON1112160235")</f>
        <v>#NAME?</v>
      </c>
      <c r="L1738" s="8" t="e">
        <f ca="1">[1]!BexGetData("DP_1","003N8EMH8GTFRIVNUPY2891V1","GSON1112160235")</f>
        <v>#NAME?</v>
      </c>
      <c r="M1738" s="8" t="e">
        <f ca="1">[1]!BexGetData("DP_1","003N8EMH8GTFRIVOG7KG9IQXA","GSON1112160235")</f>
        <v>#NAME?</v>
      </c>
      <c r="N1738" s="8" t="e">
        <f ca="1">[1]!BexGetData("DP_1","003N8EMH8GTFRIVOG7KG9IX8U","GSON1112160235")</f>
        <v>#NAME?</v>
      </c>
      <c r="O1738" s="8" t="e">
        <f ca="1">[1]!BexGetData("DP_1","003N8EMH8GTFRIVOG7KG9J3KE","GSON1112160235")</f>
        <v>#NAME?</v>
      </c>
      <c r="P1738" s="8" t="e">
        <f ca="1">[1]!BexGetData("DP_1","003N8EMH8GTFRIVOG7KG9J9VY","GSON1112160235")</f>
        <v>#NAME?</v>
      </c>
      <c r="Q1738" s="4" t="e">
        <f ca="1">[1]!BexGetData("DP_1","00O2TNJGODT0G5Z4TTKYMM5MT","GSON1112160235")</f>
        <v>#NAME?</v>
      </c>
      <c r="R1738" s="4" t="e">
        <f ca="1">[1]!BexGetData("DP_1","00O2TNJGODT0G5Z4TTKYMMBYD","GSON1112160235")</f>
        <v>#NAME?</v>
      </c>
      <c r="S1738" s="4" t="e">
        <f ca="1">[1]!BexGetData("DP_1","00O2TNJGODT0G5Z4TTKYMMI9X","GSON1112160235")</f>
        <v>#NAME?</v>
      </c>
      <c r="T1738" s="4" t="e">
        <f ca="1">[1]!BexGetData("DP_1","00O2TNJGODT0G5Z4TTKYMMOLH","GSON1112160235")</f>
        <v>#NAME?</v>
      </c>
      <c r="U1738" s="4" t="e">
        <f ca="1">[1]!BexGetData("DP_1","00O2TNJGODT0G5Z4TTKYMMUX1","GSON1112160235")</f>
        <v>#NAME?</v>
      </c>
      <c r="V1738" s="4" t="e">
        <f ca="1">[1]!BexGetData("DP_1","00O2TNJGODT0G5Z4TTKYMN18L","GSON1112160235")</f>
        <v>#NAME?</v>
      </c>
      <c r="W1738" s="4" t="e">
        <f ca="1">[1]!BexGetData("DP_1","00O2TNJGODT0G5Z4TTKYMN7K5","GSON1112160235")</f>
        <v>#NAME?</v>
      </c>
    </row>
    <row r="1739" spans="1:23" x14ac:dyDescent="0.2">
      <c r="A1739" s="16" t="s">
        <v>4406</v>
      </c>
      <c r="B1739" s="7" t="s">
        <v>4407</v>
      </c>
      <c r="C1739" s="8" t="e">
        <f ca="1">[1]!BexGetData("DP_1","003N8EMH8GTFRCSWKMPXRR8GU","GSON1112160240")</f>
        <v>#NAME?</v>
      </c>
      <c r="D1739" s="8" t="e">
        <f ca="1">[1]!BexGetData("DP_1","003N8EMH8GTFRCSWKMPXRRESE","GSON1112160240")</f>
        <v>#NAME?</v>
      </c>
      <c r="E1739" s="3" t="e">
        <f ca="1">[1]!BexGetData("DP_1","003N8EMH8GTFRCSWKMPXRRL3Y","GSON1112160240")</f>
        <v>#NAME?</v>
      </c>
      <c r="F1739" s="3" t="e">
        <f ca="1">[1]!BexGetData("DP_1","003N8EMH8GTFRCSWKMPXRRRFI","GSON1112160240")</f>
        <v>#NAME?</v>
      </c>
      <c r="G1739" s="3" t="e">
        <f ca="1">[1]!BexGetData("DP_1","003N8EMH8GTFRCSWKMPXRRXR2","GSON1112160240")</f>
        <v>#NAME?</v>
      </c>
      <c r="H1739" s="8" t="e">
        <f ca="1">[1]!BexGetData("DP_1","003N8EMH8GTFRCSWKMPXRS42M","GSON1112160240")</f>
        <v>#NAME?</v>
      </c>
      <c r="I1739" s="3" t="e">
        <f ca="1">[1]!BexGetData("DP_1","003N8EMH8GTFRCSWKMPXRSAE6","GSON1112160240")</f>
        <v>#NAME?</v>
      </c>
      <c r="J1739" s="4" t="e">
        <f ca="1">[1]!BexGetData("DP_1","003N8EMH8GTFRCSWKMPXRSGPQ","GSON1112160240")</f>
        <v>#NAME?</v>
      </c>
      <c r="K1739" s="8" t="e">
        <f ca="1">[1]!BexGetData("DP_1","003N8EMH8GTFRIVNUPY288VJH","GSON1112160240")</f>
        <v>#NAME?</v>
      </c>
      <c r="L1739" s="8" t="e">
        <f ca="1">[1]!BexGetData("DP_1","003N8EMH8GTFRIVNUPY2891V1","GSON1112160240")</f>
        <v>#NAME?</v>
      </c>
      <c r="M1739" s="8" t="e">
        <f ca="1">[1]!BexGetData("DP_1","003N8EMH8GTFRIVOG7KG9IQXA","GSON1112160240")</f>
        <v>#NAME?</v>
      </c>
      <c r="N1739" s="8" t="e">
        <f ca="1">[1]!BexGetData("DP_1","003N8EMH8GTFRIVOG7KG9IX8U","GSON1112160240")</f>
        <v>#NAME?</v>
      </c>
      <c r="O1739" s="8" t="e">
        <f ca="1">[1]!BexGetData("DP_1","003N8EMH8GTFRIVOG7KG9J3KE","GSON1112160240")</f>
        <v>#NAME?</v>
      </c>
      <c r="P1739" s="8" t="e">
        <f ca="1">[1]!BexGetData("DP_1","003N8EMH8GTFRIVOG7KG9J9VY","GSON1112160240")</f>
        <v>#NAME?</v>
      </c>
      <c r="Q1739" s="4" t="e">
        <f ca="1">[1]!BexGetData("DP_1","00O2TNJGODT0G5Z4TTKYMM5MT","GSON1112160240")</f>
        <v>#NAME?</v>
      </c>
      <c r="R1739" s="3" t="e">
        <f ca="1">[1]!BexGetData("DP_1","00O2TNJGODT0G5Z4TTKYMMBYD","GSON1112160240")</f>
        <v>#NAME?</v>
      </c>
      <c r="S1739" s="3" t="e">
        <f ca="1">[1]!BexGetData("DP_1","00O2TNJGODT0G5Z4TTKYMMI9X","GSON1112160240")</f>
        <v>#NAME?</v>
      </c>
      <c r="T1739" s="8" t="e">
        <f ca="1">[1]!BexGetData("DP_1","00O2TNJGODT0G5Z4TTKYMMOLH","GSON1112160240")</f>
        <v>#NAME?</v>
      </c>
      <c r="U1739" s="3" t="e">
        <f ca="1">[1]!BexGetData("DP_1","00O2TNJGODT0G5Z4TTKYMMUX1","GSON1112160240")</f>
        <v>#NAME?</v>
      </c>
      <c r="V1739" s="8" t="e">
        <f ca="1">[1]!BexGetData("DP_1","00O2TNJGODT0G5Z4TTKYMN18L","GSON1112160240")</f>
        <v>#NAME?</v>
      </c>
      <c r="W1739" s="3" t="e">
        <f ca="1">[1]!BexGetData("DP_1","00O2TNJGODT0G5Z4TTKYMN7K5","GSON1112160240")</f>
        <v>#NAME?</v>
      </c>
    </row>
    <row r="1740" spans="1:23" x14ac:dyDescent="0.2">
      <c r="A1740" s="16" t="s">
        <v>4408</v>
      </c>
      <c r="B1740" s="7" t="s">
        <v>4409</v>
      </c>
      <c r="C1740" s="3" t="e">
        <f ca="1">[1]!BexGetData("DP_1","003N8EMH8GTFRCSWKMPXRR8GU","GSON1112160260")</f>
        <v>#NAME?</v>
      </c>
      <c r="D1740" s="3" t="e">
        <f ca="1">[1]!BexGetData("DP_1","003N8EMH8GTFRCSWKMPXRRESE","GSON1112160260")</f>
        <v>#NAME?</v>
      </c>
      <c r="E1740" s="8" t="e">
        <f ca="1">[1]!BexGetData("DP_1","003N8EMH8GTFRCSWKMPXRRL3Y","GSON1112160260")</f>
        <v>#NAME?</v>
      </c>
      <c r="F1740" s="3" t="e">
        <f ca="1">[1]!BexGetData("DP_1","003N8EMH8GTFRCSWKMPXRRRFI","GSON1112160260")</f>
        <v>#NAME?</v>
      </c>
      <c r="G1740" s="3" t="e">
        <f ca="1">[1]!BexGetData("DP_1","003N8EMH8GTFRCSWKMPXRRXR2","GSON1112160260")</f>
        <v>#NAME?</v>
      </c>
      <c r="H1740" s="8" t="e">
        <f ca="1">[1]!BexGetData("DP_1","003N8EMH8GTFRCSWKMPXRS42M","GSON1112160260")</f>
        <v>#NAME?</v>
      </c>
      <c r="I1740" s="3" t="e">
        <f ca="1">[1]!BexGetData("DP_1","003N8EMH8GTFRCSWKMPXRSAE6","GSON1112160260")</f>
        <v>#NAME?</v>
      </c>
      <c r="J1740" s="4" t="e">
        <f ca="1">[1]!BexGetData("DP_1","003N8EMH8GTFRCSWKMPXRSGPQ","GSON1112160260")</f>
        <v>#NAME?</v>
      </c>
      <c r="K1740" s="3" t="e">
        <f ca="1">[1]!BexGetData("DP_1","003N8EMH8GTFRIVNUPY288VJH","GSON1112160260")</f>
        <v>#NAME?</v>
      </c>
      <c r="L1740" s="3" t="e">
        <f ca="1">[1]!BexGetData("DP_1","003N8EMH8GTFRIVNUPY2891V1","GSON1112160260")</f>
        <v>#NAME?</v>
      </c>
      <c r="M1740" s="3" t="e">
        <f ca="1">[1]!BexGetData("DP_1","003N8EMH8GTFRIVOG7KG9IQXA","GSON1112160260")</f>
        <v>#NAME?</v>
      </c>
      <c r="N1740" s="8" t="e">
        <f ca="1">[1]!BexGetData("DP_1","003N8EMH8GTFRIVOG7KG9IX8U","GSON1112160260")</f>
        <v>#NAME?</v>
      </c>
      <c r="O1740" s="3" t="e">
        <f ca="1">[1]!BexGetData("DP_1","003N8EMH8GTFRIVOG7KG9J3KE","GSON1112160260")</f>
        <v>#NAME?</v>
      </c>
      <c r="P1740" s="8" t="e">
        <f ca="1">[1]!BexGetData("DP_1","003N8EMH8GTFRIVOG7KG9J9VY","GSON1112160260")</f>
        <v>#NAME?</v>
      </c>
      <c r="Q1740" s="4" t="e">
        <f ca="1">[1]!BexGetData("DP_1","00O2TNJGODT0G5Z4TTKYMM5MT","GSON1112160260")</f>
        <v>#NAME?</v>
      </c>
      <c r="R1740" s="3" t="e">
        <f ca="1">[1]!BexGetData("DP_1","00O2TNJGODT0G5Z4TTKYMMBYD","GSON1112160260")</f>
        <v>#NAME?</v>
      </c>
      <c r="S1740" s="3" t="e">
        <f ca="1">[1]!BexGetData("DP_1","00O2TNJGODT0G5Z4TTKYMMI9X","GSON1112160260")</f>
        <v>#NAME?</v>
      </c>
      <c r="T1740" s="8" t="e">
        <f ca="1">[1]!BexGetData("DP_1","00O2TNJGODT0G5Z4TTKYMMOLH","GSON1112160260")</f>
        <v>#NAME?</v>
      </c>
      <c r="U1740" s="3" t="e">
        <f ca="1">[1]!BexGetData("DP_1","00O2TNJGODT0G5Z4TTKYMMUX1","GSON1112160260")</f>
        <v>#NAME?</v>
      </c>
      <c r="V1740" s="8" t="e">
        <f ca="1">[1]!BexGetData("DP_1","00O2TNJGODT0G5Z4TTKYMN18L","GSON1112160260")</f>
        <v>#NAME?</v>
      </c>
      <c r="W1740" s="3" t="e">
        <f ca="1">[1]!BexGetData("DP_1","00O2TNJGODT0G5Z4TTKYMN7K5","GSON1112160260")</f>
        <v>#NAME?</v>
      </c>
    </row>
    <row r="1741" spans="1:23" x14ac:dyDescent="0.2">
      <c r="A1741" s="16" t="s">
        <v>4410</v>
      </c>
      <c r="B1741" s="7" t="s">
        <v>4411</v>
      </c>
      <c r="C1741" s="3" t="e">
        <f ca="1">[1]!BexGetData("DP_1","003N8EMH8GTFRCSWKMPXRR8GU","GSON1112160263")</f>
        <v>#NAME?</v>
      </c>
      <c r="D1741" s="3" t="e">
        <f ca="1">[1]!BexGetData("DP_1","003N8EMH8GTFRCSWKMPXRRESE","GSON1112160263")</f>
        <v>#NAME?</v>
      </c>
      <c r="E1741" s="8" t="e">
        <f ca="1">[1]!BexGetData("DP_1","003N8EMH8GTFRCSWKMPXRRL3Y","GSON1112160263")</f>
        <v>#NAME?</v>
      </c>
      <c r="F1741" s="4" t="e">
        <f ca="1">[1]!BexGetData("DP_1","003N8EMH8GTFRCSWKMPXRRRFI","GSON1112160263")</f>
        <v>#NAME?</v>
      </c>
      <c r="G1741" s="4" t="e">
        <f ca="1">[1]!BexGetData("DP_1","003N8EMH8GTFRCSWKMPXRRXR2","GSON1112160263")</f>
        <v>#NAME?</v>
      </c>
      <c r="H1741" s="4" t="e">
        <f ca="1">[1]!BexGetData("DP_1","003N8EMH8GTFRCSWKMPXRS42M","GSON1112160263")</f>
        <v>#NAME?</v>
      </c>
      <c r="I1741" s="4" t="e">
        <f ca="1">[1]!BexGetData("DP_1","003N8EMH8GTFRCSWKMPXRSAE6","GSON1112160263")</f>
        <v>#NAME?</v>
      </c>
      <c r="J1741" s="4" t="e">
        <f ca="1">[1]!BexGetData("DP_1","003N8EMH8GTFRCSWKMPXRSGPQ","GSON1112160263")</f>
        <v>#NAME?</v>
      </c>
      <c r="K1741" s="8" t="e">
        <f ca="1">[1]!BexGetData("DP_1","003N8EMH8GTFRIVNUPY288VJH","GSON1112160263")</f>
        <v>#NAME?</v>
      </c>
      <c r="L1741" s="8" t="e">
        <f ca="1">[1]!BexGetData("DP_1","003N8EMH8GTFRIVNUPY2891V1","GSON1112160263")</f>
        <v>#NAME?</v>
      </c>
      <c r="M1741" s="8" t="e">
        <f ca="1">[1]!BexGetData("DP_1","003N8EMH8GTFRIVOG7KG9IQXA","GSON1112160263")</f>
        <v>#NAME?</v>
      </c>
      <c r="N1741" s="8" t="e">
        <f ca="1">[1]!BexGetData("DP_1","003N8EMH8GTFRIVOG7KG9IX8U","GSON1112160263")</f>
        <v>#NAME?</v>
      </c>
      <c r="O1741" s="8" t="e">
        <f ca="1">[1]!BexGetData("DP_1","003N8EMH8GTFRIVOG7KG9J3KE","GSON1112160263")</f>
        <v>#NAME?</v>
      </c>
      <c r="P1741" s="8" t="e">
        <f ca="1">[1]!BexGetData("DP_1","003N8EMH8GTFRIVOG7KG9J9VY","GSON1112160263")</f>
        <v>#NAME?</v>
      </c>
      <c r="Q1741" s="4" t="e">
        <f ca="1">[1]!BexGetData("DP_1","00O2TNJGODT0G5Z4TTKYMM5MT","GSON1112160263")</f>
        <v>#NAME?</v>
      </c>
      <c r="R1741" s="4" t="e">
        <f ca="1">[1]!BexGetData("DP_1","00O2TNJGODT0G5Z4TTKYMMBYD","GSON1112160263")</f>
        <v>#NAME?</v>
      </c>
      <c r="S1741" s="4" t="e">
        <f ca="1">[1]!BexGetData("DP_1","00O2TNJGODT0G5Z4TTKYMMI9X","GSON1112160263")</f>
        <v>#NAME?</v>
      </c>
      <c r="T1741" s="4" t="e">
        <f ca="1">[1]!BexGetData("DP_1","00O2TNJGODT0G5Z4TTKYMMOLH","GSON1112160263")</f>
        <v>#NAME?</v>
      </c>
      <c r="U1741" s="4" t="e">
        <f ca="1">[1]!BexGetData("DP_1","00O2TNJGODT0G5Z4TTKYMMUX1","GSON1112160263")</f>
        <v>#NAME?</v>
      </c>
      <c r="V1741" s="4" t="e">
        <f ca="1">[1]!BexGetData("DP_1","00O2TNJGODT0G5Z4TTKYMN18L","GSON1112160263")</f>
        <v>#NAME?</v>
      </c>
      <c r="W1741" s="4" t="e">
        <f ca="1">[1]!BexGetData("DP_1","00O2TNJGODT0G5Z4TTKYMN7K5","GSON1112160263")</f>
        <v>#NAME?</v>
      </c>
    </row>
    <row r="1742" spans="1:23" x14ac:dyDescent="0.2">
      <c r="A1742" s="16" t="s">
        <v>4412</v>
      </c>
      <c r="B1742" s="7" t="s">
        <v>4413</v>
      </c>
      <c r="C1742" s="3" t="e">
        <f ca="1">[1]!BexGetData("DP_1","003N8EMH8GTFRCSWKMPXRR8GU","GSON1112160265")</f>
        <v>#NAME?</v>
      </c>
      <c r="D1742" s="3" t="e">
        <f ca="1">[1]!BexGetData("DP_1","003N8EMH8GTFRCSWKMPXRRESE","GSON1112160265")</f>
        <v>#NAME?</v>
      </c>
      <c r="E1742" s="8" t="e">
        <f ca="1">[1]!BexGetData("DP_1","003N8EMH8GTFRCSWKMPXRRL3Y","GSON1112160265")</f>
        <v>#NAME?</v>
      </c>
      <c r="F1742" s="4" t="e">
        <f ca="1">[1]!BexGetData("DP_1","003N8EMH8GTFRCSWKMPXRRRFI","GSON1112160265")</f>
        <v>#NAME?</v>
      </c>
      <c r="G1742" s="4" t="e">
        <f ca="1">[1]!BexGetData("DP_1","003N8EMH8GTFRCSWKMPXRRXR2","GSON1112160265")</f>
        <v>#NAME?</v>
      </c>
      <c r="H1742" s="4" t="e">
        <f ca="1">[1]!BexGetData("DP_1","003N8EMH8GTFRCSWKMPXRS42M","GSON1112160265")</f>
        <v>#NAME?</v>
      </c>
      <c r="I1742" s="4" t="e">
        <f ca="1">[1]!BexGetData("DP_1","003N8EMH8GTFRCSWKMPXRSAE6","GSON1112160265")</f>
        <v>#NAME?</v>
      </c>
      <c r="J1742" s="4" t="e">
        <f ca="1">[1]!BexGetData("DP_1","003N8EMH8GTFRCSWKMPXRSGPQ","GSON1112160265")</f>
        <v>#NAME?</v>
      </c>
      <c r="K1742" s="8" t="e">
        <f ca="1">[1]!BexGetData("DP_1","003N8EMH8GTFRIVNUPY288VJH","GSON1112160265")</f>
        <v>#NAME?</v>
      </c>
      <c r="L1742" s="8" t="e">
        <f ca="1">[1]!BexGetData("DP_1","003N8EMH8GTFRIVNUPY2891V1","GSON1112160265")</f>
        <v>#NAME?</v>
      </c>
      <c r="M1742" s="8" t="e">
        <f ca="1">[1]!BexGetData("DP_1","003N8EMH8GTFRIVOG7KG9IQXA","GSON1112160265")</f>
        <v>#NAME?</v>
      </c>
      <c r="N1742" s="8" t="e">
        <f ca="1">[1]!BexGetData("DP_1","003N8EMH8GTFRIVOG7KG9IX8U","GSON1112160265")</f>
        <v>#NAME?</v>
      </c>
      <c r="O1742" s="8" t="e">
        <f ca="1">[1]!BexGetData("DP_1","003N8EMH8GTFRIVOG7KG9J3KE","GSON1112160265")</f>
        <v>#NAME?</v>
      </c>
      <c r="P1742" s="8" t="e">
        <f ca="1">[1]!BexGetData("DP_1","003N8EMH8GTFRIVOG7KG9J9VY","GSON1112160265")</f>
        <v>#NAME?</v>
      </c>
      <c r="Q1742" s="4" t="e">
        <f ca="1">[1]!BexGetData("DP_1","00O2TNJGODT0G5Z4TTKYMM5MT","GSON1112160265")</f>
        <v>#NAME?</v>
      </c>
      <c r="R1742" s="4" t="e">
        <f ca="1">[1]!BexGetData("DP_1","00O2TNJGODT0G5Z4TTKYMMBYD","GSON1112160265")</f>
        <v>#NAME?</v>
      </c>
      <c r="S1742" s="4" t="e">
        <f ca="1">[1]!BexGetData("DP_1","00O2TNJGODT0G5Z4TTKYMMI9X","GSON1112160265")</f>
        <v>#NAME?</v>
      </c>
      <c r="T1742" s="4" t="e">
        <f ca="1">[1]!BexGetData("DP_1","00O2TNJGODT0G5Z4TTKYMMOLH","GSON1112160265")</f>
        <v>#NAME?</v>
      </c>
      <c r="U1742" s="4" t="e">
        <f ca="1">[1]!BexGetData("DP_1","00O2TNJGODT0G5Z4TTKYMMUX1","GSON1112160265")</f>
        <v>#NAME?</v>
      </c>
      <c r="V1742" s="4" t="e">
        <f ca="1">[1]!BexGetData("DP_1","00O2TNJGODT0G5Z4TTKYMN18L","GSON1112160265")</f>
        <v>#NAME?</v>
      </c>
      <c r="W1742" s="4" t="e">
        <f ca="1">[1]!BexGetData("DP_1","00O2TNJGODT0G5Z4TTKYMN7K5","GSON1112160265")</f>
        <v>#NAME?</v>
      </c>
    </row>
    <row r="1743" spans="1:23" x14ac:dyDescent="0.2">
      <c r="A1743" s="16" t="s">
        <v>4414</v>
      </c>
      <c r="B1743" s="7" t="s">
        <v>4415</v>
      </c>
      <c r="C1743" s="8" t="e">
        <f ca="1">[1]!BexGetData("DP_1","003N8EMH8GTFRCSWKMPXRR8GU","GSON1112160270")</f>
        <v>#NAME?</v>
      </c>
      <c r="D1743" s="8" t="e">
        <f ca="1">[1]!BexGetData("DP_1","003N8EMH8GTFRCSWKMPXRRESE","GSON1112160270")</f>
        <v>#NAME?</v>
      </c>
      <c r="E1743" s="3" t="e">
        <f ca="1">[1]!BexGetData("DP_1","003N8EMH8GTFRCSWKMPXRRL3Y","GSON1112160270")</f>
        <v>#NAME?</v>
      </c>
      <c r="F1743" s="3" t="e">
        <f ca="1">[1]!BexGetData("DP_1","003N8EMH8GTFRCSWKMPXRRRFI","GSON1112160270")</f>
        <v>#NAME?</v>
      </c>
      <c r="G1743" s="3" t="e">
        <f ca="1">[1]!BexGetData("DP_1","003N8EMH8GTFRCSWKMPXRRXR2","GSON1112160270")</f>
        <v>#NAME?</v>
      </c>
      <c r="H1743" s="8" t="e">
        <f ca="1">[1]!BexGetData("DP_1","003N8EMH8GTFRCSWKMPXRS42M","GSON1112160270")</f>
        <v>#NAME?</v>
      </c>
      <c r="I1743" s="3" t="e">
        <f ca="1">[1]!BexGetData("DP_1","003N8EMH8GTFRCSWKMPXRSAE6","GSON1112160270")</f>
        <v>#NAME?</v>
      </c>
      <c r="J1743" s="4" t="e">
        <f ca="1">[1]!BexGetData("DP_1","003N8EMH8GTFRCSWKMPXRSGPQ","GSON1112160270")</f>
        <v>#NAME?</v>
      </c>
      <c r="K1743" s="8" t="e">
        <f ca="1">[1]!BexGetData("DP_1","003N8EMH8GTFRIVNUPY288VJH","GSON1112160270")</f>
        <v>#NAME?</v>
      </c>
      <c r="L1743" s="8" t="e">
        <f ca="1">[1]!BexGetData("DP_1","003N8EMH8GTFRIVNUPY2891V1","GSON1112160270")</f>
        <v>#NAME?</v>
      </c>
      <c r="M1743" s="8" t="e">
        <f ca="1">[1]!BexGetData("DP_1","003N8EMH8GTFRIVOG7KG9IQXA","GSON1112160270")</f>
        <v>#NAME?</v>
      </c>
      <c r="N1743" s="8" t="e">
        <f ca="1">[1]!BexGetData("DP_1","003N8EMH8GTFRIVOG7KG9IX8U","GSON1112160270")</f>
        <v>#NAME?</v>
      </c>
      <c r="O1743" s="8" t="e">
        <f ca="1">[1]!BexGetData("DP_1","003N8EMH8GTFRIVOG7KG9J3KE","GSON1112160270")</f>
        <v>#NAME?</v>
      </c>
      <c r="P1743" s="8" t="e">
        <f ca="1">[1]!BexGetData("DP_1","003N8EMH8GTFRIVOG7KG9J9VY","GSON1112160270")</f>
        <v>#NAME?</v>
      </c>
      <c r="Q1743" s="4" t="e">
        <f ca="1">[1]!BexGetData("DP_1","00O2TNJGODT0G5Z4TTKYMM5MT","GSON1112160270")</f>
        <v>#NAME?</v>
      </c>
      <c r="R1743" s="3" t="e">
        <f ca="1">[1]!BexGetData("DP_1","00O2TNJGODT0G5Z4TTKYMMBYD","GSON1112160270")</f>
        <v>#NAME?</v>
      </c>
      <c r="S1743" s="3" t="e">
        <f ca="1">[1]!BexGetData("DP_1","00O2TNJGODT0G5Z4TTKYMMI9X","GSON1112160270")</f>
        <v>#NAME?</v>
      </c>
      <c r="T1743" s="8" t="e">
        <f ca="1">[1]!BexGetData("DP_1","00O2TNJGODT0G5Z4TTKYMMOLH","GSON1112160270")</f>
        <v>#NAME?</v>
      </c>
      <c r="U1743" s="3" t="e">
        <f ca="1">[1]!BexGetData("DP_1","00O2TNJGODT0G5Z4TTKYMMUX1","GSON1112160270")</f>
        <v>#NAME?</v>
      </c>
      <c r="V1743" s="8" t="e">
        <f ca="1">[1]!BexGetData("DP_1","00O2TNJGODT0G5Z4TTKYMN18L","GSON1112160270")</f>
        <v>#NAME?</v>
      </c>
      <c r="W1743" s="3" t="e">
        <f ca="1">[1]!BexGetData("DP_1","00O2TNJGODT0G5Z4TTKYMN7K5","GSON1112160270")</f>
        <v>#NAME?</v>
      </c>
    </row>
    <row r="1744" spans="1:23" x14ac:dyDescent="0.2">
      <c r="A1744" s="16" t="s">
        <v>4416</v>
      </c>
      <c r="B1744" s="7" t="s">
        <v>4417</v>
      </c>
      <c r="C1744" s="3" t="e">
        <f ca="1">[1]!BexGetData("DP_1","003N8EMH8GTFRCSWKMPXRR8GU","GSON1112160280")</f>
        <v>#NAME?</v>
      </c>
      <c r="D1744" s="3" t="e">
        <f ca="1">[1]!BexGetData("DP_1","003N8EMH8GTFRCSWKMPXRRESE","GSON1112160280")</f>
        <v>#NAME?</v>
      </c>
      <c r="E1744" s="3" t="e">
        <f ca="1">[1]!BexGetData("DP_1","003N8EMH8GTFRCSWKMPXRRL3Y","GSON1112160280")</f>
        <v>#NAME?</v>
      </c>
      <c r="F1744" s="3" t="e">
        <f ca="1">[1]!BexGetData("DP_1","003N8EMH8GTFRCSWKMPXRRRFI","GSON1112160280")</f>
        <v>#NAME?</v>
      </c>
      <c r="G1744" s="3" t="e">
        <f ca="1">[1]!BexGetData("DP_1","003N8EMH8GTFRCSWKMPXRRXR2","GSON1112160280")</f>
        <v>#NAME?</v>
      </c>
      <c r="H1744" s="8" t="e">
        <f ca="1">[1]!BexGetData("DP_1","003N8EMH8GTFRCSWKMPXRS42M","GSON1112160280")</f>
        <v>#NAME?</v>
      </c>
      <c r="I1744" s="3" t="e">
        <f ca="1">[1]!BexGetData("DP_1","003N8EMH8GTFRCSWKMPXRSAE6","GSON1112160280")</f>
        <v>#NAME?</v>
      </c>
      <c r="J1744" s="4" t="e">
        <f ca="1">[1]!BexGetData("DP_1","003N8EMH8GTFRCSWKMPXRSGPQ","GSON1112160280")</f>
        <v>#NAME?</v>
      </c>
      <c r="K1744" s="3" t="e">
        <f ca="1">[1]!BexGetData("DP_1","003N8EMH8GTFRIVNUPY288VJH","GSON1112160280")</f>
        <v>#NAME?</v>
      </c>
      <c r="L1744" s="3" t="e">
        <f ca="1">[1]!BexGetData("DP_1","003N8EMH8GTFRIVNUPY2891V1","GSON1112160280")</f>
        <v>#NAME?</v>
      </c>
      <c r="M1744" s="8" t="e">
        <f ca="1">[1]!BexGetData("DP_1","003N8EMH8GTFRIVOG7KG9IQXA","GSON1112160280")</f>
        <v>#NAME?</v>
      </c>
      <c r="N1744" s="3" t="e">
        <f ca="1">[1]!BexGetData("DP_1","003N8EMH8GTFRIVOG7KG9IX8U","GSON1112160280")</f>
        <v>#NAME?</v>
      </c>
      <c r="O1744" s="8" t="e">
        <f ca="1">[1]!BexGetData("DP_1","003N8EMH8GTFRIVOG7KG9J3KE","GSON1112160280")</f>
        <v>#NAME?</v>
      </c>
      <c r="P1744" s="3" t="e">
        <f ca="1">[1]!BexGetData("DP_1","003N8EMH8GTFRIVOG7KG9J9VY","GSON1112160280")</f>
        <v>#NAME?</v>
      </c>
      <c r="Q1744" s="4" t="e">
        <f ca="1">[1]!BexGetData("DP_1","00O2TNJGODT0G5Z4TTKYMM5MT","GSON1112160280")</f>
        <v>#NAME?</v>
      </c>
      <c r="R1744" s="3" t="e">
        <f ca="1">[1]!BexGetData("DP_1","00O2TNJGODT0G5Z4TTKYMMBYD","GSON1112160280")</f>
        <v>#NAME?</v>
      </c>
      <c r="S1744" s="3" t="e">
        <f ca="1">[1]!BexGetData("DP_1","00O2TNJGODT0G5Z4TTKYMMI9X","GSON1112160280")</f>
        <v>#NAME?</v>
      </c>
      <c r="T1744" s="8" t="e">
        <f ca="1">[1]!BexGetData("DP_1","00O2TNJGODT0G5Z4TTKYMMOLH","GSON1112160280")</f>
        <v>#NAME?</v>
      </c>
      <c r="U1744" s="3" t="e">
        <f ca="1">[1]!BexGetData("DP_1","00O2TNJGODT0G5Z4TTKYMMUX1","GSON1112160280")</f>
        <v>#NAME?</v>
      </c>
      <c r="V1744" s="8" t="e">
        <f ca="1">[1]!BexGetData("DP_1","00O2TNJGODT0G5Z4TTKYMN18L","GSON1112160280")</f>
        <v>#NAME?</v>
      </c>
      <c r="W1744" s="3" t="e">
        <f ca="1">[1]!BexGetData("DP_1","00O2TNJGODT0G5Z4TTKYMN7K5","GSON1112160280")</f>
        <v>#NAME?</v>
      </c>
    </row>
    <row r="1745" spans="1:23" x14ac:dyDescent="0.2">
      <c r="A1745" s="16" t="s">
        <v>4418</v>
      </c>
      <c r="B1745" s="7" t="s">
        <v>4419</v>
      </c>
      <c r="C1745" s="3" t="e">
        <f ca="1">[1]!BexGetData("DP_1","003N8EMH8GTFRCSWKMPXRR8GU","GSON1112160281")</f>
        <v>#NAME?</v>
      </c>
      <c r="D1745" s="3" t="e">
        <f ca="1">[1]!BexGetData("DP_1","003N8EMH8GTFRCSWKMPXRRESE","GSON1112160281")</f>
        <v>#NAME?</v>
      </c>
      <c r="E1745" s="8" t="e">
        <f ca="1">[1]!BexGetData("DP_1","003N8EMH8GTFRCSWKMPXRRL3Y","GSON1112160281")</f>
        <v>#NAME?</v>
      </c>
      <c r="F1745" s="4" t="e">
        <f ca="1">[1]!BexGetData("DP_1","003N8EMH8GTFRCSWKMPXRRRFI","GSON1112160281")</f>
        <v>#NAME?</v>
      </c>
      <c r="G1745" s="4" t="e">
        <f ca="1">[1]!BexGetData("DP_1","003N8EMH8GTFRCSWKMPXRRXR2","GSON1112160281")</f>
        <v>#NAME?</v>
      </c>
      <c r="H1745" s="4" t="e">
        <f ca="1">[1]!BexGetData("DP_1","003N8EMH8GTFRCSWKMPXRS42M","GSON1112160281")</f>
        <v>#NAME?</v>
      </c>
      <c r="I1745" s="4" t="e">
        <f ca="1">[1]!BexGetData("DP_1","003N8EMH8GTFRCSWKMPXRSAE6","GSON1112160281")</f>
        <v>#NAME?</v>
      </c>
      <c r="J1745" s="4" t="e">
        <f ca="1">[1]!BexGetData("DP_1","003N8EMH8GTFRCSWKMPXRSGPQ","GSON1112160281")</f>
        <v>#NAME?</v>
      </c>
      <c r="K1745" s="8" t="e">
        <f ca="1">[1]!BexGetData("DP_1","003N8EMH8GTFRIVNUPY288VJH","GSON1112160281")</f>
        <v>#NAME?</v>
      </c>
      <c r="L1745" s="8" t="e">
        <f ca="1">[1]!BexGetData("DP_1","003N8EMH8GTFRIVNUPY2891V1","GSON1112160281")</f>
        <v>#NAME?</v>
      </c>
      <c r="M1745" s="8" t="e">
        <f ca="1">[1]!BexGetData("DP_1","003N8EMH8GTFRIVOG7KG9IQXA","GSON1112160281")</f>
        <v>#NAME?</v>
      </c>
      <c r="N1745" s="8" t="e">
        <f ca="1">[1]!BexGetData("DP_1","003N8EMH8GTFRIVOG7KG9IX8U","GSON1112160281")</f>
        <v>#NAME?</v>
      </c>
      <c r="O1745" s="8" t="e">
        <f ca="1">[1]!BexGetData("DP_1","003N8EMH8GTFRIVOG7KG9J3KE","GSON1112160281")</f>
        <v>#NAME?</v>
      </c>
      <c r="P1745" s="8" t="e">
        <f ca="1">[1]!BexGetData("DP_1","003N8EMH8GTFRIVOG7KG9J9VY","GSON1112160281")</f>
        <v>#NAME?</v>
      </c>
      <c r="Q1745" s="4" t="e">
        <f ca="1">[1]!BexGetData("DP_1","00O2TNJGODT0G5Z4TTKYMM5MT","GSON1112160281")</f>
        <v>#NAME?</v>
      </c>
      <c r="R1745" s="4" t="e">
        <f ca="1">[1]!BexGetData("DP_1","00O2TNJGODT0G5Z4TTKYMMBYD","GSON1112160281")</f>
        <v>#NAME?</v>
      </c>
      <c r="S1745" s="4" t="e">
        <f ca="1">[1]!BexGetData("DP_1","00O2TNJGODT0G5Z4TTKYMMI9X","GSON1112160281")</f>
        <v>#NAME?</v>
      </c>
      <c r="T1745" s="4" t="e">
        <f ca="1">[1]!BexGetData("DP_1","00O2TNJGODT0G5Z4TTKYMMOLH","GSON1112160281")</f>
        <v>#NAME?</v>
      </c>
      <c r="U1745" s="4" t="e">
        <f ca="1">[1]!BexGetData("DP_1","00O2TNJGODT0G5Z4TTKYMMUX1","GSON1112160281")</f>
        <v>#NAME?</v>
      </c>
      <c r="V1745" s="4" t="e">
        <f ca="1">[1]!BexGetData("DP_1","00O2TNJGODT0G5Z4TTKYMN18L","GSON1112160281")</f>
        <v>#NAME?</v>
      </c>
      <c r="W1745" s="4" t="e">
        <f ca="1">[1]!BexGetData("DP_1","00O2TNJGODT0G5Z4TTKYMN7K5","GSON1112160281")</f>
        <v>#NAME?</v>
      </c>
    </row>
    <row r="1746" spans="1:23" x14ac:dyDescent="0.2">
      <c r="A1746" s="16" t="s">
        <v>4420</v>
      </c>
      <c r="B1746" s="7" t="s">
        <v>4421</v>
      </c>
      <c r="C1746" s="3" t="e">
        <f ca="1">[1]!BexGetData("DP_1","003N8EMH8GTFRCSWKMPXRR8GU","GSON1112160283")</f>
        <v>#NAME?</v>
      </c>
      <c r="D1746" s="3" t="e">
        <f ca="1">[1]!BexGetData("DP_1","003N8EMH8GTFRCSWKMPXRRESE","GSON1112160283")</f>
        <v>#NAME?</v>
      </c>
      <c r="E1746" s="8" t="e">
        <f ca="1">[1]!BexGetData("DP_1","003N8EMH8GTFRCSWKMPXRRL3Y","GSON1112160283")</f>
        <v>#NAME?</v>
      </c>
      <c r="F1746" s="4" t="e">
        <f ca="1">[1]!BexGetData("DP_1","003N8EMH8GTFRCSWKMPXRRRFI","GSON1112160283")</f>
        <v>#NAME?</v>
      </c>
      <c r="G1746" s="4" t="e">
        <f ca="1">[1]!BexGetData("DP_1","003N8EMH8GTFRCSWKMPXRRXR2","GSON1112160283")</f>
        <v>#NAME?</v>
      </c>
      <c r="H1746" s="4" t="e">
        <f ca="1">[1]!BexGetData("DP_1","003N8EMH8GTFRCSWKMPXRS42M","GSON1112160283")</f>
        <v>#NAME?</v>
      </c>
      <c r="I1746" s="4" t="e">
        <f ca="1">[1]!BexGetData("DP_1","003N8EMH8GTFRCSWKMPXRSAE6","GSON1112160283")</f>
        <v>#NAME?</v>
      </c>
      <c r="J1746" s="4" t="e">
        <f ca="1">[1]!BexGetData("DP_1","003N8EMH8GTFRCSWKMPXRSGPQ","GSON1112160283")</f>
        <v>#NAME?</v>
      </c>
      <c r="K1746" s="8" t="e">
        <f ca="1">[1]!BexGetData("DP_1","003N8EMH8GTFRIVNUPY288VJH","GSON1112160283")</f>
        <v>#NAME?</v>
      </c>
      <c r="L1746" s="8" t="e">
        <f ca="1">[1]!BexGetData("DP_1","003N8EMH8GTFRIVNUPY2891V1","GSON1112160283")</f>
        <v>#NAME?</v>
      </c>
      <c r="M1746" s="8" t="e">
        <f ca="1">[1]!BexGetData("DP_1","003N8EMH8GTFRIVOG7KG9IQXA","GSON1112160283")</f>
        <v>#NAME?</v>
      </c>
      <c r="N1746" s="8" t="e">
        <f ca="1">[1]!BexGetData("DP_1","003N8EMH8GTFRIVOG7KG9IX8U","GSON1112160283")</f>
        <v>#NAME?</v>
      </c>
      <c r="O1746" s="8" t="e">
        <f ca="1">[1]!BexGetData("DP_1","003N8EMH8GTFRIVOG7KG9J3KE","GSON1112160283")</f>
        <v>#NAME?</v>
      </c>
      <c r="P1746" s="8" t="e">
        <f ca="1">[1]!BexGetData("DP_1","003N8EMH8GTFRIVOG7KG9J9VY","GSON1112160283")</f>
        <v>#NAME?</v>
      </c>
      <c r="Q1746" s="4" t="e">
        <f ca="1">[1]!BexGetData("DP_1","00O2TNJGODT0G5Z4TTKYMM5MT","GSON1112160283")</f>
        <v>#NAME?</v>
      </c>
      <c r="R1746" s="4" t="e">
        <f ca="1">[1]!BexGetData("DP_1","00O2TNJGODT0G5Z4TTKYMMBYD","GSON1112160283")</f>
        <v>#NAME?</v>
      </c>
      <c r="S1746" s="4" t="e">
        <f ca="1">[1]!BexGetData("DP_1","00O2TNJGODT0G5Z4TTKYMMI9X","GSON1112160283")</f>
        <v>#NAME?</v>
      </c>
      <c r="T1746" s="4" t="e">
        <f ca="1">[1]!BexGetData("DP_1","00O2TNJGODT0G5Z4TTKYMMOLH","GSON1112160283")</f>
        <v>#NAME?</v>
      </c>
      <c r="U1746" s="4" t="e">
        <f ca="1">[1]!BexGetData("DP_1","00O2TNJGODT0G5Z4TTKYMMUX1","GSON1112160283")</f>
        <v>#NAME?</v>
      </c>
      <c r="V1746" s="4" t="e">
        <f ca="1">[1]!BexGetData("DP_1","00O2TNJGODT0G5Z4TTKYMN18L","GSON1112160283")</f>
        <v>#NAME?</v>
      </c>
      <c r="W1746" s="4" t="e">
        <f ca="1">[1]!BexGetData("DP_1","00O2TNJGODT0G5Z4TTKYMN7K5","GSON1112160283")</f>
        <v>#NAME?</v>
      </c>
    </row>
    <row r="1747" spans="1:23" x14ac:dyDescent="0.2">
      <c r="A1747" s="16" t="s">
        <v>4422</v>
      </c>
      <c r="B1747" s="7" t="s">
        <v>4423</v>
      </c>
      <c r="C1747" s="3" t="e">
        <f ca="1">[1]!BexGetData("DP_1","003N8EMH8GTFRCSWKMPXRR8GU","GSON1112160284")</f>
        <v>#NAME?</v>
      </c>
      <c r="D1747" s="3" t="e">
        <f ca="1">[1]!BexGetData("DP_1","003N8EMH8GTFRCSWKMPXRRESE","GSON1112160284")</f>
        <v>#NAME?</v>
      </c>
      <c r="E1747" s="8" t="e">
        <f ca="1">[1]!BexGetData("DP_1","003N8EMH8GTFRCSWKMPXRRL3Y","GSON1112160284")</f>
        <v>#NAME?</v>
      </c>
      <c r="F1747" s="4" t="e">
        <f ca="1">[1]!BexGetData("DP_1","003N8EMH8GTFRCSWKMPXRRRFI","GSON1112160284")</f>
        <v>#NAME?</v>
      </c>
      <c r="G1747" s="4" t="e">
        <f ca="1">[1]!BexGetData("DP_1","003N8EMH8GTFRCSWKMPXRRXR2","GSON1112160284")</f>
        <v>#NAME?</v>
      </c>
      <c r="H1747" s="4" t="e">
        <f ca="1">[1]!BexGetData("DP_1","003N8EMH8GTFRCSWKMPXRS42M","GSON1112160284")</f>
        <v>#NAME?</v>
      </c>
      <c r="I1747" s="4" t="e">
        <f ca="1">[1]!BexGetData("DP_1","003N8EMH8GTFRCSWKMPXRSAE6","GSON1112160284")</f>
        <v>#NAME?</v>
      </c>
      <c r="J1747" s="4" t="e">
        <f ca="1">[1]!BexGetData("DP_1","003N8EMH8GTFRCSWKMPXRSGPQ","GSON1112160284")</f>
        <v>#NAME?</v>
      </c>
      <c r="K1747" s="8" t="e">
        <f ca="1">[1]!BexGetData("DP_1","003N8EMH8GTFRIVNUPY288VJH","GSON1112160284")</f>
        <v>#NAME?</v>
      </c>
      <c r="L1747" s="8" t="e">
        <f ca="1">[1]!BexGetData("DP_1","003N8EMH8GTFRIVNUPY2891V1","GSON1112160284")</f>
        <v>#NAME?</v>
      </c>
      <c r="M1747" s="8" t="e">
        <f ca="1">[1]!BexGetData("DP_1","003N8EMH8GTFRIVOG7KG9IQXA","GSON1112160284")</f>
        <v>#NAME?</v>
      </c>
      <c r="N1747" s="8" t="e">
        <f ca="1">[1]!BexGetData("DP_1","003N8EMH8GTFRIVOG7KG9IX8U","GSON1112160284")</f>
        <v>#NAME?</v>
      </c>
      <c r="O1747" s="8" t="e">
        <f ca="1">[1]!BexGetData("DP_1","003N8EMH8GTFRIVOG7KG9J3KE","GSON1112160284")</f>
        <v>#NAME?</v>
      </c>
      <c r="P1747" s="8" t="e">
        <f ca="1">[1]!BexGetData("DP_1","003N8EMH8GTFRIVOG7KG9J9VY","GSON1112160284")</f>
        <v>#NAME?</v>
      </c>
      <c r="Q1747" s="4" t="e">
        <f ca="1">[1]!BexGetData("DP_1","00O2TNJGODT0G5Z4TTKYMM5MT","GSON1112160284")</f>
        <v>#NAME?</v>
      </c>
      <c r="R1747" s="4" t="e">
        <f ca="1">[1]!BexGetData("DP_1","00O2TNJGODT0G5Z4TTKYMMBYD","GSON1112160284")</f>
        <v>#NAME?</v>
      </c>
      <c r="S1747" s="4" t="e">
        <f ca="1">[1]!BexGetData("DP_1","00O2TNJGODT0G5Z4TTKYMMI9X","GSON1112160284")</f>
        <v>#NAME?</v>
      </c>
      <c r="T1747" s="4" t="e">
        <f ca="1">[1]!BexGetData("DP_1","00O2TNJGODT0G5Z4TTKYMMOLH","GSON1112160284")</f>
        <v>#NAME?</v>
      </c>
      <c r="U1747" s="4" t="e">
        <f ca="1">[1]!BexGetData("DP_1","00O2TNJGODT0G5Z4TTKYMMUX1","GSON1112160284")</f>
        <v>#NAME?</v>
      </c>
      <c r="V1747" s="4" t="e">
        <f ca="1">[1]!BexGetData("DP_1","00O2TNJGODT0G5Z4TTKYMN18L","GSON1112160284")</f>
        <v>#NAME?</v>
      </c>
      <c r="W1747" s="4" t="e">
        <f ca="1">[1]!BexGetData("DP_1","00O2TNJGODT0G5Z4TTKYMN7K5","GSON1112160284")</f>
        <v>#NAME?</v>
      </c>
    </row>
    <row r="1748" spans="1:23" x14ac:dyDescent="0.2">
      <c r="A1748" s="16" t="s">
        <v>4424</v>
      </c>
      <c r="B1748" s="7" t="s">
        <v>4425</v>
      </c>
      <c r="C1748" s="3" t="e">
        <f ca="1">[1]!BexGetData("DP_1","003N8EMH8GTFRCSWKMPXRR8GU","GSON1112160285")</f>
        <v>#NAME?</v>
      </c>
      <c r="D1748" s="3" t="e">
        <f ca="1">[1]!BexGetData("DP_1","003N8EMH8GTFRCSWKMPXRRESE","GSON1112160285")</f>
        <v>#NAME?</v>
      </c>
      <c r="E1748" s="8" t="e">
        <f ca="1">[1]!BexGetData("DP_1","003N8EMH8GTFRCSWKMPXRRL3Y","GSON1112160285")</f>
        <v>#NAME?</v>
      </c>
      <c r="F1748" s="4" t="e">
        <f ca="1">[1]!BexGetData("DP_1","003N8EMH8GTFRCSWKMPXRRRFI","GSON1112160285")</f>
        <v>#NAME?</v>
      </c>
      <c r="G1748" s="4" t="e">
        <f ca="1">[1]!BexGetData("DP_1","003N8EMH8GTFRCSWKMPXRRXR2","GSON1112160285")</f>
        <v>#NAME?</v>
      </c>
      <c r="H1748" s="4" t="e">
        <f ca="1">[1]!BexGetData("DP_1","003N8EMH8GTFRCSWKMPXRS42M","GSON1112160285")</f>
        <v>#NAME?</v>
      </c>
      <c r="I1748" s="4" t="e">
        <f ca="1">[1]!BexGetData("DP_1","003N8EMH8GTFRCSWKMPXRSAE6","GSON1112160285")</f>
        <v>#NAME?</v>
      </c>
      <c r="J1748" s="4" t="e">
        <f ca="1">[1]!BexGetData("DP_1","003N8EMH8GTFRCSWKMPXRSGPQ","GSON1112160285")</f>
        <v>#NAME?</v>
      </c>
      <c r="K1748" s="8" t="e">
        <f ca="1">[1]!BexGetData("DP_1","003N8EMH8GTFRIVNUPY288VJH","GSON1112160285")</f>
        <v>#NAME?</v>
      </c>
      <c r="L1748" s="8" t="e">
        <f ca="1">[1]!BexGetData("DP_1","003N8EMH8GTFRIVNUPY2891V1","GSON1112160285")</f>
        <v>#NAME?</v>
      </c>
      <c r="M1748" s="8" t="e">
        <f ca="1">[1]!BexGetData("DP_1","003N8EMH8GTFRIVOG7KG9IQXA","GSON1112160285")</f>
        <v>#NAME?</v>
      </c>
      <c r="N1748" s="8" t="e">
        <f ca="1">[1]!BexGetData("DP_1","003N8EMH8GTFRIVOG7KG9IX8U","GSON1112160285")</f>
        <v>#NAME?</v>
      </c>
      <c r="O1748" s="8" t="e">
        <f ca="1">[1]!BexGetData("DP_1","003N8EMH8GTFRIVOG7KG9J3KE","GSON1112160285")</f>
        <v>#NAME?</v>
      </c>
      <c r="P1748" s="8" t="e">
        <f ca="1">[1]!BexGetData("DP_1","003N8EMH8GTFRIVOG7KG9J9VY","GSON1112160285")</f>
        <v>#NAME?</v>
      </c>
      <c r="Q1748" s="4" t="e">
        <f ca="1">[1]!BexGetData("DP_1","00O2TNJGODT0G5Z4TTKYMM5MT","GSON1112160285")</f>
        <v>#NAME?</v>
      </c>
      <c r="R1748" s="4" t="e">
        <f ca="1">[1]!BexGetData("DP_1","00O2TNJGODT0G5Z4TTKYMMBYD","GSON1112160285")</f>
        <v>#NAME?</v>
      </c>
      <c r="S1748" s="4" t="e">
        <f ca="1">[1]!BexGetData("DP_1","00O2TNJGODT0G5Z4TTKYMMI9X","GSON1112160285")</f>
        <v>#NAME?</v>
      </c>
      <c r="T1748" s="4" t="e">
        <f ca="1">[1]!BexGetData("DP_1","00O2TNJGODT0G5Z4TTKYMMOLH","GSON1112160285")</f>
        <v>#NAME?</v>
      </c>
      <c r="U1748" s="4" t="e">
        <f ca="1">[1]!BexGetData("DP_1","00O2TNJGODT0G5Z4TTKYMMUX1","GSON1112160285")</f>
        <v>#NAME?</v>
      </c>
      <c r="V1748" s="4" t="e">
        <f ca="1">[1]!BexGetData("DP_1","00O2TNJGODT0G5Z4TTKYMN18L","GSON1112160285")</f>
        <v>#NAME?</v>
      </c>
      <c r="W1748" s="4" t="e">
        <f ca="1">[1]!BexGetData("DP_1","00O2TNJGODT0G5Z4TTKYMN7K5","GSON1112160285")</f>
        <v>#NAME?</v>
      </c>
    </row>
    <row r="1749" spans="1:23" x14ac:dyDescent="0.2">
      <c r="A1749" s="16" t="s">
        <v>4426</v>
      </c>
      <c r="B1749" s="7" t="s">
        <v>4427</v>
      </c>
      <c r="C1749" s="3" t="e">
        <f ca="1">[1]!BexGetData("DP_1","003N8EMH8GTFRCSWKMPXRR8GU","GSON1112160290")</f>
        <v>#NAME?</v>
      </c>
      <c r="D1749" s="3" t="e">
        <f ca="1">[1]!BexGetData("DP_1","003N8EMH8GTFRCSWKMPXRRESE","GSON1112160290")</f>
        <v>#NAME?</v>
      </c>
      <c r="E1749" s="3" t="e">
        <f ca="1">[1]!BexGetData("DP_1","003N8EMH8GTFRCSWKMPXRRL3Y","GSON1112160290")</f>
        <v>#NAME?</v>
      </c>
      <c r="F1749" s="3" t="e">
        <f ca="1">[1]!BexGetData("DP_1","003N8EMH8GTFRCSWKMPXRRRFI","GSON1112160290")</f>
        <v>#NAME?</v>
      </c>
      <c r="G1749" s="3" t="e">
        <f ca="1">[1]!BexGetData("DP_1","003N8EMH8GTFRCSWKMPXRRXR2","GSON1112160290")</f>
        <v>#NAME?</v>
      </c>
      <c r="H1749" s="8" t="e">
        <f ca="1">[1]!BexGetData("DP_1","003N8EMH8GTFRCSWKMPXRS42M","GSON1112160290")</f>
        <v>#NAME?</v>
      </c>
      <c r="I1749" s="3" t="e">
        <f ca="1">[1]!BexGetData("DP_1","003N8EMH8GTFRCSWKMPXRSAE6","GSON1112160290")</f>
        <v>#NAME?</v>
      </c>
      <c r="J1749" s="4" t="e">
        <f ca="1">[1]!BexGetData("DP_1","003N8EMH8GTFRCSWKMPXRSGPQ","GSON1112160290")</f>
        <v>#NAME?</v>
      </c>
      <c r="K1749" s="3" t="e">
        <f ca="1">[1]!BexGetData("DP_1","003N8EMH8GTFRIVNUPY288VJH","GSON1112160290")</f>
        <v>#NAME?</v>
      </c>
      <c r="L1749" s="3" t="e">
        <f ca="1">[1]!BexGetData("DP_1","003N8EMH8GTFRIVNUPY2891V1","GSON1112160290")</f>
        <v>#NAME?</v>
      </c>
      <c r="M1749" s="3" t="e">
        <f ca="1">[1]!BexGetData("DP_1","003N8EMH8GTFRIVOG7KG9IQXA","GSON1112160290")</f>
        <v>#NAME?</v>
      </c>
      <c r="N1749" s="8" t="e">
        <f ca="1">[1]!BexGetData("DP_1","003N8EMH8GTFRIVOG7KG9IX8U","GSON1112160290")</f>
        <v>#NAME?</v>
      </c>
      <c r="O1749" s="3" t="e">
        <f ca="1">[1]!BexGetData("DP_1","003N8EMH8GTFRIVOG7KG9J3KE","GSON1112160290")</f>
        <v>#NAME?</v>
      </c>
      <c r="P1749" s="8" t="e">
        <f ca="1">[1]!BexGetData("DP_1","003N8EMH8GTFRIVOG7KG9J9VY","GSON1112160290")</f>
        <v>#NAME?</v>
      </c>
      <c r="Q1749" s="4" t="e">
        <f ca="1">[1]!BexGetData("DP_1","00O2TNJGODT0G5Z4TTKYMM5MT","GSON1112160290")</f>
        <v>#NAME?</v>
      </c>
      <c r="R1749" s="3" t="e">
        <f ca="1">[1]!BexGetData("DP_1","00O2TNJGODT0G5Z4TTKYMMBYD","GSON1112160290")</f>
        <v>#NAME?</v>
      </c>
      <c r="S1749" s="3" t="e">
        <f ca="1">[1]!BexGetData("DP_1","00O2TNJGODT0G5Z4TTKYMMI9X","GSON1112160290")</f>
        <v>#NAME?</v>
      </c>
      <c r="T1749" s="8" t="e">
        <f ca="1">[1]!BexGetData("DP_1","00O2TNJGODT0G5Z4TTKYMMOLH","GSON1112160290")</f>
        <v>#NAME?</v>
      </c>
      <c r="U1749" s="3" t="e">
        <f ca="1">[1]!BexGetData("DP_1","00O2TNJGODT0G5Z4TTKYMMUX1","GSON1112160290")</f>
        <v>#NAME?</v>
      </c>
      <c r="V1749" s="8" t="e">
        <f ca="1">[1]!BexGetData("DP_1","00O2TNJGODT0G5Z4TTKYMN18L","GSON1112160290")</f>
        <v>#NAME?</v>
      </c>
      <c r="W1749" s="3" t="e">
        <f ca="1">[1]!BexGetData("DP_1","00O2TNJGODT0G5Z4TTKYMN7K5","GSON1112160290")</f>
        <v>#NAME?</v>
      </c>
    </row>
    <row r="1750" spans="1:23" x14ac:dyDescent="0.2">
      <c r="A1750" s="16" t="s">
        <v>4428</v>
      </c>
      <c r="B1750" s="7" t="s">
        <v>4429</v>
      </c>
      <c r="C1750" s="3" t="e">
        <f ca="1">[1]!BexGetData("DP_1","003N8EMH8GTFRCSWKMPXRR8GU","GSON1112160291")</f>
        <v>#NAME?</v>
      </c>
      <c r="D1750" s="3" t="e">
        <f ca="1">[1]!BexGetData("DP_1","003N8EMH8GTFRCSWKMPXRRESE","GSON1112160291")</f>
        <v>#NAME?</v>
      </c>
      <c r="E1750" s="8" t="e">
        <f ca="1">[1]!BexGetData("DP_1","003N8EMH8GTFRCSWKMPXRRL3Y","GSON1112160291")</f>
        <v>#NAME?</v>
      </c>
      <c r="F1750" s="4" t="e">
        <f ca="1">[1]!BexGetData("DP_1","003N8EMH8GTFRCSWKMPXRRRFI","GSON1112160291")</f>
        <v>#NAME?</v>
      </c>
      <c r="G1750" s="4" t="e">
        <f ca="1">[1]!BexGetData("DP_1","003N8EMH8GTFRCSWKMPXRRXR2","GSON1112160291")</f>
        <v>#NAME?</v>
      </c>
      <c r="H1750" s="4" t="e">
        <f ca="1">[1]!BexGetData("DP_1","003N8EMH8GTFRCSWKMPXRS42M","GSON1112160291")</f>
        <v>#NAME?</v>
      </c>
      <c r="I1750" s="4" t="e">
        <f ca="1">[1]!BexGetData("DP_1","003N8EMH8GTFRCSWKMPXRSAE6","GSON1112160291")</f>
        <v>#NAME?</v>
      </c>
      <c r="J1750" s="4" t="e">
        <f ca="1">[1]!BexGetData("DP_1","003N8EMH8GTFRCSWKMPXRSGPQ","GSON1112160291")</f>
        <v>#NAME?</v>
      </c>
      <c r="K1750" s="8" t="e">
        <f ca="1">[1]!BexGetData("DP_1","003N8EMH8GTFRIVNUPY288VJH","GSON1112160291")</f>
        <v>#NAME?</v>
      </c>
      <c r="L1750" s="8" t="e">
        <f ca="1">[1]!BexGetData("DP_1","003N8EMH8GTFRIVNUPY2891V1","GSON1112160291")</f>
        <v>#NAME?</v>
      </c>
      <c r="M1750" s="8" t="e">
        <f ca="1">[1]!BexGetData("DP_1","003N8EMH8GTFRIVOG7KG9IQXA","GSON1112160291")</f>
        <v>#NAME?</v>
      </c>
      <c r="N1750" s="8" t="e">
        <f ca="1">[1]!BexGetData("DP_1","003N8EMH8GTFRIVOG7KG9IX8U","GSON1112160291")</f>
        <v>#NAME?</v>
      </c>
      <c r="O1750" s="8" t="e">
        <f ca="1">[1]!BexGetData("DP_1","003N8EMH8GTFRIVOG7KG9J3KE","GSON1112160291")</f>
        <v>#NAME?</v>
      </c>
      <c r="P1750" s="8" t="e">
        <f ca="1">[1]!BexGetData("DP_1","003N8EMH8GTFRIVOG7KG9J9VY","GSON1112160291")</f>
        <v>#NAME?</v>
      </c>
      <c r="Q1750" s="4" t="e">
        <f ca="1">[1]!BexGetData("DP_1","00O2TNJGODT0G5Z4TTKYMM5MT","GSON1112160291")</f>
        <v>#NAME?</v>
      </c>
      <c r="R1750" s="4" t="e">
        <f ca="1">[1]!BexGetData("DP_1","00O2TNJGODT0G5Z4TTKYMMBYD","GSON1112160291")</f>
        <v>#NAME?</v>
      </c>
      <c r="S1750" s="4" t="e">
        <f ca="1">[1]!BexGetData("DP_1","00O2TNJGODT0G5Z4TTKYMMI9X","GSON1112160291")</f>
        <v>#NAME?</v>
      </c>
      <c r="T1750" s="4" t="e">
        <f ca="1">[1]!BexGetData("DP_1","00O2TNJGODT0G5Z4TTKYMMOLH","GSON1112160291")</f>
        <v>#NAME?</v>
      </c>
      <c r="U1750" s="4" t="e">
        <f ca="1">[1]!BexGetData("DP_1","00O2TNJGODT0G5Z4TTKYMMUX1","GSON1112160291")</f>
        <v>#NAME?</v>
      </c>
      <c r="V1750" s="4" t="e">
        <f ca="1">[1]!BexGetData("DP_1","00O2TNJGODT0G5Z4TTKYMN18L","GSON1112160291")</f>
        <v>#NAME?</v>
      </c>
      <c r="W1750" s="4" t="e">
        <f ca="1">[1]!BexGetData("DP_1","00O2TNJGODT0G5Z4TTKYMN7K5","GSON1112160291")</f>
        <v>#NAME?</v>
      </c>
    </row>
    <row r="1751" spans="1:23" x14ac:dyDescent="0.2">
      <c r="A1751" s="16" t="s">
        <v>4430</v>
      </c>
      <c r="B1751" s="7" t="s">
        <v>4431</v>
      </c>
      <c r="C1751" s="3" t="e">
        <f ca="1">[1]!BexGetData("DP_1","003N8EMH8GTFRCSWKMPXRR8GU","GSON1112160293")</f>
        <v>#NAME?</v>
      </c>
      <c r="D1751" s="3" t="e">
        <f ca="1">[1]!BexGetData("DP_1","003N8EMH8GTFRCSWKMPXRRESE","GSON1112160293")</f>
        <v>#NAME?</v>
      </c>
      <c r="E1751" s="8" t="e">
        <f ca="1">[1]!BexGetData("DP_1","003N8EMH8GTFRCSWKMPXRRL3Y","GSON1112160293")</f>
        <v>#NAME?</v>
      </c>
      <c r="F1751" s="4" t="e">
        <f ca="1">[1]!BexGetData("DP_1","003N8EMH8GTFRCSWKMPXRRRFI","GSON1112160293")</f>
        <v>#NAME?</v>
      </c>
      <c r="G1751" s="4" t="e">
        <f ca="1">[1]!BexGetData("DP_1","003N8EMH8GTFRCSWKMPXRRXR2","GSON1112160293")</f>
        <v>#NAME?</v>
      </c>
      <c r="H1751" s="4" t="e">
        <f ca="1">[1]!BexGetData("DP_1","003N8EMH8GTFRCSWKMPXRS42M","GSON1112160293")</f>
        <v>#NAME?</v>
      </c>
      <c r="I1751" s="4" t="e">
        <f ca="1">[1]!BexGetData("DP_1","003N8EMH8GTFRCSWKMPXRSAE6","GSON1112160293")</f>
        <v>#NAME?</v>
      </c>
      <c r="J1751" s="4" t="e">
        <f ca="1">[1]!BexGetData("DP_1","003N8EMH8GTFRCSWKMPXRSGPQ","GSON1112160293")</f>
        <v>#NAME?</v>
      </c>
      <c r="K1751" s="8" t="e">
        <f ca="1">[1]!BexGetData("DP_1","003N8EMH8GTFRIVNUPY288VJH","GSON1112160293")</f>
        <v>#NAME?</v>
      </c>
      <c r="L1751" s="8" t="e">
        <f ca="1">[1]!BexGetData("DP_1","003N8EMH8GTFRIVNUPY2891V1","GSON1112160293")</f>
        <v>#NAME?</v>
      </c>
      <c r="M1751" s="8" t="e">
        <f ca="1">[1]!BexGetData("DP_1","003N8EMH8GTFRIVOG7KG9IQXA","GSON1112160293")</f>
        <v>#NAME?</v>
      </c>
      <c r="N1751" s="8" t="e">
        <f ca="1">[1]!BexGetData("DP_1","003N8EMH8GTFRIVOG7KG9IX8U","GSON1112160293")</f>
        <v>#NAME?</v>
      </c>
      <c r="O1751" s="8" t="e">
        <f ca="1">[1]!BexGetData("DP_1","003N8EMH8GTFRIVOG7KG9J3KE","GSON1112160293")</f>
        <v>#NAME?</v>
      </c>
      <c r="P1751" s="8" t="e">
        <f ca="1">[1]!BexGetData("DP_1","003N8EMH8GTFRIVOG7KG9J9VY","GSON1112160293")</f>
        <v>#NAME?</v>
      </c>
      <c r="Q1751" s="4" t="e">
        <f ca="1">[1]!BexGetData("DP_1","00O2TNJGODT0G5Z4TTKYMM5MT","GSON1112160293")</f>
        <v>#NAME?</v>
      </c>
      <c r="R1751" s="4" t="e">
        <f ca="1">[1]!BexGetData("DP_1","00O2TNJGODT0G5Z4TTKYMMBYD","GSON1112160293")</f>
        <v>#NAME?</v>
      </c>
      <c r="S1751" s="4" t="e">
        <f ca="1">[1]!BexGetData("DP_1","00O2TNJGODT0G5Z4TTKYMMI9X","GSON1112160293")</f>
        <v>#NAME?</v>
      </c>
      <c r="T1751" s="4" t="e">
        <f ca="1">[1]!BexGetData("DP_1","00O2TNJGODT0G5Z4TTKYMMOLH","GSON1112160293")</f>
        <v>#NAME?</v>
      </c>
      <c r="U1751" s="4" t="e">
        <f ca="1">[1]!BexGetData("DP_1","00O2TNJGODT0G5Z4TTKYMMUX1","GSON1112160293")</f>
        <v>#NAME?</v>
      </c>
      <c r="V1751" s="4" t="e">
        <f ca="1">[1]!BexGetData("DP_1","00O2TNJGODT0G5Z4TTKYMN18L","GSON1112160293")</f>
        <v>#NAME?</v>
      </c>
      <c r="W1751" s="4" t="e">
        <f ca="1">[1]!BexGetData("DP_1","00O2TNJGODT0G5Z4TTKYMN7K5","GSON1112160293")</f>
        <v>#NAME?</v>
      </c>
    </row>
    <row r="1752" spans="1:23" x14ac:dyDescent="0.2">
      <c r="A1752" s="16" t="s">
        <v>4432</v>
      </c>
      <c r="B1752" s="7" t="s">
        <v>4433</v>
      </c>
      <c r="C1752" s="3" t="e">
        <f ca="1">[1]!BexGetData("DP_1","003N8EMH8GTFRCSWKMPXRR8GU","GSON1112160294")</f>
        <v>#NAME?</v>
      </c>
      <c r="D1752" s="3" t="e">
        <f ca="1">[1]!BexGetData("DP_1","003N8EMH8GTFRCSWKMPXRRESE","GSON1112160294")</f>
        <v>#NAME?</v>
      </c>
      <c r="E1752" s="8" t="e">
        <f ca="1">[1]!BexGetData("DP_1","003N8EMH8GTFRCSWKMPXRRL3Y","GSON1112160294")</f>
        <v>#NAME?</v>
      </c>
      <c r="F1752" s="4" t="e">
        <f ca="1">[1]!BexGetData("DP_1","003N8EMH8GTFRCSWKMPXRRRFI","GSON1112160294")</f>
        <v>#NAME?</v>
      </c>
      <c r="G1752" s="4" t="e">
        <f ca="1">[1]!BexGetData("DP_1","003N8EMH8GTFRCSWKMPXRRXR2","GSON1112160294")</f>
        <v>#NAME?</v>
      </c>
      <c r="H1752" s="4" t="e">
        <f ca="1">[1]!BexGetData("DP_1","003N8EMH8GTFRCSWKMPXRS42M","GSON1112160294")</f>
        <v>#NAME?</v>
      </c>
      <c r="I1752" s="4" t="e">
        <f ca="1">[1]!BexGetData("DP_1","003N8EMH8GTFRCSWKMPXRSAE6","GSON1112160294")</f>
        <v>#NAME?</v>
      </c>
      <c r="J1752" s="4" t="e">
        <f ca="1">[1]!BexGetData("DP_1","003N8EMH8GTFRCSWKMPXRSGPQ","GSON1112160294")</f>
        <v>#NAME?</v>
      </c>
      <c r="K1752" s="8" t="e">
        <f ca="1">[1]!BexGetData("DP_1","003N8EMH8GTFRIVNUPY288VJH","GSON1112160294")</f>
        <v>#NAME?</v>
      </c>
      <c r="L1752" s="8" t="e">
        <f ca="1">[1]!BexGetData("DP_1","003N8EMH8GTFRIVNUPY2891V1","GSON1112160294")</f>
        <v>#NAME?</v>
      </c>
      <c r="M1752" s="8" t="e">
        <f ca="1">[1]!BexGetData("DP_1","003N8EMH8GTFRIVOG7KG9IQXA","GSON1112160294")</f>
        <v>#NAME?</v>
      </c>
      <c r="N1752" s="8" t="e">
        <f ca="1">[1]!BexGetData("DP_1","003N8EMH8GTFRIVOG7KG9IX8U","GSON1112160294")</f>
        <v>#NAME?</v>
      </c>
      <c r="O1752" s="8" t="e">
        <f ca="1">[1]!BexGetData("DP_1","003N8EMH8GTFRIVOG7KG9J3KE","GSON1112160294")</f>
        <v>#NAME?</v>
      </c>
      <c r="P1752" s="8" t="e">
        <f ca="1">[1]!BexGetData("DP_1","003N8EMH8GTFRIVOG7KG9J9VY","GSON1112160294")</f>
        <v>#NAME?</v>
      </c>
      <c r="Q1752" s="4" t="e">
        <f ca="1">[1]!BexGetData("DP_1","00O2TNJGODT0G5Z4TTKYMM5MT","GSON1112160294")</f>
        <v>#NAME?</v>
      </c>
      <c r="R1752" s="4" t="e">
        <f ca="1">[1]!BexGetData("DP_1","00O2TNJGODT0G5Z4TTKYMMBYD","GSON1112160294")</f>
        <v>#NAME?</v>
      </c>
      <c r="S1752" s="4" t="e">
        <f ca="1">[1]!BexGetData("DP_1","00O2TNJGODT0G5Z4TTKYMMI9X","GSON1112160294")</f>
        <v>#NAME?</v>
      </c>
      <c r="T1752" s="4" t="e">
        <f ca="1">[1]!BexGetData("DP_1","00O2TNJGODT0G5Z4TTKYMMOLH","GSON1112160294")</f>
        <v>#NAME?</v>
      </c>
      <c r="U1752" s="4" t="e">
        <f ca="1">[1]!BexGetData("DP_1","00O2TNJGODT0G5Z4TTKYMMUX1","GSON1112160294")</f>
        <v>#NAME?</v>
      </c>
      <c r="V1752" s="4" t="e">
        <f ca="1">[1]!BexGetData("DP_1","00O2TNJGODT0G5Z4TTKYMN18L","GSON1112160294")</f>
        <v>#NAME?</v>
      </c>
      <c r="W1752" s="4" t="e">
        <f ca="1">[1]!BexGetData("DP_1","00O2TNJGODT0G5Z4TTKYMN7K5","GSON1112160294")</f>
        <v>#NAME?</v>
      </c>
    </row>
    <row r="1753" spans="1:23" x14ac:dyDescent="0.2">
      <c r="A1753" s="16" t="s">
        <v>4434</v>
      </c>
      <c r="B1753" s="7" t="s">
        <v>4435</v>
      </c>
      <c r="C1753" s="3" t="e">
        <f ca="1">[1]!BexGetData("DP_1","003N8EMH8GTFRCSWKMPXRR8GU","GSON1112160295")</f>
        <v>#NAME?</v>
      </c>
      <c r="D1753" s="3" t="e">
        <f ca="1">[1]!BexGetData("DP_1","003N8EMH8GTFRCSWKMPXRRESE","GSON1112160295")</f>
        <v>#NAME?</v>
      </c>
      <c r="E1753" s="8" t="e">
        <f ca="1">[1]!BexGetData("DP_1","003N8EMH8GTFRCSWKMPXRRL3Y","GSON1112160295")</f>
        <v>#NAME?</v>
      </c>
      <c r="F1753" s="4" t="e">
        <f ca="1">[1]!BexGetData("DP_1","003N8EMH8GTFRCSWKMPXRRRFI","GSON1112160295")</f>
        <v>#NAME?</v>
      </c>
      <c r="G1753" s="4" t="e">
        <f ca="1">[1]!BexGetData("DP_1","003N8EMH8GTFRCSWKMPXRRXR2","GSON1112160295")</f>
        <v>#NAME?</v>
      </c>
      <c r="H1753" s="4" t="e">
        <f ca="1">[1]!BexGetData("DP_1","003N8EMH8GTFRCSWKMPXRS42M","GSON1112160295")</f>
        <v>#NAME?</v>
      </c>
      <c r="I1753" s="4" t="e">
        <f ca="1">[1]!BexGetData("DP_1","003N8EMH8GTFRCSWKMPXRSAE6","GSON1112160295")</f>
        <v>#NAME?</v>
      </c>
      <c r="J1753" s="4" t="e">
        <f ca="1">[1]!BexGetData("DP_1","003N8EMH8GTFRCSWKMPXRSGPQ","GSON1112160295")</f>
        <v>#NAME?</v>
      </c>
      <c r="K1753" s="8" t="e">
        <f ca="1">[1]!BexGetData("DP_1","003N8EMH8GTFRIVNUPY288VJH","GSON1112160295")</f>
        <v>#NAME?</v>
      </c>
      <c r="L1753" s="8" t="e">
        <f ca="1">[1]!BexGetData("DP_1","003N8EMH8GTFRIVNUPY2891V1","GSON1112160295")</f>
        <v>#NAME?</v>
      </c>
      <c r="M1753" s="8" t="e">
        <f ca="1">[1]!BexGetData("DP_1","003N8EMH8GTFRIVOG7KG9IQXA","GSON1112160295")</f>
        <v>#NAME?</v>
      </c>
      <c r="N1753" s="8" t="e">
        <f ca="1">[1]!BexGetData("DP_1","003N8EMH8GTFRIVOG7KG9IX8U","GSON1112160295")</f>
        <v>#NAME?</v>
      </c>
      <c r="O1753" s="8" t="e">
        <f ca="1">[1]!BexGetData("DP_1","003N8EMH8GTFRIVOG7KG9J3KE","GSON1112160295")</f>
        <v>#NAME?</v>
      </c>
      <c r="P1753" s="8" t="e">
        <f ca="1">[1]!BexGetData("DP_1","003N8EMH8GTFRIVOG7KG9J9VY","GSON1112160295")</f>
        <v>#NAME?</v>
      </c>
      <c r="Q1753" s="4" t="e">
        <f ca="1">[1]!BexGetData("DP_1","00O2TNJGODT0G5Z4TTKYMM5MT","GSON1112160295")</f>
        <v>#NAME?</v>
      </c>
      <c r="R1753" s="4" t="e">
        <f ca="1">[1]!BexGetData("DP_1","00O2TNJGODT0G5Z4TTKYMMBYD","GSON1112160295")</f>
        <v>#NAME?</v>
      </c>
      <c r="S1753" s="4" t="e">
        <f ca="1">[1]!BexGetData("DP_1","00O2TNJGODT0G5Z4TTKYMMI9X","GSON1112160295")</f>
        <v>#NAME?</v>
      </c>
      <c r="T1753" s="4" t="e">
        <f ca="1">[1]!BexGetData("DP_1","00O2TNJGODT0G5Z4TTKYMMOLH","GSON1112160295")</f>
        <v>#NAME?</v>
      </c>
      <c r="U1753" s="4" t="e">
        <f ca="1">[1]!BexGetData("DP_1","00O2TNJGODT0G5Z4TTKYMMUX1","GSON1112160295")</f>
        <v>#NAME?</v>
      </c>
      <c r="V1753" s="4" t="e">
        <f ca="1">[1]!BexGetData("DP_1","00O2TNJGODT0G5Z4TTKYMN18L","GSON1112160295")</f>
        <v>#NAME?</v>
      </c>
      <c r="W1753" s="4" t="e">
        <f ca="1">[1]!BexGetData("DP_1","00O2TNJGODT0G5Z4TTKYMN7K5","GSON1112160295")</f>
        <v>#NAME?</v>
      </c>
    </row>
    <row r="1754" spans="1:23" x14ac:dyDescent="0.2">
      <c r="A1754" s="16" t="s">
        <v>4436</v>
      </c>
      <c r="B1754" s="7" t="s">
        <v>4437</v>
      </c>
      <c r="C1754" s="3" t="e">
        <f ca="1">[1]!BexGetData("DP_1","003N8EMH8GTFRCSWKMPXRR8GU","GSON1112160300")</f>
        <v>#NAME?</v>
      </c>
      <c r="D1754" s="3" t="e">
        <f ca="1">[1]!BexGetData("DP_1","003N8EMH8GTFRCSWKMPXRRESE","GSON1112160300")</f>
        <v>#NAME?</v>
      </c>
      <c r="E1754" s="3" t="e">
        <f ca="1">[1]!BexGetData("DP_1","003N8EMH8GTFRCSWKMPXRRL3Y","GSON1112160300")</f>
        <v>#NAME?</v>
      </c>
      <c r="F1754" s="3" t="e">
        <f ca="1">[1]!BexGetData("DP_1","003N8EMH8GTFRCSWKMPXRRRFI","GSON1112160300")</f>
        <v>#NAME?</v>
      </c>
      <c r="G1754" s="3" t="e">
        <f ca="1">[1]!BexGetData("DP_1","003N8EMH8GTFRCSWKMPXRRXR2","GSON1112160300")</f>
        <v>#NAME?</v>
      </c>
      <c r="H1754" s="8" t="e">
        <f ca="1">[1]!BexGetData("DP_1","003N8EMH8GTFRCSWKMPXRS42M","GSON1112160300")</f>
        <v>#NAME?</v>
      </c>
      <c r="I1754" s="3" t="e">
        <f ca="1">[1]!BexGetData("DP_1","003N8EMH8GTFRCSWKMPXRSAE6","GSON1112160300")</f>
        <v>#NAME?</v>
      </c>
      <c r="J1754" s="4" t="e">
        <f ca="1">[1]!BexGetData("DP_1","003N8EMH8GTFRCSWKMPXRSGPQ","GSON1112160300")</f>
        <v>#NAME?</v>
      </c>
      <c r="K1754" s="3" t="e">
        <f ca="1">[1]!BexGetData("DP_1","003N8EMH8GTFRIVNUPY288VJH","GSON1112160300")</f>
        <v>#NAME?</v>
      </c>
      <c r="L1754" s="3" t="e">
        <f ca="1">[1]!BexGetData("DP_1","003N8EMH8GTFRIVNUPY2891V1","GSON1112160300")</f>
        <v>#NAME?</v>
      </c>
      <c r="M1754" s="3" t="e">
        <f ca="1">[1]!BexGetData("DP_1","003N8EMH8GTFRIVOG7KG9IQXA","GSON1112160300")</f>
        <v>#NAME?</v>
      </c>
      <c r="N1754" s="8" t="e">
        <f ca="1">[1]!BexGetData("DP_1","003N8EMH8GTFRIVOG7KG9IX8U","GSON1112160300")</f>
        <v>#NAME?</v>
      </c>
      <c r="O1754" s="3" t="e">
        <f ca="1">[1]!BexGetData("DP_1","003N8EMH8GTFRIVOG7KG9J3KE","GSON1112160300")</f>
        <v>#NAME?</v>
      </c>
      <c r="P1754" s="8" t="e">
        <f ca="1">[1]!BexGetData("DP_1","003N8EMH8GTFRIVOG7KG9J9VY","GSON1112160300")</f>
        <v>#NAME?</v>
      </c>
      <c r="Q1754" s="4" t="e">
        <f ca="1">[1]!BexGetData("DP_1","00O2TNJGODT0G5Z4TTKYMM5MT","GSON1112160300")</f>
        <v>#NAME?</v>
      </c>
      <c r="R1754" s="3" t="e">
        <f ca="1">[1]!BexGetData("DP_1","00O2TNJGODT0G5Z4TTKYMMBYD","GSON1112160300")</f>
        <v>#NAME?</v>
      </c>
      <c r="S1754" s="3" t="e">
        <f ca="1">[1]!BexGetData("DP_1","00O2TNJGODT0G5Z4TTKYMMI9X","GSON1112160300")</f>
        <v>#NAME?</v>
      </c>
      <c r="T1754" s="8" t="e">
        <f ca="1">[1]!BexGetData("DP_1","00O2TNJGODT0G5Z4TTKYMMOLH","GSON1112160300")</f>
        <v>#NAME?</v>
      </c>
      <c r="U1754" s="3" t="e">
        <f ca="1">[1]!BexGetData("DP_1","00O2TNJGODT0G5Z4TTKYMMUX1","GSON1112160300")</f>
        <v>#NAME?</v>
      </c>
      <c r="V1754" s="8" t="e">
        <f ca="1">[1]!BexGetData("DP_1","00O2TNJGODT0G5Z4TTKYMN18L","GSON1112160300")</f>
        <v>#NAME?</v>
      </c>
      <c r="W1754" s="3" t="e">
        <f ca="1">[1]!BexGetData("DP_1","00O2TNJGODT0G5Z4TTKYMN7K5","GSON1112160300")</f>
        <v>#NAME?</v>
      </c>
    </row>
    <row r="1755" spans="1:23" x14ac:dyDescent="0.2">
      <c r="A1755" s="16" t="s">
        <v>4438</v>
      </c>
      <c r="B1755" s="7" t="s">
        <v>4439</v>
      </c>
      <c r="C1755" s="3" t="e">
        <f ca="1">[1]!BexGetData("DP_1","003N8EMH8GTFRCSWKMPXRR8GU","GSON1112160301")</f>
        <v>#NAME?</v>
      </c>
      <c r="D1755" s="3" t="e">
        <f ca="1">[1]!BexGetData("DP_1","003N8EMH8GTFRCSWKMPXRRESE","GSON1112160301")</f>
        <v>#NAME?</v>
      </c>
      <c r="E1755" s="8" t="e">
        <f ca="1">[1]!BexGetData("DP_1","003N8EMH8GTFRCSWKMPXRRL3Y","GSON1112160301")</f>
        <v>#NAME?</v>
      </c>
      <c r="F1755" s="4" t="e">
        <f ca="1">[1]!BexGetData("DP_1","003N8EMH8GTFRCSWKMPXRRRFI","GSON1112160301")</f>
        <v>#NAME?</v>
      </c>
      <c r="G1755" s="4" t="e">
        <f ca="1">[1]!BexGetData("DP_1","003N8EMH8GTFRCSWKMPXRRXR2","GSON1112160301")</f>
        <v>#NAME?</v>
      </c>
      <c r="H1755" s="4" t="e">
        <f ca="1">[1]!BexGetData("DP_1","003N8EMH8GTFRCSWKMPXRS42M","GSON1112160301")</f>
        <v>#NAME?</v>
      </c>
      <c r="I1755" s="4" t="e">
        <f ca="1">[1]!BexGetData("DP_1","003N8EMH8GTFRCSWKMPXRSAE6","GSON1112160301")</f>
        <v>#NAME?</v>
      </c>
      <c r="J1755" s="4" t="e">
        <f ca="1">[1]!BexGetData("DP_1","003N8EMH8GTFRCSWKMPXRSGPQ","GSON1112160301")</f>
        <v>#NAME?</v>
      </c>
      <c r="K1755" s="8" t="e">
        <f ca="1">[1]!BexGetData("DP_1","003N8EMH8GTFRIVNUPY288VJH","GSON1112160301")</f>
        <v>#NAME?</v>
      </c>
      <c r="L1755" s="8" t="e">
        <f ca="1">[1]!BexGetData("DP_1","003N8EMH8GTFRIVNUPY2891V1","GSON1112160301")</f>
        <v>#NAME?</v>
      </c>
      <c r="M1755" s="8" t="e">
        <f ca="1">[1]!BexGetData("DP_1","003N8EMH8GTFRIVOG7KG9IQXA","GSON1112160301")</f>
        <v>#NAME?</v>
      </c>
      <c r="N1755" s="8" t="e">
        <f ca="1">[1]!BexGetData("DP_1","003N8EMH8GTFRIVOG7KG9IX8U","GSON1112160301")</f>
        <v>#NAME?</v>
      </c>
      <c r="O1755" s="8" t="e">
        <f ca="1">[1]!BexGetData("DP_1","003N8EMH8GTFRIVOG7KG9J3KE","GSON1112160301")</f>
        <v>#NAME?</v>
      </c>
      <c r="P1755" s="8" t="e">
        <f ca="1">[1]!BexGetData("DP_1","003N8EMH8GTFRIVOG7KG9J9VY","GSON1112160301")</f>
        <v>#NAME?</v>
      </c>
      <c r="Q1755" s="4" t="e">
        <f ca="1">[1]!BexGetData("DP_1","00O2TNJGODT0G5Z4TTKYMM5MT","GSON1112160301")</f>
        <v>#NAME?</v>
      </c>
      <c r="R1755" s="4" t="e">
        <f ca="1">[1]!BexGetData("DP_1","00O2TNJGODT0G5Z4TTKYMMBYD","GSON1112160301")</f>
        <v>#NAME?</v>
      </c>
      <c r="S1755" s="4" t="e">
        <f ca="1">[1]!BexGetData("DP_1","00O2TNJGODT0G5Z4TTKYMMI9X","GSON1112160301")</f>
        <v>#NAME?</v>
      </c>
      <c r="T1755" s="4" t="e">
        <f ca="1">[1]!BexGetData("DP_1","00O2TNJGODT0G5Z4TTKYMMOLH","GSON1112160301")</f>
        <v>#NAME?</v>
      </c>
      <c r="U1755" s="4" t="e">
        <f ca="1">[1]!BexGetData("DP_1","00O2TNJGODT0G5Z4TTKYMMUX1","GSON1112160301")</f>
        <v>#NAME?</v>
      </c>
      <c r="V1755" s="4" t="e">
        <f ca="1">[1]!BexGetData("DP_1","00O2TNJGODT0G5Z4TTKYMN18L","GSON1112160301")</f>
        <v>#NAME?</v>
      </c>
      <c r="W1755" s="4" t="e">
        <f ca="1">[1]!BexGetData("DP_1","00O2TNJGODT0G5Z4TTKYMN7K5","GSON1112160301")</f>
        <v>#NAME?</v>
      </c>
    </row>
    <row r="1756" spans="1:23" x14ac:dyDescent="0.2">
      <c r="A1756" s="16" t="s">
        <v>4440</v>
      </c>
      <c r="B1756" s="7" t="s">
        <v>4441</v>
      </c>
      <c r="C1756" s="8" t="e">
        <f ca="1">[1]!BexGetData("DP_1","003N8EMH8GTFRCSWKMPXRR8GU","GSON1112160302")</f>
        <v>#NAME?</v>
      </c>
      <c r="D1756" s="3" t="e">
        <f ca="1">[1]!BexGetData("DP_1","003N8EMH8GTFRCSWKMPXRRESE","GSON1112160302")</f>
        <v>#NAME?</v>
      </c>
      <c r="E1756" s="3" t="e">
        <f ca="1">[1]!BexGetData("DP_1","003N8EMH8GTFRCSWKMPXRRL3Y","GSON1112160302")</f>
        <v>#NAME?</v>
      </c>
      <c r="F1756" s="4" t="e">
        <f ca="1">[1]!BexGetData("DP_1","003N8EMH8GTFRCSWKMPXRRRFI","GSON1112160302")</f>
        <v>#NAME?</v>
      </c>
      <c r="G1756" s="4" t="e">
        <f ca="1">[1]!BexGetData("DP_1","003N8EMH8GTFRCSWKMPXRRXR2","GSON1112160302")</f>
        <v>#NAME?</v>
      </c>
      <c r="H1756" s="4" t="e">
        <f ca="1">[1]!BexGetData("DP_1","003N8EMH8GTFRCSWKMPXRS42M","GSON1112160302")</f>
        <v>#NAME?</v>
      </c>
      <c r="I1756" s="4" t="e">
        <f ca="1">[1]!BexGetData("DP_1","003N8EMH8GTFRCSWKMPXRSAE6","GSON1112160302")</f>
        <v>#NAME?</v>
      </c>
      <c r="J1756" s="4" t="e">
        <f ca="1">[1]!BexGetData("DP_1","003N8EMH8GTFRCSWKMPXRSGPQ","GSON1112160302")</f>
        <v>#NAME?</v>
      </c>
      <c r="K1756" s="3" t="e">
        <f ca="1">[1]!BexGetData("DP_1","003N8EMH8GTFRIVNUPY288VJH","GSON1112160302")</f>
        <v>#NAME?</v>
      </c>
      <c r="L1756" s="3" t="e">
        <f ca="1">[1]!BexGetData("DP_1","003N8EMH8GTFRIVNUPY2891V1","GSON1112160302")</f>
        <v>#NAME?</v>
      </c>
      <c r="M1756" s="3" t="e">
        <f ca="1">[1]!BexGetData("DP_1","003N8EMH8GTFRIVOG7KG9IQXA","GSON1112160302")</f>
        <v>#NAME?</v>
      </c>
      <c r="N1756" s="8" t="e">
        <f ca="1">[1]!BexGetData("DP_1","003N8EMH8GTFRIVOG7KG9IX8U","GSON1112160302")</f>
        <v>#NAME?</v>
      </c>
      <c r="O1756" s="3" t="e">
        <f ca="1">[1]!BexGetData("DP_1","003N8EMH8GTFRIVOG7KG9J3KE","GSON1112160302")</f>
        <v>#NAME?</v>
      </c>
      <c r="P1756" s="8" t="e">
        <f ca="1">[1]!BexGetData("DP_1","003N8EMH8GTFRIVOG7KG9J9VY","GSON1112160302")</f>
        <v>#NAME?</v>
      </c>
      <c r="Q1756" s="4" t="e">
        <f ca="1">[1]!BexGetData("DP_1","00O2TNJGODT0G5Z4TTKYMM5MT","GSON1112160302")</f>
        <v>#NAME?</v>
      </c>
      <c r="R1756" s="4" t="e">
        <f ca="1">[1]!BexGetData("DP_1","00O2TNJGODT0G5Z4TTKYMMBYD","GSON1112160302")</f>
        <v>#NAME?</v>
      </c>
      <c r="S1756" s="4" t="e">
        <f ca="1">[1]!BexGetData("DP_1","00O2TNJGODT0G5Z4TTKYMMI9X","GSON1112160302")</f>
        <v>#NAME?</v>
      </c>
      <c r="T1756" s="4" t="e">
        <f ca="1">[1]!BexGetData("DP_1","00O2TNJGODT0G5Z4TTKYMMOLH","GSON1112160302")</f>
        <v>#NAME?</v>
      </c>
      <c r="U1756" s="4" t="e">
        <f ca="1">[1]!BexGetData("DP_1","00O2TNJGODT0G5Z4TTKYMMUX1","GSON1112160302")</f>
        <v>#NAME?</v>
      </c>
      <c r="V1756" s="4" t="e">
        <f ca="1">[1]!BexGetData("DP_1","00O2TNJGODT0G5Z4TTKYMN18L","GSON1112160302")</f>
        <v>#NAME?</v>
      </c>
      <c r="W1756" s="4" t="e">
        <f ca="1">[1]!BexGetData("DP_1","00O2TNJGODT0G5Z4TTKYMN7K5","GSON1112160302")</f>
        <v>#NAME?</v>
      </c>
    </row>
    <row r="1757" spans="1:23" x14ac:dyDescent="0.2">
      <c r="A1757" s="16" t="s">
        <v>4442</v>
      </c>
      <c r="B1757" s="7" t="s">
        <v>4443</v>
      </c>
      <c r="C1757" s="3" t="e">
        <f ca="1">[1]!BexGetData("DP_1","003N8EMH8GTFRCSWKMPXRR8GU","GSON1112160303")</f>
        <v>#NAME?</v>
      </c>
      <c r="D1757" s="3" t="e">
        <f ca="1">[1]!BexGetData("DP_1","003N8EMH8GTFRCSWKMPXRRESE","GSON1112160303")</f>
        <v>#NAME?</v>
      </c>
      <c r="E1757" s="8" t="e">
        <f ca="1">[1]!BexGetData("DP_1","003N8EMH8GTFRCSWKMPXRRL3Y","GSON1112160303")</f>
        <v>#NAME?</v>
      </c>
      <c r="F1757" s="4" t="e">
        <f ca="1">[1]!BexGetData("DP_1","003N8EMH8GTFRCSWKMPXRRRFI","GSON1112160303")</f>
        <v>#NAME?</v>
      </c>
      <c r="G1757" s="4" t="e">
        <f ca="1">[1]!BexGetData("DP_1","003N8EMH8GTFRCSWKMPXRRXR2","GSON1112160303")</f>
        <v>#NAME?</v>
      </c>
      <c r="H1757" s="4" t="e">
        <f ca="1">[1]!BexGetData("DP_1","003N8EMH8GTFRCSWKMPXRS42M","GSON1112160303")</f>
        <v>#NAME?</v>
      </c>
      <c r="I1757" s="4" t="e">
        <f ca="1">[1]!BexGetData("DP_1","003N8EMH8GTFRCSWKMPXRSAE6","GSON1112160303")</f>
        <v>#NAME?</v>
      </c>
      <c r="J1757" s="4" t="e">
        <f ca="1">[1]!BexGetData("DP_1","003N8EMH8GTFRCSWKMPXRSGPQ","GSON1112160303")</f>
        <v>#NAME?</v>
      </c>
      <c r="K1757" s="8" t="e">
        <f ca="1">[1]!BexGetData("DP_1","003N8EMH8GTFRIVNUPY288VJH","GSON1112160303")</f>
        <v>#NAME?</v>
      </c>
      <c r="L1757" s="8" t="e">
        <f ca="1">[1]!BexGetData("DP_1","003N8EMH8GTFRIVNUPY2891V1","GSON1112160303")</f>
        <v>#NAME?</v>
      </c>
      <c r="M1757" s="8" t="e">
        <f ca="1">[1]!BexGetData("DP_1","003N8EMH8GTFRIVOG7KG9IQXA","GSON1112160303")</f>
        <v>#NAME?</v>
      </c>
      <c r="N1757" s="8" t="e">
        <f ca="1">[1]!BexGetData("DP_1","003N8EMH8GTFRIVOG7KG9IX8U","GSON1112160303")</f>
        <v>#NAME?</v>
      </c>
      <c r="O1757" s="8" t="e">
        <f ca="1">[1]!BexGetData("DP_1","003N8EMH8GTFRIVOG7KG9J3KE","GSON1112160303")</f>
        <v>#NAME?</v>
      </c>
      <c r="P1757" s="8" t="e">
        <f ca="1">[1]!BexGetData("DP_1","003N8EMH8GTFRIVOG7KG9J9VY","GSON1112160303")</f>
        <v>#NAME?</v>
      </c>
      <c r="Q1757" s="4" t="e">
        <f ca="1">[1]!BexGetData("DP_1","00O2TNJGODT0G5Z4TTKYMM5MT","GSON1112160303")</f>
        <v>#NAME?</v>
      </c>
      <c r="R1757" s="4" t="e">
        <f ca="1">[1]!BexGetData("DP_1","00O2TNJGODT0G5Z4TTKYMMBYD","GSON1112160303")</f>
        <v>#NAME?</v>
      </c>
      <c r="S1757" s="4" t="e">
        <f ca="1">[1]!BexGetData("DP_1","00O2TNJGODT0G5Z4TTKYMMI9X","GSON1112160303")</f>
        <v>#NAME?</v>
      </c>
      <c r="T1757" s="4" t="e">
        <f ca="1">[1]!BexGetData("DP_1","00O2TNJGODT0G5Z4TTKYMMOLH","GSON1112160303")</f>
        <v>#NAME?</v>
      </c>
      <c r="U1757" s="4" t="e">
        <f ca="1">[1]!BexGetData("DP_1","00O2TNJGODT0G5Z4TTKYMMUX1","GSON1112160303")</f>
        <v>#NAME?</v>
      </c>
      <c r="V1757" s="4" t="e">
        <f ca="1">[1]!BexGetData("DP_1","00O2TNJGODT0G5Z4TTKYMN18L","GSON1112160303")</f>
        <v>#NAME?</v>
      </c>
      <c r="W1757" s="4" t="e">
        <f ca="1">[1]!BexGetData("DP_1","00O2TNJGODT0G5Z4TTKYMN7K5","GSON1112160303")</f>
        <v>#NAME?</v>
      </c>
    </row>
    <row r="1758" spans="1:23" x14ac:dyDescent="0.2">
      <c r="A1758" s="16" t="s">
        <v>4444</v>
      </c>
      <c r="B1758" s="7" t="s">
        <v>4445</v>
      </c>
      <c r="C1758" s="3" t="e">
        <f ca="1">[1]!BexGetData("DP_1","003N8EMH8GTFRCSWKMPXRR8GU","GSON1112160304")</f>
        <v>#NAME?</v>
      </c>
      <c r="D1758" s="3" t="e">
        <f ca="1">[1]!BexGetData("DP_1","003N8EMH8GTFRCSWKMPXRRESE","GSON1112160304")</f>
        <v>#NAME?</v>
      </c>
      <c r="E1758" s="8" t="e">
        <f ca="1">[1]!BexGetData("DP_1","003N8EMH8GTFRCSWKMPXRRL3Y","GSON1112160304")</f>
        <v>#NAME?</v>
      </c>
      <c r="F1758" s="4" t="e">
        <f ca="1">[1]!BexGetData("DP_1","003N8EMH8GTFRCSWKMPXRRRFI","GSON1112160304")</f>
        <v>#NAME?</v>
      </c>
      <c r="G1758" s="4" t="e">
        <f ca="1">[1]!BexGetData("DP_1","003N8EMH8GTFRCSWKMPXRRXR2","GSON1112160304")</f>
        <v>#NAME?</v>
      </c>
      <c r="H1758" s="4" t="e">
        <f ca="1">[1]!BexGetData("DP_1","003N8EMH8GTFRCSWKMPXRS42M","GSON1112160304")</f>
        <v>#NAME?</v>
      </c>
      <c r="I1758" s="4" t="e">
        <f ca="1">[1]!BexGetData("DP_1","003N8EMH8GTFRCSWKMPXRSAE6","GSON1112160304")</f>
        <v>#NAME?</v>
      </c>
      <c r="J1758" s="4" t="e">
        <f ca="1">[1]!BexGetData("DP_1","003N8EMH8GTFRCSWKMPXRSGPQ","GSON1112160304")</f>
        <v>#NAME?</v>
      </c>
      <c r="K1758" s="8" t="e">
        <f ca="1">[1]!BexGetData("DP_1","003N8EMH8GTFRIVNUPY288VJH","GSON1112160304")</f>
        <v>#NAME?</v>
      </c>
      <c r="L1758" s="8" t="e">
        <f ca="1">[1]!BexGetData("DP_1","003N8EMH8GTFRIVNUPY2891V1","GSON1112160304")</f>
        <v>#NAME?</v>
      </c>
      <c r="M1758" s="8" t="e">
        <f ca="1">[1]!BexGetData("DP_1","003N8EMH8GTFRIVOG7KG9IQXA","GSON1112160304")</f>
        <v>#NAME?</v>
      </c>
      <c r="N1758" s="8" t="e">
        <f ca="1">[1]!BexGetData("DP_1","003N8EMH8GTFRIVOG7KG9IX8U","GSON1112160304")</f>
        <v>#NAME?</v>
      </c>
      <c r="O1758" s="8" t="e">
        <f ca="1">[1]!BexGetData("DP_1","003N8EMH8GTFRIVOG7KG9J3KE","GSON1112160304")</f>
        <v>#NAME?</v>
      </c>
      <c r="P1758" s="8" t="e">
        <f ca="1">[1]!BexGetData("DP_1","003N8EMH8GTFRIVOG7KG9J9VY","GSON1112160304")</f>
        <v>#NAME?</v>
      </c>
      <c r="Q1758" s="4" t="e">
        <f ca="1">[1]!BexGetData("DP_1","00O2TNJGODT0G5Z4TTKYMM5MT","GSON1112160304")</f>
        <v>#NAME?</v>
      </c>
      <c r="R1758" s="4" t="e">
        <f ca="1">[1]!BexGetData("DP_1","00O2TNJGODT0G5Z4TTKYMMBYD","GSON1112160304")</f>
        <v>#NAME?</v>
      </c>
      <c r="S1758" s="4" t="e">
        <f ca="1">[1]!BexGetData("DP_1","00O2TNJGODT0G5Z4TTKYMMI9X","GSON1112160304")</f>
        <v>#NAME?</v>
      </c>
      <c r="T1758" s="4" t="e">
        <f ca="1">[1]!BexGetData("DP_1","00O2TNJGODT0G5Z4TTKYMMOLH","GSON1112160304")</f>
        <v>#NAME?</v>
      </c>
      <c r="U1758" s="4" t="e">
        <f ca="1">[1]!BexGetData("DP_1","00O2TNJGODT0G5Z4TTKYMMUX1","GSON1112160304")</f>
        <v>#NAME?</v>
      </c>
      <c r="V1758" s="4" t="e">
        <f ca="1">[1]!BexGetData("DP_1","00O2TNJGODT0G5Z4TTKYMN18L","GSON1112160304")</f>
        <v>#NAME?</v>
      </c>
      <c r="W1758" s="4" t="e">
        <f ca="1">[1]!BexGetData("DP_1","00O2TNJGODT0G5Z4TTKYMN7K5","GSON1112160304")</f>
        <v>#NAME?</v>
      </c>
    </row>
    <row r="1759" spans="1:23" x14ac:dyDescent="0.2">
      <c r="A1759" s="16" t="s">
        <v>4446</v>
      </c>
      <c r="B1759" s="7" t="s">
        <v>4447</v>
      </c>
      <c r="C1759" s="3" t="e">
        <f ca="1">[1]!BexGetData("DP_1","003N8EMH8GTFRCSWKMPXRR8GU","GSON1112160305")</f>
        <v>#NAME?</v>
      </c>
      <c r="D1759" s="3" t="e">
        <f ca="1">[1]!BexGetData("DP_1","003N8EMH8GTFRCSWKMPXRRESE","GSON1112160305")</f>
        <v>#NAME?</v>
      </c>
      <c r="E1759" s="8" t="e">
        <f ca="1">[1]!BexGetData("DP_1","003N8EMH8GTFRCSWKMPXRRL3Y","GSON1112160305")</f>
        <v>#NAME?</v>
      </c>
      <c r="F1759" s="4" t="e">
        <f ca="1">[1]!BexGetData("DP_1","003N8EMH8GTFRCSWKMPXRRRFI","GSON1112160305")</f>
        <v>#NAME?</v>
      </c>
      <c r="G1759" s="4" t="e">
        <f ca="1">[1]!BexGetData("DP_1","003N8EMH8GTFRCSWKMPXRRXR2","GSON1112160305")</f>
        <v>#NAME?</v>
      </c>
      <c r="H1759" s="4" t="e">
        <f ca="1">[1]!BexGetData("DP_1","003N8EMH8GTFRCSWKMPXRS42M","GSON1112160305")</f>
        <v>#NAME?</v>
      </c>
      <c r="I1759" s="4" t="e">
        <f ca="1">[1]!BexGetData("DP_1","003N8EMH8GTFRCSWKMPXRSAE6","GSON1112160305")</f>
        <v>#NAME?</v>
      </c>
      <c r="J1759" s="4" t="e">
        <f ca="1">[1]!BexGetData("DP_1","003N8EMH8GTFRCSWKMPXRSGPQ","GSON1112160305")</f>
        <v>#NAME?</v>
      </c>
      <c r="K1759" s="8" t="e">
        <f ca="1">[1]!BexGetData("DP_1","003N8EMH8GTFRIVNUPY288VJH","GSON1112160305")</f>
        <v>#NAME?</v>
      </c>
      <c r="L1759" s="8" t="e">
        <f ca="1">[1]!BexGetData("DP_1","003N8EMH8GTFRIVNUPY2891V1","GSON1112160305")</f>
        <v>#NAME?</v>
      </c>
      <c r="M1759" s="8" t="e">
        <f ca="1">[1]!BexGetData("DP_1","003N8EMH8GTFRIVOG7KG9IQXA","GSON1112160305")</f>
        <v>#NAME?</v>
      </c>
      <c r="N1759" s="8" t="e">
        <f ca="1">[1]!BexGetData("DP_1","003N8EMH8GTFRIVOG7KG9IX8U","GSON1112160305")</f>
        <v>#NAME?</v>
      </c>
      <c r="O1759" s="8" t="e">
        <f ca="1">[1]!BexGetData("DP_1","003N8EMH8GTFRIVOG7KG9J3KE","GSON1112160305")</f>
        <v>#NAME?</v>
      </c>
      <c r="P1759" s="8" t="e">
        <f ca="1">[1]!BexGetData("DP_1","003N8EMH8GTFRIVOG7KG9J9VY","GSON1112160305")</f>
        <v>#NAME?</v>
      </c>
      <c r="Q1759" s="4" t="e">
        <f ca="1">[1]!BexGetData("DP_1","00O2TNJGODT0G5Z4TTKYMM5MT","GSON1112160305")</f>
        <v>#NAME?</v>
      </c>
      <c r="R1759" s="4" t="e">
        <f ca="1">[1]!BexGetData("DP_1","00O2TNJGODT0G5Z4TTKYMMBYD","GSON1112160305")</f>
        <v>#NAME?</v>
      </c>
      <c r="S1759" s="4" t="e">
        <f ca="1">[1]!BexGetData("DP_1","00O2TNJGODT0G5Z4TTKYMMI9X","GSON1112160305")</f>
        <v>#NAME?</v>
      </c>
      <c r="T1759" s="4" t="e">
        <f ca="1">[1]!BexGetData("DP_1","00O2TNJGODT0G5Z4TTKYMMOLH","GSON1112160305")</f>
        <v>#NAME?</v>
      </c>
      <c r="U1759" s="4" t="e">
        <f ca="1">[1]!BexGetData("DP_1","00O2TNJGODT0G5Z4TTKYMMUX1","GSON1112160305")</f>
        <v>#NAME?</v>
      </c>
      <c r="V1759" s="4" t="e">
        <f ca="1">[1]!BexGetData("DP_1","00O2TNJGODT0G5Z4TTKYMN18L","GSON1112160305")</f>
        <v>#NAME?</v>
      </c>
      <c r="W1759" s="4" t="e">
        <f ca="1">[1]!BexGetData("DP_1","00O2TNJGODT0G5Z4TTKYMN7K5","GSON1112160305")</f>
        <v>#NAME?</v>
      </c>
    </row>
    <row r="1760" spans="1:23" x14ac:dyDescent="0.2">
      <c r="A1760" s="16" t="s">
        <v>4448</v>
      </c>
      <c r="B1760" s="7" t="s">
        <v>4449</v>
      </c>
      <c r="C1760" s="8" t="e">
        <f ca="1">[1]!BexGetData("DP_1","003N8EMH8GTFRCSWKMPXRR8GU","GSON1112160471")</f>
        <v>#NAME?</v>
      </c>
      <c r="D1760" s="8" t="e">
        <f ca="1">[1]!BexGetData("DP_1","003N8EMH8GTFRCSWKMPXRRESE","GSON1112160471")</f>
        <v>#NAME?</v>
      </c>
      <c r="E1760" s="3" t="e">
        <f ca="1">[1]!BexGetData("DP_1","003N8EMH8GTFRCSWKMPXRRL3Y","GSON1112160471")</f>
        <v>#NAME?</v>
      </c>
      <c r="F1760" s="3" t="e">
        <f ca="1">[1]!BexGetData("DP_1","003N8EMH8GTFRCSWKMPXRRRFI","GSON1112160471")</f>
        <v>#NAME?</v>
      </c>
      <c r="G1760" s="3" t="e">
        <f ca="1">[1]!BexGetData("DP_1","003N8EMH8GTFRCSWKMPXRRXR2","GSON1112160471")</f>
        <v>#NAME?</v>
      </c>
      <c r="H1760" s="8" t="e">
        <f ca="1">[1]!BexGetData("DP_1","003N8EMH8GTFRCSWKMPXRS42M","GSON1112160471")</f>
        <v>#NAME?</v>
      </c>
      <c r="I1760" s="3" t="e">
        <f ca="1">[1]!BexGetData("DP_1","003N8EMH8GTFRCSWKMPXRSAE6","GSON1112160471")</f>
        <v>#NAME?</v>
      </c>
      <c r="J1760" s="4" t="e">
        <f ca="1">[1]!BexGetData("DP_1","003N8EMH8GTFRCSWKMPXRSGPQ","GSON1112160471")</f>
        <v>#NAME?</v>
      </c>
      <c r="K1760" s="8" t="e">
        <f ca="1">[1]!BexGetData("DP_1","003N8EMH8GTFRIVNUPY288VJH","GSON1112160471")</f>
        <v>#NAME?</v>
      </c>
      <c r="L1760" s="8" t="e">
        <f ca="1">[1]!BexGetData("DP_1","003N8EMH8GTFRIVNUPY2891V1","GSON1112160471")</f>
        <v>#NAME?</v>
      </c>
      <c r="M1760" s="8" t="e">
        <f ca="1">[1]!BexGetData("DP_1","003N8EMH8GTFRIVOG7KG9IQXA","GSON1112160471")</f>
        <v>#NAME?</v>
      </c>
      <c r="N1760" s="8" t="e">
        <f ca="1">[1]!BexGetData("DP_1","003N8EMH8GTFRIVOG7KG9IX8U","GSON1112160471")</f>
        <v>#NAME?</v>
      </c>
      <c r="O1760" s="8" t="e">
        <f ca="1">[1]!BexGetData("DP_1","003N8EMH8GTFRIVOG7KG9J3KE","GSON1112160471")</f>
        <v>#NAME?</v>
      </c>
      <c r="P1760" s="8" t="e">
        <f ca="1">[1]!BexGetData("DP_1","003N8EMH8GTFRIVOG7KG9J9VY","GSON1112160471")</f>
        <v>#NAME?</v>
      </c>
      <c r="Q1760" s="4" t="e">
        <f ca="1">[1]!BexGetData("DP_1","00O2TNJGODT0G5Z4TTKYMM5MT","GSON1112160471")</f>
        <v>#NAME?</v>
      </c>
      <c r="R1760" s="3" t="e">
        <f ca="1">[1]!BexGetData("DP_1","00O2TNJGODT0G5Z4TTKYMMBYD","GSON1112160471")</f>
        <v>#NAME?</v>
      </c>
      <c r="S1760" s="3" t="e">
        <f ca="1">[1]!BexGetData("DP_1","00O2TNJGODT0G5Z4TTKYMMI9X","GSON1112160471")</f>
        <v>#NAME?</v>
      </c>
      <c r="T1760" s="8" t="e">
        <f ca="1">[1]!BexGetData("DP_1","00O2TNJGODT0G5Z4TTKYMMOLH","GSON1112160471")</f>
        <v>#NAME?</v>
      </c>
      <c r="U1760" s="3" t="e">
        <f ca="1">[1]!BexGetData("DP_1","00O2TNJGODT0G5Z4TTKYMMUX1","GSON1112160471")</f>
        <v>#NAME?</v>
      </c>
      <c r="V1760" s="8" t="e">
        <f ca="1">[1]!BexGetData("DP_1","00O2TNJGODT0G5Z4TTKYMN18L","GSON1112160471")</f>
        <v>#NAME?</v>
      </c>
      <c r="W1760" s="3" t="e">
        <f ca="1">[1]!BexGetData("DP_1","00O2TNJGODT0G5Z4TTKYMN7K5","GSON1112160471")</f>
        <v>#NAME?</v>
      </c>
    </row>
    <row r="1761" spans="1:23" x14ac:dyDescent="0.2">
      <c r="A1761" s="16" t="s">
        <v>4450</v>
      </c>
      <c r="B1761" s="7" t="s">
        <v>4451</v>
      </c>
      <c r="C1761" s="3" t="e">
        <f ca="1">[1]!BexGetData("DP_1","003N8EMH8GTFRCSWKMPXRR8GU","GSON1112160480")</f>
        <v>#NAME?</v>
      </c>
      <c r="D1761" s="3" t="e">
        <f ca="1">[1]!BexGetData("DP_1","003N8EMH8GTFRCSWKMPXRRESE","GSON1112160480")</f>
        <v>#NAME?</v>
      </c>
      <c r="E1761" s="8" t="e">
        <f ca="1">[1]!BexGetData("DP_1","003N8EMH8GTFRCSWKMPXRRL3Y","GSON1112160480")</f>
        <v>#NAME?</v>
      </c>
      <c r="F1761" s="3" t="e">
        <f ca="1">[1]!BexGetData("DP_1","003N8EMH8GTFRCSWKMPXRRRFI","GSON1112160480")</f>
        <v>#NAME?</v>
      </c>
      <c r="G1761" s="3" t="e">
        <f ca="1">[1]!BexGetData("DP_1","003N8EMH8GTFRCSWKMPXRRXR2","GSON1112160480")</f>
        <v>#NAME?</v>
      </c>
      <c r="H1761" s="8" t="e">
        <f ca="1">[1]!BexGetData("DP_1","003N8EMH8GTFRCSWKMPXRS42M","GSON1112160480")</f>
        <v>#NAME?</v>
      </c>
      <c r="I1761" s="3" t="e">
        <f ca="1">[1]!BexGetData("DP_1","003N8EMH8GTFRCSWKMPXRSAE6","GSON1112160480")</f>
        <v>#NAME?</v>
      </c>
      <c r="J1761" s="4" t="e">
        <f ca="1">[1]!BexGetData("DP_1","003N8EMH8GTFRCSWKMPXRSGPQ","GSON1112160480")</f>
        <v>#NAME?</v>
      </c>
      <c r="K1761" s="3" t="e">
        <f ca="1">[1]!BexGetData("DP_1","003N8EMH8GTFRIVNUPY288VJH","GSON1112160480")</f>
        <v>#NAME?</v>
      </c>
      <c r="L1761" s="3" t="e">
        <f ca="1">[1]!BexGetData("DP_1","003N8EMH8GTFRIVNUPY2891V1","GSON1112160480")</f>
        <v>#NAME?</v>
      </c>
      <c r="M1761" s="3" t="e">
        <f ca="1">[1]!BexGetData("DP_1","003N8EMH8GTFRIVOG7KG9IQXA","GSON1112160480")</f>
        <v>#NAME?</v>
      </c>
      <c r="N1761" s="8" t="e">
        <f ca="1">[1]!BexGetData("DP_1","003N8EMH8GTFRIVOG7KG9IX8U","GSON1112160480")</f>
        <v>#NAME?</v>
      </c>
      <c r="O1761" s="3" t="e">
        <f ca="1">[1]!BexGetData("DP_1","003N8EMH8GTFRIVOG7KG9J3KE","GSON1112160480")</f>
        <v>#NAME?</v>
      </c>
      <c r="P1761" s="8" t="e">
        <f ca="1">[1]!BexGetData("DP_1","003N8EMH8GTFRIVOG7KG9J9VY","GSON1112160480")</f>
        <v>#NAME?</v>
      </c>
      <c r="Q1761" s="4" t="e">
        <f ca="1">[1]!BexGetData("DP_1","00O2TNJGODT0G5Z4TTKYMM5MT","GSON1112160480")</f>
        <v>#NAME?</v>
      </c>
      <c r="R1761" s="3" t="e">
        <f ca="1">[1]!BexGetData("DP_1","00O2TNJGODT0G5Z4TTKYMMBYD","GSON1112160480")</f>
        <v>#NAME?</v>
      </c>
      <c r="S1761" s="3" t="e">
        <f ca="1">[1]!BexGetData("DP_1","00O2TNJGODT0G5Z4TTKYMMI9X","GSON1112160480")</f>
        <v>#NAME?</v>
      </c>
      <c r="T1761" s="8" t="e">
        <f ca="1">[1]!BexGetData("DP_1","00O2TNJGODT0G5Z4TTKYMMOLH","GSON1112160480")</f>
        <v>#NAME?</v>
      </c>
      <c r="U1761" s="3" t="e">
        <f ca="1">[1]!BexGetData("DP_1","00O2TNJGODT0G5Z4TTKYMMUX1","GSON1112160480")</f>
        <v>#NAME?</v>
      </c>
      <c r="V1761" s="8" t="e">
        <f ca="1">[1]!BexGetData("DP_1","00O2TNJGODT0G5Z4TTKYMN18L","GSON1112160480")</f>
        <v>#NAME?</v>
      </c>
      <c r="W1761" s="3" t="e">
        <f ca="1">[1]!BexGetData("DP_1","00O2TNJGODT0G5Z4TTKYMN7K5","GSON1112160480")</f>
        <v>#NAME?</v>
      </c>
    </row>
    <row r="1762" spans="1:23" x14ac:dyDescent="0.2">
      <c r="A1762" s="16" t="s">
        <v>4452</v>
      </c>
      <c r="B1762" s="7" t="s">
        <v>4453</v>
      </c>
      <c r="C1762" s="3" t="e">
        <f ca="1">[1]!BexGetData("DP_1","003N8EMH8GTFRCSWKMPXRR8GU","GSON1112160481")</f>
        <v>#NAME?</v>
      </c>
      <c r="D1762" s="3" t="e">
        <f ca="1">[1]!BexGetData("DP_1","003N8EMH8GTFRCSWKMPXRRESE","GSON1112160481")</f>
        <v>#NAME?</v>
      </c>
      <c r="E1762" s="8" t="e">
        <f ca="1">[1]!BexGetData("DP_1","003N8EMH8GTFRCSWKMPXRRL3Y","GSON1112160481")</f>
        <v>#NAME?</v>
      </c>
      <c r="F1762" s="4" t="e">
        <f ca="1">[1]!BexGetData("DP_1","003N8EMH8GTFRCSWKMPXRRRFI","GSON1112160481")</f>
        <v>#NAME?</v>
      </c>
      <c r="G1762" s="4" t="e">
        <f ca="1">[1]!BexGetData("DP_1","003N8EMH8GTFRCSWKMPXRRXR2","GSON1112160481")</f>
        <v>#NAME?</v>
      </c>
      <c r="H1762" s="4" t="e">
        <f ca="1">[1]!BexGetData("DP_1","003N8EMH8GTFRCSWKMPXRS42M","GSON1112160481")</f>
        <v>#NAME?</v>
      </c>
      <c r="I1762" s="4" t="e">
        <f ca="1">[1]!BexGetData("DP_1","003N8EMH8GTFRCSWKMPXRSAE6","GSON1112160481")</f>
        <v>#NAME?</v>
      </c>
      <c r="J1762" s="4" t="e">
        <f ca="1">[1]!BexGetData("DP_1","003N8EMH8GTFRCSWKMPXRSGPQ","GSON1112160481")</f>
        <v>#NAME?</v>
      </c>
      <c r="K1762" s="8" t="e">
        <f ca="1">[1]!BexGetData("DP_1","003N8EMH8GTFRIVNUPY288VJH","GSON1112160481")</f>
        <v>#NAME?</v>
      </c>
      <c r="L1762" s="8" t="e">
        <f ca="1">[1]!BexGetData("DP_1","003N8EMH8GTFRIVNUPY2891V1","GSON1112160481")</f>
        <v>#NAME?</v>
      </c>
      <c r="M1762" s="8" t="e">
        <f ca="1">[1]!BexGetData("DP_1","003N8EMH8GTFRIVOG7KG9IQXA","GSON1112160481")</f>
        <v>#NAME?</v>
      </c>
      <c r="N1762" s="8" t="e">
        <f ca="1">[1]!BexGetData("DP_1","003N8EMH8GTFRIVOG7KG9IX8U","GSON1112160481")</f>
        <v>#NAME?</v>
      </c>
      <c r="O1762" s="8" t="e">
        <f ca="1">[1]!BexGetData("DP_1","003N8EMH8GTFRIVOG7KG9J3KE","GSON1112160481")</f>
        <v>#NAME?</v>
      </c>
      <c r="P1762" s="8" t="e">
        <f ca="1">[1]!BexGetData("DP_1","003N8EMH8GTFRIVOG7KG9J9VY","GSON1112160481")</f>
        <v>#NAME?</v>
      </c>
      <c r="Q1762" s="4" t="e">
        <f ca="1">[1]!BexGetData("DP_1","00O2TNJGODT0G5Z4TTKYMM5MT","GSON1112160481")</f>
        <v>#NAME?</v>
      </c>
      <c r="R1762" s="4" t="e">
        <f ca="1">[1]!BexGetData("DP_1","00O2TNJGODT0G5Z4TTKYMMBYD","GSON1112160481")</f>
        <v>#NAME?</v>
      </c>
      <c r="S1762" s="4" t="e">
        <f ca="1">[1]!BexGetData("DP_1","00O2TNJGODT0G5Z4TTKYMMI9X","GSON1112160481")</f>
        <v>#NAME?</v>
      </c>
      <c r="T1762" s="4" t="e">
        <f ca="1">[1]!BexGetData("DP_1","00O2TNJGODT0G5Z4TTKYMMOLH","GSON1112160481")</f>
        <v>#NAME?</v>
      </c>
      <c r="U1762" s="4" t="e">
        <f ca="1">[1]!BexGetData("DP_1","00O2TNJGODT0G5Z4TTKYMMUX1","GSON1112160481")</f>
        <v>#NAME?</v>
      </c>
      <c r="V1762" s="4" t="e">
        <f ca="1">[1]!BexGetData("DP_1","00O2TNJGODT0G5Z4TTKYMN18L","GSON1112160481")</f>
        <v>#NAME?</v>
      </c>
      <c r="W1762" s="4" t="e">
        <f ca="1">[1]!BexGetData("DP_1","00O2TNJGODT0G5Z4TTKYMN7K5","GSON1112160481")</f>
        <v>#NAME?</v>
      </c>
    </row>
    <row r="1763" spans="1:23" x14ac:dyDescent="0.2">
      <c r="A1763" s="16" t="s">
        <v>4454</v>
      </c>
      <c r="B1763" s="7" t="s">
        <v>4455</v>
      </c>
      <c r="C1763" s="3" t="e">
        <f ca="1">[1]!BexGetData("DP_1","003N8EMH8GTFRCSWKMPXRR8GU","GSON1112160483")</f>
        <v>#NAME?</v>
      </c>
      <c r="D1763" s="3" t="e">
        <f ca="1">[1]!BexGetData("DP_1","003N8EMH8GTFRCSWKMPXRRESE","GSON1112160483")</f>
        <v>#NAME?</v>
      </c>
      <c r="E1763" s="8" t="e">
        <f ca="1">[1]!BexGetData("DP_1","003N8EMH8GTFRCSWKMPXRRL3Y","GSON1112160483")</f>
        <v>#NAME?</v>
      </c>
      <c r="F1763" s="4" t="e">
        <f ca="1">[1]!BexGetData("DP_1","003N8EMH8GTFRCSWKMPXRRRFI","GSON1112160483")</f>
        <v>#NAME?</v>
      </c>
      <c r="G1763" s="4" t="e">
        <f ca="1">[1]!BexGetData("DP_1","003N8EMH8GTFRCSWKMPXRRXR2","GSON1112160483")</f>
        <v>#NAME?</v>
      </c>
      <c r="H1763" s="4" t="e">
        <f ca="1">[1]!BexGetData("DP_1","003N8EMH8GTFRCSWKMPXRS42M","GSON1112160483")</f>
        <v>#NAME?</v>
      </c>
      <c r="I1763" s="4" t="e">
        <f ca="1">[1]!BexGetData("DP_1","003N8EMH8GTFRCSWKMPXRSAE6","GSON1112160483")</f>
        <v>#NAME?</v>
      </c>
      <c r="J1763" s="4" t="e">
        <f ca="1">[1]!BexGetData("DP_1","003N8EMH8GTFRCSWKMPXRSGPQ","GSON1112160483")</f>
        <v>#NAME?</v>
      </c>
      <c r="K1763" s="8" t="e">
        <f ca="1">[1]!BexGetData("DP_1","003N8EMH8GTFRIVNUPY288VJH","GSON1112160483")</f>
        <v>#NAME?</v>
      </c>
      <c r="L1763" s="8" t="e">
        <f ca="1">[1]!BexGetData("DP_1","003N8EMH8GTFRIVNUPY2891V1","GSON1112160483")</f>
        <v>#NAME?</v>
      </c>
      <c r="M1763" s="8" t="e">
        <f ca="1">[1]!BexGetData("DP_1","003N8EMH8GTFRIVOG7KG9IQXA","GSON1112160483")</f>
        <v>#NAME?</v>
      </c>
      <c r="N1763" s="8" t="e">
        <f ca="1">[1]!BexGetData("DP_1","003N8EMH8GTFRIVOG7KG9IX8U","GSON1112160483")</f>
        <v>#NAME?</v>
      </c>
      <c r="O1763" s="8" t="e">
        <f ca="1">[1]!BexGetData("DP_1","003N8EMH8GTFRIVOG7KG9J3KE","GSON1112160483")</f>
        <v>#NAME?</v>
      </c>
      <c r="P1763" s="8" t="e">
        <f ca="1">[1]!BexGetData("DP_1","003N8EMH8GTFRIVOG7KG9J9VY","GSON1112160483")</f>
        <v>#NAME?</v>
      </c>
      <c r="Q1763" s="4" t="e">
        <f ca="1">[1]!BexGetData("DP_1","00O2TNJGODT0G5Z4TTKYMM5MT","GSON1112160483")</f>
        <v>#NAME?</v>
      </c>
      <c r="R1763" s="4" t="e">
        <f ca="1">[1]!BexGetData("DP_1","00O2TNJGODT0G5Z4TTKYMMBYD","GSON1112160483")</f>
        <v>#NAME?</v>
      </c>
      <c r="S1763" s="4" t="e">
        <f ca="1">[1]!BexGetData("DP_1","00O2TNJGODT0G5Z4TTKYMMI9X","GSON1112160483")</f>
        <v>#NAME?</v>
      </c>
      <c r="T1763" s="4" t="e">
        <f ca="1">[1]!BexGetData("DP_1","00O2TNJGODT0G5Z4TTKYMMOLH","GSON1112160483")</f>
        <v>#NAME?</v>
      </c>
      <c r="U1763" s="4" t="e">
        <f ca="1">[1]!BexGetData("DP_1","00O2TNJGODT0G5Z4TTKYMMUX1","GSON1112160483")</f>
        <v>#NAME?</v>
      </c>
      <c r="V1763" s="4" t="e">
        <f ca="1">[1]!BexGetData("DP_1","00O2TNJGODT0G5Z4TTKYMN18L","GSON1112160483")</f>
        <v>#NAME?</v>
      </c>
      <c r="W1763" s="4" t="e">
        <f ca="1">[1]!BexGetData("DP_1","00O2TNJGODT0G5Z4TTKYMN7K5","GSON1112160483")</f>
        <v>#NAME?</v>
      </c>
    </row>
    <row r="1764" spans="1:23" x14ac:dyDescent="0.2">
      <c r="A1764" s="16" t="s">
        <v>4456</v>
      </c>
      <c r="B1764" s="7" t="s">
        <v>4457</v>
      </c>
      <c r="C1764" s="3" t="e">
        <f ca="1">[1]!BexGetData("DP_1","003N8EMH8GTFRCSWKMPXRR8GU","GSON1112160485")</f>
        <v>#NAME?</v>
      </c>
      <c r="D1764" s="3" t="e">
        <f ca="1">[1]!BexGetData("DP_1","003N8EMH8GTFRCSWKMPXRRESE","GSON1112160485")</f>
        <v>#NAME?</v>
      </c>
      <c r="E1764" s="8" t="e">
        <f ca="1">[1]!BexGetData("DP_1","003N8EMH8GTFRCSWKMPXRRL3Y","GSON1112160485")</f>
        <v>#NAME?</v>
      </c>
      <c r="F1764" s="4" t="e">
        <f ca="1">[1]!BexGetData("DP_1","003N8EMH8GTFRCSWKMPXRRRFI","GSON1112160485")</f>
        <v>#NAME?</v>
      </c>
      <c r="G1764" s="4" t="e">
        <f ca="1">[1]!BexGetData("DP_1","003N8EMH8GTFRCSWKMPXRRXR2","GSON1112160485")</f>
        <v>#NAME?</v>
      </c>
      <c r="H1764" s="4" t="e">
        <f ca="1">[1]!BexGetData("DP_1","003N8EMH8GTFRCSWKMPXRS42M","GSON1112160485")</f>
        <v>#NAME?</v>
      </c>
      <c r="I1764" s="4" t="e">
        <f ca="1">[1]!BexGetData("DP_1","003N8EMH8GTFRCSWKMPXRSAE6","GSON1112160485")</f>
        <v>#NAME?</v>
      </c>
      <c r="J1764" s="4" t="e">
        <f ca="1">[1]!BexGetData("DP_1","003N8EMH8GTFRCSWKMPXRSGPQ","GSON1112160485")</f>
        <v>#NAME?</v>
      </c>
      <c r="K1764" s="8" t="e">
        <f ca="1">[1]!BexGetData("DP_1","003N8EMH8GTFRIVNUPY288VJH","GSON1112160485")</f>
        <v>#NAME?</v>
      </c>
      <c r="L1764" s="8" t="e">
        <f ca="1">[1]!BexGetData("DP_1","003N8EMH8GTFRIVNUPY2891V1","GSON1112160485")</f>
        <v>#NAME?</v>
      </c>
      <c r="M1764" s="8" t="e">
        <f ca="1">[1]!BexGetData("DP_1","003N8EMH8GTFRIVOG7KG9IQXA","GSON1112160485")</f>
        <v>#NAME?</v>
      </c>
      <c r="N1764" s="8" t="e">
        <f ca="1">[1]!BexGetData("DP_1","003N8EMH8GTFRIVOG7KG9IX8U","GSON1112160485")</f>
        <v>#NAME?</v>
      </c>
      <c r="O1764" s="8" t="e">
        <f ca="1">[1]!BexGetData("DP_1","003N8EMH8GTFRIVOG7KG9J3KE","GSON1112160485")</f>
        <v>#NAME?</v>
      </c>
      <c r="P1764" s="8" t="e">
        <f ca="1">[1]!BexGetData("DP_1","003N8EMH8GTFRIVOG7KG9J9VY","GSON1112160485")</f>
        <v>#NAME?</v>
      </c>
      <c r="Q1764" s="4" t="e">
        <f ca="1">[1]!BexGetData("DP_1","00O2TNJGODT0G5Z4TTKYMM5MT","GSON1112160485")</f>
        <v>#NAME?</v>
      </c>
      <c r="R1764" s="4" t="e">
        <f ca="1">[1]!BexGetData("DP_1","00O2TNJGODT0G5Z4TTKYMMBYD","GSON1112160485")</f>
        <v>#NAME?</v>
      </c>
      <c r="S1764" s="4" t="e">
        <f ca="1">[1]!BexGetData("DP_1","00O2TNJGODT0G5Z4TTKYMMI9X","GSON1112160485")</f>
        <v>#NAME?</v>
      </c>
      <c r="T1764" s="4" t="e">
        <f ca="1">[1]!BexGetData("DP_1","00O2TNJGODT0G5Z4TTKYMMOLH","GSON1112160485")</f>
        <v>#NAME?</v>
      </c>
      <c r="U1764" s="4" t="e">
        <f ca="1">[1]!BexGetData("DP_1","00O2TNJGODT0G5Z4TTKYMMUX1","GSON1112160485")</f>
        <v>#NAME?</v>
      </c>
      <c r="V1764" s="4" t="e">
        <f ca="1">[1]!BexGetData("DP_1","00O2TNJGODT0G5Z4TTKYMN18L","GSON1112160485")</f>
        <v>#NAME?</v>
      </c>
      <c r="W1764" s="4" t="e">
        <f ca="1">[1]!BexGetData("DP_1","00O2TNJGODT0G5Z4TTKYMN7K5","GSON1112160485")</f>
        <v>#NAME?</v>
      </c>
    </row>
    <row r="1765" spans="1:23" x14ac:dyDescent="0.2">
      <c r="A1765" s="16" t="s">
        <v>4458</v>
      </c>
      <c r="B1765" s="7" t="s">
        <v>4459</v>
      </c>
      <c r="C1765" s="3" t="e">
        <f ca="1">[1]!BexGetData("DP_1","003N8EMH8GTFRCSWKMPXRR8GU","GSON1112160490")</f>
        <v>#NAME?</v>
      </c>
      <c r="D1765" s="3" t="e">
        <f ca="1">[1]!BexGetData("DP_1","003N8EMH8GTFRCSWKMPXRRESE","GSON1112160490")</f>
        <v>#NAME?</v>
      </c>
      <c r="E1765" s="3" t="e">
        <f ca="1">[1]!BexGetData("DP_1","003N8EMH8GTFRCSWKMPXRRL3Y","GSON1112160490")</f>
        <v>#NAME?</v>
      </c>
      <c r="F1765" s="4" t="e">
        <f ca="1">[1]!BexGetData("DP_1","003N8EMH8GTFRCSWKMPXRRRFI","GSON1112160490")</f>
        <v>#NAME?</v>
      </c>
      <c r="G1765" s="4" t="e">
        <f ca="1">[1]!BexGetData("DP_1","003N8EMH8GTFRCSWKMPXRRXR2","GSON1112160490")</f>
        <v>#NAME?</v>
      </c>
      <c r="H1765" s="4" t="e">
        <f ca="1">[1]!BexGetData("DP_1","003N8EMH8GTFRCSWKMPXRS42M","GSON1112160490")</f>
        <v>#NAME?</v>
      </c>
      <c r="I1765" s="4" t="e">
        <f ca="1">[1]!BexGetData("DP_1","003N8EMH8GTFRCSWKMPXRSAE6","GSON1112160490")</f>
        <v>#NAME?</v>
      </c>
      <c r="J1765" s="4" t="e">
        <f ca="1">[1]!BexGetData("DP_1","003N8EMH8GTFRCSWKMPXRSGPQ","GSON1112160490")</f>
        <v>#NAME?</v>
      </c>
      <c r="K1765" s="3" t="e">
        <f ca="1">[1]!BexGetData("DP_1","003N8EMH8GTFRIVNUPY288VJH","GSON1112160490")</f>
        <v>#NAME?</v>
      </c>
      <c r="L1765" s="3" t="e">
        <f ca="1">[1]!BexGetData("DP_1","003N8EMH8GTFRIVNUPY2891V1","GSON1112160490")</f>
        <v>#NAME?</v>
      </c>
      <c r="M1765" s="8" t="e">
        <f ca="1">[1]!BexGetData("DP_1","003N8EMH8GTFRIVOG7KG9IQXA","GSON1112160490")</f>
        <v>#NAME?</v>
      </c>
      <c r="N1765" s="3" t="e">
        <f ca="1">[1]!BexGetData("DP_1","003N8EMH8GTFRIVOG7KG9IX8U","GSON1112160490")</f>
        <v>#NAME?</v>
      </c>
      <c r="O1765" s="8" t="e">
        <f ca="1">[1]!BexGetData("DP_1","003N8EMH8GTFRIVOG7KG9J3KE","GSON1112160490")</f>
        <v>#NAME?</v>
      </c>
      <c r="P1765" s="3" t="e">
        <f ca="1">[1]!BexGetData("DP_1","003N8EMH8GTFRIVOG7KG9J9VY","GSON1112160490")</f>
        <v>#NAME?</v>
      </c>
      <c r="Q1765" s="4" t="e">
        <f ca="1">[1]!BexGetData("DP_1","00O2TNJGODT0G5Z4TTKYMM5MT","GSON1112160490")</f>
        <v>#NAME?</v>
      </c>
      <c r="R1765" s="4" t="e">
        <f ca="1">[1]!BexGetData("DP_1","00O2TNJGODT0G5Z4TTKYMMBYD","GSON1112160490")</f>
        <v>#NAME?</v>
      </c>
      <c r="S1765" s="4" t="e">
        <f ca="1">[1]!BexGetData("DP_1","00O2TNJGODT0G5Z4TTKYMMI9X","GSON1112160490")</f>
        <v>#NAME?</v>
      </c>
      <c r="T1765" s="4" t="e">
        <f ca="1">[1]!BexGetData("DP_1","00O2TNJGODT0G5Z4TTKYMMOLH","GSON1112160490")</f>
        <v>#NAME?</v>
      </c>
      <c r="U1765" s="4" t="e">
        <f ca="1">[1]!BexGetData("DP_1","00O2TNJGODT0G5Z4TTKYMMUX1","GSON1112160490")</f>
        <v>#NAME?</v>
      </c>
      <c r="V1765" s="4" t="e">
        <f ca="1">[1]!BexGetData("DP_1","00O2TNJGODT0G5Z4TTKYMN18L","GSON1112160490")</f>
        <v>#NAME?</v>
      </c>
      <c r="W1765" s="4" t="e">
        <f ca="1">[1]!BexGetData("DP_1","00O2TNJGODT0G5Z4TTKYMN7K5","GSON1112160490")</f>
        <v>#NAME?</v>
      </c>
    </row>
    <row r="1766" spans="1:23" x14ac:dyDescent="0.2">
      <c r="A1766" s="16" t="s">
        <v>4460</v>
      </c>
      <c r="B1766" s="7" t="s">
        <v>4461</v>
      </c>
      <c r="C1766" s="3" t="e">
        <f ca="1">[1]!BexGetData("DP_1","003N8EMH8GTFRCSWKMPXRR8GU","GSON1112160491")</f>
        <v>#NAME?</v>
      </c>
      <c r="D1766" s="3" t="e">
        <f ca="1">[1]!BexGetData("DP_1","003N8EMH8GTFRCSWKMPXRRESE","GSON1112160491")</f>
        <v>#NAME?</v>
      </c>
      <c r="E1766" s="8" t="e">
        <f ca="1">[1]!BexGetData("DP_1","003N8EMH8GTFRCSWKMPXRRL3Y","GSON1112160491")</f>
        <v>#NAME?</v>
      </c>
      <c r="F1766" s="4" t="e">
        <f ca="1">[1]!BexGetData("DP_1","003N8EMH8GTFRCSWKMPXRRRFI","GSON1112160491")</f>
        <v>#NAME?</v>
      </c>
      <c r="G1766" s="4" t="e">
        <f ca="1">[1]!BexGetData("DP_1","003N8EMH8GTFRCSWKMPXRRXR2","GSON1112160491")</f>
        <v>#NAME?</v>
      </c>
      <c r="H1766" s="4" t="e">
        <f ca="1">[1]!BexGetData("DP_1","003N8EMH8GTFRCSWKMPXRS42M","GSON1112160491")</f>
        <v>#NAME?</v>
      </c>
      <c r="I1766" s="4" t="e">
        <f ca="1">[1]!BexGetData("DP_1","003N8EMH8GTFRCSWKMPXRSAE6","GSON1112160491")</f>
        <v>#NAME?</v>
      </c>
      <c r="J1766" s="4" t="e">
        <f ca="1">[1]!BexGetData("DP_1","003N8EMH8GTFRCSWKMPXRSGPQ","GSON1112160491")</f>
        <v>#NAME?</v>
      </c>
      <c r="K1766" s="8" t="e">
        <f ca="1">[1]!BexGetData("DP_1","003N8EMH8GTFRIVNUPY288VJH","GSON1112160491")</f>
        <v>#NAME?</v>
      </c>
      <c r="L1766" s="8" t="e">
        <f ca="1">[1]!BexGetData("DP_1","003N8EMH8GTFRIVNUPY2891V1","GSON1112160491")</f>
        <v>#NAME?</v>
      </c>
      <c r="M1766" s="8" t="e">
        <f ca="1">[1]!BexGetData("DP_1","003N8EMH8GTFRIVOG7KG9IQXA","GSON1112160491")</f>
        <v>#NAME?</v>
      </c>
      <c r="N1766" s="8" t="e">
        <f ca="1">[1]!BexGetData("DP_1","003N8EMH8GTFRIVOG7KG9IX8U","GSON1112160491")</f>
        <v>#NAME?</v>
      </c>
      <c r="O1766" s="8" t="e">
        <f ca="1">[1]!BexGetData("DP_1","003N8EMH8GTFRIVOG7KG9J3KE","GSON1112160491")</f>
        <v>#NAME?</v>
      </c>
      <c r="P1766" s="8" t="e">
        <f ca="1">[1]!BexGetData("DP_1","003N8EMH8GTFRIVOG7KG9J9VY","GSON1112160491")</f>
        <v>#NAME?</v>
      </c>
      <c r="Q1766" s="4" t="e">
        <f ca="1">[1]!BexGetData("DP_1","00O2TNJGODT0G5Z4TTKYMM5MT","GSON1112160491")</f>
        <v>#NAME?</v>
      </c>
      <c r="R1766" s="4" t="e">
        <f ca="1">[1]!BexGetData("DP_1","00O2TNJGODT0G5Z4TTKYMMBYD","GSON1112160491")</f>
        <v>#NAME?</v>
      </c>
      <c r="S1766" s="4" t="e">
        <f ca="1">[1]!BexGetData("DP_1","00O2TNJGODT0G5Z4TTKYMMI9X","GSON1112160491")</f>
        <v>#NAME?</v>
      </c>
      <c r="T1766" s="4" t="e">
        <f ca="1">[1]!BexGetData("DP_1","00O2TNJGODT0G5Z4TTKYMMOLH","GSON1112160491")</f>
        <v>#NAME?</v>
      </c>
      <c r="U1766" s="4" t="e">
        <f ca="1">[1]!BexGetData("DP_1","00O2TNJGODT0G5Z4TTKYMMUX1","GSON1112160491")</f>
        <v>#NAME?</v>
      </c>
      <c r="V1766" s="4" t="e">
        <f ca="1">[1]!BexGetData("DP_1","00O2TNJGODT0G5Z4TTKYMN18L","GSON1112160491")</f>
        <v>#NAME?</v>
      </c>
      <c r="W1766" s="4" t="e">
        <f ca="1">[1]!BexGetData("DP_1","00O2TNJGODT0G5Z4TTKYMN7K5","GSON1112160491")</f>
        <v>#NAME?</v>
      </c>
    </row>
    <row r="1767" spans="1:23" x14ac:dyDescent="0.2">
      <c r="A1767" s="16" t="s">
        <v>4462</v>
      </c>
      <c r="B1767" s="7" t="s">
        <v>4463</v>
      </c>
      <c r="C1767" s="3" t="e">
        <f ca="1">[1]!BexGetData("DP_1","003N8EMH8GTFRCSWKMPXRR8GU","GSON1112160493")</f>
        <v>#NAME?</v>
      </c>
      <c r="D1767" s="3" t="e">
        <f ca="1">[1]!BexGetData("DP_1","003N8EMH8GTFRCSWKMPXRRESE","GSON1112160493")</f>
        <v>#NAME?</v>
      </c>
      <c r="E1767" s="8" t="e">
        <f ca="1">[1]!BexGetData("DP_1","003N8EMH8GTFRCSWKMPXRRL3Y","GSON1112160493")</f>
        <v>#NAME?</v>
      </c>
      <c r="F1767" s="4" t="e">
        <f ca="1">[1]!BexGetData("DP_1","003N8EMH8GTFRCSWKMPXRRRFI","GSON1112160493")</f>
        <v>#NAME?</v>
      </c>
      <c r="G1767" s="4" t="e">
        <f ca="1">[1]!BexGetData("DP_1","003N8EMH8GTFRCSWKMPXRRXR2","GSON1112160493")</f>
        <v>#NAME?</v>
      </c>
      <c r="H1767" s="4" t="e">
        <f ca="1">[1]!BexGetData("DP_1","003N8EMH8GTFRCSWKMPXRS42M","GSON1112160493")</f>
        <v>#NAME?</v>
      </c>
      <c r="I1767" s="4" t="e">
        <f ca="1">[1]!BexGetData("DP_1","003N8EMH8GTFRCSWKMPXRSAE6","GSON1112160493")</f>
        <v>#NAME?</v>
      </c>
      <c r="J1767" s="4" t="e">
        <f ca="1">[1]!BexGetData("DP_1","003N8EMH8GTFRCSWKMPXRSGPQ","GSON1112160493")</f>
        <v>#NAME?</v>
      </c>
      <c r="K1767" s="8" t="e">
        <f ca="1">[1]!BexGetData("DP_1","003N8EMH8GTFRIVNUPY288VJH","GSON1112160493")</f>
        <v>#NAME?</v>
      </c>
      <c r="L1767" s="8" t="e">
        <f ca="1">[1]!BexGetData("DP_1","003N8EMH8GTFRIVNUPY2891V1","GSON1112160493")</f>
        <v>#NAME?</v>
      </c>
      <c r="M1767" s="8" t="e">
        <f ca="1">[1]!BexGetData("DP_1","003N8EMH8GTFRIVOG7KG9IQXA","GSON1112160493")</f>
        <v>#NAME?</v>
      </c>
      <c r="N1767" s="8" t="e">
        <f ca="1">[1]!BexGetData("DP_1","003N8EMH8GTFRIVOG7KG9IX8U","GSON1112160493")</f>
        <v>#NAME?</v>
      </c>
      <c r="O1767" s="8" t="e">
        <f ca="1">[1]!BexGetData("DP_1","003N8EMH8GTFRIVOG7KG9J3KE","GSON1112160493")</f>
        <v>#NAME?</v>
      </c>
      <c r="P1767" s="8" t="e">
        <f ca="1">[1]!BexGetData("DP_1","003N8EMH8GTFRIVOG7KG9J9VY","GSON1112160493")</f>
        <v>#NAME?</v>
      </c>
      <c r="Q1767" s="4" t="e">
        <f ca="1">[1]!BexGetData("DP_1","00O2TNJGODT0G5Z4TTKYMM5MT","GSON1112160493")</f>
        <v>#NAME?</v>
      </c>
      <c r="R1767" s="4" t="e">
        <f ca="1">[1]!BexGetData("DP_1","00O2TNJGODT0G5Z4TTKYMMBYD","GSON1112160493")</f>
        <v>#NAME?</v>
      </c>
      <c r="S1767" s="4" t="e">
        <f ca="1">[1]!BexGetData("DP_1","00O2TNJGODT0G5Z4TTKYMMI9X","GSON1112160493")</f>
        <v>#NAME?</v>
      </c>
      <c r="T1767" s="4" t="e">
        <f ca="1">[1]!BexGetData("DP_1","00O2TNJGODT0G5Z4TTKYMMOLH","GSON1112160493")</f>
        <v>#NAME?</v>
      </c>
      <c r="U1767" s="4" t="e">
        <f ca="1">[1]!BexGetData("DP_1","00O2TNJGODT0G5Z4TTKYMMUX1","GSON1112160493")</f>
        <v>#NAME?</v>
      </c>
      <c r="V1767" s="4" t="e">
        <f ca="1">[1]!BexGetData("DP_1","00O2TNJGODT0G5Z4TTKYMN18L","GSON1112160493")</f>
        <v>#NAME?</v>
      </c>
      <c r="W1767" s="4" t="e">
        <f ca="1">[1]!BexGetData("DP_1","00O2TNJGODT0G5Z4TTKYMN7K5","GSON1112160493")</f>
        <v>#NAME?</v>
      </c>
    </row>
    <row r="1768" spans="1:23" x14ac:dyDescent="0.2">
      <c r="A1768" s="16" t="s">
        <v>4464</v>
      </c>
      <c r="B1768" s="7" t="s">
        <v>4465</v>
      </c>
      <c r="C1768" s="3" t="e">
        <f ca="1">[1]!BexGetData("DP_1","003N8EMH8GTFRCSWKMPXRR8GU","GSON1112160494")</f>
        <v>#NAME?</v>
      </c>
      <c r="D1768" s="3" t="e">
        <f ca="1">[1]!BexGetData("DP_1","003N8EMH8GTFRCSWKMPXRRESE","GSON1112160494")</f>
        <v>#NAME?</v>
      </c>
      <c r="E1768" s="8" t="e">
        <f ca="1">[1]!BexGetData("DP_1","003N8EMH8GTFRCSWKMPXRRL3Y","GSON1112160494")</f>
        <v>#NAME?</v>
      </c>
      <c r="F1768" s="4" t="e">
        <f ca="1">[1]!BexGetData("DP_1","003N8EMH8GTFRCSWKMPXRRRFI","GSON1112160494")</f>
        <v>#NAME?</v>
      </c>
      <c r="G1768" s="4" t="e">
        <f ca="1">[1]!BexGetData("DP_1","003N8EMH8GTFRCSWKMPXRRXR2","GSON1112160494")</f>
        <v>#NAME?</v>
      </c>
      <c r="H1768" s="4" t="e">
        <f ca="1">[1]!BexGetData("DP_1","003N8EMH8GTFRCSWKMPXRS42M","GSON1112160494")</f>
        <v>#NAME?</v>
      </c>
      <c r="I1768" s="4" t="e">
        <f ca="1">[1]!BexGetData("DP_1","003N8EMH8GTFRCSWKMPXRSAE6","GSON1112160494")</f>
        <v>#NAME?</v>
      </c>
      <c r="J1768" s="4" t="e">
        <f ca="1">[1]!BexGetData("DP_1","003N8EMH8GTFRCSWKMPXRSGPQ","GSON1112160494")</f>
        <v>#NAME?</v>
      </c>
      <c r="K1768" s="8" t="e">
        <f ca="1">[1]!BexGetData("DP_1","003N8EMH8GTFRIVNUPY288VJH","GSON1112160494")</f>
        <v>#NAME?</v>
      </c>
      <c r="L1768" s="8" t="e">
        <f ca="1">[1]!BexGetData("DP_1","003N8EMH8GTFRIVNUPY2891V1","GSON1112160494")</f>
        <v>#NAME?</v>
      </c>
      <c r="M1768" s="8" t="e">
        <f ca="1">[1]!BexGetData("DP_1","003N8EMH8GTFRIVOG7KG9IQXA","GSON1112160494")</f>
        <v>#NAME?</v>
      </c>
      <c r="N1768" s="8" t="e">
        <f ca="1">[1]!BexGetData("DP_1","003N8EMH8GTFRIVOG7KG9IX8U","GSON1112160494")</f>
        <v>#NAME?</v>
      </c>
      <c r="O1768" s="8" t="e">
        <f ca="1">[1]!BexGetData("DP_1","003N8EMH8GTFRIVOG7KG9J3KE","GSON1112160494")</f>
        <v>#NAME?</v>
      </c>
      <c r="P1768" s="8" t="e">
        <f ca="1">[1]!BexGetData("DP_1","003N8EMH8GTFRIVOG7KG9J9VY","GSON1112160494")</f>
        <v>#NAME?</v>
      </c>
      <c r="Q1768" s="4" t="e">
        <f ca="1">[1]!BexGetData("DP_1","00O2TNJGODT0G5Z4TTKYMM5MT","GSON1112160494")</f>
        <v>#NAME?</v>
      </c>
      <c r="R1768" s="4" t="e">
        <f ca="1">[1]!BexGetData("DP_1","00O2TNJGODT0G5Z4TTKYMMBYD","GSON1112160494")</f>
        <v>#NAME?</v>
      </c>
      <c r="S1768" s="4" t="e">
        <f ca="1">[1]!BexGetData("DP_1","00O2TNJGODT0G5Z4TTKYMMI9X","GSON1112160494")</f>
        <v>#NAME?</v>
      </c>
      <c r="T1768" s="4" t="e">
        <f ca="1">[1]!BexGetData("DP_1","00O2TNJGODT0G5Z4TTKYMMOLH","GSON1112160494")</f>
        <v>#NAME?</v>
      </c>
      <c r="U1768" s="4" t="e">
        <f ca="1">[1]!BexGetData("DP_1","00O2TNJGODT0G5Z4TTKYMMUX1","GSON1112160494")</f>
        <v>#NAME?</v>
      </c>
      <c r="V1768" s="4" t="e">
        <f ca="1">[1]!BexGetData("DP_1","00O2TNJGODT0G5Z4TTKYMN18L","GSON1112160494")</f>
        <v>#NAME?</v>
      </c>
      <c r="W1768" s="4" t="e">
        <f ca="1">[1]!BexGetData("DP_1","00O2TNJGODT0G5Z4TTKYMN7K5","GSON1112160494")</f>
        <v>#NAME?</v>
      </c>
    </row>
    <row r="1769" spans="1:23" x14ac:dyDescent="0.2">
      <c r="A1769" s="16" t="s">
        <v>4466</v>
      </c>
      <c r="B1769" s="7" t="s">
        <v>4467</v>
      </c>
      <c r="C1769" s="3" t="e">
        <f ca="1">[1]!BexGetData("DP_1","003N8EMH8GTFRCSWKMPXRR8GU","GSON1112160495")</f>
        <v>#NAME?</v>
      </c>
      <c r="D1769" s="3" t="e">
        <f ca="1">[1]!BexGetData("DP_1","003N8EMH8GTFRCSWKMPXRRESE","GSON1112160495")</f>
        <v>#NAME?</v>
      </c>
      <c r="E1769" s="8" t="e">
        <f ca="1">[1]!BexGetData("DP_1","003N8EMH8GTFRCSWKMPXRRL3Y","GSON1112160495")</f>
        <v>#NAME?</v>
      </c>
      <c r="F1769" s="4" t="e">
        <f ca="1">[1]!BexGetData("DP_1","003N8EMH8GTFRCSWKMPXRRRFI","GSON1112160495")</f>
        <v>#NAME?</v>
      </c>
      <c r="G1769" s="4" t="e">
        <f ca="1">[1]!BexGetData("DP_1","003N8EMH8GTFRCSWKMPXRRXR2","GSON1112160495")</f>
        <v>#NAME?</v>
      </c>
      <c r="H1769" s="4" t="e">
        <f ca="1">[1]!BexGetData("DP_1","003N8EMH8GTFRCSWKMPXRS42M","GSON1112160495")</f>
        <v>#NAME?</v>
      </c>
      <c r="I1769" s="4" t="e">
        <f ca="1">[1]!BexGetData("DP_1","003N8EMH8GTFRCSWKMPXRSAE6","GSON1112160495")</f>
        <v>#NAME?</v>
      </c>
      <c r="J1769" s="4" t="e">
        <f ca="1">[1]!BexGetData("DP_1","003N8EMH8GTFRCSWKMPXRSGPQ","GSON1112160495")</f>
        <v>#NAME?</v>
      </c>
      <c r="K1769" s="8" t="e">
        <f ca="1">[1]!BexGetData("DP_1","003N8EMH8GTFRIVNUPY288VJH","GSON1112160495")</f>
        <v>#NAME?</v>
      </c>
      <c r="L1769" s="8" t="e">
        <f ca="1">[1]!BexGetData("DP_1","003N8EMH8GTFRIVNUPY2891V1","GSON1112160495")</f>
        <v>#NAME?</v>
      </c>
      <c r="M1769" s="8" t="e">
        <f ca="1">[1]!BexGetData("DP_1","003N8EMH8GTFRIVOG7KG9IQXA","GSON1112160495")</f>
        <v>#NAME?</v>
      </c>
      <c r="N1769" s="8" t="e">
        <f ca="1">[1]!BexGetData("DP_1","003N8EMH8GTFRIVOG7KG9IX8U","GSON1112160495")</f>
        <v>#NAME?</v>
      </c>
      <c r="O1769" s="8" t="e">
        <f ca="1">[1]!BexGetData("DP_1","003N8EMH8GTFRIVOG7KG9J3KE","GSON1112160495")</f>
        <v>#NAME?</v>
      </c>
      <c r="P1769" s="8" t="e">
        <f ca="1">[1]!BexGetData("DP_1","003N8EMH8GTFRIVOG7KG9J9VY","GSON1112160495")</f>
        <v>#NAME?</v>
      </c>
      <c r="Q1769" s="4" t="e">
        <f ca="1">[1]!BexGetData("DP_1","00O2TNJGODT0G5Z4TTKYMM5MT","GSON1112160495")</f>
        <v>#NAME?</v>
      </c>
      <c r="R1769" s="4" t="e">
        <f ca="1">[1]!BexGetData("DP_1","00O2TNJGODT0G5Z4TTKYMMBYD","GSON1112160495")</f>
        <v>#NAME?</v>
      </c>
      <c r="S1769" s="4" t="e">
        <f ca="1">[1]!BexGetData("DP_1","00O2TNJGODT0G5Z4TTKYMMI9X","GSON1112160495")</f>
        <v>#NAME?</v>
      </c>
      <c r="T1769" s="4" t="e">
        <f ca="1">[1]!BexGetData("DP_1","00O2TNJGODT0G5Z4TTKYMMOLH","GSON1112160495")</f>
        <v>#NAME?</v>
      </c>
      <c r="U1769" s="4" t="e">
        <f ca="1">[1]!BexGetData("DP_1","00O2TNJGODT0G5Z4TTKYMMUX1","GSON1112160495")</f>
        <v>#NAME?</v>
      </c>
      <c r="V1769" s="4" t="e">
        <f ca="1">[1]!BexGetData("DP_1","00O2TNJGODT0G5Z4TTKYMN18L","GSON1112160495")</f>
        <v>#NAME?</v>
      </c>
      <c r="W1769" s="4" t="e">
        <f ca="1">[1]!BexGetData("DP_1","00O2TNJGODT0G5Z4TTKYMN7K5","GSON1112160495")</f>
        <v>#NAME?</v>
      </c>
    </row>
    <row r="1770" spans="1:23" x14ac:dyDescent="0.2">
      <c r="A1770" s="16" t="s">
        <v>4468</v>
      </c>
      <c r="B1770" s="7" t="s">
        <v>4469</v>
      </c>
      <c r="C1770" s="3" t="e">
        <f ca="1">[1]!BexGetData("DP_1","003N8EMH8GTFRCSWKMPXRR8GU","GSON1112160500")</f>
        <v>#NAME?</v>
      </c>
      <c r="D1770" s="3" t="e">
        <f ca="1">[1]!BexGetData("DP_1","003N8EMH8GTFRCSWKMPXRRESE","GSON1112160500")</f>
        <v>#NAME?</v>
      </c>
      <c r="E1770" s="3" t="e">
        <f ca="1">[1]!BexGetData("DP_1","003N8EMH8GTFRCSWKMPXRRL3Y","GSON1112160500")</f>
        <v>#NAME?</v>
      </c>
      <c r="F1770" s="4" t="e">
        <f ca="1">[1]!BexGetData("DP_1","003N8EMH8GTFRCSWKMPXRRRFI","GSON1112160500")</f>
        <v>#NAME?</v>
      </c>
      <c r="G1770" s="4" t="e">
        <f ca="1">[1]!BexGetData("DP_1","003N8EMH8GTFRCSWKMPXRRXR2","GSON1112160500")</f>
        <v>#NAME?</v>
      </c>
      <c r="H1770" s="4" t="e">
        <f ca="1">[1]!BexGetData("DP_1","003N8EMH8GTFRCSWKMPXRS42M","GSON1112160500")</f>
        <v>#NAME?</v>
      </c>
      <c r="I1770" s="4" t="e">
        <f ca="1">[1]!BexGetData("DP_1","003N8EMH8GTFRCSWKMPXRSAE6","GSON1112160500")</f>
        <v>#NAME?</v>
      </c>
      <c r="J1770" s="4" t="e">
        <f ca="1">[1]!BexGetData("DP_1","003N8EMH8GTFRCSWKMPXRSGPQ","GSON1112160500")</f>
        <v>#NAME?</v>
      </c>
      <c r="K1770" s="3" t="e">
        <f ca="1">[1]!BexGetData("DP_1","003N8EMH8GTFRIVNUPY288VJH","GSON1112160500")</f>
        <v>#NAME?</v>
      </c>
      <c r="L1770" s="3" t="e">
        <f ca="1">[1]!BexGetData("DP_1","003N8EMH8GTFRIVNUPY2891V1","GSON1112160500")</f>
        <v>#NAME?</v>
      </c>
      <c r="M1770" s="8" t="e">
        <f ca="1">[1]!BexGetData("DP_1","003N8EMH8GTFRIVOG7KG9IQXA","GSON1112160500")</f>
        <v>#NAME?</v>
      </c>
      <c r="N1770" s="3" t="e">
        <f ca="1">[1]!BexGetData("DP_1","003N8EMH8GTFRIVOG7KG9IX8U","GSON1112160500")</f>
        <v>#NAME?</v>
      </c>
      <c r="O1770" s="8" t="e">
        <f ca="1">[1]!BexGetData("DP_1","003N8EMH8GTFRIVOG7KG9J3KE","GSON1112160500")</f>
        <v>#NAME?</v>
      </c>
      <c r="P1770" s="3" t="e">
        <f ca="1">[1]!BexGetData("DP_1","003N8EMH8GTFRIVOG7KG9J9VY","GSON1112160500")</f>
        <v>#NAME?</v>
      </c>
      <c r="Q1770" s="4" t="e">
        <f ca="1">[1]!BexGetData("DP_1","00O2TNJGODT0G5Z4TTKYMM5MT","GSON1112160500")</f>
        <v>#NAME?</v>
      </c>
      <c r="R1770" s="4" t="e">
        <f ca="1">[1]!BexGetData("DP_1","00O2TNJGODT0G5Z4TTKYMMBYD","GSON1112160500")</f>
        <v>#NAME?</v>
      </c>
      <c r="S1770" s="4" t="e">
        <f ca="1">[1]!BexGetData("DP_1","00O2TNJGODT0G5Z4TTKYMMI9X","GSON1112160500")</f>
        <v>#NAME?</v>
      </c>
      <c r="T1770" s="4" t="e">
        <f ca="1">[1]!BexGetData("DP_1","00O2TNJGODT0G5Z4TTKYMMOLH","GSON1112160500")</f>
        <v>#NAME?</v>
      </c>
      <c r="U1770" s="4" t="e">
        <f ca="1">[1]!BexGetData("DP_1","00O2TNJGODT0G5Z4TTKYMMUX1","GSON1112160500")</f>
        <v>#NAME?</v>
      </c>
      <c r="V1770" s="4" t="e">
        <f ca="1">[1]!BexGetData("DP_1","00O2TNJGODT0G5Z4TTKYMN18L","GSON1112160500")</f>
        <v>#NAME?</v>
      </c>
      <c r="W1770" s="4" t="e">
        <f ca="1">[1]!BexGetData("DP_1","00O2TNJGODT0G5Z4TTKYMN7K5","GSON1112160500")</f>
        <v>#NAME?</v>
      </c>
    </row>
    <row r="1771" spans="1:23" x14ac:dyDescent="0.2">
      <c r="A1771" s="16" t="s">
        <v>4470</v>
      </c>
      <c r="B1771" s="7" t="s">
        <v>4471</v>
      </c>
      <c r="C1771" s="3" t="e">
        <f ca="1">[1]!BexGetData("DP_1","003N8EMH8GTFRCSWKMPXRR8GU","GSON1112160501")</f>
        <v>#NAME?</v>
      </c>
      <c r="D1771" s="3" t="e">
        <f ca="1">[1]!BexGetData("DP_1","003N8EMH8GTFRCSWKMPXRRESE","GSON1112160501")</f>
        <v>#NAME?</v>
      </c>
      <c r="E1771" s="8" t="e">
        <f ca="1">[1]!BexGetData("DP_1","003N8EMH8GTFRCSWKMPXRRL3Y","GSON1112160501")</f>
        <v>#NAME?</v>
      </c>
      <c r="F1771" s="4" t="e">
        <f ca="1">[1]!BexGetData("DP_1","003N8EMH8GTFRCSWKMPXRRRFI","GSON1112160501")</f>
        <v>#NAME?</v>
      </c>
      <c r="G1771" s="4" t="e">
        <f ca="1">[1]!BexGetData("DP_1","003N8EMH8GTFRCSWKMPXRRXR2","GSON1112160501")</f>
        <v>#NAME?</v>
      </c>
      <c r="H1771" s="4" t="e">
        <f ca="1">[1]!BexGetData("DP_1","003N8EMH8GTFRCSWKMPXRS42M","GSON1112160501")</f>
        <v>#NAME?</v>
      </c>
      <c r="I1771" s="4" t="e">
        <f ca="1">[1]!BexGetData("DP_1","003N8EMH8GTFRCSWKMPXRSAE6","GSON1112160501")</f>
        <v>#NAME?</v>
      </c>
      <c r="J1771" s="4" t="e">
        <f ca="1">[1]!BexGetData("DP_1","003N8EMH8GTFRCSWKMPXRSGPQ","GSON1112160501")</f>
        <v>#NAME?</v>
      </c>
      <c r="K1771" s="8" t="e">
        <f ca="1">[1]!BexGetData("DP_1","003N8EMH8GTFRIVNUPY288VJH","GSON1112160501")</f>
        <v>#NAME?</v>
      </c>
      <c r="L1771" s="8" t="e">
        <f ca="1">[1]!BexGetData("DP_1","003N8EMH8GTFRIVNUPY2891V1","GSON1112160501")</f>
        <v>#NAME?</v>
      </c>
      <c r="M1771" s="8" t="e">
        <f ca="1">[1]!BexGetData("DP_1","003N8EMH8GTFRIVOG7KG9IQXA","GSON1112160501")</f>
        <v>#NAME?</v>
      </c>
      <c r="N1771" s="8" t="e">
        <f ca="1">[1]!BexGetData("DP_1","003N8EMH8GTFRIVOG7KG9IX8U","GSON1112160501")</f>
        <v>#NAME?</v>
      </c>
      <c r="O1771" s="8" t="e">
        <f ca="1">[1]!BexGetData("DP_1","003N8EMH8GTFRIVOG7KG9J3KE","GSON1112160501")</f>
        <v>#NAME?</v>
      </c>
      <c r="P1771" s="8" t="e">
        <f ca="1">[1]!BexGetData("DP_1","003N8EMH8GTFRIVOG7KG9J9VY","GSON1112160501")</f>
        <v>#NAME?</v>
      </c>
      <c r="Q1771" s="4" t="e">
        <f ca="1">[1]!BexGetData("DP_1","00O2TNJGODT0G5Z4TTKYMM5MT","GSON1112160501")</f>
        <v>#NAME?</v>
      </c>
      <c r="R1771" s="4" t="e">
        <f ca="1">[1]!BexGetData("DP_1","00O2TNJGODT0G5Z4TTKYMMBYD","GSON1112160501")</f>
        <v>#NAME?</v>
      </c>
      <c r="S1771" s="4" t="e">
        <f ca="1">[1]!BexGetData("DP_1","00O2TNJGODT0G5Z4TTKYMMI9X","GSON1112160501")</f>
        <v>#NAME?</v>
      </c>
      <c r="T1771" s="4" t="e">
        <f ca="1">[1]!BexGetData("DP_1","00O2TNJGODT0G5Z4TTKYMMOLH","GSON1112160501")</f>
        <v>#NAME?</v>
      </c>
      <c r="U1771" s="4" t="e">
        <f ca="1">[1]!BexGetData("DP_1","00O2TNJGODT0G5Z4TTKYMMUX1","GSON1112160501")</f>
        <v>#NAME?</v>
      </c>
      <c r="V1771" s="4" t="e">
        <f ca="1">[1]!BexGetData("DP_1","00O2TNJGODT0G5Z4TTKYMN18L","GSON1112160501")</f>
        <v>#NAME?</v>
      </c>
      <c r="W1771" s="4" t="e">
        <f ca="1">[1]!BexGetData("DP_1","00O2TNJGODT0G5Z4TTKYMN7K5","GSON1112160501")</f>
        <v>#NAME?</v>
      </c>
    </row>
    <row r="1772" spans="1:23" x14ac:dyDescent="0.2">
      <c r="A1772" s="16" t="s">
        <v>1681</v>
      </c>
      <c r="B1772" s="7" t="s">
        <v>1682</v>
      </c>
      <c r="C1772" s="3" t="e">
        <f ca="1">[1]!BexGetData("DP_1","003N8EMH8GTFRCSWKMPXRR8GU","GSON1112160503")</f>
        <v>#NAME?</v>
      </c>
      <c r="D1772" s="3" t="e">
        <f ca="1">[1]!BexGetData("DP_1","003N8EMH8GTFRCSWKMPXRRESE","GSON1112160503")</f>
        <v>#NAME?</v>
      </c>
      <c r="E1772" s="8" t="e">
        <f ca="1">[1]!BexGetData("DP_1","003N8EMH8GTFRCSWKMPXRRL3Y","GSON1112160503")</f>
        <v>#NAME?</v>
      </c>
      <c r="F1772" s="4" t="e">
        <f ca="1">[1]!BexGetData("DP_1","003N8EMH8GTFRCSWKMPXRRRFI","GSON1112160503")</f>
        <v>#NAME?</v>
      </c>
      <c r="G1772" s="4" t="e">
        <f ca="1">[1]!BexGetData("DP_1","003N8EMH8GTFRCSWKMPXRRXR2","GSON1112160503")</f>
        <v>#NAME?</v>
      </c>
      <c r="H1772" s="4" t="e">
        <f ca="1">[1]!BexGetData("DP_1","003N8EMH8GTFRCSWKMPXRS42M","GSON1112160503")</f>
        <v>#NAME?</v>
      </c>
      <c r="I1772" s="4" t="e">
        <f ca="1">[1]!BexGetData("DP_1","003N8EMH8GTFRCSWKMPXRSAE6","GSON1112160503")</f>
        <v>#NAME?</v>
      </c>
      <c r="J1772" s="4" t="e">
        <f ca="1">[1]!BexGetData("DP_1","003N8EMH8GTFRCSWKMPXRSGPQ","GSON1112160503")</f>
        <v>#NAME?</v>
      </c>
      <c r="K1772" s="8" t="e">
        <f ca="1">[1]!BexGetData("DP_1","003N8EMH8GTFRIVNUPY288VJH","GSON1112160503")</f>
        <v>#NAME?</v>
      </c>
      <c r="L1772" s="8" t="e">
        <f ca="1">[1]!BexGetData("DP_1","003N8EMH8GTFRIVNUPY2891V1","GSON1112160503")</f>
        <v>#NAME?</v>
      </c>
      <c r="M1772" s="8" t="e">
        <f ca="1">[1]!BexGetData("DP_1","003N8EMH8GTFRIVOG7KG9IQXA","GSON1112160503")</f>
        <v>#NAME?</v>
      </c>
      <c r="N1772" s="8" t="e">
        <f ca="1">[1]!BexGetData("DP_1","003N8EMH8GTFRIVOG7KG9IX8U","GSON1112160503")</f>
        <v>#NAME?</v>
      </c>
      <c r="O1772" s="8" t="e">
        <f ca="1">[1]!BexGetData("DP_1","003N8EMH8GTFRIVOG7KG9J3KE","GSON1112160503")</f>
        <v>#NAME?</v>
      </c>
      <c r="P1772" s="8" t="e">
        <f ca="1">[1]!BexGetData("DP_1","003N8EMH8GTFRIVOG7KG9J9VY","GSON1112160503")</f>
        <v>#NAME?</v>
      </c>
      <c r="Q1772" s="4" t="e">
        <f ca="1">[1]!BexGetData("DP_1","00O2TNJGODT0G5Z4TTKYMM5MT","GSON1112160503")</f>
        <v>#NAME?</v>
      </c>
      <c r="R1772" s="4" t="e">
        <f ca="1">[1]!BexGetData("DP_1","00O2TNJGODT0G5Z4TTKYMMBYD","GSON1112160503")</f>
        <v>#NAME?</v>
      </c>
      <c r="S1772" s="4" t="e">
        <f ca="1">[1]!BexGetData("DP_1","00O2TNJGODT0G5Z4TTKYMMI9X","GSON1112160503")</f>
        <v>#NAME?</v>
      </c>
      <c r="T1772" s="4" t="e">
        <f ca="1">[1]!BexGetData("DP_1","00O2TNJGODT0G5Z4TTKYMMOLH","GSON1112160503")</f>
        <v>#NAME?</v>
      </c>
      <c r="U1772" s="4" t="e">
        <f ca="1">[1]!BexGetData("DP_1","00O2TNJGODT0G5Z4TTKYMMUX1","GSON1112160503")</f>
        <v>#NAME?</v>
      </c>
      <c r="V1772" s="4" t="e">
        <f ca="1">[1]!BexGetData("DP_1","00O2TNJGODT0G5Z4TTKYMN18L","GSON1112160503")</f>
        <v>#NAME?</v>
      </c>
      <c r="W1772" s="4" t="e">
        <f ca="1">[1]!BexGetData("DP_1","00O2TNJGODT0G5Z4TTKYMN7K5","GSON1112160503")</f>
        <v>#NAME?</v>
      </c>
    </row>
    <row r="1773" spans="1:23" x14ac:dyDescent="0.2">
      <c r="A1773" s="16" t="s">
        <v>4472</v>
      </c>
      <c r="B1773" s="7" t="s">
        <v>4473</v>
      </c>
      <c r="C1773" s="3" t="e">
        <f ca="1">[1]!BexGetData("DP_1","003N8EMH8GTFRCSWKMPXRR8GU","GSON1112160504")</f>
        <v>#NAME?</v>
      </c>
      <c r="D1773" s="3" t="e">
        <f ca="1">[1]!BexGetData("DP_1","003N8EMH8GTFRCSWKMPXRRESE","GSON1112160504")</f>
        <v>#NAME?</v>
      </c>
      <c r="E1773" s="8" t="e">
        <f ca="1">[1]!BexGetData("DP_1","003N8EMH8GTFRCSWKMPXRRL3Y","GSON1112160504")</f>
        <v>#NAME?</v>
      </c>
      <c r="F1773" s="4" t="e">
        <f ca="1">[1]!BexGetData("DP_1","003N8EMH8GTFRCSWKMPXRRRFI","GSON1112160504")</f>
        <v>#NAME?</v>
      </c>
      <c r="G1773" s="4" t="e">
        <f ca="1">[1]!BexGetData("DP_1","003N8EMH8GTFRCSWKMPXRRXR2","GSON1112160504")</f>
        <v>#NAME?</v>
      </c>
      <c r="H1773" s="4" t="e">
        <f ca="1">[1]!BexGetData("DP_1","003N8EMH8GTFRCSWKMPXRS42M","GSON1112160504")</f>
        <v>#NAME?</v>
      </c>
      <c r="I1773" s="4" t="e">
        <f ca="1">[1]!BexGetData("DP_1","003N8EMH8GTFRCSWKMPXRSAE6","GSON1112160504")</f>
        <v>#NAME?</v>
      </c>
      <c r="J1773" s="4" t="e">
        <f ca="1">[1]!BexGetData("DP_1","003N8EMH8GTFRCSWKMPXRSGPQ","GSON1112160504")</f>
        <v>#NAME?</v>
      </c>
      <c r="K1773" s="8" t="e">
        <f ca="1">[1]!BexGetData("DP_1","003N8EMH8GTFRIVNUPY288VJH","GSON1112160504")</f>
        <v>#NAME?</v>
      </c>
      <c r="L1773" s="8" t="e">
        <f ca="1">[1]!BexGetData("DP_1","003N8EMH8GTFRIVNUPY2891V1","GSON1112160504")</f>
        <v>#NAME?</v>
      </c>
      <c r="M1773" s="8" t="e">
        <f ca="1">[1]!BexGetData("DP_1","003N8EMH8GTFRIVOG7KG9IQXA","GSON1112160504")</f>
        <v>#NAME?</v>
      </c>
      <c r="N1773" s="8" t="e">
        <f ca="1">[1]!BexGetData("DP_1","003N8EMH8GTFRIVOG7KG9IX8U","GSON1112160504")</f>
        <v>#NAME?</v>
      </c>
      <c r="O1773" s="8" t="e">
        <f ca="1">[1]!BexGetData("DP_1","003N8EMH8GTFRIVOG7KG9J3KE","GSON1112160504")</f>
        <v>#NAME?</v>
      </c>
      <c r="P1773" s="8" t="e">
        <f ca="1">[1]!BexGetData("DP_1","003N8EMH8GTFRIVOG7KG9J9VY","GSON1112160504")</f>
        <v>#NAME?</v>
      </c>
      <c r="Q1773" s="4" t="e">
        <f ca="1">[1]!BexGetData("DP_1","00O2TNJGODT0G5Z4TTKYMM5MT","GSON1112160504")</f>
        <v>#NAME?</v>
      </c>
      <c r="R1773" s="4" t="e">
        <f ca="1">[1]!BexGetData("DP_1","00O2TNJGODT0G5Z4TTKYMMBYD","GSON1112160504")</f>
        <v>#NAME?</v>
      </c>
      <c r="S1773" s="4" t="e">
        <f ca="1">[1]!BexGetData("DP_1","00O2TNJGODT0G5Z4TTKYMMI9X","GSON1112160504")</f>
        <v>#NAME?</v>
      </c>
      <c r="T1773" s="4" t="e">
        <f ca="1">[1]!BexGetData("DP_1","00O2TNJGODT0G5Z4TTKYMMOLH","GSON1112160504")</f>
        <v>#NAME?</v>
      </c>
      <c r="U1773" s="4" t="e">
        <f ca="1">[1]!BexGetData("DP_1","00O2TNJGODT0G5Z4TTKYMMUX1","GSON1112160504")</f>
        <v>#NAME?</v>
      </c>
      <c r="V1773" s="4" t="e">
        <f ca="1">[1]!BexGetData("DP_1","00O2TNJGODT0G5Z4TTKYMN18L","GSON1112160504")</f>
        <v>#NAME?</v>
      </c>
      <c r="W1773" s="4" t="e">
        <f ca="1">[1]!BexGetData("DP_1","00O2TNJGODT0G5Z4TTKYMN7K5","GSON1112160504")</f>
        <v>#NAME?</v>
      </c>
    </row>
    <row r="1774" spans="1:23" x14ac:dyDescent="0.2">
      <c r="A1774" s="16" t="s">
        <v>4474</v>
      </c>
      <c r="B1774" s="7" t="s">
        <v>4475</v>
      </c>
      <c r="C1774" s="3" t="e">
        <f ca="1">[1]!BexGetData("DP_1","003N8EMH8GTFRCSWKMPXRR8GU","GSON1112160505")</f>
        <v>#NAME?</v>
      </c>
      <c r="D1774" s="3" t="e">
        <f ca="1">[1]!BexGetData("DP_1","003N8EMH8GTFRCSWKMPXRRESE","GSON1112160505")</f>
        <v>#NAME?</v>
      </c>
      <c r="E1774" s="8" t="e">
        <f ca="1">[1]!BexGetData("DP_1","003N8EMH8GTFRCSWKMPXRRL3Y","GSON1112160505")</f>
        <v>#NAME?</v>
      </c>
      <c r="F1774" s="4" t="e">
        <f ca="1">[1]!BexGetData("DP_1","003N8EMH8GTFRCSWKMPXRRRFI","GSON1112160505")</f>
        <v>#NAME?</v>
      </c>
      <c r="G1774" s="4" t="e">
        <f ca="1">[1]!BexGetData("DP_1","003N8EMH8GTFRCSWKMPXRRXR2","GSON1112160505")</f>
        <v>#NAME?</v>
      </c>
      <c r="H1774" s="4" t="e">
        <f ca="1">[1]!BexGetData("DP_1","003N8EMH8GTFRCSWKMPXRS42M","GSON1112160505")</f>
        <v>#NAME?</v>
      </c>
      <c r="I1774" s="4" t="e">
        <f ca="1">[1]!BexGetData("DP_1","003N8EMH8GTFRCSWKMPXRSAE6","GSON1112160505")</f>
        <v>#NAME?</v>
      </c>
      <c r="J1774" s="4" t="e">
        <f ca="1">[1]!BexGetData("DP_1","003N8EMH8GTFRCSWKMPXRSGPQ","GSON1112160505")</f>
        <v>#NAME?</v>
      </c>
      <c r="K1774" s="8" t="e">
        <f ca="1">[1]!BexGetData("DP_1","003N8EMH8GTFRIVNUPY288VJH","GSON1112160505")</f>
        <v>#NAME?</v>
      </c>
      <c r="L1774" s="8" t="e">
        <f ca="1">[1]!BexGetData("DP_1","003N8EMH8GTFRIVNUPY2891V1","GSON1112160505")</f>
        <v>#NAME?</v>
      </c>
      <c r="M1774" s="8" t="e">
        <f ca="1">[1]!BexGetData("DP_1","003N8EMH8GTFRIVOG7KG9IQXA","GSON1112160505")</f>
        <v>#NAME?</v>
      </c>
      <c r="N1774" s="8" t="e">
        <f ca="1">[1]!BexGetData("DP_1","003N8EMH8GTFRIVOG7KG9IX8U","GSON1112160505")</f>
        <v>#NAME?</v>
      </c>
      <c r="O1774" s="8" t="e">
        <f ca="1">[1]!BexGetData("DP_1","003N8EMH8GTFRIVOG7KG9J3KE","GSON1112160505")</f>
        <v>#NAME?</v>
      </c>
      <c r="P1774" s="8" t="e">
        <f ca="1">[1]!BexGetData("DP_1","003N8EMH8GTFRIVOG7KG9J9VY","GSON1112160505")</f>
        <v>#NAME?</v>
      </c>
      <c r="Q1774" s="4" t="e">
        <f ca="1">[1]!BexGetData("DP_1","00O2TNJGODT0G5Z4TTKYMM5MT","GSON1112160505")</f>
        <v>#NAME?</v>
      </c>
      <c r="R1774" s="4" t="e">
        <f ca="1">[1]!BexGetData("DP_1","00O2TNJGODT0G5Z4TTKYMMBYD","GSON1112160505")</f>
        <v>#NAME?</v>
      </c>
      <c r="S1774" s="4" t="e">
        <f ca="1">[1]!BexGetData("DP_1","00O2TNJGODT0G5Z4TTKYMMI9X","GSON1112160505")</f>
        <v>#NAME?</v>
      </c>
      <c r="T1774" s="4" t="e">
        <f ca="1">[1]!BexGetData("DP_1","00O2TNJGODT0G5Z4TTKYMMOLH","GSON1112160505")</f>
        <v>#NAME?</v>
      </c>
      <c r="U1774" s="4" t="e">
        <f ca="1">[1]!BexGetData("DP_1","00O2TNJGODT0G5Z4TTKYMMUX1","GSON1112160505")</f>
        <v>#NAME?</v>
      </c>
      <c r="V1774" s="4" t="e">
        <f ca="1">[1]!BexGetData("DP_1","00O2TNJGODT0G5Z4TTKYMN18L","GSON1112160505")</f>
        <v>#NAME?</v>
      </c>
      <c r="W1774" s="4" t="e">
        <f ca="1">[1]!BexGetData("DP_1","00O2TNJGODT0G5Z4TTKYMN7K5","GSON1112160505")</f>
        <v>#NAME?</v>
      </c>
    </row>
    <row r="1775" spans="1:23" x14ac:dyDescent="0.2">
      <c r="A1775" s="16" t="s">
        <v>4476</v>
      </c>
      <c r="B1775" s="7" t="s">
        <v>4477</v>
      </c>
      <c r="C1775" s="8" t="e">
        <f ca="1">[1]!BexGetData("DP_1","003N8EMH8GTFRCSWKMPXRR8GU","GSON1112160510")</f>
        <v>#NAME?</v>
      </c>
      <c r="D1775" s="3" t="e">
        <f ca="1">[1]!BexGetData("DP_1","003N8EMH8GTFRCSWKMPXRRESE","GSON1112160510")</f>
        <v>#NAME?</v>
      </c>
      <c r="E1775" s="8" t="e">
        <f ca="1">[1]!BexGetData("DP_1","003N8EMH8GTFRCSWKMPXRRL3Y","GSON1112160510")</f>
        <v>#NAME?</v>
      </c>
      <c r="F1775" s="3" t="e">
        <f ca="1">[1]!BexGetData("DP_1","003N8EMH8GTFRCSWKMPXRRRFI","GSON1112160510")</f>
        <v>#NAME?</v>
      </c>
      <c r="G1775" s="3" t="e">
        <f ca="1">[1]!BexGetData("DP_1","003N8EMH8GTFRCSWKMPXRRXR2","GSON1112160510")</f>
        <v>#NAME?</v>
      </c>
      <c r="H1775" s="8" t="e">
        <f ca="1">[1]!BexGetData("DP_1","003N8EMH8GTFRCSWKMPXRS42M","GSON1112160510")</f>
        <v>#NAME?</v>
      </c>
      <c r="I1775" s="3" t="e">
        <f ca="1">[1]!BexGetData("DP_1","003N8EMH8GTFRCSWKMPXRSAE6","GSON1112160510")</f>
        <v>#NAME?</v>
      </c>
      <c r="J1775" s="4" t="e">
        <f ca="1">[1]!BexGetData("DP_1","003N8EMH8GTFRCSWKMPXRSGPQ","GSON1112160510")</f>
        <v>#NAME?</v>
      </c>
      <c r="K1775" s="3" t="e">
        <f ca="1">[1]!BexGetData("DP_1","003N8EMH8GTFRIVNUPY288VJH","GSON1112160510")</f>
        <v>#NAME?</v>
      </c>
      <c r="L1775" s="3" t="e">
        <f ca="1">[1]!BexGetData("DP_1","003N8EMH8GTFRIVNUPY2891V1","GSON1112160510")</f>
        <v>#NAME?</v>
      </c>
      <c r="M1775" s="3" t="e">
        <f ca="1">[1]!BexGetData("DP_1","003N8EMH8GTFRIVOG7KG9IQXA","GSON1112160510")</f>
        <v>#NAME?</v>
      </c>
      <c r="N1775" s="8" t="e">
        <f ca="1">[1]!BexGetData("DP_1","003N8EMH8GTFRIVOG7KG9IX8U","GSON1112160510")</f>
        <v>#NAME?</v>
      </c>
      <c r="O1775" s="3" t="e">
        <f ca="1">[1]!BexGetData("DP_1","003N8EMH8GTFRIVOG7KG9J3KE","GSON1112160510")</f>
        <v>#NAME?</v>
      </c>
      <c r="P1775" s="8" t="e">
        <f ca="1">[1]!BexGetData("DP_1","003N8EMH8GTFRIVOG7KG9J9VY","GSON1112160510")</f>
        <v>#NAME?</v>
      </c>
      <c r="Q1775" s="4" t="e">
        <f ca="1">[1]!BexGetData("DP_1","00O2TNJGODT0G5Z4TTKYMM5MT","GSON1112160510")</f>
        <v>#NAME?</v>
      </c>
      <c r="R1775" s="3" t="e">
        <f ca="1">[1]!BexGetData("DP_1","00O2TNJGODT0G5Z4TTKYMMBYD","GSON1112160510")</f>
        <v>#NAME?</v>
      </c>
      <c r="S1775" s="3" t="e">
        <f ca="1">[1]!BexGetData("DP_1","00O2TNJGODT0G5Z4TTKYMMI9X","GSON1112160510")</f>
        <v>#NAME?</v>
      </c>
      <c r="T1775" s="8" t="e">
        <f ca="1">[1]!BexGetData("DP_1","00O2TNJGODT0G5Z4TTKYMMOLH","GSON1112160510")</f>
        <v>#NAME?</v>
      </c>
      <c r="U1775" s="3" t="e">
        <f ca="1">[1]!BexGetData("DP_1","00O2TNJGODT0G5Z4TTKYMMUX1","GSON1112160510")</f>
        <v>#NAME?</v>
      </c>
      <c r="V1775" s="8" t="e">
        <f ca="1">[1]!BexGetData("DP_1","00O2TNJGODT0G5Z4TTKYMN18L","GSON1112160510")</f>
        <v>#NAME?</v>
      </c>
      <c r="W1775" s="3" t="e">
        <f ca="1">[1]!BexGetData("DP_1","00O2TNJGODT0G5Z4TTKYMN7K5","GSON1112160510")</f>
        <v>#NAME?</v>
      </c>
    </row>
    <row r="1776" spans="1:23" x14ac:dyDescent="0.2">
      <c r="A1776" s="16" t="s">
        <v>4478</v>
      </c>
      <c r="B1776" s="7" t="s">
        <v>4479</v>
      </c>
      <c r="C1776" s="3" t="e">
        <f ca="1">[1]!BexGetData("DP_1","003N8EMH8GTFRCSWKMPXRR8GU","GSON1112160513")</f>
        <v>#NAME?</v>
      </c>
      <c r="D1776" s="3" t="e">
        <f ca="1">[1]!BexGetData("DP_1","003N8EMH8GTFRCSWKMPXRRESE","GSON1112160513")</f>
        <v>#NAME?</v>
      </c>
      <c r="E1776" s="8" t="e">
        <f ca="1">[1]!BexGetData("DP_1","003N8EMH8GTFRCSWKMPXRRL3Y","GSON1112160513")</f>
        <v>#NAME?</v>
      </c>
      <c r="F1776" s="4" t="e">
        <f ca="1">[1]!BexGetData("DP_1","003N8EMH8GTFRCSWKMPXRRRFI","GSON1112160513")</f>
        <v>#NAME?</v>
      </c>
      <c r="G1776" s="4" t="e">
        <f ca="1">[1]!BexGetData("DP_1","003N8EMH8GTFRCSWKMPXRRXR2","GSON1112160513")</f>
        <v>#NAME?</v>
      </c>
      <c r="H1776" s="4" t="e">
        <f ca="1">[1]!BexGetData("DP_1","003N8EMH8GTFRCSWKMPXRS42M","GSON1112160513")</f>
        <v>#NAME?</v>
      </c>
      <c r="I1776" s="4" t="e">
        <f ca="1">[1]!BexGetData("DP_1","003N8EMH8GTFRCSWKMPXRSAE6","GSON1112160513")</f>
        <v>#NAME?</v>
      </c>
      <c r="J1776" s="4" t="e">
        <f ca="1">[1]!BexGetData("DP_1","003N8EMH8GTFRCSWKMPXRSGPQ","GSON1112160513")</f>
        <v>#NAME?</v>
      </c>
      <c r="K1776" s="8" t="e">
        <f ca="1">[1]!BexGetData("DP_1","003N8EMH8GTFRIVNUPY288VJH","GSON1112160513")</f>
        <v>#NAME?</v>
      </c>
      <c r="L1776" s="8" t="e">
        <f ca="1">[1]!BexGetData("DP_1","003N8EMH8GTFRIVNUPY2891V1","GSON1112160513")</f>
        <v>#NAME?</v>
      </c>
      <c r="M1776" s="8" t="e">
        <f ca="1">[1]!BexGetData("DP_1","003N8EMH8GTFRIVOG7KG9IQXA","GSON1112160513")</f>
        <v>#NAME?</v>
      </c>
      <c r="N1776" s="8" t="e">
        <f ca="1">[1]!BexGetData("DP_1","003N8EMH8GTFRIVOG7KG9IX8U","GSON1112160513")</f>
        <v>#NAME?</v>
      </c>
      <c r="O1776" s="8" t="e">
        <f ca="1">[1]!BexGetData("DP_1","003N8EMH8GTFRIVOG7KG9J3KE","GSON1112160513")</f>
        <v>#NAME?</v>
      </c>
      <c r="P1776" s="8" t="e">
        <f ca="1">[1]!BexGetData("DP_1","003N8EMH8GTFRIVOG7KG9J9VY","GSON1112160513")</f>
        <v>#NAME?</v>
      </c>
      <c r="Q1776" s="4" t="e">
        <f ca="1">[1]!BexGetData("DP_1","00O2TNJGODT0G5Z4TTKYMM5MT","GSON1112160513")</f>
        <v>#NAME?</v>
      </c>
      <c r="R1776" s="4" t="e">
        <f ca="1">[1]!BexGetData("DP_1","00O2TNJGODT0G5Z4TTKYMMBYD","GSON1112160513")</f>
        <v>#NAME?</v>
      </c>
      <c r="S1776" s="4" t="e">
        <f ca="1">[1]!BexGetData("DP_1","00O2TNJGODT0G5Z4TTKYMMI9X","GSON1112160513")</f>
        <v>#NAME?</v>
      </c>
      <c r="T1776" s="4" t="e">
        <f ca="1">[1]!BexGetData("DP_1","00O2TNJGODT0G5Z4TTKYMMOLH","GSON1112160513")</f>
        <v>#NAME?</v>
      </c>
      <c r="U1776" s="4" t="e">
        <f ca="1">[1]!BexGetData("DP_1","00O2TNJGODT0G5Z4TTKYMMUX1","GSON1112160513")</f>
        <v>#NAME?</v>
      </c>
      <c r="V1776" s="4" t="e">
        <f ca="1">[1]!BexGetData("DP_1","00O2TNJGODT0G5Z4TTKYMN18L","GSON1112160513")</f>
        <v>#NAME?</v>
      </c>
      <c r="W1776" s="4" t="e">
        <f ca="1">[1]!BexGetData("DP_1","00O2TNJGODT0G5Z4TTKYMN7K5","GSON1112160513")</f>
        <v>#NAME?</v>
      </c>
    </row>
    <row r="1777" spans="1:23" x14ac:dyDescent="0.2">
      <c r="A1777" s="16" t="s">
        <v>4480</v>
      </c>
      <c r="B1777" s="7" t="s">
        <v>4481</v>
      </c>
      <c r="C1777" s="3" t="e">
        <f ca="1">[1]!BexGetData("DP_1","003N8EMH8GTFRCSWKMPXRR8GU","GSON1112160514")</f>
        <v>#NAME?</v>
      </c>
      <c r="D1777" s="3" t="e">
        <f ca="1">[1]!BexGetData("DP_1","003N8EMH8GTFRCSWKMPXRRESE","GSON1112160514")</f>
        <v>#NAME?</v>
      </c>
      <c r="E1777" s="8" t="e">
        <f ca="1">[1]!BexGetData("DP_1","003N8EMH8GTFRCSWKMPXRRL3Y","GSON1112160514")</f>
        <v>#NAME?</v>
      </c>
      <c r="F1777" s="4" t="e">
        <f ca="1">[1]!BexGetData("DP_1","003N8EMH8GTFRCSWKMPXRRRFI","GSON1112160514")</f>
        <v>#NAME?</v>
      </c>
      <c r="G1777" s="4" t="e">
        <f ca="1">[1]!BexGetData("DP_1","003N8EMH8GTFRCSWKMPXRRXR2","GSON1112160514")</f>
        <v>#NAME?</v>
      </c>
      <c r="H1777" s="4" t="e">
        <f ca="1">[1]!BexGetData("DP_1","003N8EMH8GTFRCSWKMPXRS42M","GSON1112160514")</f>
        <v>#NAME?</v>
      </c>
      <c r="I1777" s="4" t="e">
        <f ca="1">[1]!BexGetData("DP_1","003N8EMH8GTFRCSWKMPXRSAE6","GSON1112160514")</f>
        <v>#NAME?</v>
      </c>
      <c r="J1777" s="4" t="e">
        <f ca="1">[1]!BexGetData("DP_1","003N8EMH8GTFRCSWKMPXRSGPQ","GSON1112160514")</f>
        <v>#NAME?</v>
      </c>
      <c r="K1777" s="8" t="e">
        <f ca="1">[1]!BexGetData("DP_1","003N8EMH8GTFRIVNUPY288VJH","GSON1112160514")</f>
        <v>#NAME?</v>
      </c>
      <c r="L1777" s="8" t="e">
        <f ca="1">[1]!BexGetData("DP_1","003N8EMH8GTFRIVNUPY2891V1","GSON1112160514")</f>
        <v>#NAME?</v>
      </c>
      <c r="M1777" s="8" t="e">
        <f ca="1">[1]!BexGetData("DP_1","003N8EMH8GTFRIVOG7KG9IQXA","GSON1112160514")</f>
        <v>#NAME?</v>
      </c>
      <c r="N1777" s="8" t="e">
        <f ca="1">[1]!BexGetData("DP_1","003N8EMH8GTFRIVOG7KG9IX8U","GSON1112160514")</f>
        <v>#NAME?</v>
      </c>
      <c r="O1777" s="8" t="e">
        <f ca="1">[1]!BexGetData("DP_1","003N8EMH8GTFRIVOG7KG9J3KE","GSON1112160514")</f>
        <v>#NAME?</v>
      </c>
      <c r="P1777" s="8" t="e">
        <f ca="1">[1]!BexGetData("DP_1","003N8EMH8GTFRIVOG7KG9J9VY","GSON1112160514")</f>
        <v>#NAME?</v>
      </c>
      <c r="Q1777" s="4" t="e">
        <f ca="1">[1]!BexGetData("DP_1","00O2TNJGODT0G5Z4TTKYMM5MT","GSON1112160514")</f>
        <v>#NAME?</v>
      </c>
      <c r="R1777" s="4" t="e">
        <f ca="1">[1]!BexGetData("DP_1","00O2TNJGODT0G5Z4TTKYMMBYD","GSON1112160514")</f>
        <v>#NAME?</v>
      </c>
      <c r="S1777" s="4" t="e">
        <f ca="1">[1]!BexGetData("DP_1","00O2TNJGODT0G5Z4TTKYMMI9X","GSON1112160514")</f>
        <v>#NAME?</v>
      </c>
      <c r="T1777" s="4" t="e">
        <f ca="1">[1]!BexGetData("DP_1","00O2TNJGODT0G5Z4TTKYMMOLH","GSON1112160514")</f>
        <v>#NAME?</v>
      </c>
      <c r="U1777" s="4" t="e">
        <f ca="1">[1]!BexGetData("DP_1","00O2TNJGODT0G5Z4TTKYMMUX1","GSON1112160514")</f>
        <v>#NAME?</v>
      </c>
      <c r="V1777" s="4" t="e">
        <f ca="1">[1]!BexGetData("DP_1","00O2TNJGODT0G5Z4TTKYMN18L","GSON1112160514")</f>
        <v>#NAME?</v>
      </c>
      <c r="W1777" s="4" t="e">
        <f ca="1">[1]!BexGetData("DP_1","00O2TNJGODT0G5Z4TTKYMN7K5","GSON1112160514")</f>
        <v>#NAME?</v>
      </c>
    </row>
    <row r="1778" spans="1:23" x14ac:dyDescent="0.2">
      <c r="A1778" s="16" t="s">
        <v>1683</v>
      </c>
      <c r="B1778" s="7" t="s">
        <v>1684</v>
      </c>
      <c r="C1778" s="3" t="e">
        <f ca="1">[1]!BexGetData("DP_1","003N8EMH8GTFRCSWKMPXRR8GU","GSON1112170010")</f>
        <v>#NAME?</v>
      </c>
      <c r="D1778" s="3" t="e">
        <f ca="1">[1]!BexGetData("DP_1","003N8EMH8GTFRCSWKMPXRRESE","GSON1112170010")</f>
        <v>#NAME?</v>
      </c>
      <c r="E1778" s="3" t="e">
        <f ca="1">[1]!BexGetData("DP_1","003N8EMH8GTFRCSWKMPXRRL3Y","GSON1112170010")</f>
        <v>#NAME?</v>
      </c>
      <c r="F1778" s="3" t="e">
        <f ca="1">[1]!BexGetData("DP_1","003N8EMH8GTFRCSWKMPXRRRFI","GSON1112170010")</f>
        <v>#NAME?</v>
      </c>
      <c r="G1778" s="3" t="e">
        <f ca="1">[1]!BexGetData("DP_1","003N8EMH8GTFRCSWKMPXRRXR2","GSON1112170010")</f>
        <v>#NAME?</v>
      </c>
      <c r="H1778" s="8" t="e">
        <f ca="1">[1]!BexGetData("DP_1","003N8EMH8GTFRCSWKMPXRS42M","GSON1112170010")</f>
        <v>#NAME?</v>
      </c>
      <c r="I1778" s="3" t="e">
        <f ca="1">[1]!BexGetData("DP_1","003N8EMH8GTFRCSWKMPXRSAE6","GSON1112170010")</f>
        <v>#NAME?</v>
      </c>
      <c r="J1778" s="4" t="e">
        <f ca="1">[1]!BexGetData("DP_1","003N8EMH8GTFRCSWKMPXRSGPQ","GSON1112170010")</f>
        <v>#NAME?</v>
      </c>
      <c r="K1778" s="3" t="e">
        <f ca="1">[1]!BexGetData("DP_1","003N8EMH8GTFRIVNUPY288VJH","GSON1112170010")</f>
        <v>#NAME?</v>
      </c>
      <c r="L1778" s="3" t="e">
        <f ca="1">[1]!BexGetData("DP_1","003N8EMH8GTFRIVNUPY2891V1","GSON1112170010")</f>
        <v>#NAME?</v>
      </c>
      <c r="M1778" s="8" t="e">
        <f ca="1">[1]!BexGetData("DP_1","003N8EMH8GTFRIVOG7KG9IQXA","GSON1112170010")</f>
        <v>#NAME?</v>
      </c>
      <c r="N1778" s="3" t="e">
        <f ca="1">[1]!BexGetData("DP_1","003N8EMH8GTFRIVOG7KG9IX8U","GSON1112170010")</f>
        <v>#NAME?</v>
      </c>
      <c r="O1778" s="8" t="e">
        <f ca="1">[1]!BexGetData("DP_1","003N8EMH8GTFRIVOG7KG9J3KE","GSON1112170010")</f>
        <v>#NAME?</v>
      </c>
      <c r="P1778" s="3" t="e">
        <f ca="1">[1]!BexGetData("DP_1","003N8EMH8GTFRIVOG7KG9J9VY","GSON1112170010")</f>
        <v>#NAME?</v>
      </c>
      <c r="Q1778" s="4" t="e">
        <f ca="1">[1]!BexGetData("DP_1","00O2TNJGODT0G5Z4TTKYMM5MT","GSON1112170010")</f>
        <v>#NAME?</v>
      </c>
      <c r="R1778" s="3" t="e">
        <f ca="1">[1]!BexGetData("DP_1","00O2TNJGODT0G5Z4TTKYMMBYD","GSON1112170010")</f>
        <v>#NAME?</v>
      </c>
      <c r="S1778" s="3" t="e">
        <f ca="1">[1]!BexGetData("DP_1","00O2TNJGODT0G5Z4TTKYMMI9X","GSON1112170010")</f>
        <v>#NAME?</v>
      </c>
      <c r="T1778" s="8" t="e">
        <f ca="1">[1]!BexGetData("DP_1","00O2TNJGODT0G5Z4TTKYMMOLH","GSON1112170010")</f>
        <v>#NAME?</v>
      </c>
      <c r="U1778" s="3" t="e">
        <f ca="1">[1]!BexGetData("DP_1","00O2TNJGODT0G5Z4TTKYMMUX1","GSON1112170010")</f>
        <v>#NAME?</v>
      </c>
      <c r="V1778" s="8" t="e">
        <f ca="1">[1]!BexGetData("DP_1","00O2TNJGODT0G5Z4TTKYMN18L","GSON1112170010")</f>
        <v>#NAME?</v>
      </c>
      <c r="W1778" s="3" t="e">
        <f ca="1">[1]!BexGetData("DP_1","00O2TNJGODT0G5Z4TTKYMN7K5","GSON1112170010")</f>
        <v>#NAME?</v>
      </c>
    </row>
    <row r="1779" spans="1:23" x14ac:dyDescent="0.2">
      <c r="A1779" s="16" t="s">
        <v>1196</v>
      </c>
      <c r="B1779" s="7" t="s">
        <v>1197</v>
      </c>
      <c r="C1779" s="3" t="e">
        <f ca="1">[1]!BexGetData("DP_1","003N8EMH8GTFRCSWKMPXRR8GU","GSON1112170011")</f>
        <v>#NAME?</v>
      </c>
      <c r="D1779" s="3" t="e">
        <f ca="1">[1]!BexGetData("DP_1","003N8EMH8GTFRCSWKMPXRRESE","GSON1112170011")</f>
        <v>#NAME?</v>
      </c>
      <c r="E1779" s="8" t="e">
        <f ca="1">[1]!BexGetData("DP_1","003N8EMH8GTFRCSWKMPXRRL3Y","GSON1112170011")</f>
        <v>#NAME?</v>
      </c>
      <c r="F1779" s="4" t="e">
        <f ca="1">[1]!BexGetData("DP_1","003N8EMH8GTFRCSWKMPXRRRFI","GSON1112170011")</f>
        <v>#NAME?</v>
      </c>
      <c r="G1779" s="4" t="e">
        <f ca="1">[1]!BexGetData("DP_1","003N8EMH8GTFRCSWKMPXRRXR2","GSON1112170011")</f>
        <v>#NAME?</v>
      </c>
      <c r="H1779" s="4" t="e">
        <f ca="1">[1]!BexGetData("DP_1","003N8EMH8GTFRCSWKMPXRS42M","GSON1112170011")</f>
        <v>#NAME?</v>
      </c>
      <c r="I1779" s="4" t="e">
        <f ca="1">[1]!BexGetData("DP_1","003N8EMH8GTFRCSWKMPXRSAE6","GSON1112170011")</f>
        <v>#NAME?</v>
      </c>
      <c r="J1779" s="4" t="e">
        <f ca="1">[1]!BexGetData("DP_1","003N8EMH8GTFRCSWKMPXRSGPQ","GSON1112170011")</f>
        <v>#NAME?</v>
      </c>
      <c r="K1779" s="8" t="e">
        <f ca="1">[1]!BexGetData("DP_1","003N8EMH8GTFRIVNUPY288VJH","GSON1112170011")</f>
        <v>#NAME?</v>
      </c>
      <c r="L1779" s="8" t="e">
        <f ca="1">[1]!BexGetData("DP_1","003N8EMH8GTFRIVNUPY2891V1","GSON1112170011")</f>
        <v>#NAME?</v>
      </c>
      <c r="M1779" s="8" t="e">
        <f ca="1">[1]!BexGetData("DP_1","003N8EMH8GTFRIVOG7KG9IQXA","GSON1112170011")</f>
        <v>#NAME?</v>
      </c>
      <c r="N1779" s="8" t="e">
        <f ca="1">[1]!BexGetData("DP_1","003N8EMH8GTFRIVOG7KG9IX8U","GSON1112170011")</f>
        <v>#NAME?</v>
      </c>
      <c r="O1779" s="8" t="e">
        <f ca="1">[1]!BexGetData("DP_1","003N8EMH8GTFRIVOG7KG9J3KE","GSON1112170011")</f>
        <v>#NAME?</v>
      </c>
      <c r="P1779" s="8" t="e">
        <f ca="1">[1]!BexGetData("DP_1","003N8EMH8GTFRIVOG7KG9J9VY","GSON1112170011")</f>
        <v>#NAME?</v>
      </c>
      <c r="Q1779" s="4" t="e">
        <f ca="1">[1]!BexGetData("DP_1","00O2TNJGODT0G5Z4TTKYMM5MT","GSON1112170011")</f>
        <v>#NAME?</v>
      </c>
      <c r="R1779" s="4" t="e">
        <f ca="1">[1]!BexGetData("DP_1","00O2TNJGODT0G5Z4TTKYMMBYD","GSON1112170011")</f>
        <v>#NAME?</v>
      </c>
      <c r="S1779" s="4" t="e">
        <f ca="1">[1]!BexGetData("DP_1","00O2TNJGODT0G5Z4TTKYMMI9X","GSON1112170011")</f>
        <v>#NAME?</v>
      </c>
      <c r="T1779" s="4" t="e">
        <f ca="1">[1]!BexGetData("DP_1","00O2TNJGODT0G5Z4TTKYMMOLH","GSON1112170011")</f>
        <v>#NAME?</v>
      </c>
      <c r="U1779" s="4" t="e">
        <f ca="1">[1]!BexGetData("DP_1","00O2TNJGODT0G5Z4TTKYMMUX1","GSON1112170011")</f>
        <v>#NAME?</v>
      </c>
      <c r="V1779" s="4" t="e">
        <f ca="1">[1]!BexGetData("DP_1","00O2TNJGODT0G5Z4TTKYMN18L","GSON1112170011")</f>
        <v>#NAME?</v>
      </c>
      <c r="W1779" s="4" t="e">
        <f ca="1">[1]!BexGetData("DP_1","00O2TNJGODT0G5Z4TTKYMN7K5","GSON1112170011")</f>
        <v>#NAME?</v>
      </c>
    </row>
    <row r="1780" spans="1:23" x14ac:dyDescent="0.2">
      <c r="A1780" s="16" t="s">
        <v>1685</v>
      </c>
      <c r="B1780" s="7" t="s">
        <v>1686</v>
      </c>
      <c r="C1780" s="3" t="e">
        <f ca="1">[1]!BexGetData("DP_1","003N8EMH8GTFRCSWKMPXRR8GU","GSON1112170013")</f>
        <v>#NAME?</v>
      </c>
      <c r="D1780" s="3" t="e">
        <f ca="1">[1]!BexGetData("DP_1","003N8EMH8GTFRCSWKMPXRRESE","GSON1112170013")</f>
        <v>#NAME?</v>
      </c>
      <c r="E1780" s="8" t="e">
        <f ca="1">[1]!BexGetData("DP_1","003N8EMH8GTFRCSWKMPXRRL3Y","GSON1112170013")</f>
        <v>#NAME?</v>
      </c>
      <c r="F1780" s="4" t="e">
        <f ca="1">[1]!BexGetData("DP_1","003N8EMH8GTFRCSWKMPXRRRFI","GSON1112170013")</f>
        <v>#NAME?</v>
      </c>
      <c r="G1780" s="4" t="e">
        <f ca="1">[1]!BexGetData("DP_1","003N8EMH8GTFRCSWKMPXRRXR2","GSON1112170013")</f>
        <v>#NAME?</v>
      </c>
      <c r="H1780" s="4" t="e">
        <f ca="1">[1]!BexGetData("DP_1","003N8EMH8GTFRCSWKMPXRS42M","GSON1112170013")</f>
        <v>#NAME?</v>
      </c>
      <c r="I1780" s="4" t="e">
        <f ca="1">[1]!BexGetData("DP_1","003N8EMH8GTFRCSWKMPXRSAE6","GSON1112170013")</f>
        <v>#NAME?</v>
      </c>
      <c r="J1780" s="4" t="e">
        <f ca="1">[1]!BexGetData("DP_1","003N8EMH8GTFRCSWKMPXRSGPQ","GSON1112170013")</f>
        <v>#NAME?</v>
      </c>
      <c r="K1780" s="8" t="e">
        <f ca="1">[1]!BexGetData("DP_1","003N8EMH8GTFRIVNUPY288VJH","GSON1112170013")</f>
        <v>#NAME?</v>
      </c>
      <c r="L1780" s="8" t="e">
        <f ca="1">[1]!BexGetData("DP_1","003N8EMH8GTFRIVNUPY2891V1","GSON1112170013")</f>
        <v>#NAME?</v>
      </c>
      <c r="M1780" s="8" t="e">
        <f ca="1">[1]!BexGetData("DP_1","003N8EMH8GTFRIVOG7KG9IQXA","GSON1112170013")</f>
        <v>#NAME?</v>
      </c>
      <c r="N1780" s="8" t="e">
        <f ca="1">[1]!BexGetData("DP_1","003N8EMH8GTFRIVOG7KG9IX8U","GSON1112170013")</f>
        <v>#NAME?</v>
      </c>
      <c r="O1780" s="8" t="e">
        <f ca="1">[1]!BexGetData("DP_1","003N8EMH8GTFRIVOG7KG9J3KE","GSON1112170013")</f>
        <v>#NAME?</v>
      </c>
      <c r="P1780" s="8" t="e">
        <f ca="1">[1]!BexGetData("DP_1","003N8EMH8GTFRIVOG7KG9J9VY","GSON1112170013")</f>
        <v>#NAME?</v>
      </c>
      <c r="Q1780" s="4" t="e">
        <f ca="1">[1]!BexGetData("DP_1","00O2TNJGODT0G5Z4TTKYMM5MT","GSON1112170013")</f>
        <v>#NAME?</v>
      </c>
      <c r="R1780" s="4" t="e">
        <f ca="1">[1]!BexGetData("DP_1","00O2TNJGODT0G5Z4TTKYMMBYD","GSON1112170013")</f>
        <v>#NAME?</v>
      </c>
      <c r="S1780" s="4" t="e">
        <f ca="1">[1]!BexGetData("DP_1","00O2TNJGODT0G5Z4TTKYMMI9X","GSON1112170013")</f>
        <v>#NAME?</v>
      </c>
      <c r="T1780" s="4" t="e">
        <f ca="1">[1]!BexGetData("DP_1","00O2TNJGODT0G5Z4TTKYMMOLH","GSON1112170013")</f>
        <v>#NAME?</v>
      </c>
      <c r="U1780" s="4" t="e">
        <f ca="1">[1]!BexGetData("DP_1","00O2TNJGODT0G5Z4TTKYMMUX1","GSON1112170013")</f>
        <v>#NAME?</v>
      </c>
      <c r="V1780" s="4" t="e">
        <f ca="1">[1]!BexGetData("DP_1","00O2TNJGODT0G5Z4TTKYMN18L","GSON1112170013")</f>
        <v>#NAME?</v>
      </c>
      <c r="W1780" s="4" t="e">
        <f ca="1">[1]!BexGetData("DP_1","00O2TNJGODT0G5Z4TTKYMN7K5","GSON1112170013")</f>
        <v>#NAME?</v>
      </c>
    </row>
    <row r="1781" spans="1:23" x14ac:dyDescent="0.2">
      <c r="A1781" s="16" t="s">
        <v>4482</v>
      </c>
      <c r="B1781" s="7" t="s">
        <v>4483</v>
      </c>
      <c r="C1781" s="3" t="e">
        <f ca="1">[1]!BexGetData("DP_1","003N8EMH8GTFRCSWKMPXRR8GU","GSON1112170015")</f>
        <v>#NAME?</v>
      </c>
      <c r="D1781" s="3" t="e">
        <f ca="1">[1]!BexGetData("DP_1","003N8EMH8GTFRCSWKMPXRRESE","GSON1112170015")</f>
        <v>#NAME?</v>
      </c>
      <c r="E1781" s="8" t="e">
        <f ca="1">[1]!BexGetData("DP_1","003N8EMH8GTFRCSWKMPXRRL3Y","GSON1112170015")</f>
        <v>#NAME?</v>
      </c>
      <c r="F1781" s="4" t="e">
        <f ca="1">[1]!BexGetData("DP_1","003N8EMH8GTFRCSWKMPXRRRFI","GSON1112170015")</f>
        <v>#NAME?</v>
      </c>
      <c r="G1781" s="4" t="e">
        <f ca="1">[1]!BexGetData("DP_1","003N8EMH8GTFRCSWKMPXRRXR2","GSON1112170015")</f>
        <v>#NAME?</v>
      </c>
      <c r="H1781" s="4" t="e">
        <f ca="1">[1]!BexGetData("DP_1","003N8EMH8GTFRCSWKMPXRS42M","GSON1112170015")</f>
        <v>#NAME?</v>
      </c>
      <c r="I1781" s="4" t="e">
        <f ca="1">[1]!BexGetData("DP_1","003N8EMH8GTFRCSWKMPXRSAE6","GSON1112170015")</f>
        <v>#NAME?</v>
      </c>
      <c r="J1781" s="4" t="e">
        <f ca="1">[1]!BexGetData("DP_1","003N8EMH8GTFRCSWKMPXRSGPQ","GSON1112170015")</f>
        <v>#NAME?</v>
      </c>
      <c r="K1781" s="8" t="e">
        <f ca="1">[1]!BexGetData("DP_1","003N8EMH8GTFRIVNUPY288VJH","GSON1112170015")</f>
        <v>#NAME?</v>
      </c>
      <c r="L1781" s="8" t="e">
        <f ca="1">[1]!BexGetData("DP_1","003N8EMH8GTFRIVNUPY2891V1","GSON1112170015")</f>
        <v>#NAME?</v>
      </c>
      <c r="M1781" s="8" t="e">
        <f ca="1">[1]!BexGetData("DP_1","003N8EMH8GTFRIVOG7KG9IQXA","GSON1112170015")</f>
        <v>#NAME?</v>
      </c>
      <c r="N1781" s="8" t="e">
        <f ca="1">[1]!BexGetData("DP_1","003N8EMH8GTFRIVOG7KG9IX8U","GSON1112170015")</f>
        <v>#NAME?</v>
      </c>
      <c r="O1781" s="8" t="e">
        <f ca="1">[1]!BexGetData("DP_1","003N8EMH8GTFRIVOG7KG9J3KE","GSON1112170015")</f>
        <v>#NAME?</v>
      </c>
      <c r="P1781" s="8" t="e">
        <f ca="1">[1]!BexGetData("DP_1","003N8EMH8GTFRIVOG7KG9J9VY","GSON1112170015")</f>
        <v>#NAME?</v>
      </c>
      <c r="Q1781" s="4" t="e">
        <f ca="1">[1]!BexGetData("DP_1","00O2TNJGODT0G5Z4TTKYMM5MT","GSON1112170015")</f>
        <v>#NAME?</v>
      </c>
      <c r="R1781" s="4" t="e">
        <f ca="1">[1]!BexGetData("DP_1","00O2TNJGODT0G5Z4TTKYMMBYD","GSON1112170015")</f>
        <v>#NAME?</v>
      </c>
      <c r="S1781" s="4" t="e">
        <f ca="1">[1]!BexGetData("DP_1","00O2TNJGODT0G5Z4TTKYMMI9X","GSON1112170015")</f>
        <v>#NAME?</v>
      </c>
      <c r="T1781" s="4" t="e">
        <f ca="1">[1]!BexGetData("DP_1","00O2TNJGODT0G5Z4TTKYMMOLH","GSON1112170015")</f>
        <v>#NAME?</v>
      </c>
      <c r="U1781" s="4" t="e">
        <f ca="1">[1]!BexGetData("DP_1","00O2TNJGODT0G5Z4TTKYMMUX1","GSON1112170015")</f>
        <v>#NAME?</v>
      </c>
      <c r="V1781" s="4" t="e">
        <f ca="1">[1]!BexGetData("DP_1","00O2TNJGODT0G5Z4TTKYMN18L","GSON1112170015")</f>
        <v>#NAME?</v>
      </c>
      <c r="W1781" s="4" t="e">
        <f ca="1">[1]!BexGetData("DP_1","00O2TNJGODT0G5Z4TTKYMN7K5","GSON1112170015")</f>
        <v>#NAME?</v>
      </c>
    </row>
    <row r="1782" spans="1:23" x14ac:dyDescent="0.2">
      <c r="A1782" s="16" t="s">
        <v>4484</v>
      </c>
      <c r="B1782" s="7" t="s">
        <v>4485</v>
      </c>
      <c r="C1782" s="3" t="e">
        <f ca="1">[1]!BexGetData("DP_1","003N8EMH8GTFRCSWKMPXRR8GU","GSON1112180010")</f>
        <v>#NAME?</v>
      </c>
      <c r="D1782" s="3" t="e">
        <f ca="1">[1]!BexGetData("DP_1","003N8EMH8GTFRCSWKMPXRRESE","GSON1112180010")</f>
        <v>#NAME?</v>
      </c>
      <c r="E1782" s="3" t="e">
        <f ca="1">[1]!BexGetData("DP_1","003N8EMH8GTFRCSWKMPXRRL3Y","GSON1112180010")</f>
        <v>#NAME?</v>
      </c>
      <c r="F1782" s="3" t="e">
        <f ca="1">[1]!BexGetData("DP_1","003N8EMH8GTFRCSWKMPXRRRFI","GSON1112180010")</f>
        <v>#NAME?</v>
      </c>
      <c r="G1782" s="3" t="e">
        <f ca="1">[1]!BexGetData("DP_1","003N8EMH8GTFRCSWKMPXRRXR2","GSON1112180010")</f>
        <v>#NAME?</v>
      </c>
      <c r="H1782" s="8" t="e">
        <f ca="1">[1]!BexGetData("DP_1","003N8EMH8GTFRCSWKMPXRS42M","GSON1112180010")</f>
        <v>#NAME?</v>
      </c>
      <c r="I1782" s="3" t="e">
        <f ca="1">[1]!BexGetData("DP_1","003N8EMH8GTFRCSWKMPXRSAE6","GSON1112180010")</f>
        <v>#NAME?</v>
      </c>
      <c r="J1782" s="4" t="e">
        <f ca="1">[1]!BexGetData("DP_1","003N8EMH8GTFRCSWKMPXRSGPQ","GSON1112180010")</f>
        <v>#NAME?</v>
      </c>
      <c r="K1782" s="3" t="e">
        <f ca="1">[1]!BexGetData("DP_1","003N8EMH8GTFRIVNUPY288VJH","GSON1112180010")</f>
        <v>#NAME?</v>
      </c>
      <c r="L1782" s="3" t="e">
        <f ca="1">[1]!BexGetData("DP_1","003N8EMH8GTFRIVNUPY2891V1","GSON1112180010")</f>
        <v>#NAME?</v>
      </c>
      <c r="M1782" s="3" t="e">
        <f ca="1">[1]!BexGetData("DP_1","003N8EMH8GTFRIVOG7KG9IQXA","GSON1112180010")</f>
        <v>#NAME?</v>
      </c>
      <c r="N1782" s="8" t="e">
        <f ca="1">[1]!BexGetData("DP_1","003N8EMH8GTFRIVOG7KG9IX8U","GSON1112180010")</f>
        <v>#NAME?</v>
      </c>
      <c r="O1782" s="3" t="e">
        <f ca="1">[1]!BexGetData("DP_1","003N8EMH8GTFRIVOG7KG9J3KE","GSON1112180010")</f>
        <v>#NAME?</v>
      </c>
      <c r="P1782" s="8" t="e">
        <f ca="1">[1]!BexGetData("DP_1","003N8EMH8GTFRIVOG7KG9J9VY","GSON1112180010")</f>
        <v>#NAME?</v>
      </c>
      <c r="Q1782" s="4" t="e">
        <f ca="1">[1]!BexGetData("DP_1","00O2TNJGODT0G5Z4TTKYMM5MT","GSON1112180010")</f>
        <v>#NAME?</v>
      </c>
      <c r="R1782" s="3" t="e">
        <f ca="1">[1]!BexGetData("DP_1","00O2TNJGODT0G5Z4TTKYMMBYD","GSON1112180010")</f>
        <v>#NAME?</v>
      </c>
      <c r="S1782" s="3" t="e">
        <f ca="1">[1]!BexGetData("DP_1","00O2TNJGODT0G5Z4TTKYMMI9X","GSON1112180010")</f>
        <v>#NAME?</v>
      </c>
      <c r="T1782" s="8" t="e">
        <f ca="1">[1]!BexGetData("DP_1","00O2TNJGODT0G5Z4TTKYMMOLH","GSON1112180010")</f>
        <v>#NAME?</v>
      </c>
      <c r="U1782" s="3" t="e">
        <f ca="1">[1]!BexGetData("DP_1","00O2TNJGODT0G5Z4TTKYMMUX1","GSON1112180010")</f>
        <v>#NAME?</v>
      </c>
      <c r="V1782" s="8" t="e">
        <f ca="1">[1]!BexGetData("DP_1","00O2TNJGODT0G5Z4TTKYMN18L","GSON1112180010")</f>
        <v>#NAME?</v>
      </c>
      <c r="W1782" s="3" t="e">
        <f ca="1">[1]!BexGetData("DP_1","00O2TNJGODT0G5Z4TTKYMN7K5","GSON1112180010")</f>
        <v>#NAME?</v>
      </c>
    </row>
    <row r="1783" spans="1:23" x14ac:dyDescent="0.2">
      <c r="A1783" s="16" t="s">
        <v>4486</v>
      </c>
      <c r="B1783" s="7" t="s">
        <v>4487</v>
      </c>
      <c r="C1783" s="3" t="e">
        <f ca="1">[1]!BexGetData("DP_1","003N8EMH8GTFRCSWKMPXRR8GU","GSON1112180011")</f>
        <v>#NAME?</v>
      </c>
      <c r="D1783" s="3" t="e">
        <f ca="1">[1]!BexGetData("DP_1","003N8EMH8GTFRCSWKMPXRRESE","GSON1112180011")</f>
        <v>#NAME?</v>
      </c>
      <c r="E1783" s="8" t="e">
        <f ca="1">[1]!BexGetData("DP_1","003N8EMH8GTFRCSWKMPXRRL3Y","GSON1112180011")</f>
        <v>#NAME?</v>
      </c>
      <c r="F1783" s="4" t="e">
        <f ca="1">[1]!BexGetData("DP_1","003N8EMH8GTFRCSWKMPXRRRFI","GSON1112180011")</f>
        <v>#NAME?</v>
      </c>
      <c r="G1783" s="4" t="e">
        <f ca="1">[1]!BexGetData("DP_1","003N8EMH8GTFRCSWKMPXRRXR2","GSON1112180011")</f>
        <v>#NAME?</v>
      </c>
      <c r="H1783" s="4" t="e">
        <f ca="1">[1]!BexGetData("DP_1","003N8EMH8GTFRCSWKMPXRS42M","GSON1112180011")</f>
        <v>#NAME?</v>
      </c>
      <c r="I1783" s="4" t="e">
        <f ca="1">[1]!BexGetData("DP_1","003N8EMH8GTFRCSWKMPXRSAE6","GSON1112180011")</f>
        <v>#NAME?</v>
      </c>
      <c r="J1783" s="4" t="e">
        <f ca="1">[1]!BexGetData("DP_1","003N8EMH8GTFRCSWKMPXRSGPQ","GSON1112180011")</f>
        <v>#NAME?</v>
      </c>
      <c r="K1783" s="8" t="e">
        <f ca="1">[1]!BexGetData("DP_1","003N8EMH8GTFRIVNUPY288VJH","GSON1112180011")</f>
        <v>#NAME?</v>
      </c>
      <c r="L1783" s="8" t="e">
        <f ca="1">[1]!BexGetData("DP_1","003N8EMH8GTFRIVNUPY2891V1","GSON1112180011")</f>
        <v>#NAME?</v>
      </c>
      <c r="M1783" s="8" t="e">
        <f ca="1">[1]!BexGetData("DP_1","003N8EMH8GTFRIVOG7KG9IQXA","GSON1112180011")</f>
        <v>#NAME?</v>
      </c>
      <c r="N1783" s="8" t="e">
        <f ca="1">[1]!BexGetData("DP_1","003N8EMH8GTFRIVOG7KG9IX8U","GSON1112180011")</f>
        <v>#NAME?</v>
      </c>
      <c r="O1783" s="8" t="e">
        <f ca="1">[1]!BexGetData("DP_1","003N8EMH8GTFRIVOG7KG9J3KE","GSON1112180011")</f>
        <v>#NAME?</v>
      </c>
      <c r="P1783" s="8" t="e">
        <f ca="1">[1]!BexGetData("DP_1","003N8EMH8GTFRIVOG7KG9J9VY","GSON1112180011")</f>
        <v>#NAME?</v>
      </c>
      <c r="Q1783" s="4" t="e">
        <f ca="1">[1]!BexGetData("DP_1","00O2TNJGODT0G5Z4TTKYMM5MT","GSON1112180011")</f>
        <v>#NAME?</v>
      </c>
      <c r="R1783" s="4" t="e">
        <f ca="1">[1]!BexGetData("DP_1","00O2TNJGODT0G5Z4TTKYMMBYD","GSON1112180011")</f>
        <v>#NAME?</v>
      </c>
      <c r="S1783" s="4" t="e">
        <f ca="1">[1]!BexGetData("DP_1","00O2TNJGODT0G5Z4TTKYMMI9X","GSON1112180011")</f>
        <v>#NAME?</v>
      </c>
      <c r="T1783" s="4" t="e">
        <f ca="1">[1]!BexGetData("DP_1","00O2TNJGODT0G5Z4TTKYMMOLH","GSON1112180011")</f>
        <v>#NAME?</v>
      </c>
      <c r="U1783" s="4" t="e">
        <f ca="1">[1]!BexGetData("DP_1","00O2TNJGODT0G5Z4TTKYMMUX1","GSON1112180011")</f>
        <v>#NAME?</v>
      </c>
      <c r="V1783" s="4" t="e">
        <f ca="1">[1]!BexGetData("DP_1","00O2TNJGODT0G5Z4TTKYMN18L","GSON1112180011")</f>
        <v>#NAME?</v>
      </c>
      <c r="W1783" s="4" t="e">
        <f ca="1">[1]!BexGetData("DP_1","00O2TNJGODT0G5Z4TTKYMN7K5","GSON1112180011")</f>
        <v>#NAME?</v>
      </c>
    </row>
    <row r="1784" spans="1:23" x14ac:dyDescent="0.2">
      <c r="A1784" s="16" t="s">
        <v>4488</v>
      </c>
      <c r="B1784" s="7" t="s">
        <v>4489</v>
      </c>
      <c r="C1784" s="3" t="e">
        <f ca="1">[1]!BexGetData("DP_1","003N8EMH8GTFRCSWKMPXRR8GU","GSON1112180013")</f>
        <v>#NAME?</v>
      </c>
      <c r="D1784" s="3" t="e">
        <f ca="1">[1]!BexGetData("DP_1","003N8EMH8GTFRCSWKMPXRRESE","GSON1112180013")</f>
        <v>#NAME?</v>
      </c>
      <c r="E1784" s="8" t="e">
        <f ca="1">[1]!BexGetData("DP_1","003N8EMH8GTFRCSWKMPXRRL3Y","GSON1112180013")</f>
        <v>#NAME?</v>
      </c>
      <c r="F1784" s="4" t="e">
        <f ca="1">[1]!BexGetData("DP_1","003N8EMH8GTFRCSWKMPXRRRFI","GSON1112180013")</f>
        <v>#NAME?</v>
      </c>
      <c r="G1784" s="4" t="e">
        <f ca="1">[1]!BexGetData("DP_1","003N8EMH8GTFRCSWKMPXRRXR2","GSON1112180013")</f>
        <v>#NAME?</v>
      </c>
      <c r="H1784" s="4" t="e">
        <f ca="1">[1]!BexGetData("DP_1","003N8EMH8GTFRCSWKMPXRS42M","GSON1112180013")</f>
        <v>#NAME?</v>
      </c>
      <c r="I1784" s="4" t="e">
        <f ca="1">[1]!BexGetData("DP_1","003N8EMH8GTFRCSWKMPXRSAE6","GSON1112180013")</f>
        <v>#NAME?</v>
      </c>
      <c r="J1784" s="4" t="e">
        <f ca="1">[1]!BexGetData("DP_1","003N8EMH8GTFRCSWKMPXRSGPQ","GSON1112180013")</f>
        <v>#NAME?</v>
      </c>
      <c r="K1784" s="8" t="e">
        <f ca="1">[1]!BexGetData("DP_1","003N8EMH8GTFRIVNUPY288VJH","GSON1112180013")</f>
        <v>#NAME?</v>
      </c>
      <c r="L1784" s="8" t="e">
        <f ca="1">[1]!BexGetData("DP_1","003N8EMH8GTFRIVNUPY2891V1","GSON1112180013")</f>
        <v>#NAME?</v>
      </c>
      <c r="M1784" s="8" t="e">
        <f ca="1">[1]!BexGetData("DP_1","003N8EMH8GTFRIVOG7KG9IQXA","GSON1112180013")</f>
        <v>#NAME?</v>
      </c>
      <c r="N1784" s="8" t="e">
        <f ca="1">[1]!BexGetData("DP_1","003N8EMH8GTFRIVOG7KG9IX8U","GSON1112180013")</f>
        <v>#NAME?</v>
      </c>
      <c r="O1784" s="8" t="e">
        <f ca="1">[1]!BexGetData("DP_1","003N8EMH8GTFRIVOG7KG9J3KE","GSON1112180013")</f>
        <v>#NAME?</v>
      </c>
      <c r="P1784" s="8" t="e">
        <f ca="1">[1]!BexGetData("DP_1","003N8EMH8GTFRIVOG7KG9J9VY","GSON1112180013")</f>
        <v>#NAME?</v>
      </c>
      <c r="Q1784" s="4" t="e">
        <f ca="1">[1]!BexGetData("DP_1","00O2TNJGODT0G5Z4TTKYMM5MT","GSON1112180013")</f>
        <v>#NAME?</v>
      </c>
      <c r="R1784" s="4" t="e">
        <f ca="1">[1]!BexGetData("DP_1","00O2TNJGODT0G5Z4TTKYMMBYD","GSON1112180013")</f>
        <v>#NAME?</v>
      </c>
      <c r="S1784" s="4" t="e">
        <f ca="1">[1]!BexGetData("DP_1","00O2TNJGODT0G5Z4TTKYMMI9X","GSON1112180013")</f>
        <v>#NAME?</v>
      </c>
      <c r="T1784" s="4" t="e">
        <f ca="1">[1]!BexGetData("DP_1","00O2TNJGODT0G5Z4TTKYMMOLH","GSON1112180013")</f>
        <v>#NAME?</v>
      </c>
      <c r="U1784" s="4" t="e">
        <f ca="1">[1]!BexGetData("DP_1","00O2TNJGODT0G5Z4TTKYMMUX1","GSON1112180013")</f>
        <v>#NAME?</v>
      </c>
      <c r="V1784" s="4" t="e">
        <f ca="1">[1]!BexGetData("DP_1","00O2TNJGODT0G5Z4TTKYMN18L","GSON1112180013")</f>
        <v>#NAME?</v>
      </c>
      <c r="W1784" s="4" t="e">
        <f ca="1">[1]!BexGetData("DP_1","00O2TNJGODT0G5Z4TTKYMN7K5","GSON1112180013")</f>
        <v>#NAME?</v>
      </c>
    </row>
    <row r="1785" spans="1:23" x14ac:dyDescent="0.2">
      <c r="A1785" s="16" t="s">
        <v>4490</v>
      </c>
      <c r="B1785" s="7" t="s">
        <v>4491</v>
      </c>
      <c r="C1785" s="3" t="e">
        <f ca="1">[1]!BexGetData("DP_1","003N8EMH8GTFRCSWKMPXRR8GU","GSON1112180015")</f>
        <v>#NAME?</v>
      </c>
      <c r="D1785" s="3" t="e">
        <f ca="1">[1]!BexGetData("DP_1","003N8EMH8GTFRCSWKMPXRRESE","GSON1112180015")</f>
        <v>#NAME?</v>
      </c>
      <c r="E1785" s="8" t="e">
        <f ca="1">[1]!BexGetData("DP_1","003N8EMH8GTFRCSWKMPXRRL3Y","GSON1112180015")</f>
        <v>#NAME?</v>
      </c>
      <c r="F1785" s="4" t="e">
        <f ca="1">[1]!BexGetData("DP_1","003N8EMH8GTFRCSWKMPXRRRFI","GSON1112180015")</f>
        <v>#NAME?</v>
      </c>
      <c r="G1785" s="4" t="e">
        <f ca="1">[1]!BexGetData("DP_1","003N8EMH8GTFRCSWKMPXRRXR2","GSON1112180015")</f>
        <v>#NAME?</v>
      </c>
      <c r="H1785" s="4" t="e">
        <f ca="1">[1]!BexGetData("DP_1","003N8EMH8GTFRCSWKMPXRS42M","GSON1112180015")</f>
        <v>#NAME?</v>
      </c>
      <c r="I1785" s="4" t="e">
        <f ca="1">[1]!BexGetData("DP_1","003N8EMH8GTFRCSWKMPXRSAE6","GSON1112180015")</f>
        <v>#NAME?</v>
      </c>
      <c r="J1785" s="4" t="e">
        <f ca="1">[1]!BexGetData("DP_1","003N8EMH8GTFRCSWKMPXRSGPQ","GSON1112180015")</f>
        <v>#NAME?</v>
      </c>
      <c r="K1785" s="8" t="e">
        <f ca="1">[1]!BexGetData("DP_1","003N8EMH8GTFRIVNUPY288VJH","GSON1112180015")</f>
        <v>#NAME?</v>
      </c>
      <c r="L1785" s="8" t="e">
        <f ca="1">[1]!BexGetData("DP_1","003N8EMH8GTFRIVNUPY2891V1","GSON1112180015")</f>
        <v>#NAME?</v>
      </c>
      <c r="M1785" s="8" t="e">
        <f ca="1">[1]!BexGetData("DP_1","003N8EMH8GTFRIVOG7KG9IQXA","GSON1112180015")</f>
        <v>#NAME?</v>
      </c>
      <c r="N1785" s="8" t="e">
        <f ca="1">[1]!BexGetData("DP_1","003N8EMH8GTFRIVOG7KG9IX8U","GSON1112180015")</f>
        <v>#NAME?</v>
      </c>
      <c r="O1785" s="8" t="e">
        <f ca="1">[1]!BexGetData("DP_1","003N8EMH8GTFRIVOG7KG9J3KE","GSON1112180015")</f>
        <v>#NAME?</v>
      </c>
      <c r="P1785" s="8" t="e">
        <f ca="1">[1]!BexGetData("DP_1","003N8EMH8GTFRIVOG7KG9J9VY","GSON1112180015")</f>
        <v>#NAME?</v>
      </c>
      <c r="Q1785" s="4" t="e">
        <f ca="1">[1]!BexGetData("DP_1","00O2TNJGODT0G5Z4TTKYMM5MT","GSON1112180015")</f>
        <v>#NAME?</v>
      </c>
      <c r="R1785" s="4" t="e">
        <f ca="1">[1]!BexGetData("DP_1","00O2TNJGODT0G5Z4TTKYMMBYD","GSON1112180015")</f>
        <v>#NAME?</v>
      </c>
      <c r="S1785" s="4" t="e">
        <f ca="1">[1]!BexGetData("DP_1","00O2TNJGODT0G5Z4TTKYMMI9X","GSON1112180015")</f>
        <v>#NAME?</v>
      </c>
      <c r="T1785" s="4" t="e">
        <f ca="1">[1]!BexGetData("DP_1","00O2TNJGODT0G5Z4TTKYMMOLH","GSON1112180015")</f>
        <v>#NAME?</v>
      </c>
      <c r="U1785" s="4" t="e">
        <f ca="1">[1]!BexGetData("DP_1","00O2TNJGODT0G5Z4TTKYMMUX1","GSON1112180015")</f>
        <v>#NAME?</v>
      </c>
      <c r="V1785" s="4" t="e">
        <f ca="1">[1]!BexGetData("DP_1","00O2TNJGODT0G5Z4TTKYMN18L","GSON1112180015")</f>
        <v>#NAME?</v>
      </c>
      <c r="W1785" s="4" t="e">
        <f ca="1">[1]!BexGetData("DP_1","00O2TNJGODT0G5Z4TTKYMN7K5","GSON1112180015")</f>
        <v>#NAME?</v>
      </c>
    </row>
    <row r="1786" spans="1:23" x14ac:dyDescent="0.2">
      <c r="A1786" s="16" t="s">
        <v>4492</v>
      </c>
      <c r="B1786" s="7" t="s">
        <v>4493</v>
      </c>
      <c r="C1786" s="3" t="e">
        <f ca="1">[1]!BexGetData("DP_1","003N8EMH8GTFRCSWKMPXRR8GU","GSON1112180020")</f>
        <v>#NAME?</v>
      </c>
      <c r="D1786" s="3" t="e">
        <f ca="1">[1]!BexGetData("DP_1","003N8EMH8GTFRCSWKMPXRRESE","GSON1112180020")</f>
        <v>#NAME?</v>
      </c>
      <c r="E1786" s="8" t="e">
        <f ca="1">[1]!BexGetData("DP_1","003N8EMH8GTFRCSWKMPXRRL3Y","GSON1112180020")</f>
        <v>#NAME?</v>
      </c>
      <c r="F1786" s="4" t="e">
        <f ca="1">[1]!BexGetData("DP_1","003N8EMH8GTFRCSWKMPXRRRFI","GSON1112180020")</f>
        <v>#NAME?</v>
      </c>
      <c r="G1786" s="4" t="e">
        <f ca="1">[1]!BexGetData("DP_1","003N8EMH8GTFRCSWKMPXRRXR2","GSON1112180020")</f>
        <v>#NAME?</v>
      </c>
      <c r="H1786" s="4" t="e">
        <f ca="1">[1]!BexGetData("DP_1","003N8EMH8GTFRCSWKMPXRS42M","GSON1112180020")</f>
        <v>#NAME?</v>
      </c>
      <c r="I1786" s="4" t="e">
        <f ca="1">[1]!BexGetData("DP_1","003N8EMH8GTFRCSWKMPXRSAE6","GSON1112180020")</f>
        <v>#NAME?</v>
      </c>
      <c r="J1786" s="4" t="e">
        <f ca="1">[1]!BexGetData("DP_1","003N8EMH8GTFRCSWKMPXRSGPQ","GSON1112180020")</f>
        <v>#NAME?</v>
      </c>
      <c r="K1786" s="8" t="e">
        <f ca="1">[1]!BexGetData("DP_1","003N8EMH8GTFRIVNUPY288VJH","GSON1112180020")</f>
        <v>#NAME?</v>
      </c>
      <c r="L1786" s="8" t="e">
        <f ca="1">[1]!BexGetData("DP_1","003N8EMH8GTFRIVNUPY2891V1","GSON1112180020")</f>
        <v>#NAME?</v>
      </c>
      <c r="M1786" s="8" t="e">
        <f ca="1">[1]!BexGetData("DP_1","003N8EMH8GTFRIVOG7KG9IQXA","GSON1112180020")</f>
        <v>#NAME?</v>
      </c>
      <c r="N1786" s="8" t="e">
        <f ca="1">[1]!BexGetData("DP_1","003N8EMH8GTFRIVOG7KG9IX8U","GSON1112180020")</f>
        <v>#NAME?</v>
      </c>
      <c r="O1786" s="8" t="e">
        <f ca="1">[1]!BexGetData("DP_1","003N8EMH8GTFRIVOG7KG9J3KE","GSON1112180020")</f>
        <v>#NAME?</v>
      </c>
      <c r="P1786" s="8" t="e">
        <f ca="1">[1]!BexGetData("DP_1","003N8EMH8GTFRIVOG7KG9J9VY","GSON1112180020")</f>
        <v>#NAME?</v>
      </c>
      <c r="Q1786" s="4" t="e">
        <f ca="1">[1]!BexGetData("DP_1","00O2TNJGODT0G5Z4TTKYMM5MT","GSON1112180020")</f>
        <v>#NAME?</v>
      </c>
      <c r="R1786" s="4" t="e">
        <f ca="1">[1]!BexGetData("DP_1","00O2TNJGODT0G5Z4TTKYMMBYD","GSON1112180020")</f>
        <v>#NAME?</v>
      </c>
      <c r="S1786" s="4" t="e">
        <f ca="1">[1]!BexGetData("DP_1","00O2TNJGODT0G5Z4TTKYMMI9X","GSON1112180020")</f>
        <v>#NAME?</v>
      </c>
      <c r="T1786" s="4" t="e">
        <f ca="1">[1]!BexGetData("DP_1","00O2TNJGODT0G5Z4TTKYMMOLH","GSON1112180020")</f>
        <v>#NAME?</v>
      </c>
      <c r="U1786" s="4" t="e">
        <f ca="1">[1]!BexGetData("DP_1","00O2TNJGODT0G5Z4TTKYMMUX1","GSON1112180020")</f>
        <v>#NAME?</v>
      </c>
      <c r="V1786" s="4" t="e">
        <f ca="1">[1]!BexGetData("DP_1","00O2TNJGODT0G5Z4TTKYMN18L","GSON1112180020")</f>
        <v>#NAME?</v>
      </c>
      <c r="W1786" s="4" t="e">
        <f ca="1">[1]!BexGetData("DP_1","00O2TNJGODT0G5Z4TTKYMN7K5","GSON1112180020")</f>
        <v>#NAME?</v>
      </c>
    </row>
    <row r="1787" spans="1:23" x14ac:dyDescent="0.2">
      <c r="A1787" s="16" t="s">
        <v>4494</v>
      </c>
      <c r="B1787" s="7" t="s">
        <v>4495</v>
      </c>
      <c r="C1787" s="3" t="e">
        <f ca="1">[1]!BexGetData("DP_1","003N8EMH8GTFRCSWKMPXRR8GU","GSON1112180021")</f>
        <v>#NAME?</v>
      </c>
      <c r="D1787" s="3" t="e">
        <f ca="1">[1]!BexGetData("DP_1","003N8EMH8GTFRCSWKMPXRRESE","GSON1112180021")</f>
        <v>#NAME?</v>
      </c>
      <c r="E1787" s="8" t="e">
        <f ca="1">[1]!BexGetData("DP_1","003N8EMH8GTFRCSWKMPXRRL3Y","GSON1112180021")</f>
        <v>#NAME?</v>
      </c>
      <c r="F1787" s="4" t="e">
        <f ca="1">[1]!BexGetData("DP_1","003N8EMH8GTFRCSWKMPXRRRFI","GSON1112180021")</f>
        <v>#NAME?</v>
      </c>
      <c r="G1787" s="4" t="e">
        <f ca="1">[1]!BexGetData("DP_1","003N8EMH8GTFRCSWKMPXRRXR2","GSON1112180021")</f>
        <v>#NAME?</v>
      </c>
      <c r="H1787" s="4" t="e">
        <f ca="1">[1]!BexGetData("DP_1","003N8EMH8GTFRCSWKMPXRS42M","GSON1112180021")</f>
        <v>#NAME?</v>
      </c>
      <c r="I1787" s="4" t="e">
        <f ca="1">[1]!BexGetData("DP_1","003N8EMH8GTFRCSWKMPXRSAE6","GSON1112180021")</f>
        <v>#NAME?</v>
      </c>
      <c r="J1787" s="4" t="e">
        <f ca="1">[1]!BexGetData("DP_1","003N8EMH8GTFRCSWKMPXRSGPQ","GSON1112180021")</f>
        <v>#NAME?</v>
      </c>
      <c r="K1787" s="8" t="e">
        <f ca="1">[1]!BexGetData("DP_1","003N8EMH8GTFRIVNUPY288VJH","GSON1112180021")</f>
        <v>#NAME?</v>
      </c>
      <c r="L1787" s="8" t="e">
        <f ca="1">[1]!BexGetData("DP_1","003N8EMH8GTFRIVNUPY2891V1","GSON1112180021")</f>
        <v>#NAME?</v>
      </c>
      <c r="M1787" s="8" t="e">
        <f ca="1">[1]!BexGetData("DP_1","003N8EMH8GTFRIVOG7KG9IQXA","GSON1112180021")</f>
        <v>#NAME?</v>
      </c>
      <c r="N1787" s="8" t="e">
        <f ca="1">[1]!BexGetData("DP_1","003N8EMH8GTFRIVOG7KG9IX8U","GSON1112180021")</f>
        <v>#NAME?</v>
      </c>
      <c r="O1787" s="8" t="e">
        <f ca="1">[1]!BexGetData("DP_1","003N8EMH8GTFRIVOG7KG9J3KE","GSON1112180021")</f>
        <v>#NAME?</v>
      </c>
      <c r="P1787" s="8" t="e">
        <f ca="1">[1]!BexGetData("DP_1","003N8EMH8GTFRIVOG7KG9J9VY","GSON1112180021")</f>
        <v>#NAME?</v>
      </c>
      <c r="Q1787" s="4" t="e">
        <f ca="1">[1]!BexGetData("DP_1","00O2TNJGODT0G5Z4TTKYMM5MT","GSON1112180021")</f>
        <v>#NAME?</v>
      </c>
      <c r="R1787" s="4" t="e">
        <f ca="1">[1]!BexGetData("DP_1","00O2TNJGODT0G5Z4TTKYMMBYD","GSON1112180021")</f>
        <v>#NAME?</v>
      </c>
      <c r="S1787" s="4" t="e">
        <f ca="1">[1]!BexGetData("DP_1","00O2TNJGODT0G5Z4TTKYMMI9X","GSON1112180021")</f>
        <v>#NAME?</v>
      </c>
      <c r="T1787" s="4" t="e">
        <f ca="1">[1]!BexGetData("DP_1","00O2TNJGODT0G5Z4TTKYMMOLH","GSON1112180021")</f>
        <v>#NAME?</v>
      </c>
      <c r="U1787" s="4" t="e">
        <f ca="1">[1]!BexGetData("DP_1","00O2TNJGODT0G5Z4TTKYMMUX1","GSON1112180021")</f>
        <v>#NAME?</v>
      </c>
      <c r="V1787" s="4" t="e">
        <f ca="1">[1]!BexGetData("DP_1","00O2TNJGODT0G5Z4TTKYMN18L","GSON1112180021")</f>
        <v>#NAME?</v>
      </c>
      <c r="W1787" s="4" t="e">
        <f ca="1">[1]!BexGetData("DP_1","00O2TNJGODT0G5Z4TTKYMN7K5","GSON1112180021")</f>
        <v>#NAME?</v>
      </c>
    </row>
    <row r="1788" spans="1:23" x14ac:dyDescent="0.2">
      <c r="A1788" s="16" t="s">
        <v>4496</v>
      </c>
      <c r="B1788" s="7" t="s">
        <v>4497</v>
      </c>
      <c r="C1788" s="3" t="e">
        <f ca="1">[1]!BexGetData("DP_1","003N8EMH8GTFRCSWKMPXRR8GU","GSON1112180023")</f>
        <v>#NAME?</v>
      </c>
      <c r="D1788" s="3" t="e">
        <f ca="1">[1]!BexGetData("DP_1","003N8EMH8GTFRCSWKMPXRRESE","GSON1112180023")</f>
        <v>#NAME?</v>
      </c>
      <c r="E1788" s="8" t="e">
        <f ca="1">[1]!BexGetData("DP_1","003N8EMH8GTFRCSWKMPXRRL3Y","GSON1112180023")</f>
        <v>#NAME?</v>
      </c>
      <c r="F1788" s="4" t="e">
        <f ca="1">[1]!BexGetData("DP_1","003N8EMH8GTFRCSWKMPXRRRFI","GSON1112180023")</f>
        <v>#NAME?</v>
      </c>
      <c r="G1788" s="4" t="e">
        <f ca="1">[1]!BexGetData("DP_1","003N8EMH8GTFRCSWKMPXRRXR2","GSON1112180023")</f>
        <v>#NAME?</v>
      </c>
      <c r="H1788" s="4" t="e">
        <f ca="1">[1]!BexGetData("DP_1","003N8EMH8GTFRCSWKMPXRS42M","GSON1112180023")</f>
        <v>#NAME?</v>
      </c>
      <c r="I1788" s="4" t="e">
        <f ca="1">[1]!BexGetData("DP_1","003N8EMH8GTFRCSWKMPXRSAE6","GSON1112180023")</f>
        <v>#NAME?</v>
      </c>
      <c r="J1788" s="4" t="e">
        <f ca="1">[1]!BexGetData("DP_1","003N8EMH8GTFRCSWKMPXRSGPQ","GSON1112180023")</f>
        <v>#NAME?</v>
      </c>
      <c r="K1788" s="8" t="e">
        <f ca="1">[1]!BexGetData("DP_1","003N8EMH8GTFRIVNUPY288VJH","GSON1112180023")</f>
        <v>#NAME?</v>
      </c>
      <c r="L1788" s="8" t="e">
        <f ca="1">[1]!BexGetData("DP_1","003N8EMH8GTFRIVNUPY2891V1","GSON1112180023")</f>
        <v>#NAME?</v>
      </c>
      <c r="M1788" s="8" t="e">
        <f ca="1">[1]!BexGetData("DP_1","003N8EMH8GTFRIVOG7KG9IQXA","GSON1112180023")</f>
        <v>#NAME?</v>
      </c>
      <c r="N1788" s="8" t="e">
        <f ca="1">[1]!BexGetData("DP_1","003N8EMH8GTFRIVOG7KG9IX8U","GSON1112180023")</f>
        <v>#NAME?</v>
      </c>
      <c r="O1788" s="8" t="e">
        <f ca="1">[1]!BexGetData("DP_1","003N8EMH8GTFRIVOG7KG9J3KE","GSON1112180023")</f>
        <v>#NAME?</v>
      </c>
      <c r="P1788" s="8" t="e">
        <f ca="1">[1]!BexGetData("DP_1","003N8EMH8GTFRIVOG7KG9J9VY","GSON1112180023")</f>
        <v>#NAME?</v>
      </c>
      <c r="Q1788" s="4" t="e">
        <f ca="1">[1]!BexGetData("DP_1","00O2TNJGODT0G5Z4TTKYMM5MT","GSON1112180023")</f>
        <v>#NAME?</v>
      </c>
      <c r="R1788" s="4" t="e">
        <f ca="1">[1]!BexGetData("DP_1","00O2TNJGODT0G5Z4TTKYMMBYD","GSON1112180023")</f>
        <v>#NAME?</v>
      </c>
      <c r="S1788" s="4" t="e">
        <f ca="1">[1]!BexGetData("DP_1","00O2TNJGODT0G5Z4TTKYMMI9X","GSON1112180023")</f>
        <v>#NAME?</v>
      </c>
      <c r="T1788" s="4" t="e">
        <f ca="1">[1]!BexGetData("DP_1","00O2TNJGODT0G5Z4TTKYMMOLH","GSON1112180023")</f>
        <v>#NAME?</v>
      </c>
      <c r="U1788" s="4" t="e">
        <f ca="1">[1]!BexGetData("DP_1","00O2TNJGODT0G5Z4TTKYMMUX1","GSON1112180023")</f>
        <v>#NAME?</v>
      </c>
      <c r="V1788" s="4" t="e">
        <f ca="1">[1]!BexGetData("DP_1","00O2TNJGODT0G5Z4TTKYMN18L","GSON1112180023")</f>
        <v>#NAME?</v>
      </c>
      <c r="W1788" s="4" t="e">
        <f ca="1">[1]!BexGetData("DP_1","00O2TNJGODT0G5Z4TTKYMN7K5","GSON1112180023")</f>
        <v>#NAME?</v>
      </c>
    </row>
    <row r="1789" spans="1:23" x14ac:dyDescent="0.2">
      <c r="A1789" s="16" t="s">
        <v>4498</v>
      </c>
      <c r="B1789" s="7" t="s">
        <v>4499</v>
      </c>
      <c r="C1789" s="3" t="e">
        <f ca="1">[1]!BexGetData("DP_1","003N8EMH8GTFRCSWKMPXRR8GU","GSON1112180024")</f>
        <v>#NAME?</v>
      </c>
      <c r="D1789" s="3" t="e">
        <f ca="1">[1]!BexGetData("DP_1","003N8EMH8GTFRCSWKMPXRRESE","GSON1112180024")</f>
        <v>#NAME?</v>
      </c>
      <c r="E1789" s="8" t="e">
        <f ca="1">[1]!BexGetData("DP_1","003N8EMH8GTFRCSWKMPXRRL3Y","GSON1112180024")</f>
        <v>#NAME?</v>
      </c>
      <c r="F1789" s="4" t="e">
        <f ca="1">[1]!BexGetData("DP_1","003N8EMH8GTFRCSWKMPXRRRFI","GSON1112180024")</f>
        <v>#NAME?</v>
      </c>
      <c r="G1789" s="4" t="e">
        <f ca="1">[1]!BexGetData("DP_1","003N8EMH8GTFRCSWKMPXRRXR2","GSON1112180024")</f>
        <v>#NAME?</v>
      </c>
      <c r="H1789" s="4" t="e">
        <f ca="1">[1]!BexGetData("DP_1","003N8EMH8GTFRCSWKMPXRS42M","GSON1112180024")</f>
        <v>#NAME?</v>
      </c>
      <c r="I1789" s="4" t="e">
        <f ca="1">[1]!BexGetData("DP_1","003N8EMH8GTFRCSWKMPXRSAE6","GSON1112180024")</f>
        <v>#NAME?</v>
      </c>
      <c r="J1789" s="4" t="e">
        <f ca="1">[1]!BexGetData("DP_1","003N8EMH8GTFRCSWKMPXRSGPQ","GSON1112180024")</f>
        <v>#NAME?</v>
      </c>
      <c r="K1789" s="8" t="e">
        <f ca="1">[1]!BexGetData("DP_1","003N8EMH8GTFRIVNUPY288VJH","GSON1112180024")</f>
        <v>#NAME?</v>
      </c>
      <c r="L1789" s="8" t="e">
        <f ca="1">[1]!BexGetData("DP_1","003N8EMH8GTFRIVNUPY2891V1","GSON1112180024")</f>
        <v>#NAME?</v>
      </c>
      <c r="M1789" s="8" t="e">
        <f ca="1">[1]!BexGetData("DP_1","003N8EMH8GTFRIVOG7KG9IQXA","GSON1112180024")</f>
        <v>#NAME?</v>
      </c>
      <c r="N1789" s="8" t="e">
        <f ca="1">[1]!BexGetData("DP_1","003N8EMH8GTFRIVOG7KG9IX8U","GSON1112180024")</f>
        <v>#NAME?</v>
      </c>
      <c r="O1789" s="8" t="e">
        <f ca="1">[1]!BexGetData("DP_1","003N8EMH8GTFRIVOG7KG9J3KE","GSON1112180024")</f>
        <v>#NAME?</v>
      </c>
      <c r="P1789" s="8" t="e">
        <f ca="1">[1]!BexGetData("DP_1","003N8EMH8GTFRIVOG7KG9J9VY","GSON1112180024")</f>
        <v>#NAME?</v>
      </c>
      <c r="Q1789" s="4" t="e">
        <f ca="1">[1]!BexGetData("DP_1","00O2TNJGODT0G5Z4TTKYMM5MT","GSON1112180024")</f>
        <v>#NAME?</v>
      </c>
      <c r="R1789" s="4" t="e">
        <f ca="1">[1]!BexGetData("DP_1","00O2TNJGODT0G5Z4TTKYMMBYD","GSON1112180024")</f>
        <v>#NAME?</v>
      </c>
      <c r="S1789" s="4" t="e">
        <f ca="1">[1]!BexGetData("DP_1","00O2TNJGODT0G5Z4TTKYMMI9X","GSON1112180024")</f>
        <v>#NAME?</v>
      </c>
      <c r="T1789" s="4" t="e">
        <f ca="1">[1]!BexGetData("DP_1","00O2TNJGODT0G5Z4TTKYMMOLH","GSON1112180024")</f>
        <v>#NAME?</v>
      </c>
      <c r="U1789" s="4" t="e">
        <f ca="1">[1]!BexGetData("DP_1","00O2TNJGODT0G5Z4TTKYMMUX1","GSON1112180024")</f>
        <v>#NAME?</v>
      </c>
      <c r="V1789" s="4" t="e">
        <f ca="1">[1]!BexGetData("DP_1","00O2TNJGODT0G5Z4TTKYMN18L","GSON1112180024")</f>
        <v>#NAME?</v>
      </c>
      <c r="W1789" s="4" t="e">
        <f ca="1">[1]!BexGetData("DP_1","00O2TNJGODT0G5Z4TTKYMN7K5","GSON1112180024")</f>
        <v>#NAME?</v>
      </c>
    </row>
    <row r="1790" spans="1:23" x14ac:dyDescent="0.2">
      <c r="A1790" s="16" t="s">
        <v>4500</v>
      </c>
      <c r="B1790" s="7" t="s">
        <v>4501</v>
      </c>
      <c r="C1790" s="3" t="e">
        <f ca="1">[1]!BexGetData("DP_1","003N8EMH8GTFRCSWKMPXRR8GU","GSON1112190010")</f>
        <v>#NAME?</v>
      </c>
      <c r="D1790" s="3" t="e">
        <f ca="1">[1]!BexGetData("DP_1","003N8EMH8GTFRCSWKMPXRRESE","GSON1112190010")</f>
        <v>#NAME?</v>
      </c>
      <c r="E1790" s="8" t="e">
        <f ca="1">[1]!BexGetData("DP_1","003N8EMH8GTFRCSWKMPXRRL3Y","GSON1112190010")</f>
        <v>#NAME?</v>
      </c>
      <c r="F1790" s="3" t="e">
        <f ca="1">[1]!BexGetData("DP_1","003N8EMH8GTFRCSWKMPXRRRFI","GSON1112190010")</f>
        <v>#NAME?</v>
      </c>
      <c r="G1790" s="3" t="e">
        <f ca="1">[1]!BexGetData("DP_1","003N8EMH8GTFRCSWKMPXRRXR2","GSON1112190010")</f>
        <v>#NAME?</v>
      </c>
      <c r="H1790" s="3" t="e">
        <f ca="1">[1]!BexGetData("DP_1","003N8EMH8GTFRCSWKMPXRS42M","GSON1112190010")</f>
        <v>#NAME?</v>
      </c>
      <c r="I1790" s="3" t="e">
        <f ca="1">[1]!BexGetData("DP_1","003N8EMH8GTFRCSWKMPXRSAE6","GSON1112190010")</f>
        <v>#NAME?</v>
      </c>
      <c r="J1790" s="4" t="e">
        <f ca="1">[1]!BexGetData("DP_1","003N8EMH8GTFRCSWKMPXRSGPQ","GSON1112190010")</f>
        <v>#NAME?</v>
      </c>
      <c r="K1790" s="3" t="e">
        <f ca="1">[1]!BexGetData("DP_1","003N8EMH8GTFRIVNUPY288VJH","GSON1112190010")</f>
        <v>#NAME?</v>
      </c>
      <c r="L1790" s="3" t="e">
        <f ca="1">[1]!BexGetData("DP_1","003N8EMH8GTFRIVNUPY2891V1","GSON1112190010")</f>
        <v>#NAME?</v>
      </c>
      <c r="M1790" s="8" t="e">
        <f ca="1">[1]!BexGetData("DP_1","003N8EMH8GTFRIVOG7KG9IQXA","GSON1112190010")</f>
        <v>#NAME?</v>
      </c>
      <c r="N1790" s="3" t="e">
        <f ca="1">[1]!BexGetData("DP_1","003N8EMH8GTFRIVOG7KG9IX8U","GSON1112190010")</f>
        <v>#NAME?</v>
      </c>
      <c r="O1790" s="8" t="e">
        <f ca="1">[1]!BexGetData("DP_1","003N8EMH8GTFRIVOG7KG9J3KE","GSON1112190010")</f>
        <v>#NAME?</v>
      </c>
      <c r="P1790" s="3" t="e">
        <f ca="1">[1]!BexGetData("DP_1","003N8EMH8GTFRIVOG7KG9J9VY","GSON1112190010")</f>
        <v>#NAME?</v>
      </c>
      <c r="Q1790" s="4" t="e">
        <f ca="1">[1]!BexGetData("DP_1","00O2TNJGODT0G5Z4TTKYMM5MT","GSON1112190010")</f>
        <v>#NAME?</v>
      </c>
      <c r="R1790" s="3" t="e">
        <f ca="1">[1]!BexGetData("DP_1","00O2TNJGODT0G5Z4TTKYMMBYD","GSON1112190010")</f>
        <v>#NAME?</v>
      </c>
      <c r="S1790" s="3" t="e">
        <f ca="1">[1]!BexGetData("DP_1","00O2TNJGODT0G5Z4TTKYMMI9X","GSON1112190010")</f>
        <v>#NAME?</v>
      </c>
      <c r="T1790" s="3" t="e">
        <f ca="1">[1]!BexGetData("DP_1","00O2TNJGODT0G5Z4TTKYMMOLH","GSON1112190010")</f>
        <v>#NAME?</v>
      </c>
      <c r="U1790" s="8" t="e">
        <f ca="1">[1]!BexGetData("DP_1","00O2TNJGODT0G5Z4TTKYMMUX1","GSON1112190010")</f>
        <v>#NAME?</v>
      </c>
      <c r="V1790" s="3" t="e">
        <f ca="1">[1]!BexGetData("DP_1","00O2TNJGODT0G5Z4TTKYMN18L","GSON1112190010")</f>
        <v>#NAME?</v>
      </c>
      <c r="W1790" s="8" t="e">
        <f ca="1">[1]!BexGetData("DP_1","00O2TNJGODT0G5Z4TTKYMN7K5","GSON1112190010")</f>
        <v>#NAME?</v>
      </c>
    </row>
    <row r="1791" spans="1:23" x14ac:dyDescent="0.2">
      <c r="A1791" s="16" t="s">
        <v>4502</v>
      </c>
      <c r="B1791" s="7" t="s">
        <v>4503</v>
      </c>
      <c r="C1791" s="3" t="e">
        <f ca="1">[1]!BexGetData("DP_1","003N8EMH8GTFRCSWKMPXRR8GU","GSON1112551250")</f>
        <v>#NAME?</v>
      </c>
      <c r="D1791" s="3" t="e">
        <f ca="1">[1]!BexGetData("DP_1","003N8EMH8GTFRCSWKMPXRRESE","GSON1112551250")</f>
        <v>#NAME?</v>
      </c>
      <c r="E1791" s="3" t="e">
        <f ca="1">[1]!BexGetData("DP_1","003N8EMH8GTFRCSWKMPXRRL3Y","GSON1112551250")</f>
        <v>#NAME?</v>
      </c>
      <c r="F1791" s="4" t="e">
        <f ca="1">[1]!BexGetData("DP_1","003N8EMH8GTFRCSWKMPXRRRFI","GSON1112551250")</f>
        <v>#NAME?</v>
      </c>
      <c r="G1791" s="4" t="e">
        <f ca="1">[1]!BexGetData("DP_1","003N8EMH8GTFRCSWKMPXRRXR2","GSON1112551250")</f>
        <v>#NAME?</v>
      </c>
      <c r="H1791" s="4" t="e">
        <f ca="1">[1]!BexGetData("DP_1","003N8EMH8GTFRCSWKMPXRS42M","GSON1112551250")</f>
        <v>#NAME?</v>
      </c>
      <c r="I1791" s="4" t="e">
        <f ca="1">[1]!BexGetData("DP_1","003N8EMH8GTFRCSWKMPXRSAE6","GSON1112551250")</f>
        <v>#NAME?</v>
      </c>
      <c r="J1791" s="4" t="e">
        <f ca="1">[1]!BexGetData("DP_1","003N8EMH8GTFRCSWKMPXRSGPQ","GSON1112551250")</f>
        <v>#NAME?</v>
      </c>
      <c r="K1791" s="3" t="e">
        <f ca="1">[1]!BexGetData("DP_1","003N8EMH8GTFRIVNUPY288VJH","GSON1112551250")</f>
        <v>#NAME?</v>
      </c>
      <c r="L1791" s="3" t="e">
        <f ca="1">[1]!BexGetData("DP_1","003N8EMH8GTFRIVNUPY2891V1","GSON1112551250")</f>
        <v>#NAME?</v>
      </c>
      <c r="M1791" s="8" t="e">
        <f ca="1">[1]!BexGetData("DP_1","003N8EMH8GTFRIVOG7KG9IQXA","GSON1112551250")</f>
        <v>#NAME?</v>
      </c>
      <c r="N1791" s="3" t="e">
        <f ca="1">[1]!BexGetData("DP_1","003N8EMH8GTFRIVOG7KG9IX8U","GSON1112551250")</f>
        <v>#NAME?</v>
      </c>
      <c r="O1791" s="8" t="e">
        <f ca="1">[1]!BexGetData("DP_1","003N8EMH8GTFRIVOG7KG9J3KE","GSON1112551250")</f>
        <v>#NAME?</v>
      </c>
      <c r="P1791" s="3" t="e">
        <f ca="1">[1]!BexGetData("DP_1","003N8EMH8GTFRIVOG7KG9J9VY","GSON1112551250")</f>
        <v>#NAME?</v>
      </c>
      <c r="Q1791" s="4" t="e">
        <f ca="1">[1]!BexGetData("DP_1","00O2TNJGODT0G5Z4TTKYMM5MT","GSON1112551250")</f>
        <v>#NAME?</v>
      </c>
      <c r="R1791" s="4" t="e">
        <f ca="1">[1]!BexGetData("DP_1","00O2TNJGODT0G5Z4TTKYMMBYD","GSON1112551250")</f>
        <v>#NAME?</v>
      </c>
      <c r="S1791" s="4" t="e">
        <f ca="1">[1]!BexGetData("DP_1","00O2TNJGODT0G5Z4TTKYMMI9X","GSON1112551250")</f>
        <v>#NAME?</v>
      </c>
      <c r="T1791" s="4" t="e">
        <f ca="1">[1]!BexGetData("DP_1","00O2TNJGODT0G5Z4TTKYMMOLH","GSON1112551250")</f>
        <v>#NAME?</v>
      </c>
      <c r="U1791" s="4" t="e">
        <f ca="1">[1]!BexGetData("DP_1","00O2TNJGODT0G5Z4TTKYMMUX1","GSON1112551250")</f>
        <v>#NAME?</v>
      </c>
      <c r="V1791" s="4" t="e">
        <f ca="1">[1]!BexGetData("DP_1","00O2TNJGODT0G5Z4TTKYMN18L","GSON1112551250")</f>
        <v>#NAME?</v>
      </c>
      <c r="W1791" s="4" t="e">
        <f ca="1">[1]!BexGetData("DP_1","00O2TNJGODT0G5Z4TTKYMN7K5","GSON1112551250")</f>
        <v>#NAME?</v>
      </c>
    </row>
    <row r="1792" spans="1:23" x14ac:dyDescent="0.2">
      <c r="A1792" s="16" t="s">
        <v>4504</v>
      </c>
      <c r="B1792" s="7" t="s">
        <v>4505</v>
      </c>
      <c r="C1792" s="3" t="e">
        <f ca="1">[1]!BexGetData("DP_1","003N8EMH8GTFRCSWKMPXRR8GU","GSON1112551251")</f>
        <v>#NAME?</v>
      </c>
      <c r="D1792" s="3" t="e">
        <f ca="1">[1]!BexGetData("DP_1","003N8EMH8GTFRCSWKMPXRRESE","GSON1112551251")</f>
        <v>#NAME?</v>
      </c>
      <c r="E1792" s="8" t="e">
        <f ca="1">[1]!BexGetData("DP_1","003N8EMH8GTFRCSWKMPXRRL3Y","GSON1112551251")</f>
        <v>#NAME?</v>
      </c>
      <c r="F1792" s="4" t="e">
        <f ca="1">[1]!BexGetData("DP_1","003N8EMH8GTFRCSWKMPXRRRFI","GSON1112551251")</f>
        <v>#NAME?</v>
      </c>
      <c r="G1792" s="4" t="e">
        <f ca="1">[1]!BexGetData("DP_1","003N8EMH8GTFRCSWKMPXRRXR2","GSON1112551251")</f>
        <v>#NAME?</v>
      </c>
      <c r="H1792" s="4" t="e">
        <f ca="1">[1]!BexGetData("DP_1","003N8EMH8GTFRCSWKMPXRS42M","GSON1112551251")</f>
        <v>#NAME?</v>
      </c>
      <c r="I1792" s="4" t="e">
        <f ca="1">[1]!BexGetData("DP_1","003N8EMH8GTFRCSWKMPXRSAE6","GSON1112551251")</f>
        <v>#NAME?</v>
      </c>
      <c r="J1792" s="4" t="e">
        <f ca="1">[1]!BexGetData("DP_1","003N8EMH8GTFRCSWKMPXRSGPQ","GSON1112551251")</f>
        <v>#NAME?</v>
      </c>
      <c r="K1792" s="8" t="e">
        <f ca="1">[1]!BexGetData("DP_1","003N8EMH8GTFRIVNUPY288VJH","GSON1112551251")</f>
        <v>#NAME?</v>
      </c>
      <c r="L1792" s="8" t="e">
        <f ca="1">[1]!BexGetData("DP_1","003N8EMH8GTFRIVNUPY2891V1","GSON1112551251")</f>
        <v>#NAME?</v>
      </c>
      <c r="M1792" s="8" t="e">
        <f ca="1">[1]!BexGetData("DP_1","003N8EMH8GTFRIVOG7KG9IQXA","GSON1112551251")</f>
        <v>#NAME?</v>
      </c>
      <c r="N1792" s="8" t="e">
        <f ca="1">[1]!BexGetData("DP_1","003N8EMH8GTFRIVOG7KG9IX8U","GSON1112551251")</f>
        <v>#NAME?</v>
      </c>
      <c r="O1792" s="8" t="e">
        <f ca="1">[1]!BexGetData("DP_1","003N8EMH8GTFRIVOG7KG9J3KE","GSON1112551251")</f>
        <v>#NAME?</v>
      </c>
      <c r="P1792" s="8" t="e">
        <f ca="1">[1]!BexGetData("DP_1","003N8EMH8GTFRIVOG7KG9J9VY","GSON1112551251")</f>
        <v>#NAME?</v>
      </c>
      <c r="Q1792" s="4" t="e">
        <f ca="1">[1]!BexGetData("DP_1","00O2TNJGODT0G5Z4TTKYMM5MT","GSON1112551251")</f>
        <v>#NAME?</v>
      </c>
      <c r="R1792" s="4" t="e">
        <f ca="1">[1]!BexGetData("DP_1","00O2TNJGODT0G5Z4TTKYMMBYD","GSON1112551251")</f>
        <v>#NAME?</v>
      </c>
      <c r="S1792" s="4" t="e">
        <f ca="1">[1]!BexGetData("DP_1","00O2TNJGODT0G5Z4TTKYMMI9X","GSON1112551251")</f>
        <v>#NAME?</v>
      </c>
      <c r="T1792" s="4" t="e">
        <f ca="1">[1]!BexGetData("DP_1","00O2TNJGODT0G5Z4TTKYMMOLH","GSON1112551251")</f>
        <v>#NAME?</v>
      </c>
      <c r="U1792" s="4" t="e">
        <f ca="1">[1]!BexGetData("DP_1","00O2TNJGODT0G5Z4TTKYMMUX1","GSON1112551251")</f>
        <v>#NAME?</v>
      </c>
      <c r="V1792" s="4" t="e">
        <f ca="1">[1]!BexGetData("DP_1","00O2TNJGODT0G5Z4TTKYMN18L","GSON1112551251")</f>
        <v>#NAME?</v>
      </c>
      <c r="W1792" s="4" t="e">
        <f ca="1">[1]!BexGetData("DP_1","00O2TNJGODT0G5Z4TTKYMN7K5","GSON1112551251")</f>
        <v>#NAME?</v>
      </c>
    </row>
    <row r="1793" spans="1:23" x14ac:dyDescent="0.2">
      <c r="A1793" s="16" t="s">
        <v>4506</v>
      </c>
      <c r="B1793" s="7" t="s">
        <v>4507</v>
      </c>
      <c r="C1793" s="8" t="e">
        <f ca="1">[1]!BexGetData("DP_1","003N8EMH8GTFRCSWKMPXRR8GU","GSON1112551252")</f>
        <v>#NAME?</v>
      </c>
      <c r="D1793" s="3" t="e">
        <f ca="1">[1]!BexGetData("DP_1","003N8EMH8GTFRCSWKMPXRRESE","GSON1112551252")</f>
        <v>#NAME?</v>
      </c>
      <c r="E1793" s="3" t="e">
        <f ca="1">[1]!BexGetData("DP_1","003N8EMH8GTFRCSWKMPXRRL3Y","GSON1112551252")</f>
        <v>#NAME?</v>
      </c>
      <c r="F1793" s="4" t="e">
        <f ca="1">[1]!BexGetData("DP_1","003N8EMH8GTFRCSWKMPXRRRFI","GSON1112551252")</f>
        <v>#NAME?</v>
      </c>
      <c r="G1793" s="4" t="e">
        <f ca="1">[1]!BexGetData("DP_1","003N8EMH8GTFRCSWKMPXRRXR2","GSON1112551252")</f>
        <v>#NAME?</v>
      </c>
      <c r="H1793" s="4" t="e">
        <f ca="1">[1]!BexGetData("DP_1","003N8EMH8GTFRCSWKMPXRS42M","GSON1112551252")</f>
        <v>#NAME?</v>
      </c>
      <c r="I1793" s="4" t="e">
        <f ca="1">[1]!BexGetData("DP_1","003N8EMH8GTFRCSWKMPXRSAE6","GSON1112551252")</f>
        <v>#NAME?</v>
      </c>
      <c r="J1793" s="4" t="e">
        <f ca="1">[1]!BexGetData("DP_1","003N8EMH8GTFRCSWKMPXRSGPQ","GSON1112551252")</f>
        <v>#NAME?</v>
      </c>
      <c r="K1793" s="3" t="e">
        <f ca="1">[1]!BexGetData("DP_1","003N8EMH8GTFRIVNUPY288VJH","GSON1112551252")</f>
        <v>#NAME?</v>
      </c>
      <c r="L1793" s="3" t="e">
        <f ca="1">[1]!BexGetData("DP_1","003N8EMH8GTFRIVNUPY2891V1","GSON1112551252")</f>
        <v>#NAME?</v>
      </c>
      <c r="M1793" s="3" t="e">
        <f ca="1">[1]!BexGetData("DP_1","003N8EMH8GTFRIVOG7KG9IQXA","GSON1112551252")</f>
        <v>#NAME?</v>
      </c>
      <c r="N1793" s="8" t="e">
        <f ca="1">[1]!BexGetData("DP_1","003N8EMH8GTFRIVOG7KG9IX8U","GSON1112551252")</f>
        <v>#NAME?</v>
      </c>
      <c r="O1793" s="3" t="e">
        <f ca="1">[1]!BexGetData("DP_1","003N8EMH8GTFRIVOG7KG9J3KE","GSON1112551252")</f>
        <v>#NAME?</v>
      </c>
      <c r="P1793" s="8" t="e">
        <f ca="1">[1]!BexGetData("DP_1","003N8EMH8GTFRIVOG7KG9J9VY","GSON1112551252")</f>
        <v>#NAME?</v>
      </c>
      <c r="Q1793" s="4" t="e">
        <f ca="1">[1]!BexGetData("DP_1","00O2TNJGODT0G5Z4TTKYMM5MT","GSON1112551252")</f>
        <v>#NAME?</v>
      </c>
      <c r="R1793" s="4" t="e">
        <f ca="1">[1]!BexGetData("DP_1","00O2TNJGODT0G5Z4TTKYMMBYD","GSON1112551252")</f>
        <v>#NAME?</v>
      </c>
      <c r="S1793" s="4" t="e">
        <f ca="1">[1]!BexGetData("DP_1","00O2TNJGODT0G5Z4TTKYMMI9X","GSON1112551252")</f>
        <v>#NAME?</v>
      </c>
      <c r="T1793" s="4" t="e">
        <f ca="1">[1]!BexGetData("DP_1","00O2TNJGODT0G5Z4TTKYMMOLH","GSON1112551252")</f>
        <v>#NAME?</v>
      </c>
      <c r="U1793" s="4" t="e">
        <f ca="1">[1]!BexGetData("DP_1","00O2TNJGODT0G5Z4TTKYMMUX1","GSON1112551252")</f>
        <v>#NAME?</v>
      </c>
      <c r="V1793" s="4" t="e">
        <f ca="1">[1]!BexGetData("DP_1","00O2TNJGODT0G5Z4TTKYMN18L","GSON1112551252")</f>
        <v>#NAME?</v>
      </c>
      <c r="W1793" s="4" t="e">
        <f ca="1">[1]!BexGetData("DP_1","00O2TNJGODT0G5Z4TTKYMN7K5","GSON1112551252")</f>
        <v>#NAME?</v>
      </c>
    </row>
    <row r="1794" spans="1:23" x14ac:dyDescent="0.2">
      <c r="A1794" s="16" t="s">
        <v>4508</v>
      </c>
      <c r="B1794" s="7" t="s">
        <v>4509</v>
      </c>
      <c r="C1794" s="3" t="e">
        <f ca="1">[1]!BexGetData("DP_1","003N8EMH8GTFRCSWKMPXRR8GU","GSON1112551253")</f>
        <v>#NAME?</v>
      </c>
      <c r="D1794" s="3" t="e">
        <f ca="1">[1]!BexGetData("DP_1","003N8EMH8GTFRCSWKMPXRRESE","GSON1112551253")</f>
        <v>#NAME?</v>
      </c>
      <c r="E1794" s="8" t="e">
        <f ca="1">[1]!BexGetData("DP_1","003N8EMH8GTFRCSWKMPXRRL3Y","GSON1112551253")</f>
        <v>#NAME?</v>
      </c>
      <c r="F1794" s="4" t="e">
        <f ca="1">[1]!BexGetData("DP_1","003N8EMH8GTFRCSWKMPXRRRFI","GSON1112551253")</f>
        <v>#NAME?</v>
      </c>
      <c r="G1794" s="4" t="e">
        <f ca="1">[1]!BexGetData("DP_1","003N8EMH8GTFRCSWKMPXRRXR2","GSON1112551253")</f>
        <v>#NAME?</v>
      </c>
      <c r="H1794" s="4" t="e">
        <f ca="1">[1]!BexGetData("DP_1","003N8EMH8GTFRCSWKMPXRS42M","GSON1112551253")</f>
        <v>#NAME?</v>
      </c>
      <c r="I1794" s="4" t="e">
        <f ca="1">[1]!BexGetData("DP_1","003N8EMH8GTFRCSWKMPXRSAE6","GSON1112551253")</f>
        <v>#NAME?</v>
      </c>
      <c r="J1794" s="4" t="e">
        <f ca="1">[1]!BexGetData("DP_1","003N8EMH8GTFRCSWKMPXRSGPQ","GSON1112551253")</f>
        <v>#NAME?</v>
      </c>
      <c r="K1794" s="8" t="e">
        <f ca="1">[1]!BexGetData("DP_1","003N8EMH8GTFRIVNUPY288VJH","GSON1112551253")</f>
        <v>#NAME?</v>
      </c>
      <c r="L1794" s="8" t="e">
        <f ca="1">[1]!BexGetData("DP_1","003N8EMH8GTFRIVNUPY2891V1","GSON1112551253")</f>
        <v>#NAME?</v>
      </c>
      <c r="M1794" s="8" t="e">
        <f ca="1">[1]!BexGetData("DP_1","003N8EMH8GTFRIVOG7KG9IQXA","GSON1112551253")</f>
        <v>#NAME?</v>
      </c>
      <c r="N1794" s="8" t="e">
        <f ca="1">[1]!BexGetData("DP_1","003N8EMH8GTFRIVOG7KG9IX8U","GSON1112551253")</f>
        <v>#NAME?</v>
      </c>
      <c r="O1794" s="8" t="e">
        <f ca="1">[1]!BexGetData("DP_1","003N8EMH8GTFRIVOG7KG9J3KE","GSON1112551253")</f>
        <v>#NAME?</v>
      </c>
      <c r="P1794" s="8" t="e">
        <f ca="1">[1]!BexGetData("DP_1","003N8EMH8GTFRIVOG7KG9J9VY","GSON1112551253")</f>
        <v>#NAME?</v>
      </c>
      <c r="Q1794" s="4" t="e">
        <f ca="1">[1]!BexGetData("DP_1","00O2TNJGODT0G5Z4TTKYMM5MT","GSON1112551253")</f>
        <v>#NAME?</v>
      </c>
      <c r="R1794" s="4" t="e">
        <f ca="1">[1]!BexGetData("DP_1","00O2TNJGODT0G5Z4TTKYMMBYD","GSON1112551253")</f>
        <v>#NAME?</v>
      </c>
      <c r="S1794" s="4" t="e">
        <f ca="1">[1]!BexGetData("DP_1","00O2TNJGODT0G5Z4TTKYMMI9X","GSON1112551253")</f>
        <v>#NAME?</v>
      </c>
      <c r="T1794" s="4" t="e">
        <f ca="1">[1]!BexGetData("DP_1","00O2TNJGODT0G5Z4TTKYMMOLH","GSON1112551253")</f>
        <v>#NAME?</v>
      </c>
      <c r="U1794" s="4" t="e">
        <f ca="1">[1]!BexGetData("DP_1","00O2TNJGODT0G5Z4TTKYMMUX1","GSON1112551253")</f>
        <v>#NAME?</v>
      </c>
      <c r="V1794" s="4" t="e">
        <f ca="1">[1]!BexGetData("DP_1","00O2TNJGODT0G5Z4TTKYMN18L","GSON1112551253")</f>
        <v>#NAME?</v>
      </c>
      <c r="W1794" s="4" t="e">
        <f ca="1">[1]!BexGetData("DP_1","00O2TNJGODT0G5Z4TTKYMN7K5","GSON1112551253")</f>
        <v>#NAME?</v>
      </c>
    </row>
    <row r="1795" spans="1:23" x14ac:dyDescent="0.2">
      <c r="A1795" s="16" t="s">
        <v>4510</v>
      </c>
      <c r="B1795" s="7" t="s">
        <v>4511</v>
      </c>
      <c r="C1795" s="3" t="e">
        <f ca="1">[1]!BexGetData("DP_1","003N8EMH8GTFRCSWKMPXRR8GU","GSON1112551255")</f>
        <v>#NAME?</v>
      </c>
      <c r="D1795" s="3" t="e">
        <f ca="1">[1]!BexGetData("DP_1","003N8EMH8GTFRCSWKMPXRRESE","GSON1112551255")</f>
        <v>#NAME?</v>
      </c>
      <c r="E1795" s="8" t="e">
        <f ca="1">[1]!BexGetData("DP_1","003N8EMH8GTFRCSWKMPXRRL3Y","GSON1112551255")</f>
        <v>#NAME?</v>
      </c>
      <c r="F1795" s="4" t="e">
        <f ca="1">[1]!BexGetData("DP_1","003N8EMH8GTFRCSWKMPXRRRFI","GSON1112551255")</f>
        <v>#NAME?</v>
      </c>
      <c r="G1795" s="4" t="e">
        <f ca="1">[1]!BexGetData("DP_1","003N8EMH8GTFRCSWKMPXRRXR2","GSON1112551255")</f>
        <v>#NAME?</v>
      </c>
      <c r="H1795" s="4" t="e">
        <f ca="1">[1]!BexGetData("DP_1","003N8EMH8GTFRCSWKMPXRS42M","GSON1112551255")</f>
        <v>#NAME?</v>
      </c>
      <c r="I1795" s="4" t="e">
        <f ca="1">[1]!BexGetData("DP_1","003N8EMH8GTFRCSWKMPXRSAE6","GSON1112551255")</f>
        <v>#NAME?</v>
      </c>
      <c r="J1795" s="4" t="e">
        <f ca="1">[1]!BexGetData("DP_1","003N8EMH8GTFRCSWKMPXRSGPQ","GSON1112551255")</f>
        <v>#NAME?</v>
      </c>
      <c r="K1795" s="8" t="e">
        <f ca="1">[1]!BexGetData("DP_1","003N8EMH8GTFRIVNUPY288VJH","GSON1112551255")</f>
        <v>#NAME?</v>
      </c>
      <c r="L1795" s="8" t="e">
        <f ca="1">[1]!BexGetData("DP_1","003N8EMH8GTFRIVNUPY2891V1","GSON1112551255")</f>
        <v>#NAME?</v>
      </c>
      <c r="M1795" s="8" t="e">
        <f ca="1">[1]!BexGetData("DP_1","003N8EMH8GTFRIVOG7KG9IQXA","GSON1112551255")</f>
        <v>#NAME?</v>
      </c>
      <c r="N1795" s="8" t="e">
        <f ca="1">[1]!BexGetData("DP_1","003N8EMH8GTFRIVOG7KG9IX8U","GSON1112551255")</f>
        <v>#NAME?</v>
      </c>
      <c r="O1795" s="8" t="e">
        <f ca="1">[1]!BexGetData("DP_1","003N8EMH8GTFRIVOG7KG9J3KE","GSON1112551255")</f>
        <v>#NAME?</v>
      </c>
      <c r="P1795" s="8" t="e">
        <f ca="1">[1]!BexGetData("DP_1","003N8EMH8GTFRIVOG7KG9J9VY","GSON1112551255")</f>
        <v>#NAME?</v>
      </c>
      <c r="Q1795" s="4" t="e">
        <f ca="1">[1]!BexGetData("DP_1","00O2TNJGODT0G5Z4TTKYMM5MT","GSON1112551255")</f>
        <v>#NAME?</v>
      </c>
      <c r="R1795" s="4" t="e">
        <f ca="1">[1]!BexGetData("DP_1","00O2TNJGODT0G5Z4TTKYMMBYD","GSON1112551255")</f>
        <v>#NAME?</v>
      </c>
      <c r="S1795" s="4" t="e">
        <f ca="1">[1]!BexGetData("DP_1","00O2TNJGODT0G5Z4TTKYMMI9X","GSON1112551255")</f>
        <v>#NAME?</v>
      </c>
      <c r="T1795" s="4" t="e">
        <f ca="1">[1]!BexGetData("DP_1","00O2TNJGODT0G5Z4TTKYMMOLH","GSON1112551255")</f>
        <v>#NAME?</v>
      </c>
      <c r="U1795" s="4" t="e">
        <f ca="1">[1]!BexGetData("DP_1","00O2TNJGODT0G5Z4TTKYMMUX1","GSON1112551255")</f>
        <v>#NAME?</v>
      </c>
      <c r="V1795" s="4" t="e">
        <f ca="1">[1]!BexGetData("DP_1","00O2TNJGODT0G5Z4TTKYMN18L","GSON1112551255")</f>
        <v>#NAME?</v>
      </c>
      <c r="W1795" s="4" t="e">
        <f ca="1">[1]!BexGetData("DP_1","00O2TNJGODT0G5Z4TTKYMN7K5","GSON1112551255")</f>
        <v>#NAME?</v>
      </c>
    </row>
    <row r="1796" spans="1:23" x14ac:dyDescent="0.2">
      <c r="A1796" s="16" t="s">
        <v>1198</v>
      </c>
      <c r="B1796" s="7" t="s">
        <v>435</v>
      </c>
      <c r="C1796" s="3" t="e">
        <f ca="1">[1]!BexGetData("DP_1","003N8EMH8GTFRCSWKMPXRR8GU","GSON1112990012")</f>
        <v>#NAME?</v>
      </c>
      <c r="D1796" s="3" t="e">
        <f ca="1">[1]!BexGetData("DP_1","003N8EMH8GTFRCSWKMPXRRESE","GSON1112990012")</f>
        <v>#NAME?</v>
      </c>
      <c r="E1796" s="3" t="e">
        <f ca="1">[1]!BexGetData("DP_1","003N8EMH8GTFRCSWKMPXRRL3Y","GSON1112990012")</f>
        <v>#NAME?</v>
      </c>
      <c r="F1796" s="4" t="e">
        <f ca="1">[1]!BexGetData("DP_1","003N8EMH8GTFRCSWKMPXRRRFI","GSON1112990012")</f>
        <v>#NAME?</v>
      </c>
      <c r="G1796" s="4" t="e">
        <f ca="1">[1]!BexGetData("DP_1","003N8EMH8GTFRCSWKMPXRRXR2","GSON1112990012")</f>
        <v>#NAME?</v>
      </c>
      <c r="H1796" s="4" t="e">
        <f ca="1">[1]!BexGetData("DP_1","003N8EMH8GTFRCSWKMPXRS42M","GSON1112990012")</f>
        <v>#NAME?</v>
      </c>
      <c r="I1796" s="4" t="e">
        <f ca="1">[1]!BexGetData("DP_1","003N8EMH8GTFRCSWKMPXRSAE6","GSON1112990012")</f>
        <v>#NAME?</v>
      </c>
      <c r="J1796" s="4" t="e">
        <f ca="1">[1]!BexGetData("DP_1","003N8EMH8GTFRCSWKMPXRSGPQ","GSON1112990012")</f>
        <v>#NAME?</v>
      </c>
      <c r="K1796" s="3" t="e">
        <f ca="1">[1]!BexGetData("DP_1","003N8EMH8GTFRIVNUPY288VJH","GSON1112990012")</f>
        <v>#NAME?</v>
      </c>
      <c r="L1796" s="3" t="e">
        <f ca="1">[1]!BexGetData("DP_1","003N8EMH8GTFRIVNUPY2891V1","GSON1112990012")</f>
        <v>#NAME?</v>
      </c>
      <c r="M1796" s="3" t="e">
        <f ca="1">[1]!BexGetData("DP_1","003N8EMH8GTFRIVOG7KG9IQXA","GSON1112990012")</f>
        <v>#NAME?</v>
      </c>
      <c r="N1796" s="8" t="e">
        <f ca="1">[1]!BexGetData("DP_1","003N8EMH8GTFRIVOG7KG9IX8U","GSON1112990012")</f>
        <v>#NAME?</v>
      </c>
      <c r="O1796" s="3" t="e">
        <f ca="1">[1]!BexGetData("DP_1","003N8EMH8GTFRIVOG7KG9J3KE","GSON1112990012")</f>
        <v>#NAME?</v>
      </c>
      <c r="P1796" s="8" t="e">
        <f ca="1">[1]!BexGetData("DP_1","003N8EMH8GTFRIVOG7KG9J9VY","GSON1112990012")</f>
        <v>#NAME?</v>
      </c>
      <c r="Q1796" s="4" t="e">
        <f ca="1">[1]!BexGetData("DP_1","00O2TNJGODT0G5Z4TTKYMM5MT","GSON1112990012")</f>
        <v>#NAME?</v>
      </c>
      <c r="R1796" s="4" t="e">
        <f ca="1">[1]!BexGetData("DP_1","00O2TNJGODT0G5Z4TTKYMMBYD","GSON1112990012")</f>
        <v>#NAME?</v>
      </c>
      <c r="S1796" s="4" t="e">
        <f ca="1">[1]!BexGetData("DP_1","00O2TNJGODT0G5Z4TTKYMMI9X","GSON1112990012")</f>
        <v>#NAME?</v>
      </c>
      <c r="T1796" s="4" t="e">
        <f ca="1">[1]!BexGetData("DP_1","00O2TNJGODT0G5Z4TTKYMMOLH","GSON1112990012")</f>
        <v>#NAME?</v>
      </c>
      <c r="U1796" s="4" t="e">
        <f ca="1">[1]!BexGetData("DP_1","00O2TNJGODT0G5Z4TTKYMMUX1","GSON1112990012")</f>
        <v>#NAME?</v>
      </c>
      <c r="V1796" s="4" t="e">
        <f ca="1">[1]!BexGetData("DP_1","00O2TNJGODT0G5Z4TTKYMN18L","GSON1112990012")</f>
        <v>#NAME?</v>
      </c>
      <c r="W1796" s="4" t="e">
        <f ca="1">[1]!BexGetData("DP_1","00O2TNJGODT0G5Z4TTKYMN7K5","GSON1112990012")</f>
        <v>#NAME?</v>
      </c>
    </row>
    <row r="1797" spans="1:23" x14ac:dyDescent="0.2">
      <c r="A1797" s="16" t="s">
        <v>4512</v>
      </c>
      <c r="B1797" s="7" t="s">
        <v>4513</v>
      </c>
      <c r="C1797" s="3" t="e">
        <f ca="1">[1]!BexGetData("DP_1","003N8EMH8GTFRCSWKMPXRR8GU","GSON1112990022")</f>
        <v>#NAME?</v>
      </c>
      <c r="D1797" s="3" t="e">
        <f ca="1">[1]!BexGetData("DP_1","003N8EMH8GTFRCSWKMPXRRESE","GSON1112990022")</f>
        <v>#NAME?</v>
      </c>
      <c r="E1797" s="3" t="e">
        <f ca="1">[1]!BexGetData("DP_1","003N8EMH8GTFRCSWKMPXRRL3Y","GSON1112990022")</f>
        <v>#NAME?</v>
      </c>
      <c r="F1797" s="4" t="e">
        <f ca="1">[1]!BexGetData("DP_1","003N8EMH8GTFRCSWKMPXRRRFI","GSON1112990022")</f>
        <v>#NAME?</v>
      </c>
      <c r="G1797" s="4" t="e">
        <f ca="1">[1]!BexGetData("DP_1","003N8EMH8GTFRCSWKMPXRRXR2","GSON1112990022")</f>
        <v>#NAME?</v>
      </c>
      <c r="H1797" s="4" t="e">
        <f ca="1">[1]!BexGetData("DP_1","003N8EMH8GTFRCSWKMPXRS42M","GSON1112990022")</f>
        <v>#NAME?</v>
      </c>
      <c r="I1797" s="4" t="e">
        <f ca="1">[1]!BexGetData("DP_1","003N8EMH8GTFRCSWKMPXRSAE6","GSON1112990022")</f>
        <v>#NAME?</v>
      </c>
      <c r="J1797" s="4" t="e">
        <f ca="1">[1]!BexGetData("DP_1","003N8EMH8GTFRCSWKMPXRSGPQ","GSON1112990022")</f>
        <v>#NAME?</v>
      </c>
      <c r="K1797" s="3" t="e">
        <f ca="1">[1]!BexGetData("DP_1","003N8EMH8GTFRIVNUPY288VJH","GSON1112990022")</f>
        <v>#NAME?</v>
      </c>
      <c r="L1797" s="3" t="e">
        <f ca="1">[1]!BexGetData("DP_1","003N8EMH8GTFRIVNUPY2891V1","GSON1112990022")</f>
        <v>#NAME?</v>
      </c>
      <c r="M1797" s="8" t="e">
        <f ca="1">[1]!BexGetData("DP_1","003N8EMH8GTFRIVOG7KG9IQXA","GSON1112990022")</f>
        <v>#NAME?</v>
      </c>
      <c r="N1797" s="3" t="e">
        <f ca="1">[1]!BexGetData("DP_1","003N8EMH8GTFRIVOG7KG9IX8U","GSON1112990022")</f>
        <v>#NAME?</v>
      </c>
      <c r="O1797" s="8" t="e">
        <f ca="1">[1]!BexGetData("DP_1","003N8EMH8GTFRIVOG7KG9J3KE","GSON1112990022")</f>
        <v>#NAME?</v>
      </c>
      <c r="P1797" s="3" t="e">
        <f ca="1">[1]!BexGetData("DP_1","003N8EMH8GTFRIVOG7KG9J9VY","GSON1112990022")</f>
        <v>#NAME?</v>
      </c>
      <c r="Q1797" s="4" t="e">
        <f ca="1">[1]!BexGetData("DP_1","00O2TNJGODT0G5Z4TTKYMM5MT","GSON1112990022")</f>
        <v>#NAME?</v>
      </c>
      <c r="R1797" s="4" t="e">
        <f ca="1">[1]!BexGetData("DP_1","00O2TNJGODT0G5Z4TTKYMMBYD","GSON1112990022")</f>
        <v>#NAME?</v>
      </c>
      <c r="S1797" s="4" t="e">
        <f ca="1">[1]!BexGetData("DP_1","00O2TNJGODT0G5Z4TTKYMMI9X","GSON1112990022")</f>
        <v>#NAME?</v>
      </c>
      <c r="T1797" s="4" t="e">
        <f ca="1">[1]!BexGetData("DP_1","00O2TNJGODT0G5Z4TTKYMMOLH","GSON1112990022")</f>
        <v>#NAME?</v>
      </c>
      <c r="U1797" s="4" t="e">
        <f ca="1">[1]!BexGetData("DP_1","00O2TNJGODT0G5Z4TTKYMMUX1","GSON1112990022")</f>
        <v>#NAME?</v>
      </c>
      <c r="V1797" s="4" t="e">
        <f ca="1">[1]!BexGetData("DP_1","00O2TNJGODT0G5Z4TTKYMN18L","GSON1112990022")</f>
        <v>#NAME?</v>
      </c>
      <c r="W1797" s="4" t="e">
        <f ca="1">[1]!BexGetData("DP_1","00O2TNJGODT0G5Z4TTKYMN7K5","GSON1112990022")</f>
        <v>#NAME?</v>
      </c>
    </row>
    <row r="1798" spans="1:23" x14ac:dyDescent="0.2">
      <c r="A1798" s="16" t="s">
        <v>4514</v>
      </c>
      <c r="B1798" s="7" t="s">
        <v>4515</v>
      </c>
      <c r="C1798" s="3" t="e">
        <f ca="1">[1]!BexGetData("DP_1","003N8EMH8GTFRCSWKMPXRR8GU","GSON1112990031")</f>
        <v>#NAME?</v>
      </c>
      <c r="D1798" s="3" t="e">
        <f ca="1">[1]!BexGetData("DP_1","003N8EMH8GTFRCSWKMPXRRESE","GSON1112990031")</f>
        <v>#NAME?</v>
      </c>
      <c r="E1798" s="3" t="e">
        <f ca="1">[1]!BexGetData("DP_1","003N8EMH8GTFRCSWKMPXRRL3Y","GSON1112990031")</f>
        <v>#NAME?</v>
      </c>
      <c r="F1798" s="4" t="e">
        <f ca="1">[1]!BexGetData("DP_1","003N8EMH8GTFRCSWKMPXRRRFI","GSON1112990031")</f>
        <v>#NAME?</v>
      </c>
      <c r="G1798" s="4" t="e">
        <f ca="1">[1]!BexGetData("DP_1","003N8EMH8GTFRCSWKMPXRRXR2","GSON1112990031")</f>
        <v>#NAME?</v>
      </c>
      <c r="H1798" s="4" t="e">
        <f ca="1">[1]!BexGetData("DP_1","003N8EMH8GTFRCSWKMPXRS42M","GSON1112990031")</f>
        <v>#NAME?</v>
      </c>
      <c r="I1798" s="4" t="e">
        <f ca="1">[1]!BexGetData("DP_1","003N8EMH8GTFRCSWKMPXRSAE6","GSON1112990031")</f>
        <v>#NAME?</v>
      </c>
      <c r="J1798" s="4" t="e">
        <f ca="1">[1]!BexGetData("DP_1","003N8EMH8GTFRCSWKMPXRSGPQ","GSON1112990031")</f>
        <v>#NAME?</v>
      </c>
      <c r="K1798" s="3" t="e">
        <f ca="1">[1]!BexGetData("DP_1","003N8EMH8GTFRIVNUPY288VJH","GSON1112990031")</f>
        <v>#NAME?</v>
      </c>
      <c r="L1798" s="3" t="e">
        <f ca="1">[1]!BexGetData("DP_1","003N8EMH8GTFRIVNUPY2891V1","GSON1112990031")</f>
        <v>#NAME?</v>
      </c>
      <c r="M1798" s="3" t="e">
        <f ca="1">[1]!BexGetData("DP_1","003N8EMH8GTFRIVOG7KG9IQXA","GSON1112990031")</f>
        <v>#NAME?</v>
      </c>
      <c r="N1798" s="8" t="e">
        <f ca="1">[1]!BexGetData("DP_1","003N8EMH8GTFRIVOG7KG9IX8U","GSON1112990031")</f>
        <v>#NAME?</v>
      </c>
      <c r="O1798" s="3" t="e">
        <f ca="1">[1]!BexGetData("DP_1","003N8EMH8GTFRIVOG7KG9J3KE","GSON1112990031")</f>
        <v>#NAME?</v>
      </c>
      <c r="P1798" s="8" t="e">
        <f ca="1">[1]!BexGetData("DP_1","003N8EMH8GTFRIVOG7KG9J9VY","GSON1112990031")</f>
        <v>#NAME?</v>
      </c>
      <c r="Q1798" s="4" t="e">
        <f ca="1">[1]!BexGetData("DP_1","00O2TNJGODT0G5Z4TTKYMM5MT","GSON1112990031")</f>
        <v>#NAME?</v>
      </c>
      <c r="R1798" s="4" t="e">
        <f ca="1">[1]!BexGetData("DP_1","00O2TNJGODT0G5Z4TTKYMMBYD","GSON1112990031")</f>
        <v>#NAME?</v>
      </c>
      <c r="S1798" s="4" t="e">
        <f ca="1">[1]!BexGetData("DP_1","00O2TNJGODT0G5Z4TTKYMMI9X","GSON1112990031")</f>
        <v>#NAME?</v>
      </c>
      <c r="T1798" s="4" t="e">
        <f ca="1">[1]!BexGetData("DP_1","00O2TNJGODT0G5Z4TTKYMMOLH","GSON1112990031")</f>
        <v>#NAME?</v>
      </c>
      <c r="U1798" s="4" t="e">
        <f ca="1">[1]!BexGetData("DP_1","00O2TNJGODT0G5Z4TTKYMMUX1","GSON1112990031")</f>
        <v>#NAME?</v>
      </c>
      <c r="V1798" s="4" t="e">
        <f ca="1">[1]!BexGetData("DP_1","00O2TNJGODT0G5Z4TTKYMN18L","GSON1112990031")</f>
        <v>#NAME?</v>
      </c>
      <c r="W1798" s="4" t="e">
        <f ca="1">[1]!BexGetData("DP_1","00O2TNJGODT0G5Z4TTKYMN7K5","GSON1112990031")</f>
        <v>#NAME?</v>
      </c>
    </row>
    <row r="1799" spans="1:23" x14ac:dyDescent="0.2">
      <c r="A1799" s="16" t="s">
        <v>4516</v>
      </c>
      <c r="B1799" s="7" t="s">
        <v>4517</v>
      </c>
      <c r="C1799" s="3" t="e">
        <f ca="1">[1]!BexGetData("DP_1","003N8EMH8GTFRCSWKMPXRR8GU","GSON1112990032")</f>
        <v>#NAME?</v>
      </c>
      <c r="D1799" s="3" t="e">
        <f ca="1">[1]!BexGetData("DP_1","003N8EMH8GTFRCSWKMPXRRESE","GSON1112990032")</f>
        <v>#NAME?</v>
      </c>
      <c r="E1799" s="8" t="e">
        <f ca="1">[1]!BexGetData("DP_1","003N8EMH8GTFRCSWKMPXRRL3Y","GSON1112990032")</f>
        <v>#NAME?</v>
      </c>
      <c r="F1799" s="4" t="e">
        <f ca="1">[1]!BexGetData("DP_1","003N8EMH8GTFRCSWKMPXRRRFI","GSON1112990032")</f>
        <v>#NAME?</v>
      </c>
      <c r="G1799" s="4" t="e">
        <f ca="1">[1]!BexGetData("DP_1","003N8EMH8GTFRCSWKMPXRRXR2","GSON1112990032")</f>
        <v>#NAME?</v>
      </c>
      <c r="H1799" s="4" t="e">
        <f ca="1">[1]!BexGetData("DP_1","003N8EMH8GTFRCSWKMPXRS42M","GSON1112990032")</f>
        <v>#NAME?</v>
      </c>
      <c r="I1799" s="4" t="e">
        <f ca="1">[1]!BexGetData("DP_1","003N8EMH8GTFRCSWKMPXRSAE6","GSON1112990032")</f>
        <v>#NAME?</v>
      </c>
      <c r="J1799" s="4" t="e">
        <f ca="1">[1]!BexGetData("DP_1","003N8EMH8GTFRCSWKMPXRSGPQ","GSON1112990032")</f>
        <v>#NAME?</v>
      </c>
      <c r="K1799" s="8" t="e">
        <f ca="1">[1]!BexGetData("DP_1","003N8EMH8GTFRIVNUPY288VJH","GSON1112990032")</f>
        <v>#NAME?</v>
      </c>
      <c r="L1799" s="8" t="e">
        <f ca="1">[1]!BexGetData("DP_1","003N8EMH8GTFRIVNUPY2891V1","GSON1112990032")</f>
        <v>#NAME?</v>
      </c>
      <c r="M1799" s="8" t="e">
        <f ca="1">[1]!BexGetData("DP_1","003N8EMH8GTFRIVOG7KG9IQXA","GSON1112990032")</f>
        <v>#NAME?</v>
      </c>
      <c r="N1799" s="8" t="e">
        <f ca="1">[1]!BexGetData("DP_1","003N8EMH8GTFRIVOG7KG9IX8U","GSON1112990032")</f>
        <v>#NAME?</v>
      </c>
      <c r="O1799" s="8" t="e">
        <f ca="1">[1]!BexGetData("DP_1","003N8EMH8GTFRIVOG7KG9J3KE","GSON1112990032")</f>
        <v>#NAME?</v>
      </c>
      <c r="P1799" s="8" t="e">
        <f ca="1">[1]!BexGetData("DP_1","003N8EMH8GTFRIVOG7KG9J9VY","GSON1112990032")</f>
        <v>#NAME?</v>
      </c>
      <c r="Q1799" s="4" t="e">
        <f ca="1">[1]!BexGetData("DP_1","00O2TNJGODT0G5Z4TTKYMM5MT","GSON1112990032")</f>
        <v>#NAME?</v>
      </c>
      <c r="R1799" s="4" t="e">
        <f ca="1">[1]!BexGetData("DP_1","00O2TNJGODT0G5Z4TTKYMMBYD","GSON1112990032")</f>
        <v>#NAME?</v>
      </c>
      <c r="S1799" s="4" t="e">
        <f ca="1">[1]!BexGetData("DP_1","00O2TNJGODT0G5Z4TTKYMMI9X","GSON1112990032")</f>
        <v>#NAME?</v>
      </c>
      <c r="T1799" s="4" t="e">
        <f ca="1">[1]!BexGetData("DP_1","00O2TNJGODT0G5Z4TTKYMMOLH","GSON1112990032")</f>
        <v>#NAME?</v>
      </c>
      <c r="U1799" s="4" t="e">
        <f ca="1">[1]!BexGetData("DP_1","00O2TNJGODT0G5Z4TTKYMMUX1","GSON1112990032")</f>
        <v>#NAME?</v>
      </c>
      <c r="V1799" s="4" t="e">
        <f ca="1">[1]!BexGetData("DP_1","00O2TNJGODT0G5Z4TTKYMN18L","GSON1112990032")</f>
        <v>#NAME?</v>
      </c>
      <c r="W1799" s="4" t="e">
        <f ca="1">[1]!BexGetData("DP_1","00O2TNJGODT0G5Z4TTKYMN7K5","GSON1112990032")</f>
        <v>#NAME?</v>
      </c>
    </row>
    <row r="1800" spans="1:23" x14ac:dyDescent="0.2">
      <c r="A1800" s="16" t="s">
        <v>4518</v>
      </c>
      <c r="B1800" s="7" t="s">
        <v>1687</v>
      </c>
      <c r="C1800" s="8" t="e">
        <f ca="1">[1]!BexGetData("DP_1","003N8EMH8GTFRCSWKMPXRR8GU","GSON1112990033")</f>
        <v>#NAME?</v>
      </c>
      <c r="D1800" s="3" t="e">
        <f ca="1">[1]!BexGetData("DP_1","003N8EMH8GTFRCSWKMPXRRESE","GSON1112990033")</f>
        <v>#NAME?</v>
      </c>
      <c r="E1800" s="3" t="e">
        <f ca="1">[1]!BexGetData("DP_1","003N8EMH8GTFRCSWKMPXRRL3Y","GSON1112990033")</f>
        <v>#NAME?</v>
      </c>
      <c r="F1800" s="4" t="e">
        <f ca="1">[1]!BexGetData("DP_1","003N8EMH8GTFRCSWKMPXRRRFI","GSON1112990033")</f>
        <v>#NAME?</v>
      </c>
      <c r="G1800" s="4" t="e">
        <f ca="1">[1]!BexGetData("DP_1","003N8EMH8GTFRCSWKMPXRRXR2","GSON1112990033")</f>
        <v>#NAME?</v>
      </c>
      <c r="H1800" s="4" t="e">
        <f ca="1">[1]!BexGetData("DP_1","003N8EMH8GTFRCSWKMPXRS42M","GSON1112990033")</f>
        <v>#NAME?</v>
      </c>
      <c r="I1800" s="4" t="e">
        <f ca="1">[1]!BexGetData("DP_1","003N8EMH8GTFRCSWKMPXRSAE6","GSON1112990033")</f>
        <v>#NAME?</v>
      </c>
      <c r="J1800" s="4" t="e">
        <f ca="1">[1]!BexGetData("DP_1","003N8EMH8GTFRCSWKMPXRSGPQ","GSON1112990033")</f>
        <v>#NAME?</v>
      </c>
      <c r="K1800" s="3" t="e">
        <f ca="1">[1]!BexGetData("DP_1","003N8EMH8GTFRIVNUPY288VJH","GSON1112990033")</f>
        <v>#NAME?</v>
      </c>
      <c r="L1800" s="3" t="e">
        <f ca="1">[1]!BexGetData("DP_1","003N8EMH8GTFRIVNUPY2891V1","GSON1112990033")</f>
        <v>#NAME?</v>
      </c>
      <c r="M1800" s="3" t="e">
        <f ca="1">[1]!BexGetData("DP_1","003N8EMH8GTFRIVOG7KG9IQXA","GSON1112990033")</f>
        <v>#NAME?</v>
      </c>
      <c r="N1800" s="8" t="e">
        <f ca="1">[1]!BexGetData("DP_1","003N8EMH8GTFRIVOG7KG9IX8U","GSON1112990033")</f>
        <v>#NAME?</v>
      </c>
      <c r="O1800" s="3" t="e">
        <f ca="1">[1]!BexGetData("DP_1","003N8EMH8GTFRIVOG7KG9J3KE","GSON1112990033")</f>
        <v>#NAME?</v>
      </c>
      <c r="P1800" s="8" t="e">
        <f ca="1">[1]!BexGetData("DP_1","003N8EMH8GTFRIVOG7KG9J9VY","GSON1112990033")</f>
        <v>#NAME?</v>
      </c>
      <c r="Q1800" s="4" t="e">
        <f ca="1">[1]!BexGetData("DP_1","00O2TNJGODT0G5Z4TTKYMM5MT","GSON1112990033")</f>
        <v>#NAME?</v>
      </c>
      <c r="R1800" s="4" t="e">
        <f ca="1">[1]!BexGetData("DP_1","00O2TNJGODT0G5Z4TTKYMMBYD","GSON1112990033")</f>
        <v>#NAME?</v>
      </c>
      <c r="S1800" s="4" t="e">
        <f ca="1">[1]!BexGetData("DP_1","00O2TNJGODT0G5Z4TTKYMMI9X","GSON1112990033")</f>
        <v>#NAME?</v>
      </c>
      <c r="T1800" s="4" t="e">
        <f ca="1">[1]!BexGetData("DP_1","00O2TNJGODT0G5Z4TTKYMMOLH","GSON1112990033")</f>
        <v>#NAME?</v>
      </c>
      <c r="U1800" s="4" t="e">
        <f ca="1">[1]!BexGetData("DP_1","00O2TNJGODT0G5Z4TTKYMMUX1","GSON1112990033")</f>
        <v>#NAME?</v>
      </c>
      <c r="V1800" s="4" t="e">
        <f ca="1">[1]!BexGetData("DP_1","00O2TNJGODT0G5Z4TTKYMN18L","GSON1112990033")</f>
        <v>#NAME?</v>
      </c>
      <c r="W1800" s="4" t="e">
        <f ca="1">[1]!BexGetData("DP_1","00O2TNJGODT0G5Z4TTKYMN7K5","GSON1112990033")</f>
        <v>#NAME?</v>
      </c>
    </row>
    <row r="1801" spans="1:23" x14ac:dyDescent="0.2">
      <c r="A1801" s="15" t="s">
        <v>436</v>
      </c>
      <c r="B1801" s="7" t="s">
        <v>437</v>
      </c>
      <c r="C1801" s="3" t="e">
        <f ca="1">[1]!BexGetData("DP_1","003N8EMH8GTFRCSWKMPXRR8GU","GSON1114")</f>
        <v>#NAME?</v>
      </c>
      <c r="D1801" s="3" t="e">
        <f ca="1">[1]!BexGetData("DP_1","003N8EMH8GTFRCSWKMPXRRESE","GSON1114")</f>
        <v>#NAME?</v>
      </c>
      <c r="E1801" s="3" t="e">
        <f ca="1">[1]!BexGetData("DP_1","003N8EMH8GTFRCSWKMPXRRL3Y","GSON1114")</f>
        <v>#NAME?</v>
      </c>
      <c r="F1801" s="3" t="e">
        <f ca="1">[1]!BexGetData("DP_1","003N8EMH8GTFRCSWKMPXRRRFI","GSON1114")</f>
        <v>#NAME?</v>
      </c>
      <c r="G1801" s="3" t="e">
        <f ca="1">[1]!BexGetData("DP_1","003N8EMH8GTFRCSWKMPXRRXR2","GSON1114")</f>
        <v>#NAME?</v>
      </c>
      <c r="H1801" s="8" t="e">
        <f ca="1">[1]!BexGetData("DP_1","003N8EMH8GTFRCSWKMPXRS42M","GSON1114")</f>
        <v>#NAME?</v>
      </c>
      <c r="I1801" s="3" t="e">
        <f ca="1">[1]!BexGetData("DP_1","003N8EMH8GTFRCSWKMPXRSAE6","GSON1114")</f>
        <v>#NAME?</v>
      </c>
      <c r="J1801" s="4" t="e">
        <f ca="1">[1]!BexGetData("DP_1","003N8EMH8GTFRCSWKMPXRSGPQ","GSON1114")</f>
        <v>#NAME?</v>
      </c>
      <c r="K1801" s="3" t="e">
        <f ca="1">[1]!BexGetData("DP_1","003N8EMH8GTFRIVNUPY288VJH","GSON1114")</f>
        <v>#NAME?</v>
      </c>
      <c r="L1801" s="3" t="e">
        <f ca="1">[1]!BexGetData("DP_1","003N8EMH8GTFRIVNUPY2891V1","GSON1114")</f>
        <v>#NAME?</v>
      </c>
      <c r="M1801" s="8" t="e">
        <f ca="1">[1]!BexGetData("DP_1","003N8EMH8GTFRIVOG7KG9IQXA","GSON1114")</f>
        <v>#NAME?</v>
      </c>
      <c r="N1801" s="3" t="e">
        <f ca="1">[1]!BexGetData("DP_1","003N8EMH8GTFRIVOG7KG9IX8U","GSON1114")</f>
        <v>#NAME?</v>
      </c>
      <c r="O1801" s="8" t="e">
        <f ca="1">[1]!BexGetData("DP_1","003N8EMH8GTFRIVOG7KG9J3KE","GSON1114")</f>
        <v>#NAME?</v>
      </c>
      <c r="P1801" s="3" t="e">
        <f ca="1">[1]!BexGetData("DP_1","003N8EMH8GTFRIVOG7KG9J9VY","GSON1114")</f>
        <v>#NAME?</v>
      </c>
      <c r="Q1801" s="4" t="e">
        <f ca="1">[1]!BexGetData("DP_1","00O2TNJGODT0G5Z4TTKYMM5MT","GSON1114")</f>
        <v>#NAME?</v>
      </c>
      <c r="R1801" s="3" t="e">
        <f ca="1">[1]!BexGetData("DP_1","00O2TNJGODT0G5Z4TTKYMMBYD","GSON1114")</f>
        <v>#NAME?</v>
      </c>
      <c r="S1801" s="3" t="e">
        <f ca="1">[1]!BexGetData("DP_1","00O2TNJGODT0G5Z4TTKYMMI9X","GSON1114")</f>
        <v>#NAME?</v>
      </c>
      <c r="T1801" s="8" t="e">
        <f ca="1">[1]!BexGetData("DP_1","00O2TNJGODT0G5Z4TTKYMMOLH","GSON1114")</f>
        <v>#NAME?</v>
      </c>
      <c r="U1801" s="3" t="e">
        <f ca="1">[1]!BexGetData("DP_1","00O2TNJGODT0G5Z4TTKYMMUX1","GSON1114")</f>
        <v>#NAME?</v>
      </c>
      <c r="V1801" s="8" t="e">
        <f ca="1">[1]!BexGetData("DP_1","00O2TNJGODT0G5Z4TTKYMN18L","GSON1114")</f>
        <v>#NAME?</v>
      </c>
      <c r="W1801" s="3" t="e">
        <f ca="1">[1]!BexGetData("DP_1","00O2TNJGODT0G5Z4TTKYMN7K5","GSON1114")</f>
        <v>#NAME?</v>
      </c>
    </row>
    <row r="1802" spans="1:23" x14ac:dyDescent="0.2">
      <c r="A1802" s="16" t="s">
        <v>1199</v>
      </c>
      <c r="B1802" s="7" t="s">
        <v>438</v>
      </c>
      <c r="C1802" s="3" t="e">
        <f ca="1">[1]!BexGetData("DP_1","003N8EMH8GTFRCSWKMPXRR8GU","GSON1114100001")</f>
        <v>#NAME?</v>
      </c>
      <c r="D1802" s="3" t="e">
        <f ca="1">[1]!BexGetData("DP_1","003N8EMH8GTFRCSWKMPXRRESE","GSON1114100001")</f>
        <v>#NAME?</v>
      </c>
      <c r="E1802" s="3" t="e">
        <f ca="1">[1]!BexGetData("DP_1","003N8EMH8GTFRCSWKMPXRRL3Y","GSON1114100001")</f>
        <v>#NAME?</v>
      </c>
      <c r="F1802" s="3" t="e">
        <f ca="1">[1]!BexGetData("DP_1","003N8EMH8GTFRCSWKMPXRRRFI","GSON1114100001")</f>
        <v>#NAME?</v>
      </c>
      <c r="G1802" s="3" t="e">
        <f ca="1">[1]!BexGetData("DP_1","003N8EMH8GTFRCSWKMPXRRXR2","GSON1114100001")</f>
        <v>#NAME?</v>
      </c>
      <c r="H1802" s="8" t="e">
        <f ca="1">[1]!BexGetData("DP_1","003N8EMH8GTFRCSWKMPXRS42M","GSON1114100001")</f>
        <v>#NAME?</v>
      </c>
      <c r="I1802" s="3" t="e">
        <f ca="1">[1]!BexGetData("DP_1","003N8EMH8GTFRCSWKMPXRSAE6","GSON1114100001")</f>
        <v>#NAME?</v>
      </c>
      <c r="J1802" s="4" t="e">
        <f ca="1">[1]!BexGetData("DP_1","003N8EMH8GTFRCSWKMPXRSGPQ","GSON1114100001")</f>
        <v>#NAME?</v>
      </c>
      <c r="K1802" s="3" t="e">
        <f ca="1">[1]!BexGetData("DP_1","003N8EMH8GTFRIVNUPY288VJH","GSON1114100001")</f>
        <v>#NAME?</v>
      </c>
      <c r="L1802" s="3" t="e">
        <f ca="1">[1]!BexGetData("DP_1","003N8EMH8GTFRIVNUPY2891V1","GSON1114100001")</f>
        <v>#NAME?</v>
      </c>
      <c r="M1802" s="8" t="e">
        <f ca="1">[1]!BexGetData("DP_1","003N8EMH8GTFRIVOG7KG9IQXA","GSON1114100001")</f>
        <v>#NAME?</v>
      </c>
      <c r="N1802" s="3" t="e">
        <f ca="1">[1]!BexGetData("DP_1","003N8EMH8GTFRIVOG7KG9IX8U","GSON1114100001")</f>
        <v>#NAME?</v>
      </c>
      <c r="O1802" s="8" t="e">
        <f ca="1">[1]!BexGetData("DP_1","003N8EMH8GTFRIVOG7KG9J3KE","GSON1114100001")</f>
        <v>#NAME?</v>
      </c>
      <c r="P1802" s="3" t="e">
        <f ca="1">[1]!BexGetData("DP_1","003N8EMH8GTFRIVOG7KG9J9VY","GSON1114100001")</f>
        <v>#NAME?</v>
      </c>
      <c r="Q1802" s="4" t="e">
        <f ca="1">[1]!BexGetData("DP_1","00O2TNJGODT0G5Z4TTKYMM5MT","GSON1114100001")</f>
        <v>#NAME?</v>
      </c>
      <c r="R1802" s="3" t="e">
        <f ca="1">[1]!BexGetData("DP_1","00O2TNJGODT0G5Z4TTKYMMBYD","GSON1114100001")</f>
        <v>#NAME?</v>
      </c>
      <c r="S1802" s="3" t="e">
        <f ca="1">[1]!BexGetData("DP_1","00O2TNJGODT0G5Z4TTKYMMI9X","GSON1114100001")</f>
        <v>#NAME?</v>
      </c>
      <c r="T1802" s="8" t="e">
        <f ca="1">[1]!BexGetData("DP_1","00O2TNJGODT0G5Z4TTKYMMOLH","GSON1114100001")</f>
        <v>#NAME?</v>
      </c>
      <c r="U1802" s="3" t="e">
        <f ca="1">[1]!BexGetData("DP_1","00O2TNJGODT0G5Z4TTKYMMUX1","GSON1114100001")</f>
        <v>#NAME?</v>
      </c>
      <c r="V1802" s="8" t="e">
        <f ca="1">[1]!BexGetData("DP_1","00O2TNJGODT0G5Z4TTKYMN18L","GSON1114100001")</f>
        <v>#NAME?</v>
      </c>
      <c r="W1802" s="3" t="e">
        <f ca="1">[1]!BexGetData("DP_1","00O2TNJGODT0G5Z4TTKYMN7K5","GSON1114100001")</f>
        <v>#NAME?</v>
      </c>
    </row>
    <row r="1803" spans="1:23" x14ac:dyDescent="0.2">
      <c r="A1803" s="15" t="s">
        <v>439</v>
      </c>
      <c r="B1803" s="7" t="s">
        <v>440</v>
      </c>
      <c r="C1803" s="3" t="e">
        <f ca="1">[1]!BexGetData("DP_1","003N8EMH8GTFRCSWKMPXRR8GU","GSON1115")</f>
        <v>#NAME?</v>
      </c>
      <c r="D1803" s="3" t="e">
        <f ca="1">[1]!BexGetData("DP_1","003N8EMH8GTFRCSWKMPXRRESE","GSON1115")</f>
        <v>#NAME?</v>
      </c>
      <c r="E1803" s="3" t="e">
        <f ca="1">[1]!BexGetData("DP_1","003N8EMH8GTFRCSWKMPXRRL3Y","GSON1115")</f>
        <v>#NAME?</v>
      </c>
      <c r="F1803" s="3" t="e">
        <f ca="1">[1]!BexGetData("DP_1","003N8EMH8GTFRCSWKMPXRRRFI","GSON1115")</f>
        <v>#NAME?</v>
      </c>
      <c r="G1803" s="3" t="e">
        <f ca="1">[1]!BexGetData("DP_1","003N8EMH8GTFRCSWKMPXRRXR2","GSON1115")</f>
        <v>#NAME?</v>
      </c>
      <c r="H1803" s="3" t="e">
        <f ca="1">[1]!BexGetData("DP_1","003N8EMH8GTFRCSWKMPXRS42M","GSON1115")</f>
        <v>#NAME?</v>
      </c>
      <c r="I1803" s="3" t="e">
        <f ca="1">[1]!BexGetData("DP_1","003N8EMH8GTFRCSWKMPXRSAE6","GSON1115")</f>
        <v>#NAME?</v>
      </c>
      <c r="J1803" s="4" t="e">
        <f ca="1">[1]!BexGetData("DP_1","003N8EMH8GTFRCSWKMPXRSGPQ","GSON1115")</f>
        <v>#NAME?</v>
      </c>
      <c r="K1803" s="3" t="e">
        <f ca="1">[1]!BexGetData("DP_1","003N8EMH8GTFRIVNUPY288VJH","GSON1115")</f>
        <v>#NAME?</v>
      </c>
      <c r="L1803" s="3" t="e">
        <f ca="1">[1]!BexGetData("DP_1","003N8EMH8GTFRIVNUPY2891V1","GSON1115")</f>
        <v>#NAME?</v>
      </c>
      <c r="M1803" s="8" t="e">
        <f ca="1">[1]!BexGetData("DP_1","003N8EMH8GTFRIVOG7KG9IQXA","GSON1115")</f>
        <v>#NAME?</v>
      </c>
      <c r="N1803" s="3" t="e">
        <f ca="1">[1]!BexGetData("DP_1","003N8EMH8GTFRIVOG7KG9IX8U","GSON1115")</f>
        <v>#NAME?</v>
      </c>
      <c r="O1803" s="8" t="e">
        <f ca="1">[1]!BexGetData("DP_1","003N8EMH8GTFRIVOG7KG9J3KE","GSON1115")</f>
        <v>#NAME?</v>
      </c>
      <c r="P1803" s="3" t="e">
        <f ca="1">[1]!BexGetData("DP_1","003N8EMH8GTFRIVOG7KG9J9VY","GSON1115")</f>
        <v>#NAME?</v>
      </c>
      <c r="Q1803" s="4" t="e">
        <f ca="1">[1]!BexGetData("DP_1","00O2TNJGODT0G5Z4TTKYMM5MT","GSON1115")</f>
        <v>#NAME?</v>
      </c>
      <c r="R1803" s="3" t="e">
        <f ca="1">[1]!BexGetData("DP_1","00O2TNJGODT0G5Z4TTKYMMBYD","GSON1115")</f>
        <v>#NAME?</v>
      </c>
      <c r="S1803" s="3" t="e">
        <f ca="1">[1]!BexGetData("DP_1","00O2TNJGODT0G5Z4TTKYMMI9X","GSON1115")</f>
        <v>#NAME?</v>
      </c>
      <c r="T1803" s="8" t="e">
        <f ca="1">[1]!BexGetData("DP_1","00O2TNJGODT0G5Z4TTKYMMOLH","GSON1115")</f>
        <v>#NAME?</v>
      </c>
      <c r="U1803" s="3" t="e">
        <f ca="1">[1]!BexGetData("DP_1","00O2TNJGODT0G5Z4TTKYMMUX1","GSON1115")</f>
        <v>#NAME?</v>
      </c>
      <c r="V1803" s="8" t="e">
        <f ca="1">[1]!BexGetData("DP_1","00O2TNJGODT0G5Z4TTKYMN18L","GSON1115")</f>
        <v>#NAME?</v>
      </c>
      <c r="W1803" s="3" t="e">
        <f ca="1">[1]!BexGetData("DP_1","00O2TNJGODT0G5Z4TTKYMN7K5","GSON1115")</f>
        <v>#NAME?</v>
      </c>
    </row>
    <row r="1804" spans="1:23" x14ac:dyDescent="0.2">
      <c r="A1804" s="16" t="s">
        <v>441</v>
      </c>
      <c r="B1804" s="7" t="s">
        <v>442</v>
      </c>
      <c r="C1804" s="3" t="e">
        <f ca="1">[1]!BexGetData("DP_1","003N8EMH8GTFRCSWKMPXRR8GU","GSON1115100001")</f>
        <v>#NAME?</v>
      </c>
      <c r="D1804" s="3" t="e">
        <f ca="1">[1]!BexGetData("DP_1","003N8EMH8GTFRCSWKMPXRRESE","GSON1115100001")</f>
        <v>#NAME?</v>
      </c>
      <c r="E1804" s="3" t="e">
        <f ca="1">[1]!BexGetData("DP_1","003N8EMH8GTFRCSWKMPXRRL3Y","GSON1115100001")</f>
        <v>#NAME?</v>
      </c>
      <c r="F1804" s="3" t="e">
        <f ca="1">[1]!BexGetData("DP_1","003N8EMH8GTFRCSWKMPXRRRFI","GSON1115100001")</f>
        <v>#NAME?</v>
      </c>
      <c r="G1804" s="3" t="e">
        <f ca="1">[1]!BexGetData("DP_1","003N8EMH8GTFRCSWKMPXRRXR2","GSON1115100001")</f>
        <v>#NAME?</v>
      </c>
      <c r="H1804" s="3" t="e">
        <f ca="1">[1]!BexGetData("DP_1","003N8EMH8GTFRCSWKMPXRS42M","GSON1115100001")</f>
        <v>#NAME?</v>
      </c>
      <c r="I1804" s="3" t="e">
        <f ca="1">[1]!BexGetData("DP_1","003N8EMH8GTFRCSWKMPXRSAE6","GSON1115100001")</f>
        <v>#NAME?</v>
      </c>
      <c r="J1804" s="4" t="e">
        <f ca="1">[1]!BexGetData("DP_1","003N8EMH8GTFRCSWKMPXRSGPQ","GSON1115100001")</f>
        <v>#NAME?</v>
      </c>
      <c r="K1804" s="3" t="e">
        <f ca="1">[1]!BexGetData("DP_1","003N8EMH8GTFRIVNUPY288VJH","GSON1115100001")</f>
        <v>#NAME?</v>
      </c>
      <c r="L1804" s="3" t="e">
        <f ca="1">[1]!BexGetData("DP_1","003N8EMH8GTFRIVNUPY2891V1","GSON1115100001")</f>
        <v>#NAME?</v>
      </c>
      <c r="M1804" s="8" t="e">
        <f ca="1">[1]!BexGetData("DP_1","003N8EMH8GTFRIVOG7KG9IQXA","GSON1115100001")</f>
        <v>#NAME?</v>
      </c>
      <c r="N1804" s="3" t="e">
        <f ca="1">[1]!BexGetData("DP_1","003N8EMH8GTFRIVOG7KG9IX8U","GSON1115100001")</f>
        <v>#NAME?</v>
      </c>
      <c r="O1804" s="8" t="e">
        <f ca="1">[1]!BexGetData("DP_1","003N8EMH8GTFRIVOG7KG9J3KE","GSON1115100001")</f>
        <v>#NAME?</v>
      </c>
      <c r="P1804" s="3" t="e">
        <f ca="1">[1]!BexGetData("DP_1","003N8EMH8GTFRIVOG7KG9J9VY","GSON1115100001")</f>
        <v>#NAME?</v>
      </c>
      <c r="Q1804" s="4" t="e">
        <f ca="1">[1]!BexGetData("DP_1","00O2TNJGODT0G5Z4TTKYMM5MT","GSON1115100001")</f>
        <v>#NAME?</v>
      </c>
      <c r="R1804" s="3" t="e">
        <f ca="1">[1]!BexGetData("DP_1","00O2TNJGODT0G5Z4TTKYMMBYD","GSON1115100001")</f>
        <v>#NAME?</v>
      </c>
      <c r="S1804" s="3" t="e">
        <f ca="1">[1]!BexGetData("DP_1","00O2TNJGODT0G5Z4TTKYMMI9X","GSON1115100001")</f>
        <v>#NAME?</v>
      </c>
      <c r="T1804" s="8" t="e">
        <f ca="1">[1]!BexGetData("DP_1","00O2TNJGODT0G5Z4TTKYMMOLH","GSON1115100001")</f>
        <v>#NAME?</v>
      </c>
      <c r="U1804" s="3" t="e">
        <f ca="1">[1]!BexGetData("DP_1","00O2TNJGODT0G5Z4TTKYMMUX1","GSON1115100001")</f>
        <v>#NAME?</v>
      </c>
      <c r="V1804" s="8" t="e">
        <f ca="1">[1]!BexGetData("DP_1","00O2TNJGODT0G5Z4TTKYMN18L","GSON1115100001")</f>
        <v>#NAME?</v>
      </c>
      <c r="W1804" s="3" t="e">
        <f ca="1">[1]!BexGetData("DP_1","00O2TNJGODT0G5Z4TTKYMN7K5","GSON1115100001")</f>
        <v>#NAME?</v>
      </c>
    </row>
    <row r="1805" spans="1:23" x14ac:dyDescent="0.2">
      <c r="A1805" s="15" t="s">
        <v>1200</v>
      </c>
      <c r="B1805" s="7" t="s">
        <v>1201</v>
      </c>
      <c r="C1805" s="3" t="e">
        <f ca="1">[1]!BexGetData("DP_1","003N8EMH8GTFRCSWKMPXRR8GU","GSON1116")</f>
        <v>#NAME?</v>
      </c>
      <c r="D1805" s="3" t="e">
        <f ca="1">[1]!BexGetData("DP_1","003N8EMH8GTFRCSWKMPXRRESE","GSON1116")</f>
        <v>#NAME?</v>
      </c>
      <c r="E1805" s="3" t="e">
        <f ca="1">[1]!BexGetData("DP_1","003N8EMH8GTFRCSWKMPXRRL3Y","GSON1116")</f>
        <v>#NAME?</v>
      </c>
      <c r="F1805" s="3" t="e">
        <f ca="1">[1]!BexGetData("DP_1","003N8EMH8GTFRCSWKMPXRRRFI","GSON1116")</f>
        <v>#NAME?</v>
      </c>
      <c r="G1805" s="3" t="e">
        <f ca="1">[1]!BexGetData("DP_1","003N8EMH8GTFRCSWKMPXRRXR2","GSON1116")</f>
        <v>#NAME?</v>
      </c>
      <c r="H1805" s="8" t="e">
        <f ca="1">[1]!BexGetData("DP_1","003N8EMH8GTFRCSWKMPXRS42M","GSON1116")</f>
        <v>#NAME?</v>
      </c>
      <c r="I1805" s="3" t="e">
        <f ca="1">[1]!BexGetData("DP_1","003N8EMH8GTFRCSWKMPXRSAE6","GSON1116")</f>
        <v>#NAME?</v>
      </c>
      <c r="J1805" s="4" t="e">
        <f ca="1">[1]!BexGetData("DP_1","003N8EMH8GTFRCSWKMPXRSGPQ","GSON1116")</f>
        <v>#NAME?</v>
      </c>
      <c r="K1805" s="3" t="e">
        <f ca="1">[1]!BexGetData("DP_1","003N8EMH8GTFRIVNUPY288VJH","GSON1116")</f>
        <v>#NAME?</v>
      </c>
      <c r="L1805" s="3" t="e">
        <f ca="1">[1]!BexGetData("DP_1","003N8EMH8GTFRIVNUPY2891V1","GSON1116")</f>
        <v>#NAME?</v>
      </c>
      <c r="M1805" s="8" t="e">
        <f ca="1">[1]!BexGetData("DP_1","003N8EMH8GTFRIVOG7KG9IQXA","GSON1116")</f>
        <v>#NAME?</v>
      </c>
      <c r="N1805" s="3" t="e">
        <f ca="1">[1]!BexGetData("DP_1","003N8EMH8GTFRIVOG7KG9IX8U","GSON1116")</f>
        <v>#NAME?</v>
      </c>
      <c r="O1805" s="8" t="e">
        <f ca="1">[1]!BexGetData("DP_1","003N8EMH8GTFRIVOG7KG9J3KE","GSON1116")</f>
        <v>#NAME?</v>
      </c>
      <c r="P1805" s="3" t="e">
        <f ca="1">[1]!BexGetData("DP_1","003N8EMH8GTFRIVOG7KG9J9VY","GSON1116")</f>
        <v>#NAME?</v>
      </c>
      <c r="Q1805" s="4" t="e">
        <f ca="1">[1]!BexGetData("DP_1","00O2TNJGODT0G5Z4TTKYMM5MT","GSON1116")</f>
        <v>#NAME?</v>
      </c>
      <c r="R1805" s="3" t="e">
        <f ca="1">[1]!BexGetData("DP_1","00O2TNJGODT0G5Z4TTKYMMBYD","GSON1116")</f>
        <v>#NAME?</v>
      </c>
      <c r="S1805" s="3" t="e">
        <f ca="1">[1]!BexGetData("DP_1","00O2TNJGODT0G5Z4TTKYMMI9X","GSON1116")</f>
        <v>#NAME?</v>
      </c>
      <c r="T1805" s="8" t="e">
        <f ca="1">[1]!BexGetData("DP_1","00O2TNJGODT0G5Z4TTKYMMOLH","GSON1116")</f>
        <v>#NAME?</v>
      </c>
      <c r="U1805" s="3" t="e">
        <f ca="1">[1]!BexGetData("DP_1","00O2TNJGODT0G5Z4TTKYMMUX1","GSON1116")</f>
        <v>#NAME?</v>
      </c>
      <c r="V1805" s="8" t="e">
        <f ca="1">[1]!BexGetData("DP_1","00O2TNJGODT0G5Z4TTKYMN18L","GSON1116")</f>
        <v>#NAME?</v>
      </c>
      <c r="W1805" s="3" t="e">
        <f ca="1">[1]!BexGetData("DP_1","00O2TNJGODT0G5Z4TTKYMN7K5","GSON1116")</f>
        <v>#NAME?</v>
      </c>
    </row>
    <row r="1806" spans="1:23" x14ac:dyDescent="0.2">
      <c r="A1806" s="16" t="s">
        <v>4519</v>
      </c>
      <c r="B1806" s="7" t="s">
        <v>4520</v>
      </c>
      <c r="C1806" s="3" t="e">
        <f ca="1">[1]!BexGetData("DP_1","003N8EMH8GTFRCSWKMPXRR8GU","GSON1116030990")</f>
        <v>#NAME?</v>
      </c>
      <c r="D1806" s="3" t="e">
        <f ca="1">[1]!BexGetData("DP_1","003N8EMH8GTFRCSWKMPXRRESE","GSON1116030990")</f>
        <v>#NAME?</v>
      </c>
      <c r="E1806" s="3" t="e">
        <f ca="1">[1]!BexGetData("DP_1","003N8EMH8GTFRCSWKMPXRRL3Y","GSON1116030990")</f>
        <v>#NAME?</v>
      </c>
      <c r="F1806" s="4" t="e">
        <f ca="1">[1]!BexGetData("DP_1","003N8EMH8GTFRCSWKMPXRRRFI","GSON1116030990")</f>
        <v>#NAME?</v>
      </c>
      <c r="G1806" s="4" t="e">
        <f ca="1">[1]!BexGetData("DP_1","003N8EMH8GTFRCSWKMPXRRXR2","GSON1116030990")</f>
        <v>#NAME?</v>
      </c>
      <c r="H1806" s="4" t="e">
        <f ca="1">[1]!BexGetData("DP_1","003N8EMH8GTFRCSWKMPXRS42M","GSON1116030990")</f>
        <v>#NAME?</v>
      </c>
      <c r="I1806" s="4" t="e">
        <f ca="1">[1]!BexGetData("DP_1","003N8EMH8GTFRCSWKMPXRSAE6","GSON1116030990")</f>
        <v>#NAME?</v>
      </c>
      <c r="J1806" s="4" t="e">
        <f ca="1">[1]!BexGetData("DP_1","003N8EMH8GTFRCSWKMPXRSGPQ","GSON1116030990")</f>
        <v>#NAME?</v>
      </c>
      <c r="K1806" s="3" t="e">
        <f ca="1">[1]!BexGetData("DP_1","003N8EMH8GTFRIVNUPY288VJH","GSON1116030990")</f>
        <v>#NAME?</v>
      </c>
      <c r="L1806" s="3" t="e">
        <f ca="1">[1]!BexGetData("DP_1","003N8EMH8GTFRIVNUPY2891V1","GSON1116030990")</f>
        <v>#NAME?</v>
      </c>
      <c r="M1806" s="8" t="e">
        <f ca="1">[1]!BexGetData("DP_1","003N8EMH8GTFRIVOG7KG9IQXA","GSON1116030990")</f>
        <v>#NAME?</v>
      </c>
      <c r="N1806" s="3" t="e">
        <f ca="1">[1]!BexGetData("DP_1","003N8EMH8GTFRIVOG7KG9IX8U","GSON1116030990")</f>
        <v>#NAME?</v>
      </c>
      <c r="O1806" s="8" t="e">
        <f ca="1">[1]!BexGetData("DP_1","003N8EMH8GTFRIVOG7KG9J3KE","GSON1116030990")</f>
        <v>#NAME?</v>
      </c>
      <c r="P1806" s="3" t="e">
        <f ca="1">[1]!BexGetData("DP_1","003N8EMH8GTFRIVOG7KG9J9VY","GSON1116030990")</f>
        <v>#NAME?</v>
      </c>
      <c r="Q1806" s="4" t="e">
        <f ca="1">[1]!BexGetData("DP_1","00O2TNJGODT0G5Z4TTKYMM5MT","GSON1116030990")</f>
        <v>#NAME?</v>
      </c>
      <c r="R1806" s="4" t="e">
        <f ca="1">[1]!BexGetData("DP_1","00O2TNJGODT0G5Z4TTKYMMBYD","GSON1116030990")</f>
        <v>#NAME?</v>
      </c>
      <c r="S1806" s="4" t="e">
        <f ca="1">[1]!BexGetData("DP_1","00O2TNJGODT0G5Z4TTKYMMI9X","GSON1116030990")</f>
        <v>#NAME?</v>
      </c>
      <c r="T1806" s="4" t="e">
        <f ca="1">[1]!BexGetData("DP_1","00O2TNJGODT0G5Z4TTKYMMOLH","GSON1116030990")</f>
        <v>#NAME?</v>
      </c>
      <c r="U1806" s="4" t="e">
        <f ca="1">[1]!BexGetData("DP_1","00O2TNJGODT0G5Z4TTKYMMUX1","GSON1116030990")</f>
        <v>#NAME?</v>
      </c>
      <c r="V1806" s="4" t="e">
        <f ca="1">[1]!BexGetData("DP_1","00O2TNJGODT0G5Z4TTKYMN18L","GSON1116030990")</f>
        <v>#NAME?</v>
      </c>
      <c r="W1806" s="4" t="e">
        <f ca="1">[1]!BexGetData("DP_1","00O2TNJGODT0G5Z4TTKYMN7K5","GSON1116030990")</f>
        <v>#NAME?</v>
      </c>
    </row>
    <row r="1807" spans="1:23" x14ac:dyDescent="0.2">
      <c r="A1807" s="16" t="s">
        <v>4521</v>
      </c>
      <c r="B1807" s="7" t="s">
        <v>4522</v>
      </c>
      <c r="C1807" s="3" t="e">
        <f ca="1">[1]!BexGetData("DP_1","003N8EMH8GTFRCSWKMPXRR8GU","GSON1116030991")</f>
        <v>#NAME?</v>
      </c>
      <c r="D1807" s="3" t="e">
        <f ca="1">[1]!BexGetData("DP_1","003N8EMH8GTFRCSWKMPXRRESE","GSON1116030991")</f>
        <v>#NAME?</v>
      </c>
      <c r="E1807" s="8" t="e">
        <f ca="1">[1]!BexGetData("DP_1","003N8EMH8GTFRCSWKMPXRRL3Y","GSON1116030991")</f>
        <v>#NAME?</v>
      </c>
      <c r="F1807" s="4" t="e">
        <f ca="1">[1]!BexGetData("DP_1","003N8EMH8GTFRCSWKMPXRRRFI","GSON1116030991")</f>
        <v>#NAME?</v>
      </c>
      <c r="G1807" s="4" t="e">
        <f ca="1">[1]!BexGetData("DP_1","003N8EMH8GTFRCSWKMPXRRXR2","GSON1116030991")</f>
        <v>#NAME?</v>
      </c>
      <c r="H1807" s="4" t="e">
        <f ca="1">[1]!BexGetData("DP_1","003N8EMH8GTFRCSWKMPXRS42M","GSON1116030991")</f>
        <v>#NAME?</v>
      </c>
      <c r="I1807" s="4" t="e">
        <f ca="1">[1]!BexGetData("DP_1","003N8EMH8GTFRCSWKMPXRSAE6","GSON1116030991")</f>
        <v>#NAME?</v>
      </c>
      <c r="J1807" s="4" t="e">
        <f ca="1">[1]!BexGetData("DP_1","003N8EMH8GTFRCSWKMPXRSGPQ","GSON1116030991")</f>
        <v>#NAME?</v>
      </c>
      <c r="K1807" s="8" t="e">
        <f ca="1">[1]!BexGetData("DP_1","003N8EMH8GTFRIVNUPY288VJH","GSON1116030991")</f>
        <v>#NAME?</v>
      </c>
      <c r="L1807" s="8" t="e">
        <f ca="1">[1]!BexGetData("DP_1","003N8EMH8GTFRIVNUPY2891V1","GSON1116030991")</f>
        <v>#NAME?</v>
      </c>
      <c r="M1807" s="8" t="e">
        <f ca="1">[1]!BexGetData("DP_1","003N8EMH8GTFRIVOG7KG9IQXA","GSON1116030991")</f>
        <v>#NAME?</v>
      </c>
      <c r="N1807" s="8" t="e">
        <f ca="1">[1]!BexGetData("DP_1","003N8EMH8GTFRIVOG7KG9IX8U","GSON1116030991")</f>
        <v>#NAME?</v>
      </c>
      <c r="O1807" s="8" t="e">
        <f ca="1">[1]!BexGetData("DP_1","003N8EMH8GTFRIVOG7KG9J3KE","GSON1116030991")</f>
        <v>#NAME?</v>
      </c>
      <c r="P1807" s="8" t="e">
        <f ca="1">[1]!BexGetData("DP_1","003N8EMH8GTFRIVOG7KG9J9VY","GSON1116030991")</f>
        <v>#NAME?</v>
      </c>
      <c r="Q1807" s="4" t="e">
        <f ca="1">[1]!BexGetData("DP_1","00O2TNJGODT0G5Z4TTKYMM5MT","GSON1116030991")</f>
        <v>#NAME?</v>
      </c>
      <c r="R1807" s="4" t="e">
        <f ca="1">[1]!BexGetData("DP_1","00O2TNJGODT0G5Z4TTKYMMBYD","GSON1116030991")</f>
        <v>#NAME?</v>
      </c>
      <c r="S1807" s="4" t="e">
        <f ca="1">[1]!BexGetData("DP_1","00O2TNJGODT0G5Z4TTKYMMI9X","GSON1116030991")</f>
        <v>#NAME?</v>
      </c>
      <c r="T1807" s="4" t="e">
        <f ca="1">[1]!BexGetData("DP_1","00O2TNJGODT0G5Z4TTKYMMOLH","GSON1116030991")</f>
        <v>#NAME?</v>
      </c>
      <c r="U1807" s="4" t="e">
        <f ca="1">[1]!BexGetData("DP_1","00O2TNJGODT0G5Z4TTKYMMUX1","GSON1116030991")</f>
        <v>#NAME?</v>
      </c>
      <c r="V1807" s="4" t="e">
        <f ca="1">[1]!BexGetData("DP_1","00O2TNJGODT0G5Z4TTKYMN18L","GSON1116030991")</f>
        <v>#NAME?</v>
      </c>
      <c r="W1807" s="4" t="e">
        <f ca="1">[1]!BexGetData("DP_1","00O2TNJGODT0G5Z4TTKYMN7K5","GSON1116030991")</f>
        <v>#NAME?</v>
      </c>
    </row>
    <row r="1808" spans="1:23" x14ac:dyDescent="0.2">
      <c r="A1808" s="16" t="s">
        <v>4523</v>
      </c>
      <c r="B1808" s="7" t="s">
        <v>4524</v>
      </c>
      <c r="C1808" s="3" t="e">
        <f ca="1">[1]!BexGetData("DP_1","003N8EMH8GTFRCSWKMPXRR8GU","GSON1116030992")</f>
        <v>#NAME?</v>
      </c>
      <c r="D1808" s="3" t="e">
        <f ca="1">[1]!BexGetData("DP_1","003N8EMH8GTFRCSWKMPXRRESE","GSON1116030992")</f>
        <v>#NAME?</v>
      </c>
      <c r="E1808" s="3" t="e">
        <f ca="1">[1]!BexGetData("DP_1","003N8EMH8GTFRCSWKMPXRRL3Y","GSON1116030992")</f>
        <v>#NAME?</v>
      </c>
      <c r="F1808" s="4" t="e">
        <f ca="1">[1]!BexGetData("DP_1","003N8EMH8GTFRCSWKMPXRRRFI","GSON1116030992")</f>
        <v>#NAME?</v>
      </c>
      <c r="G1808" s="4" t="e">
        <f ca="1">[1]!BexGetData("DP_1","003N8EMH8GTFRCSWKMPXRRXR2","GSON1116030992")</f>
        <v>#NAME?</v>
      </c>
      <c r="H1808" s="4" t="e">
        <f ca="1">[1]!BexGetData("DP_1","003N8EMH8GTFRCSWKMPXRS42M","GSON1116030992")</f>
        <v>#NAME?</v>
      </c>
      <c r="I1808" s="4" t="e">
        <f ca="1">[1]!BexGetData("DP_1","003N8EMH8GTFRCSWKMPXRSAE6","GSON1116030992")</f>
        <v>#NAME?</v>
      </c>
      <c r="J1808" s="4" t="e">
        <f ca="1">[1]!BexGetData("DP_1","003N8EMH8GTFRCSWKMPXRSGPQ","GSON1116030992")</f>
        <v>#NAME?</v>
      </c>
      <c r="K1808" s="3" t="e">
        <f ca="1">[1]!BexGetData("DP_1","003N8EMH8GTFRIVNUPY288VJH","GSON1116030992")</f>
        <v>#NAME?</v>
      </c>
      <c r="L1808" s="3" t="e">
        <f ca="1">[1]!BexGetData("DP_1","003N8EMH8GTFRIVNUPY2891V1","GSON1116030992")</f>
        <v>#NAME?</v>
      </c>
      <c r="M1808" s="3" t="e">
        <f ca="1">[1]!BexGetData("DP_1","003N8EMH8GTFRIVOG7KG9IQXA","GSON1116030992")</f>
        <v>#NAME?</v>
      </c>
      <c r="N1808" s="8" t="e">
        <f ca="1">[1]!BexGetData("DP_1","003N8EMH8GTFRIVOG7KG9IX8U","GSON1116030992")</f>
        <v>#NAME?</v>
      </c>
      <c r="O1808" s="3" t="e">
        <f ca="1">[1]!BexGetData("DP_1","003N8EMH8GTFRIVOG7KG9J3KE","GSON1116030992")</f>
        <v>#NAME?</v>
      </c>
      <c r="P1808" s="8" t="e">
        <f ca="1">[1]!BexGetData("DP_1","003N8EMH8GTFRIVOG7KG9J9VY","GSON1116030992")</f>
        <v>#NAME?</v>
      </c>
      <c r="Q1808" s="4" t="e">
        <f ca="1">[1]!BexGetData("DP_1","00O2TNJGODT0G5Z4TTKYMM5MT","GSON1116030992")</f>
        <v>#NAME?</v>
      </c>
      <c r="R1808" s="4" t="e">
        <f ca="1">[1]!BexGetData("DP_1","00O2TNJGODT0G5Z4TTKYMMBYD","GSON1116030992")</f>
        <v>#NAME?</v>
      </c>
      <c r="S1808" s="4" t="e">
        <f ca="1">[1]!BexGetData("DP_1","00O2TNJGODT0G5Z4TTKYMMI9X","GSON1116030992")</f>
        <v>#NAME?</v>
      </c>
      <c r="T1808" s="4" t="e">
        <f ca="1">[1]!BexGetData("DP_1","00O2TNJGODT0G5Z4TTKYMMOLH","GSON1116030992")</f>
        <v>#NAME?</v>
      </c>
      <c r="U1808" s="4" t="e">
        <f ca="1">[1]!BexGetData("DP_1","00O2TNJGODT0G5Z4TTKYMMUX1","GSON1116030992")</f>
        <v>#NAME?</v>
      </c>
      <c r="V1808" s="4" t="e">
        <f ca="1">[1]!BexGetData("DP_1","00O2TNJGODT0G5Z4TTKYMN18L","GSON1116030992")</f>
        <v>#NAME?</v>
      </c>
      <c r="W1808" s="4" t="e">
        <f ca="1">[1]!BexGetData("DP_1","00O2TNJGODT0G5Z4TTKYMN7K5","GSON1116030992")</f>
        <v>#NAME?</v>
      </c>
    </row>
    <row r="1809" spans="1:23" x14ac:dyDescent="0.2">
      <c r="A1809" s="16" t="s">
        <v>4525</v>
      </c>
      <c r="B1809" s="7" t="s">
        <v>4526</v>
      </c>
      <c r="C1809" s="3" t="e">
        <f ca="1">[1]!BexGetData("DP_1","003N8EMH8GTFRCSWKMPXRR8GU","GSON1116030993")</f>
        <v>#NAME?</v>
      </c>
      <c r="D1809" s="3" t="e">
        <f ca="1">[1]!BexGetData("DP_1","003N8EMH8GTFRCSWKMPXRRESE","GSON1116030993")</f>
        <v>#NAME?</v>
      </c>
      <c r="E1809" s="8" t="e">
        <f ca="1">[1]!BexGetData("DP_1","003N8EMH8GTFRCSWKMPXRRL3Y","GSON1116030993")</f>
        <v>#NAME?</v>
      </c>
      <c r="F1809" s="4" t="e">
        <f ca="1">[1]!BexGetData("DP_1","003N8EMH8GTFRCSWKMPXRRRFI","GSON1116030993")</f>
        <v>#NAME?</v>
      </c>
      <c r="G1809" s="4" t="e">
        <f ca="1">[1]!BexGetData("DP_1","003N8EMH8GTFRCSWKMPXRRXR2","GSON1116030993")</f>
        <v>#NAME?</v>
      </c>
      <c r="H1809" s="4" t="e">
        <f ca="1">[1]!BexGetData("DP_1","003N8EMH8GTFRCSWKMPXRS42M","GSON1116030993")</f>
        <v>#NAME?</v>
      </c>
      <c r="I1809" s="4" t="e">
        <f ca="1">[1]!BexGetData("DP_1","003N8EMH8GTFRCSWKMPXRSAE6","GSON1116030993")</f>
        <v>#NAME?</v>
      </c>
      <c r="J1809" s="4" t="e">
        <f ca="1">[1]!BexGetData("DP_1","003N8EMH8GTFRCSWKMPXRSGPQ","GSON1116030993")</f>
        <v>#NAME?</v>
      </c>
      <c r="K1809" s="8" t="e">
        <f ca="1">[1]!BexGetData("DP_1","003N8EMH8GTFRIVNUPY288VJH","GSON1116030993")</f>
        <v>#NAME?</v>
      </c>
      <c r="L1809" s="8" t="e">
        <f ca="1">[1]!BexGetData("DP_1","003N8EMH8GTFRIVNUPY2891V1","GSON1116030993")</f>
        <v>#NAME?</v>
      </c>
      <c r="M1809" s="8" t="e">
        <f ca="1">[1]!BexGetData("DP_1","003N8EMH8GTFRIVOG7KG9IQXA","GSON1116030993")</f>
        <v>#NAME?</v>
      </c>
      <c r="N1809" s="8" t="e">
        <f ca="1">[1]!BexGetData("DP_1","003N8EMH8GTFRIVOG7KG9IX8U","GSON1116030993")</f>
        <v>#NAME?</v>
      </c>
      <c r="O1809" s="8" t="e">
        <f ca="1">[1]!BexGetData("DP_1","003N8EMH8GTFRIVOG7KG9J3KE","GSON1116030993")</f>
        <v>#NAME?</v>
      </c>
      <c r="P1809" s="8" t="e">
        <f ca="1">[1]!BexGetData("DP_1","003N8EMH8GTFRIVOG7KG9J9VY","GSON1116030993")</f>
        <v>#NAME?</v>
      </c>
      <c r="Q1809" s="4" t="e">
        <f ca="1">[1]!BexGetData("DP_1","00O2TNJGODT0G5Z4TTKYMM5MT","GSON1116030993")</f>
        <v>#NAME?</v>
      </c>
      <c r="R1809" s="4" t="e">
        <f ca="1">[1]!BexGetData("DP_1","00O2TNJGODT0G5Z4TTKYMMBYD","GSON1116030993")</f>
        <v>#NAME?</v>
      </c>
      <c r="S1809" s="4" t="e">
        <f ca="1">[1]!BexGetData("DP_1","00O2TNJGODT0G5Z4TTKYMMI9X","GSON1116030993")</f>
        <v>#NAME?</v>
      </c>
      <c r="T1809" s="4" t="e">
        <f ca="1">[1]!BexGetData("DP_1","00O2TNJGODT0G5Z4TTKYMMOLH","GSON1116030993")</f>
        <v>#NAME?</v>
      </c>
      <c r="U1809" s="4" t="e">
        <f ca="1">[1]!BexGetData("DP_1","00O2TNJGODT0G5Z4TTKYMMUX1","GSON1116030993")</f>
        <v>#NAME?</v>
      </c>
      <c r="V1809" s="4" t="e">
        <f ca="1">[1]!BexGetData("DP_1","00O2TNJGODT0G5Z4TTKYMN18L","GSON1116030993")</f>
        <v>#NAME?</v>
      </c>
      <c r="W1809" s="4" t="e">
        <f ca="1">[1]!BexGetData("DP_1","00O2TNJGODT0G5Z4TTKYMN7K5","GSON1116030993")</f>
        <v>#NAME?</v>
      </c>
    </row>
    <row r="1810" spans="1:23" x14ac:dyDescent="0.2">
      <c r="A1810" s="16" t="s">
        <v>4527</v>
      </c>
      <c r="B1810" s="7" t="s">
        <v>4528</v>
      </c>
      <c r="C1810" s="3" t="e">
        <f ca="1">[1]!BexGetData("DP_1","003N8EMH8GTFRCSWKMPXRR8GU","GSON1116030994")</f>
        <v>#NAME?</v>
      </c>
      <c r="D1810" s="3" t="e">
        <f ca="1">[1]!BexGetData("DP_1","003N8EMH8GTFRCSWKMPXRRESE","GSON1116030994")</f>
        <v>#NAME?</v>
      </c>
      <c r="E1810" s="8" t="e">
        <f ca="1">[1]!BexGetData("DP_1","003N8EMH8GTFRCSWKMPXRRL3Y","GSON1116030994")</f>
        <v>#NAME?</v>
      </c>
      <c r="F1810" s="4" t="e">
        <f ca="1">[1]!BexGetData("DP_1","003N8EMH8GTFRCSWKMPXRRRFI","GSON1116030994")</f>
        <v>#NAME?</v>
      </c>
      <c r="G1810" s="4" t="e">
        <f ca="1">[1]!BexGetData("DP_1","003N8EMH8GTFRCSWKMPXRRXR2","GSON1116030994")</f>
        <v>#NAME?</v>
      </c>
      <c r="H1810" s="4" t="e">
        <f ca="1">[1]!BexGetData("DP_1","003N8EMH8GTFRCSWKMPXRS42M","GSON1116030994")</f>
        <v>#NAME?</v>
      </c>
      <c r="I1810" s="4" t="e">
        <f ca="1">[1]!BexGetData("DP_1","003N8EMH8GTFRCSWKMPXRSAE6","GSON1116030994")</f>
        <v>#NAME?</v>
      </c>
      <c r="J1810" s="4" t="e">
        <f ca="1">[1]!BexGetData("DP_1","003N8EMH8GTFRCSWKMPXRSGPQ","GSON1116030994")</f>
        <v>#NAME?</v>
      </c>
      <c r="K1810" s="8" t="e">
        <f ca="1">[1]!BexGetData("DP_1","003N8EMH8GTFRIVNUPY288VJH","GSON1116030994")</f>
        <v>#NAME?</v>
      </c>
      <c r="L1810" s="8" t="e">
        <f ca="1">[1]!BexGetData("DP_1","003N8EMH8GTFRIVNUPY2891V1","GSON1116030994")</f>
        <v>#NAME?</v>
      </c>
      <c r="M1810" s="8" t="e">
        <f ca="1">[1]!BexGetData("DP_1","003N8EMH8GTFRIVOG7KG9IQXA","GSON1116030994")</f>
        <v>#NAME?</v>
      </c>
      <c r="N1810" s="8" t="e">
        <f ca="1">[1]!BexGetData("DP_1","003N8EMH8GTFRIVOG7KG9IX8U","GSON1116030994")</f>
        <v>#NAME?</v>
      </c>
      <c r="O1810" s="8" t="e">
        <f ca="1">[1]!BexGetData("DP_1","003N8EMH8GTFRIVOG7KG9J3KE","GSON1116030994")</f>
        <v>#NAME?</v>
      </c>
      <c r="P1810" s="8" t="e">
        <f ca="1">[1]!BexGetData("DP_1","003N8EMH8GTFRIVOG7KG9J9VY","GSON1116030994")</f>
        <v>#NAME?</v>
      </c>
      <c r="Q1810" s="4" t="e">
        <f ca="1">[1]!BexGetData("DP_1","00O2TNJGODT0G5Z4TTKYMM5MT","GSON1116030994")</f>
        <v>#NAME?</v>
      </c>
      <c r="R1810" s="4" t="e">
        <f ca="1">[1]!BexGetData("DP_1","00O2TNJGODT0G5Z4TTKYMMBYD","GSON1116030994")</f>
        <v>#NAME?</v>
      </c>
      <c r="S1810" s="4" t="e">
        <f ca="1">[1]!BexGetData("DP_1","00O2TNJGODT0G5Z4TTKYMMI9X","GSON1116030994")</f>
        <v>#NAME?</v>
      </c>
      <c r="T1810" s="4" t="e">
        <f ca="1">[1]!BexGetData("DP_1","00O2TNJGODT0G5Z4TTKYMMOLH","GSON1116030994")</f>
        <v>#NAME?</v>
      </c>
      <c r="U1810" s="4" t="e">
        <f ca="1">[1]!BexGetData("DP_1","00O2TNJGODT0G5Z4TTKYMMUX1","GSON1116030994")</f>
        <v>#NAME?</v>
      </c>
      <c r="V1810" s="4" t="e">
        <f ca="1">[1]!BexGetData("DP_1","00O2TNJGODT0G5Z4TTKYMN18L","GSON1116030994")</f>
        <v>#NAME?</v>
      </c>
      <c r="W1810" s="4" t="e">
        <f ca="1">[1]!BexGetData("DP_1","00O2TNJGODT0G5Z4TTKYMN7K5","GSON1116030994")</f>
        <v>#NAME?</v>
      </c>
    </row>
    <row r="1811" spans="1:23" x14ac:dyDescent="0.2">
      <c r="A1811" s="16" t="s">
        <v>4529</v>
      </c>
      <c r="B1811" s="7" t="s">
        <v>4530</v>
      </c>
      <c r="C1811" s="3" t="e">
        <f ca="1">[1]!BexGetData("DP_1","003N8EMH8GTFRCSWKMPXRR8GU","GSON1116030995")</f>
        <v>#NAME?</v>
      </c>
      <c r="D1811" s="3" t="e">
        <f ca="1">[1]!BexGetData("DP_1","003N8EMH8GTFRCSWKMPXRRESE","GSON1116030995")</f>
        <v>#NAME?</v>
      </c>
      <c r="E1811" s="8" t="e">
        <f ca="1">[1]!BexGetData("DP_1","003N8EMH8GTFRCSWKMPXRRL3Y","GSON1116030995")</f>
        <v>#NAME?</v>
      </c>
      <c r="F1811" s="4" t="e">
        <f ca="1">[1]!BexGetData("DP_1","003N8EMH8GTFRCSWKMPXRRRFI","GSON1116030995")</f>
        <v>#NAME?</v>
      </c>
      <c r="G1811" s="4" t="e">
        <f ca="1">[1]!BexGetData("DP_1","003N8EMH8GTFRCSWKMPXRRXR2","GSON1116030995")</f>
        <v>#NAME?</v>
      </c>
      <c r="H1811" s="4" t="e">
        <f ca="1">[1]!BexGetData("DP_1","003N8EMH8GTFRCSWKMPXRS42M","GSON1116030995")</f>
        <v>#NAME?</v>
      </c>
      <c r="I1811" s="4" t="e">
        <f ca="1">[1]!BexGetData("DP_1","003N8EMH8GTFRCSWKMPXRSAE6","GSON1116030995")</f>
        <v>#NAME?</v>
      </c>
      <c r="J1811" s="4" t="e">
        <f ca="1">[1]!BexGetData("DP_1","003N8EMH8GTFRCSWKMPXRSGPQ","GSON1116030995")</f>
        <v>#NAME?</v>
      </c>
      <c r="K1811" s="8" t="e">
        <f ca="1">[1]!BexGetData("DP_1","003N8EMH8GTFRIVNUPY288VJH","GSON1116030995")</f>
        <v>#NAME?</v>
      </c>
      <c r="L1811" s="8" t="e">
        <f ca="1">[1]!BexGetData("DP_1","003N8EMH8GTFRIVNUPY2891V1","GSON1116030995")</f>
        <v>#NAME?</v>
      </c>
      <c r="M1811" s="8" t="e">
        <f ca="1">[1]!BexGetData("DP_1","003N8EMH8GTFRIVOG7KG9IQXA","GSON1116030995")</f>
        <v>#NAME?</v>
      </c>
      <c r="N1811" s="8" t="e">
        <f ca="1">[1]!BexGetData("DP_1","003N8EMH8GTFRIVOG7KG9IX8U","GSON1116030995")</f>
        <v>#NAME?</v>
      </c>
      <c r="O1811" s="8" t="e">
        <f ca="1">[1]!BexGetData("DP_1","003N8EMH8GTFRIVOG7KG9J3KE","GSON1116030995")</f>
        <v>#NAME?</v>
      </c>
      <c r="P1811" s="8" t="e">
        <f ca="1">[1]!BexGetData("DP_1","003N8EMH8GTFRIVOG7KG9J9VY","GSON1116030995")</f>
        <v>#NAME?</v>
      </c>
      <c r="Q1811" s="4" t="e">
        <f ca="1">[1]!BexGetData("DP_1","00O2TNJGODT0G5Z4TTKYMM5MT","GSON1116030995")</f>
        <v>#NAME?</v>
      </c>
      <c r="R1811" s="4" t="e">
        <f ca="1">[1]!BexGetData("DP_1","00O2TNJGODT0G5Z4TTKYMMBYD","GSON1116030995")</f>
        <v>#NAME?</v>
      </c>
      <c r="S1811" s="4" t="e">
        <f ca="1">[1]!BexGetData("DP_1","00O2TNJGODT0G5Z4TTKYMMI9X","GSON1116030995")</f>
        <v>#NAME?</v>
      </c>
      <c r="T1811" s="4" t="e">
        <f ca="1">[1]!BexGetData("DP_1","00O2TNJGODT0G5Z4TTKYMMOLH","GSON1116030995")</f>
        <v>#NAME?</v>
      </c>
      <c r="U1811" s="4" t="e">
        <f ca="1">[1]!BexGetData("DP_1","00O2TNJGODT0G5Z4TTKYMMUX1","GSON1116030995")</f>
        <v>#NAME?</v>
      </c>
      <c r="V1811" s="4" t="e">
        <f ca="1">[1]!BexGetData("DP_1","00O2TNJGODT0G5Z4TTKYMN18L","GSON1116030995")</f>
        <v>#NAME?</v>
      </c>
      <c r="W1811" s="4" t="e">
        <f ca="1">[1]!BexGetData("DP_1","00O2TNJGODT0G5Z4TTKYMN7K5","GSON1116030995")</f>
        <v>#NAME?</v>
      </c>
    </row>
    <row r="1812" spans="1:23" x14ac:dyDescent="0.2">
      <c r="A1812" s="16" t="s">
        <v>4531</v>
      </c>
      <c r="B1812" s="7" t="s">
        <v>4532</v>
      </c>
      <c r="C1812" s="3" t="e">
        <f ca="1">[1]!BexGetData("DP_1","003N8EMH8GTFRCSWKMPXRR8GU","GSON1116031050")</f>
        <v>#NAME?</v>
      </c>
      <c r="D1812" s="3" t="e">
        <f ca="1">[1]!BexGetData("DP_1","003N8EMH8GTFRCSWKMPXRRESE","GSON1116031050")</f>
        <v>#NAME?</v>
      </c>
      <c r="E1812" s="8" t="e">
        <f ca="1">[1]!BexGetData("DP_1","003N8EMH8GTFRCSWKMPXRRL3Y","GSON1116031050")</f>
        <v>#NAME?</v>
      </c>
      <c r="F1812" s="4" t="e">
        <f ca="1">[1]!BexGetData("DP_1","003N8EMH8GTFRCSWKMPXRRRFI","GSON1116031050")</f>
        <v>#NAME?</v>
      </c>
      <c r="G1812" s="4" t="e">
        <f ca="1">[1]!BexGetData("DP_1","003N8EMH8GTFRCSWKMPXRRXR2","GSON1116031050")</f>
        <v>#NAME?</v>
      </c>
      <c r="H1812" s="4" t="e">
        <f ca="1">[1]!BexGetData("DP_1","003N8EMH8GTFRCSWKMPXRS42M","GSON1116031050")</f>
        <v>#NAME?</v>
      </c>
      <c r="I1812" s="4" t="e">
        <f ca="1">[1]!BexGetData("DP_1","003N8EMH8GTFRCSWKMPXRSAE6","GSON1116031050")</f>
        <v>#NAME?</v>
      </c>
      <c r="J1812" s="4" t="e">
        <f ca="1">[1]!BexGetData("DP_1","003N8EMH8GTFRCSWKMPXRSGPQ","GSON1116031050")</f>
        <v>#NAME?</v>
      </c>
      <c r="K1812" s="8" t="e">
        <f ca="1">[1]!BexGetData("DP_1","003N8EMH8GTFRIVNUPY288VJH","GSON1116031050")</f>
        <v>#NAME?</v>
      </c>
      <c r="L1812" s="8" t="e">
        <f ca="1">[1]!BexGetData("DP_1","003N8EMH8GTFRIVNUPY2891V1","GSON1116031050")</f>
        <v>#NAME?</v>
      </c>
      <c r="M1812" s="8" t="e">
        <f ca="1">[1]!BexGetData("DP_1","003N8EMH8GTFRIVOG7KG9IQXA","GSON1116031050")</f>
        <v>#NAME?</v>
      </c>
      <c r="N1812" s="8" t="e">
        <f ca="1">[1]!BexGetData("DP_1","003N8EMH8GTFRIVOG7KG9IX8U","GSON1116031050")</f>
        <v>#NAME?</v>
      </c>
      <c r="O1812" s="8" t="e">
        <f ca="1">[1]!BexGetData("DP_1","003N8EMH8GTFRIVOG7KG9J3KE","GSON1116031050")</f>
        <v>#NAME?</v>
      </c>
      <c r="P1812" s="8" t="e">
        <f ca="1">[1]!BexGetData("DP_1","003N8EMH8GTFRIVOG7KG9J9VY","GSON1116031050")</f>
        <v>#NAME?</v>
      </c>
      <c r="Q1812" s="4" t="e">
        <f ca="1">[1]!BexGetData("DP_1","00O2TNJGODT0G5Z4TTKYMM5MT","GSON1116031050")</f>
        <v>#NAME?</v>
      </c>
      <c r="R1812" s="4" t="e">
        <f ca="1">[1]!BexGetData("DP_1","00O2TNJGODT0G5Z4TTKYMMBYD","GSON1116031050")</f>
        <v>#NAME?</v>
      </c>
      <c r="S1812" s="4" t="e">
        <f ca="1">[1]!BexGetData("DP_1","00O2TNJGODT0G5Z4TTKYMMI9X","GSON1116031050")</f>
        <v>#NAME?</v>
      </c>
      <c r="T1812" s="4" t="e">
        <f ca="1">[1]!BexGetData("DP_1","00O2TNJGODT0G5Z4TTKYMMOLH","GSON1116031050")</f>
        <v>#NAME?</v>
      </c>
      <c r="U1812" s="4" t="e">
        <f ca="1">[1]!BexGetData("DP_1","00O2TNJGODT0G5Z4TTKYMMUX1","GSON1116031050")</f>
        <v>#NAME?</v>
      </c>
      <c r="V1812" s="4" t="e">
        <f ca="1">[1]!BexGetData("DP_1","00O2TNJGODT0G5Z4TTKYMN18L","GSON1116031050")</f>
        <v>#NAME?</v>
      </c>
      <c r="W1812" s="4" t="e">
        <f ca="1">[1]!BexGetData("DP_1","00O2TNJGODT0G5Z4TTKYMN7K5","GSON1116031050")</f>
        <v>#NAME?</v>
      </c>
    </row>
    <row r="1813" spans="1:23" x14ac:dyDescent="0.2">
      <c r="A1813" s="16" t="s">
        <v>4533</v>
      </c>
      <c r="B1813" s="7" t="s">
        <v>4534</v>
      </c>
      <c r="C1813" s="3" t="e">
        <f ca="1">[1]!BexGetData("DP_1","003N8EMH8GTFRCSWKMPXRR8GU","GSON1116031053")</f>
        <v>#NAME?</v>
      </c>
      <c r="D1813" s="3" t="e">
        <f ca="1">[1]!BexGetData("DP_1","003N8EMH8GTFRCSWKMPXRRESE","GSON1116031053")</f>
        <v>#NAME?</v>
      </c>
      <c r="E1813" s="8" t="e">
        <f ca="1">[1]!BexGetData("DP_1","003N8EMH8GTFRCSWKMPXRRL3Y","GSON1116031053")</f>
        <v>#NAME?</v>
      </c>
      <c r="F1813" s="4" t="e">
        <f ca="1">[1]!BexGetData("DP_1","003N8EMH8GTFRCSWKMPXRRRFI","GSON1116031053")</f>
        <v>#NAME?</v>
      </c>
      <c r="G1813" s="4" t="e">
        <f ca="1">[1]!BexGetData("DP_1","003N8EMH8GTFRCSWKMPXRRXR2","GSON1116031053")</f>
        <v>#NAME?</v>
      </c>
      <c r="H1813" s="4" t="e">
        <f ca="1">[1]!BexGetData("DP_1","003N8EMH8GTFRCSWKMPXRS42M","GSON1116031053")</f>
        <v>#NAME?</v>
      </c>
      <c r="I1813" s="4" t="e">
        <f ca="1">[1]!BexGetData("DP_1","003N8EMH8GTFRCSWKMPXRSAE6","GSON1116031053")</f>
        <v>#NAME?</v>
      </c>
      <c r="J1813" s="4" t="e">
        <f ca="1">[1]!BexGetData("DP_1","003N8EMH8GTFRCSWKMPXRSGPQ","GSON1116031053")</f>
        <v>#NAME?</v>
      </c>
      <c r="K1813" s="8" t="e">
        <f ca="1">[1]!BexGetData("DP_1","003N8EMH8GTFRIVNUPY288VJH","GSON1116031053")</f>
        <v>#NAME?</v>
      </c>
      <c r="L1813" s="8" t="e">
        <f ca="1">[1]!BexGetData("DP_1","003N8EMH8GTFRIVNUPY2891V1","GSON1116031053")</f>
        <v>#NAME?</v>
      </c>
      <c r="M1813" s="8" t="e">
        <f ca="1">[1]!BexGetData("DP_1","003N8EMH8GTFRIVOG7KG9IQXA","GSON1116031053")</f>
        <v>#NAME?</v>
      </c>
      <c r="N1813" s="8" t="e">
        <f ca="1">[1]!BexGetData("DP_1","003N8EMH8GTFRIVOG7KG9IX8U","GSON1116031053")</f>
        <v>#NAME?</v>
      </c>
      <c r="O1813" s="8" t="e">
        <f ca="1">[1]!BexGetData("DP_1","003N8EMH8GTFRIVOG7KG9J3KE","GSON1116031053")</f>
        <v>#NAME?</v>
      </c>
      <c r="P1813" s="8" t="e">
        <f ca="1">[1]!BexGetData("DP_1","003N8EMH8GTFRIVOG7KG9J9VY","GSON1116031053")</f>
        <v>#NAME?</v>
      </c>
      <c r="Q1813" s="4" t="e">
        <f ca="1">[1]!BexGetData("DP_1","00O2TNJGODT0G5Z4TTKYMM5MT","GSON1116031053")</f>
        <v>#NAME?</v>
      </c>
      <c r="R1813" s="4" t="e">
        <f ca="1">[1]!BexGetData("DP_1","00O2TNJGODT0G5Z4TTKYMMBYD","GSON1116031053")</f>
        <v>#NAME?</v>
      </c>
      <c r="S1813" s="4" t="e">
        <f ca="1">[1]!BexGetData("DP_1","00O2TNJGODT0G5Z4TTKYMMI9X","GSON1116031053")</f>
        <v>#NAME?</v>
      </c>
      <c r="T1813" s="4" t="e">
        <f ca="1">[1]!BexGetData("DP_1","00O2TNJGODT0G5Z4TTKYMMOLH","GSON1116031053")</f>
        <v>#NAME?</v>
      </c>
      <c r="U1813" s="4" t="e">
        <f ca="1">[1]!BexGetData("DP_1","00O2TNJGODT0G5Z4TTKYMMUX1","GSON1116031053")</f>
        <v>#NAME?</v>
      </c>
      <c r="V1813" s="4" t="e">
        <f ca="1">[1]!BexGetData("DP_1","00O2TNJGODT0G5Z4TTKYMN18L","GSON1116031053")</f>
        <v>#NAME?</v>
      </c>
      <c r="W1813" s="4" t="e">
        <f ca="1">[1]!BexGetData("DP_1","00O2TNJGODT0G5Z4TTKYMN7K5","GSON1116031053")</f>
        <v>#NAME?</v>
      </c>
    </row>
    <row r="1814" spans="1:23" x14ac:dyDescent="0.2">
      <c r="A1814" s="16" t="s">
        <v>4535</v>
      </c>
      <c r="B1814" s="7" t="s">
        <v>4536</v>
      </c>
      <c r="C1814" s="3" t="e">
        <f ca="1">[1]!BexGetData("DP_1","003N8EMH8GTFRCSWKMPXRR8GU","GSON1116031055")</f>
        <v>#NAME?</v>
      </c>
      <c r="D1814" s="3" t="e">
        <f ca="1">[1]!BexGetData("DP_1","003N8EMH8GTFRCSWKMPXRRESE","GSON1116031055")</f>
        <v>#NAME?</v>
      </c>
      <c r="E1814" s="8" t="e">
        <f ca="1">[1]!BexGetData("DP_1","003N8EMH8GTFRCSWKMPXRRL3Y","GSON1116031055")</f>
        <v>#NAME?</v>
      </c>
      <c r="F1814" s="4" t="e">
        <f ca="1">[1]!BexGetData("DP_1","003N8EMH8GTFRCSWKMPXRRRFI","GSON1116031055")</f>
        <v>#NAME?</v>
      </c>
      <c r="G1814" s="4" t="e">
        <f ca="1">[1]!BexGetData("DP_1","003N8EMH8GTFRCSWKMPXRRXR2","GSON1116031055")</f>
        <v>#NAME?</v>
      </c>
      <c r="H1814" s="4" t="e">
        <f ca="1">[1]!BexGetData("DP_1","003N8EMH8GTFRCSWKMPXRS42M","GSON1116031055")</f>
        <v>#NAME?</v>
      </c>
      <c r="I1814" s="4" t="e">
        <f ca="1">[1]!BexGetData("DP_1","003N8EMH8GTFRCSWKMPXRSAE6","GSON1116031055")</f>
        <v>#NAME?</v>
      </c>
      <c r="J1814" s="4" t="e">
        <f ca="1">[1]!BexGetData("DP_1","003N8EMH8GTFRCSWKMPXRSGPQ","GSON1116031055")</f>
        <v>#NAME?</v>
      </c>
      <c r="K1814" s="8" t="e">
        <f ca="1">[1]!BexGetData("DP_1","003N8EMH8GTFRIVNUPY288VJH","GSON1116031055")</f>
        <v>#NAME?</v>
      </c>
      <c r="L1814" s="8" t="e">
        <f ca="1">[1]!BexGetData("DP_1","003N8EMH8GTFRIVNUPY2891V1","GSON1116031055")</f>
        <v>#NAME?</v>
      </c>
      <c r="M1814" s="8" t="e">
        <f ca="1">[1]!BexGetData("DP_1","003N8EMH8GTFRIVOG7KG9IQXA","GSON1116031055")</f>
        <v>#NAME?</v>
      </c>
      <c r="N1814" s="8" t="e">
        <f ca="1">[1]!BexGetData("DP_1","003N8EMH8GTFRIVOG7KG9IX8U","GSON1116031055")</f>
        <v>#NAME?</v>
      </c>
      <c r="O1814" s="8" t="e">
        <f ca="1">[1]!BexGetData("DP_1","003N8EMH8GTFRIVOG7KG9J3KE","GSON1116031055")</f>
        <v>#NAME?</v>
      </c>
      <c r="P1814" s="8" t="e">
        <f ca="1">[1]!BexGetData("DP_1","003N8EMH8GTFRIVOG7KG9J9VY","GSON1116031055")</f>
        <v>#NAME?</v>
      </c>
      <c r="Q1814" s="4" t="e">
        <f ca="1">[1]!BexGetData("DP_1","00O2TNJGODT0G5Z4TTKYMM5MT","GSON1116031055")</f>
        <v>#NAME?</v>
      </c>
      <c r="R1814" s="4" t="e">
        <f ca="1">[1]!BexGetData("DP_1","00O2TNJGODT0G5Z4TTKYMMBYD","GSON1116031055")</f>
        <v>#NAME?</v>
      </c>
      <c r="S1814" s="4" t="e">
        <f ca="1">[1]!BexGetData("DP_1","00O2TNJGODT0G5Z4TTKYMMI9X","GSON1116031055")</f>
        <v>#NAME?</v>
      </c>
      <c r="T1814" s="4" t="e">
        <f ca="1">[1]!BexGetData("DP_1","00O2TNJGODT0G5Z4TTKYMMOLH","GSON1116031055")</f>
        <v>#NAME?</v>
      </c>
      <c r="U1814" s="4" t="e">
        <f ca="1">[1]!BexGetData("DP_1","00O2TNJGODT0G5Z4TTKYMMUX1","GSON1116031055")</f>
        <v>#NAME?</v>
      </c>
      <c r="V1814" s="4" t="e">
        <f ca="1">[1]!BexGetData("DP_1","00O2TNJGODT0G5Z4TTKYMN18L","GSON1116031055")</f>
        <v>#NAME?</v>
      </c>
      <c r="W1814" s="4" t="e">
        <f ca="1">[1]!BexGetData("DP_1","00O2TNJGODT0G5Z4TTKYMN7K5","GSON1116031055")</f>
        <v>#NAME?</v>
      </c>
    </row>
    <row r="1815" spans="1:23" x14ac:dyDescent="0.2">
      <c r="A1815" s="16" t="s">
        <v>1202</v>
      </c>
      <c r="B1815" s="7" t="s">
        <v>1203</v>
      </c>
      <c r="C1815" s="3" t="e">
        <f ca="1">[1]!BexGetData("DP_1","003N8EMH8GTFRCSWKMPXRR8GU","GSON1116031080")</f>
        <v>#NAME?</v>
      </c>
      <c r="D1815" s="3" t="e">
        <f ca="1">[1]!BexGetData("DP_1","003N8EMH8GTFRCSWKMPXRRESE","GSON1116031080")</f>
        <v>#NAME?</v>
      </c>
      <c r="E1815" s="3" t="e">
        <f ca="1">[1]!BexGetData("DP_1","003N8EMH8GTFRCSWKMPXRRL3Y","GSON1116031080")</f>
        <v>#NAME?</v>
      </c>
      <c r="F1815" s="4" t="e">
        <f ca="1">[1]!BexGetData("DP_1","003N8EMH8GTFRCSWKMPXRRRFI","GSON1116031080")</f>
        <v>#NAME?</v>
      </c>
      <c r="G1815" s="4" t="e">
        <f ca="1">[1]!BexGetData("DP_1","003N8EMH8GTFRCSWKMPXRRXR2","GSON1116031080")</f>
        <v>#NAME?</v>
      </c>
      <c r="H1815" s="4" t="e">
        <f ca="1">[1]!BexGetData("DP_1","003N8EMH8GTFRCSWKMPXRS42M","GSON1116031080")</f>
        <v>#NAME?</v>
      </c>
      <c r="I1815" s="4" t="e">
        <f ca="1">[1]!BexGetData("DP_1","003N8EMH8GTFRCSWKMPXRSAE6","GSON1116031080")</f>
        <v>#NAME?</v>
      </c>
      <c r="J1815" s="4" t="e">
        <f ca="1">[1]!BexGetData("DP_1","003N8EMH8GTFRCSWKMPXRSGPQ","GSON1116031080")</f>
        <v>#NAME?</v>
      </c>
      <c r="K1815" s="3" t="e">
        <f ca="1">[1]!BexGetData("DP_1","003N8EMH8GTFRIVNUPY288VJH","GSON1116031080")</f>
        <v>#NAME?</v>
      </c>
      <c r="L1815" s="3" t="e">
        <f ca="1">[1]!BexGetData("DP_1","003N8EMH8GTFRIVNUPY2891V1","GSON1116031080")</f>
        <v>#NAME?</v>
      </c>
      <c r="M1815" s="8" t="e">
        <f ca="1">[1]!BexGetData("DP_1","003N8EMH8GTFRIVOG7KG9IQXA","GSON1116031080")</f>
        <v>#NAME?</v>
      </c>
      <c r="N1815" s="3" t="e">
        <f ca="1">[1]!BexGetData("DP_1","003N8EMH8GTFRIVOG7KG9IX8U","GSON1116031080")</f>
        <v>#NAME?</v>
      </c>
      <c r="O1815" s="8" t="e">
        <f ca="1">[1]!BexGetData("DP_1","003N8EMH8GTFRIVOG7KG9J3KE","GSON1116031080")</f>
        <v>#NAME?</v>
      </c>
      <c r="P1815" s="3" t="e">
        <f ca="1">[1]!BexGetData("DP_1","003N8EMH8GTFRIVOG7KG9J9VY","GSON1116031080")</f>
        <v>#NAME?</v>
      </c>
      <c r="Q1815" s="4" t="e">
        <f ca="1">[1]!BexGetData("DP_1","00O2TNJGODT0G5Z4TTKYMM5MT","GSON1116031080")</f>
        <v>#NAME?</v>
      </c>
      <c r="R1815" s="4" t="e">
        <f ca="1">[1]!BexGetData("DP_1","00O2TNJGODT0G5Z4TTKYMMBYD","GSON1116031080")</f>
        <v>#NAME?</v>
      </c>
      <c r="S1815" s="4" t="e">
        <f ca="1">[1]!BexGetData("DP_1","00O2TNJGODT0G5Z4TTKYMMI9X","GSON1116031080")</f>
        <v>#NAME?</v>
      </c>
      <c r="T1815" s="4" t="e">
        <f ca="1">[1]!BexGetData("DP_1","00O2TNJGODT0G5Z4TTKYMMOLH","GSON1116031080")</f>
        <v>#NAME?</v>
      </c>
      <c r="U1815" s="4" t="e">
        <f ca="1">[1]!BexGetData("DP_1","00O2TNJGODT0G5Z4TTKYMMUX1","GSON1116031080")</f>
        <v>#NAME?</v>
      </c>
      <c r="V1815" s="4" t="e">
        <f ca="1">[1]!BexGetData("DP_1","00O2TNJGODT0G5Z4TTKYMN18L","GSON1116031080")</f>
        <v>#NAME?</v>
      </c>
      <c r="W1815" s="4" t="e">
        <f ca="1">[1]!BexGetData("DP_1","00O2TNJGODT0G5Z4TTKYMN7K5","GSON1116031080")</f>
        <v>#NAME?</v>
      </c>
    </row>
    <row r="1816" spans="1:23" x14ac:dyDescent="0.2">
      <c r="A1816" s="16" t="s">
        <v>1204</v>
      </c>
      <c r="B1816" s="7" t="s">
        <v>1205</v>
      </c>
      <c r="C1816" s="3" t="e">
        <f ca="1">[1]!BexGetData("DP_1","003N8EMH8GTFRCSWKMPXRR8GU","GSON1116031081")</f>
        <v>#NAME?</v>
      </c>
      <c r="D1816" s="3" t="e">
        <f ca="1">[1]!BexGetData("DP_1","003N8EMH8GTFRCSWKMPXRRESE","GSON1116031081")</f>
        <v>#NAME?</v>
      </c>
      <c r="E1816" s="8" t="e">
        <f ca="1">[1]!BexGetData("DP_1","003N8EMH8GTFRCSWKMPXRRL3Y","GSON1116031081")</f>
        <v>#NAME?</v>
      </c>
      <c r="F1816" s="4" t="e">
        <f ca="1">[1]!BexGetData("DP_1","003N8EMH8GTFRCSWKMPXRRRFI","GSON1116031081")</f>
        <v>#NAME?</v>
      </c>
      <c r="G1816" s="4" t="e">
        <f ca="1">[1]!BexGetData("DP_1","003N8EMH8GTFRCSWKMPXRRXR2","GSON1116031081")</f>
        <v>#NAME?</v>
      </c>
      <c r="H1816" s="4" t="e">
        <f ca="1">[1]!BexGetData("DP_1","003N8EMH8GTFRCSWKMPXRS42M","GSON1116031081")</f>
        <v>#NAME?</v>
      </c>
      <c r="I1816" s="4" t="e">
        <f ca="1">[1]!BexGetData("DP_1","003N8EMH8GTFRCSWKMPXRSAE6","GSON1116031081")</f>
        <v>#NAME?</v>
      </c>
      <c r="J1816" s="4" t="e">
        <f ca="1">[1]!BexGetData("DP_1","003N8EMH8GTFRCSWKMPXRSGPQ","GSON1116031081")</f>
        <v>#NAME?</v>
      </c>
      <c r="K1816" s="8" t="e">
        <f ca="1">[1]!BexGetData("DP_1","003N8EMH8GTFRIVNUPY288VJH","GSON1116031081")</f>
        <v>#NAME?</v>
      </c>
      <c r="L1816" s="8" t="e">
        <f ca="1">[1]!BexGetData("DP_1","003N8EMH8GTFRIVNUPY2891V1","GSON1116031081")</f>
        <v>#NAME?</v>
      </c>
      <c r="M1816" s="8" t="e">
        <f ca="1">[1]!BexGetData("DP_1","003N8EMH8GTFRIVOG7KG9IQXA","GSON1116031081")</f>
        <v>#NAME?</v>
      </c>
      <c r="N1816" s="8" t="e">
        <f ca="1">[1]!BexGetData("DP_1","003N8EMH8GTFRIVOG7KG9IX8U","GSON1116031081")</f>
        <v>#NAME?</v>
      </c>
      <c r="O1816" s="8" t="e">
        <f ca="1">[1]!BexGetData("DP_1","003N8EMH8GTFRIVOG7KG9J3KE","GSON1116031081")</f>
        <v>#NAME?</v>
      </c>
      <c r="P1816" s="8" t="e">
        <f ca="1">[1]!BexGetData("DP_1","003N8EMH8GTFRIVOG7KG9J9VY","GSON1116031081")</f>
        <v>#NAME?</v>
      </c>
      <c r="Q1816" s="4" t="e">
        <f ca="1">[1]!BexGetData("DP_1","00O2TNJGODT0G5Z4TTKYMM5MT","GSON1116031081")</f>
        <v>#NAME?</v>
      </c>
      <c r="R1816" s="4" t="e">
        <f ca="1">[1]!BexGetData("DP_1","00O2TNJGODT0G5Z4TTKYMMBYD","GSON1116031081")</f>
        <v>#NAME?</v>
      </c>
      <c r="S1816" s="4" t="e">
        <f ca="1">[1]!BexGetData("DP_1","00O2TNJGODT0G5Z4TTKYMMI9X","GSON1116031081")</f>
        <v>#NAME?</v>
      </c>
      <c r="T1816" s="4" t="e">
        <f ca="1">[1]!BexGetData("DP_1","00O2TNJGODT0G5Z4TTKYMMOLH","GSON1116031081")</f>
        <v>#NAME?</v>
      </c>
      <c r="U1816" s="4" t="e">
        <f ca="1">[1]!BexGetData("DP_1","00O2TNJGODT0G5Z4TTKYMMUX1","GSON1116031081")</f>
        <v>#NAME?</v>
      </c>
      <c r="V1816" s="4" t="e">
        <f ca="1">[1]!BexGetData("DP_1","00O2TNJGODT0G5Z4TTKYMN18L","GSON1116031081")</f>
        <v>#NAME?</v>
      </c>
      <c r="W1816" s="4" t="e">
        <f ca="1">[1]!BexGetData("DP_1","00O2TNJGODT0G5Z4TTKYMN7K5","GSON1116031081")</f>
        <v>#NAME?</v>
      </c>
    </row>
    <row r="1817" spans="1:23" x14ac:dyDescent="0.2">
      <c r="A1817" s="16" t="s">
        <v>1206</v>
      </c>
      <c r="B1817" s="7" t="s">
        <v>1207</v>
      </c>
      <c r="C1817" s="3" t="e">
        <f ca="1">[1]!BexGetData("DP_1","003N8EMH8GTFRCSWKMPXRR8GU","GSON1116031083")</f>
        <v>#NAME?</v>
      </c>
      <c r="D1817" s="3" t="e">
        <f ca="1">[1]!BexGetData("DP_1","003N8EMH8GTFRCSWKMPXRRESE","GSON1116031083")</f>
        <v>#NAME?</v>
      </c>
      <c r="E1817" s="8" t="e">
        <f ca="1">[1]!BexGetData("DP_1","003N8EMH8GTFRCSWKMPXRRL3Y","GSON1116031083")</f>
        <v>#NAME?</v>
      </c>
      <c r="F1817" s="4" t="e">
        <f ca="1">[1]!BexGetData("DP_1","003N8EMH8GTFRCSWKMPXRRRFI","GSON1116031083")</f>
        <v>#NAME?</v>
      </c>
      <c r="G1817" s="4" t="e">
        <f ca="1">[1]!BexGetData("DP_1","003N8EMH8GTFRCSWKMPXRRXR2","GSON1116031083")</f>
        <v>#NAME?</v>
      </c>
      <c r="H1817" s="4" t="e">
        <f ca="1">[1]!BexGetData("DP_1","003N8EMH8GTFRCSWKMPXRS42M","GSON1116031083")</f>
        <v>#NAME?</v>
      </c>
      <c r="I1817" s="4" t="e">
        <f ca="1">[1]!BexGetData("DP_1","003N8EMH8GTFRCSWKMPXRSAE6","GSON1116031083")</f>
        <v>#NAME?</v>
      </c>
      <c r="J1817" s="4" t="e">
        <f ca="1">[1]!BexGetData("DP_1","003N8EMH8GTFRCSWKMPXRSGPQ","GSON1116031083")</f>
        <v>#NAME?</v>
      </c>
      <c r="K1817" s="8" t="e">
        <f ca="1">[1]!BexGetData("DP_1","003N8EMH8GTFRIVNUPY288VJH","GSON1116031083")</f>
        <v>#NAME?</v>
      </c>
      <c r="L1817" s="8" t="e">
        <f ca="1">[1]!BexGetData("DP_1","003N8EMH8GTFRIVNUPY2891V1","GSON1116031083")</f>
        <v>#NAME?</v>
      </c>
      <c r="M1817" s="8" t="e">
        <f ca="1">[1]!BexGetData("DP_1","003N8EMH8GTFRIVOG7KG9IQXA","GSON1116031083")</f>
        <v>#NAME?</v>
      </c>
      <c r="N1817" s="8" t="e">
        <f ca="1">[1]!BexGetData("DP_1","003N8EMH8GTFRIVOG7KG9IX8U","GSON1116031083")</f>
        <v>#NAME?</v>
      </c>
      <c r="O1817" s="8" t="e">
        <f ca="1">[1]!BexGetData("DP_1","003N8EMH8GTFRIVOG7KG9J3KE","GSON1116031083")</f>
        <v>#NAME?</v>
      </c>
      <c r="P1817" s="8" t="e">
        <f ca="1">[1]!BexGetData("DP_1","003N8EMH8GTFRIVOG7KG9J9VY","GSON1116031083")</f>
        <v>#NAME?</v>
      </c>
      <c r="Q1817" s="4" t="e">
        <f ca="1">[1]!BexGetData("DP_1","00O2TNJGODT0G5Z4TTKYMM5MT","GSON1116031083")</f>
        <v>#NAME?</v>
      </c>
      <c r="R1817" s="4" t="e">
        <f ca="1">[1]!BexGetData("DP_1","00O2TNJGODT0G5Z4TTKYMMBYD","GSON1116031083")</f>
        <v>#NAME?</v>
      </c>
      <c r="S1817" s="4" t="e">
        <f ca="1">[1]!BexGetData("DP_1","00O2TNJGODT0G5Z4TTKYMMI9X","GSON1116031083")</f>
        <v>#NAME?</v>
      </c>
      <c r="T1817" s="4" t="e">
        <f ca="1">[1]!BexGetData("DP_1","00O2TNJGODT0G5Z4TTKYMMOLH","GSON1116031083")</f>
        <v>#NAME?</v>
      </c>
      <c r="U1817" s="4" t="e">
        <f ca="1">[1]!BexGetData("DP_1","00O2TNJGODT0G5Z4TTKYMMUX1","GSON1116031083")</f>
        <v>#NAME?</v>
      </c>
      <c r="V1817" s="4" t="e">
        <f ca="1">[1]!BexGetData("DP_1","00O2TNJGODT0G5Z4TTKYMN18L","GSON1116031083")</f>
        <v>#NAME?</v>
      </c>
      <c r="W1817" s="4" t="e">
        <f ca="1">[1]!BexGetData("DP_1","00O2TNJGODT0G5Z4TTKYMN7K5","GSON1116031083")</f>
        <v>#NAME?</v>
      </c>
    </row>
    <row r="1818" spans="1:23" x14ac:dyDescent="0.2">
      <c r="A1818" s="16" t="s">
        <v>4537</v>
      </c>
      <c r="B1818" s="7" t="s">
        <v>4538</v>
      </c>
      <c r="C1818" s="3" t="e">
        <f ca="1">[1]!BexGetData("DP_1","003N8EMH8GTFRCSWKMPXRR8GU","GSON1116031084")</f>
        <v>#NAME?</v>
      </c>
      <c r="D1818" s="3" t="e">
        <f ca="1">[1]!BexGetData("DP_1","003N8EMH8GTFRCSWKMPXRRESE","GSON1116031084")</f>
        <v>#NAME?</v>
      </c>
      <c r="E1818" s="8" t="e">
        <f ca="1">[1]!BexGetData("DP_1","003N8EMH8GTFRCSWKMPXRRL3Y","GSON1116031084")</f>
        <v>#NAME?</v>
      </c>
      <c r="F1818" s="4" t="e">
        <f ca="1">[1]!BexGetData("DP_1","003N8EMH8GTFRCSWKMPXRRRFI","GSON1116031084")</f>
        <v>#NAME?</v>
      </c>
      <c r="G1818" s="4" t="e">
        <f ca="1">[1]!BexGetData("DP_1","003N8EMH8GTFRCSWKMPXRRXR2","GSON1116031084")</f>
        <v>#NAME?</v>
      </c>
      <c r="H1818" s="4" t="e">
        <f ca="1">[1]!BexGetData("DP_1","003N8EMH8GTFRCSWKMPXRS42M","GSON1116031084")</f>
        <v>#NAME?</v>
      </c>
      <c r="I1818" s="4" t="e">
        <f ca="1">[1]!BexGetData("DP_1","003N8EMH8GTFRCSWKMPXRSAE6","GSON1116031084")</f>
        <v>#NAME?</v>
      </c>
      <c r="J1818" s="4" t="e">
        <f ca="1">[1]!BexGetData("DP_1","003N8EMH8GTFRCSWKMPXRSGPQ","GSON1116031084")</f>
        <v>#NAME?</v>
      </c>
      <c r="K1818" s="8" t="e">
        <f ca="1">[1]!BexGetData("DP_1","003N8EMH8GTFRIVNUPY288VJH","GSON1116031084")</f>
        <v>#NAME?</v>
      </c>
      <c r="L1818" s="8" t="e">
        <f ca="1">[1]!BexGetData("DP_1","003N8EMH8GTFRIVNUPY2891V1","GSON1116031084")</f>
        <v>#NAME?</v>
      </c>
      <c r="M1818" s="8" t="e">
        <f ca="1">[1]!BexGetData("DP_1","003N8EMH8GTFRIVOG7KG9IQXA","GSON1116031084")</f>
        <v>#NAME?</v>
      </c>
      <c r="N1818" s="8" t="e">
        <f ca="1">[1]!BexGetData("DP_1","003N8EMH8GTFRIVOG7KG9IX8U","GSON1116031084")</f>
        <v>#NAME?</v>
      </c>
      <c r="O1818" s="8" t="e">
        <f ca="1">[1]!BexGetData("DP_1","003N8EMH8GTFRIVOG7KG9J3KE","GSON1116031084")</f>
        <v>#NAME?</v>
      </c>
      <c r="P1818" s="8" t="e">
        <f ca="1">[1]!BexGetData("DP_1","003N8EMH8GTFRIVOG7KG9J9VY","GSON1116031084")</f>
        <v>#NAME?</v>
      </c>
      <c r="Q1818" s="4" t="e">
        <f ca="1">[1]!BexGetData("DP_1","00O2TNJGODT0G5Z4TTKYMM5MT","GSON1116031084")</f>
        <v>#NAME?</v>
      </c>
      <c r="R1818" s="4" t="e">
        <f ca="1">[1]!BexGetData("DP_1","00O2TNJGODT0G5Z4TTKYMMBYD","GSON1116031084")</f>
        <v>#NAME?</v>
      </c>
      <c r="S1818" s="4" t="e">
        <f ca="1">[1]!BexGetData("DP_1","00O2TNJGODT0G5Z4TTKYMMI9X","GSON1116031084")</f>
        <v>#NAME?</v>
      </c>
      <c r="T1818" s="4" t="e">
        <f ca="1">[1]!BexGetData("DP_1","00O2TNJGODT0G5Z4TTKYMMOLH","GSON1116031084")</f>
        <v>#NAME?</v>
      </c>
      <c r="U1818" s="4" t="e">
        <f ca="1">[1]!BexGetData("DP_1","00O2TNJGODT0G5Z4TTKYMMUX1","GSON1116031084")</f>
        <v>#NAME?</v>
      </c>
      <c r="V1818" s="4" t="e">
        <f ca="1">[1]!BexGetData("DP_1","00O2TNJGODT0G5Z4TTKYMN18L","GSON1116031084")</f>
        <v>#NAME?</v>
      </c>
      <c r="W1818" s="4" t="e">
        <f ca="1">[1]!BexGetData("DP_1","00O2TNJGODT0G5Z4TTKYMN7K5","GSON1116031084")</f>
        <v>#NAME?</v>
      </c>
    </row>
    <row r="1819" spans="1:23" x14ac:dyDescent="0.2">
      <c r="A1819" s="16" t="s">
        <v>4539</v>
      </c>
      <c r="B1819" s="7" t="s">
        <v>4540</v>
      </c>
      <c r="C1819" s="3" t="e">
        <f ca="1">[1]!BexGetData("DP_1","003N8EMH8GTFRCSWKMPXRR8GU","GSON1116031085")</f>
        <v>#NAME?</v>
      </c>
      <c r="D1819" s="3" t="e">
        <f ca="1">[1]!BexGetData("DP_1","003N8EMH8GTFRCSWKMPXRRESE","GSON1116031085")</f>
        <v>#NAME?</v>
      </c>
      <c r="E1819" s="8" t="e">
        <f ca="1">[1]!BexGetData("DP_1","003N8EMH8GTFRCSWKMPXRRL3Y","GSON1116031085")</f>
        <v>#NAME?</v>
      </c>
      <c r="F1819" s="4" t="e">
        <f ca="1">[1]!BexGetData("DP_1","003N8EMH8GTFRCSWKMPXRRRFI","GSON1116031085")</f>
        <v>#NAME?</v>
      </c>
      <c r="G1819" s="4" t="e">
        <f ca="1">[1]!BexGetData("DP_1","003N8EMH8GTFRCSWKMPXRRXR2","GSON1116031085")</f>
        <v>#NAME?</v>
      </c>
      <c r="H1819" s="4" t="e">
        <f ca="1">[1]!BexGetData("DP_1","003N8EMH8GTFRCSWKMPXRS42M","GSON1116031085")</f>
        <v>#NAME?</v>
      </c>
      <c r="I1819" s="4" t="e">
        <f ca="1">[1]!BexGetData("DP_1","003N8EMH8GTFRCSWKMPXRSAE6","GSON1116031085")</f>
        <v>#NAME?</v>
      </c>
      <c r="J1819" s="4" t="e">
        <f ca="1">[1]!BexGetData("DP_1","003N8EMH8GTFRCSWKMPXRSGPQ","GSON1116031085")</f>
        <v>#NAME?</v>
      </c>
      <c r="K1819" s="8" t="e">
        <f ca="1">[1]!BexGetData("DP_1","003N8EMH8GTFRIVNUPY288VJH","GSON1116031085")</f>
        <v>#NAME?</v>
      </c>
      <c r="L1819" s="8" t="e">
        <f ca="1">[1]!BexGetData("DP_1","003N8EMH8GTFRIVNUPY2891V1","GSON1116031085")</f>
        <v>#NAME?</v>
      </c>
      <c r="M1819" s="8" t="e">
        <f ca="1">[1]!BexGetData("DP_1","003N8EMH8GTFRIVOG7KG9IQXA","GSON1116031085")</f>
        <v>#NAME?</v>
      </c>
      <c r="N1819" s="8" t="e">
        <f ca="1">[1]!BexGetData("DP_1","003N8EMH8GTFRIVOG7KG9IX8U","GSON1116031085")</f>
        <v>#NAME?</v>
      </c>
      <c r="O1819" s="8" t="e">
        <f ca="1">[1]!BexGetData("DP_1","003N8EMH8GTFRIVOG7KG9J3KE","GSON1116031085")</f>
        <v>#NAME?</v>
      </c>
      <c r="P1819" s="8" t="e">
        <f ca="1">[1]!BexGetData("DP_1","003N8EMH8GTFRIVOG7KG9J9VY","GSON1116031085")</f>
        <v>#NAME?</v>
      </c>
      <c r="Q1819" s="4" t="e">
        <f ca="1">[1]!BexGetData("DP_1","00O2TNJGODT0G5Z4TTKYMM5MT","GSON1116031085")</f>
        <v>#NAME?</v>
      </c>
      <c r="R1819" s="4" t="e">
        <f ca="1">[1]!BexGetData("DP_1","00O2TNJGODT0G5Z4TTKYMMBYD","GSON1116031085")</f>
        <v>#NAME?</v>
      </c>
      <c r="S1819" s="4" t="e">
        <f ca="1">[1]!BexGetData("DP_1","00O2TNJGODT0G5Z4TTKYMMI9X","GSON1116031085")</f>
        <v>#NAME?</v>
      </c>
      <c r="T1819" s="4" t="e">
        <f ca="1">[1]!BexGetData("DP_1","00O2TNJGODT0G5Z4TTKYMMOLH","GSON1116031085")</f>
        <v>#NAME?</v>
      </c>
      <c r="U1819" s="4" t="e">
        <f ca="1">[1]!BexGetData("DP_1","00O2TNJGODT0G5Z4TTKYMMUX1","GSON1116031085")</f>
        <v>#NAME?</v>
      </c>
      <c r="V1819" s="4" t="e">
        <f ca="1">[1]!BexGetData("DP_1","00O2TNJGODT0G5Z4TTKYMN18L","GSON1116031085")</f>
        <v>#NAME?</v>
      </c>
      <c r="W1819" s="4" t="e">
        <f ca="1">[1]!BexGetData("DP_1","00O2TNJGODT0G5Z4TTKYMN7K5","GSON1116031085")</f>
        <v>#NAME?</v>
      </c>
    </row>
    <row r="1820" spans="1:23" x14ac:dyDescent="0.2">
      <c r="A1820" s="16" t="s">
        <v>4541</v>
      </c>
      <c r="B1820" s="7" t="s">
        <v>4542</v>
      </c>
      <c r="C1820" s="3" t="e">
        <f ca="1">[1]!BexGetData("DP_1","003N8EMH8GTFRCSWKMPXRR8GU","GSON1116031130")</f>
        <v>#NAME?</v>
      </c>
      <c r="D1820" s="3" t="e">
        <f ca="1">[1]!BexGetData("DP_1","003N8EMH8GTFRCSWKMPXRRESE","GSON1116031130")</f>
        <v>#NAME?</v>
      </c>
      <c r="E1820" s="8" t="e">
        <f ca="1">[1]!BexGetData("DP_1","003N8EMH8GTFRCSWKMPXRRL3Y","GSON1116031130")</f>
        <v>#NAME?</v>
      </c>
      <c r="F1820" s="4" t="e">
        <f ca="1">[1]!BexGetData("DP_1","003N8EMH8GTFRCSWKMPXRRRFI","GSON1116031130")</f>
        <v>#NAME?</v>
      </c>
      <c r="G1820" s="4" t="e">
        <f ca="1">[1]!BexGetData("DP_1","003N8EMH8GTFRCSWKMPXRRXR2","GSON1116031130")</f>
        <v>#NAME?</v>
      </c>
      <c r="H1820" s="4" t="e">
        <f ca="1">[1]!BexGetData("DP_1","003N8EMH8GTFRCSWKMPXRS42M","GSON1116031130")</f>
        <v>#NAME?</v>
      </c>
      <c r="I1820" s="4" t="e">
        <f ca="1">[1]!BexGetData("DP_1","003N8EMH8GTFRCSWKMPXRSAE6","GSON1116031130")</f>
        <v>#NAME?</v>
      </c>
      <c r="J1820" s="4" t="e">
        <f ca="1">[1]!BexGetData("DP_1","003N8EMH8GTFRCSWKMPXRSGPQ","GSON1116031130")</f>
        <v>#NAME?</v>
      </c>
      <c r="K1820" s="8" t="e">
        <f ca="1">[1]!BexGetData("DP_1","003N8EMH8GTFRIVNUPY288VJH","GSON1116031130")</f>
        <v>#NAME?</v>
      </c>
      <c r="L1820" s="8" t="e">
        <f ca="1">[1]!BexGetData("DP_1","003N8EMH8GTFRIVNUPY2891V1","GSON1116031130")</f>
        <v>#NAME?</v>
      </c>
      <c r="M1820" s="8" t="e">
        <f ca="1">[1]!BexGetData("DP_1","003N8EMH8GTFRIVOG7KG9IQXA","GSON1116031130")</f>
        <v>#NAME?</v>
      </c>
      <c r="N1820" s="8" t="e">
        <f ca="1">[1]!BexGetData("DP_1","003N8EMH8GTFRIVOG7KG9IX8U","GSON1116031130")</f>
        <v>#NAME?</v>
      </c>
      <c r="O1820" s="8" t="e">
        <f ca="1">[1]!BexGetData("DP_1","003N8EMH8GTFRIVOG7KG9J3KE","GSON1116031130")</f>
        <v>#NAME?</v>
      </c>
      <c r="P1820" s="8" t="e">
        <f ca="1">[1]!BexGetData("DP_1","003N8EMH8GTFRIVOG7KG9J9VY","GSON1116031130")</f>
        <v>#NAME?</v>
      </c>
      <c r="Q1820" s="4" t="e">
        <f ca="1">[1]!BexGetData("DP_1","00O2TNJGODT0G5Z4TTKYMM5MT","GSON1116031130")</f>
        <v>#NAME?</v>
      </c>
      <c r="R1820" s="4" t="e">
        <f ca="1">[1]!BexGetData("DP_1","00O2TNJGODT0G5Z4TTKYMMBYD","GSON1116031130")</f>
        <v>#NAME?</v>
      </c>
      <c r="S1820" s="4" t="e">
        <f ca="1">[1]!BexGetData("DP_1","00O2TNJGODT0G5Z4TTKYMMI9X","GSON1116031130")</f>
        <v>#NAME?</v>
      </c>
      <c r="T1820" s="4" t="e">
        <f ca="1">[1]!BexGetData("DP_1","00O2TNJGODT0G5Z4TTKYMMOLH","GSON1116031130")</f>
        <v>#NAME?</v>
      </c>
      <c r="U1820" s="4" t="e">
        <f ca="1">[1]!BexGetData("DP_1","00O2TNJGODT0G5Z4TTKYMMUX1","GSON1116031130")</f>
        <v>#NAME?</v>
      </c>
      <c r="V1820" s="4" t="e">
        <f ca="1">[1]!BexGetData("DP_1","00O2TNJGODT0G5Z4TTKYMN18L","GSON1116031130")</f>
        <v>#NAME?</v>
      </c>
      <c r="W1820" s="4" t="e">
        <f ca="1">[1]!BexGetData("DP_1","00O2TNJGODT0G5Z4TTKYMN7K5","GSON1116031130")</f>
        <v>#NAME?</v>
      </c>
    </row>
    <row r="1821" spans="1:23" x14ac:dyDescent="0.2">
      <c r="A1821" s="16" t="s">
        <v>4543</v>
      </c>
      <c r="B1821" s="7" t="s">
        <v>4544</v>
      </c>
      <c r="C1821" s="3" t="e">
        <f ca="1">[1]!BexGetData("DP_1","003N8EMH8GTFRCSWKMPXRR8GU","GSON1116031131")</f>
        <v>#NAME?</v>
      </c>
      <c r="D1821" s="3" t="e">
        <f ca="1">[1]!BexGetData("DP_1","003N8EMH8GTFRCSWKMPXRRESE","GSON1116031131")</f>
        <v>#NAME?</v>
      </c>
      <c r="E1821" s="8" t="e">
        <f ca="1">[1]!BexGetData("DP_1","003N8EMH8GTFRCSWKMPXRRL3Y","GSON1116031131")</f>
        <v>#NAME?</v>
      </c>
      <c r="F1821" s="4" t="e">
        <f ca="1">[1]!BexGetData("DP_1","003N8EMH8GTFRCSWKMPXRRRFI","GSON1116031131")</f>
        <v>#NAME?</v>
      </c>
      <c r="G1821" s="4" t="e">
        <f ca="1">[1]!BexGetData("DP_1","003N8EMH8GTFRCSWKMPXRRXR2","GSON1116031131")</f>
        <v>#NAME?</v>
      </c>
      <c r="H1821" s="4" t="e">
        <f ca="1">[1]!BexGetData("DP_1","003N8EMH8GTFRCSWKMPXRS42M","GSON1116031131")</f>
        <v>#NAME?</v>
      </c>
      <c r="I1821" s="4" t="e">
        <f ca="1">[1]!BexGetData("DP_1","003N8EMH8GTFRCSWKMPXRSAE6","GSON1116031131")</f>
        <v>#NAME?</v>
      </c>
      <c r="J1821" s="4" t="e">
        <f ca="1">[1]!BexGetData("DP_1","003N8EMH8GTFRCSWKMPXRSGPQ","GSON1116031131")</f>
        <v>#NAME?</v>
      </c>
      <c r="K1821" s="8" t="e">
        <f ca="1">[1]!BexGetData("DP_1","003N8EMH8GTFRIVNUPY288VJH","GSON1116031131")</f>
        <v>#NAME?</v>
      </c>
      <c r="L1821" s="8" t="e">
        <f ca="1">[1]!BexGetData("DP_1","003N8EMH8GTFRIVNUPY2891V1","GSON1116031131")</f>
        <v>#NAME?</v>
      </c>
      <c r="M1821" s="8" t="e">
        <f ca="1">[1]!BexGetData("DP_1","003N8EMH8GTFRIVOG7KG9IQXA","GSON1116031131")</f>
        <v>#NAME?</v>
      </c>
      <c r="N1821" s="8" t="e">
        <f ca="1">[1]!BexGetData("DP_1","003N8EMH8GTFRIVOG7KG9IX8U","GSON1116031131")</f>
        <v>#NAME?</v>
      </c>
      <c r="O1821" s="8" t="e">
        <f ca="1">[1]!BexGetData("DP_1","003N8EMH8GTFRIVOG7KG9J3KE","GSON1116031131")</f>
        <v>#NAME?</v>
      </c>
      <c r="P1821" s="8" t="e">
        <f ca="1">[1]!BexGetData("DP_1","003N8EMH8GTFRIVOG7KG9J9VY","GSON1116031131")</f>
        <v>#NAME?</v>
      </c>
      <c r="Q1821" s="4" t="e">
        <f ca="1">[1]!BexGetData("DP_1","00O2TNJGODT0G5Z4TTKYMM5MT","GSON1116031131")</f>
        <v>#NAME?</v>
      </c>
      <c r="R1821" s="4" t="e">
        <f ca="1">[1]!BexGetData("DP_1","00O2TNJGODT0G5Z4TTKYMMBYD","GSON1116031131")</f>
        <v>#NAME?</v>
      </c>
      <c r="S1821" s="4" t="e">
        <f ca="1">[1]!BexGetData("DP_1","00O2TNJGODT0G5Z4TTKYMMI9X","GSON1116031131")</f>
        <v>#NAME?</v>
      </c>
      <c r="T1821" s="4" t="e">
        <f ca="1">[1]!BexGetData("DP_1","00O2TNJGODT0G5Z4TTKYMMOLH","GSON1116031131")</f>
        <v>#NAME?</v>
      </c>
      <c r="U1821" s="4" t="e">
        <f ca="1">[1]!BexGetData("DP_1","00O2TNJGODT0G5Z4TTKYMMUX1","GSON1116031131")</f>
        <v>#NAME?</v>
      </c>
      <c r="V1821" s="4" t="e">
        <f ca="1">[1]!BexGetData("DP_1","00O2TNJGODT0G5Z4TTKYMN18L","GSON1116031131")</f>
        <v>#NAME?</v>
      </c>
      <c r="W1821" s="4" t="e">
        <f ca="1">[1]!BexGetData("DP_1","00O2TNJGODT0G5Z4TTKYMN7K5","GSON1116031131")</f>
        <v>#NAME?</v>
      </c>
    </row>
    <row r="1822" spans="1:23" x14ac:dyDescent="0.2">
      <c r="A1822" s="16" t="s">
        <v>4545</v>
      </c>
      <c r="B1822" s="7" t="s">
        <v>4546</v>
      </c>
      <c r="C1822" s="3" t="e">
        <f ca="1">[1]!BexGetData("DP_1","003N8EMH8GTFRCSWKMPXRR8GU","GSON1116031133")</f>
        <v>#NAME?</v>
      </c>
      <c r="D1822" s="3" t="e">
        <f ca="1">[1]!BexGetData("DP_1","003N8EMH8GTFRCSWKMPXRRESE","GSON1116031133")</f>
        <v>#NAME?</v>
      </c>
      <c r="E1822" s="8" t="e">
        <f ca="1">[1]!BexGetData("DP_1","003N8EMH8GTFRCSWKMPXRRL3Y","GSON1116031133")</f>
        <v>#NAME?</v>
      </c>
      <c r="F1822" s="4" t="e">
        <f ca="1">[1]!BexGetData("DP_1","003N8EMH8GTFRCSWKMPXRRRFI","GSON1116031133")</f>
        <v>#NAME?</v>
      </c>
      <c r="G1822" s="4" t="e">
        <f ca="1">[1]!BexGetData("DP_1","003N8EMH8GTFRCSWKMPXRRXR2","GSON1116031133")</f>
        <v>#NAME?</v>
      </c>
      <c r="H1822" s="4" t="e">
        <f ca="1">[1]!BexGetData("DP_1","003N8EMH8GTFRCSWKMPXRS42M","GSON1116031133")</f>
        <v>#NAME?</v>
      </c>
      <c r="I1822" s="4" t="e">
        <f ca="1">[1]!BexGetData("DP_1","003N8EMH8GTFRCSWKMPXRSAE6","GSON1116031133")</f>
        <v>#NAME?</v>
      </c>
      <c r="J1822" s="4" t="e">
        <f ca="1">[1]!BexGetData("DP_1","003N8EMH8GTFRCSWKMPXRSGPQ","GSON1116031133")</f>
        <v>#NAME?</v>
      </c>
      <c r="K1822" s="8" t="e">
        <f ca="1">[1]!BexGetData("DP_1","003N8EMH8GTFRIVNUPY288VJH","GSON1116031133")</f>
        <v>#NAME?</v>
      </c>
      <c r="L1822" s="8" t="e">
        <f ca="1">[1]!BexGetData("DP_1","003N8EMH8GTFRIVNUPY2891V1","GSON1116031133")</f>
        <v>#NAME?</v>
      </c>
      <c r="M1822" s="8" t="e">
        <f ca="1">[1]!BexGetData("DP_1","003N8EMH8GTFRIVOG7KG9IQXA","GSON1116031133")</f>
        <v>#NAME?</v>
      </c>
      <c r="N1822" s="8" t="e">
        <f ca="1">[1]!BexGetData("DP_1","003N8EMH8GTFRIVOG7KG9IX8U","GSON1116031133")</f>
        <v>#NAME?</v>
      </c>
      <c r="O1822" s="8" t="e">
        <f ca="1">[1]!BexGetData("DP_1","003N8EMH8GTFRIVOG7KG9J3KE","GSON1116031133")</f>
        <v>#NAME?</v>
      </c>
      <c r="P1822" s="8" t="e">
        <f ca="1">[1]!BexGetData("DP_1","003N8EMH8GTFRIVOG7KG9J9VY","GSON1116031133")</f>
        <v>#NAME?</v>
      </c>
      <c r="Q1822" s="4" t="e">
        <f ca="1">[1]!BexGetData("DP_1","00O2TNJGODT0G5Z4TTKYMM5MT","GSON1116031133")</f>
        <v>#NAME?</v>
      </c>
      <c r="R1822" s="4" t="e">
        <f ca="1">[1]!BexGetData("DP_1","00O2TNJGODT0G5Z4TTKYMMBYD","GSON1116031133")</f>
        <v>#NAME?</v>
      </c>
      <c r="S1822" s="4" t="e">
        <f ca="1">[1]!BexGetData("DP_1","00O2TNJGODT0G5Z4TTKYMMI9X","GSON1116031133")</f>
        <v>#NAME?</v>
      </c>
      <c r="T1822" s="4" t="e">
        <f ca="1">[1]!BexGetData("DP_1","00O2TNJGODT0G5Z4TTKYMMOLH","GSON1116031133")</f>
        <v>#NAME?</v>
      </c>
      <c r="U1822" s="4" t="e">
        <f ca="1">[1]!BexGetData("DP_1","00O2TNJGODT0G5Z4TTKYMMUX1","GSON1116031133")</f>
        <v>#NAME?</v>
      </c>
      <c r="V1822" s="4" t="e">
        <f ca="1">[1]!BexGetData("DP_1","00O2TNJGODT0G5Z4TTKYMN18L","GSON1116031133")</f>
        <v>#NAME?</v>
      </c>
      <c r="W1822" s="4" t="e">
        <f ca="1">[1]!BexGetData("DP_1","00O2TNJGODT0G5Z4TTKYMN7K5","GSON1116031133")</f>
        <v>#NAME?</v>
      </c>
    </row>
    <row r="1823" spans="1:23" x14ac:dyDescent="0.2">
      <c r="A1823" s="16" t="s">
        <v>4547</v>
      </c>
      <c r="B1823" s="7" t="s">
        <v>4548</v>
      </c>
      <c r="C1823" s="3" t="e">
        <f ca="1">[1]!BexGetData("DP_1","003N8EMH8GTFRCSWKMPXRR8GU","GSON1116031135")</f>
        <v>#NAME?</v>
      </c>
      <c r="D1823" s="3" t="e">
        <f ca="1">[1]!BexGetData("DP_1","003N8EMH8GTFRCSWKMPXRRESE","GSON1116031135")</f>
        <v>#NAME?</v>
      </c>
      <c r="E1823" s="8" t="e">
        <f ca="1">[1]!BexGetData("DP_1","003N8EMH8GTFRCSWKMPXRRL3Y","GSON1116031135")</f>
        <v>#NAME?</v>
      </c>
      <c r="F1823" s="4" t="e">
        <f ca="1">[1]!BexGetData("DP_1","003N8EMH8GTFRCSWKMPXRRRFI","GSON1116031135")</f>
        <v>#NAME?</v>
      </c>
      <c r="G1823" s="4" t="e">
        <f ca="1">[1]!BexGetData("DP_1","003N8EMH8GTFRCSWKMPXRRXR2","GSON1116031135")</f>
        <v>#NAME?</v>
      </c>
      <c r="H1823" s="4" t="e">
        <f ca="1">[1]!BexGetData("DP_1","003N8EMH8GTFRCSWKMPXRS42M","GSON1116031135")</f>
        <v>#NAME?</v>
      </c>
      <c r="I1823" s="4" t="e">
        <f ca="1">[1]!BexGetData("DP_1","003N8EMH8GTFRCSWKMPXRSAE6","GSON1116031135")</f>
        <v>#NAME?</v>
      </c>
      <c r="J1823" s="4" t="e">
        <f ca="1">[1]!BexGetData("DP_1","003N8EMH8GTFRCSWKMPXRSGPQ","GSON1116031135")</f>
        <v>#NAME?</v>
      </c>
      <c r="K1823" s="8" t="e">
        <f ca="1">[1]!BexGetData("DP_1","003N8EMH8GTFRIVNUPY288VJH","GSON1116031135")</f>
        <v>#NAME?</v>
      </c>
      <c r="L1823" s="8" t="e">
        <f ca="1">[1]!BexGetData("DP_1","003N8EMH8GTFRIVNUPY2891V1","GSON1116031135")</f>
        <v>#NAME?</v>
      </c>
      <c r="M1823" s="8" t="e">
        <f ca="1">[1]!BexGetData("DP_1","003N8EMH8GTFRIVOG7KG9IQXA","GSON1116031135")</f>
        <v>#NAME?</v>
      </c>
      <c r="N1823" s="8" t="e">
        <f ca="1">[1]!BexGetData("DP_1","003N8EMH8GTFRIVOG7KG9IX8U","GSON1116031135")</f>
        <v>#NAME?</v>
      </c>
      <c r="O1823" s="8" t="e">
        <f ca="1">[1]!BexGetData("DP_1","003N8EMH8GTFRIVOG7KG9J3KE","GSON1116031135")</f>
        <v>#NAME?</v>
      </c>
      <c r="P1823" s="8" t="e">
        <f ca="1">[1]!BexGetData("DP_1","003N8EMH8GTFRIVOG7KG9J9VY","GSON1116031135")</f>
        <v>#NAME?</v>
      </c>
      <c r="Q1823" s="4" t="e">
        <f ca="1">[1]!BexGetData("DP_1","00O2TNJGODT0G5Z4TTKYMM5MT","GSON1116031135")</f>
        <v>#NAME?</v>
      </c>
      <c r="R1823" s="4" t="e">
        <f ca="1">[1]!BexGetData("DP_1","00O2TNJGODT0G5Z4TTKYMMBYD","GSON1116031135")</f>
        <v>#NAME?</v>
      </c>
      <c r="S1823" s="4" t="e">
        <f ca="1">[1]!BexGetData("DP_1","00O2TNJGODT0G5Z4TTKYMMI9X","GSON1116031135")</f>
        <v>#NAME?</v>
      </c>
      <c r="T1823" s="4" t="e">
        <f ca="1">[1]!BexGetData("DP_1","00O2TNJGODT0G5Z4TTKYMMOLH","GSON1116031135")</f>
        <v>#NAME?</v>
      </c>
      <c r="U1823" s="4" t="e">
        <f ca="1">[1]!BexGetData("DP_1","00O2TNJGODT0G5Z4TTKYMMUX1","GSON1116031135")</f>
        <v>#NAME?</v>
      </c>
      <c r="V1823" s="4" t="e">
        <f ca="1">[1]!BexGetData("DP_1","00O2TNJGODT0G5Z4TTKYMN18L","GSON1116031135")</f>
        <v>#NAME?</v>
      </c>
      <c r="W1823" s="4" t="e">
        <f ca="1">[1]!BexGetData("DP_1","00O2TNJGODT0G5Z4TTKYMN7K5","GSON1116031135")</f>
        <v>#NAME?</v>
      </c>
    </row>
    <row r="1824" spans="1:23" x14ac:dyDescent="0.2">
      <c r="A1824" s="16" t="s">
        <v>4549</v>
      </c>
      <c r="B1824" s="7" t="s">
        <v>4550</v>
      </c>
      <c r="C1824" s="3" t="e">
        <f ca="1">[1]!BexGetData("DP_1","003N8EMH8GTFRCSWKMPXRR8GU","GSON1116060930")</f>
        <v>#NAME?</v>
      </c>
      <c r="D1824" s="3" t="e">
        <f ca="1">[1]!BexGetData("DP_1","003N8EMH8GTFRCSWKMPXRRESE","GSON1116060930")</f>
        <v>#NAME?</v>
      </c>
      <c r="E1824" s="3" t="e">
        <f ca="1">[1]!BexGetData("DP_1","003N8EMH8GTFRCSWKMPXRRL3Y","GSON1116060930")</f>
        <v>#NAME?</v>
      </c>
      <c r="F1824" s="4" t="e">
        <f ca="1">[1]!BexGetData("DP_1","003N8EMH8GTFRCSWKMPXRRRFI","GSON1116060930")</f>
        <v>#NAME?</v>
      </c>
      <c r="G1824" s="4" t="e">
        <f ca="1">[1]!BexGetData("DP_1","003N8EMH8GTFRCSWKMPXRRXR2","GSON1116060930")</f>
        <v>#NAME?</v>
      </c>
      <c r="H1824" s="4" t="e">
        <f ca="1">[1]!BexGetData("DP_1","003N8EMH8GTFRCSWKMPXRS42M","GSON1116060930")</f>
        <v>#NAME?</v>
      </c>
      <c r="I1824" s="4" t="e">
        <f ca="1">[1]!BexGetData("DP_1","003N8EMH8GTFRCSWKMPXRSAE6","GSON1116060930")</f>
        <v>#NAME?</v>
      </c>
      <c r="J1824" s="4" t="e">
        <f ca="1">[1]!BexGetData("DP_1","003N8EMH8GTFRCSWKMPXRSGPQ","GSON1116060930")</f>
        <v>#NAME?</v>
      </c>
      <c r="K1824" s="3" t="e">
        <f ca="1">[1]!BexGetData("DP_1","003N8EMH8GTFRIVNUPY288VJH","GSON1116060930")</f>
        <v>#NAME?</v>
      </c>
      <c r="L1824" s="3" t="e">
        <f ca="1">[1]!BexGetData("DP_1","003N8EMH8GTFRIVNUPY2891V1","GSON1116060930")</f>
        <v>#NAME?</v>
      </c>
      <c r="M1824" s="8" t="e">
        <f ca="1">[1]!BexGetData("DP_1","003N8EMH8GTFRIVOG7KG9IQXA","GSON1116060930")</f>
        <v>#NAME?</v>
      </c>
      <c r="N1824" s="3" t="e">
        <f ca="1">[1]!BexGetData("DP_1","003N8EMH8GTFRIVOG7KG9IX8U","GSON1116060930")</f>
        <v>#NAME?</v>
      </c>
      <c r="O1824" s="8" t="e">
        <f ca="1">[1]!BexGetData("DP_1","003N8EMH8GTFRIVOG7KG9J3KE","GSON1116060930")</f>
        <v>#NAME?</v>
      </c>
      <c r="P1824" s="3" t="e">
        <f ca="1">[1]!BexGetData("DP_1","003N8EMH8GTFRIVOG7KG9J9VY","GSON1116060930")</f>
        <v>#NAME?</v>
      </c>
      <c r="Q1824" s="4" t="e">
        <f ca="1">[1]!BexGetData("DP_1","00O2TNJGODT0G5Z4TTKYMM5MT","GSON1116060930")</f>
        <v>#NAME?</v>
      </c>
      <c r="R1824" s="4" t="e">
        <f ca="1">[1]!BexGetData("DP_1","00O2TNJGODT0G5Z4TTKYMMBYD","GSON1116060930")</f>
        <v>#NAME?</v>
      </c>
      <c r="S1824" s="4" t="e">
        <f ca="1">[1]!BexGetData("DP_1","00O2TNJGODT0G5Z4TTKYMMI9X","GSON1116060930")</f>
        <v>#NAME?</v>
      </c>
      <c r="T1824" s="4" t="e">
        <f ca="1">[1]!BexGetData("DP_1","00O2TNJGODT0G5Z4TTKYMMOLH","GSON1116060930")</f>
        <v>#NAME?</v>
      </c>
      <c r="U1824" s="4" t="e">
        <f ca="1">[1]!BexGetData("DP_1","00O2TNJGODT0G5Z4TTKYMMUX1","GSON1116060930")</f>
        <v>#NAME?</v>
      </c>
      <c r="V1824" s="4" t="e">
        <f ca="1">[1]!BexGetData("DP_1","00O2TNJGODT0G5Z4TTKYMN18L","GSON1116060930")</f>
        <v>#NAME?</v>
      </c>
      <c r="W1824" s="4" t="e">
        <f ca="1">[1]!BexGetData("DP_1","00O2TNJGODT0G5Z4TTKYMN7K5","GSON1116060930")</f>
        <v>#NAME?</v>
      </c>
    </row>
    <row r="1825" spans="1:23" x14ac:dyDescent="0.2">
      <c r="A1825" s="16" t="s">
        <v>4551</v>
      </c>
      <c r="B1825" s="7" t="s">
        <v>4552</v>
      </c>
      <c r="C1825" s="3" t="e">
        <f ca="1">[1]!BexGetData("DP_1","003N8EMH8GTFRCSWKMPXRR8GU","GSON1116060931")</f>
        <v>#NAME?</v>
      </c>
      <c r="D1825" s="3" t="e">
        <f ca="1">[1]!BexGetData("DP_1","003N8EMH8GTFRCSWKMPXRRESE","GSON1116060931")</f>
        <v>#NAME?</v>
      </c>
      <c r="E1825" s="8" t="e">
        <f ca="1">[1]!BexGetData("DP_1","003N8EMH8GTFRCSWKMPXRRL3Y","GSON1116060931")</f>
        <v>#NAME?</v>
      </c>
      <c r="F1825" s="4" t="e">
        <f ca="1">[1]!BexGetData("DP_1","003N8EMH8GTFRCSWKMPXRRRFI","GSON1116060931")</f>
        <v>#NAME?</v>
      </c>
      <c r="G1825" s="4" t="e">
        <f ca="1">[1]!BexGetData("DP_1","003N8EMH8GTFRCSWKMPXRRXR2","GSON1116060931")</f>
        <v>#NAME?</v>
      </c>
      <c r="H1825" s="4" t="e">
        <f ca="1">[1]!BexGetData("DP_1","003N8EMH8GTFRCSWKMPXRS42M","GSON1116060931")</f>
        <v>#NAME?</v>
      </c>
      <c r="I1825" s="4" t="e">
        <f ca="1">[1]!BexGetData("DP_1","003N8EMH8GTFRCSWKMPXRSAE6","GSON1116060931")</f>
        <v>#NAME?</v>
      </c>
      <c r="J1825" s="4" t="e">
        <f ca="1">[1]!BexGetData("DP_1","003N8EMH8GTFRCSWKMPXRSGPQ","GSON1116060931")</f>
        <v>#NAME?</v>
      </c>
      <c r="K1825" s="8" t="e">
        <f ca="1">[1]!BexGetData("DP_1","003N8EMH8GTFRIVNUPY288VJH","GSON1116060931")</f>
        <v>#NAME?</v>
      </c>
      <c r="L1825" s="8" t="e">
        <f ca="1">[1]!BexGetData("DP_1","003N8EMH8GTFRIVNUPY2891V1","GSON1116060931")</f>
        <v>#NAME?</v>
      </c>
      <c r="M1825" s="8" t="e">
        <f ca="1">[1]!BexGetData("DP_1","003N8EMH8GTFRIVOG7KG9IQXA","GSON1116060931")</f>
        <v>#NAME?</v>
      </c>
      <c r="N1825" s="8" t="e">
        <f ca="1">[1]!BexGetData("DP_1","003N8EMH8GTFRIVOG7KG9IX8U","GSON1116060931")</f>
        <v>#NAME?</v>
      </c>
      <c r="O1825" s="8" t="e">
        <f ca="1">[1]!BexGetData("DP_1","003N8EMH8GTFRIVOG7KG9J3KE","GSON1116060931")</f>
        <v>#NAME?</v>
      </c>
      <c r="P1825" s="8" t="e">
        <f ca="1">[1]!BexGetData("DP_1","003N8EMH8GTFRIVOG7KG9J9VY","GSON1116060931")</f>
        <v>#NAME?</v>
      </c>
      <c r="Q1825" s="4" t="e">
        <f ca="1">[1]!BexGetData("DP_1","00O2TNJGODT0G5Z4TTKYMM5MT","GSON1116060931")</f>
        <v>#NAME?</v>
      </c>
      <c r="R1825" s="4" t="e">
        <f ca="1">[1]!BexGetData("DP_1","00O2TNJGODT0G5Z4TTKYMMBYD","GSON1116060931")</f>
        <v>#NAME?</v>
      </c>
      <c r="S1825" s="4" t="e">
        <f ca="1">[1]!BexGetData("DP_1","00O2TNJGODT0G5Z4TTKYMMI9X","GSON1116060931")</f>
        <v>#NAME?</v>
      </c>
      <c r="T1825" s="4" t="e">
        <f ca="1">[1]!BexGetData("DP_1","00O2TNJGODT0G5Z4TTKYMMOLH","GSON1116060931")</f>
        <v>#NAME?</v>
      </c>
      <c r="U1825" s="4" t="e">
        <f ca="1">[1]!BexGetData("DP_1","00O2TNJGODT0G5Z4TTKYMMUX1","GSON1116060931")</f>
        <v>#NAME?</v>
      </c>
      <c r="V1825" s="4" t="e">
        <f ca="1">[1]!BexGetData("DP_1","00O2TNJGODT0G5Z4TTKYMN18L","GSON1116060931")</f>
        <v>#NAME?</v>
      </c>
      <c r="W1825" s="4" t="e">
        <f ca="1">[1]!BexGetData("DP_1","00O2TNJGODT0G5Z4TTKYMN7K5","GSON1116060931")</f>
        <v>#NAME?</v>
      </c>
    </row>
    <row r="1826" spans="1:23" x14ac:dyDescent="0.2">
      <c r="A1826" s="16" t="s">
        <v>4553</v>
      </c>
      <c r="B1826" s="7" t="s">
        <v>4554</v>
      </c>
      <c r="C1826" s="3" t="e">
        <f ca="1">[1]!BexGetData("DP_1","003N8EMH8GTFRCSWKMPXRR8GU","GSON1116060933")</f>
        <v>#NAME?</v>
      </c>
      <c r="D1826" s="3" t="e">
        <f ca="1">[1]!BexGetData("DP_1","003N8EMH8GTFRCSWKMPXRRESE","GSON1116060933")</f>
        <v>#NAME?</v>
      </c>
      <c r="E1826" s="8" t="e">
        <f ca="1">[1]!BexGetData("DP_1","003N8EMH8GTFRCSWKMPXRRL3Y","GSON1116060933")</f>
        <v>#NAME?</v>
      </c>
      <c r="F1826" s="4" t="e">
        <f ca="1">[1]!BexGetData("DP_1","003N8EMH8GTFRCSWKMPXRRRFI","GSON1116060933")</f>
        <v>#NAME?</v>
      </c>
      <c r="G1826" s="4" t="e">
        <f ca="1">[1]!BexGetData("DP_1","003N8EMH8GTFRCSWKMPXRRXR2","GSON1116060933")</f>
        <v>#NAME?</v>
      </c>
      <c r="H1826" s="4" t="e">
        <f ca="1">[1]!BexGetData("DP_1","003N8EMH8GTFRCSWKMPXRS42M","GSON1116060933")</f>
        <v>#NAME?</v>
      </c>
      <c r="I1826" s="4" t="e">
        <f ca="1">[1]!BexGetData("DP_1","003N8EMH8GTFRCSWKMPXRSAE6","GSON1116060933")</f>
        <v>#NAME?</v>
      </c>
      <c r="J1826" s="4" t="e">
        <f ca="1">[1]!BexGetData("DP_1","003N8EMH8GTFRCSWKMPXRSGPQ","GSON1116060933")</f>
        <v>#NAME?</v>
      </c>
      <c r="K1826" s="8" t="e">
        <f ca="1">[1]!BexGetData("DP_1","003N8EMH8GTFRIVNUPY288VJH","GSON1116060933")</f>
        <v>#NAME?</v>
      </c>
      <c r="L1826" s="8" t="e">
        <f ca="1">[1]!BexGetData("DP_1","003N8EMH8GTFRIVNUPY2891V1","GSON1116060933")</f>
        <v>#NAME?</v>
      </c>
      <c r="M1826" s="8" t="e">
        <f ca="1">[1]!BexGetData("DP_1","003N8EMH8GTFRIVOG7KG9IQXA","GSON1116060933")</f>
        <v>#NAME?</v>
      </c>
      <c r="N1826" s="8" t="e">
        <f ca="1">[1]!BexGetData("DP_1","003N8EMH8GTFRIVOG7KG9IX8U","GSON1116060933")</f>
        <v>#NAME?</v>
      </c>
      <c r="O1826" s="8" t="e">
        <f ca="1">[1]!BexGetData("DP_1","003N8EMH8GTFRIVOG7KG9J3KE","GSON1116060933")</f>
        <v>#NAME?</v>
      </c>
      <c r="P1826" s="8" t="e">
        <f ca="1">[1]!BexGetData("DP_1","003N8EMH8GTFRIVOG7KG9J9VY","GSON1116060933")</f>
        <v>#NAME?</v>
      </c>
      <c r="Q1826" s="4" t="e">
        <f ca="1">[1]!BexGetData("DP_1","00O2TNJGODT0G5Z4TTKYMM5MT","GSON1116060933")</f>
        <v>#NAME?</v>
      </c>
      <c r="R1826" s="4" t="e">
        <f ca="1">[1]!BexGetData("DP_1","00O2TNJGODT0G5Z4TTKYMMBYD","GSON1116060933")</f>
        <v>#NAME?</v>
      </c>
      <c r="S1826" s="4" t="e">
        <f ca="1">[1]!BexGetData("DP_1","00O2TNJGODT0G5Z4TTKYMMI9X","GSON1116060933")</f>
        <v>#NAME?</v>
      </c>
      <c r="T1826" s="4" t="e">
        <f ca="1">[1]!BexGetData("DP_1","00O2TNJGODT0G5Z4TTKYMMOLH","GSON1116060933")</f>
        <v>#NAME?</v>
      </c>
      <c r="U1826" s="4" t="e">
        <f ca="1">[1]!BexGetData("DP_1","00O2TNJGODT0G5Z4TTKYMMUX1","GSON1116060933")</f>
        <v>#NAME?</v>
      </c>
      <c r="V1826" s="4" t="e">
        <f ca="1">[1]!BexGetData("DP_1","00O2TNJGODT0G5Z4TTKYMN18L","GSON1116060933")</f>
        <v>#NAME?</v>
      </c>
      <c r="W1826" s="4" t="e">
        <f ca="1">[1]!BexGetData("DP_1","00O2TNJGODT0G5Z4TTKYMN7K5","GSON1116060933")</f>
        <v>#NAME?</v>
      </c>
    </row>
    <row r="1827" spans="1:23" x14ac:dyDescent="0.2">
      <c r="A1827" s="16" t="s">
        <v>4555</v>
      </c>
      <c r="B1827" s="7" t="s">
        <v>4556</v>
      </c>
      <c r="C1827" s="3" t="e">
        <f ca="1">[1]!BexGetData("DP_1","003N8EMH8GTFRCSWKMPXRR8GU","GSON1116060934")</f>
        <v>#NAME?</v>
      </c>
      <c r="D1827" s="3" t="e">
        <f ca="1">[1]!BexGetData("DP_1","003N8EMH8GTFRCSWKMPXRRESE","GSON1116060934")</f>
        <v>#NAME?</v>
      </c>
      <c r="E1827" s="8" t="e">
        <f ca="1">[1]!BexGetData("DP_1","003N8EMH8GTFRCSWKMPXRRL3Y","GSON1116060934")</f>
        <v>#NAME?</v>
      </c>
      <c r="F1827" s="4" t="e">
        <f ca="1">[1]!BexGetData("DP_1","003N8EMH8GTFRCSWKMPXRRRFI","GSON1116060934")</f>
        <v>#NAME?</v>
      </c>
      <c r="G1827" s="4" t="e">
        <f ca="1">[1]!BexGetData("DP_1","003N8EMH8GTFRCSWKMPXRRXR2","GSON1116060934")</f>
        <v>#NAME?</v>
      </c>
      <c r="H1827" s="4" t="e">
        <f ca="1">[1]!BexGetData("DP_1","003N8EMH8GTFRCSWKMPXRS42M","GSON1116060934")</f>
        <v>#NAME?</v>
      </c>
      <c r="I1827" s="4" t="e">
        <f ca="1">[1]!BexGetData("DP_1","003N8EMH8GTFRCSWKMPXRSAE6","GSON1116060934")</f>
        <v>#NAME?</v>
      </c>
      <c r="J1827" s="4" t="e">
        <f ca="1">[1]!BexGetData("DP_1","003N8EMH8GTFRCSWKMPXRSGPQ","GSON1116060934")</f>
        <v>#NAME?</v>
      </c>
      <c r="K1827" s="8" t="e">
        <f ca="1">[1]!BexGetData("DP_1","003N8EMH8GTFRIVNUPY288VJH","GSON1116060934")</f>
        <v>#NAME?</v>
      </c>
      <c r="L1827" s="8" t="e">
        <f ca="1">[1]!BexGetData("DP_1","003N8EMH8GTFRIVNUPY2891V1","GSON1116060934")</f>
        <v>#NAME?</v>
      </c>
      <c r="M1827" s="8" t="e">
        <f ca="1">[1]!BexGetData("DP_1","003N8EMH8GTFRIVOG7KG9IQXA","GSON1116060934")</f>
        <v>#NAME?</v>
      </c>
      <c r="N1827" s="8" t="e">
        <f ca="1">[1]!BexGetData("DP_1","003N8EMH8GTFRIVOG7KG9IX8U","GSON1116060934")</f>
        <v>#NAME?</v>
      </c>
      <c r="O1827" s="8" t="e">
        <f ca="1">[1]!BexGetData("DP_1","003N8EMH8GTFRIVOG7KG9J3KE","GSON1116060934")</f>
        <v>#NAME?</v>
      </c>
      <c r="P1827" s="8" t="e">
        <f ca="1">[1]!BexGetData("DP_1","003N8EMH8GTFRIVOG7KG9J9VY","GSON1116060934")</f>
        <v>#NAME?</v>
      </c>
      <c r="Q1827" s="4" t="e">
        <f ca="1">[1]!BexGetData("DP_1","00O2TNJGODT0G5Z4TTKYMM5MT","GSON1116060934")</f>
        <v>#NAME?</v>
      </c>
      <c r="R1827" s="4" t="e">
        <f ca="1">[1]!BexGetData("DP_1","00O2TNJGODT0G5Z4TTKYMMBYD","GSON1116060934")</f>
        <v>#NAME?</v>
      </c>
      <c r="S1827" s="4" t="e">
        <f ca="1">[1]!BexGetData("DP_1","00O2TNJGODT0G5Z4TTKYMMI9X","GSON1116060934")</f>
        <v>#NAME?</v>
      </c>
      <c r="T1827" s="4" t="e">
        <f ca="1">[1]!BexGetData("DP_1","00O2TNJGODT0G5Z4TTKYMMOLH","GSON1116060934")</f>
        <v>#NAME?</v>
      </c>
      <c r="U1827" s="4" t="e">
        <f ca="1">[1]!BexGetData("DP_1","00O2TNJGODT0G5Z4TTKYMMUX1","GSON1116060934")</f>
        <v>#NAME?</v>
      </c>
      <c r="V1827" s="4" t="e">
        <f ca="1">[1]!BexGetData("DP_1","00O2TNJGODT0G5Z4TTKYMN18L","GSON1116060934")</f>
        <v>#NAME?</v>
      </c>
      <c r="W1827" s="4" t="e">
        <f ca="1">[1]!BexGetData("DP_1","00O2TNJGODT0G5Z4TTKYMN7K5","GSON1116060934")</f>
        <v>#NAME?</v>
      </c>
    </row>
    <row r="1828" spans="1:23" x14ac:dyDescent="0.2">
      <c r="A1828" s="16" t="s">
        <v>4557</v>
      </c>
      <c r="B1828" s="7" t="s">
        <v>4558</v>
      </c>
      <c r="C1828" s="3" t="e">
        <f ca="1">[1]!BexGetData("DP_1","003N8EMH8GTFRCSWKMPXRR8GU","GSON1116060935")</f>
        <v>#NAME?</v>
      </c>
      <c r="D1828" s="3" t="e">
        <f ca="1">[1]!BexGetData("DP_1","003N8EMH8GTFRCSWKMPXRRESE","GSON1116060935")</f>
        <v>#NAME?</v>
      </c>
      <c r="E1828" s="8" t="e">
        <f ca="1">[1]!BexGetData("DP_1","003N8EMH8GTFRCSWKMPXRRL3Y","GSON1116060935")</f>
        <v>#NAME?</v>
      </c>
      <c r="F1828" s="4" t="e">
        <f ca="1">[1]!BexGetData("DP_1","003N8EMH8GTFRCSWKMPXRRRFI","GSON1116060935")</f>
        <v>#NAME?</v>
      </c>
      <c r="G1828" s="4" t="e">
        <f ca="1">[1]!BexGetData("DP_1","003N8EMH8GTFRCSWKMPXRRXR2","GSON1116060935")</f>
        <v>#NAME?</v>
      </c>
      <c r="H1828" s="4" t="e">
        <f ca="1">[1]!BexGetData("DP_1","003N8EMH8GTFRCSWKMPXRS42M","GSON1116060935")</f>
        <v>#NAME?</v>
      </c>
      <c r="I1828" s="4" t="e">
        <f ca="1">[1]!BexGetData("DP_1","003N8EMH8GTFRCSWKMPXRSAE6","GSON1116060935")</f>
        <v>#NAME?</v>
      </c>
      <c r="J1828" s="4" t="e">
        <f ca="1">[1]!BexGetData("DP_1","003N8EMH8GTFRCSWKMPXRSGPQ","GSON1116060935")</f>
        <v>#NAME?</v>
      </c>
      <c r="K1828" s="8" t="e">
        <f ca="1">[1]!BexGetData("DP_1","003N8EMH8GTFRIVNUPY288VJH","GSON1116060935")</f>
        <v>#NAME?</v>
      </c>
      <c r="L1828" s="8" t="e">
        <f ca="1">[1]!BexGetData("DP_1","003N8EMH8GTFRIVNUPY2891V1","GSON1116060935")</f>
        <v>#NAME?</v>
      </c>
      <c r="M1828" s="8" t="e">
        <f ca="1">[1]!BexGetData("DP_1","003N8EMH8GTFRIVOG7KG9IQXA","GSON1116060935")</f>
        <v>#NAME?</v>
      </c>
      <c r="N1828" s="8" t="e">
        <f ca="1">[1]!BexGetData("DP_1","003N8EMH8GTFRIVOG7KG9IX8U","GSON1116060935")</f>
        <v>#NAME?</v>
      </c>
      <c r="O1828" s="8" t="e">
        <f ca="1">[1]!BexGetData("DP_1","003N8EMH8GTFRIVOG7KG9J3KE","GSON1116060935")</f>
        <v>#NAME?</v>
      </c>
      <c r="P1828" s="8" t="e">
        <f ca="1">[1]!BexGetData("DP_1","003N8EMH8GTFRIVOG7KG9J9VY","GSON1116060935")</f>
        <v>#NAME?</v>
      </c>
      <c r="Q1828" s="4" t="e">
        <f ca="1">[1]!BexGetData("DP_1","00O2TNJGODT0G5Z4TTKYMM5MT","GSON1116060935")</f>
        <v>#NAME?</v>
      </c>
      <c r="R1828" s="4" t="e">
        <f ca="1">[1]!BexGetData("DP_1","00O2TNJGODT0G5Z4TTKYMMBYD","GSON1116060935")</f>
        <v>#NAME?</v>
      </c>
      <c r="S1828" s="4" t="e">
        <f ca="1">[1]!BexGetData("DP_1","00O2TNJGODT0G5Z4TTKYMMI9X","GSON1116060935")</f>
        <v>#NAME?</v>
      </c>
      <c r="T1828" s="4" t="e">
        <f ca="1">[1]!BexGetData("DP_1","00O2TNJGODT0G5Z4TTKYMMOLH","GSON1116060935")</f>
        <v>#NAME?</v>
      </c>
      <c r="U1828" s="4" t="e">
        <f ca="1">[1]!BexGetData("DP_1","00O2TNJGODT0G5Z4TTKYMMUX1","GSON1116060935")</f>
        <v>#NAME?</v>
      </c>
      <c r="V1828" s="4" t="e">
        <f ca="1">[1]!BexGetData("DP_1","00O2TNJGODT0G5Z4TTKYMN18L","GSON1116060935")</f>
        <v>#NAME?</v>
      </c>
      <c r="W1828" s="4" t="e">
        <f ca="1">[1]!BexGetData("DP_1","00O2TNJGODT0G5Z4TTKYMN7K5","GSON1116060935")</f>
        <v>#NAME?</v>
      </c>
    </row>
    <row r="1829" spans="1:23" x14ac:dyDescent="0.2">
      <c r="A1829" s="16" t="s">
        <v>1208</v>
      </c>
      <c r="B1829" s="7" t="s">
        <v>1209</v>
      </c>
      <c r="C1829" s="3" t="e">
        <f ca="1">[1]!BexGetData("DP_1","003N8EMH8GTFRCSWKMPXRR8GU","GSON1116150010")</f>
        <v>#NAME?</v>
      </c>
      <c r="D1829" s="3" t="e">
        <f ca="1">[1]!BexGetData("DP_1","003N8EMH8GTFRCSWKMPXRRESE","GSON1116150010")</f>
        <v>#NAME?</v>
      </c>
      <c r="E1829" s="3" t="e">
        <f ca="1">[1]!BexGetData("DP_1","003N8EMH8GTFRCSWKMPXRRL3Y","GSON1116150010")</f>
        <v>#NAME?</v>
      </c>
      <c r="F1829" s="3" t="e">
        <f ca="1">[1]!BexGetData("DP_1","003N8EMH8GTFRCSWKMPXRRRFI","GSON1116150010")</f>
        <v>#NAME?</v>
      </c>
      <c r="G1829" s="3" t="e">
        <f ca="1">[1]!BexGetData("DP_1","003N8EMH8GTFRCSWKMPXRRXR2","GSON1116150010")</f>
        <v>#NAME?</v>
      </c>
      <c r="H1829" s="8" t="e">
        <f ca="1">[1]!BexGetData("DP_1","003N8EMH8GTFRCSWKMPXRS42M","GSON1116150010")</f>
        <v>#NAME?</v>
      </c>
      <c r="I1829" s="3" t="e">
        <f ca="1">[1]!BexGetData("DP_1","003N8EMH8GTFRCSWKMPXRSAE6","GSON1116150010")</f>
        <v>#NAME?</v>
      </c>
      <c r="J1829" s="4" t="e">
        <f ca="1">[1]!BexGetData("DP_1","003N8EMH8GTFRCSWKMPXRSGPQ","GSON1116150010")</f>
        <v>#NAME?</v>
      </c>
      <c r="K1829" s="3" t="e">
        <f ca="1">[1]!BexGetData("DP_1","003N8EMH8GTFRIVNUPY288VJH","GSON1116150010")</f>
        <v>#NAME?</v>
      </c>
      <c r="L1829" s="3" t="e">
        <f ca="1">[1]!BexGetData("DP_1","003N8EMH8GTFRIVNUPY2891V1","GSON1116150010")</f>
        <v>#NAME?</v>
      </c>
      <c r="M1829" s="8" t="e">
        <f ca="1">[1]!BexGetData("DP_1","003N8EMH8GTFRIVOG7KG9IQXA","GSON1116150010")</f>
        <v>#NAME?</v>
      </c>
      <c r="N1829" s="3" t="e">
        <f ca="1">[1]!BexGetData("DP_1","003N8EMH8GTFRIVOG7KG9IX8U","GSON1116150010")</f>
        <v>#NAME?</v>
      </c>
      <c r="O1829" s="8" t="e">
        <f ca="1">[1]!BexGetData("DP_1","003N8EMH8GTFRIVOG7KG9J3KE","GSON1116150010")</f>
        <v>#NAME?</v>
      </c>
      <c r="P1829" s="3" t="e">
        <f ca="1">[1]!BexGetData("DP_1","003N8EMH8GTFRIVOG7KG9J9VY","GSON1116150010")</f>
        <v>#NAME?</v>
      </c>
      <c r="Q1829" s="4" t="e">
        <f ca="1">[1]!BexGetData("DP_1","00O2TNJGODT0G5Z4TTKYMM5MT","GSON1116150010")</f>
        <v>#NAME?</v>
      </c>
      <c r="R1829" s="3" t="e">
        <f ca="1">[1]!BexGetData("DP_1","00O2TNJGODT0G5Z4TTKYMMBYD","GSON1116150010")</f>
        <v>#NAME?</v>
      </c>
      <c r="S1829" s="3" t="e">
        <f ca="1">[1]!BexGetData("DP_1","00O2TNJGODT0G5Z4TTKYMMI9X","GSON1116150010")</f>
        <v>#NAME?</v>
      </c>
      <c r="T1829" s="8" t="e">
        <f ca="1">[1]!BexGetData("DP_1","00O2TNJGODT0G5Z4TTKYMMOLH","GSON1116150010")</f>
        <v>#NAME?</v>
      </c>
      <c r="U1829" s="3" t="e">
        <f ca="1">[1]!BexGetData("DP_1","00O2TNJGODT0G5Z4TTKYMMUX1","GSON1116150010")</f>
        <v>#NAME?</v>
      </c>
      <c r="V1829" s="8" t="e">
        <f ca="1">[1]!BexGetData("DP_1","00O2TNJGODT0G5Z4TTKYMN18L","GSON1116150010")</f>
        <v>#NAME?</v>
      </c>
      <c r="W1829" s="3" t="e">
        <f ca="1">[1]!BexGetData("DP_1","00O2TNJGODT0G5Z4TTKYMN7K5","GSON1116150010")</f>
        <v>#NAME?</v>
      </c>
    </row>
    <row r="1830" spans="1:23" x14ac:dyDescent="0.2">
      <c r="A1830" s="16" t="s">
        <v>1210</v>
      </c>
      <c r="B1830" s="7" t="s">
        <v>1211</v>
      </c>
      <c r="C1830" s="3" t="e">
        <f ca="1">[1]!BexGetData("DP_1","003N8EMH8GTFRCSWKMPXRR8GU","GSON1116150011")</f>
        <v>#NAME?</v>
      </c>
      <c r="D1830" s="3" t="e">
        <f ca="1">[1]!BexGetData("DP_1","003N8EMH8GTFRCSWKMPXRRESE","GSON1116150011")</f>
        <v>#NAME?</v>
      </c>
      <c r="E1830" s="8" t="e">
        <f ca="1">[1]!BexGetData("DP_1","003N8EMH8GTFRCSWKMPXRRL3Y","GSON1116150011")</f>
        <v>#NAME?</v>
      </c>
      <c r="F1830" s="4" t="e">
        <f ca="1">[1]!BexGetData("DP_1","003N8EMH8GTFRCSWKMPXRRRFI","GSON1116150011")</f>
        <v>#NAME?</v>
      </c>
      <c r="G1830" s="4" t="e">
        <f ca="1">[1]!BexGetData("DP_1","003N8EMH8GTFRCSWKMPXRRXR2","GSON1116150011")</f>
        <v>#NAME?</v>
      </c>
      <c r="H1830" s="4" t="e">
        <f ca="1">[1]!BexGetData("DP_1","003N8EMH8GTFRCSWKMPXRS42M","GSON1116150011")</f>
        <v>#NAME?</v>
      </c>
      <c r="I1830" s="4" t="e">
        <f ca="1">[1]!BexGetData("DP_1","003N8EMH8GTFRCSWKMPXRSAE6","GSON1116150011")</f>
        <v>#NAME?</v>
      </c>
      <c r="J1830" s="4" t="e">
        <f ca="1">[1]!BexGetData("DP_1","003N8EMH8GTFRCSWKMPXRSGPQ","GSON1116150011")</f>
        <v>#NAME?</v>
      </c>
      <c r="K1830" s="8" t="e">
        <f ca="1">[1]!BexGetData("DP_1","003N8EMH8GTFRIVNUPY288VJH","GSON1116150011")</f>
        <v>#NAME?</v>
      </c>
      <c r="L1830" s="8" t="e">
        <f ca="1">[1]!BexGetData("DP_1","003N8EMH8GTFRIVNUPY2891V1","GSON1116150011")</f>
        <v>#NAME?</v>
      </c>
      <c r="M1830" s="8" t="e">
        <f ca="1">[1]!BexGetData("DP_1","003N8EMH8GTFRIVOG7KG9IQXA","GSON1116150011")</f>
        <v>#NAME?</v>
      </c>
      <c r="N1830" s="8" t="e">
        <f ca="1">[1]!BexGetData("DP_1","003N8EMH8GTFRIVOG7KG9IX8U","GSON1116150011")</f>
        <v>#NAME?</v>
      </c>
      <c r="O1830" s="8" t="e">
        <f ca="1">[1]!BexGetData("DP_1","003N8EMH8GTFRIVOG7KG9J3KE","GSON1116150011")</f>
        <v>#NAME?</v>
      </c>
      <c r="P1830" s="8" t="e">
        <f ca="1">[1]!BexGetData("DP_1","003N8EMH8GTFRIVOG7KG9J9VY","GSON1116150011")</f>
        <v>#NAME?</v>
      </c>
      <c r="Q1830" s="4" t="e">
        <f ca="1">[1]!BexGetData("DP_1","00O2TNJGODT0G5Z4TTKYMM5MT","GSON1116150011")</f>
        <v>#NAME?</v>
      </c>
      <c r="R1830" s="4" t="e">
        <f ca="1">[1]!BexGetData("DP_1","00O2TNJGODT0G5Z4TTKYMMBYD","GSON1116150011")</f>
        <v>#NAME?</v>
      </c>
      <c r="S1830" s="4" t="e">
        <f ca="1">[1]!BexGetData("DP_1","00O2TNJGODT0G5Z4TTKYMMI9X","GSON1116150011")</f>
        <v>#NAME?</v>
      </c>
      <c r="T1830" s="4" t="e">
        <f ca="1">[1]!BexGetData("DP_1","00O2TNJGODT0G5Z4TTKYMMOLH","GSON1116150011")</f>
        <v>#NAME?</v>
      </c>
      <c r="U1830" s="4" t="e">
        <f ca="1">[1]!BexGetData("DP_1","00O2TNJGODT0G5Z4TTKYMMUX1","GSON1116150011")</f>
        <v>#NAME?</v>
      </c>
      <c r="V1830" s="4" t="e">
        <f ca="1">[1]!BexGetData("DP_1","00O2TNJGODT0G5Z4TTKYMN18L","GSON1116150011")</f>
        <v>#NAME?</v>
      </c>
      <c r="W1830" s="4" t="e">
        <f ca="1">[1]!BexGetData("DP_1","00O2TNJGODT0G5Z4TTKYMN7K5","GSON1116150011")</f>
        <v>#NAME?</v>
      </c>
    </row>
    <row r="1831" spans="1:23" x14ac:dyDescent="0.2">
      <c r="A1831" s="16" t="s">
        <v>1688</v>
      </c>
      <c r="B1831" s="7" t="s">
        <v>1689</v>
      </c>
      <c r="C1831" s="3" t="e">
        <f ca="1">[1]!BexGetData("DP_1","003N8EMH8GTFRCSWKMPXRR8GU","GSON1116150013")</f>
        <v>#NAME?</v>
      </c>
      <c r="D1831" s="3" t="e">
        <f ca="1">[1]!BexGetData("DP_1","003N8EMH8GTFRCSWKMPXRRESE","GSON1116150013")</f>
        <v>#NAME?</v>
      </c>
      <c r="E1831" s="8" t="e">
        <f ca="1">[1]!BexGetData("DP_1","003N8EMH8GTFRCSWKMPXRRL3Y","GSON1116150013")</f>
        <v>#NAME?</v>
      </c>
      <c r="F1831" s="4" t="e">
        <f ca="1">[1]!BexGetData("DP_1","003N8EMH8GTFRCSWKMPXRRRFI","GSON1116150013")</f>
        <v>#NAME?</v>
      </c>
      <c r="G1831" s="4" t="e">
        <f ca="1">[1]!BexGetData("DP_1","003N8EMH8GTFRCSWKMPXRRXR2","GSON1116150013")</f>
        <v>#NAME?</v>
      </c>
      <c r="H1831" s="4" t="e">
        <f ca="1">[1]!BexGetData("DP_1","003N8EMH8GTFRCSWKMPXRS42M","GSON1116150013")</f>
        <v>#NAME?</v>
      </c>
      <c r="I1831" s="4" t="e">
        <f ca="1">[1]!BexGetData("DP_1","003N8EMH8GTFRCSWKMPXRSAE6","GSON1116150013")</f>
        <v>#NAME?</v>
      </c>
      <c r="J1831" s="4" t="e">
        <f ca="1">[1]!BexGetData("DP_1","003N8EMH8GTFRCSWKMPXRSGPQ","GSON1116150013")</f>
        <v>#NAME?</v>
      </c>
      <c r="K1831" s="8" t="e">
        <f ca="1">[1]!BexGetData("DP_1","003N8EMH8GTFRIVNUPY288VJH","GSON1116150013")</f>
        <v>#NAME?</v>
      </c>
      <c r="L1831" s="8" t="e">
        <f ca="1">[1]!BexGetData("DP_1","003N8EMH8GTFRIVNUPY2891V1","GSON1116150013")</f>
        <v>#NAME?</v>
      </c>
      <c r="M1831" s="8" t="e">
        <f ca="1">[1]!BexGetData("DP_1","003N8EMH8GTFRIVOG7KG9IQXA","GSON1116150013")</f>
        <v>#NAME?</v>
      </c>
      <c r="N1831" s="8" t="e">
        <f ca="1">[1]!BexGetData("DP_1","003N8EMH8GTFRIVOG7KG9IX8U","GSON1116150013")</f>
        <v>#NAME?</v>
      </c>
      <c r="O1831" s="8" t="e">
        <f ca="1">[1]!BexGetData("DP_1","003N8EMH8GTFRIVOG7KG9J3KE","GSON1116150013")</f>
        <v>#NAME?</v>
      </c>
      <c r="P1831" s="8" t="e">
        <f ca="1">[1]!BexGetData("DP_1","003N8EMH8GTFRIVOG7KG9J9VY","GSON1116150013")</f>
        <v>#NAME?</v>
      </c>
      <c r="Q1831" s="4" t="e">
        <f ca="1">[1]!BexGetData("DP_1","00O2TNJGODT0G5Z4TTKYMM5MT","GSON1116150013")</f>
        <v>#NAME?</v>
      </c>
      <c r="R1831" s="4" t="e">
        <f ca="1">[1]!BexGetData("DP_1","00O2TNJGODT0G5Z4TTKYMMBYD","GSON1116150013")</f>
        <v>#NAME?</v>
      </c>
      <c r="S1831" s="4" t="e">
        <f ca="1">[1]!BexGetData("DP_1","00O2TNJGODT0G5Z4TTKYMMI9X","GSON1116150013")</f>
        <v>#NAME?</v>
      </c>
      <c r="T1831" s="4" t="e">
        <f ca="1">[1]!BexGetData("DP_1","00O2TNJGODT0G5Z4TTKYMMOLH","GSON1116150013")</f>
        <v>#NAME?</v>
      </c>
      <c r="U1831" s="4" t="e">
        <f ca="1">[1]!BexGetData("DP_1","00O2TNJGODT0G5Z4TTKYMMUX1","GSON1116150013")</f>
        <v>#NAME?</v>
      </c>
      <c r="V1831" s="4" t="e">
        <f ca="1">[1]!BexGetData("DP_1","00O2TNJGODT0G5Z4TTKYMN18L","GSON1116150013")</f>
        <v>#NAME?</v>
      </c>
      <c r="W1831" s="4" t="e">
        <f ca="1">[1]!BexGetData("DP_1","00O2TNJGODT0G5Z4TTKYMN7K5","GSON1116150013")</f>
        <v>#NAME?</v>
      </c>
    </row>
    <row r="1832" spans="1:23" x14ac:dyDescent="0.2">
      <c r="A1832" s="16" t="s">
        <v>4559</v>
      </c>
      <c r="B1832" s="7" t="s">
        <v>4560</v>
      </c>
      <c r="C1832" s="3" t="e">
        <f ca="1">[1]!BexGetData("DP_1","003N8EMH8GTFRCSWKMPXRR8GU","GSON1116150014")</f>
        <v>#NAME?</v>
      </c>
      <c r="D1832" s="3" t="e">
        <f ca="1">[1]!BexGetData("DP_1","003N8EMH8GTFRCSWKMPXRRESE","GSON1116150014")</f>
        <v>#NAME?</v>
      </c>
      <c r="E1832" s="8" t="e">
        <f ca="1">[1]!BexGetData("DP_1","003N8EMH8GTFRCSWKMPXRRL3Y","GSON1116150014")</f>
        <v>#NAME?</v>
      </c>
      <c r="F1832" s="4" t="e">
        <f ca="1">[1]!BexGetData("DP_1","003N8EMH8GTFRCSWKMPXRRRFI","GSON1116150014")</f>
        <v>#NAME?</v>
      </c>
      <c r="G1832" s="4" t="e">
        <f ca="1">[1]!BexGetData("DP_1","003N8EMH8GTFRCSWKMPXRRXR2","GSON1116150014")</f>
        <v>#NAME?</v>
      </c>
      <c r="H1832" s="4" t="e">
        <f ca="1">[1]!BexGetData("DP_1","003N8EMH8GTFRCSWKMPXRS42M","GSON1116150014")</f>
        <v>#NAME?</v>
      </c>
      <c r="I1832" s="4" t="e">
        <f ca="1">[1]!BexGetData("DP_1","003N8EMH8GTFRCSWKMPXRSAE6","GSON1116150014")</f>
        <v>#NAME?</v>
      </c>
      <c r="J1832" s="4" t="e">
        <f ca="1">[1]!BexGetData("DP_1","003N8EMH8GTFRCSWKMPXRSGPQ","GSON1116150014")</f>
        <v>#NAME?</v>
      </c>
      <c r="K1832" s="8" t="e">
        <f ca="1">[1]!BexGetData("DP_1","003N8EMH8GTFRIVNUPY288VJH","GSON1116150014")</f>
        <v>#NAME?</v>
      </c>
      <c r="L1832" s="8" t="e">
        <f ca="1">[1]!BexGetData("DP_1","003N8EMH8GTFRIVNUPY2891V1","GSON1116150014")</f>
        <v>#NAME?</v>
      </c>
      <c r="M1832" s="8" t="e">
        <f ca="1">[1]!BexGetData("DP_1","003N8EMH8GTFRIVOG7KG9IQXA","GSON1116150014")</f>
        <v>#NAME?</v>
      </c>
      <c r="N1832" s="8" t="e">
        <f ca="1">[1]!BexGetData("DP_1","003N8EMH8GTFRIVOG7KG9IX8U","GSON1116150014")</f>
        <v>#NAME?</v>
      </c>
      <c r="O1832" s="8" t="e">
        <f ca="1">[1]!BexGetData("DP_1","003N8EMH8GTFRIVOG7KG9J3KE","GSON1116150014")</f>
        <v>#NAME?</v>
      </c>
      <c r="P1832" s="8" t="e">
        <f ca="1">[1]!BexGetData("DP_1","003N8EMH8GTFRIVOG7KG9J9VY","GSON1116150014")</f>
        <v>#NAME?</v>
      </c>
      <c r="Q1832" s="4" t="e">
        <f ca="1">[1]!BexGetData("DP_1","00O2TNJGODT0G5Z4TTKYMM5MT","GSON1116150014")</f>
        <v>#NAME?</v>
      </c>
      <c r="R1832" s="4" t="e">
        <f ca="1">[1]!BexGetData("DP_1","00O2TNJGODT0G5Z4TTKYMMBYD","GSON1116150014")</f>
        <v>#NAME?</v>
      </c>
      <c r="S1832" s="4" t="e">
        <f ca="1">[1]!BexGetData("DP_1","00O2TNJGODT0G5Z4TTKYMMI9X","GSON1116150014")</f>
        <v>#NAME?</v>
      </c>
      <c r="T1832" s="4" t="e">
        <f ca="1">[1]!BexGetData("DP_1","00O2TNJGODT0G5Z4TTKYMMOLH","GSON1116150014")</f>
        <v>#NAME?</v>
      </c>
      <c r="U1832" s="4" t="e">
        <f ca="1">[1]!BexGetData("DP_1","00O2TNJGODT0G5Z4TTKYMMUX1","GSON1116150014")</f>
        <v>#NAME?</v>
      </c>
      <c r="V1832" s="4" t="e">
        <f ca="1">[1]!BexGetData("DP_1","00O2TNJGODT0G5Z4TTKYMN18L","GSON1116150014")</f>
        <v>#NAME?</v>
      </c>
      <c r="W1832" s="4" t="e">
        <f ca="1">[1]!BexGetData("DP_1","00O2TNJGODT0G5Z4TTKYMN7K5","GSON1116150014")</f>
        <v>#NAME?</v>
      </c>
    </row>
    <row r="1833" spans="1:23" x14ac:dyDescent="0.2">
      <c r="A1833" s="16" t="s">
        <v>4561</v>
      </c>
      <c r="B1833" s="7" t="s">
        <v>4562</v>
      </c>
      <c r="C1833" s="3" t="e">
        <f ca="1">[1]!BexGetData("DP_1","003N8EMH8GTFRCSWKMPXRR8GU","GSON1116150015")</f>
        <v>#NAME?</v>
      </c>
      <c r="D1833" s="3" t="e">
        <f ca="1">[1]!BexGetData("DP_1","003N8EMH8GTFRCSWKMPXRRESE","GSON1116150015")</f>
        <v>#NAME?</v>
      </c>
      <c r="E1833" s="8" t="e">
        <f ca="1">[1]!BexGetData("DP_1","003N8EMH8GTFRCSWKMPXRRL3Y","GSON1116150015")</f>
        <v>#NAME?</v>
      </c>
      <c r="F1833" s="4" t="e">
        <f ca="1">[1]!BexGetData("DP_1","003N8EMH8GTFRCSWKMPXRRRFI","GSON1116150015")</f>
        <v>#NAME?</v>
      </c>
      <c r="G1833" s="4" t="e">
        <f ca="1">[1]!BexGetData("DP_1","003N8EMH8GTFRCSWKMPXRRXR2","GSON1116150015")</f>
        <v>#NAME?</v>
      </c>
      <c r="H1833" s="4" t="e">
        <f ca="1">[1]!BexGetData("DP_1","003N8EMH8GTFRCSWKMPXRS42M","GSON1116150015")</f>
        <v>#NAME?</v>
      </c>
      <c r="I1833" s="4" t="e">
        <f ca="1">[1]!BexGetData("DP_1","003N8EMH8GTFRCSWKMPXRSAE6","GSON1116150015")</f>
        <v>#NAME?</v>
      </c>
      <c r="J1833" s="4" t="e">
        <f ca="1">[1]!BexGetData("DP_1","003N8EMH8GTFRCSWKMPXRSGPQ","GSON1116150015")</f>
        <v>#NAME?</v>
      </c>
      <c r="K1833" s="8" t="e">
        <f ca="1">[1]!BexGetData("DP_1","003N8EMH8GTFRIVNUPY288VJH","GSON1116150015")</f>
        <v>#NAME?</v>
      </c>
      <c r="L1833" s="8" t="e">
        <f ca="1">[1]!BexGetData("DP_1","003N8EMH8GTFRIVNUPY2891V1","GSON1116150015")</f>
        <v>#NAME?</v>
      </c>
      <c r="M1833" s="8" t="e">
        <f ca="1">[1]!BexGetData("DP_1","003N8EMH8GTFRIVOG7KG9IQXA","GSON1116150015")</f>
        <v>#NAME?</v>
      </c>
      <c r="N1833" s="8" t="e">
        <f ca="1">[1]!BexGetData("DP_1","003N8EMH8GTFRIVOG7KG9IX8U","GSON1116150015")</f>
        <v>#NAME?</v>
      </c>
      <c r="O1833" s="8" t="e">
        <f ca="1">[1]!BexGetData("DP_1","003N8EMH8GTFRIVOG7KG9J3KE","GSON1116150015")</f>
        <v>#NAME?</v>
      </c>
      <c r="P1833" s="8" t="e">
        <f ca="1">[1]!BexGetData("DP_1","003N8EMH8GTFRIVOG7KG9J9VY","GSON1116150015")</f>
        <v>#NAME?</v>
      </c>
      <c r="Q1833" s="4" t="e">
        <f ca="1">[1]!BexGetData("DP_1","00O2TNJGODT0G5Z4TTKYMM5MT","GSON1116150015")</f>
        <v>#NAME?</v>
      </c>
      <c r="R1833" s="4" t="e">
        <f ca="1">[1]!BexGetData("DP_1","00O2TNJGODT0G5Z4TTKYMMBYD","GSON1116150015")</f>
        <v>#NAME?</v>
      </c>
      <c r="S1833" s="4" t="e">
        <f ca="1">[1]!BexGetData("DP_1","00O2TNJGODT0G5Z4TTKYMMI9X","GSON1116150015")</f>
        <v>#NAME?</v>
      </c>
      <c r="T1833" s="4" t="e">
        <f ca="1">[1]!BexGetData("DP_1","00O2TNJGODT0G5Z4TTKYMMOLH","GSON1116150015")</f>
        <v>#NAME?</v>
      </c>
      <c r="U1833" s="4" t="e">
        <f ca="1">[1]!BexGetData("DP_1","00O2TNJGODT0G5Z4TTKYMMUX1","GSON1116150015")</f>
        <v>#NAME?</v>
      </c>
      <c r="V1833" s="4" t="e">
        <f ca="1">[1]!BexGetData("DP_1","00O2TNJGODT0G5Z4TTKYMN18L","GSON1116150015")</f>
        <v>#NAME?</v>
      </c>
      <c r="W1833" s="4" t="e">
        <f ca="1">[1]!BexGetData("DP_1","00O2TNJGODT0G5Z4TTKYMN7K5","GSON1116150015")</f>
        <v>#NAME?</v>
      </c>
    </row>
    <row r="1834" spans="1:23" x14ac:dyDescent="0.2">
      <c r="A1834" s="16" t="s">
        <v>1690</v>
      </c>
      <c r="B1834" s="7" t="s">
        <v>1691</v>
      </c>
      <c r="C1834" s="3" t="e">
        <f ca="1">[1]!BexGetData("DP_1","003N8EMH8GTFRCSWKMPXRR8GU","GSON1116150360")</f>
        <v>#NAME?</v>
      </c>
      <c r="D1834" s="3" t="e">
        <f ca="1">[1]!BexGetData("DP_1","003N8EMH8GTFRCSWKMPXRRESE","GSON1116150360")</f>
        <v>#NAME?</v>
      </c>
      <c r="E1834" s="3" t="e">
        <f ca="1">[1]!BexGetData("DP_1","003N8EMH8GTFRCSWKMPXRRL3Y","GSON1116150360")</f>
        <v>#NAME?</v>
      </c>
      <c r="F1834" s="3" t="e">
        <f ca="1">[1]!BexGetData("DP_1","003N8EMH8GTFRCSWKMPXRRRFI","GSON1116150360")</f>
        <v>#NAME?</v>
      </c>
      <c r="G1834" s="3" t="e">
        <f ca="1">[1]!BexGetData("DP_1","003N8EMH8GTFRCSWKMPXRRXR2","GSON1116150360")</f>
        <v>#NAME?</v>
      </c>
      <c r="H1834" s="8" t="e">
        <f ca="1">[1]!BexGetData("DP_1","003N8EMH8GTFRCSWKMPXRS42M","GSON1116150360")</f>
        <v>#NAME?</v>
      </c>
      <c r="I1834" s="3" t="e">
        <f ca="1">[1]!BexGetData("DP_1","003N8EMH8GTFRCSWKMPXRSAE6","GSON1116150360")</f>
        <v>#NAME?</v>
      </c>
      <c r="J1834" s="4" t="e">
        <f ca="1">[1]!BexGetData("DP_1","003N8EMH8GTFRCSWKMPXRSGPQ","GSON1116150360")</f>
        <v>#NAME?</v>
      </c>
      <c r="K1834" s="3" t="e">
        <f ca="1">[1]!BexGetData("DP_1","003N8EMH8GTFRIVNUPY288VJH","GSON1116150360")</f>
        <v>#NAME?</v>
      </c>
      <c r="L1834" s="3" t="e">
        <f ca="1">[1]!BexGetData("DP_1","003N8EMH8GTFRIVNUPY2891V1","GSON1116150360")</f>
        <v>#NAME?</v>
      </c>
      <c r="M1834" s="8" t="e">
        <f ca="1">[1]!BexGetData("DP_1","003N8EMH8GTFRIVOG7KG9IQXA","GSON1116150360")</f>
        <v>#NAME?</v>
      </c>
      <c r="N1834" s="3" t="e">
        <f ca="1">[1]!BexGetData("DP_1","003N8EMH8GTFRIVOG7KG9IX8U","GSON1116150360")</f>
        <v>#NAME?</v>
      </c>
      <c r="O1834" s="8" t="e">
        <f ca="1">[1]!BexGetData("DP_1","003N8EMH8GTFRIVOG7KG9J3KE","GSON1116150360")</f>
        <v>#NAME?</v>
      </c>
      <c r="P1834" s="3" t="e">
        <f ca="1">[1]!BexGetData("DP_1","003N8EMH8GTFRIVOG7KG9J9VY","GSON1116150360")</f>
        <v>#NAME?</v>
      </c>
      <c r="Q1834" s="4" t="e">
        <f ca="1">[1]!BexGetData("DP_1","00O2TNJGODT0G5Z4TTKYMM5MT","GSON1116150360")</f>
        <v>#NAME?</v>
      </c>
      <c r="R1834" s="3" t="e">
        <f ca="1">[1]!BexGetData("DP_1","00O2TNJGODT0G5Z4TTKYMMBYD","GSON1116150360")</f>
        <v>#NAME?</v>
      </c>
      <c r="S1834" s="3" t="e">
        <f ca="1">[1]!BexGetData("DP_1","00O2TNJGODT0G5Z4TTKYMMI9X","GSON1116150360")</f>
        <v>#NAME?</v>
      </c>
      <c r="T1834" s="8" t="e">
        <f ca="1">[1]!BexGetData("DP_1","00O2TNJGODT0G5Z4TTKYMMOLH","GSON1116150360")</f>
        <v>#NAME?</v>
      </c>
      <c r="U1834" s="3" t="e">
        <f ca="1">[1]!BexGetData("DP_1","00O2TNJGODT0G5Z4TTKYMMUX1","GSON1116150360")</f>
        <v>#NAME?</v>
      </c>
      <c r="V1834" s="8" t="e">
        <f ca="1">[1]!BexGetData("DP_1","00O2TNJGODT0G5Z4TTKYMN18L","GSON1116150360")</f>
        <v>#NAME?</v>
      </c>
      <c r="W1834" s="3" t="e">
        <f ca="1">[1]!BexGetData("DP_1","00O2TNJGODT0G5Z4TTKYMN7K5","GSON1116150360")</f>
        <v>#NAME?</v>
      </c>
    </row>
    <row r="1835" spans="1:23" x14ac:dyDescent="0.2">
      <c r="A1835" s="16" t="s">
        <v>1692</v>
      </c>
      <c r="B1835" s="7" t="s">
        <v>1693</v>
      </c>
      <c r="C1835" s="3" t="e">
        <f ca="1">[1]!BexGetData("DP_1","003N8EMH8GTFRCSWKMPXRR8GU","GSON1116150361")</f>
        <v>#NAME?</v>
      </c>
      <c r="D1835" s="3" t="e">
        <f ca="1">[1]!BexGetData("DP_1","003N8EMH8GTFRCSWKMPXRRESE","GSON1116150361")</f>
        <v>#NAME?</v>
      </c>
      <c r="E1835" s="8" t="e">
        <f ca="1">[1]!BexGetData("DP_1","003N8EMH8GTFRCSWKMPXRRL3Y","GSON1116150361")</f>
        <v>#NAME?</v>
      </c>
      <c r="F1835" s="4" t="e">
        <f ca="1">[1]!BexGetData("DP_1","003N8EMH8GTFRCSWKMPXRRRFI","GSON1116150361")</f>
        <v>#NAME?</v>
      </c>
      <c r="G1835" s="4" t="e">
        <f ca="1">[1]!BexGetData("DP_1","003N8EMH8GTFRCSWKMPXRRXR2","GSON1116150361")</f>
        <v>#NAME?</v>
      </c>
      <c r="H1835" s="4" t="e">
        <f ca="1">[1]!BexGetData("DP_1","003N8EMH8GTFRCSWKMPXRS42M","GSON1116150361")</f>
        <v>#NAME?</v>
      </c>
      <c r="I1835" s="4" t="e">
        <f ca="1">[1]!BexGetData("DP_1","003N8EMH8GTFRCSWKMPXRSAE6","GSON1116150361")</f>
        <v>#NAME?</v>
      </c>
      <c r="J1835" s="4" t="e">
        <f ca="1">[1]!BexGetData("DP_1","003N8EMH8GTFRCSWKMPXRSGPQ","GSON1116150361")</f>
        <v>#NAME?</v>
      </c>
      <c r="K1835" s="8" t="e">
        <f ca="1">[1]!BexGetData("DP_1","003N8EMH8GTFRIVNUPY288VJH","GSON1116150361")</f>
        <v>#NAME?</v>
      </c>
      <c r="L1835" s="8" t="e">
        <f ca="1">[1]!BexGetData("DP_1","003N8EMH8GTFRIVNUPY2891V1","GSON1116150361")</f>
        <v>#NAME?</v>
      </c>
      <c r="M1835" s="8" t="e">
        <f ca="1">[1]!BexGetData("DP_1","003N8EMH8GTFRIVOG7KG9IQXA","GSON1116150361")</f>
        <v>#NAME?</v>
      </c>
      <c r="N1835" s="8" t="e">
        <f ca="1">[1]!BexGetData("DP_1","003N8EMH8GTFRIVOG7KG9IX8U","GSON1116150361")</f>
        <v>#NAME?</v>
      </c>
      <c r="O1835" s="8" t="e">
        <f ca="1">[1]!BexGetData("DP_1","003N8EMH8GTFRIVOG7KG9J3KE","GSON1116150361")</f>
        <v>#NAME?</v>
      </c>
      <c r="P1835" s="8" t="e">
        <f ca="1">[1]!BexGetData("DP_1","003N8EMH8GTFRIVOG7KG9J9VY","GSON1116150361")</f>
        <v>#NAME?</v>
      </c>
      <c r="Q1835" s="4" t="e">
        <f ca="1">[1]!BexGetData("DP_1","00O2TNJGODT0G5Z4TTKYMM5MT","GSON1116150361")</f>
        <v>#NAME?</v>
      </c>
      <c r="R1835" s="4" t="e">
        <f ca="1">[1]!BexGetData("DP_1","00O2TNJGODT0G5Z4TTKYMMBYD","GSON1116150361")</f>
        <v>#NAME?</v>
      </c>
      <c r="S1835" s="4" t="e">
        <f ca="1">[1]!BexGetData("DP_1","00O2TNJGODT0G5Z4TTKYMMI9X","GSON1116150361")</f>
        <v>#NAME?</v>
      </c>
      <c r="T1835" s="4" t="e">
        <f ca="1">[1]!BexGetData("DP_1","00O2TNJGODT0G5Z4TTKYMMOLH","GSON1116150361")</f>
        <v>#NAME?</v>
      </c>
      <c r="U1835" s="4" t="e">
        <f ca="1">[1]!BexGetData("DP_1","00O2TNJGODT0G5Z4TTKYMMUX1","GSON1116150361")</f>
        <v>#NAME?</v>
      </c>
      <c r="V1835" s="4" t="e">
        <f ca="1">[1]!BexGetData("DP_1","00O2TNJGODT0G5Z4TTKYMN18L","GSON1116150361")</f>
        <v>#NAME?</v>
      </c>
      <c r="W1835" s="4" t="e">
        <f ca="1">[1]!BexGetData("DP_1","00O2TNJGODT0G5Z4TTKYMN7K5","GSON1116150361")</f>
        <v>#NAME?</v>
      </c>
    </row>
    <row r="1836" spans="1:23" x14ac:dyDescent="0.2">
      <c r="A1836" s="16" t="s">
        <v>4563</v>
      </c>
      <c r="B1836" s="7" t="s">
        <v>4564</v>
      </c>
      <c r="C1836" s="3" t="e">
        <f ca="1">[1]!BexGetData("DP_1","003N8EMH8GTFRCSWKMPXRR8GU","GSON1116150363")</f>
        <v>#NAME?</v>
      </c>
      <c r="D1836" s="3" t="e">
        <f ca="1">[1]!BexGetData("DP_1","003N8EMH8GTFRCSWKMPXRRESE","GSON1116150363")</f>
        <v>#NAME?</v>
      </c>
      <c r="E1836" s="3" t="e">
        <f ca="1">[1]!BexGetData("DP_1","003N8EMH8GTFRCSWKMPXRRL3Y","GSON1116150363")</f>
        <v>#NAME?</v>
      </c>
      <c r="F1836" s="3" t="e">
        <f ca="1">[1]!BexGetData("DP_1","003N8EMH8GTFRCSWKMPXRRRFI","GSON1116150363")</f>
        <v>#NAME?</v>
      </c>
      <c r="G1836" s="3" t="e">
        <f ca="1">[1]!BexGetData("DP_1","003N8EMH8GTFRCSWKMPXRRXR2","GSON1116150363")</f>
        <v>#NAME?</v>
      </c>
      <c r="H1836" s="8" t="e">
        <f ca="1">[1]!BexGetData("DP_1","003N8EMH8GTFRCSWKMPXRS42M","GSON1116150363")</f>
        <v>#NAME?</v>
      </c>
      <c r="I1836" s="3" t="e">
        <f ca="1">[1]!BexGetData("DP_1","003N8EMH8GTFRCSWKMPXRSAE6","GSON1116150363")</f>
        <v>#NAME?</v>
      </c>
      <c r="J1836" s="4" t="e">
        <f ca="1">[1]!BexGetData("DP_1","003N8EMH8GTFRCSWKMPXRSGPQ","GSON1116150363")</f>
        <v>#NAME?</v>
      </c>
      <c r="K1836" s="8" t="e">
        <f ca="1">[1]!BexGetData("DP_1","003N8EMH8GTFRIVNUPY288VJH","GSON1116150363")</f>
        <v>#NAME?</v>
      </c>
      <c r="L1836" s="8" t="e">
        <f ca="1">[1]!BexGetData("DP_1","003N8EMH8GTFRIVNUPY2891V1","GSON1116150363")</f>
        <v>#NAME?</v>
      </c>
      <c r="M1836" s="8" t="e">
        <f ca="1">[1]!BexGetData("DP_1","003N8EMH8GTFRIVOG7KG9IQXA","GSON1116150363")</f>
        <v>#NAME?</v>
      </c>
      <c r="N1836" s="8" t="e">
        <f ca="1">[1]!BexGetData("DP_1","003N8EMH8GTFRIVOG7KG9IX8U","GSON1116150363")</f>
        <v>#NAME?</v>
      </c>
      <c r="O1836" s="8" t="e">
        <f ca="1">[1]!BexGetData("DP_1","003N8EMH8GTFRIVOG7KG9J3KE","GSON1116150363")</f>
        <v>#NAME?</v>
      </c>
      <c r="P1836" s="8" t="e">
        <f ca="1">[1]!BexGetData("DP_1","003N8EMH8GTFRIVOG7KG9J9VY","GSON1116150363")</f>
        <v>#NAME?</v>
      </c>
      <c r="Q1836" s="4" t="e">
        <f ca="1">[1]!BexGetData("DP_1","00O2TNJGODT0G5Z4TTKYMM5MT","GSON1116150363")</f>
        <v>#NAME?</v>
      </c>
      <c r="R1836" s="3" t="e">
        <f ca="1">[1]!BexGetData("DP_1","00O2TNJGODT0G5Z4TTKYMMBYD","GSON1116150363")</f>
        <v>#NAME?</v>
      </c>
      <c r="S1836" s="3" t="e">
        <f ca="1">[1]!BexGetData("DP_1","00O2TNJGODT0G5Z4TTKYMMI9X","GSON1116150363")</f>
        <v>#NAME?</v>
      </c>
      <c r="T1836" s="8" t="e">
        <f ca="1">[1]!BexGetData("DP_1","00O2TNJGODT0G5Z4TTKYMMOLH","GSON1116150363")</f>
        <v>#NAME?</v>
      </c>
      <c r="U1836" s="3" t="e">
        <f ca="1">[1]!BexGetData("DP_1","00O2TNJGODT0G5Z4TTKYMMUX1","GSON1116150363")</f>
        <v>#NAME?</v>
      </c>
      <c r="V1836" s="8" t="e">
        <f ca="1">[1]!BexGetData("DP_1","00O2TNJGODT0G5Z4TTKYMN18L","GSON1116150363")</f>
        <v>#NAME?</v>
      </c>
      <c r="W1836" s="3" t="e">
        <f ca="1">[1]!BexGetData("DP_1","00O2TNJGODT0G5Z4TTKYMN7K5","GSON1116150363")</f>
        <v>#NAME?</v>
      </c>
    </row>
    <row r="1837" spans="1:23" x14ac:dyDescent="0.2">
      <c r="A1837" s="16" t="s">
        <v>4565</v>
      </c>
      <c r="B1837" s="7" t="s">
        <v>4566</v>
      </c>
      <c r="C1837" s="3" t="e">
        <f ca="1">[1]!BexGetData("DP_1","003N8EMH8GTFRCSWKMPXRR8GU","GSON1116150364")</f>
        <v>#NAME?</v>
      </c>
      <c r="D1837" s="3" t="e">
        <f ca="1">[1]!BexGetData("DP_1","003N8EMH8GTFRCSWKMPXRRESE","GSON1116150364")</f>
        <v>#NAME?</v>
      </c>
      <c r="E1837" s="8" t="e">
        <f ca="1">[1]!BexGetData("DP_1","003N8EMH8GTFRCSWKMPXRRL3Y","GSON1116150364")</f>
        <v>#NAME?</v>
      </c>
      <c r="F1837" s="4" t="e">
        <f ca="1">[1]!BexGetData("DP_1","003N8EMH8GTFRCSWKMPXRRRFI","GSON1116150364")</f>
        <v>#NAME?</v>
      </c>
      <c r="G1837" s="4" t="e">
        <f ca="1">[1]!BexGetData("DP_1","003N8EMH8GTFRCSWKMPXRRXR2","GSON1116150364")</f>
        <v>#NAME?</v>
      </c>
      <c r="H1837" s="4" t="e">
        <f ca="1">[1]!BexGetData("DP_1","003N8EMH8GTFRCSWKMPXRS42M","GSON1116150364")</f>
        <v>#NAME?</v>
      </c>
      <c r="I1837" s="4" t="e">
        <f ca="1">[1]!BexGetData("DP_1","003N8EMH8GTFRCSWKMPXRSAE6","GSON1116150364")</f>
        <v>#NAME?</v>
      </c>
      <c r="J1837" s="4" t="e">
        <f ca="1">[1]!BexGetData("DP_1","003N8EMH8GTFRCSWKMPXRSGPQ","GSON1116150364")</f>
        <v>#NAME?</v>
      </c>
      <c r="K1837" s="8" t="e">
        <f ca="1">[1]!BexGetData("DP_1","003N8EMH8GTFRIVNUPY288VJH","GSON1116150364")</f>
        <v>#NAME?</v>
      </c>
      <c r="L1837" s="8" t="e">
        <f ca="1">[1]!BexGetData("DP_1","003N8EMH8GTFRIVNUPY2891V1","GSON1116150364")</f>
        <v>#NAME?</v>
      </c>
      <c r="M1837" s="8" t="e">
        <f ca="1">[1]!BexGetData("DP_1","003N8EMH8GTFRIVOG7KG9IQXA","GSON1116150364")</f>
        <v>#NAME?</v>
      </c>
      <c r="N1837" s="8" t="e">
        <f ca="1">[1]!BexGetData("DP_1","003N8EMH8GTFRIVOG7KG9IX8U","GSON1116150364")</f>
        <v>#NAME?</v>
      </c>
      <c r="O1837" s="8" t="e">
        <f ca="1">[1]!BexGetData("DP_1","003N8EMH8GTFRIVOG7KG9J3KE","GSON1116150364")</f>
        <v>#NAME?</v>
      </c>
      <c r="P1837" s="8" t="e">
        <f ca="1">[1]!BexGetData("DP_1","003N8EMH8GTFRIVOG7KG9J9VY","GSON1116150364")</f>
        <v>#NAME?</v>
      </c>
      <c r="Q1837" s="4" t="e">
        <f ca="1">[1]!BexGetData("DP_1","00O2TNJGODT0G5Z4TTKYMM5MT","GSON1116150364")</f>
        <v>#NAME?</v>
      </c>
      <c r="R1837" s="4" t="e">
        <f ca="1">[1]!BexGetData("DP_1","00O2TNJGODT0G5Z4TTKYMMBYD","GSON1116150364")</f>
        <v>#NAME?</v>
      </c>
      <c r="S1837" s="4" t="e">
        <f ca="1">[1]!BexGetData("DP_1","00O2TNJGODT0G5Z4TTKYMMI9X","GSON1116150364")</f>
        <v>#NAME?</v>
      </c>
      <c r="T1837" s="4" t="e">
        <f ca="1">[1]!BexGetData("DP_1","00O2TNJGODT0G5Z4TTKYMMOLH","GSON1116150364")</f>
        <v>#NAME?</v>
      </c>
      <c r="U1837" s="4" t="e">
        <f ca="1">[1]!BexGetData("DP_1","00O2TNJGODT0G5Z4TTKYMMUX1","GSON1116150364")</f>
        <v>#NAME?</v>
      </c>
      <c r="V1837" s="4" t="e">
        <f ca="1">[1]!BexGetData("DP_1","00O2TNJGODT0G5Z4TTKYMN18L","GSON1116150364")</f>
        <v>#NAME?</v>
      </c>
      <c r="W1837" s="4" t="e">
        <f ca="1">[1]!BexGetData("DP_1","00O2TNJGODT0G5Z4TTKYMN7K5","GSON1116150364")</f>
        <v>#NAME?</v>
      </c>
    </row>
    <row r="1838" spans="1:23" x14ac:dyDescent="0.2">
      <c r="A1838" s="16" t="s">
        <v>4567</v>
      </c>
      <c r="B1838" s="7" t="s">
        <v>4568</v>
      </c>
      <c r="C1838" s="3" t="e">
        <f ca="1">[1]!BexGetData("DP_1","003N8EMH8GTFRCSWKMPXRR8GU","GSON1116150365")</f>
        <v>#NAME?</v>
      </c>
      <c r="D1838" s="3" t="e">
        <f ca="1">[1]!BexGetData("DP_1","003N8EMH8GTFRCSWKMPXRRESE","GSON1116150365")</f>
        <v>#NAME?</v>
      </c>
      <c r="E1838" s="8" t="e">
        <f ca="1">[1]!BexGetData("DP_1","003N8EMH8GTFRCSWKMPXRRL3Y","GSON1116150365")</f>
        <v>#NAME?</v>
      </c>
      <c r="F1838" s="4" t="e">
        <f ca="1">[1]!BexGetData("DP_1","003N8EMH8GTFRCSWKMPXRRRFI","GSON1116150365")</f>
        <v>#NAME?</v>
      </c>
      <c r="G1838" s="4" t="e">
        <f ca="1">[1]!BexGetData("DP_1","003N8EMH8GTFRCSWKMPXRRXR2","GSON1116150365")</f>
        <v>#NAME?</v>
      </c>
      <c r="H1838" s="4" t="e">
        <f ca="1">[1]!BexGetData("DP_1","003N8EMH8GTFRCSWKMPXRS42M","GSON1116150365")</f>
        <v>#NAME?</v>
      </c>
      <c r="I1838" s="4" t="e">
        <f ca="1">[1]!BexGetData("DP_1","003N8EMH8GTFRCSWKMPXRSAE6","GSON1116150365")</f>
        <v>#NAME?</v>
      </c>
      <c r="J1838" s="4" t="e">
        <f ca="1">[1]!BexGetData("DP_1","003N8EMH8GTFRCSWKMPXRSGPQ","GSON1116150365")</f>
        <v>#NAME?</v>
      </c>
      <c r="K1838" s="8" t="e">
        <f ca="1">[1]!BexGetData("DP_1","003N8EMH8GTFRIVNUPY288VJH","GSON1116150365")</f>
        <v>#NAME?</v>
      </c>
      <c r="L1838" s="8" t="e">
        <f ca="1">[1]!BexGetData("DP_1","003N8EMH8GTFRIVNUPY2891V1","GSON1116150365")</f>
        <v>#NAME?</v>
      </c>
      <c r="M1838" s="8" t="e">
        <f ca="1">[1]!BexGetData("DP_1","003N8EMH8GTFRIVOG7KG9IQXA","GSON1116150365")</f>
        <v>#NAME?</v>
      </c>
      <c r="N1838" s="8" t="e">
        <f ca="1">[1]!BexGetData("DP_1","003N8EMH8GTFRIVOG7KG9IX8U","GSON1116150365")</f>
        <v>#NAME?</v>
      </c>
      <c r="O1838" s="8" t="e">
        <f ca="1">[1]!BexGetData("DP_1","003N8EMH8GTFRIVOG7KG9J3KE","GSON1116150365")</f>
        <v>#NAME?</v>
      </c>
      <c r="P1838" s="8" t="e">
        <f ca="1">[1]!BexGetData("DP_1","003N8EMH8GTFRIVOG7KG9J9VY","GSON1116150365")</f>
        <v>#NAME?</v>
      </c>
      <c r="Q1838" s="4" t="e">
        <f ca="1">[1]!BexGetData("DP_1","00O2TNJGODT0G5Z4TTKYMM5MT","GSON1116150365")</f>
        <v>#NAME?</v>
      </c>
      <c r="R1838" s="4" t="e">
        <f ca="1">[1]!BexGetData("DP_1","00O2TNJGODT0G5Z4TTKYMMBYD","GSON1116150365")</f>
        <v>#NAME?</v>
      </c>
      <c r="S1838" s="4" t="e">
        <f ca="1">[1]!BexGetData("DP_1","00O2TNJGODT0G5Z4TTKYMMI9X","GSON1116150365")</f>
        <v>#NAME?</v>
      </c>
      <c r="T1838" s="4" t="e">
        <f ca="1">[1]!BexGetData("DP_1","00O2TNJGODT0G5Z4TTKYMMOLH","GSON1116150365")</f>
        <v>#NAME?</v>
      </c>
      <c r="U1838" s="4" t="e">
        <f ca="1">[1]!BexGetData("DP_1","00O2TNJGODT0G5Z4TTKYMMUX1","GSON1116150365")</f>
        <v>#NAME?</v>
      </c>
      <c r="V1838" s="4" t="e">
        <f ca="1">[1]!BexGetData("DP_1","00O2TNJGODT0G5Z4TTKYMN18L","GSON1116150365")</f>
        <v>#NAME?</v>
      </c>
      <c r="W1838" s="4" t="e">
        <f ca="1">[1]!BexGetData("DP_1","00O2TNJGODT0G5Z4TTKYMN7K5","GSON1116150365")</f>
        <v>#NAME?</v>
      </c>
    </row>
    <row r="1839" spans="1:23" x14ac:dyDescent="0.2">
      <c r="A1839" s="16" t="s">
        <v>1212</v>
      </c>
      <c r="B1839" s="7" t="s">
        <v>1213</v>
      </c>
      <c r="C1839" s="3" t="e">
        <f ca="1">[1]!BexGetData("DP_1","003N8EMH8GTFRCSWKMPXRR8GU","GSON1116150440")</f>
        <v>#NAME?</v>
      </c>
      <c r="D1839" s="3" t="e">
        <f ca="1">[1]!BexGetData("DP_1","003N8EMH8GTFRCSWKMPXRRESE","GSON1116150440")</f>
        <v>#NAME?</v>
      </c>
      <c r="E1839" s="3" t="e">
        <f ca="1">[1]!BexGetData("DP_1","003N8EMH8GTFRCSWKMPXRRL3Y","GSON1116150440")</f>
        <v>#NAME?</v>
      </c>
      <c r="F1839" s="3" t="e">
        <f ca="1">[1]!BexGetData("DP_1","003N8EMH8GTFRCSWKMPXRRRFI","GSON1116150440")</f>
        <v>#NAME?</v>
      </c>
      <c r="G1839" s="3" t="e">
        <f ca="1">[1]!BexGetData("DP_1","003N8EMH8GTFRCSWKMPXRRXR2","GSON1116150440")</f>
        <v>#NAME?</v>
      </c>
      <c r="H1839" s="8" t="e">
        <f ca="1">[1]!BexGetData("DP_1","003N8EMH8GTFRCSWKMPXRS42M","GSON1116150440")</f>
        <v>#NAME?</v>
      </c>
      <c r="I1839" s="3" t="e">
        <f ca="1">[1]!BexGetData("DP_1","003N8EMH8GTFRCSWKMPXRSAE6","GSON1116150440")</f>
        <v>#NAME?</v>
      </c>
      <c r="J1839" s="4" t="e">
        <f ca="1">[1]!BexGetData("DP_1","003N8EMH8GTFRCSWKMPXRSGPQ","GSON1116150440")</f>
        <v>#NAME?</v>
      </c>
      <c r="K1839" s="3" t="e">
        <f ca="1">[1]!BexGetData("DP_1","003N8EMH8GTFRIVNUPY288VJH","GSON1116150440")</f>
        <v>#NAME?</v>
      </c>
      <c r="L1839" s="3" t="e">
        <f ca="1">[1]!BexGetData("DP_1","003N8EMH8GTFRIVNUPY2891V1","GSON1116150440")</f>
        <v>#NAME?</v>
      </c>
      <c r="M1839" s="8" t="e">
        <f ca="1">[1]!BexGetData("DP_1","003N8EMH8GTFRIVOG7KG9IQXA","GSON1116150440")</f>
        <v>#NAME?</v>
      </c>
      <c r="N1839" s="3" t="e">
        <f ca="1">[1]!BexGetData("DP_1","003N8EMH8GTFRIVOG7KG9IX8U","GSON1116150440")</f>
        <v>#NAME?</v>
      </c>
      <c r="O1839" s="8" t="e">
        <f ca="1">[1]!BexGetData("DP_1","003N8EMH8GTFRIVOG7KG9J3KE","GSON1116150440")</f>
        <v>#NAME?</v>
      </c>
      <c r="P1839" s="3" t="e">
        <f ca="1">[1]!BexGetData("DP_1","003N8EMH8GTFRIVOG7KG9J9VY","GSON1116150440")</f>
        <v>#NAME?</v>
      </c>
      <c r="Q1839" s="4" t="e">
        <f ca="1">[1]!BexGetData("DP_1","00O2TNJGODT0G5Z4TTKYMM5MT","GSON1116150440")</f>
        <v>#NAME?</v>
      </c>
      <c r="R1839" s="3" t="e">
        <f ca="1">[1]!BexGetData("DP_1","00O2TNJGODT0G5Z4TTKYMMBYD","GSON1116150440")</f>
        <v>#NAME?</v>
      </c>
      <c r="S1839" s="3" t="e">
        <f ca="1">[1]!BexGetData("DP_1","00O2TNJGODT0G5Z4TTKYMMI9X","GSON1116150440")</f>
        <v>#NAME?</v>
      </c>
      <c r="T1839" s="8" t="e">
        <f ca="1">[1]!BexGetData("DP_1","00O2TNJGODT0G5Z4TTKYMMOLH","GSON1116150440")</f>
        <v>#NAME?</v>
      </c>
      <c r="U1839" s="3" t="e">
        <f ca="1">[1]!BexGetData("DP_1","00O2TNJGODT0G5Z4TTKYMMUX1","GSON1116150440")</f>
        <v>#NAME?</v>
      </c>
      <c r="V1839" s="8" t="e">
        <f ca="1">[1]!BexGetData("DP_1","00O2TNJGODT0G5Z4TTKYMN18L","GSON1116150440")</f>
        <v>#NAME?</v>
      </c>
      <c r="W1839" s="3" t="e">
        <f ca="1">[1]!BexGetData("DP_1","00O2TNJGODT0G5Z4TTKYMN7K5","GSON1116150440")</f>
        <v>#NAME?</v>
      </c>
    </row>
    <row r="1840" spans="1:23" x14ac:dyDescent="0.2">
      <c r="A1840" s="16" t="s">
        <v>1214</v>
      </c>
      <c r="B1840" s="7" t="s">
        <v>1215</v>
      </c>
      <c r="C1840" s="3" t="e">
        <f ca="1">[1]!BexGetData("DP_1","003N8EMH8GTFRCSWKMPXRR8GU","GSON1116150441")</f>
        <v>#NAME?</v>
      </c>
      <c r="D1840" s="3" t="e">
        <f ca="1">[1]!BexGetData("DP_1","003N8EMH8GTFRCSWKMPXRRESE","GSON1116150441")</f>
        <v>#NAME?</v>
      </c>
      <c r="E1840" s="8" t="e">
        <f ca="1">[1]!BexGetData("DP_1","003N8EMH8GTFRCSWKMPXRRL3Y","GSON1116150441")</f>
        <v>#NAME?</v>
      </c>
      <c r="F1840" s="4" t="e">
        <f ca="1">[1]!BexGetData("DP_1","003N8EMH8GTFRCSWKMPXRRRFI","GSON1116150441")</f>
        <v>#NAME?</v>
      </c>
      <c r="G1840" s="4" t="e">
        <f ca="1">[1]!BexGetData("DP_1","003N8EMH8GTFRCSWKMPXRRXR2","GSON1116150441")</f>
        <v>#NAME?</v>
      </c>
      <c r="H1840" s="4" t="e">
        <f ca="1">[1]!BexGetData("DP_1","003N8EMH8GTFRCSWKMPXRS42M","GSON1116150441")</f>
        <v>#NAME?</v>
      </c>
      <c r="I1840" s="4" t="e">
        <f ca="1">[1]!BexGetData("DP_1","003N8EMH8GTFRCSWKMPXRSAE6","GSON1116150441")</f>
        <v>#NAME?</v>
      </c>
      <c r="J1840" s="4" t="e">
        <f ca="1">[1]!BexGetData("DP_1","003N8EMH8GTFRCSWKMPXRSGPQ","GSON1116150441")</f>
        <v>#NAME?</v>
      </c>
      <c r="K1840" s="8" t="e">
        <f ca="1">[1]!BexGetData("DP_1","003N8EMH8GTFRIVNUPY288VJH","GSON1116150441")</f>
        <v>#NAME?</v>
      </c>
      <c r="L1840" s="8" t="e">
        <f ca="1">[1]!BexGetData("DP_1","003N8EMH8GTFRIVNUPY2891V1","GSON1116150441")</f>
        <v>#NAME?</v>
      </c>
      <c r="M1840" s="8" t="e">
        <f ca="1">[1]!BexGetData("DP_1","003N8EMH8GTFRIVOG7KG9IQXA","GSON1116150441")</f>
        <v>#NAME?</v>
      </c>
      <c r="N1840" s="8" t="e">
        <f ca="1">[1]!BexGetData("DP_1","003N8EMH8GTFRIVOG7KG9IX8U","GSON1116150441")</f>
        <v>#NAME?</v>
      </c>
      <c r="O1840" s="8" t="e">
        <f ca="1">[1]!BexGetData("DP_1","003N8EMH8GTFRIVOG7KG9J3KE","GSON1116150441")</f>
        <v>#NAME?</v>
      </c>
      <c r="P1840" s="8" t="e">
        <f ca="1">[1]!BexGetData("DP_1","003N8EMH8GTFRIVOG7KG9J9VY","GSON1116150441")</f>
        <v>#NAME?</v>
      </c>
      <c r="Q1840" s="4" t="e">
        <f ca="1">[1]!BexGetData("DP_1","00O2TNJGODT0G5Z4TTKYMM5MT","GSON1116150441")</f>
        <v>#NAME?</v>
      </c>
      <c r="R1840" s="4" t="e">
        <f ca="1">[1]!BexGetData("DP_1","00O2TNJGODT0G5Z4TTKYMMBYD","GSON1116150441")</f>
        <v>#NAME?</v>
      </c>
      <c r="S1840" s="4" t="e">
        <f ca="1">[1]!BexGetData("DP_1","00O2TNJGODT0G5Z4TTKYMMI9X","GSON1116150441")</f>
        <v>#NAME?</v>
      </c>
      <c r="T1840" s="4" t="e">
        <f ca="1">[1]!BexGetData("DP_1","00O2TNJGODT0G5Z4TTKYMMOLH","GSON1116150441")</f>
        <v>#NAME?</v>
      </c>
      <c r="U1840" s="4" t="e">
        <f ca="1">[1]!BexGetData("DP_1","00O2TNJGODT0G5Z4TTKYMMUX1","GSON1116150441")</f>
        <v>#NAME?</v>
      </c>
      <c r="V1840" s="4" t="e">
        <f ca="1">[1]!BexGetData("DP_1","00O2TNJGODT0G5Z4TTKYMN18L","GSON1116150441")</f>
        <v>#NAME?</v>
      </c>
      <c r="W1840" s="4" t="e">
        <f ca="1">[1]!BexGetData("DP_1","00O2TNJGODT0G5Z4TTKYMN7K5","GSON1116150441")</f>
        <v>#NAME?</v>
      </c>
    </row>
    <row r="1841" spans="1:23" x14ac:dyDescent="0.2">
      <c r="A1841" s="16" t="s">
        <v>4569</v>
      </c>
      <c r="B1841" s="7" t="s">
        <v>4570</v>
      </c>
      <c r="C1841" s="3" t="e">
        <f ca="1">[1]!BexGetData("DP_1","003N8EMH8GTFRCSWKMPXRR8GU","GSON1116150443")</f>
        <v>#NAME?</v>
      </c>
      <c r="D1841" s="3" t="e">
        <f ca="1">[1]!BexGetData("DP_1","003N8EMH8GTFRCSWKMPXRRESE","GSON1116150443")</f>
        <v>#NAME?</v>
      </c>
      <c r="E1841" s="8" t="e">
        <f ca="1">[1]!BexGetData("DP_1","003N8EMH8GTFRCSWKMPXRRL3Y","GSON1116150443")</f>
        <v>#NAME?</v>
      </c>
      <c r="F1841" s="4" t="e">
        <f ca="1">[1]!BexGetData("DP_1","003N8EMH8GTFRCSWKMPXRRRFI","GSON1116150443")</f>
        <v>#NAME?</v>
      </c>
      <c r="G1841" s="4" t="e">
        <f ca="1">[1]!BexGetData("DP_1","003N8EMH8GTFRCSWKMPXRRXR2","GSON1116150443")</f>
        <v>#NAME?</v>
      </c>
      <c r="H1841" s="4" t="e">
        <f ca="1">[1]!BexGetData("DP_1","003N8EMH8GTFRCSWKMPXRS42M","GSON1116150443")</f>
        <v>#NAME?</v>
      </c>
      <c r="I1841" s="4" t="e">
        <f ca="1">[1]!BexGetData("DP_1","003N8EMH8GTFRCSWKMPXRSAE6","GSON1116150443")</f>
        <v>#NAME?</v>
      </c>
      <c r="J1841" s="4" t="e">
        <f ca="1">[1]!BexGetData("DP_1","003N8EMH8GTFRCSWKMPXRSGPQ","GSON1116150443")</f>
        <v>#NAME?</v>
      </c>
      <c r="K1841" s="8" t="e">
        <f ca="1">[1]!BexGetData("DP_1","003N8EMH8GTFRIVNUPY288VJH","GSON1116150443")</f>
        <v>#NAME?</v>
      </c>
      <c r="L1841" s="8" t="e">
        <f ca="1">[1]!BexGetData("DP_1","003N8EMH8GTFRIVNUPY2891V1","GSON1116150443")</f>
        <v>#NAME?</v>
      </c>
      <c r="M1841" s="8" t="e">
        <f ca="1">[1]!BexGetData("DP_1","003N8EMH8GTFRIVOG7KG9IQXA","GSON1116150443")</f>
        <v>#NAME?</v>
      </c>
      <c r="N1841" s="8" t="e">
        <f ca="1">[1]!BexGetData("DP_1","003N8EMH8GTFRIVOG7KG9IX8U","GSON1116150443")</f>
        <v>#NAME?</v>
      </c>
      <c r="O1841" s="8" t="e">
        <f ca="1">[1]!BexGetData("DP_1","003N8EMH8GTFRIVOG7KG9J3KE","GSON1116150443")</f>
        <v>#NAME?</v>
      </c>
      <c r="P1841" s="8" t="e">
        <f ca="1">[1]!BexGetData("DP_1","003N8EMH8GTFRIVOG7KG9J9VY","GSON1116150443")</f>
        <v>#NAME?</v>
      </c>
      <c r="Q1841" s="4" t="e">
        <f ca="1">[1]!BexGetData("DP_1","00O2TNJGODT0G5Z4TTKYMM5MT","GSON1116150443")</f>
        <v>#NAME?</v>
      </c>
      <c r="R1841" s="4" t="e">
        <f ca="1">[1]!BexGetData("DP_1","00O2TNJGODT0G5Z4TTKYMMBYD","GSON1116150443")</f>
        <v>#NAME?</v>
      </c>
      <c r="S1841" s="4" t="e">
        <f ca="1">[1]!BexGetData("DP_1","00O2TNJGODT0G5Z4TTKYMMI9X","GSON1116150443")</f>
        <v>#NAME?</v>
      </c>
      <c r="T1841" s="4" t="e">
        <f ca="1">[1]!BexGetData("DP_1","00O2TNJGODT0G5Z4TTKYMMOLH","GSON1116150443")</f>
        <v>#NAME?</v>
      </c>
      <c r="U1841" s="4" t="e">
        <f ca="1">[1]!BexGetData("DP_1","00O2TNJGODT0G5Z4TTKYMMUX1","GSON1116150443")</f>
        <v>#NAME?</v>
      </c>
      <c r="V1841" s="4" t="e">
        <f ca="1">[1]!BexGetData("DP_1","00O2TNJGODT0G5Z4TTKYMN18L","GSON1116150443")</f>
        <v>#NAME?</v>
      </c>
      <c r="W1841" s="4" t="e">
        <f ca="1">[1]!BexGetData("DP_1","00O2TNJGODT0G5Z4TTKYMN7K5","GSON1116150443")</f>
        <v>#NAME?</v>
      </c>
    </row>
    <row r="1842" spans="1:23" x14ac:dyDescent="0.2">
      <c r="A1842" s="16" t="s">
        <v>4571</v>
      </c>
      <c r="B1842" s="7" t="s">
        <v>4572</v>
      </c>
      <c r="C1842" s="3" t="e">
        <f ca="1">[1]!BexGetData("DP_1","003N8EMH8GTFRCSWKMPXRR8GU","GSON1116150444")</f>
        <v>#NAME?</v>
      </c>
      <c r="D1842" s="3" t="e">
        <f ca="1">[1]!BexGetData("DP_1","003N8EMH8GTFRCSWKMPXRRESE","GSON1116150444")</f>
        <v>#NAME?</v>
      </c>
      <c r="E1842" s="8" t="e">
        <f ca="1">[1]!BexGetData("DP_1","003N8EMH8GTFRCSWKMPXRRL3Y","GSON1116150444")</f>
        <v>#NAME?</v>
      </c>
      <c r="F1842" s="4" t="e">
        <f ca="1">[1]!BexGetData("DP_1","003N8EMH8GTFRCSWKMPXRRRFI","GSON1116150444")</f>
        <v>#NAME?</v>
      </c>
      <c r="G1842" s="4" t="e">
        <f ca="1">[1]!BexGetData("DP_1","003N8EMH8GTFRCSWKMPXRRXR2","GSON1116150444")</f>
        <v>#NAME?</v>
      </c>
      <c r="H1842" s="4" t="e">
        <f ca="1">[1]!BexGetData("DP_1","003N8EMH8GTFRCSWKMPXRS42M","GSON1116150444")</f>
        <v>#NAME?</v>
      </c>
      <c r="I1842" s="4" t="e">
        <f ca="1">[1]!BexGetData("DP_1","003N8EMH8GTFRCSWKMPXRSAE6","GSON1116150444")</f>
        <v>#NAME?</v>
      </c>
      <c r="J1842" s="4" t="e">
        <f ca="1">[1]!BexGetData("DP_1","003N8EMH8GTFRCSWKMPXRSGPQ","GSON1116150444")</f>
        <v>#NAME?</v>
      </c>
      <c r="K1842" s="8" t="e">
        <f ca="1">[1]!BexGetData("DP_1","003N8EMH8GTFRIVNUPY288VJH","GSON1116150444")</f>
        <v>#NAME?</v>
      </c>
      <c r="L1842" s="8" t="e">
        <f ca="1">[1]!BexGetData("DP_1","003N8EMH8GTFRIVNUPY2891V1","GSON1116150444")</f>
        <v>#NAME?</v>
      </c>
      <c r="M1842" s="8" t="e">
        <f ca="1">[1]!BexGetData("DP_1","003N8EMH8GTFRIVOG7KG9IQXA","GSON1116150444")</f>
        <v>#NAME?</v>
      </c>
      <c r="N1842" s="8" t="e">
        <f ca="1">[1]!BexGetData("DP_1","003N8EMH8GTFRIVOG7KG9IX8U","GSON1116150444")</f>
        <v>#NAME?</v>
      </c>
      <c r="O1842" s="8" t="e">
        <f ca="1">[1]!BexGetData("DP_1","003N8EMH8GTFRIVOG7KG9J3KE","GSON1116150444")</f>
        <v>#NAME?</v>
      </c>
      <c r="P1842" s="8" t="e">
        <f ca="1">[1]!BexGetData("DP_1","003N8EMH8GTFRIVOG7KG9J9VY","GSON1116150444")</f>
        <v>#NAME?</v>
      </c>
      <c r="Q1842" s="4" t="e">
        <f ca="1">[1]!BexGetData("DP_1","00O2TNJGODT0G5Z4TTKYMM5MT","GSON1116150444")</f>
        <v>#NAME?</v>
      </c>
      <c r="R1842" s="4" t="e">
        <f ca="1">[1]!BexGetData("DP_1","00O2TNJGODT0G5Z4TTKYMMBYD","GSON1116150444")</f>
        <v>#NAME?</v>
      </c>
      <c r="S1842" s="4" t="e">
        <f ca="1">[1]!BexGetData("DP_1","00O2TNJGODT0G5Z4TTKYMMI9X","GSON1116150444")</f>
        <v>#NAME?</v>
      </c>
      <c r="T1842" s="4" t="e">
        <f ca="1">[1]!BexGetData("DP_1","00O2TNJGODT0G5Z4TTKYMMOLH","GSON1116150444")</f>
        <v>#NAME?</v>
      </c>
      <c r="U1842" s="4" t="e">
        <f ca="1">[1]!BexGetData("DP_1","00O2TNJGODT0G5Z4TTKYMMUX1","GSON1116150444")</f>
        <v>#NAME?</v>
      </c>
      <c r="V1842" s="4" t="e">
        <f ca="1">[1]!BexGetData("DP_1","00O2TNJGODT0G5Z4TTKYMN18L","GSON1116150444")</f>
        <v>#NAME?</v>
      </c>
      <c r="W1842" s="4" t="e">
        <f ca="1">[1]!BexGetData("DP_1","00O2TNJGODT0G5Z4TTKYMN7K5","GSON1116150444")</f>
        <v>#NAME?</v>
      </c>
    </row>
    <row r="1843" spans="1:23" x14ac:dyDescent="0.2">
      <c r="A1843" s="16" t="s">
        <v>4573</v>
      </c>
      <c r="B1843" s="7" t="s">
        <v>4574</v>
      </c>
      <c r="C1843" s="3" t="e">
        <f ca="1">[1]!BexGetData("DP_1","003N8EMH8GTFRCSWKMPXRR8GU","GSON1116150445")</f>
        <v>#NAME?</v>
      </c>
      <c r="D1843" s="3" t="e">
        <f ca="1">[1]!BexGetData("DP_1","003N8EMH8GTFRCSWKMPXRRESE","GSON1116150445")</f>
        <v>#NAME?</v>
      </c>
      <c r="E1843" s="8" t="e">
        <f ca="1">[1]!BexGetData("DP_1","003N8EMH8GTFRCSWKMPXRRL3Y","GSON1116150445")</f>
        <v>#NAME?</v>
      </c>
      <c r="F1843" s="4" t="e">
        <f ca="1">[1]!BexGetData("DP_1","003N8EMH8GTFRCSWKMPXRRRFI","GSON1116150445")</f>
        <v>#NAME?</v>
      </c>
      <c r="G1843" s="4" t="e">
        <f ca="1">[1]!BexGetData("DP_1","003N8EMH8GTFRCSWKMPXRRXR2","GSON1116150445")</f>
        <v>#NAME?</v>
      </c>
      <c r="H1843" s="4" t="e">
        <f ca="1">[1]!BexGetData("DP_1","003N8EMH8GTFRCSWKMPXRS42M","GSON1116150445")</f>
        <v>#NAME?</v>
      </c>
      <c r="I1843" s="4" t="e">
        <f ca="1">[1]!BexGetData("DP_1","003N8EMH8GTFRCSWKMPXRSAE6","GSON1116150445")</f>
        <v>#NAME?</v>
      </c>
      <c r="J1843" s="4" t="e">
        <f ca="1">[1]!BexGetData("DP_1","003N8EMH8GTFRCSWKMPXRSGPQ","GSON1116150445")</f>
        <v>#NAME?</v>
      </c>
      <c r="K1843" s="8" t="e">
        <f ca="1">[1]!BexGetData("DP_1","003N8EMH8GTFRIVNUPY288VJH","GSON1116150445")</f>
        <v>#NAME?</v>
      </c>
      <c r="L1843" s="8" t="e">
        <f ca="1">[1]!BexGetData("DP_1","003N8EMH8GTFRIVNUPY2891V1","GSON1116150445")</f>
        <v>#NAME?</v>
      </c>
      <c r="M1843" s="8" t="e">
        <f ca="1">[1]!BexGetData("DP_1","003N8EMH8GTFRIVOG7KG9IQXA","GSON1116150445")</f>
        <v>#NAME?</v>
      </c>
      <c r="N1843" s="8" t="e">
        <f ca="1">[1]!BexGetData("DP_1","003N8EMH8GTFRIVOG7KG9IX8U","GSON1116150445")</f>
        <v>#NAME?</v>
      </c>
      <c r="O1843" s="8" t="e">
        <f ca="1">[1]!BexGetData("DP_1","003N8EMH8GTFRIVOG7KG9J3KE","GSON1116150445")</f>
        <v>#NAME?</v>
      </c>
      <c r="P1843" s="8" t="e">
        <f ca="1">[1]!BexGetData("DP_1","003N8EMH8GTFRIVOG7KG9J9VY","GSON1116150445")</f>
        <v>#NAME?</v>
      </c>
      <c r="Q1843" s="4" t="e">
        <f ca="1">[1]!BexGetData("DP_1","00O2TNJGODT0G5Z4TTKYMM5MT","GSON1116150445")</f>
        <v>#NAME?</v>
      </c>
      <c r="R1843" s="4" t="e">
        <f ca="1">[1]!BexGetData("DP_1","00O2TNJGODT0G5Z4TTKYMMBYD","GSON1116150445")</f>
        <v>#NAME?</v>
      </c>
      <c r="S1843" s="4" t="e">
        <f ca="1">[1]!BexGetData("DP_1","00O2TNJGODT0G5Z4TTKYMMI9X","GSON1116150445")</f>
        <v>#NAME?</v>
      </c>
      <c r="T1843" s="4" t="e">
        <f ca="1">[1]!BexGetData("DP_1","00O2TNJGODT0G5Z4TTKYMMOLH","GSON1116150445")</f>
        <v>#NAME?</v>
      </c>
      <c r="U1843" s="4" t="e">
        <f ca="1">[1]!BexGetData("DP_1","00O2TNJGODT0G5Z4TTKYMMUX1","GSON1116150445")</f>
        <v>#NAME?</v>
      </c>
      <c r="V1843" s="4" t="e">
        <f ca="1">[1]!BexGetData("DP_1","00O2TNJGODT0G5Z4TTKYMN18L","GSON1116150445")</f>
        <v>#NAME?</v>
      </c>
      <c r="W1843" s="4" t="e">
        <f ca="1">[1]!BexGetData("DP_1","00O2TNJGODT0G5Z4TTKYMN7K5","GSON1116150445")</f>
        <v>#NAME?</v>
      </c>
    </row>
    <row r="1844" spans="1:23" x14ac:dyDescent="0.2">
      <c r="A1844" s="15" t="s">
        <v>667</v>
      </c>
      <c r="B1844" s="7" t="s">
        <v>668</v>
      </c>
      <c r="C1844" s="3" t="e">
        <f ca="1">[1]!BexGetData("DP_1","003N8EMH8GTFRCSWKMPXRR8GU","GSON1119")</f>
        <v>#NAME?</v>
      </c>
      <c r="D1844" s="3" t="e">
        <f ca="1">[1]!BexGetData("DP_1","003N8EMH8GTFRCSWKMPXRRESE","GSON1119")</f>
        <v>#NAME?</v>
      </c>
      <c r="E1844" s="8" t="e">
        <f ca="1">[1]!BexGetData("DP_1","003N8EMH8GTFRCSWKMPXRRL3Y","GSON1119")</f>
        <v>#NAME?</v>
      </c>
      <c r="F1844" s="3" t="e">
        <f ca="1">[1]!BexGetData("DP_1","003N8EMH8GTFRCSWKMPXRRRFI","GSON1119")</f>
        <v>#NAME?</v>
      </c>
      <c r="G1844" s="3" t="e">
        <f ca="1">[1]!BexGetData("DP_1","003N8EMH8GTFRCSWKMPXRRXR2","GSON1119")</f>
        <v>#NAME?</v>
      </c>
      <c r="H1844" s="8" t="e">
        <f ca="1">[1]!BexGetData("DP_1","003N8EMH8GTFRCSWKMPXRS42M","GSON1119")</f>
        <v>#NAME?</v>
      </c>
      <c r="I1844" s="3" t="e">
        <f ca="1">[1]!BexGetData("DP_1","003N8EMH8GTFRCSWKMPXRSAE6","GSON1119")</f>
        <v>#NAME?</v>
      </c>
      <c r="J1844" s="4" t="e">
        <f ca="1">[1]!BexGetData("DP_1","003N8EMH8GTFRCSWKMPXRSGPQ","GSON1119")</f>
        <v>#NAME?</v>
      </c>
      <c r="K1844" s="3" t="e">
        <f ca="1">[1]!BexGetData("DP_1","003N8EMH8GTFRIVNUPY288VJH","GSON1119")</f>
        <v>#NAME?</v>
      </c>
      <c r="L1844" s="3" t="e">
        <f ca="1">[1]!BexGetData("DP_1","003N8EMH8GTFRIVNUPY2891V1","GSON1119")</f>
        <v>#NAME?</v>
      </c>
      <c r="M1844" s="3" t="e">
        <f ca="1">[1]!BexGetData("DP_1","003N8EMH8GTFRIVOG7KG9IQXA","GSON1119")</f>
        <v>#NAME?</v>
      </c>
      <c r="N1844" s="8" t="e">
        <f ca="1">[1]!BexGetData("DP_1","003N8EMH8GTFRIVOG7KG9IX8U","GSON1119")</f>
        <v>#NAME?</v>
      </c>
      <c r="O1844" s="3" t="e">
        <f ca="1">[1]!BexGetData("DP_1","003N8EMH8GTFRIVOG7KG9J3KE","GSON1119")</f>
        <v>#NAME?</v>
      </c>
      <c r="P1844" s="8" t="e">
        <f ca="1">[1]!BexGetData("DP_1","003N8EMH8GTFRIVOG7KG9J9VY","GSON1119")</f>
        <v>#NAME?</v>
      </c>
      <c r="Q1844" s="4" t="e">
        <f ca="1">[1]!BexGetData("DP_1","00O2TNJGODT0G5Z4TTKYMM5MT","GSON1119")</f>
        <v>#NAME?</v>
      </c>
      <c r="R1844" s="3" t="e">
        <f ca="1">[1]!BexGetData("DP_1","00O2TNJGODT0G5Z4TTKYMMBYD","GSON1119")</f>
        <v>#NAME?</v>
      </c>
      <c r="S1844" s="3" t="e">
        <f ca="1">[1]!BexGetData("DP_1","00O2TNJGODT0G5Z4TTKYMMI9X","GSON1119")</f>
        <v>#NAME?</v>
      </c>
      <c r="T1844" s="8" t="e">
        <f ca="1">[1]!BexGetData("DP_1","00O2TNJGODT0G5Z4TTKYMMOLH","GSON1119")</f>
        <v>#NAME?</v>
      </c>
      <c r="U1844" s="3" t="e">
        <f ca="1">[1]!BexGetData("DP_1","00O2TNJGODT0G5Z4TTKYMMUX1","GSON1119")</f>
        <v>#NAME?</v>
      </c>
      <c r="V1844" s="8" t="e">
        <f ca="1">[1]!BexGetData("DP_1","00O2TNJGODT0G5Z4TTKYMN18L","GSON1119")</f>
        <v>#NAME?</v>
      </c>
      <c r="W1844" s="3" t="e">
        <f ca="1">[1]!BexGetData("DP_1","00O2TNJGODT0G5Z4TTKYMN7K5","GSON1119")</f>
        <v>#NAME?</v>
      </c>
    </row>
    <row r="1845" spans="1:23" x14ac:dyDescent="0.2">
      <c r="A1845" s="16" t="s">
        <v>1216</v>
      </c>
      <c r="B1845" s="7" t="s">
        <v>1217</v>
      </c>
      <c r="C1845" s="8" t="e">
        <f ca="1">[1]!BexGetData("DP_1","003N8EMH8GTFRCSWKMPXRR8GU","GSON1119100001")</f>
        <v>#NAME?</v>
      </c>
      <c r="D1845" s="3" t="e">
        <f ca="1">[1]!BexGetData("DP_1","003N8EMH8GTFRCSWKMPXRRESE","GSON1119100001")</f>
        <v>#NAME?</v>
      </c>
      <c r="E1845" s="8" t="e">
        <f ca="1">[1]!BexGetData("DP_1","003N8EMH8GTFRCSWKMPXRRL3Y","GSON1119100001")</f>
        <v>#NAME?</v>
      </c>
      <c r="F1845" s="3" t="e">
        <f ca="1">[1]!BexGetData("DP_1","003N8EMH8GTFRCSWKMPXRRRFI","GSON1119100001")</f>
        <v>#NAME?</v>
      </c>
      <c r="G1845" s="3" t="e">
        <f ca="1">[1]!BexGetData("DP_1","003N8EMH8GTFRCSWKMPXRRXR2","GSON1119100001")</f>
        <v>#NAME?</v>
      </c>
      <c r="H1845" s="8" t="e">
        <f ca="1">[1]!BexGetData("DP_1","003N8EMH8GTFRCSWKMPXRS42M","GSON1119100001")</f>
        <v>#NAME?</v>
      </c>
      <c r="I1845" s="3" t="e">
        <f ca="1">[1]!BexGetData("DP_1","003N8EMH8GTFRCSWKMPXRSAE6","GSON1119100001")</f>
        <v>#NAME?</v>
      </c>
      <c r="J1845" s="4" t="e">
        <f ca="1">[1]!BexGetData("DP_1","003N8EMH8GTFRCSWKMPXRSGPQ","GSON1119100001")</f>
        <v>#NAME?</v>
      </c>
      <c r="K1845" s="3" t="e">
        <f ca="1">[1]!BexGetData("DP_1","003N8EMH8GTFRIVNUPY288VJH","GSON1119100001")</f>
        <v>#NAME?</v>
      </c>
      <c r="L1845" s="3" t="e">
        <f ca="1">[1]!BexGetData("DP_1","003N8EMH8GTFRIVNUPY2891V1","GSON1119100001")</f>
        <v>#NAME?</v>
      </c>
      <c r="M1845" s="3" t="e">
        <f ca="1">[1]!BexGetData("DP_1","003N8EMH8GTFRIVOG7KG9IQXA","GSON1119100001")</f>
        <v>#NAME?</v>
      </c>
      <c r="N1845" s="8" t="e">
        <f ca="1">[1]!BexGetData("DP_1","003N8EMH8GTFRIVOG7KG9IX8U","GSON1119100001")</f>
        <v>#NAME?</v>
      </c>
      <c r="O1845" s="3" t="e">
        <f ca="1">[1]!BexGetData("DP_1","003N8EMH8GTFRIVOG7KG9J3KE","GSON1119100001")</f>
        <v>#NAME?</v>
      </c>
      <c r="P1845" s="8" t="e">
        <f ca="1">[1]!BexGetData("DP_1","003N8EMH8GTFRIVOG7KG9J9VY","GSON1119100001")</f>
        <v>#NAME?</v>
      </c>
      <c r="Q1845" s="4" t="e">
        <f ca="1">[1]!BexGetData("DP_1","00O2TNJGODT0G5Z4TTKYMM5MT","GSON1119100001")</f>
        <v>#NAME?</v>
      </c>
      <c r="R1845" s="3" t="e">
        <f ca="1">[1]!BexGetData("DP_1","00O2TNJGODT0G5Z4TTKYMMBYD","GSON1119100001")</f>
        <v>#NAME?</v>
      </c>
      <c r="S1845" s="3" t="e">
        <f ca="1">[1]!BexGetData("DP_1","00O2TNJGODT0G5Z4TTKYMMI9X","GSON1119100001")</f>
        <v>#NAME?</v>
      </c>
      <c r="T1845" s="8" t="e">
        <f ca="1">[1]!BexGetData("DP_1","00O2TNJGODT0G5Z4TTKYMMOLH","GSON1119100001")</f>
        <v>#NAME?</v>
      </c>
      <c r="U1845" s="3" t="e">
        <f ca="1">[1]!BexGetData("DP_1","00O2TNJGODT0G5Z4TTKYMMUX1","GSON1119100001")</f>
        <v>#NAME?</v>
      </c>
      <c r="V1845" s="8" t="e">
        <f ca="1">[1]!BexGetData("DP_1","00O2TNJGODT0G5Z4TTKYMN18L","GSON1119100001")</f>
        <v>#NAME?</v>
      </c>
      <c r="W1845" s="3" t="e">
        <f ca="1">[1]!BexGetData("DP_1","00O2TNJGODT0G5Z4TTKYMN7K5","GSON1119100001")</f>
        <v>#NAME?</v>
      </c>
    </row>
    <row r="1846" spans="1:23" x14ac:dyDescent="0.2">
      <c r="A1846" s="16" t="s">
        <v>1218</v>
      </c>
      <c r="B1846" s="7" t="s">
        <v>669</v>
      </c>
      <c r="C1846" s="3" t="e">
        <f ca="1">[1]!BexGetData("DP_1","003N8EMH8GTFRCSWKMPXRR8GU","GSON1119100002")</f>
        <v>#NAME?</v>
      </c>
      <c r="D1846" s="3" t="e">
        <f ca="1">[1]!BexGetData("DP_1","003N8EMH8GTFRCSWKMPXRRESE","GSON1119100002")</f>
        <v>#NAME?</v>
      </c>
      <c r="E1846" s="8" t="e">
        <f ca="1">[1]!BexGetData("DP_1","003N8EMH8GTFRCSWKMPXRRL3Y","GSON1119100002")</f>
        <v>#NAME?</v>
      </c>
      <c r="F1846" s="4" t="e">
        <f ca="1">[1]!BexGetData("DP_1","003N8EMH8GTFRCSWKMPXRRRFI","GSON1119100002")</f>
        <v>#NAME?</v>
      </c>
      <c r="G1846" s="4" t="e">
        <f ca="1">[1]!BexGetData("DP_1","003N8EMH8GTFRCSWKMPXRRXR2","GSON1119100002")</f>
        <v>#NAME?</v>
      </c>
      <c r="H1846" s="4" t="e">
        <f ca="1">[1]!BexGetData("DP_1","003N8EMH8GTFRCSWKMPXRS42M","GSON1119100002")</f>
        <v>#NAME?</v>
      </c>
      <c r="I1846" s="4" t="e">
        <f ca="1">[1]!BexGetData("DP_1","003N8EMH8GTFRCSWKMPXRSAE6","GSON1119100002")</f>
        <v>#NAME?</v>
      </c>
      <c r="J1846" s="4" t="e">
        <f ca="1">[1]!BexGetData("DP_1","003N8EMH8GTFRCSWKMPXRSGPQ","GSON1119100002")</f>
        <v>#NAME?</v>
      </c>
      <c r="K1846" s="8" t="e">
        <f ca="1">[1]!BexGetData("DP_1","003N8EMH8GTFRIVNUPY288VJH","GSON1119100002")</f>
        <v>#NAME?</v>
      </c>
      <c r="L1846" s="8" t="e">
        <f ca="1">[1]!BexGetData("DP_1","003N8EMH8GTFRIVNUPY2891V1","GSON1119100002")</f>
        <v>#NAME?</v>
      </c>
      <c r="M1846" s="8" t="e">
        <f ca="1">[1]!BexGetData("DP_1","003N8EMH8GTFRIVOG7KG9IQXA","GSON1119100002")</f>
        <v>#NAME?</v>
      </c>
      <c r="N1846" s="8" t="e">
        <f ca="1">[1]!BexGetData("DP_1","003N8EMH8GTFRIVOG7KG9IX8U","GSON1119100002")</f>
        <v>#NAME?</v>
      </c>
      <c r="O1846" s="8" t="e">
        <f ca="1">[1]!BexGetData("DP_1","003N8EMH8GTFRIVOG7KG9J3KE","GSON1119100002")</f>
        <v>#NAME?</v>
      </c>
      <c r="P1846" s="8" t="e">
        <f ca="1">[1]!BexGetData("DP_1","003N8EMH8GTFRIVOG7KG9J9VY","GSON1119100002")</f>
        <v>#NAME?</v>
      </c>
      <c r="Q1846" s="4" t="e">
        <f ca="1">[1]!BexGetData("DP_1","00O2TNJGODT0G5Z4TTKYMM5MT","GSON1119100002")</f>
        <v>#NAME?</v>
      </c>
      <c r="R1846" s="4" t="e">
        <f ca="1">[1]!BexGetData("DP_1","00O2TNJGODT0G5Z4TTKYMMBYD","GSON1119100002")</f>
        <v>#NAME?</v>
      </c>
      <c r="S1846" s="4" t="e">
        <f ca="1">[1]!BexGetData("DP_1","00O2TNJGODT0G5Z4TTKYMMI9X","GSON1119100002")</f>
        <v>#NAME?</v>
      </c>
      <c r="T1846" s="4" t="e">
        <f ca="1">[1]!BexGetData("DP_1","00O2TNJGODT0G5Z4TTKYMMOLH","GSON1119100002")</f>
        <v>#NAME?</v>
      </c>
      <c r="U1846" s="4" t="e">
        <f ca="1">[1]!BexGetData("DP_1","00O2TNJGODT0G5Z4TTKYMMUX1","GSON1119100002")</f>
        <v>#NAME?</v>
      </c>
      <c r="V1846" s="4" t="e">
        <f ca="1">[1]!BexGetData("DP_1","00O2TNJGODT0G5Z4TTKYMN18L","GSON1119100002")</f>
        <v>#NAME?</v>
      </c>
      <c r="W1846" s="4" t="e">
        <f ca="1">[1]!BexGetData("DP_1","00O2TNJGODT0G5Z4TTKYMN7K5","GSON1119100002")</f>
        <v>#NAME?</v>
      </c>
    </row>
    <row r="1847" spans="1:23" x14ac:dyDescent="0.2">
      <c r="A1847" s="14" t="s">
        <v>443</v>
      </c>
      <c r="B1847" s="7" t="s">
        <v>444</v>
      </c>
      <c r="C1847" s="3" t="e">
        <f ca="1">[1]!BexGetData("DP_1","003N8EMH8GTFRCSWKMPXRR8GU","GSON112")</f>
        <v>#NAME?</v>
      </c>
      <c r="D1847" s="3" t="e">
        <f ca="1">[1]!BexGetData("DP_1","003N8EMH8GTFRCSWKMPXRRESE","GSON112")</f>
        <v>#NAME?</v>
      </c>
      <c r="E1847" s="3" t="e">
        <f ca="1">[1]!BexGetData("DP_1","003N8EMH8GTFRCSWKMPXRRL3Y","GSON112")</f>
        <v>#NAME?</v>
      </c>
      <c r="F1847" s="3" t="e">
        <f ca="1">[1]!BexGetData("DP_1","003N8EMH8GTFRCSWKMPXRRRFI","GSON112")</f>
        <v>#NAME?</v>
      </c>
      <c r="G1847" s="3" t="e">
        <f ca="1">[1]!BexGetData("DP_1","003N8EMH8GTFRCSWKMPXRRXR2","GSON112")</f>
        <v>#NAME?</v>
      </c>
      <c r="H1847" s="3" t="e">
        <f ca="1">[1]!BexGetData("DP_1","003N8EMH8GTFRCSWKMPXRS42M","GSON112")</f>
        <v>#NAME?</v>
      </c>
      <c r="I1847" s="3" t="e">
        <f ca="1">[1]!BexGetData("DP_1","003N8EMH8GTFRCSWKMPXRSAE6","GSON112")</f>
        <v>#NAME?</v>
      </c>
      <c r="J1847" s="4" t="e">
        <f ca="1">[1]!BexGetData("DP_1","003N8EMH8GTFRCSWKMPXRSGPQ","GSON112")</f>
        <v>#NAME?</v>
      </c>
      <c r="K1847" s="3" t="e">
        <f ca="1">[1]!BexGetData("DP_1","003N8EMH8GTFRIVNUPY288VJH","GSON112")</f>
        <v>#NAME?</v>
      </c>
      <c r="L1847" s="3" t="e">
        <f ca="1">[1]!BexGetData("DP_1","003N8EMH8GTFRIVNUPY2891V1","GSON112")</f>
        <v>#NAME?</v>
      </c>
      <c r="M1847" s="8" t="e">
        <f ca="1">[1]!BexGetData("DP_1","003N8EMH8GTFRIVOG7KG9IQXA","GSON112")</f>
        <v>#NAME?</v>
      </c>
      <c r="N1847" s="3" t="e">
        <f ca="1">[1]!BexGetData("DP_1","003N8EMH8GTFRIVOG7KG9IX8U","GSON112")</f>
        <v>#NAME?</v>
      </c>
      <c r="O1847" s="8" t="e">
        <f ca="1">[1]!BexGetData("DP_1","003N8EMH8GTFRIVOG7KG9J3KE","GSON112")</f>
        <v>#NAME?</v>
      </c>
      <c r="P1847" s="3" t="e">
        <f ca="1">[1]!BexGetData("DP_1","003N8EMH8GTFRIVOG7KG9J9VY","GSON112")</f>
        <v>#NAME?</v>
      </c>
      <c r="Q1847" s="4" t="e">
        <f ca="1">[1]!BexGetData("DP_1","00O2TNJGODT0G5Z4TTKYMM5MT","GSON112")</f>
        <v>#NAME?</v>
      </c>
      <c r="R1847" s="3" t="e">
        <f ca="1">[1]!BexGetData("DP_1","00O2TNJGODT0G5Z4TTKYMMBYD","GSON112")</f>
        <v>#NAME?</v>
      </c>
      <c r="S1847" s="3" t="e">
        <f ca="1">[1]!BexGetData("DP_1","00O2TNJGODT0G5Z4TTKYMMI9X","GSON112")</f>
        <v>#NAME?</v>
      </c>
      <c r="T1847" s="8" t="e">
        <f ca="1">[1]!BexGetData("DP_1","00O2TNJGODT0G5Z4TTKYMMOLH","GSON112")</f>
        <v>#NAME?</v>
      </c>
      <c r="U1847" s="3" t="e">
        <f ca="1">[1]!BexGetData("DP_1","00O2TNJGODT0G5Z4TTKYMMUX1","GSON112")</f>
        <v>#NAME?</v>
      </c>
      <c r="V1847" s="8" t="e">
        <f ca="1">[1]!BexGetData("DP_1","00O2TNJGODT0G5Z4TTKYMN18L","GSON112")</f>
        <v>#NAME?</v>
      </c>
      <c r="W1847" s="3" t="e">
        <f ca="1">[1]!BexGetData("DP_1","00O2TNJGODT0G5Z4TTKYMN7K5","GSON112")</f>
        <v>#NAME?</v>
      </c>
    </row>
    <row r="1848" spans="1:23" x14ac:dyDescent="0.2">
      <c r="A1848" s="15" t="s">
        <v>445</v>
      </c>
      <c r="B1848" s="7" t="s">
        <v>446</v>
      </c>
      <c r="C1848" s="3" t="e">
        <f ca="1">[1]!BexGetData("DP_1","003N8EMH8GTFRCSWKMPXRR8GU","GSON1122")</f>
        <v>#NAME?</v>
      </c>
      <c r="D1848" s="3" t="e">
        <f ca="1">[1]!BexGetData("DP_1","003N8EMH8GTFRCSWKMPXRRESE","GSON1122")</f>
        <v>#NAME?</v>
      </c>
      <c r="E1848" s="8" t="e">
        <f ca="1">[1]!BexGetData("DP_1","003N8EMH8GTFRCSWKMPXRRL3Y","GSON1122")</f>
        <v>#NAME?</v>
      </c>
      <c r="F1848" s="8" t="e">
        <f ca="1">[1]!BexGetData("DP_1","003N8EMH8GTFRCSWKMPXRRRFI","GSON1122")</f>
        <v>#NAME?</v>
      </c>
      <c r="G1848" s="3" t="e">
        <f ca="1">[1]!BexGetData("DP_1","003N8EMH8GTFRCSWKMPXRRXR2","GSON1122")</f>
        <v>#NAME?</v>
      </c>
      <c r="H1848" s="3" t="e">
        <f ca="1">[1]!BexGetData("DP_1","003N8EMH8GTFRCSWKMPXRS42M","GSON1122")</f>
        <v>#NAME?</v>
      </c>
      <c r="I1848" s="8" t="e">
        <f ca="1">[1]!BexGetData("DP_1","003N8EMH8GTFRCSWKMPXRSAE6","GSON1122")</f>
        <v>#NAME?</v>
      </c>
      <c r="J1848" s="4" t="e">
        <f ca="1">[1]!BexGetData("DP_1","003N8EMH8GTFRCSWKMPXRSGPQ","GSON1122")</f>
        <v>#NAME?</v>
      </c>
      <c r="K1848" s="8" t="e">
        <f ca="1">[1]!BexGetData("DP_1","003N8EMH8GTFRIVNUPY288VJH","GSON1122")</f>
        <v>#NAME?</v>
      </c>
      <c r="L1848" s="8" t="e">
        <f ca="1">[1]!BexGetData("DP_1","003N8EMH8GTFRIVNUPY2891V1","GSON1122")</f>
        <v>#NAME?</v>
      </c>
      <c r="M1848" s="8" t="e">
        <f ca="1">[1]!BexGetData("DP_1","003N8EMH8GTFRIVOG7KG9IQXA","GSON1122")</f>
        <v>#NAME?</v>
      </c>
      <c r="N1848" s="8" t="e">
        <f ca="1">[1]!BexGetData("DP_1","003N8EMH8GTFRIVOG7KG9IX8U","GSON1122")</f>
        <v>#NAME?</v>
      </c>
      <c r="O1848" s="8" t="e">
        <f ca="1">[1]!BexGetData("DP_1","003N8EMH8GTFRIVOG7KG9J3KE","GSON1122")</f>
        <v>#NAME?</v>
      </c>
      <c r="P1848" s="8" t="e">
        <f ca="1">[1]!BexGetData("DP_1","003N8EMH8GTFRIVOG7KG9J9VY","GSON1122")</f>
        <v>#NAME?</v>
      </c>
      <c r="Q1848" s="4" t="e">
        <f ca="1">[1]!BexGetData("DP_1","00O2TNJGODT0G5Z4TTKYMM5MT","GSON1122")</f>
        <v>#NAME?</v>
      </c>
      <c r="R1848" s="8" t="e">
        <f ca="1">[1]!BexGetData("DP_1","00O2TNJGODT0G5Z4TTKYMMBYD","GSON1122")</f>
        <v>#NAME?</v>
      </c>
      <c r="S1848" s="8" t="e">
        <f ca="1">[1]!BexGetData("DP_1","00O2TNJGODT0G5Z4TTKYMMI9X","GSON1122")</f>
        <v>#NAME?</v>
      </c>
      <c r="T1848" s="8" t="e">
        <f ca="1">[1]!BexGetData("DP_1","00O2TNJGODT0G5Z4TTKYMMOLH","GSON1122")</f>
        <v>#NAME?</v>
      </c>
      <c r="U1848" s="8" t="e">
        <f ca="1">[1]!BexGetData("DP_1","00O2TNJGODT0G5Z4TTKYMMUX1","GSON1122")</f>
        <v>#NAME?</v>
      </c>
      <c r="V1848" s="8" t="e">
        <f ca="1">[1]!BexGetData("DP_1","00O2TNJGODT0G5Z4TTKYMN18L","GSON1122")</f>
        <v>#NAME?</v>
      </c>
      <c r="W1848" s="8" t="e">
        <f ca="1">[1]!BexGetData("DP_1","00O2TNJGODT0G5Z4TTKYMN7K5","GSON1122")</f>
        <v>#NAME?</v>
      </c>
    </row>
    <row r="1849" spans="1:23" x14ac:dyDescent="0.2">
      <c r="A1849" s="16" t="s">
        <v>4575</v>
      </c>
      <c r="B1849" s="7" t="s">
        <v>4576</v>
      </c>
      <c r="C1849" s="8" t="e">
        <f ca="1">[1]!BexGetData("DP_1","003N8EMH8GTFRCSWKMPXRR8GU","GSON1122300080")</f>
        <v>#NAME?</v>
      </c>
      <c r="D1849" s="8" t="e">
        <f ca="1">[1]!BexGetData("DP_1","003N8EMH8GTFRCSWKMPXRRESE","GSON1122300080")</f>
        <v>#NAME?</v>
      </c>
      <c r="E1849" s="8" t="e">
        <f ca="1">[1]!BexGetData("DP_1","003N8EMH8GTFRCSWKMPXRRL3Y","GSON1122300080")</f>
        <v>#NAME?</v>
      </c>
      <c r="F1849" s="8" t="e">
        <f ca="1">[1]!BexGetData("DP_1","003N8EMH8GTFRCSWKMPXRRRFI","GSON1122300080")</f>
        <v>#NAME?</v>
      </c>
      <c r="G1849" s="3" t="e">
        <f ca="1">[1]!BexGetData("DP_1","003N8EMH8GTFRCSWKMPXRRXR2","GSON1122300080")</f>
        <v>#NAME?</v>
      </c>
      <c r="H1849" s="3" t="e">
        <f ca="1">[1]!BexGetData("DP_1","003N8EMH8GTFRCSWKMPXRS42M","GSON1122300080")</f>
        <v>#NAME?</v>
      </c>
      <c r="I1849" s="8" t="e">
        <f ca="1">[1]!BexGetData("DP_1","003N8EMH8GTFRCSWKMPXRSAE6","GSON1122300080")</f>
        <v>#NAME?</v>
      </c>
      <c r="J1849" s="4" t="e">
        <f ca="1">[1]!BexGetData("DP_1","003N8EMH8GTFRCSWKMPXRSGPQ","GSON1122300080")</f>
        <v>#NAME?</v>
      </c>
      <c r="K1849" s="8" t="e">
        <f ca="1">[1]!BexGetData("DP_1","003N8EMH8GTFRIVNUPY288VJH","GSON1122300080")</f>
        <v>#NAME?</v>
      </c>
      <c r="L1849" s="8" t="e">
        <f ca="1">[1]!BexGetData("DP_1","003N8EMH8GTFRIVNUPY2891V1","GSON1122300080")</f>
        <v>#NAME?</v>
      </c>
      <c r="M1849" s="8" t="e">
        <f ca="1">[1]!BexGetData("DP_1","003N8EMH8GTFRIVOG7KG9IQXA","GSON1122300080")</f>
        <v>#NAME?</v>
      </c>
      <c r="N1849" s="8" t="e">
        <f ca="1">[1]!BexGetData("DP_1","003N8EMH8GTFRIVOG7KG9IX8U","GSON1122300080")</f>
        <v>#NAME?</v>
      </c>
      <c r="O1849" s="8" t="e">
        <f ca="1">[1]!BexGetData("DP_1","003N8EMH8GTFRIVOG7KG9J3KE","GSON1122300080")</f>
        <v>#NAME?</v>
      </c>
      <c r="P1849" s="8" t="e">
        <f ca="1">[1]!BexGetData("DP_1","003N8EMH8GTFRIVOG7KG9J9VY","GSON1122300080")</f>
        <v>#NAME?</v>
      </c>
      <c r="Q1849" s="4" t="e">
        <f ca="1">[1]!BexGetData("DP_1","00O2TNJGODT0G5Z4TTKYMM5MT","GSON1122300080")</f>
        <v>#NAME?</v>
      </c>
      <c r="R1849" s="8" t="e">
        <f ca="1">[1]!BexGetData("DP_1","00O2TNJGODT0G5Z4TTKYMMBYD","GSON1122300080")</f>
        <v>#NAME?</v>
      </c>
      <c r="S1849" s="8" t="e">
        <f ca="1">[1]!BexGetData("DP_1","00O2TNJGODT0G5Z4TTKYMMI9X","GSON1122300080")</f>
        <v>#NAME?</v>
      </c>
      <c r="T1849" s="8" t="e">
        <f ca="1">[1]!BexGetData("DP_1","00O2TNJGODT0G5Z4TTKYMMOLH","GSON1122300080")</f>
        <v>#NAME?</v>
      </c>
      <c r="U1849" s="8" t="e">
        <f ca="1">[1]!BexGetData("DP_1","00O2TNJGODT0G5Z4TTKYMMUX1","GSON1122300080")</f>
        <v>#NAME?</v>
      </c>
      <c r="V1849" s="8" t="e">
        <f ca="1">[1]!BexGetData("DP_1","00O2TNJGODT0G5Z4TTKYMN18L","GSON1122300080")</f>
        <v>#NAME?</v>
      </c>
      <c r="W1849" s="8" t="e">
        <f ca="1">[1]!BexGetData("DP_1","00O2TNJGODT0G5Z4TTKYMN7K5","GSON1122300080")</f>
        <v>#NAME?</v>
      </c>
    </row>
    <row r="1850" spans="1:23" x14ac:dyDescent="0.2">
      <c r="A1850" s="16" t="s">
        <v>447</v>
      </c>
      <c r="B1850" s="7" t="s">
        <v>448</v>
      </c>
      <c r="C1850" s="3" t="e">
        <f ca="1">[1]!BexGetData("DP_1","003N8EMH8GTFRCSWKMPXRR8GU","GSON1122300081")</f>
        <v>#NAME?</v>
      </c>
      <c r="D1850" s="3" t="e">
        <f ca="1">[1]!BexGetData("DP_1","003N8EMH8GTFRCSWKMPXRRESE","GSON1122300081")</f>
        <v>#NAME?</v>
      </c>
      <c r="E1850" s="8" t="e">
        <f ca="1">[1]!BexGetData("DP_1","003N8EMH8GTFRCSWKMPXRRL3Y","GSON1122300081")</f>
        <v>#NAME?</v>
      </c>
      <c r="F1850" s="4" t="e">
        <f ca="1">[1]!BexGetData("DP_1","003N8EMH8GTFRCSWKMPXRRRFI","GSON1122300081")</f>
        <v>#NAME?</v>
      </c>
      <c r="G1850" s="4" t="e">
        <f ca="1">[1]!BexGetData("DP_1","003N8EMH8GTFRCSWKMPXRRXR2","GSON1122300081")</f>
        <v>#NAME?</v>
      </c>
      <c r="H1850" s="4" t="e">
        <f ca="1">[1]!BexGetData("DP_1","003N8EMH8GTFRCSWKMPXRS42M","GSON1122300081")</f>
        <v>#NAME?</v>
      </c>
      <c r="I1850" s="4" t="e">
        <f ca="1">[1]!BexGetData("DP_1","003N8EMH8GTFRCSWKMPXRSAE6","GSON1122300081")</f>
        <v>#NAME?</v>
      </c>
      <c r="J1850" s="4" t="e">
        <f ca="1">[1]!BexGetData("DP_1","003N8EMH8GTFRCSWKMPXRSGPQ","GSON1122300081")</f>
        <v>#NAME?</v>
      </c>
      <c r="K1850" s="8" t="e">
        <f ca="1">[1]!BexGetData("DP_1","003N8EMH8GTFRIVNUPY288VJH","GSON1122300081")</f>
        <v>#NAME?</v>
      </c>
      <c r="L1850" s="8" t="e">
        <f ca="1">[1]!BexGetData("DP_1","003N8EMH8GTFRIVNUPY2891V1","GSON1122300081")</f>
        <v>#NAME?</v>
      </c>
      <c r="M1850" s="8" t="e">
        <f ca="1">[1]!BexGetData("DP_1","003N8EMH8GTFRIVOG7KG9IQXA","GSON1122300081")</f>
        <v>#NAME?</v>
      </c>
      <c r="N1850" s="8" t="e">
        <f ca="1">[1]!BexGetData("DP_1","003N8EMH8GTFRIVOG7KG9IX8U","GSON1122300081")</f>
        <v>#NAME?</v>
      </c>
      <c r="O1850" s="8" t="e">
        <f ca="1">[1]!BexGetData("DP_1","003N8EMH8GTFRIVOG7KG9J3KE","GSON1122300081")</f>
        <v>#NAME?</v>
      </c>
      <c r="P1850" s="8" t="e">
        <f ca="1">[1]!BexGetData("DP_1","003N8EMH8GTFRIVOG7KG9J9VY","GSON1122300081")</f>
        <v>#NAME?</v>
      </c>
      <c r="Q1850" s="4" t="e">
        <f ca="1">[1]!BexGetData("DP_1","00O2TNJGODT0G5Z4TTKYMM5MT","GSON1122300081")</f>
        <v>#NAME?</v>
      </c>
      <c r="R1850" s="4" t="e">
        <f ca="1">[1]!BexGetData("DP_1","00O2TNJGODT0G5Z4TTKYMMBYD","GSON1122300081")</f>
        <v>#NAME?</v>
      </c>
      <c r="S1850" s="4" t="e">
        <f ca="1">[1]!BexGetData("DP_1","00O2TNJGODT0G5Z4TTKYMMI9X","GSON1122300081")</f>
        <v>#NAME?</v>
      </c>
      <c r="T1850" s="4" t="e">
        <f ca="1">[1]!BexGetData("DP_1","00O2TNJGODT0G5Z4TTKYMMOLH","GSON1122300081")</f>
        <v>#NAME?</v>
      </c>
      <c r="U1850" s="4" t="e">
        <f ca="1">[1]!BexGetData("DP_1","00O2TNJGODT0G5Z4TTKYMMUX1","GSON1122300081")</f>
        <v>#NAME?</v>
      </c>
      <c r="V1850" s="4" t="e">
        <f ca="1">[1]!BexGetData("DP_1","00O2TNJGODT0G5Z4TTKYMN18L","GSON1122300081")</f>
        <v>#NAME?</v>
      </c>
      <c r="W1850" s="4" t="e">
        <f ca="1">[1]!BexGetData("DP_1","00O2TNJGODT0G5Z4TTKYMN7K5","GSON1122300081")</f>
        <v>#NAME?</v>
      </c>
    </row>
    <row r="1851" spans="1:23" x14ac:dyDescent="0.2">
      <c r="A1851" s="16" t="s">
        <v>4577</v>
      </c>
      <c r="B1851" s="7" t="s">
        <v>4578</v>
      </c>
      <c r="C1851" s="3" t="e">
        <f ca="1">[1]!BexGetData("DP_1","003N8EMH8GTFRCSWKMPXRR8GU","GSON1122300082")</f>
        <v>#NAME?</v>
      </c>
      <c r="D1851" s="3" t="e">
        <f ca="1">[1]!BexGetData("DP_1","003N8EMH8GTFRCSWKMPXRRESE","GSON1122300082")</f>
        <v>#NAME?</v>
      </c>
      <c r="E1851" s="8" t="e">
        <f ca="1">[1]!BexGetData("DP_1","003N8EMH8GTFRCSWKMPXRRL3Y","GSON1122300082")</f>
        <v>#NAME?</v>
      </c>
      <c r="F1851" s="4" t="e">
        <f ca="1">[1]!BexGetData("DP_1","003N8EMH8GTFRCSWKMPXRRRFI","GSON1122300082")</f>
        <v>#NAME?</v>
      </c>
      <c r="G1851" s="4" t="e">
        <f ca="1">[1]!BexGetData("DP_1","003N8EMH8GTFRCSWKMPXRRXR2","GSON1122300082")</f>
        <v>#NAME?</v>
      </c>
      <c r="H1851" s="4" t="e">
        <f ca="1">[1]!BexGetData("DP_1","003N8EMH8GTFRCSWKMPXRS42M","GSON1122300082")</f>
        <v>#NAME?</v>
      </c>
      <c r="I1851" s="4" t="e">
        <f ca="1">[1]!BexGetData("DP_1","003N8EMH8GTFRCSWKMPXRSAE6","GSON1122300082")</f>
        <v>#NAME?</v>
      </c>
      <c r="J1851" s="4" t="e">
        <f ca="1">[1]!BexGetData("DP_1","003N8EMH8GTFRCSWKMPXRSGPQ","GSON1122300082")</f>
        <v>#NAME?</v>
      </c>
      <c r="K1851" s="8" t="e">
        <f ca="1">[1]!BexGetData("DP_1","003N8EMH8GTFRIVNUPY288VJH","GSON1122300082")</f>
        <v>#NAME?</v>
      </c>
      <c r="L1851" s="8" t="e">
        <f ca="1">[1]!BexGetData("DP_1","003N8EMH8GTFRIVNUPY2891V1","GSON1122300082")</f>
        <v>#NAME?</v>
      </c>
      <c r="M1851" s="8" t="e">
        <f ca="1">[1]!BexGetData("DP_1","003N8EMH8GTFRIVOG7KG9IQXA","GSON1122300082")</f>
        <v>#NAME?</v>
      </c>
      <c r="N1851" s="8" t="e">
        <f ca="1">[1]!BexGetData("DP_1","003N8EMH8GTFRIVOG7KG9IX8U","GSON1122300082")</f>
        <v>#NAME?</v>
      </c>
      <c r="O1851" s="8" t="e">
        <f ca="1">[1]!BexGetData("DP_1","003N8EMH8GTFRIVOG7KG9J3KE","GSON1122300082")</f>
        <v>#NAME?</v>
      </c>
      <c r="P1851" s="8" t="e">
        <f ca="1">[1]!BexGetData("DP_1","003N8EMH8GTFRIVOG7KG9J9VY","GSON1122300082")</f>
        <v>#NAME?</v>
      </c>
      <c r="Q1851" s="4" t="e">
        <f ca="1">[1]!BexGetData("DP_1","00O2TNJGODT0G5Z4TTKYMM5MT","GSON1122300082")</f>
        <v>#NAME?</v>
      </c>
      <c r="R1851" s="4" t="e">
        <f ca="1">[1]!BexGetData("DP_1","00O2TNJGODT0G5Z4TTKYMMBYD","GSON1122300082")</f>
        <v>#NAME?</v>
      </c>
      <c r="S1851" s="4" t="e">
        <f ca="1">[1]!BexGetData("DP_1","00O2TNJGODT0G5Z4TTKYMMI9X","GSON1122300082")</f>
        <v>#NAME?</v>
      </c>
      <c r="T1851" s="4" t="e">
        <f ca="1">[1]!BexGetData("DP_1","00O2TNJGODT0G5Z4TTKYMMOLH","GSON1122300082")</f>
        <v>#NAME?</v>
      </c>
      <c r="U1851" s="4" t="e">
        <f ca="1">[1]!BexGetData("DP_1","00O2TNJGODT0G5Z4TTKYMMUX1","GSON1122300082")</f>
        <v>#NAME?</v>
      </c>
      <c r="V1851" s="4" t="e">
        <f ca="1">[1]!BexGetData("DP_1","00O2TNJGODT0G5Z4TTKYMN18L","GSON1122300082")</f>
        <v>#NAME?</v>
      </c>
      <c r="W1851" s="4" t="e">
        <f ca="1">[1]!BexGetData("DP_1","00O2TNJGODT0G5Z4TTKYMN7K5","GSON1122300082")</f>
        <v>#NAME?</v>
      </c>
    </row>
    <row r="1852" spans="1:23" x14ac:dyDescent="0.2">
      <c r="A1852" s="16" t="s">
        <v>670</v>
      </c>
      <c r="B1852" s="7" t="s">
        <v>671</v>
      </c>
      <c r="C1852" s="3" t="e">
        <f ca="1">[1]!BexGetData("DP_1","003N8EMH8GTFRCSWKMPXRR8GU","GSON1122300083")</f>
        <v>#NAME?</v>
      </c>
      <c r="D1852" s="3" t="e">
        <f ca="1">[1]!BexGetData("DP_1","003N8EMH8GTFRCSWKMPXRRESE","GSON1122300083")</f>
        <v>#NAME?</v>
      </c>
      <c r="E1852" s="8" t="e">
        <f ca="1">[1]!BexGetData("DP_1","003N8EMH8GTFRCSWKMPXRRL3Y","GSON1122300083")</f>
        <v>#NAME?</v>
      </c>
      <c r="F1852" s="4" t="e">
        <f ca="1">[1]!BexGetData("DP_1","003N8EMH8GTFRCSWKMPXRRRFI","GSON1122300083")</f>
        <v>#NAME?</v>
      </c>
      <c r="G1852" s="4" t="e">
        <f ca="1">[1]!BexGetData("DP_1","003N8EMH8GTFRCSWKMPXRRXR2","GSON1122300083")</f>
        <v>#NAME?</v>
      </c>
      <c r="H1852" s="4" t="e">
        <f ca="1">[1]!BexGetData("DP_1","003N8EMH8GTFRCSWKMPXRS42M","GSON1122300083")</f>
        <v>#NAME?</v>
      </c>
      <c r="I1852" s="4" t="e">
        <f ca="1">[1]!BexGetData("DP_1","003N8EMH8GTFRCSWKMPXRSAE6","GSON1122300083")</f>
        <v>#NAME?</v>
      </c>
      <c r="J1852" s="4" t="e">
        <f ca="1">[1]!BexGetData("DP_1","003N8EMH8GTFRCSWKMPXRSGPQ","GSON1122300083")</f>
        <v>#NAME?</v>
      </c>
      <c r="K1852" s="8" t="e">
        <f ca="1">[1]!BexGetData("DP_1","003N8EMH8GTFRIVNUPY288VJH","GSON1122300083")</f>
        <v>#NAME?</v>
      </c>
      <c r="L1852" s="8" t="e">
        <f ca="1">[1]!BexGetData("DP_1","003N8EMH8GTFRIVNUPY2891V1","GSON1122300083")</f>
        <v>#NAME?</v>
      </c>
      <c r="M1852" s="8" t="e">
        <f ca="1">[1]!BexGetData("DP_1","003N8EMH8GTFRIVOG7KG9IQXA","GSON1122300083")</f>
        <v>#NAME?</v>
      </c>
      <c r="N1852" s="8" t="e">
        <f ca="1">[1]!BexGetData("DP_1","003N8EMH8GTFRIVOG7KG9IX8U","GSON1122300083")</f>
        <v>#NAME?</v>
      </c>
      <c r="O1852" s="8" t="e">
        <f ca="1">[1]!BexGetData("DP_1","003N8EMH8GTFRIVOG7KG9J3KE","GSON1122300083")</f>
        <v>#NAME?</v>
      </c>
      <c r="P1852" s="8" t="e">
        <f ca="1">[1]!BexGetData("DP_1","003N8EMH8GTFRIVOG7KG9J9VY","GSON1122300083")</f>
        <v>#NAME?</v>
      </c>
      <c r="Q1852" s="4" t="e">
        <f ca="1">[1]!BexGetData("DP_1","00O2TNJGODT0G5Z4TTKYMM5MT","GSON1122300083")</f>
        <v>#NAME?</v>
      </c>
      <c r="R1852" s="4" t="e">
        <f ca="1">[1]!BexGetData("DP_1","00O2TNJGODT0G5Z4TTKYMMBYD","GSON1122300083")</f>
        <v>#NAME?</v>
      </c>
      <c r="S1852" s="4" t="e">
        <f ca="1">[1]!BexGetData("DP_1","00O2TNJGODT0G5Z4TTKYMMI9X","GSON1122300083")</f>
        <v>#NAME?</v>
      </c>
      <c r="T1852" s="4" t="e">
        <f ca="1">[1]!BexGetData("DP_1","00O2TNJGODT0G5Z4TTKYMMOLH","GSON1122300083")</f>
        <v>#NAME?</v>
      </c>
      <c r="U1852" s="4" t="e">
        <f ca="1">[1]!BexGetData("DP_1","00O2TNJGODT0G5Z4TTKYMMUX1","GSON1122300083")</f>
        <v>#NAME?</v>
      </c>
      <c r="V1852" s="4" t="e">
        <f ca="1">[1]!BexGetData("DP_1","00O2TNJGODT0G5Z4TTKYMN18L","GSON1122300083")</f>
        <v>#NAME?</v>
      </c>
      <c r="W1852" s="4" t="e">
        <f ca="1">[1]!BexGetData("DP_1","00O2TNJGODT0G5Z4TTKYMN7K5","GSON1122300083")</f>
        <v>#NAME?</v>
      </c>
    </row>
    <row r="1853" spans="1:23" x14ac:dyDescent="0.2">
      <c r="A1853" s="16" t="s">
        <v>4579</v>
      </c>
      <c r="B1853" s="7" t="s">
        <v>4580</v>
      </c>
      <c r="C1853" s="3" t="e">
        <f ca="1">[1]!BexGetData("DP_1","003N8EMH8GTFRCSWKMPXRR8GU","GSON1122300091")</f>
        <v>#NAME?</v>
      </c>
      <c r="D1853" s="3" t="e">
        <f ca="1">[1]!BexGetData("DP_1","003N8EMH8GTFRCSWKMPXRRESE","GSON1122300091")</f>
        <v>#NAME?</v>
      </c>
      <c r="E1853" s="8" t="e">
        <f ca="1">[1]!BexGetData("DP_1","003N8EMH8GTFRCSWKMPXRRL3Y","GSON1122300091")</f>
        <v>#NAME?</v>
      </c>
      <c r="F1853" s="4" t="e">
        <f ca="1">[1]!BexGetData("DP_1","003N8EMH8GTFRCSWKMPXRRRFI","GSON1122300091")</f>
        <v>#NAME?</v>
      </c>
      <c r="G1853" s="4" t="e">
        <f ca="1">[1]!BexGetData("DP_1","003N8EMH8GTFRCSWKMPXRRXR2","GSON1122300091")</f>
        <v>#NAME?</v>
      </c>
      <c r="H1853" s="4" t="e">
        <f ca="1">[1]!BexGetData("DP_1","003N8EMH8GTFRCSWKMPXRS42M","GSON1122300091")</f>
        <v>#NAME?</v>
      </c>
      <c r="I1853" s="4" t="e">
        <f ca="1">[1]!BexGetData("DP_1","003N8EMH8GTFRCSWKMPXRSAE6","GSON1122300091")</f>
        <v>#NAME?</v>
      </c>
      <c r="J1853" s="4" t="e">
        <f ca="1">[1]!BexGetData("DP_1","003N8EMH8GTFRCSWKMPXRSGPQ","GSON1122300091")</f>
        <v>#NAME?</v>
      </c>
      <c r="K1853" s="8" t="e">
        <f ca="1">[1]!BexGetData("DP_1","003N8EMH8GTFRIVNUPY288VJH","GSON1122300091")</f>
        <v>#NAME?</v>
      </c>
      <c r="L1853" s="8" t="e">
        <f ca="1">[1]!BexGetData("DP_1","003N8EMH8GTFRIVNUPY2891V1","GSON1122300091")</f>
        <v>#NAME?</v>
      </c>
      <c r="M1853" s="8" t="e">
        <f ca="1">[1]!BexGetData("DP_1","003N8EMH8GTFRIVOG7KG9IQXA","GSON1122300091")</f>
        <v>#NAME?</v>
      </c>
      <c r="N1853" s="8" t="e">
        <f ca="1">[1]!BexGetData("DP_1","003N8EMH8GTFRIVOG7KG9IX8U","GSON1122300091")</f>
        <v>#NAME?</v>
      </c>
      <c r="O1853" s="8" t="e">
        <f ca="1">[1]!BexGetData("DP_1","003N8EMH8GTFRIVOG7KG9J3KE","GSON1122300091")</f>
        <v>#NAME?</v>
      </c>
      <c r="P1853" s="8" t="e">
        <f ca="1">[1]!BexGetData("DP_1","003N8EMH8GTFRIVOG7KG9J9VY","GSON1122300091")</f>
        <v>#NAME?</v>
      </c>
      <c r="Q1853" s="4" t="e">
        <f ca="1">[1]!BexGetData("DP_1","00O2TNJGODT0G5Z4TTKYMM5MT","GSON1122300091")</f>
        <v>#NAME?</v>
      </c>
      <c r="R1853" s="4" t="e">
        <f ca="1">[1]!BexGetData("DP_1","00O2TNJGODT0G5Z4TTKYMMBYD","GSON1122300091")</f>
        <v>#NAME?</v>
      </c>
      <c r="S1853" s="4" t="e">
        <f ca="1">[1]!BexGetData("DP_1","00O2TNJGODT0G5Z4TTKYMMI9X","GSON1122300091")</f>
        <v>#NAME?</v>
      </c>
      <c r="T1853" s="4" t="e">
        <f ca="1">[1]!BexGetData("DP_1","00O2TNJGODT0G5Z4TTKYMMOLH","GSON1122300091")</f>
        <v>#NAME?</v>
      </c>
      <c r="U1853" s="4" t="e">
        <f ca="1">[1]!BexGetData("DP_1","00O2TNJGODT0G5Z4TTKYMMUX1","GSON1122300091")</f>
        <v>#NAME?</v>
      </c>
      <c r="V1853" s="4" t="e">
        <f ca="1">[1]!BexGetData("DP_1","00O2TNJGODT0G5Z4TTKYMN18L","GSON1122300091")</f>
        <v>#NAME?</v>
      </c>
      <c r="W1853" s="4" t="e">
        <f ca="1">[1]!BexGetData("DP_1","00O2TNJGODT0G5Z4TTKYMN7K5","GSON1122300091")</f>
        <v>#NAME?</v>
      </c>
    </row>
    <row r="1854" spans="1:23" x14ac:dyDescent="0.2">
      <c r="A1854" s="16" t="s">
        <v>1219</v>
      </c>
      <c r="B1854" s="7" t="s">
        <v>672</v>
      </c>
      <c r="C1854" s="3" t="e">
        <f ca="1">[1]!BexGetData("DP_1","003N8EMH8GTFRCSWKMPXRR8GU","GSON1122300093")</f>
        <v>#NAME?</v>
      </c>
      <c r="D1854" s="3" t="e">
        <f ca="1">[1]!BexGetData("DP_1","003N8EMH8GTFRCSWKMPXRRESE","GSON1122300093")</f>
        <v>#NAME?</v>
      </c>
      <c r="E1854" s="8" t="e">
        <f ca="1">[1]!BexGetData("DP_1","003N8EMH8GTFRCSWKMPXRRL3Y","GSON1122300093")</f>
        <v>#NAME?</v>
      </c>
      <c r="F1854" s="4" t="e">
        <f ca="1">[1]!BexGetData("DP_1","003N8EMH8GTFRCSWKMPXRRRFI","GSON1122300093")</f>
        <v>#NAME?</v>
      </c>
      <c r="G1854" s="4" t="e">
        <f ca="1">[1]!BexGetData("DP_1","003N8EMH8GTFRCSWKMPXRRXR2","GSON1122300093")</f>
        <v>#NAME?</v>
      </c>
      <c r="H1854" s="4" t="e">
        <f ca="1">[1]!BexGetData("DP_1","003N8EMH8GTFRCSWKMPXRS42M","GSON1122300093")</f>
        <v>#NAME?</v>
      </c>
      <c r="I1854" s="4" t="e">
        <f ca="1">[1]!BexGetData("DP_1","003N8EMH8GTFRCSWKMPXRSAE6","GSON1122300093")</f>
        <v>#NAME?</v>
      </c>
      <c r="J1854" s="4" t="e">
        <f ca="1">[1]!BexGetData("DP_1","003N8EMH8GTFRCSWKMPXRSGPQ","GSON1122300093")</f>
        <v>#NAME?</v>
      </c>
      <c r="K1854" s="8" t="e">
        <f ca="1">[1]!BexGetData("DP_1","003N8EMH8GTFRIVNUPY288VJH","GSON1122300093")</f>
        <v>#NAME?</v>
      </c>
      <c r="L1854" s="8" t="e">
        <f ca="1">[1]!BexGetData("DP_1","003N8EMH8GTFRIVNUPY2891V1","GSON1122300093")</f>
        <v>#NAME?</v>
      </c>
      <c r="M1854" s="8" t="e">
        <f ca="1">[1]!BexGetData("DP_1","003N8EMH8GTFRIVOG7KG9IQXA","GSON1122300093")</f>
        <v>#NAME?</v>
      </c>
      <c r="N1854" s="8" t="e">
        <f ca="1">[1]!BexGetData("DP_1","003N8EMH8GTFRIVOG7KG9IX8U","GSON1122300093")</f>
        <v>#NAME?</v>
      </c>
      <c r="O1854" s="8" t="e">
        <f ca="1">[1]!BexGetData("DP_1","003N8EMH8GTFRIVOG7KG9J3KE","GSON1122300093")</f>
        <v>#NAME?</v>
      </c>
      <c r="P1854" s="8" t="e">
        <f ca="1">[1]!BexGetData("DP_1","003N8EMH8GTFRIVOG7KG9J9VY","GSON1122300093")</f>
        <v>#NAME?</v>
      </c>
      <c r="Q1854" s="4" t="e">
        <f ca="1">[1]!BexGetData("DP_1","00O2TNJGODT0G5Z4TTKYMM5MT","GSON1122300093")</f>
        <v>#NAME?</v>
      </c>
      <c r="R1854" s="4" t="e">
        <f ca="1">[1]!BexGetData("DP_1","00O2TNJGODT0G5Z4TTKYMMBYD","GSON1122300093")</f>
        <v>#NAME?</v>
      </c>
      <c r="S1854" s="4" t="e">
        <f ca="1">[1]!BexGetData("DP_1","00O2TNJGODT0G5Z4TTKYMMI9X","GSON1122300093")</f>
        <v>#NAME?</v>
      </c>
      <c r="T1854" s="4" t="e">
        <f ca="1">[1]!BexGetData("DP_1","00O2TNJGODT0G5Z4TTKYMMOLH","GSON1122300093")</f>
        <v>#NAME?</v>
      </c>
      <c r="U1854" s="4" t="e">
        <f ca="1">[1]!BexGetData("DP_1","00O2TNJGODT0G5Z4TTKYMMUX1","GSON1122300093")</f>
        <v>#NAME?</v>
      </c>
      <c r="V1854" s="4" t="e">
        <f ca="1">[1]!BexGetData("DP_1","00O2TNJGODT0G5Z4TTKYMN18L","GSON1122300093")</f>
        <v>#NAME?</v>
      </c>
      <c r="W1854" s="4" t="e">
        <f ca="1">[1]!BexGetData("DP_1","00O2TNJGODT0G5Z4TTKYMN7K5","GSON1122300093")</f>
        <v>#NAME?</v>
      </c>
    </row>
    <row r="1855" spans="1:23" x14ac:dyDescent="0.2">
      <c r="A1855" s="15" t="s">
        <v>449</v>
      </c>
      <c r="B1855" s="7" t="s">
        <v>450</v>
      </c>
      <c r="C1855" s="3" t="e">
        <f ca="1">[1]!BexGetData("DP_1","003N8EMH8GTFRCSWKMPXRR8GU","GSON1123")</f>
        <v>#NAME?</v>
      </c>
      <c r="D1855" s="3" t="e">
        <f ca="1">[1]!BexGetData("DP_1","003N8EMH8GTFRCSWKMPXRRESE","GSON1123")</f>
        <v>#NAME?</v>
      </c>
      <c r="E1855" s="3" t="e">
        <f ca="1">[1]!BexGetData("DP_1","003N8EMH8GTFRCSWKMPXRRL3Y","GSON1123")</f>
        <v>#NAME?</v>
      </c>
      <c r="F1855" s="3" t="e">
        <f ca="1">[1]!BexGetData("DP_1","003N8EMH8GTFRCSWKMPXRRRFI","GSON1123")</f>
        <v>#NAME?</v>
      </c>
      <c r="G1855" s="3" t="e">
        <f ca="1">[1]!BexGetData("DP_1","003N8EMH8GTFRCSWKMPXRRXR2","GSON1123")</f>
        <v>#NAME?</v>
      </c>
      <c r="H1855" s="3" t="e">
        <f ca="1">[1]!BexGetData("DP_1","003N8EMH8GTFRCSWKMPXRS42M","GSON1123")</f>
        <v>#NAME?</v>
      </c>
      <c r="I1855" s="3" t="e">
        <f ca="1">[1]!BexGetData("DP_1","003N8EMH8GTFRCSWKMPXRSAE6","GSON1123")</f>
        <v>#NAME?</v>
      </c>
      <c r="J1855" s="4" t="e">
        <f ca="1">[1]!BexGetData("DP_1","003N8EMH8GTFRCSWKMPXRSGPQ","GSON1123")</f>
        <v>#NAME?</v>
      </c>
      <c r="K1855" s="3" t="e">
        <f ca="1">[1]!BexGetData("DP_1","003N8EMH8GTFRIVNUPY288VJH","GSON1123")</f>
        <v>#NAME?</v>
      </c>
      <c r="L1855" s="3" t="e">
        <f ca="1">[1]!BexGetData("DP_1","003N8EMH8GTFRIVNUPY2891V1","GSON1123")</f>
        <v>#NAME?</v>
      </c>
      <c r="M1855" s="8" t="e">
        <f ca="1">[1]!BexGetData("DP_1","003N8EMH8GTFRIVOG7KG9IQXA","GSON1123")</f>
        <v>#NAME?</v>
      </c>
      <c r="N1855" s="3" t="e">
        <f ca="1">[1]!BexGetData("DP_1","003N8EMH8GTFRIVOG7KG9IX8U","GSON1123")</f>
        <v>#NAME?</v>
      </c>
      <c r="O1855" s="8" t="e">
        <f ca="1">[1]!BexGetData("DP_1","003N8EMH8GTFRIVOG7KG9J3KE","GSON1123")</f>
        <v>#NAME?</v>
      </c>
      <c r="P1855" s="3" t="e">
        <f ca="1">[1]!BexGetData("DP_1","003N8EMH8GTFRIVOG7KG9J9VY","GSON1123")</f>
        <v>#NAME?</v>
      </c>
      <c r="Q1855" s="4" t="e">
        <f ca="1">[1]!BexGetData("DP_1","00O2TNJGODT0G5Z4TTKYMM5MT","GSON1123")</f>
        <v>#NAME?</v>
      </c>
      <c r="R1855" s="3" t="e">
        <f ca="1">[1]!BexGetData("DP_1","00O2TNJGODT0G5Z4TTKYMMBYD","GSON1123")</f>
        <v>#NAME?</v>
      </c>
      <c r="S1855" s="3" t="e">
        <f ca="1">[1]!BexGetData("DP_1","00O2TNJGODT0G5Z4TTKYMMI9X","GSON1123")</f>
        <v>#NAME?</v>
      </c>
      <c r="T1855" s="8" t="e">
        <f ca="1">[1]!BexGetData("DP_1","00O2TNJGODT0G5Z4TTKYMMOLH","GSON1123")</f>
        <v>#NAME?</v>
      </c>
      <c r="U1855" s="3" t="e">
        <f ca="1">[1]!BexGetData("DP_1","00O2TNJGODT0G5Z4TTKYMMUX1","GSON1123")</f>
        <v>#NAME?</v>
      </c>
      <c r="V1855" s="8" t="e">
        <f ca="1">[1]!BexGetData("DP_1","00O2TNJGODT0G5Z4TTKYMN18L","GSON1123")</f>
        <v>#NAME?</v>
      </c>
      <c r="W1855" s="3" t="e">
        <f ca="1">[1]!BexGetData("DP_1","00O2TNJGODT0G5Z4TTKYMN7K5","GSON1123")</f>
        <v>#NAME?</v>
      </c>
    </row>
    <row r="1856" spans="1:23" x14ac:dyDescent="0.2">
      <c r="A1856" s="16" t="s">
        <v>1220</v>
      </c>
      <c r="B1856" s="7" t="s">
        <v>451</v>
      </c>
      <c r="C1856" s="3" t="e">
        <f ca="1">[1]!BexGetData("DP_1","003N8EMH8GTFRCSWKMPXRR8GU","GSON1123100001")</f>
        <v>#NAME?</v>
      </c>
      <c r="D1856" s="3" t="e">
        <f ca="1">[1]!BexGetData("DP_1","003N8EMH8GTFRCSWKMPXRRESE","GSON1123100001")</f>
        <v>#NAME?</v>
      </c>
      <c r="E1856" s="3" t="e">
        <f ca="1">[1]!BexGetData("DP_1","003N8EMH8GTFRCSWKMPXRRL3Y","GSON1123100001")</f>
        <v>#NAME?</v>
      </c>
      <c r="F1856" s="4" t="e">
        <f ca="1">[1]!BexGetData("DP_1","003N8EMH8GTFRCSWKMPXRRRFI","GSON1123100001")</f>
        <v>#NAME?</v>
      </c>
      <c r="G1856" s="4" t="e">
        <f ca="1">[1]!BexGetData("DP_1","003N8EMH8GTFRCSWKMPXRRXR2","GSON1123100001")</f>
        <v>#NAME?</v>
      </c>
      <c r="H1856" s="4" t="e">
        <f ca="1">[1]!BexGetData("DP_1","003N8EMH8GTFRCSWKMPXRS42M","GSON1123100001")</f>
        <v>#NAME?</v>
      </c>
      <c r="I1856" s="4" t="e">
        <f ca="1">[1]!BexGetData("DP_1","003N8EMH8GTFRCSWKMPXRSAE6","GSON1123100001")</f>
        <v>#NAME?</v>
      </c>
      <c r="J1856" s="4" t="e">
        <f ca="1">[1]!BexGetData("DP_1","003N8EMH8GTFRCSWKMPXRSGPQ","GSON1123100001")</f>
        <v>#NAME?</v>
      </c>
      <c r="K1856" s="3" t="e">
        <f ca="1">[1]!BexGetData("DP_1","003N8EMH8GTFRIVNUPY288VJH","GSON1123100001")</f>
        <v>#NAME?</v>
      </c>
      <c r="L1856" s="3" t="e">
        <f ca="1">[1]!BexGetData("DP_1","003N8EMH8GTFRIVNUPY2891V1","GSON1123100001")</f>
        <v>#NAME?</v>
      </c>
      <c r="M1856" s="8" t="e">
        <f ca="1">[1]!BexGetData("DP_1","003N8EMH8GTFRIVOG7KG9IQXA","GSON1123100001")</f>
        <v>#NAME?</v>
      </c>
      <c r="N1856" s="3" t="e">
        <f ca="1">[1]!BexGetData("DP_1","003N8EMH8GTFRIVOG7KG9IX8U","GSON1123100001")</f>
        <v>#NAME?</v>
      </c>
      <c r="O1856" s="8" t="e">
        <f ca="1">[1]!BexGetData("DP_1","003N8EMH8GTFRIVOG7KG9J3KE","GSON1123100001")</f>
        <v>#NAME?</v>
      </c>
      <c r="P1856" s="3" t="e">
        <f ca="1">[1]!BexGetData("DP_1","003N8EMH8GTFRIVOG7KG9J9VY","GSON1123100001")</f>
        <v>#NAME?</v>
      </c>
      <c r="Q1856" s="4" t="e">
        <f ca="1">[1]!BexGetData("DP_1","00O2TNJGODT0G5Z4TTKYMM5MT","GSON1123100001")</f>
        <v>#NAME?</v>
      </c>
      <c r="R1856" s="4" t="e">
        <f ca="1">[1]!BexGetData("DP_1","00O2TNJGODT0G5Z4TTKYMMBYD","GSON1123100001")</f>
        <v>#NAME?</v>
      </c>
      <c r="S1856" s="4" t="e">
        <f ca="1">[1]!BexGetData("DP_1","00O2TNJGODT0G5Z4TTKYMMI9X","GSON1123100001")</f>
        <v>#NAME?</v>
      </c>
      <c r="T1856" s="4" t="e">
        <f ca="1">[1]!BexGetData("DP_1","00O2TNJGODT0G5Z4TTKYMMOLH","GSON1123100001")</f>
        <v>#NAME?</v>
      </c>
      <c r="U1856" s="4" t="e">
        <f ca="1">[1]!BexGetData("DP_1","00O2TNJGODT0G5Z4TTKYMMUX1","GSON1123100001")</f>
        <v>#NAME?</v>
      </c>
      <c r="V1856" s="4" t="e">
        <f ca="1">[1]!BexGetData("DP_1","00O2TNJGODT0G5Z4TTKYMN18L","GSON1123100001")</f>
        <v>#NAME?</v>
      </c>
      <c r="W1856" s="4" t="e">
        <f ca="1">[1]!BexGetData("DP_1","00O2TNJGODT0G5Z4TTKYMN7K5","GSON1123100001")</f>
        <v>#NAME?</v>
      </c>
    </row>
    <row r="1857" spans="1:23" x14ac:dyDescent="0.2">
      <c r="A1857" s="16" t="s">
        <v>4581</v>
      </c>
      <c r="B1857" s="7" t="s">
        <v>4582</v>
      </c>
      <c r="C1857" s="3" t="e">
        <f ca="1">[1]!BexGetData("DP_1","003N8EMH8GTFRCSWKMPXRR8GU","GSON1123100002")</f>
        <v>#NAME?</v>
      </c>
      <c r="D1857" s="3" t="e">
        <f ca="1">[1]!BexGetData("DP_1","003N8EMH8GTFRCSWKMPXRRESE","GSON1123100002")</f>
        <v>#NAME?</v>
      </c>
      <c r="E1857" s="8" t="e">
        <f ca="1">[1]!BexGetData("DP_1","003N8EMH8GTFRCSWKMPXRRL3Y","GSON1123100002")</f>
        <v>#NAME?</v>
      </c>
      <c r="F1857" s="4" t="e">
        <f ca="1">[1]!BexGetData("DP_1","003N8EMH8GTFRCSWKMPXRRRFI","GSON1123100002")</f>
        <v>#NAME?</v>
      </c>
      <c r="G1857" s="4" t="e">
        <f ca="1">[1]!BexGetData("DP_1","003N8EMH8GTFRCSWKMPXRRXR2","GSON1123100002")</f>
        <v>#NAME?</v>
      </c>
      <c r="H1857" s="4" t="e">
        <f ca="1">[1]!BexGetData("DP_1","003N8EMH8GTFRCSWKMPXRS42M","GSON1123100002")</f>
        <v>#NAME?</v>
      </c>
      <c r="I1857" s="4" t="e">
        <f ca="1">[1]!BexGetData("DP_1","003N8EMH8GTFRCSWKMPXRSAE6","GSON1123100002")</f>
        <v>#NAME?</v>
      </c>
      <c r="J1857" s="4" t="e">
        <f ca="1">[1]!BexGetData("DP_1","003N8EMH8GTFRCSWKMPXRSGPQ","GSON1123100002")</f>
        <v>#NAME?</v>
      </c>
      <c r="K1857" s="8" t="e">
        <f ca="1">[1]!BexGetData("DP_1","003N8EMH8GTFRIVNUPY288VJH","GSON1123100002")</f>
        <v>#NAME?</v>
      </c>
      <c r="L1857" s="8" t="e">
        <f ca="1">[1]!BexGetData("DP_1","003N8EMH8GTFRIVNUPY2891V1","GSON1123100002")</f>
        <v>#NAME?</v>
      </c>
      <c r="M1857" s="8" t="e">
        <f ca="1">[1]!BexGetData("DP_1","003N8EMH8GTFRIVOG7KG9IQXA","GSON1123100002")</f>
        <v>#NAME?</v>
      </c>
      <c r="N1857" s="8" t="e">
        <f ca="1">[1]!BexGetData("DP_1","003N8EMH8GTFRIVOG7KG9IX8U","GSON1123100002")</f>
        <v>#NAME?</v>
      </c>
      <c r="O1857" s="8" t="e">
        <f ca="1">[1]!BexGetData("DP_1","003N8EMH8GTFRIVOG7KG9J3KE","GSON1123100002")</f>
        <v>#NAME?</v>
      </c>
      <c r="P1857" s="8" t="e">
        <f ca="1">[1]!BexGetData("DP_1","003N8EMH8GTFRIVOG7KG9J9VY","GSON1123100002")</f>
        <v>#NAME?</v>
      </c>
      <c r="Q1857" s="4" t="e">
        <f ca="1">[1]!BexGetData("DP_1","00O2TNJGODT0G5Z4TTKYMM5MT","GSON1123100002")</f>
        <v>#NAME?</v>
      </c>
      <c r="R1857" s="4" t="e">
        <f ca="1">[1]!BexGetData("DP_1","00O2TNJGODT0G5Z4TTKYMMBYD","GSON1123100002")</f>
        <v>#NAME?</v>
      </c>
      <c r="S1857" s="4" t="e">
        <f ca="1">[1]!BexGetData("DP_1","00O2TNJGODT0G5Z4TTKYMMI9X","GSON1123100002")</f>
        <v>#NAME?</v>
      </c>
      <c r="T1857" s="4" t="e">
        <f ca="1">[1]!BexGetData("DP_1","00O2TNJGODT0G5Z4TTKYMMOLH","GSON1123100002")</f>
        <v>#NAME?</v>
      </c>
      <c r="U1857" s="4" t="e">
        <f ca="1">[1]!BexGetData("DP_1","00O2TNJGODT0G5Z4TTKYMMUX1","GSON1123100002")</f>
        <v>#NAME?</v>
      </c>
      <c r="V1857" s="4" t="e">
        <f ca="1">[1]!BexGetData("DP_1","00O2TNJGODT0G5Z4TTKYMN18L","GSON1123100002")</f>
        <v>#NAME?</v>
      </c>
      <c r="W1857" s="4" t="e">
        <f ca="1">[1]!BexGetData("DP_1","00O2TNJGODT0G5Z4TTKYMN7K5","GSON1123100002")</f>
        <v>#NAME?</v>
      </c>
    </row>
    <row r="1858" spans="1:23" x14ac:dyDescent="0.2">
      <c r="A1858" s="16" t="s">
        <v>1694</v>
      </c>
      <c r="B1858" s="7" t="s">
        <v>1695</v>
      </c>
      <c r="C1858" s="3" t="e">
        <f ca="1">[1]!BexGetData("DP_1","003N8EMH8GTFRCSWKMPXRR8GU","GSON1123100003")</f>
        <v>#NAME?</v>
      </c>
      <c r="D1858" s="3" t="e">
        <f ca="1">[1]!BexGetData("DP_1","003N8EMH8GTFRCSWKMPXRRESE","GSON1123100003")</f>
        <v>#NAME?</v>
      </c>
      <c r="E1858" s="3" t="e">
        <f ca="1">[1]!BexGetData("DP_1","003N8EMH8GTFRCSWKMPXRRL3Y","GSON1123100003")</f>
        <v>#NAME?</v>
      </c>
      <c r="F1858" s="4" t="e">
        <f ca="1">[1]!BexGetData("DP_1","003N8EMH8GTFRCSWKMPXRRRFI","GSON1123100003")</f>
        <v>#NAME?</v>
      </c>
      <c r="G1858" s="4" t="e">
        <f ca="1">[1]!BexGetData("DP_1","003N8EMH8GTFRCSWKMPXRRXR2","GSON1123100003")</f>
        <v>#NAME?</v>
      </c>
      <c r="H1858" s="4" t="e">
        <f ca="1">[1]!BexGetData("DP_1","003N8EMH8GTFRCSWKMPXRS42M","GSON1123100003")</f>
        <v>#NAME?</v>
      </c>
      <c r="I1858" s="4" t="e">
        <f ca="1">[1]!BexGetData("DP_1","003N8EMH8GTFRCSWKMPXRSAE6","GSON1123100003")</f>
        <v>#NAME?</v>
      </c>
      <c r="J1858" s="4" t="e">
        <f ca="1">[1]!BexGetData("DP_1","003N8EMH8GTFRCSWKMPXRSGPQ","GSON1123100003")</f>
        <v>#NAME?</v>
      </c>
      <c r="K1858" s="3" t="e">
        <f ca="1">[1]!BexGetData("DP_1","003N8EMH8GTFRIVNUPY288VJH","GSON1123100003")</f>
        <v>#NAME?</v>
      </c>
      <c r="L1858" s="3" t="e">
        <f ca="1">[1]!BexGetData("DP_1","003N8EMH8GTFRIVNUPY2891V1","GSON1123100003")</f>
        <v>#NAME?</v>
      </c>
      <c r="M1858" s="8" t="e">
        <f ca="1">[1]!BexGetData("DP_1","003N8EMH8GTFRIVOG7KG9IQXA","GSON1123100003")</f>
        <v>#NAME?</v>
      </c>
      <c r="N1858" s="3" t="e">
        <f ca="1">[1]!BexGetData("DP_1","003N8EMH8GTFRIVOG7KG9IX8U","GSON1123100003")</f>
        <v>#NAME?</v>
      </c>
      <c r="O1858" s="8" t="e">
        <f ca="1">[1]!BexGetData("DP_1","003N8EMH8GTFRIVOG7KG9J3KE","GSON1123100003")</f>
        <v>#NAME?</v>
      </c>
      <c r="P1858" s="3" t="e">
        <f ca="1">[1]!BexGetData("DP_1","003N8EMH8GTFRIVOG7KG9J9VY","GSON1123100003")</f>
        <v>#NAME?</v>
      </c>
      <c r="Q1858" s="4" t="e">
        <f ca="1">[1]!BexGetData("DP_1","00O2TNJGODT0G5Z4TTKYMM5MT","GSON1123100003")</f>
        <v>#NAME?</v>
      </c>
      <c r="R1858" s="4" t="e">
        <f ca="1">[1]!BexGetData("DP_1","00O2TNJGODT0G5Z4TTKYMMBYD","GSON1123100003")</f>
        <v>#NAME?</v>
      </c>
      <c r="S1858" s="4" t="e">
        <f ca="1">[1]!BexGetData("DP_1","00O2TNJGODT0G5Z4TTKYMMI9X","GSON1123100003")</f>
        <v>#NAME?</v>
      </c>
      <c r="T1858" s="4" t="e">
        <f ca="1">[1]!BexGetData("DP_1","00O2TNJGODT0G5Z4TTKYMMOLH","GSON1123100003")</f>
        <v>#NAME?</v>
      </c>
      <c r="U1858" s="4" t="e">
        <f ca="1">[1]!BexGetData("DP_1","00O2TNJGODT0G5Z4TTKYMMUX1","GSON1123100003")</f>
        <v>#NAME?</v>
      </c>
      <c r="V1858" s="4" t="e">
        <f ca="1">[1]!BexGetData("DP_1","00O2TNJGODT0G5Z4TTKYMN18L","GSON1123100003")</f>
        <v>#NAME?</v>
      </c>
      <c r="W1858" s="4" t="e">
        <f ca="1">[1]!BexGetData("DP_1","00O2TNJGODT0G5Z4TTKYMN7K5","GSON1123100003")</f>
        <v>#NAME?</v>
      </c>
    </row>
    <row r="1859" spans="1:23" x14ac:dyDescent="0.2">
      <c r="A1859" s="16" t="s">
        <v>1221</v>
      </c>
      <c r="B1859" s="7" t="s">
        <v>1222</v>
      </c>
      <c r="C1859" s="3" t="e">
        <f ca="1">[1]!BexGetData("DP_1","003N8EMH8GTFRCSWKMPXRR8GU","GSON1123100006")</f>
        <v>#NAME?</v>
      </c>
      <c r="D1859" s="3" t="e">
        <f ca="1">[1]!BexGetData("DP_1","003N8EMH8GTFRCSWKMPXRRESE","GSON1123100006")</f>
        <v>#NAME?</v>
      </c>
      <c r="E1859" s="3" t="e">
        <f ca="1">[1]!BexGetData("DP_1","003N8EMH8GTFRCSWKMPXRRL3Y","GSON1123100006")</f>
        <v>#NAME?</v>
      </c>
      <c r="F1859" s="3" t="e">
        <f ca="1">[1]!BexGetData("DP_1","003N8EMH8GTFRCSWKMPXRRRFI","GSON1123100006")</f>
        <v>#NAME?</v>
      </c>
      <c r="G1859" s="3" t="e">
        <f ca="1">[1]!BexGetData("DP_1","003N8EMH8GTFRCSWKMPXRRXR2","GSON1123100006")</f>
        <v>#NAME?</v>
      </c>
      <c r="H1859" s="3" t="e">
        <f ca="1">[1]!BexGetData("DP_1","003N8EMH8GTFRCSWKMPXRS42M","GSON1123100006")</f>
        <v>#NAME?</v>
      </c>
      <c r="I1859" s="3" t="e">
        <f ca="1">[1]!BexGetData("DP_1","003N8EMH8GTFRCSWKMPXRSAE6","GSON1123100006")</f>
        <v>#NAME?</v>
      </c>
      <c r="J1859" s="4" t="e">
        <f ca="1">[1]!BexGetData("DP_1","003N8EMH8GTFRCSWKMPXRSGPQ","GSON1123100006")</f>
        <v>#NAME?</v>
      </c>
      <c r="K1859" s="3" t="e">
        <f ca="1">[1]!BexGetData("DP_1","003N8EMH8GTFRIVNUPY288VJH","GSON1123100006")</f>
        <v>#NAME?</v>
      </c>
      <c r="L1859" s="3" t="e">
        <f ca="1">[1]!BexGetData("DP_1","003N8EMH8GTFRIVNUPY2891V1","GSON1123100006")</f>
        <v>#NAME?</v>
      </c>
      <c r="M1859" s="3" t="e">
        <f ca="1">[1]!BexGetData("DP_1","003N8EMH8GTFRIVOG7KG9IQXA","GSON1123100006")</f>
        <v>#NAME?</v>
      </c>
      <c r="N1859" s="8" t="e">
        <f ca="1">[1]!BexGetData("DP_1","003N8EMH8GTFRIVOG7KG9IX8U","GSON1123100006")</f>
        <v>#NAME?</v>
      </c>
      <c r="O1859" s="3" t="e">
        <f ca="1">[1]!BexGetData("DP_1","003N8EMH8GTFRIVOG7KG9J3KE","GSON1123100006")</f>
        <v>#NAME?</v>
      </c>
      <c r="P1859" s="8" t="e">
        <f ca="1">[1]!BexGetData("DP_1","003N8EMH8GTFRIVOG7KG9J9VY","GSON1123100006")</f>
        <v>#NAME?</v>
      </c>
      <c r="Q1859" s="4" t="e">
        <f ca="1">[1]!BexGetData("DP_1","00O2TNJGODT0G5Z4TTKYMM5MT","GSON1123100006")</f>
        <v>#NAME?</v>
      </c>
      <c r="R1859" s="3" t="e">
        <f ca="1">[1]!BexGetData("DP_1","00O2TNJGODT0G5Z4TTKYMMBYD","GSON1123100006")</f>
        <v>#NAME?</v>
      </c>
      <c r="S1859" s="3" t="e">
        <f ca="1">[1]!BexGetData("DP_1","00O2TNJGODT0G5Z4TTKYMMI9X","GSON1123100006")</f>
        <v>#NAME?</v>
      </c>
      <c r="T1859" s="8" t="e">
        <f ca="1">[1]!BexGetData("DP_1","00O2TNJGODT0G5Z4TTKYMMOLH","GSON1123100006")</f>
        <v>#NAME?</v>
      </c>
      <c r="U1859" s="3" t="e">
        <f ca="1">[1]!BexGetData("DP_1","00O2TNJGODT0G5Z4TTKYMMUX1","GSON1123100006")</f>
        <v>#NAME?</v>
      </c>
      <c r="V1859" s="8" t="e">
        <f ca="1">[1]!BexGetData("DP_1","00O2TNJGODT0G5Z4TTKYMN18L","GSON1123100006")</f>
        <v>#NAME?</v>
      </c>
      <c r="W1859" s="3" t="e">
        <f ca="1">[1]!BexGetData("DP_1","00O2TNJGODT0G5Z4TTKYMN7K5","GSON1123100006")</f>
        <v>#NAME?</v>
      </c>
    </row>
    <row r="1860" spans="1:23" x14ac:dyDescent="0.2">
      <c r="A1860" s="16" t="s">
        <v>673</v>
      </c>
      <c r="B1860" s="7" t="s">
        <v>674</v>
      </c>
      <c r="C1860" s="3" t="e">
        <f ca="1">[1]!BexGetData("DP_1","003N8EMH8GTFRCSWKMPXRR8GU","GSON1123200001")</f>
        <v>#NAME?</v>
      </c>
      <c r="D1860" s="3" t="e">
        <f ca="1">[1]!BexGetData("DP_1","003N8EMH8GTFRCSWKMPXRRESE","GSON1123200001")</f>
        <v>#NAME?</v>
      </c>
      <c r="E1860" s="3" t="e">
        <f ca="1">[1]!BexGetData("DP_1","003N8EMH8GTFRCSWKMPXRRL3Y","GSON1123200001")</f>
        <v>#NAME?</v>
      </c>
      <c r="F1860" s="4" t="e">
        <f ca="1">[1]!BexGetData("DP_1","003N8EMH8GTFRCSWKMPXRRRFI","GSON1123200001")</f>
        <v>#NAME?</v>
      </c>
      <c r="G1860" s="4" t="e">
        <f ca="1">[1]!BexGetData("DP_1","003N8EMH8GTFRCSWKMPXRRXR2","GSON1123200001")</f>
        <v>#NAME?</v>
      </c>
      <c r="H1860" s="4" t="e">
        <f ca="1">[1]!BexGetData("DP_1","003N8EMH8GTFRCSWKMPXRS42M","GSON1123200001")</f>
        <v>#NAME?</v>
      </c>
      <c r="I1860" s="4" t="e">
        <f ca="1">[1]!BexGetData("DP_1","003N8EMH8GTFRCSWKMPXRSAE6","GSON1123200001")</f>
        <v>#NAME?</v>
      </c>
      <c r="J1860" s="4" t="e">
        <f ca="1">[1]!BexGetData("DP_1","003N8EMH8GTFRCSWKMPXRSGPQ","GSON1123200001")</f>
        <v>#NAME?</v>
      </c>
      <c r="K1860" s="3" t="e">
        <f ca="1">[1]!BexGetData("DP_1","003N8EMH8GTFRIVNUPY288VJH","GSON1123200001")</f>
        <v>#NAME?</v>
      </c>
      <c r="L1860" s="3" t="e">
        <f ca="1">[1]!BexGetData("DP_1","003N8EMH8GTFRIVNUPY2891V1","GSON1123200001")</f>
        <v>#NAME?</v>
      </c>
      <c r="M1860" s="8" t="e">
        <f ca="1">[1]!BexGetData("DP_1","003N8EMH8GTFRIVOG7KG9IQXA","GSON1123200001")</f>
        <v>#NAME?</v>
      </c>
      <c r="N1860" s="3" t="e">
        <f ca="1">[1]!BexGetData("DP_1","003N8EMH8GTFRIVOG7KG9IX8U","GSON1123200001")</f>
        <v>#NAME?</v>
      </c>
      <c r="O1860" s="8" t="e">
        <f ca="1">[1]!BexGetData("DP_1","003N8EMH8GTFRIVOG7KG9J3KE","GSON1123200001")</f>
        <v>#NAME?</v>
      </c>
      <c r="P1860" s="3" t="e">
        <f ca="1">[1]!BexGetData("DP_1","003N8EMH8GTFRIVOG7KG9J9VY","GSON1123200001")</f>
        <v>#NAME?</v>
      </c>
      <c r="Q1860" s="4" t="e">
        <f ca="1">[1]!BexGetData("DP_1","00O2TNJGODT0G5Z4TTKYMM5MT","GSON1123200001")</f>
        <v>#NAME?</v>
      </c>
      <c r="R1860" s="4" t="e">
        <f ca="1">[1]!BexGetData("DP_1","00O2TNJGODT0G5Z4TTKYMMBYD","GSON1123200001")</f>
        <v>#NAME?</v>
      </c>
      <c r="S1860" s="4" t="e">
        <f ca="1">[1]!BexGetData("DP_1","00O2TNJGODT0G5Z4TTKYMMI9X","GSON1123200001")</f>
        <v>#NAME?</v>
      </c>
      <c r="T1860" s="4" t="e">
        <f ca="1">[1]!BexGetData("DP_1","00O2TNJGODT0G5Z4TTKYMMOLH","GSON1123200001")</f>
        <v>#NAME?</v>
      </c>
      <c r="U1860" s="4" t="e">
        <f ca="1">[1]!BexGetData("DP_1","00O2TNJGODT0G5Z4TTKYMMUX1","GSON1123200001")</f>
        <v>#NAME?</v>
      </c>
      <c r="V1860" s="4" t="e">
        <f ca="1">[1]!BexGetData("DP_1","00O2TNJGODT0G5Z4TTKYMN18L","GSON1123200001")</f>
        <v>#NAME?</v>
      </c>
      <c r="W1860" s="4" t="e">
        <f ca="1">[1]!BexGetData("DP_1","00O2TNJGODT0G5Z4TTKYMN7K5","GSON1123200001")</f>
        <v>#NAME?</v>
      </c>
    </row>
    <row r="1861" spans="1:23" x14ac:dyDescent="0.2">
      <c r="A1861" s="15" t="s">
        <v>452</v>
      </c>
      <c r="B1861" s="7" t="s">
        <v>453</v>
      </c>
      <c r="C1861" s="3" t="e">
        <f ca="1">[1]!BexGetData("DP_1","003N8EMH8GTFRCSWKMPXRR8GU","GSON1124")</f>
        <v>#NAME?</v>
      </c>
      <c r="D1861" s="3" t="e">
        <f ca="1">[1]!BexGetData("DP_1","003N8EMH8GTFRCSWKMPXRRESE","GSON1124")</f>
        <v>#NAME?</v>
      </c>
      <c r="E1861" s="3" t="e">
        <f ca="1">[1]!BexGetData("DP_1","003N8EMH8GTFRCSWKMPXRRL3Y","GSON1124")</f>
        <v>#NAME?</v>
      </c>
      <c r="F1861" s="3" t="e">
        <f ca="1">[1]!BexGetData("DP_1","003N8EMH8GTFRCSWKMPXRRRFI","GSON1124")</f>
        <v>#NAME?</v>
      </c>
      <c r="G1861" s="3" t="e">
        <f ca="1">[1]!BexGetData("DP_1","003N8EMH8GTFRCSWKMPXRRXR2","GSON1124")</f>
        <v>#NAME?</v>
      </c>
      <c r="H1861" s="3" t="e">
        <f ca="1">[1]!BexGetData("DP_1","003N8EMH8GTFRCSWKMPXRS42M","GSON1124")</f>
        <v>#NAME?</v>
      </c>
      <c r="I1861" s="3" t="e">
        <f ca="1">[1]!BexGetData("DP_1","003N8EMH8GTFRCSWKMPXRSAE6","GSON1124")</f>
        <v>#NAME?</v>
      </c>
      <c r="J1861" s="4" t="e">
        <f ca="1">[1]!BexGetData("DP_1","003N8EMH8GTFRCSWKMPXRSGPQ","GSON1124")</f>
        <v>#NAME?</v>
      </c>
      <c r="K1861" s="3" t="e">
        <f ca="1">[1]!BexGetData("DP_1","003N8EMH8GTFRIVNUPY288VJH","GSON1124")</f>
        <v>#NAME?</v>
      </c>
      <c r="L1861" s="3" t="e">
        <f ca="1">[1]!BexGetData("DP_1","003N8EMH8GTFRIVNUPY2891V1","GSON1124")</f>
        <v>#NAME?</v>
      </c>
      <c r="M1861" s="8" t="e">
        <f ca="1">[1]!BexGetData("DP_1","003N8EMH8GTFRIVOG7KG9IQXA","GSON1124")</f>
        <v>#NAME?</v>
      </c>
      <c r="N1861" s="3" t="e">
        <f ca="1">[1]!BexGetData("DP_1","003N8EMH8GTFRIVOG7KG9IX8U","GSON1124")</f>
        <v>#NAME?</v>
      </c>
      <c r="O1861" s="8" t="e">
        <f ca="1">[1]!BexGetData("DP_1","003N8EMH8GTFRIVOG7KG9J3KE","GSON1124")</f>
        <v>#NAME?</v>
      </c>
      <c r="P1861" s="3" t="e">
        <f ca="1">[1]!BexGetData("DP_1","003N8EMH8GTFRIVOG7KG9J9VY","GSON1124")</f>
        <v>#NAME?</v>
      </c>
      <c r="Q1861" s="4" t="e">
        <f ca="1">[1]!BexGetData("DP_1","00O2TNJGODT0G5Z4TTKYMM5MT","GSON1124")</f>
        <v>#NAME?</v>
      </c>
      <c r="R1861" s="3" t="e">
        <f ca="1">[1]!BexGetData("DP_1","00O2TNJGODT0G5Z4TTKYMMBYD","GSON1124")</f>
        <v>#NAME?</v>
      </c>
      <c r="S1861" s="3" t="e">
        <f ca="1">[1]!BexGetData("DP_1","00O2TNJGODT0G5Z4TTKYMMI9X","GSON1124")</f>
        <v>#NAME?</v>
      </c>
      <c r="T1861" s="8" t="e">
        <f ca="1">[1]!BexGetData("DP_1","00O2TNJGODT0G5Z4TTKYMMOLH","GSON1124")</f>
        <v>#NAME?</v>
      </c>
      <c r="U1861" s="3" t="e">
        <f ca="1">[1]!BexGetData("DP_1","00O2TNJGODT0G5Z4TTKYMMUX1","GSON1124")</f>
        <v>#NAME?</v>
      </c>
      <c r="V1861" s="8" t="e">
        <f ca="1">[1]!BexGetData("DP_1","00O2TNJGODT0G5Z4TTKYMN18L","GSON1124")</f>
        <v>#NAME?</v>
      </c>
      <c r="W1861" s="3" t="e">
        <f ca="1">[1]!BexGetData("DP_1","00O2TNJGODT0G5Z4TTKYMN7K5","GSON1124")</f>
        <v>#NAME?</v>
      </c>
    </row>
    <row r="1862" spans="1:23" x14ac:dyDescent="0.2">
      <c r="A1862" s="16" t="s">
        <v>1223</v>
      </c>
      <c r="B1862" s="7" t="s">
        <v>675</v>
      </c>
      <c r="C1862" s="3" t="e">
        <f ca="1">[1]!BexGetData("DP_1","003N8EMH8GTFRCSWKMPXRR8GU","GSON1124100011")</f>
        <v>#NAME?</v>
      </c>
      <c r="D1862" s="3" t="e">
        <f ca="1">[1]!BexGetData("DP_1","003N8EMH8GTFRCSWKMPXRRESE","GSON1124100011")</f>
        <v>#NAME?</v>
      </c>
      <c r="E1862" s="8" t="e">
        <f ca="1">[1]!BexGetData("DP_1","003N8EMH8GTFRCSWKMPXRRL3Y","GSON1124100011")</f>
        <v>#NAME?</v>
      </c>
      <c r="F1862" s="4" t="e">
        <f ca="1">[1]!BexGetData("DP_1","003N8EMH8GTFRCSWKMPXRRRFI","GSON1124100011")</f>
        <v>#NAME?</v>
      </c>
      <c r="G1862" s="4" t="e">
        <f ca="1">[1]!BexGetData("DP_1","003N8EMH8GTFRCSWKMPXRRXR2","GSON1124100011")</f>
        <v>#NAME?</v>
      </c>
      <c r="H1862" s="4" t="e">
        <f ca="1">[1]!BexGetData("DP_1","003N8EMH8GTFRCSWKMPXRS42M","GSON1124100011")</f>
        <v>#NAME?</v>
      </c>
      <c r="I1862" s="4" t="e">
        <f ca="1">[1]!BexGetData("DP_1","003N8EMH8GTFRCSWKMPXRSAE6","GSON1124100011")</f>
        <v>#NAME?</v>
      </c>
      <c r="J1862" s="4" t="e">
        <f ca="1">[1]!BexGetData("DP_1","003N8EMH8GTFRCSWKMPXRSGPQ","GSON1124100011")</f>
        <v>#NAME?</v>
      </c>
      <c r="K1862" s="8" t="e">
        <f ca="1">[1]!BexGetData("DP_1","003N8EMH8GTFRIVNUPY288VJH","GSON1124100011")</f>
        <v>#NAME?</v>
      </c>
      <c r="L1862" s="8" t="e">
        <f ca="1">[1]!BexGetData("DP_1","003N8EMH8GTFRIVNUPY2891V1","GSON1124100011")</f>
        <v>#NAME?</v>
      </c>
      <c r="M1862" s="8" t="e">
        <f ca="1">[1]!BexGetData("DP_1","003N8EMH8GTFRIVOG7KG9IQXA","GSON1124100011")</f>
        <v>#NAME?</v>
      </c>
      <c r="N1862" s="8" t="e">
        <f ca="1">[1]!BexGetData("DP_1","003N8EMH8GTFRIVOG7KG9IX8U","GSON1124100011")</f>
        <v>#NAME?</v>
      </c>
      <c r="O1862" s="8" t="e">
        <f ca="1">[1]!BexGetData("DP_1","003N8EMH8GTFRIVOG7KG9J3KE","GSON1124100011")</f>
        <v>#NAME?</v>
      </c>
      <c r="P1862" s="8" t="e">
        <f ca="1">[1]!BexGetData("DP_1","003N8EMH8GTFRIVOG7KG9J9VY","GSON1124100011")</f>
        <v>#NAME?</v>
      </c>
      <c r="Q1862" s="4" t="e">
        <f ca="1">[1]!BexGetData("DP_1","00O2TNJGODT0G5Z4TTKYMM5MT","GSON1124100011")</f>
        <v>#NAME?</v>
      </c>
      <c r="R1862" s="4" t="e">
        <f ca="1">[1]!BexGetData("DP_1","00O2TNJGODT0G5Z4TTKYMMBYD","GSON1124100011")</f>
        <v>#NAME?</v>
      </c>
      <c r="S1862" s="4" t="e">
        <f ca="1">[1]!BexGetData("DP_1","00O2TNJGODT0G5Z4TTKYMMI9X","GSON1124100011")</f>
        <v>#NAME?</v>
      </c>
      <c r="T1862" s="4" t="e">
        <f ca="1">[1]!BexGetData("DP_1","00O2TNJGODT0G5Z4TTKYMMOLH","GSON1124100011")</f>
        <v>#NAME?</v>
      </c>
      <c r="U1862" s="4" t="e">
        <f ca="1">[1]!BexGetData("DP_1","00O2TNJGODT0G5Z4TTKYMMUX1","GSON1124100011")</f>
        <v>#NAME?</v>
      </c>
      <c r="V1862" s="4" t="e">
        <f ca="1">[1]!BexGetData("DP_1","00O2TNJGODT0G5Z4TTKYMN18L","GSON1124100011")</f>
        <v>#NAME?</v>
      </c>
      <c r="W1862" s="4" t="e">
        <f ca="1">[1]!BexGetData("DP_1","00O2TNJGODT0G5Z4TTKYMN7K5","GSON1124100011")</f>
        <v>#NAME?</v>
      </c>
    </row>
    <row r="1863" spans="1:23" x14ac:dyDescent="0.2">
      <c r="A1863" s="16" t="s">
        <v>1224</v>
      </c>
      <c r="B1863" s="7" t="s">
        <v>454</v>
      </c>
      <c r="C1863" s="3" t="e">
        <f ca="1">[1]!BexGetData("DP_1","003N8EMH8GTFRCSWKMPXRR8GU","GSON1124100013")</f>
        <v>#NAME?</v>
      </c>
      <c r="D1863" s="3" t="e">
        <f ca="1">[1]!BexGetData("DP_1","003N8EMH8GTFRCSWKMPXRRESE","GSON1124100013")</f>
        <v>#NAME?</v>
      </c>
      <c r="E1863" s="8" t="e">
        <f ca="1">[1]!BexGetData("DP_1","003N8EMH8GTFRCSWKMPXRRL3Y","GSON1124100013")</f>
        <v>#NAME?</v>
      </c>
      <c r="F1863" s="4" t="e">
        <f ca="1">[1]!BexGetData("DP_1","003N8EMH8GTFRCSWKMPXRRRFI","GSON1124100013")</f>
        <v>#NAME?</v>
      </c>
      <c r="G1863" s="4" t="e">
        <f ca="1">[1]!BexGetData("DP_1","003N8EMH8GTFRCSWKMPXRRXR2","GSON1124100013")</f>
        <v>#NAME?</v>
      </c>
      <c r="H1863" s="4" t="e">
        <f ca="1">[1]!BexGetData("DP_1","003N8EMH8GTFRCSWKMPXRS42M","GSON1124100013")</f>
        <v>#NAME?</v>
      </c>
      <c r="I1863" s="4" t="e">
        <f ca="1">[1]!BexGetData("DP_1","003N8EMH8GTFRCSWKMPXRSAE6","GSON1124100013")</f>
        <v>#NAME?</v>
      </c>
      <c r="J1863" s="4" t="e">
        <f ca="1">[1]!BexGetData("DP_1","003N8EMH8GTFRCSWKMPXRSGPQ","GSON1124100013")</f>
        <v>#NAME?</v>
      </c>
      <c r="K1863" s="8" t="e">
        <f ca="1">[1]!BexGetData("DP_1","003N8EMH8GTFRIVNUPY288VJH","GSON1124100013")</f>
        <v>#NAME?</v>
      </c>
      <c r="L1863" s="8" t="e">
        <f ca="1">[1]!BexGetData("DP_1","003N8EMH8GTFRIVNUPY2891V1","GSON1124100013")</f>
        <v>#NAME?</v>
      </c>
      <c r="M1863" s="8" t="e">
        <f ca="1">[1]!BexGetData("DP_1","003N8EMH8GTFRIVOG7KG9IQXA","GSON1124100013")</f>
        <v>#NAME?</v>
      </c>
      <c r="N1863" s="8" t="e">
        <f ca="1">[1]!BexGetData("DP_1","003N8EMH8GTFRIVOG7KG9IX8U","GSON1124100013")</f>
        <v>#NAME?</v>
      </c>
      <c r="O1863" s="8" t="e">
        <f ca="1">[1]!BexGetData("DP_1","003N8EMH8GTFRIVOG7KG9J3KE","GSON1124100013")</f>
        <v>#NAME?</v>
      </c>
      <c r="P1863" s="8" t="e">
        <f ca="1">[1]!BexGetData("DP_1","003N8EMH8GTFRIVOG7KG9J9VY","GSON1124100013")</f>
        <v>#NAME?</v>
      </c>
      <c r="Q1863" s="4" t="e">
        <f ca="1">[1]!BexGetData("DP_1","00O2TNJGODT0G5Z4TTKYMM5MT","GSON1124100013")</f>
        <v>#NAME?</v>
      </c>
      <c r="R1863" s="4" t="e">
        <f ca="1">[1]!BexGetData("DP_1","00O2TNJGODT0G5Z4TTKYMMBYD","GSON1124100013")</f>
        <v>#NAME?</v>
      </c>
      <c r="S1863" s="4" t="e">
        <f ca="1">[1]!BexGetData("DP_1","00O2TNJGODT0G5Z4TTKYMMI9X","GSON1124100013")</f>
        <v>#NAME?</v>
      </c>
      <c r="T1863" s="4" t="e">
        <f ca="1">[1]!BexGetData("DP_1","00O2TNJGODT0G5Z4TTKYMMOLH","GSON1124100013")</f>
        <v>#NAME?</v>
      </c>
      <c r="U1863" s="4" t="e">
        <f ca="1">[1]!BexGetData("DP_1","00O2TNJGODT0G5Z4TTKYMMUX1","GSON1124100013")</f>
        <v>#NAME?</v>
      </c>
      <c r="V1863" s="4" t="e">
        <f ca="1">[1]!BexGetData("DP_1","00O2TNJGODT0G5Z4TTKYMN18L","GSON1124100013")</f>
        <v>#NAME?</v>
      </c>
      <c r="W1863" s="4" t="e">
        <f ca="1">[1]!BexGetData("DP_1","00O2TNJGODT0G5Z4TTKYMN7K5","GSON1124100013")</f>
        <v>#NAME?</v>
      </c>
    </row>
    <row r="1864" spans="1:23" x14ac:dyDescent="0.2">
      <c r="A1864" s="16" t="s">
        <v>1225</v>
      </c>
      <c r="B1864" s="7" t="s">
        <v>629</v>
      </c>
      <c r="C1864" s="3" t="e">
        <f ca="1">[1]!BexGetData("DP_1","003N8EMH8GTFRCSWKMPXRR8GU","GSON1124100015")</f>
        <v>#NAME?</v>
      </c>
      <c r="D1864" s="3" t="e">
        <f ca="1">[1]!BexGetData("DP_1","003N8EMH8GTFRCSWKMPXRRESE","GSON1124100015")</f>
        <v>#NAME?</v>
      </c>
      <c r="E1864" s="8" t="e">
        <f ca="1">[1]!BexGetData("DP_1","003N8EMH8GTFRCSWKMPXRRL3Y","GSON1124100015")</f>
        <v>#NAME?</v>
      </c>
      <c r="F1864" s="4" t="e">
        <f ca="1">[1]!BexGetData("DP_1","003N8EMH8GTFRCSWKMPXRRRFI","GSON1124100015")</f>
        <v>#NAME?</v>
      </c>
      <c r="G1864" s="4" t="e">
        <f ca="1">[1]!BexGetData("DP_1","003N8EMH8GTFRCSWKMPXRRXR2","GSON1124100015")</f>
        <v>#NAME?</v>
      </c>
      <c r="H1864" s="4" t="e">
        <f ca="1">[1]!BexGetData("DP_1","003N8EMH8GTFRCSWKMPXRS42M","GSON1124100015")</f>
        <v>#NAME?</v>
      </c>
      <c r="I1864" s="4" t="e">
        <f ca="1">[1]!BexGetData("DP_1","003N8EMH8GTFRCSWKMPXRSAE6","GSON1124100015")</f>
        <v>#NAME?</v>
      </c>
      <c r="J1864" s="4" t="e">
        <f ca="1">[1]!BexGetData("DP_1","003N8EMH8GTFRCSWKMPXRSGPQ","GSON1124100015")</f>
        <v>#NAME?</v>
      </c>
      <c r="K1864" s="8" t="e">
        <f ca="1">[1]!BexGetData("DP_1","003N8EMH8GTFRIVNUPY288VJH","GSON1124100015")</f>
        <v>#NAME?</v>
      </c>
      <c r="L1864" s="8" t="e">
        <f ca="1">[1]!BexGetData("DP_1","003N8EMH8GTFRIVNUPY2891V1","GSON1124100015")</f>
        <v>#NAME?</v>
      </c>
      <c r="M1864" s="8" t="e">
        <f ca="1">[1]!BexGetData("DP_1","003N8EMH8GTFRIVOG7KG9IQXA","GSON1124100015")</f>
        <v>#NAME?</v>
      </c>
      <c r="N1864" s="8" t="e">
        <f ca="1">[1]!BexGetData("DP_1","003N8EMH8GTFRIVOG7KG9IX8U","GSON1124100015")</f>
        <v>#NAME?</v>
      </c>
      <c r="O1864" s="8" t="e">
        <f ca="1">[1]!BexGetData("DP_1","003N8EMH8GTFRIVOG7KG9J3KE","GSON1124100015")</f>
        <v>#NAME?</v>
      </c>
      <c r="P1864" s="8" t="e">
        <f ca="1">[1]!BexGetData("DP_1","003N8EMH8GTFRIVOG7KG9J9VY","GSON1124100015")</f>
        <v>#NAME?</v>
      </c>
      <c r="Q1864" s="4" t="e">
        <f ca="1">[1]!BexGetData("DP_1","00O2TNJGODT0G5Z4TTKYMM5MT","GSON1124100015")</f>
        <v>#NAME?</v>
      </c>
      <c r="R1864" s="4" t="e">
        <f ca="1">[1]!BexGetData("DP_1","00O2TNJGODT0G5Z4TTKYMMBYD","GSON1124100015")</f>
        <v>#NAME?</v>
      </c>
      <c r="S1864" s="4" t="e">
        <f ca="1">[1]!BexGetData("DP_1","00O2TNJGODT0G5Z4TTKYMMI9X","GSON1124100015")</f>
        <v>#NAME?</v>
      </c>
      <c r="T1864" s="4" t="e">
        <f ca="1">[1]!BexGetData("DP_1","00O2TNJGODT0G5Z4TTKYMMOLH","GSON1124100015")</f>
        <v>#NAME?</v>
      </c>
      <c r="U1864" s="4" t="e">
        <f ca="1">[1]!BexGetData("DP_1","00O2TNJGODT0G5Z4TTKYMMUX1","GSON1124100015")</f>
        <v>#NAME?</v>
      </c>
      <c r="V1864" s="4" t="e">
        <f ca="1">[1]!BexGetData("DP_1","00O2TNJGODT0G5Z4TTKYMN18L","GSON1124100015")</f>
        <v>#NAME?</v>
      </c>
      <c r="W1864" s="4" t="e">
        <f ca="1">[1]!BexGetData("DP_1","00O2TNJGODT0G5Z4TTKYMN7K5","GSON1124100015")</f>
        <v>#NAME?</v>
      </c>
    </row>
    <row r="1865" spans="1:23" x14ac:dyDescent="0.2">
      <c r="A1865" s="16" t="s">
        <v>1226</v>
      </c>
      <c r="B1865" s="7" t="s">
        <v>456</v>
      </c>
      <c r="C1865" s="3" t="e">
        <f ca="1">[1]!BexGetData("DP_1","003N8EMH8GTFRCSWKMPXRR8GU","GSON1124100017")</f>
        <v>#NAME?</v>
      </c>
      <c r="D1865" s="3" t="e">
        <f ca="1">[1]!BexGetData("DP_1","003N8EMH8GTFRCSWKMPXRRESE","GSON1124100017")</f>
        <v>#NAME?</v>
      </c>
      <c r="E1865" s="3" t="e">
        <f ca="1">[1]!BexGetData("DP_1","003N8EMH8GTFRCSWKMPXRRL3Y","GSON1124100017")</f>
        <v>#NAME?</v>
      </c>
      <c r="F1865" s="4" t="e">
        <f ca="1">[1]!BexGetData("DP_1","003N8EMH8GTFRCSWKMPXRRRFI","GSON1124100017")</f>
        <v>#NAME?</v>
      </c>
      <c r="G1865" s="4" t="e">
        <f ca="1">[1]!BexGetData("DP_1","003N8EMH8GTFRCSWKMPXRRXR2","GSON1124100017")</f>
        <v>#NAME?</v>
      </c>
      <c r="H1865" s="4" t="e">
        <f ca="1">[1]!BexGetData("DP_1","003N8EMH8GTFRCSWKMPXRS42M","GSON1124100017")</f>
        <v>#NAME?</v>
      </c>
      <c r="I1865" s="4" t="e">
        <f ca="1">[1]!BexGetData("DP_1","003N8EMH8GTFRCSWKMPXRSAE6","GSON1124100017")</f>
        <v>#NAME?</v>
      </c>
      <c r="J1865" s="4" t="e">
        <f ca="1">[1]!BexGetData("DP_1","003N8EMH8GTFRCSWKMPXRSGPQ","GSON1124100017")</f>
        <v>#NAME?</v>
      </c>
      <c r="K1865" s="3" t="e">
        <f ca="1">[1]!BexGetData("DP_1","003N8EMH8GTFRIVNUPY288VJH","GSON1124100017")</f>
        <v>#NAME?</v>
      </c>
      <c r="L1865" s="3" t="e">
        <f ca="1">[1]!BexGetData("DP_1","003N8EMH8GTFRIVNUPY2891V1","GSON1124100017")</f>
        <v>#NAME?</v>
      </c>
      <c r="M1865" s="3" t="e">
        <f ca="1">[1]!BexGetData("DP_1","003N8EMH8GTFRIVOG7KG9IQXA","GSON1124100017")</f>
        <v>#NAME?</v>
      </c>
      <c r="N1865" s="8" t="e">
        <f ca="1">[1]!BexGetData("DP_1","003N8EMH8GTFRIVOG7KG9IX8U","GSON1124100017")</f>
        <v>#NAME?</v>
      </c>
      <c r="O1865" s="3" t="e">
        <f ca="1">[1]!BexGetData("DP_1","003N8EMH8GTFRIVOG7KG9J3KE","GSON1124100017")</f>
        <v>#NAME?</v>
      </c>
      <c r="P1865" s="8" t="e">
        <f ca="1">[1]!BexGetData("DP_1","003N8EMH8GTFRIVOG7KG9J9VY","GSON1124100017")</f>
        <v>#NAME?</v>
      </c>
      <c r="Q1865" s="4" t="e">
        <f ca="1">[1]!BexGetData("DP_1","00O2TNJGODT0G5Z4TTKYMM5MT","GSON1124100017")</f>
        <v>#NAME?</v>
      </c>
      <c r="R1865" s="4" t="e">
        <f ca="1">[1]!BexGetData("DP_1","00O2TNJGODT0G5Z4TTKYMMBYD","GSON1124100017")</f>
        <v>#NAME?</v>
      </c>
      <c r="S1865" s="4" t="e">
        <f ca="1">[1]!BexGetData("DP_1","00O2TNJGODT0G5Z4TTKYMMI9X","GSON1124100017")</f>
        <v>#NAME?</v>
      </c>
      <c r="T1865" s="4" t="e">
        <f ca="1">[1]!BexGetData("DP_1","00O2TNJGODT0G5Z4TTKYMMOLH","GSON1124100017")</f>
        <v>#NAME?</v>
      </c>
      <c r="U1865" s="4" t="e">
        <f ca="1">[1]!BexGetData("DP_1","00O2TNJGODT0G5Z4TTKYMMUX1","GSON1124100017")</f>
        <v>#NAME?</v>
      </c>
      <c r="V1865" s="4" t="e">
        <f ca="1">[1]!BexGetData("DP_1","00O2TNJGODT0G5Z4TTKYMN18L","GSON1124100017")</f>
        <v>#NAME?</v>
      </c>
      <c r="W1865" s="4" t="e">
        <f ca="1">[1]!BexGetData("DP_1","00O2TNJGODT0G5Z4TTKYMN7K5","GSON1124100017")</f>
        <v>#NAME?</v>
      </c>
    </row>
    <row r="1866" spans="1:23" x14ac:dyDescent="0.2">
      <c r="A1866" s="16" t="s">
        <v>1227</v>
      </c>
      <c r="B1866" s="7" t="s">
        <v>457</v>
      </c>
      <c r="C1866" s="3" t="e">
        <f ca="1">[1]!BexGetData("DP_1","003N8EMH8GTFRCSWKMPXRR8GU","GSON1124100018")</f>
        <v>#NAME?</v>
      </c>
      <c r="D1866" s="3" t="e">
        <f ca="1">[1]!BexGetData("DP_1","003N8EMH8GTFRCSWKMPXRRESE","GSON1124100018")</f>
        <v>#NAME?</v>
      </c>
      <c r="E1866" s="8" t="e">
        <f ca="1">[1]!BexGetData("DP_1","003N8EMH8GTFRCSWKMPXRRL3Y","GSON1124100018")</f>
        <v>#NAME?</v>
      </c>
      <c r="F1866" s="4" t="e">
        <f ca="1">[1]!BexGetData("DP_1","003N8EMH8GTFRCSWKMPXRRRFI","GSON1124100018")</f>
        <v>#NAME?</v>
      </c>
      <c r="G1866" s="4" t="e">
        <f ca="1">[1]!BexGetData("DP_1","003N8EMH8GTFRCSWKMPXRRXR2","GSON1124100018")</f>
        <v>#NAME?</v>
      </c>
      <c r="H1866" s="4" t="e">
        <f ca="1">[1]!BexGetData("DP_1","003N8EMH8GTFRCSWKMPXRS42M","GSON1124100018")</f>
        <v>#NAME?</v>
      </c>
      <c r="I1866" s="4" t="e">
        <f ca="1">[1]!BexGetData("DP_1","003N8EMH8GTFRCSWKMPXRSAE6","GSON1124100018")</f>
        <v>#NAME?</v>
      </c>
      <c r="J1866" s="4" t="e">
        <f ca="1">[1]!BexGetData("DP_1","003N8EMH8GTFRCSWKMPXRSGPQ","GSON1124100018")</f>
        <v>#NAME?</v>
      </c>
      <c r="K1866" s="8" t="e">
        <f ca="1">[1]!BexGetData("DP_1","003N8EMH8GTFRIVNUPY288VJH","GSON1124100018")</f>
        <v>#NAME?</v>
      </c>
      <c r="L1866" s="8" t="e">
        <f ca="1">[1]!BexGetData("DP_1","003N8EMH8GTFRIVNUPY2891V1","GSON1124100018")</f>
        <v>#NAME?</v>
      </c>
      <c r="M1866" s="8" t="e">
        <f ca="1">[1]!BexGetData("DP_1","003N8EMH8GTFRIVOG7KG9IQXA","GSON1124100018")</f>
        <v>#NAME?</v>
      </c>
      <c r="N1866" s="8" t="e">
        <f ca="1">[1]!BexGetData("DP_1","003N8EMH8GTFRIVOG7KG9IX8U","GSON1124100018")</f>
        <v>#NAME?</v>
      </c>
      <c r="O1866" s="8" t="e">
        <f ca="1">[1]!BexGetData("DP_1","003N8EMH8GTFRIVOG7KG9J3KE","GSON1124100018")</f>
        <v>#NAME?</v>
      </c>
      <c r="P1866" s="8" t="e">
        <f ca="1">[1]!BexGetData("DP_1","003N8EMH8GTFRIVOG7KG9J9VY","GSON1124100018")</f>
        <v>#NAME?</v>
      </c>
      <c r="Q1866" s="4" t="e">
        <f ca="1">[1]!BexGetData("DP_1","00O2TNJGODT0G5Z4TTKYMM5MT","GSON1124100018")</f>
        <v>#NAME?</v>
      </c>
      <c r="R1866" s="4" t="e">
        <f ca="1">[1]!BexGetData("DP_1","00O2TNJGODT0G5Z4TTKYMMBYD","GSON1124100018")</f>
        <v>#NAME?</v>
      </c>
      <c r="S1866" s="4" t="e">
        <f ca="1">[1]!BexGetData("DP_1","00O2TNJGODT0G5Z4TTKYMMI9X","GSON1124100018")</f>
        <v>#NAME?</v>
      </c>
      <c r="T1866" s="4" t="e">
        <f ca="1">[1]!BexGetData("DP_1","00O2TNJGODT0G5Z4TTKYMMOLH","GSON1124100018")</f>
        <v>#NAME?</v>
      </c>
      <c r="U1866" s="4" t="e">
        <f ca="1">[1]!BexGetData("DP_1","00O2TNJGODT0G5Z4TTKYMMUX1","GSON1124100018")</f>
        <v>#NAME?</v>
      </c>
      <c r="V1866" s="4" t="e">
        <f ca="1">[1]!BexGetData("DP_1","00O2TNJGODT0G5Z4TTKYMN18L","GSON1124100018")</f>
        <v>#NAME?</v>
      </c>
      <c r="W1866" s="4" t="e">
        <f ca="1">[1]!BexGetData("DP_1","00O2TNJGODT0G5Z4TTKYMN7K5","GSON1124100018")</f>
        <v>#NAME?</v>
      </c>
    </row>
    <row r="1867" spans="1:23" x14ac:dyDescent="0.2">
      <c r="A1867" s="16" t="s">
        <v>1228</v>
      </c>
      <c r="B1867" s="7" t="s">
        <v>458</v>
      </c>
      <c r="C1867" s="3" t="e">
        <f ca="1">[1]!BexGetData("DP_1","003N8EMH8GTFRCSWKMPXRR8GU","GSON1124100019")</f>
        <v>#NAME?</v>
      </c>
      <c r="D1867" s="3" t="e">
        <f ca="1">[1]!BexGetData("DP_1","003N8EMH8GTFRCSWKMPXRRESE","GSON1124100019")</f>
        <v>#NAME?</v>
      </c>
      <c r="E1867" s="8" t="e">
        <f ca="1">[1]!BexGetData("DP_1","003N8EMH8GTFRCSWKMPXRRL3Y","GSON1124100019")</f>
        <v>#NAME?</v>
      </c>
      <c r="F1867" s="4" t="e">
        <f ca="1">[1]!BexGetData("DP_1","003N8EMH8GTFRCSWKMPXRRRFI","GSON1124100019")</f>
        <v>#NAME?</v>
      </c>
      <c r="G1867" s="4" t="e">
        <f ca="1">[1]!BexGetData("DP_1","003N8EMH8GTFRCSWKMPXRRXR2","GSON1124100019")</f>
        <v>#NAME?</v>
      </c>
      <c r="H1867" s="4" t="e">
        <f ca="1">[1]!BexGetData("DP_1","003N8EMH8GTFRCSWKMPXRS42M","GSON1124100019")</f>
        <v>#NAME?</v>
      </c>
      <c r="I1867" s="4" t="e">
        <f ca="1">[1]!BexGetData("DP_1","003N8EMH8GTFRCSWKMPXRSAE6","GSON1124100019")</f>
        <v>#NAME?</v>
      </c>
      <c r="J1867" s="4" t="e">
        <f ca="1">[1]!BexGetData("DP_1","003N8EMH8GTFRCSWKMPXRSGPQ","GSON1124100019")</f>
        <v>#NAME?</v>
      </c>
      <c r="K1867" s="8" t="e">
        <f ca="1">[1]!BexGetData("DP_1","003N8EMH8GTFRIVNUPY288VJH","GSON1124100019")</f>
        <v>#NAME?</v>
      </c>
      <c r="L1867" s="8" t="e">
        <f ca="1">[1]!BexGetData("DP_1","003N8EMH8GTFRIVNUPY2891V1","GSON1124100019")</f>
        <v>#NAME?</v>
      </c>
      <c r="M1867" s="8" t="e">
        <f ca="1">[1]!BexGetData("DP_1","003N8EMH8GTFRIVOG7KG9IQXA","GSON1124100019")</f>
        <v>#NAME?</v>
      </c>
      <c r="N1867" s="8" t="e">
        <f ca="1">[1]!BexGetData("DP_1","003N8EMH8GTFRIVOG7KG9IX8U","GSON1124100019")</f>
        <v>#NAME?</v>
      </c>
      <c r="O1867" s="8" t="e">
        <f ca="1">[1]!BexGetData("DP_1","003N8EMH8GTFRIVOG7KG9J3KE","GSON1124100019")</f>
        <v>#NAME?</v>
      </c>
      <c r="P1867" s="8" t="e">
        <f ca="1">[1]!BexGetData("DP_1","003N8EMH8GTFRIVOG7KG9J9VY","GSON1124100019")</f>
        <v>#NAME?</v>
      </c>
      <c r="Q1867" s="4" t="e">
        <f ca="1">[1]!BexGetData("DP_1","00O2TNJGODT0G5Z4TTKYMM5MT","GSON1124100019")</f>
        <v>#NAME?</v>
      </c>
      <c r="R1867" s="4" t="e">
        <f ca="1">[1]!BexGetData("DP_1","00O2TNJGODT0G5Z4TTKYMMBYD","GSON1124100019")</f>
        <v>#NAME?</v>
      </c>
      <c r="S1867" s="4" t="e">
        <f ca="1">[1]!BexGetData("DP_1","00O2TNJGODT0G5Z4TTKYMMI9X","GSON1124100019")</f>
        <v>#NAME?</v>
      </c>
      <c r="T1867" s="4" t="e">
        <f ca="1">[1]!BexGetData("DP_1","00O2TNJGODT0G5Z4TTKYMMOLH","GSON1124100019")</f>
        <v>#NAME?</v>
      </c>
      <c r="U1867" s="4" t="e">
        <f ca="1">[1]!BexGetData("DP_1","00O2TNJGODT0G5Z4TTKYMMUX1","GSON1124100019")</f>
        <v>#NAME?</v>
      </c>
      <c r="V1867" s="4" t="e">
        <f ca="1">[1]!BexGetData("DP_1","00O2TNJGODT0G5Z4TTKYMN18L","GSON1124100019")</f>
        <v>#NAME?</v>
      </c>
      <c r="W1867" s="4" t="e">
        <f ca="1">[1]!BexGetData("DP_1","00O2TNJGODT0G5Z4TTKYMN7K5","GSON1124100019")</f>
        <v>#NAME?</v>
      </c>
    </row>
    <row r="1868" spans="1:23" x14ac:dyDescent="0.2">
      <c r="A1868" s="16" t="s">
        <v>1229</v>
      </c>
      <c r="B1868" s="7" t="s">
        <v>459</v>
      </c>
      <c r="C1868" s="3" t="e">
        <f ca="1">[1]!BexGetData("DP_1","003N8EMH8GTFRCSWKMPXRR8GU","GSON1124100041")</f>
        <v>#NAME?</v>
      </c>
      <c r="D1868" s="3" t="e">
        <f ca="1">[1]!BexGetData("DP_1","003N8EMH8GTFRCSWKMPXRRESE","GSON1124100041")</f>
        <v>#NAME?</v>
      </c>
      <c r="E1868" s="8" t="e">
        <f ca="1">[1]!BexGetData("DP_1","003N8EMH8GTFRCSWKMPXRRL3Y","GSON1124100041")</f>
        <v>#NAME?</v>
      </c>
      <c r="F1868" s="4" t="e">
        <f ca="1">[1]!BexGetData("DP_1","003N8EMH8GTFRCSWKMPXRRRFI","GSON1124100041")</f>
        <v>#NAME?</v>
      </c>
      <c r="G1868" s="4" t="e">
        <f ca="1">[1]!BexGetData("DP_1","003N8EMH8GTFRCSWKMPXRRXR2","GSON1124100041")</f>
        <v>#NAME?</v>
      </c>
      <c r="H1868" s="4" t="e">
        <f ca="1">[1]!BexGetData("DP_1","003N8EMH8GTFRCSWKMPXRS42M","GSON1124100041")</f>
        <v>#NAME?</v>
      </c>
      <c r="I1868" s="4" t="e">
        <f ca="1">[1]!BexGetData("DP_1","003N8EMH8GTFRCSWKMPXRSAE6","GSON1124100041")</f>
        <v>#NAME?</v>
      </c>
      <c r="J1868" s="4" t="e">
        <f ca="1">[1]!BexGetData("DP_1","003N8EMH8GTFRCSWKMPXRSGPQ","GSON1124100041")</f>
        <v>#NAME?</v>
      </c>
      <c r="K1868" s="8" t="e">
        <f ca="1">[1]!BexGetData("DP_1","003N8EMH8GTFRIVNUPY288VJH","GSON1124100041")</f>
        <v>#NAME?</v>
      </c>
      <c r="L1868" s="8" t="e">
        <f ca="1">[1]!BexGetData("DP_1","003N8EMH8GTFRIVNUPY2891V1","GSON1124100041")</f>
        <v>#NAME?</v>
      </c>
      <c r="M1868" s="8" t="e">
        <f ca="1">[1]!BexGetData("DP_1","003N8EMH8GTFRIVOG7KG9IQXA","GSON1124100041")</f>
        <v>#NAME?</v>
      </c>
      <c r="N1868" s="8" t="e">
        <f ca="1">[1]!BexGetData("DP_1","003N8EMH8GTFRIVOG7KG9IX8U","GSON1124100041")</f>
        <v>#NAME?</v>
      </c>
      <c r="O1868" s="8" t="e">
        <f ca="1">[1]!BexGetData("DP_1","003N8EMH8GTFRIVOG7KG9J3KE","GSON1124100041")</f>
        <v>#NAME?</v>
      </c>
      <c r="P1868" s="8" t="e">
        <f ca="1">[1]!BexGetData("DP_1","003N8EMH8GTFRIVOG7KG9J9VY","GSON1124100041")</f>
        <v>#NAME?</v>
      </c>
      <c r="Q1868" s="4" t="e">
        <f ca="1">[1]!BexGetData("DP_1","00O2TNJGODT0G5Z4TTKYMM5MT","GSON1124100041")</f>
        <v>#NAME?</v>
      </c>
      <c r="R1868" s="4" t="e">
        <f ca="1">[1]!BexGetData("DP_1","00O2TNJGODT0G5Z4TTKYMMBYD","GSON1124100041")</f>
        <v>#NAME?</v>
      </c>
      <c r="S1868" s="4" t="e">
        <f ca="1">[1]!BexGetData("DP_1","00O2TNJGODT0G5Z4TTKYMMI9X","GSON1124100041")</f>
        <v>#NAME?</v>
      </c>
      <c r="T1868" s="4" t="e">
        <f ca="1">[1]!BexGetData("DP_1","00O2TNJGODT0G5Z4TTKYMMOLH","GSON1124100041")</f>
        <v>#NAME?</v>
      </c>
      <c r="U1868" s="4" t="e">
        <f ca="1">[1]!BexGetData("DP_1","00O2TNJGODT0G5Z4TTKYMMUX1","GSON1124100041")</f>
        <v>#NAME?</v>
      </c>
      <c r="V1868" s="4" t="e">
        <f ca="1">[1]!BexGetData("DP_1","00O2TNJGODT0G5Z4TTKYMN18L","GSON1124100041")</f>
        <v>#NAME?</v>
      </c>
      <c r="W1868" s="4" t="e">
        <f ca="1">[1]!BexGetData("DP_1","00O2TNJGODT0G5Z4TTKYMN7K5","GSON1124100041")</f>
        <v>#NAME?</v>
      </c>
    </row>
    <row r="1869" spans="1:23" x14ac:dyDescent="0.2">
      <c r="A1869" s="16" t="s">
        <v>1230</v>
      </c>
      <c r="B1869" s="7" t="s">
        <v>460</v>
      </c>
      <c r="C1869" s="3" t="e">
        <f ca="1">[1]!BexGetData("DP_1","003N8EMH8GTFRCSWKMPXRR8GU","GSON1124100043")</f>
        <v>#NAME?</v>
      </c>
      <c r="D1869" s="3" t="e">
        <f ca="1">[1]!BexGetData("DP_1","003N8EMH8GTFRCSWKMPXRRESE","GSON1124100043")</f>
        <v>#NAME?</v>
      </c>
      <c r="E1869" s="8" t="e">
        <f ca="1">[1]!BexGetData("DP_1","003N8EMH8GTFRCSWKMPXRRL3Y","GSON1124100043")</f>
        <v>#NAME?</v>
      </c>
      <c r="F1869" s="4" t="e">
        <f ca="1">[1]!BexGetData("DP_1","003N8EMH8GTFRCSWKMPXRRRFI","GSON1124100043")</f>
        <v>#NAME?</v>
      </c>
      <c r="G1869" s="4" t="e">
        <f ca="1">[1]!BexGetData("DP_1","003N8EMH8GTFRCSWKMPXRRXR2","GSON1124100043")</f>
        <v>#NAME?</v>
      </c>
      <c r="H1869" s="4" t="e">
        <f ca="1">[1]!BexGetData("DP_1","003N8EMH8GTFRCSWKMPXRS42M","GSON1124100043")</f>
        <v>#NAME?</v>
      </c>
      <c r="I1869" s="4" t="e">
        <f ca="1">[1]!BexGetData("DP_1","003N8EMH8GTFRCSWKMPXRSAE6","GSON1124100043")</f>
        <v>#NAME?</v>
      </c>
      <c r="J1869" s="4" t="e">
        <f ca="1">[1]!BexGetData("DP_1","003N8EMH8GTFRCSWKMPXRSGPQ","GSON1124100043")</f>
        <v>#NAME?</v>
      </c>
      <c r="K1869" s="8" t="e">
        <f ca="1">[1]!BexGetData("DP_1","003N8EMH8GTFRIVNUPY288VJH","GSON1124100043")</f>
        <v>#NAME?</v>
      </c>
      <c r="L1869" s="8" t="e">
        <f ca="1">[1]!BexGetData("DP_1","003N8EMH8GTFRIVNUPY2891V1","GSON1124100043")</f>
        <v>#NAME?</v>
      </c>
      <c r="M1869" s="8" t="e">
        <f ca="1">[1]!BexGetData("DP_1","003N8EMH8GTFRIVOG7KG9IQXA","GSON1124100043")</f>
        <v>#NAME?</v>
      </c>
      <c r="N1869" s="8" t="e">
        <f ca="1">[1]!BexGetData("DP_1","003N8EMH8GTFRIVOG7KG9IX8U","GSON1124100043")</f>
        <v>#NAME?</v>
      </c>
      <c r="O1869" s="8" t="e">
        <f ca="1">[1]!BexGetData("DP_1","003N8EMH8GTFRIVOG7KG9J3KE","GSON1124100043")</f>
        <v>#NAME?</v>
      </c>
      <c r="P1869" s="8" t="e">
        <f ca="1">[1]!BexGetData("DP_1","003N8EMH8GTFRIVOG7KG9J9VY","GSON1124100043")</f>
        <v>#NAME?</v>
      </c>
      <c r="Q1869" s="4" t="e">
        <f ca="1">[1]!BexGetData("DP_1","00O2TNJGODT0G5Z4TTKYMM5MT","GSON1124100043")</f>
        <v>#NAME?</v>
      </c>
      <c r="R1869" s="4" t="e">
        <f ca="1">[1]!BexGetData("DP_1","00O2TNJGODT0G5Z4TTKYMMBYD","GSON1124100043")</f>
        <v>#NAME?</v>
      </c>
      <c r="S1869" s="4" t="e">
        <f ca="1">[1]!BexGetData("DP_1","00O2TNJGODT0G5Z4TTKYMMI9X","GSON1124100043")</f>
        <v>#NAME?</v>
      </c>
      <c r="T1869" s="4" t="e">
        <f ca="1">[1]!BexGetData("DP_1","00O2TNJGODT0G5Z4TTKYMMOLH","GSON1124100043")</f>
        <v>#NAME?</v>
      </c>
      <c r="U1869" s="4" t="e">
        <f ca="1">[1]!BexGetData("DP_1","00O2TNJGODT0G5Z4TTKYMMUX1","GSON1124100043")</f>
        <v>#NAME?</v>
      </c>
      <c r="V1869" s="4" t="e">
        <f ca="1">[1]!BexGetData("DP_1","00O2TNJGODT0G5Z4TTKYMN18L","GSON1124100043")</f>
        <v>#NAME?</v>
      </c>
      <c r="W1869" s="4" t="e">
        <f ca="1">[1]!BexGetData("DP_1","00O2TNJGODT0G5Z4TTKYMN7K5","GSON1124100043")</f>
        <v>#NAME?</v>
      </c>
    </row>
    <row r="1870" spans="1:23" x14ac:dyDescent="0.2">
      <c r="A1870" s="16" t="s">
        <v>455</v>
      </c>
      <c r="B1870" s="7" t="s">
        <v>461</v>
      </c>
      <c r="C1870" s="3" t="e">
        <f ca="1">[1]!BexGetData("DP_1","003N8EMH8GTFRCSWKMPXRR8GU","GSON1124100045")</f>
        <v>#NAME?</v>
      </c>
      <c r="D1870" s="3" t="e">
        <f ca="1">[1]!BexGetData("DP_1","003N8EMH8GTFRCSWKMPXRRESE","GSON1124100045")</f>
        <v>#NAME?</v>
      </c>
      <c r="E1870" s="8" t="e">
        <f ca="1">[1]!BexGetData("DP_1","003N8EMH8GTFRCSWKMPXRRL3Y","GSON1124100045")</f>
        <v>#NAME?</v>
      </c>
      <c r="F1870" s="4" t="e">
        <f ca="1">[1]!BexGetData("DP_1","003N8EMH8GTFRCSWKMPXRRRFI","GSON1124100045")</f>
        <v>#NAME?</v>
      </c>
      <c r="G1870" s="4" t="e">
        <f ca="1">[1]!BexGetData("DP_1","003N8EMH8GTFRCSWKMPXRRXR2","GSON1124100045")</f>
        <v>#NAME?</v>
      </c>
      <c r="H1870" s="4" t="e">
        <f ca="1">[1]!BexGetData("DP_1","003N8EMH8GTFRCSWKMPXRS42M","GSON1124100045")</f>
        <v>#NAME?</v>
      </c>
      <c r="I1870" s="4" t="e">
        <f ca="1">[1]!BexGetData("DP_1","003N8EMH8GTFRCSWKMPXRSAE6","GSON1124100045")</f>
        <v>#NAME?</v>
      </c>
      <c r="J1870" s="4" t="e">
        <f ca="1">[1]!BexGetData("DP_1","003N8EMH8GTFRCSWKMPXRSGPQ","GSON1124100045")</f>
        <v>#NAME?</v>
      </c>
      <c r="K1870" s="8" t="e">
        <f ca="1">[1]!BexGetData("DP_1","003N8EMH8GTFRIVNUPY288VJH","GSON1124100045")</f>
        <v>#NAME?</v>
      </c>
      <c r="L1870" s="8" t="e">
        <f ca="1">[1]!BexGetData("DP_1","003N8EMH8GTFRIVNUPY2891V1","GSON1124100045")</f>
        <v>#NAME?</v>
      </c>
      <c r="M1870" s="8" t="e">
        <f ca="1">[1]!BexGetData("DP_1","003N8EMH8GTFRIVOG7KG9IQXA","GSON1124100045")</f>
        <v>#NAME?</v>
      </c>
      <c r="N1870" s="8" t="e">
        <f ca="1">[1]!BexGetData("DP_1","003N8EMH8GTFRIVOG7KG9IX8U","GSON1124100045")</f>
        <v>#NAME?</v>
      </c>
      <c r="O1870" s="8" t="e">
        <f ca="1">[1]!BexGetData("DP_1","003N8EMH8GTFRIVOG7KG9J3KE","GSON1124100045")</f>
        <v>#NAME?</v>
      </c>
      <c r="P1870" s="8" t="e">
        <f ca="1">[1]!BexGetData("DP_1","003N8EMH8GTFRIVOG7KG9J9VY","GSON1124100045")</f>
        <v>#NAME?</v>
      </c>
      <c r="Q1870" s="4" t="e">
        <f ca="1">[1]!BexGetData("DP_1","00O2TNJGODT0G5Z4TTKYMM5MT","GSON1124100045")</f>
        <v>#NAME?</v>
      </c>
      <c r="R1870" s="4" t="e">
        <f ca="1">[1]!BexGetData("DP_1","00O2TNJGODT0G5Z4TTKYMMBYD","GSON1124100045")</f>
        <v>#NAME?</v>
      </c>
      <c r="S1870" s="4" t="e">
        <f ca="1">[1]!BexGetData("DP_1","00O2TNJGODT0G5Z4TTKYMMI9X","GSON1124100045")</f>
        <v>#NAME?</v>
      </c>
      <c r="T1870" s="4" t="e">
        <f ca="1">[1]!BexGetData("DP_1","00O2TNJGODT0G5Z4TTKYMMOLH","GSON1124100045")</f>
        <v>#NAME?</v>
      </c>
      <c r="U1870" s="4" t="e">
        <f ca="1">[1]!BexGetData("DP_1","00O2TNJGODT0G5Z4TTKYMMUX1","GSON1124100045")</f>
        <v>#NAME?</v>
      </c>
      <c r="V1870" s="4" t="e">
        <f ca="1">[1]!BexGetData("DP_1","00O2TNJGODT0G5Z4TTKYMN18L","GSON1124100045")</f>
        <v>#NAME?</v>
      </c>
      <c r="W1870" s="4" t="e">
        <f ca="1">[1]!BexGetData("DP_1","00O2TNJGODT0G5Z4TTKYMN7K5","GSON1124100045")</f>
        <v>#NAME?</v>
      </c>
    </row>
    <row r="1871" spans="1:23" x14ac:dyDescent="0.2">
      <c r="A1871" s="16" t="s">
        <v>4583</v>
      </c>
      <c r="B1871" s="7" t="s">
        <v>4584</v>
      </c>
      <c r="C1871" s="3" t="e">
        <f ca="1">[1]!BexGetData("DP_1","003N8EMH8GTFRCSWKMPXRR8GU","GSON1124100049")</f>
        <v>#NAME?</v>
      </c>
      <c r="D1871" s="3" t="e">
        <f ca="1">[1]!BexGetData("DP_1","003N8EMH8GTFRCSWKMPXRRESE","GSON1124100049")</f>
        <v>#NAME?</v>
      </c>
      <c r="E1871" s="8" t="e">
        <f ca="1">[1]!BexGetData("DP_1","003N8EMH8GTFRCSWKMPXRRL3Y","GSON1124100049")</f>
        <v>#NAME?</v>
      </c>
      <c r="F1871" s="4" t="e">
        <f ca="1">[1]!BexGetData("DP_1","003N8EMH8GTFRCSWKMPXRRRFI","GSON1124100049")</f>
        <v>#NAME?</v>
      </c>
      <c r="G1871" s="4" t="e">
        <f ca="1">[1]!BexGetData("DP_1","003N8EMH8GTFRCSWKMPXRRXR2","GSON1124100049")</f>
        <v>#NAME?</v>
      </c>
      <c r="H1871" s="4" t="e">
        <f ca="1">[1]!BexGetData("DP_1","003N8EMH8GTFRCSWKMPXRS42M","GSON1124100049")</f>
        <v>#NAME?</v>
      </c>
      <c r="I1871" s="4" t="e">
        <f ca="1">[1]!BexGetData("DP_1","003N8EMH8GTFRCSWKMPXRSAE6","GSON1124100049")</f>
        <v>#NAME?</v>
      </c>
      <c r="J1871" s="4" t="e">
        <f ca="1">[1]!BexGetData("DP_1","003N8EMH8GTFRCSWKMPXRSGPQ","GSON1124100049")</f>
        <v>#NAME?</v>
      </c>
      <c r="K1871" s="8" t="e">
        <f ca="1">[1]!BexGetData("DP_1","003N8EMH8GTFRIVNUPY288VJH","GSON1124100049")</f>
        <v>#NAME?</v>
      </c>
      <c r="L1871" s="8" t="e">
        <f ca="1">[1]!BexGetData("DP_1","003N8EMH8GTFRIVNUPY2891V1","GSON1124100049")</f>
        <v>#NAME?</v>
      </c>
      <c r="M1871" s="8" t="e">
        <f ca="1">[1]!BexGetData("DP_1","003N8EMH8GTFRIVOG7KG9IQXA","GSON1124100049")</f>
        <v>#NAME?</v>
      </c>
      <c r="N1871" s="8" t="e">
        <f ca="1">[1]!BexGetData("DP_1","003N8EMH8GTFRIVOG7KG9IX8U","GSON1124100049")</f>
        <v>#NAME?</v>
      </c>
      <c r="O1871" s="8" t="e">
        <f ca="1">[1]!BexGetData("DP_1","003N8EMH8GTFRIVOG7KG9J3KE","GSON1124100049")</f>
        <v>#NAME?</v>
      </c>
      <c r="P1871" s="8" t="e">
        <f ca="1">[1]!BexGetData("DP_1","003N8EMH8GTFRIVOG7KG9J9VY","GSON1124100049")</f>
        <v>#NAME?</v>
      </c>
      <c r="Q1871" s="4" t="e">
        <f ca="1">[1]!BexGetData("DP_1","00O2TNJGODT0G5Z4TTKYMM5MT","GSON1124100049")</f>
        <v>#NAME?</v>
      </c>
      <c r="R1871" s="4" t="e">
        <f ca="1">[1]!BexGetData("DP_1","00O2TNJGODT0G5Z4TTKYMMBYD","GSON1124100049")</f>
        <v>#NAME?</v>
      </c>
      <c r="S1871" s="4" t="e">
        <f ca="1">[1]!BexGetData("DP_1","00O2TNJGODT0G5Z4TTKYMMI9X","GSON1124100049")</f>
        <v>#NAME?</v>
      </c>
      <c r="T1871" s="4" t="e">
        <f ca="1">[1]!BexGetData("DP_1","00O2TNJGODT0G5Z4TTKYMMOLH","GSON1124100049")</f>
        <v>#NAME?</v>
      </c>
      <c r="U1871" s="4" t="e">
        <f ca="1">[1]!BexGetData("DP_1","00O2TNJGODT0G5Z4TTKYMMUX1","GSON1124100049")</f>
        <v>#NAME?</v>
      </c>
      <c r="V1871" s="4" t="e">
        <f ca="1">[1]!BexGetData("DP_1","00O2TNJGODT0G5Z4TTKYMN18L","GSON1124100049")</f>
        <v>#NAME?</v>
      </c>
      <c r="W1871" s="4" t="e">
        <f ca="1">[1]!BexGetData("DP_1","00O2TNJGODT0G5Z4TTKYMN7K5","GSON1124100049")</f>
        <v>#NAME?</v>
      </c>
    </row>
    <row r="1872" spans="1:23" x14ac:dyDescent="0.2">
      <c r="A1872" s="16" t="s">
        <v>1231</v>
      </c>
      <c r="B1872" s="7" t="s">
        <v>1232</v>
      </c>
      <c r="C1872" s="3" t="e">
        <f ca="1">[1]!BexGetData("DP_1","003N8EMH8GTFRCSWKMPXRR8GU","GSON1124100051")</f>
        <v>#NAME?</v>
      </c>
      <c r="D1872" s="3" t="e">
        <f ca="1">[1]!BexGetData("DP_1","003N8EMH8GTFRCSWKMPXRRESE","GSON1124100051")</f>
        <v>#NAME?</v>
      </c>
      <c r="E1872" s="8" t="e">
        <f ca="1">[1]!BexGetData("DP_1","003N8EMH8GTFRCSWKMPXRRL3Y","GSON1124100051")</f>
        <v>#NAME?</v>
      </c>
      <c r="F1872" s="4" t="e">
        <f ca="1">[1]!BexGetData("DP_1","003N8EMH8GTFRCSWKMPXRRRFI","GSON1124100051")</f>
        <v>#NAME?</v>
      </c>
      <c r="G1872" s="4" t="e">
        <f ca="1">[1]!BexGetData("DP_1","003N8EMH8GTFRCSWKMPXRRXR2","GSON1124100051")</f>
        <v>#NAME?</v>
      </c>
      <c r="H1872" s="4" t="e">
        <f ca="1">[1]!BexGetData("DP_1","003N8EMH8GTFRCSWKMPXRS42M","GSON1124100051")</f>
        <v>#NAME?</v>
      </c>
      <c r="I1872" s="4" t="e">
        <f ca="1">[1]!BexGetData("DP_1","003N8EMH8GTFRCSWKMPXRSAE6","GSON1124100051")</f>
        <v>#NAME?</v>
      </c>
      <c r="J1872" s="4" t="e">
        <f ca="1">[1]!BexGetData("DP_1","003N8EMH8GTFRCSWKMPXRSGPQ","GSON1124100051")</f>
        <v>#NAME?</v>
      </c>
      <c r="K1872" s="8" t="e">
        <f ca="1">[1]!BexGetData("DP_1","003N8EMH8GTFRIVNUPY288VJH","GSON1124100051")</f>
        <v>#NAME?</v>
      </c>
      <c r="L1872" s="8" t="e">
        <f ca="1">[1]!BexGetData("DP_1","003N8EMH8GTFRIVNUPY2891V1","GSON1124100051")</f>
        <v>#NAME?</v>
      </c>
      <c r="M1872" s="8" t="e">
        <f ca="1">[1]!BexGetData("DP_1","003N8EMH8GTFRIVOG7KG9IQXA","GSON1124100051")</f>
        <v>#NAME?</v>
      </c>
      <c r="N1872" s="8" t="e">
        <f ca="1">[1]!BexGetData("DP_1","003N8EMH8GTFRIVOG7KG9IX8U","GSON1124100051")</f>
        <v>#NAME?</v>
      </c>
      <c r="O1872" s="8" t="e">
        <f ca="1">[1]!BexGetData("DP_1","003N8EMH8GTFRIVOG7KG9J3KE","GSON1124100051")</f>
        <v>#NAME?</v>
      </c>
      <c r="P1872" s="8" t="e">
        <f ca="1">[1]!BexGetData("DP_1","003N8EMH8GTFRIVOG7KG9J9VY","GSON1124100051")</f>
        <v>#NAME?</v>
      </c>
      <c r="Q1872" s="4" t="e">
        <f ca="1">[1]!BexGetData("DP_1","00O2TNJGODT0G5Z4TTKYMM5MT","GSON1124100051")</f>
        <v>#NAME?</v>
      </c>
      <c r="R1872" s="4" t="e">
        <f ca="1">[1]!BexGetData("DP_1","00O2TNJGODT0G5Z4TTKYMMBYD","GSON1124100051")</f>
        <v>#NAME?</v>
      </c>
      <c r="S1872" s="4" t="e">
        <f ca="1">[1]!BexGetData("DP_1","00O2TNJGODT0G5Z4TTKYMMI9X","GSON1124100051")</f>
        <v>#NAME?</v>
      </c>
      <c r="T1872" s="4" t="e">
        <f ca="1">[1]!BexGetData("DP_1","00O2TNJGODT0G5Z4TTKYMMOLH","GSON1124100051")</f>
        <v>#NAME?</v>
      </c>
      <c r="U1872" s="4" t="e">
        <f ca="1">[1]!BexGetData("DP_1","00O2TNJGODT0G5Z4TTKYMMUX1","GSON1124100051")</f>
        <v>#NAME?</v>
      </c>
      <c r="V1872" s="4" t="e">
        <f ca="1">[1]!BexGetData("DP_1","00O2TNJGODT0G5Z4TTKYMN18L","GSON1124100051")</f>
        <v>#NAME?</v>
      </c>
      <c r="W1872" s="4" t="e">
        <f ca="1">[1]!BexGetData("DP_1","00O2TNJGODT0G5Z4TTKYMN7K5","GSON1124100051")</f>
        <v>#NAME?</v>
      </c>
    </row>
    <row r="1873" spans="1:23" x14ac:dyDescent="0.2">
      <c r="A1873" s="16" t="s">
        <v>1233</v>
      </c>
      <c r="B1873" s="7" t="s">
        <v>676</v>
      </c>
      <c r="C1873" s="3" t="e">
        <f ca="1">[1]!BexGetData("DP_1","003N8EMH8GTFRCSWKMPXRR8GU","GSON1124100052")</f>
        <v>#NAME?</v>
      </c>
      <c r="D1873" s="3" t="e">
        <f ca="1">[1]!BexGetData("DP_1","003N8EMH8GTFRCSWKMPXRRESE","GSON1124100052")</f>
        <v>#NAME?</v>
      </c>
      <c r="E1873" s="8" t="e">
        <f ca="1">[1]!BexGetData("DP_1","003N8EMH8GTFRCSWKMPXRRL3Y","GSON1124100052")</f>
        <v>#NAME?</v>
      </c>
      <c r="F1873" s="4" t="e">
        <f ca="1">[1]!BexGetData("DP_1","003N8EMH8GTFRCSWKMPXRRRFI","GSON1124100052")</f>
        <v>#NAME?</v>
      </c>
      <c r="G1873" s="4" t="e">
        <f ca="1">[1]!BexGetData("DP_1","003N8EMH8GTFRCSWKMPXRRXR2","GSON1124100052")</f>
        <v>#NAME?</v>
      </c>
      <c r="H1873" s="4" t="e">
        <f ca="1">[1]!BexGetData("DP_1","003N8EMH8GTFRCSWKMPXRS42M","GSON1124100052")</f>
        <v>#NAME?</v>
      </c>
      <c r="I1873" s="4" t="e">
        <f ca="1">[1]!BexGetData("DP_1","003N8EMH8GTFRCSWKMPXRSAE6","GSON1124100052")</f>
        <v>#NAME?</v>
      </c>
      <c r="J1873" s="4" t="e">
        <f ca="1">[1]!BexGetData("DP_1","003N8EMH8GTFRCSWKMPXRSGPQ","GSON1124100052")</f>
        <v>#NAME?</v>
      </c>
      <c r="K1873" s="8" t="e">
        <f ca="1">[1]!BexGetData("DP_1","003N8EMH8GTFRIVNUPY288VJH","GSON1124100052")</f>
        <v>#NAME?</v>
      </c>
      <c r="L1873" s="8" t="e">
        <f ca="1">[1]!BexGetData("DP_1","003N8EMH8GTFRIVNUPY2891V1","GSON1124100052")</f>
        <v>#NAME?</v>
      </c>
      <c r="M1873" s="8" t="e">
        <f ca="1">[1]!BexGetData("DP_1","003N8EMH8GTFRIVOG7KG9IQXA","GSON1124100052")</f>
        <v>#NAME?</v>
      </c>
      <c r="N1873" s="8" t="e">
        <f ca="1">[1]!BexGetData("DP_1","003N8EMH8GTFRIVOG7KG9IX8U","GSON1124100052")</f>
        <v>#NAME?</v>
      </c>
      <c r="O1873" s="8" t="e">
        <f ca="1">[1]!BexGetData("DP_1","003N8EMH8GTFRIVOG7KG9J3KE","GSON1124100052")</f>
        <v>#NAME?</v>
      </c>
      <c r="P1873" s="8" t="e">
        <f ca="1">[1]!BexGetData("DP_1","003N8EMH8GTFRIVOG7KG9J9VY","GSON1124100052")</f>
        <v>#NAME?</v>
      </c>
      <c r="Q1873" s="4" t="e">
        <f ca="1">[1]!BexGetData("DP_1","00O2TNJGODT0G5Z4TTKYMM5MT","GSON1124100052")</f>
        <v>#NAME?</v>
      </c>
      <c r="R1873" s="4" t="e">
        <f ca="1">[1]!BexGetData("DP_1","00O2TNJGODT0G5Z4TTKYMMBYD","GSON1124100052")</f>
        <v>#NAME?</v>
      </c>
      <c r="S1873" s="4" t="e">
        <f ca="1">[1]!BexGetData("DP_1","00O2TNJGODT0G5Z4TTKYMMI9X","GSON1124100052")</f>
        <v>#NAME?</v>
      </c>
      <c r="T1873" s="4" t="e">
        <f ca="1">[1]!BexGetData("DP_1","00O2TNJGODT0G5Z4TTKYMMOLH","GSON1124100052")</f>
        <v>#NAME?</v>
      </c>
      <c r="U1873" s="4" t="e">
        <f ca="1">[1]!BexGetData("DP_1","00O2TNJGODT0G5Z4TTKYMMUX1","GSON1124100052")</f>
        <v>#NAME?</v>
      </c>
      <c r="V1873" s="4" t="e">
        <f ca="1">[1]!BexGetData("DP_1","00O2TNJGODT0G5Z4TTKYMN18L","GSON1124100052")</f>
        <v>#NAME?</v>
      </c>
      <c r="W1873" s="4" t="e">
        <f ca="1">[1]!BexGetData("DP_1","00O2TNJGODT0G5Z4TTKYMN7K5","GSON1124100052")</f>
        <v>#NAME?</v>
      </c>
    </row>
    <row r="1874" spans="1:23" x14ac:dyDescent="0.2">
      <c r="A1874" s="16" t="s">
        <v>1234</v>
      </c>
      <c r="B1874" s="7" t="s">
        <v>462</v>
      </c>
      <c r="C1874" s="3" t="e">
        <f ca="1">[1]!BexGetData("DP_1","003N8EMH8GTFRCSWKMPXRR8GU","GSON1124100061")</f>
        <v>#NAME?</v>
      </c>
      <c r="D1874" s="3" t="e">
        <f ca="1">[1]!BexGetData("DP_1","003N8EMH8GTFRCSWKMPXRRESE","GSON1124100061")</f>
        <v>#NAME?</v>
      </c>
      <c r="E1874" s="8" t="e">
        <f ca="1">[1]!BexGetData("DP_1","003N8EMH8GTFRCSWKMPXRRL3Y","GSON1124100061")</f>
        <v>#NAME?</v>
      </c>
      <c r="F1874" s="4" t="e">
        <f ca="1">[1]!BexGetData("DP_1","003N8EMH8GTFRCSWKMPXRRRFI","GSON1124100061")</f>
        <v>#NAME?</v>
      </c>
      <c r="G1874" s="4" t="e">
        <f ca="1">[1]!BexGetData("DP_1","003N8EMH8GTFRCSWKMPXRRXR2","GSON1124100061")</f>
        <v>#NAME?</v>
      </c>
      <c r="H1874" s="4" t="e">
        <f ca="1">[1]!BexGetData("DP_1","003N8EMH8GTFRCSWKMPXRS42M","GSON1124100061")</f>
        <v>#NAME?</v>
      </c>
      <c r="I1874" s="4" t="e">
        <f ca="1">[1]!BexGetData("DP_1","003N8EMH8GTFRCSWKMPXRSAE6","GSON1124100061")</f>
        <v>#NAME?</v>
      </c>
      <c r="J1874" s="4" t="e">
        <f ca="1">[1]!BexGetData("DP_1","003N8EMH8GTFRCSWKMPXRSGPQ","GSON1124100061")</f>
        <v>#NAME?</v>
      </c>
      <c r="K1874" s="8" t="e">
        <f ca="1">[1]!BexGetData("DP_1","003N8EMH8GTFRIVNUPY288VJH","GSON1124100061")</f>
        <v>#NAME?</v>
      </c>
      <c r="L1874" s="8" t="e">
        <f ca="1">[1]!BexGetData("DP_1","003N8EMH8GTFRIVNUPY2891V1","GSON1124100061")</f>
        <v>#NAME?</v>
      </c>
      <c r="M1874" s="8" t="e">
        <f ca="1">[1]!BexGetData("DP_1","003N8EMH8GTFRIVOG7KG9IQXA","GSON1124100061")</f>
        <v>#NAME?</v>
      </c>
      <c r="N1874" s="8" t="e">
        <f ca="1">[1]!BexGetData("DP_1","003N8EMH8GTFRIVOG7KG9IX8U","GSON1124100061")</f>
        <v>#NAME?</v>
      </c>
      <c r="O1874" s="8" t="e">
        <f ca="1">[1]!BexGetData("DP_1","003N8EMH8GTFRIVOG7KG9J3KE","GSON1124100061")</f>
        <v>#NAME?</v>
      </c>
      <c r="P1874" s="8" t="e">
        <f ca="1">[1]!BexGetData("DP_1","003N8EMH8GTFRIVOG7KG9J9VY","GSON1124100061")</f>
        <v>#NAME?</v>
      </c>
      <c r="Q1874" s="4" t="e">
        <f ca="1">[1]!BexGetData("DP_1","00O2TNJGODT0G5Z4TTKYMM5MT","GSON1124100061")</f>
        <v>#NAME?</v>
      </c>
      <c r="R1874" s="4" t="e">
        <f ca="1">[1]!BexGetData("DP_1","00O2TNJGODT0G5Z4TTKYMMBYD","GSON1124100061")</f>
        <v>#NAME?</v>
      </c>
      <c r="S1874" s="4" t="e">
        <f ca="1">[1]!BexGetData("DP_1","00O2TNJGODT0G5Z4TTKYMMI9X","GSON1124100061")</f>
        <v>#NAME?</v>
      </c>
      <c r="T1874" s="4" t="e">
        <f ca="1">[1]!BexGetData("DP_1","00O2TNJGODT0G5Z4TTKYMMOLH","GSON1124100061")</f>
        <v>#NAME?</v>
      </c>
      <c r="U1874" s="4" t="e">
        <f ca="1">[1]!BexGetData("DP_1","00O2TNJGODT0G5Z4TTKYMMUX1","GSON1124100061")</f>
        <v>#NAME?</v>
      </c>
      <c r="V1874" s="4" t="e">
        <f ca="1">[1]!BexGetData("DP_1","00O2TNJGODT0G5Z4TTKYMN18L","GSON1124100061")</f>
        <v>#NAME?</v>
      </c>
      <c r="W1874" s="4" t="e">
        <f ca="1">[1]!BexGetData("DP_1","00O2TNJGODT0G5Z4TTKYMN7K5","GSON1124100061")</f>
        <v>#NAME?</v>
      </c>
    </row>
    <row r="1875" spans="1:23" x14ac:dyDescent="0.2">
      <c r="A1875" s="16" t="s">
        <v>1235</v>
      </c>
      <c r="B1875" s="7" t="s">
        <v>463</v>
      </c>
      <c r="C1875" s="3" t="e">
        <f ca="1">[1]!BexGetData("DP_1","003N8EMH8GTFRCSWKMPXRR8GU","GSON1124100069")</f>
        <v>#NAME?</v>
      </c>
      <c r="D1875" s="3" t="e">
        <f ca="1">[1]!BexGetData("DP_1","003N8EMH8GTFRCSWKMPXRRESE","GSON1124100069")</f>
        <v>#NAME?</v>
      </c>
      <c r="E1875" s="8" t="e">
        <f ca="1">[1]!BexGetData("DP_1","003N8EMH8GTFRCSWKMPXRRL3Y","GSON1124100069")</f>
        <v>#NAME?</v>
      </c>
      <c r="F1875" s="4" t="e">
        <f ca="1">[1]!BexGetData("DP_1","003N8EMH8GTFRCSWKMPXRRRFI","GSON1124100069")</f>
        <v>#NAME?</v>
      </c>
      <c r="G1875" s="4" t="e">
        <f ca="1">[1]!BexGetData("DP_1","003N8EMH8GTFRCSWKMPXRRXR2","GSON1124100069")</f>
        <v>#NAME?</v>
      </c>
      <c r="H1875" s="4" t="e">
        <f ca="1">[1]!BexGetData("DP_1","003N8EMH8GTFRCSWKMPXRS42M","GSON1124100069")</f>
        <v>#NAME?</v>
      </c>
      <c r="I1875" s="4" t="e">
        <f ca="1">[1]!BexGetData("DP_1","003N8EMH8GTFRCSWKMPXRSAE6","GSON1124100069")</f>
        <v>#NAME?</v>
      </c>
      <c r="J1875" s="4" t="e">
        <f ca="1">[1]!BexGetData("DP_1","003N8EMH8GTFRCSWKMPXRSGPQ","GSON1124100069")</f>
        <v>#NAME?</v>
      </c>
      <c r="K1875" s="8" t="e">
        <f ca="1">[1]!BexGetData("DP_1","003N8EMH8GTFRIVNUPY288VJH","GSON1124100069")</f>
        <v>#NAME?</v>
      </c>
      <c r="L1875" s="8" t="e">
        <f ca="1">[1]!BexGetData("DP_1","003N8EMH8GTFRIVNUPY2891V1","GSON1124100069")</f>
        <v>#NAME?</v>
      </c>
      <c r="M1875" s="8" t="e">
        <f ca="1">[1]!BexGetData("DP_1","003N8EMH8GTFRIVOG7KG9IQXA","GSON1124100069")</f>
        <v>#NAME?</v>
      </c>
      <c r="N1875" s="8" t="e">
        <f ca="1">[1]!BexGetData("DP_1","003N8EMH8GTFRIVOG7KG9IX8U","GSON1124100069")</f>
        <v>#NAME?</v>
      </c>
      <c r="O1875" s="8" t="e">
        <f ca="1">[1]!BexGetData("DP_1","003N8EMH8GTFRIVOG7KG9J3KE","GSON1124100069")</f>
        <v>#NAME?</v>
      </c>
      <c r="P1875" s="8" t="e">
        <f ca="1">[1]!BexGetData("DP_1","003N8EMH8GTFRIVOG7KG9J9VY","GSON1124100069")</f>
        <v>#NAME?</v>
      </c>
      <c r="Q1875" s="4" t="e">
        <f ca="1">[1]!BexGetData("DP_1","00O2TNJGODT0G5Z4TTKYMM5MT","GSON1124100069")</f>
        <v>#NAME?</v>
      </c>
      <c r="R1875" s="4" t="e">
        <f ca="1">[1]!BexGetData("DP_1","00O2TNJGODT0G5Z4TTKYMMBYD","GSON1124100069")</f>
        <v>#NAME?</v>
      </c>
      <c r="S1875" s="4" t="e">
        <f ca="1">[1]!BexGetData("DP_1","00O2TNJGODT0G5Z4TTKYMMI9X","GSON1124100069")</f>
        <v>#NAME?</v>
      </c>
      <c r="T1875" s="4" t="e">
        <f ca="1">[1]!BexGetData("DP_1","00O2TNJGODT0G5Z4TTKYMMOLH","GSON1124100069")</f>
        <v>#NAME?</v>
      </c>
      <c r="U1875" s="4" t="e">
        <f ca="1">[1]!BexGetData("DP_1","00O2TNJGODT0G5Z4TTKYMMUX1","GSON1124100069")</f>
        <v>#NAME?</v>
      </c>
      <c r="V1875" s="4" t="e">
        <f ca="1">[1]!BexGetData("DP_1","00O2TNJGODT0G5Z4TTKYMN18L","GSON1124100069")</f>
        <v>#NAME?</v>
      </c>
      <c r="W1875" s="4" t="e">
        <f ca="1">[1]!BexGetData("DP_1","00O2TNJGODT0G5Z4TTKYMN7K5","GSON1124100069")</f>
        <v>#NAME?</v>
      </c>
    </row>
    <row r="1876" spans="1:23" x14ac:dyDescent="0.2">
      <c r="A1876" s="16" t="s">
        <v>4585</v>
      </c>
      <c r="B1876" s="7" t="s">
        <v>4586</v>
      </c>
      <c r="C1876" s="3" t="e">
        <f ca="1">[1]!BexGetData("DP_1","003N8EMH8GTFRCSWKMPXRR8GU","GSON1124200010")</f>
        <v>#NAME?</v>
      </c>
      <c r="D1876" s="3" t="e">
        <f ca="1">[1]!BexGetData("DP_1","003N8EMH8GTFRCSWKMPXRRESE","GSON1124200010")</f>
        <v>#NAME?</v>
      </c>
      <c r="E1876" s="8" t="e">
        <f ca="1">[1]!BexGetData("DP_1","003N8EMH8GTFRCSWKMPXRRL3Y","GSON1124200010")</f>
        <v>#NAME?</v>
      </c>
      <c r="F1876" s="3" t="e">
        <f ca="1">[1]!BexGetData("DP_1","003N8EMH8GTFRCSWKMPXRRRFI","GSON1124200010")</f>
        <v>#NAME?</v>
      </c>
      <c r="G1876" s="3" t="e">
        <f ca="1">[1]!BexGetData("DP_1","003N8EMH8GTFRCSWKMPXRRXR2","GSON1124200010")</f>
        <v>#NAME?</v>
      </c>
      <c r="H1876" s="3" t="e">
        <f ca="1">[1]!BexGetData("DP_1","003N8EMH8GTFRCSWKMPXRS42M","GSON1124200010")</f>
        <v>#NAME?</v>
      </c>
      <c r="I1876" s="3" t="e">
        <f ca="1">[1]!BexGetData("DP_1","003N8EMH8GTFRCSWKMPXRSAE6","GSON1124200010")</f>
        <v>#NAME?</v>
      </c>
      <c r="J1876" s="4" t="e">
        <f ca="1">[1]!BexGetData("DP_1","003N8EMH8GTFRCSWKMPXRSGPQ","GSON1124200010")</f>
        <v>#NAME?</v>
      </c>
      <c r="K1876" s="3" t="e">
        <f ca="1">[1]!BexGetData("DP_1","003N8EMH8GTFRIVNUPY288VJH","GSON1124200010")</f>
        <v>#NAME?</v>
      </c>
      <c r="L1876" s="3" t="e">
        <f ca="1">[1]!BexGetData("DP_1","003N8EMH8GTFRIVNUPY2891V1","GSON1124200010")</f>
        <v>#NAME?</v>
      </c>
      <c r="M1876" s="3" t="e">
        <f ca="1">[1]!BexGetData("DP_1","003N8EMH8GTFRIVOG7KG9IQXA","GSON1124200010")</f>
        <v>#NAME?</v>
      </c>
      <c r="N1876" s="8" t="e">
        <f ca="1">[1]!BexGetData("DP_1","003N8EMH8GTFRIVOG7KG9IX8U","GSON1124200010")</f>
        <v>#NAME?</v>
      </c>
      <c r="O1876" s="3" t="e">
        <f ca="1">[1]!BexGetData("DP_1","003N8EMH8GTFRIVOG7KG9J3KE","GSON1124200010")</f>
        <v>#NAME?</v>
      </c>
      <c r="P1876" s="8" t="e">
        <f ca="1">[1]!BexGetData("DP_1","003N8EMH8GTFRIVOG7KG9J9VY","GSON1124200010")</f>
        <v>#NAME?</v>
      </c>
      <c r="Q1876" s="4" t="e">
        <f ca="1">[1]!BexGetData("DP_1","00O2TNJGODT0G5Z4TTKYMM5MT","GSON1124200010")</f>
        <v>#NAME?</v>
      </c>
      <c r="R1876" s="3" t="e">
        <f ca="1">[1]!BexGetData("DP_1","00O2TNJGODT0G5Z4TTKYMMBYD","GSON1124200010")</f>
        <v>#NAME?</v>
      </c>
      <c r="S1876" s="3" t="e">
        <f ca="1">[1]!BexGetData("DP_1","00O2TNJGODT0G5Z4TTKYMMI9X","GSON1124200010")</f>
        <v>#NAME?</v>
      </c>
      <c r="T1876" s="8" t="e">
        <f ca="1">[1]!BexGetData("DP_1","00O2TNJGODT0G5Z4TTKYMMOLH","GSON1124200010")</f>
        <v>#NAME?</v>
      </c>
      <c r="U1876" s="3" t="e">
        <f ca="1">[1]!BexGetData("DP_1","00O2TNJGODT0G5Z4TTKYMMUX1","GSON1124200010")</f>
        <v>#NAME?</v>
      </c>
      <c r="V1876" s="8" t="e">
        <f ca="1">[1]!BexGetData("DP_1","00O2TNJGODT0G5Z4TTKYMN18L","GSON1124200010")</f>
        <v>#NAME?</v>
      </c>
      <c r="W1876" s="3" t="e">
        <f ca="1">[1]!BexGetData("DP_1","00O2TNJGODT0G5Z4TTKYMN7K5","GSON1124200010")</f>
        <v>#NAME?</v>
      </c>
    </row>
    <row r="1877" spans="1:23" x14ac:dyDescent="0.2">
      <c r="A1877" s="16" t="s">
        <v>4585</v>
      </c>
      <c r="B1877" s="7" t="s">
        <v>4587</v>
      </c>
      <c r="C1877" s="3" t="e">
        <f ca="1">[1]!BexGetData("DP_1","003N8EMH8GTFRCSWKMPXRR8GU","GSON1124200011")</f>
        <v>#NAME?</v>
      </c>
      <c r="D1877" s="3" t="e">
        <f ca="1">[1]!BexGetData("DP_1","003N8EMH8GTFRCSWKMPXRRESE","GSON1124200011")</f>
        <v>#NAME?</v>
      </c>
      <c r="E1877" s="3" t="e">
        <f ca="1">[1]!BexGetData("DP_1","003N8EMH8GTFRCSWKMPXRRL3Y","GSON1124200011")</f>
        <v>#NAME?</v>
      </c>
      <c r="F1877" s="4" t="e">
        <f ca="1">[1]!BexGetData("DP_1","003N8EMH8GTFRCSWKMPXRRRFI","GSON1124200011")</f>
        <v>#NAME?</v>
      </c>
      <c r="G1877" s="4" t="e">
        <f ca="1">[1]!BexGetData("DP_1","003N8EMH8GTFRCSWKMPXRRXR2","GSON1124200011")</f>
        <v>#NAME?</v>
      </c>
      <c r="H1877" s="4" t="e">
        <f ca="1">[1]!BexGetData("DP_1","003N8EMH8GTFRCSWKMPXRS42M","GSON1124200011")</f>
        <v>#NAME?</v>
      </c>
      <c r="I1877" s="4" t="e">
        <f ca="1">[1]!BexGetData("DP_1","003N8EMH8GTFRCSWKMPXRSAE6","GSON1124200011")</f>
        <v>#NAME?</v>
      </c>
      <c r="J1877" s="4" t="e">
        <f ca="1">[1]!BexGetData("DP_1","003N8EMH8GTFRCSWKMPXRSGPQ","GSON1124200011")</f>
        <v>#NAME?</v>
      </c>
      <c r="K1877" s="3" t="e">
        <f ca="1">[1]!BexGetData("DP_1","003N8EMH8GTFRIVNUPY288VJH","GSON1124200011")</f>
        <v>#NAME?</v>
      </c>
      <c r="L1877" s="3" t="e">
        <f ca="1">[1]!BexGetData("DP_1","003N8EMH8GTFRIVNUPY2891V1","GSON1124200011")</f>
        <v>#NAME?</v>
      </c>
      <c r="M1877" s="8" t="e">
        <f ca="1">[1]!BexGetData("DP_1","003N8EMH8GTFRIVOG7KG9IQXA","GSON1124200011")</f>
        <v>#NAME?</v>
      </c>
      <c r="N1877" s="3" t="e">
        <f ca="1">[1]!BexGetData("DP_1","003N8EMH8GTFRIVOG7KG9IX8U","GSON1124200011")</f>
        <v>#NAME?</v>
      </c>
      <c r="O1877" s="8" t="e">
        <f ca="1">[1]!BexGetData("DP_1","003N8EMH8GTFRIVOG7KG9J3KE","GSON1124200011")</f>
        <v>#NAME?</v>
      </c>
      <c r="P1877" s="3" t="e">
        <f ca="1">[1]!BexGetData("DP_1","003N8EMH8GTFRIVOG7KG9J9VY","GSON1124200011")</f>
        <v>#NAME?</v>
      </c>
      <c r="Q1877" s="4" t="e">
        <f ca="1">[1]!BexGetData("DP_1","00O2TNJGODT0G5Z4TTKYMM5MT","GSON1124200011")</f>
        <v>#NAME?</v>
      </c>
      <c r="R1877" s="4" t="e">
        <f ca="1">[1]!BexGetData("DP_1","00O2TNJGODT0G5Z4TTKYMMBYD","GSON1124200011")</f>
        <v>#NAME?</v>
      </c>
      <c r="S1877" s="4" t="e">
        <f ca="1">[1]!BexGetData("DP_1","00O2TNJGODT0G5Z4TTKYMMI9X","GSON1124200011")</f>
        <v>#NAME?</v>
      </c>
      <c r="T1877" s="4" t="e">
        <f ca="1">[1]!BexGetData("DP_1","00O2TNJGODT0G5Z4TTKYMMOLH","GSON1124200011")</f>
        <v>#NAME?</v>
      </c>
      <c r="U1877" s="4" t="e">
        <f ca="1">[1]!BexGetData("DP_1","00O2TNJGODT0G5Z4TTKYMMUX1","GSON1124200011")</f>
        <v>#NAME?</v>
      </c>
      <c r="V1877" s="4" t="e">
        <f ca="1">[1]!BexGetData("DP_1","00O2TNJGODT0G5Z4TTKYMN18L","GSON1124200011")</f>
        <v>#NAME?</v>
      </c>
      <c r="W1877" s="4" t="e">
        <f ca="1">[1]!BexGetData("DP_1","00O2TNJGODT0G5Z4TTKYMN7K5","GSON1124200011")</f>
        <v>#NAME?</v>
      </c>
    </row>
    <row r="1878" spans="1:23" x14ac:dyDescent="0.2">
      <c r="A1878" s="16" t="s">
        <v>4588</v>
      </c>
      <c r="B1878" s="7" t="s">
        <v>4589</v>
      </c>
      <c r="C1878" s="3" t="e">
        <f ca="1">[1]!BexGetData("DP_1","003N8EMH8GTFRCSWKMPXRR8GU","GSON1124200013")</f>
        <v>#NAME?</v>
      </c>
      <c r="D1878" s="3" t="e">
        <f ca="1">[1]!BexGetData("DP_1","003N8EMH8GTFRCSWKMPXRRESE","GSON1124200013")</f>
        <v>#NAME?</v>
      </c>
      <c r="E1878" s="3" t="e">
        <f ca="1">[1]!BexGetData("DP_1","003N8EMH8GTFRCSWKMPXRRL3Y","GSON1124200013")</f>
        <v>#NAME?</v>
      </c>
      <c r="F1878" s="4" t="e">
        <f ca="1">[1]!BexGetData("DP_1","003N8EMH8GTFRCSWKMPXRRRFI","GSON1124200013")</f>
        <v>#NAME?</v>
      </c>
      <c r="G1878" s="4" t="e">
        <f ca="1">[1]!BexGetData("DP_1","003N8EMH8GTFRCSWKMPXRRXR2","GSON1124200013")</f>
        <v>#NAME?</v>
      </c>
      <c r="H1878" s="4" t="e">
        <f ca="1">[1]!BexGetData("DP_1","003N8EMH8GTFRCSWKMPXRS42M","GSON1124200013")</f>
        <v>#NAME?</v>
      </c>
      <c r="I1878" s="4" t="e">
        <f ca="1">[1]!BexGetData("DP_1","003N8EMH8GTFRCSWKMPXRSAE6","GSON1124200013")</f>
        <v>#NAME?</v>
      </c>
      <c r="J1878" s="4" t="e">
        <f ca="1">[1]!BexGetData("DP_1","003N8EMH8GTFRCSWKMPXRSGPQ","GSON1124200013")</f>
        <v>#NAME?</v>
      </c>
      <c r="K1878" s="3" t="e">
        <f ca="1">[1]!BexGetData("DP_1","003N8EMH8GTFRIVNUPY288VJH","GSON1124200013")</f>
        <v>#NAME?</v>
      </c>
      <c r="L1878" s="3" t="e">
        <f ca="1">[1]!BexGetData("DP_1","003N8EMH8GTFRIVNUPY2891V1","GSON1124200013")</f>
        <v>#NAME?</v>
      </c>
      <c r="M1878" s="8" t="e">
        <f ca="1">[1]!BexGetData("DP_1","003N8EMH8GTFRIVOG7KG9IQXA","GSON1124200013")</f>
        <v>#NAME?</v>
      </c>
      <c r="N1878" s="3" t="e">
        <f ca="1">[1]!BexGetData("DP_1","003N8EMH8GTFRIVOG7KG9IX8U","GSON1124200013")</f>
        <v>#NAME?</v>
      </c>
      <c r="O1878" s="8" t="e">
        <f ca="1">[1]!BexGetData("DP_1","003N8EMH8GTFRIVOG7KG9J3KE","GSON1124200013")</f>
        <v>#NAME?</v>
      </c>
      <c r="P1878" s="3" t="e">
        <f ca="1">[1]!BexGetData("DP_1","003N8EMH8GTFRIVOG7KG9J9VY","GSON1124200013")</f>
        <v>#NAME?</v>
      </c>
      <c r="Q1878" s="4" t="e">
        <f ca="1">[1]!BexGetData("DP_1","00O2TNJGODT0G5Z4TTKYMM5MT","GSON1124200013")</f>
        <v>#NAME?</v>
      </c>
      <c r="R1878" s="4" t="e">
        <f ca="1">[1]!BexGetData("DP_1","00O2TNJGODT0G5Z4TTKYMMBYD","GSON1124200013")</f>
        <v>#NAME?</v>
      </c>
      <c r="S1878" s="4" t="e">
        <f ca="1">[1]!BexGetData("DP_1","00O2TNJGODT0G5Z4TTKYMMI9X","GSON1124200013")</f>
        <v>#NAME?</v>
      </c>
      <c r="T1878" s="4" t="e">
        <f ca="1">[1]!BexGetData("DP_1","00O2TNJGODT0G5Z4TTKYMMOLH","GSON1124200013")</f>
        <v>#NAME?</v>
      </c>
      <c r="U1878" s="4" t="e">
        <f ca="1">[1]!BexGetData("DP_1","00O2TNJGODT0G5Z4TTKYMMUX1","GSON1124200013")</f>
        <v>#NAME?</v>
      </c>
      <c r="V1878" s="4" t="e">
        <f ca="1">[1]!BexGetData("DP_1","00O2TNJGODT0G5Z4TTKYMN18L","GSON1124200013")</f>
        <v>#NAME?</v>
      </c>
      <c r="W1878" s="4" t="e">
        <f ca="1">[1]!BexGetData("DP_1","00O2TNJGODT0G5Z4TTKYMN7K5","GSON1124200013")</f>
        <v>#NAME?</v>
      </c>
    </row>
    <row r="1879" spans="1:23" x14ac:dyDescent="0.2">
      <c r="A1879" s="16" t="s">
        <v>4590</v>
      </c>
      <c r="B1879" s="7" t="s">
        <v>4591</v>
      </c>
      <c r="C1879" s="3" t="e">
        <f ca="1">[1]!BexGetData("DP_1","003N8EMH8GTFRCSWKMPXRR8GU","GSON1124200015")</f>
        <v>#NAME?</v>
      </c>
      <c r="D1879" s="3" t="e">
        <f ca="1">[1]!BexGetData("DP_1","003N8EMH8GTFRCSWKMPXRRESE","GSON1124200015")</f>
        <v>#NAME?</v>
      </c>
      <c r="E1879" s="3" t="e">
        <f ca="1">[1]!BexGetData("DP_1","003N8EMH8GTFRCSWKMPXRRL3Y","GSON1124200015")</f>
        <v>#NAME?</v>
      </c>
      <c r="F1879" s="4" t="e">
        <f ca="1">[1]!BexGetData("DP_1","003N8EMH8GTFRCSWKMPXRRRFI","GSON1124200015")</f>
        <v>#NAME?</v>
      </c>
      <c r="G1879" s="4" t="e">
        <f ca="1">[1]!BexGetData("DP_1","003N8EMH8GTFRCSWKMPXRRXR2","GSON1124200015")</f>
        <v>#NAME?</v>
      </c>
      <c r="H1879" s="4" t="e">
        <f ca="1">[1]!BexGetData("DP_1","003N8EMH8GTFRCSWKMPXRS42M","GSON1124200015")</f>
        <v>#NAME?</v>
      </c>
      <c r="I1879" s="4" t="e">
        <f ca="1">[1]!BexGetData("DP_1","003N8EMH8GTFRCSWKMPXRSAE6","GSON1124200015")</f>
        <v>#NAME?</v>
      </c>
      <c r="J1879" s="4" t="e">
        <f ca="1">[1]!BexGetData("DP_1","003N8EMH8GTFRCSWKMPXRSGPQ","GSON1124200015")</f>
        <v>#NAME?</v>
      </c>
      <c r="K1879" s="3" t="e">
        <f ca="1">[1]!BexGetData("DP_1","003N8EMH8GTFRIVNUPY288VJH","GSON1124200015")</f>
        <v>#NAME?</v>
      </c>
      <c r="L1879" s="3" t="e">
        <f ca="1">[1]!BexGetData("DP_1","003N8EMH8GTFRIVNUPY2891V1","GSON1124200015")</f>
        <v>#NAME?</v>
      </c>
      <c r="M1879" s="8" t="e">
        <f ca="1">[1]!BexGetData("DP_1","003N8EMH8GTFRIVOG7KG9IQXA","GSON1124200015")</f>
        <v>#NAME?</v>
      </c>
      <c r="N1879" s="3" t="e">
        <f ca="1">[1]!BexGetData("DP_1","003N8EMH8GTFRIVOG7KG9IX8U","GSON1124200015")</f>
        <v>#NAME?</v>
      </c>
      <c r="O1879" s="8" t="e">
        <f ca="1">[1]!BexGetData("DP_1","003N8EMH8GTFRIVOG7KG9J3KE","GSON1124200015")</f>
        <v>#NAME?</v>
      </c>
      <c r="P1879" s="3" t="e">
        <f ca="1">[1]!BexGetData("DP_1","003N8EMH8GTFRIVOG7KG9J9VY","GSON1124200015")</f>
        <v>#NAME?</v>
      </c>
      <c r="Q1879" s="4" t="e">
        <f ca="1">[1]!BexGetData("DP_1","00O2TNJGODT0G5Z4TTKYMM5MT","GSON1124200015")</f>
        <v>#NAME?</v>
      </c>
      <c r="R1879" s="4" t="e">
        <f ca="1">[1]!BexGetData("DP_1","00O2TNJGODT0G5Z4TTKYMMBYD","GSON1124200015")</f>
        <v>#NAME?</v>
      </c>
      <c r="S1879" s="4" t="e">
        <f ca="1">[1]!BexGetData("DP_1","00O2TNJGODT0G5Z4TTKYMMI9X","GSON1124200015")</f>
        <v>#NAME?</v>
      </c>
      <c r="T1879" s="4" t="e">
        <f ca="1">[1]!BexGetData("DP_1","00O2TNJGODT0G5Z4TTKYMMOLH","GSON1124200015")</f>
        <v>#NAME?</v>
      </c>
      <c r="U1879" s="4" t="e">
        <f ca="1">[1]!BexGetData("DP_1","00O2TNJGODT0G5Z4TTKYMMUX1","GSON1124200015")</f>
        <v>#NAME?</v>
      </c>
      <c r="V1879" s="4" t="e">
        <f ca="1">[1]!BexGetData("DP_1","00O2TNJGODT0G5Z4TTKYMN18L","GSON1124200015")</f>
        <v>#NAME?</v>
      </c>
      <c r="W1879" s="4" t="e">
        <f ca="1">[1]!BexGetData("DP_1","00O2TNJGODT0G5Z4TTKYMN7K5","GSON1124200015")</f>
        <v>#NAME?</v>
      </c>
    </row>
    <row r="1880" spans="1:23" x14ac:dyDescent="0.2">
      <c r="A1880" s="16" t="s">
        <v>4592</v>
      </c>
      <c r="B1880" s="7" t="s">
        <v>4593</v>
      </c>
      <c r="C1880" s="3" t="e">
        <f ca="1">[1]!BexGetData("DP_1","003N8EMH8GTFRCSWKMPXRR8GU","GSON1124200017")</f>
        <v>#NAME?</v>
      </c>
      <c r="D1880" s="3" t="e">
        <f ca="1">[1]!BexGetData("DP_1","003N8EMH8GTFRCSWKMPXRRESE","GSON1124200017")</f>
        <v>#NAME?</v>
      </c>
      <c r="E1880" s="8" t="e">
        <f ca="1">[1]!BexGetData("DP_1","003N8EMH8GTFRCSWKMPXRRL3Y","GSON1124200017")</f>
        <v>#NAME?</v>
      </c>
      <c r="F1880" s="4" t="e">
        <f ca="1">[1]!BexGetData("DP_1","003N8EMH8GTFRCSWKMPXRRRFI","GSON1124200017")</f>
        <v>#NAME?</v>
      </c>
      <c r="G1880" s="4" t="e">
        <f ca="1">[1]!BexGetData("DP_1","003N8EMH8GTFRCSWKMPXRRXR2","GSON1124200017")</f>
        <v>#NAME?</v>
      </c>
      <c r="H1880" s="4" t="e">
        <f ca="1">[1]!BexGetData("DP_1","003N8EMH8GTFRCSWKMPXRS42M","GSON1124200017")</f>
        <v>#NAME?</v>
      </c>
      <c r="I1880" s="4" t="e">
        <f ca="1">[1]!BexGetData("DP_1","003N8EMH8GTFRCSWKMPXRSAE6","GSON1124200017")</f>
        <v>#NAME?</v>
      </c>
      <c r="J1880" s="4" t="e">
        <f ca="1">[1]!BexGetData("DP_1","003N8EMH8GTFRCSWKMPXRSGPQ","GSON1124200017")</f>
        <v>#NAME?</v>
      </c>
      <c r="K1880" s="8" t="e">
        <f ca="1">[1]!BexGetData("DP_1","003N8EMH8GTFRIVNUPY288VJH","GSON1124200017")</f>
        <v>#NAME?</v>
      </c>
      <c r="L1880" s="8" t="e">
        <f ca="1">[1]!BexGetData("DP_1","003N8EMH8GTFRIVNUPY2891V1","GSON1124200017")</f>
        <v>#NAME?</v>
      </c>
      <c r="M1880" s="8" t="e">
        <f ca="1">[1]!BexGetData("DP_1","003N8EMH8GTFRIVOG7KG9IQXA","GSON1124200017")</f>
        <v>#NAME?</v>
      </c>
      <c r="N1880" s="8" t="e">
        <f ca="1">[1]!BexGetData("DP_1","003N8EMH8GTFRIVOG7KG9IX8U","GSON1124200017")</f>
        <v>#NAME?</v>
      </c>
      <c r="O1880" s="8" t="e">
        <f ca="1">[1]!BexGetData("DP_1","003N8EMH8GTFRIVOG7KG9J3KE","GSON1124200017")</f>
        <v>#NAME?</v>
      </c>
      <c r="P1880" s="8" t="e">
        <f ca="1">[1]!BexGetData("DP_1","003N8EMH8GTFRIVOG7KG9J9VY","GSON1124200017")</f>
        <v>#NAME?</v>
      </c>
      <c r="Q1880" s="4" t="e">
        <f ca="1">[1]!BexGetData("DP_1","00O2TNJGODT0G5Z4TTKYMM5MT","GSON1124200017")</f>
        <v>#NAME?</v>
      </c>
      <c r="R1880" s="4" t="e">
        <f ca="1">[1]!BexGetData("DP_1","00O2TNJGODT0G5Z4TTKYMMBYD","GSON1124200017")</f>
        <v>#NAME?</v>
      </c>
      <c r="S1880" s="4" t="e">
        <f ca="1">[1]!BexGetData("DP_1","00O2TNJGODT0G5Z4TTKYMMI9X","GSON1124200017")</f>
        <v>#NAME?</v>
      </c>
      <c r="T1880" s="4" t="e">
        <f ca="1">[1]!BexGetData("DP_1","00O2TNJGODT0G5Z4TTKYMMOLH","GSON1124200017")</f>
        <v>#NAME?</v>
      </c>
      <c r="U1880" s="4" t="e">
        <f ca="1">[1]!BexGetData("DP_1","00O2TNJGODT0G5Z4TTKYMMUX1","GSON1124200017")</f>
        <v>#NAME?</v>
      </c>
      <c r="V1880" s="4" t="e">
        <f ca="1">[1]!BexGetData("DP_1","00O2TNJGODT0G5Z4TTKYMN18L","GSON1124200017")</f>
        <v>#NAME?</v>
      </c>
      <c r="W1880" s="4" t="e">
        <f ca="1">[1]!BexGetData("DP_1","00O2TNJGODT0G5Z4TTKYMN7K5","GSON1124200017")</f>
        <v>#NAME?</v>
      </c>
    </row>
    <row r="1881" spans="1:23" x14ac:dyDescent="0.2">
      <c r="A1881" s="16" t="s">
        <v>4594</v>
      </c>
      <c r="B1881" s="7" t="s">
        <v>4595</v>
      </c>
      <c r="C1881" s="3" t="e">
        <f ca="1">[1]!BexGetData("DP_1","003N8EMH8GTFRCSWKMPXRR8GU","GSON1124200019")</f>
        <v>#NAME?</v>
      </c>
      <c r="D1881" s="3" t="e">
        <f ca="1">[1]!BexGetData("DP_1","003N8EMH8GTFRCSWKMPXRRESE","GSON1124200019")</f>
        <v>#NAME?</v>
      </c>
      <c r="E1881" s="3" t="e">
        <f ca="1">[1]!BexGetData("DP_1","003N8EMH8GTFRCSWKMPXRRL3Y","GSON1124200019")</f>
        <v>#NAME?</v>
      </c>
      <c r="F1881" s="4" t="e">
        <f ca="1">[1]!BexGetData("DP_1","003N8EMH8GTFRCSWKMPXRRRFI","GSON1124200019")</f>
        <v>#NAME?</v>
      </c>
      <c r="G1881" s="4" t="e">
        <f ca="1">[1]!BexGetData("DP_1","003N8EMH8GTFRCSWKMPXRRXR2","GSON1124200019")</f>
        <v>#NAME?</v>
      </c>
      <c r="H1881" s="4" t="e">
        <f ca="1">[1]!BexGetData("DP_1","003N8EMH8GTFRCSWKMPXRS42M","GSON1124200019")</f>
        <v>#NAME?</v>
      </c>
      <c r="I1881" s="4" t="e">
        <f ca="1">[1]!BexGetData("DP_1","003N8EMH8GTFRCSWKMPXRSAE6","GSON1124200019")</f>
        <v>#NAME?</v>
      </c>
      <c r="J1881" s="4" t="e">
        <f ca="1">[1]!BexGetData("DP_1","003N8EMH8GTFRCSWKMPXRSGPQ","GSON1124200019")</f>
        <v>#NAME?</v>
      </c>
      <c r="K1881" s="3" t="e">
        <f ca="1">[1]!BexGetData("DP_1","003N8EMH8GTFRIVNUPY288VJH","GSON1124200019")</f>
        <v>#NAME?</v>
      </c>
      <c r="L1881" s="3" t="e">
        <f ca="1">[1]!BexGetData("DP_1","003N8EMH8GTFRIVNUPY2891V1","GSON1124200019")</f>
        <v>#NAME?</v>
      </c>
      <c r="M1881" s="3" t="e">
        <f ca="1">[1]!BexGetData("DP_1","003N8EMH8GTFRIVOG7KG9IQXA","GSON1124200019")</f>
        <v>#NAME?</v>
      </c>
      <c r="N1881" s="8" t="e">
        <f ca="1">[1]!BexGetData("DP_1","003N8EMH8GTFRIVOG7KG9IX8U","GSON1124200019")</f>
        <v>#NAME?</v>
      </c>
      <c r="O1881" s="3" t="e">
        <f ca="1">[1]!BexGetData("DP_1","003N8EMH8GTFRIVOG7KG9J3KE","GSON1124200019")</f>
        <v>#NAME?</v>
      </c>
      <c r="P1881" s="8" t="e">
        <f ca="1">[1]!BexGetData("DP_1","003N8EMH8GTFRIVOG7KG9J9VY","GSON1124200019")</f>
        <v>#NAME?</v>
      </c>
      <c r="Q1881" s="4" t="e">
        <f ca="1">[1]!BexGetData("DP_1","00O2TNJGODT0G5Z4TTKYMM5MT","GSON1124200019")</f>
        <v>#NAME?</v>
      </c>
      <c r="R1881" s="4" t="e">
        <f ca="1">[1]!BexGetData("DP_1","00O2TNJGODT0G5Z4TTKYMMBYD","GSON1124200019")</f>
        <v>#NAME?</v>
      </c>
      <c r="S1881" s="4" t="e">
        <f ca="1">[1]!BexGetData("DP_1","00O2TNJGODT0G5Z4TTKYMMI9X","GSON1124200019")</f>
        <v>#NAME?</v>
      </c>
      <c r="T1881" s="4" t="e">
        <f ca="1">[1]!BexGetData("DP_1","00O2TNJGODT0G5Z4TTKYMMOLH","GSON1124200019")</f>
        <v>#NAME?</v>
      </c>
      <c r="U1881" s="4" t="e">
        <f ca="1">[1]!BexGetData("DP_1","00O2TNJGODT0G5Z4TTKYMMUX1","GSON1124200019")</f>
        <v>#NAME?</v>
      </c>
      <c r="V1881" s="4" t="e">
        <f ca="1">[1]!BexGetData("DP_1","00O2TNJGODT0G5Z4TTKYMN18L","GSON1124200019")</f>
        <v>#NAME?</v>
      </c>
      <c r="W1881" s="4" t="e">
        <f ca="1">[1]!BexGetData("DP_1","00O2TNJGODT0G5Z4TTKYMN7K5","GSON1124200019")</f>
        <v>#NAME?</v>
      </c>
    </row>
    <row r="1882" spans="1:23" x14ac:dyDescent="0.2">
      <c r="A1882" s="16" t="s">
        <v>4596</v>
      </c>
      <c r="B1882" s="7" t="s">
        <v>4597</v>
      </c>
      <c r="C1882" s="3" t="e">
        <f ca="1">[1]!BexGetData("DP_1","003N8EMH8GTFRCSWKMPXRR8GU","GSON1124200043")</f>
        <v>#NAME?</v>
      </c>
      <c r="D1882" s="3" t="e">
        <f ca="1">[1]!BexGetData("DP_1","003N8EMH8GTFRCSWKMPXRRESE","GSON1124200043")</f>
        <v>#NAME?</v>
      </c>
      <c r="E1882" s="3" t="e">
        <f ca="1">[1]!BexGetData("DP_1","003N8EMH8GTFRCSWKMPXRRL3Y","GSON1124200043")</f>
        <v>#NAME?</v>
      </c>
      <c r="F1882" s="4" t="e">
        <f ca="1">[1]!BexGetData("DP_1","003N8EMH8GTFRCSWKMPXRRRFI","GSON1124200043")</f>
        <v>#NAME?</v>
      </c>
      <c r="G1882" s="4" t="e">
        <f ca="1">[1]!BexGetData("DP_1","003N8EMH8GTFRCSWKMPXRRXR2","GSON1124200043")</f>
        <v>#NAME?</v>
      </c>
      <c r="H1882" s="4" t="e">
        <f ca="1">[1]!BexGetData("DP_1","003N8EMH8GTFRCSWKMPXRS42M","GSON1124200043")</f>
        <v>#NAME?</v>
      </c>
      <c r="I1882" s="4" t="e">
        <f ca="1">[1]!BexGetData("DP_1","003N8EMH8GTFRCSWKMPXRSAE6","GSON1124200043")</f>
        <v>#NAME?</v>
      </c>
      <c r="J1882" s="4" t="e">
        <f ca="1">[1]!BexGetData("DP_1","003N8EMH8GTFRCSWKMPXRSGPQ","GSON1124200043")</f>
        <v>#NAME?</v>
      </c>
      <c r="K1882" s="3" t="e">
        <f ca="1">[1]!BexGetData("DP_1","003N8EMH8GTFRIVNUPY288VJH","GSON1124200043")</f>
        <v>#NAME?</v>
      </c>
      <c r="L1882" s="3" t="e">
        <f ca="1">[1]!BexGetData("DP_1","003N8EMH8GTFRIVNUPY2891V1","GSON1124200043")</f>
        <v>#NAME?</v>
      </c>
      <c r="M1882" s="8" t="e">
        <f ca="1">[1]!BexGetData("DP_1","003N8EMH8GTFRIVOG7KG9IQXA","GSON1124200043")</f>
        <v>#NAME?</v>
      </c>
      <c r="N1882" s="3" t="e">
        <f ca="1">[1]!BexGetData("DP_1","003N8EMH8GTFRIVOG7KG9IX8U","GSON1124200043")</f>
        <v>#NAME?</v>
      </c>
      <c r="O1882" s="8" t="e">
        <f ca="1">[1]!BexGetData("DP_1","003N8EMH8GTFRIVOG7KG9J3KE","GSON1124200043")</f>
        <v>#NAME?</v>
      </c>
      <c r="P1882" s="3" t="e">
        <f ca="1">[1]!BexGetData("DP_1","003N8EMH8GTFRIVOG7KG9J9VY","GSON1124200043")</f>
        <v>#NAME?</v>
      </c>
      <c r="Q1882" s="4" t="e">
        <f ca="1">[1]!BexGetData("DP_1","00O2TNJGODT0G5Z4TTKYMM5MT","GSON1124200043")</f>
        <v>#NAME?</v>
      </c>
      <c r="R1882" s="4" t="e">
        <f ca="1">[1]!BexGetData("DP_1","00O2TNJGODT0G5Z4TTKYMMBYD","GSON1124200043")</f>
        <v>#NAME?</v>
      </c>
      <c r="S1882" s="4" t="e">
        <f ca="1">[1]!BexGetData("DP_1","00O2TNJGODT0G5Z4TTKYMMI9X","GSON1124200043")</f>
        <v>#NAME?</v>
      </c>
      <c r="T1882" s="4" t="e">
        <f ca="1">[1]!BexGetData("DP_1","00O2TNJGODT0G5Z4TTKYMMOLH","GSON1124200043")</f>
        <v>#NAME?</v>
      </c>
      <c r="U1882" s="4" t="e">
        <f ca="1">[1]!BexGetData("DP_1","00O2TNJGODT0G5Z4TTKYMMUX1","GSON1124200043")</f>
        <v>#NAME?</v>
      </c>
      <c r="V1882" s="4" t="e">
        <f ca="1">[1]!BexGetData("DP_1","00O2TNJGODT0G5Z4TTKYMN18L","GSON1124200043")</f>
        <v>#NAME?</v>
      </c>
      <c r="W1882" s="4" t="e">
        <f ca="1">[1]!BexGetData("DP_1","00O2TNJGODT0G5Z4TTKYMN7K5","GSON1124200043")</f>
        <v>#NAME?</v>
      </c>
    </row>
    <row r="1883" spans="1:23" x14ac:dyDescent="0.2">
      <c r="A1883" s="16" t="s">
        <v>4598</v>
      </c>
      <c r="B1883" s="7" t="s">
        <v>4599</v>
      </c>
      <c r="C1883" s="3" t="e">
        <f ca="1">[1]!BexGetData("DP_1","003N8EMH8GTFRCSWKMPXRR8GU","GSON1124200061")</f>
        <v>#NAME?</v>
      </c>
      <c r="D1883" s="3" t="e">
        <f ca="1">[1]!BexGetData("DP_1","003N8EMH8GTFRCSWKMPXRRESE","GSON1124200061")</f>
        <v>#NAME?</v>
      </c>
      <c r="E1883" s="3" t="e">
        <f ca="1">[1]!BexGetData("DP_1","003N8EMH8GTFRCSWKMPXRRL3Y","GSON1124200061")</f>
        <v>#NAME?</v>
      </c>
      <c r="F1883" s="4" t="e">
        <f ca="1">[1]!BexGetData("DP_1","003N8EMH8GTFRCSWKMPXRRRFI","GSON1124200061")</f>
        <v>#NAME?</v>
      </c>
      <c r="G1883" s="4" t="e">
        <f ca="1">[1]!BexGetData("DP_1","003N8EMH8GTFRCSWKMPXRRXR2","GSON1124200061")</f>
        <v>#NAME?</v>
      </c>
      <c r="H1883" s="4" t="e">
        <f ca="1">[1]!BexGetData("DP_1","003N8EMH8GTFRCSWKMPXRS42M","GSON1124200061")</f>
        <v>#NAME?</v>
      </c>
      <c r="I1883" s="4" t="e">
        <f ca="1">[1]!BexGetData("DP_1","003N8EMH8GTFRCSWKMPXRSAE6","GSON1124200061")</f>
        <v>#NAME?</v>
      </c>
      <c r="J1883" s="4" t="e">
        <f ca="1">[1]!BexGetData("DP_1","003N8EMH8GTFRCSWKMPXRSGPQ","GSON1124200061")</f>
        <v>#NAME?</v>
      </c>
      <c r="K1883" s="3" t="e">
        <f ca="1">[1]!BexGetData("DP_1","003N8EMH8GTFRIVNUPY288VJH","GSON1124200061")</f>
        <v>#NAME?</v>
      </c>
      <c r="L1883" s="3" t="e">
        <f ca="1">[1]!BexGetData("DP_1","003N8EMH8GTFRIVNUPY2891V1","GSON1124200061")</f>
        <v>#NAME?</v>
      </c>
      <c r="M1883" s="8" t="e">
        <f ca="1">[1]!BexGetData("DP_1","003N8EMH8GTFRIVOG7KG9IQXA","GSON1124200061")</f>
        <v>#NAME?</v>
      </c>
      <c r="N1883" s="3" t="e">
        <f ca="1">[1]!BexGetData("DP_1","003N8EMH8GTFRIVOG7KG9IX8U","GSON1124200061")</f>
        <v>#NAME?</v>
      </c>
      <c r="O1883" s="8" t="e">
        <f ca="1">[1]!BexGetData("DP_1","003N8EMH8GTFRIVOG7KG9J3KE","GSON1124200061")</f>
        <v>#NAME?</v>
      </c>
      <c r="P1883" s="3" t="e">
        <f ca="1">[1]!BexGetData("DP_1","003N8EMH8GTFRIVOG7KG9J9VY","GSON1124200061")</f>
        <v>#NAME?</v>
      </c>
      <c r="Q1883" s="4" t="e">
        <f ca="1">[1]!BexGetData("DP_1","00O2TNJGODT0G5Z4TTKYMM5MT","GSON1124200061")</f>
        <v>#NAME?</v>
      </c>
      <c r="R1883" s="4" t="e">
        <f ca="1">[1]!BexGetData("DP_1","00O2TNJGODT0G5Z4TTKYMMBYD","GSON1124200061")</f>
        <v>#NAME?</v>
      </c>
      <c r="S1883" s="4" t="e">
        <f ca="1">[1]!BexGetData("DP_1","00O2TNJGODT0G5Z4TTKYMMI9X","GSON1124200061")</f>
        <v>#NAME?</v>
      </c>
      <c r="T1883" s="4" t="e">
        <f ca="1">[1]!BexGetData("DP_1","00O2TNJGODT0G5Z4TTKYMMOLH","GSON1124200061")</f>
        <v>#NAME?</v>
      </c>
      <c r="U1883" s="4" t="e">
        <f ca="1">[1]!BexGetData("DP_1","00O2TNJGODT0G5Z4TTKYMMUX1","GSON1124200061")</f>
        <v>#NAME?</v>
      </c>
      <c r="V1883" s="4" t="e">
        <f ca="1">[1]!BexGetData("DP_1","00O2TNJGODT0G5Z4TTKYMN18L","GSON1124200061")</f>
        <v>#NAME?</v>
      </c>
      <c r="W1883" s="4" t="e">
        <f ca="1">[1]!BexGetData("DP_1","00O2TNJGODT0G5Z4TTKYMN7K5","GSON1124200061")</f>
        <v>#NAME?</v>
      </c>
    </row>
    <row r="1884" spans="1:23" x14ac:dyDescent="0.2">
      <c r="A1884" s="16" t="s">
        <v>4600</v>
      </c>
      <c r="B1884" s="7" t="s">
        <v>4601</v>
      </c>
      <c r="C1884" s="3" t="e">
        <f ca="1">[1]!BexGetData("DP_1","003N8EMH8GTFRCSWKMPXRR8GU","GSON1124200069")</f>
        <v>#NAME?</v>
      </c>
      <c r="D1884" s="3" t="e">
        <f ca="1">[1]!BexGetData("DP_1","003N8EMH8GTFRCSWKMPXRRESE","GSON1124200069")</f>
        <v>#NAME?</v>
      </c>
      <c r="E1884" s="3" t="e">
        <f ca="1">[1]!BexGetData("DP_1","003N8EMH8GTFRCSWKMPXRRL3Y","GSON1124200069")</f>
        <v>#NAME?</v>
      </c>
      <c r="F1884" s="4" t="e">
        <f ca="1">[1]!BexGetData("DP_1","003N8EMH8GTFRCSWKMPXRRRFI","GSON1124200069")</f>
        <v>#NAME?</v>
      </c>
      <c r="G1884" s="4" t="e">
        <f ca="1">[1]!BexGetData("DP_1","003N8EMH8GTFRCSWKMPXRRXR2","GSON1124200069")</f>
        <v>#NAME?</v>
      </c>
      <c r="H1884" s="4" t="e">
        <f ca="1">[1]!BexGetData("DP_1","003N8EMH8GTFRCSWKMPXRS42M","GSON1124200069")</f>
        <v>#NAME?</v>
      </c>
      <c r="I1884" s="4" t="e">
        <f ca="1">[1]!BexGetData("DP_1","003N8EMH8GTFRCSWKMPXRSAE6","GSON1124200069")</f>
        <v>#NAME?</v>
      </c>
      <c r="J1884" s="4" t="e">
        <f ca="1">[1]!BexGetData("DP_1","003N8EMH8GTFRCSWKMPXRSGPQ","GSON1124200069")</f>
        <v>#NAME?</v>
      </c>
      <c r="K1884" s="3" t="e">
        <f ca="1">[1]!BexGetData("DP_1","003N8EMH8GTFRIVNUPY288VJH","GSON1124200069")</f>
        <v>#NAME?</v>
      </c>
      <c r="L1884" s="3" t="e">
        <f ca="1">[1]!BexGetData("DP_1","003N8EMH8GTFRIVNUPY2891V1","GSON1124200069")</f>
        <v>#NAME?</v>
      </c>
      <c r="M1884" s="8" t="e">
        <f ca="1">[1]!BexGetData("DP_1","003N8EMH8GTFRIVOG7KG9IQXA","GSON1124200069")</f>
        <v>#NAME?</v>
      </c>
      <c r="N1884" s="3" t="e">
        <f ca="1">[1]!BexGetData("DP_1","003N8EMH8GTFRIVOG7KG9IX8U","GSON1124200069")</f>
        <v>#NAME?</v>
      </c>
      <c r="O1884" s="8" t="e">
        <f ca="1">[1]!BexGetData("DP_1","003N8EMH8GTFRIVOG7KG9J3KE","GSON1124200069")</f>
        <v>#NAME?</v>
      </c>
      <c r="P1884" s="3" t="e">
        <f ca="1">[1]!BexGetData("DP_1","003N8EMH8GTFRIVOG7KG9J9VY","GSON1124200069")</f>
        <v>#NAME?</v>
      </c>
      <c r="Q1884" s="4" t="e">
        <f ca="1">[1]!BexGetData("DP_1","00O2TNJGODT0G5Z4TTKYMM5MT","GSON1124200069")</f>
        <v>#NAME?</v>
      </c>
      <c r="R1884" s="4" t="e">
        <f ca="1">[1]!BexGetData("DP_1","00O2TNJGODT0G5Z4TTKYMMBYD","GSON1124200069")</f>
        <v>#NAME?</v>
      </c>
      <c r="S1884" s="4" t="e">
        <f ca="1">[1]!BexGetData("DP_1","00O2TNJGODT0G5Z4TTKYMMI9X","GSON1124200069")</f>
        <v>#NAME?</v>
      </c>
      <c r="T1884" s="4" t="e">
        <f ca="1">[1]!BexGetData("DP_1","00O2TNJGODT0G5Z4TTKYMMOLH","GSON1124200069")</f>
        <v>#NAME?</v>
      </c>
      <c r="U1884" s="4" t="e">
        <f ca="1">[1]!BexGetData("DP_1","00O2TNJGODT0G5Z4TTKYMMUX1","GSON1124200069")</f>
        <v>#NAME?</v>
      </c>
      <c r="V1884" s="4" t="e">
        <f ca="1">[1]!BexGetData("DP_1","00O2TNJGODT0G5Z4TTKYMN18L","GSON1124200069")</f>
        <v>#NAME?</v>
      </c>
      <c r="W1884" s="4" t="e">
        <f ca="1">[1]!BexGetData("DP_1","00O2TNJGODT0G5Z4TTKYMN7K5","GSON1124200069")</f>
        <v>#NAME?</v>
      </c>
    </row>
    <row r="1885" spans="1:23" x14ac:dyDescent="0.2">
      <c r="A1885" s="16" t="s">
        <v>4602</v>
      </c>
      <c r="B1885" s="7" t="s">
        <v>4603</v>
      </c>
      <c r="C1885" s="3" t="e">
        <f ca="1">[1]!BexGetData("DP_1","003N8EMH8GTFRCSWKMPXRR8GU","GSON1124300001")</f>
        <v>#NAME?</v>
      </c>
      <c r="D1885" s="3" t="e">
        <f ca="1">[1]!BexGetData("DP_1","003N8EMH8GTFRCSWKMPXRRESE","GSON1124300001")</f>
        <v>#NAME?</v>
      </c>
      <c r="E1885" s="8" t="e">
        <f ca="1">[1]!BexGetData("DP_1","003N8EMH8GTFRCSWKMPXRRL3Y","GSON1124300001")</f>
        <v>#NAME?</v>
      </c>
      <c r="F1885" s="4" t="e">
        <f ca="1">[1]!BexGetData("DP_1","003N8EMH8GTFRCSWKMPXRRRFI","GSON1124300001")</f>
        <v>#NAME?</v>
      </c>
      <c r="G1885" s="4" t="e">
        <f ca="1">[1]!BexGetData("DP_1","003N8EMH8GTFRCSWKMPXRRXR2","GSON1124300001")</f>
        <v>#NAME?</v>
      </c>
      <c r="H1885" s="4" t="e">
        <f ca="1">[1]!BexGetData("DP_1","003N8EMH8GTFRCSWKMPXRS42M","GSON1124300001")</f>
        <v>#NAME?</v>
      </c>
      <c r="I1885" s="4" t="e">
        <f ca="1">[1]!BexGetData("DP_1","003N8EMH8GTFRCSWKMPXRSAE6","GSON1124300001")</f>
        <v>#NAME?</v>
      </c>
      <c r="J1885" s="4" t="e">
        <f ca="1">[1]!BexGetData("DP_1","003N8EMH8GTFRCSWKMPXRSGPQ","GSON1124300001")</f>
        <v>#NAME?</v>
      </c>
      <c r="K1885" s="8" t="e">
        <f ca="1">[1]!BexGetData("DP_1","003N8EMH8GTFRIVNUPY288VJH","GSON1124300001")</f>
        <v>#NAME?</v>
      </c>
      <c r="L1885" s="8" t="e">
        <f ca="1">[1]!BexGetData("DP_1","003N8EMH8GTFRIVNUPY2891V1","GSON1124300001")</f>
        <v>#NAME?</v>
      </c>
      <c r="M1885" s="8" t="e">
        <f ca="1">[1]!BexGetData("DP_1","003N8EMH8GTFRIVOG7KG9IQXA","GSON1124300001")</f>
        <v>#NAME?</v>
      </c>
      <c r="N1885" s="8" t="e">
        <f ca="1">[1]!BexGetData("DP_1","003N8EMH8GTFRIVOG7KG9IX8U","GSON1124300001")</f>
        <v>#NAME?</v>
      </c>
      <c r="O1885" s="8" t="e">
        <f ca="1">[1]!BexGetData("DP_1","003N8EMH8GTFRIVOG7KG9J3KE","GSON1124300001")</f>
        <v>#NAME?</v>
      </c>
      <c r="P1885" s="8" t="e">
        <f ca="1">[1]!BexGetData("DP_1","003N8EMH8GTFRIVOG7KG9J9VY","GSON1124300001")</f>
        <v>#NAME?</v>
      </c>
      <c r="Q1885" s="4" t="e">
        <f ca="1">[1]!BexGetData("DP_1","00O2TNJGODT0G5Z4TTKYMM5MT","GSON1124300001")</f>
        <v>#NAME?</v>
      </c>
      <c r="R1885" s="4" t="e">
        <f ca="1">[1]!BexGetData("DP_1","00O2TNJGODT0G5Z4TTKYMMBYD","GSON1124300001")</f>
        <v>#NAME?</v>
      </c>
      <c r="S1885" s="4" t="e">
        <f ca="1">[1]!BexGetData("DP_1","00O2TNJGODT0G5Z4TTKYMMI9X","GSON1124300001")</f>
        <v>#NAME?</v>
      </c>
      <c r="T1885" s="4" t="e">
        <f ca="1">[1]!BexGetData("DP_1","00O2TNJGODT0G5Z4TTKYMMOLH","GSON1124300001")</f>
        <v>#NAME?</v>
      </c>
      <c r="U1885" s="4" t="e">
        <f ca="1">[1]!BexGetData("DP_1","00O2TNJGODT0G5Z4TTKYMMUX1","GSON1124300001")</f>
        <v>#NAME?</v>
      </c>
      <c r="V1885" s="4" t="e">
        <f ca="1">[1]!BexGetData("DP_1","00O2TNJGODT0G5Z4TTKYMN18L","GSON1124300001")</f>
        <v>#NAME?</v>
      </c>
      <c r="W1885" s="4" t="e">
        <f ca="1">[1]!BexGetData("DP_1","00O2TNJGODT0G5Z4TTKYMN7K5","GSON1124300001")</f>
        <v>#NAME?</v>
      </c>
    </row>
    <row r="1886" spans="1:23" x14ac:dyDescent="0.2">
      <c r="A1886" s="15" t="s">
        <v>1236</v>
      </c>
      <c r="B1886" s="7" t="s">
        <v>1237</v>
      </c>
      <c r="C1886" s="3" t="e">
        <f ca="1">[1]!BexGetData("DP_1","003N8EMH8GTFRCSWKMPXRR8GU","GSON1125")</f>
        <v>#NAME?</v>
      </c>
      <c r="D1886" s="3" t="e">
        <f ca="1">[1]!BexGetData("DP_1","003N8EMH8GTFRCSWKMPXRRESE","GSON1125")</f>
        <v>#NAME?</v>
      </c>
      <c r="E1886" s="3" t="e">
        <f ca="1">[1]!BexGetData("DP_1","003N8EMH8GTFRCSWKMPXRRL3Y","GSON1125")</f>
        <v>#NAME?</v>
      </c>
      <c r="F1886" s="3" t="e">
        <f ca="1">[1]!BexGetData("DP_1","003N8EMH8GTFRCSWKMPXRRRFI","GSON1125")</f>
        <v>#NAME?</v>
      </c>
      <c r="G1886" s="3" t="e">
        <f ca="1">[1]!BexGetData("DP_1","003N8EMH8GTFRCSWKMPXRRXR2","GSON1125")</f>
        <v>#NAME?</v>
      </c>
      <c r="H1886" s="3" t="e">
        <f ca="1">[1]!BexGetData("DP_1","003N8EMH8GTFRCSWKMPXRS42M","GSON1125")</f>
        <v>#NAME?</v>
      </c>
      <c r="I1886" s="3" t="e">
        <f ca="1">[1]!BexGetData("DP_1","003N8EMH8GTFRCSWKMPXRSAE6","GSON1125")</f>
        <v>#NAME?</v>
      </c>
      <c r="J1886" s="4" t="e">
        <f ca="1">[1]!BexGetData("DP_1","003N8EMH8GTFRCSWKMPXRSGPQ","GSON1125")</f>
        <v>#NAME?</v>
      </c>
      <c r="K1886" s="3" t="e">
        <f ca="1">[1]!BexGetData("DP_1","003N8EMH8GTFRIVNUPY288VJH","GSON1125")</f>
        <v>#NAME?</v>
      </c>
      <c r="L1886" s="3" t="e">
        <f ca="1">[1]!BexGetData("DP_1","003N8EMH8GTFRIVNUPY2891V1","GSON1125")</f>
        <v>#NAME?</v>
      </c>
      <c r="M1886" s="8" t="e">
        <f ca="1">[1]!BexGetData("DP_1","003N8EMH8GTFRIVOG7KG9IQXA","GSON1125")</f>
        <v>#NAME?</v>
      </c>
      <c r="N1886" s="3" t="e">
        <f ca="1">[1]!BexGetData("DP_1","003N8EMH8GTFRIVOG7KG9IX8U","GSON1125")</f>
        <v>#NAME?</v>
      </c>
      <c r="O1886" s="8" t="e">
        <f ca="1">[1]!BexGetData("DP_1","003N8EMH8GTFRIVOG7KG9J3KE","GSON1125")</f>
        <v>#NAME?</v>
      </c>
      <c r="P1886" s="3" t="e">
        <f ca="1">[1]!BexGetData("DP_1","003N8EMH8GTFRIVOG7KG9J9VY","GSON1125")</f>
        <v>#NAME?</v>
      </c>
      <c r="Q1886" s="4" t="e">
        <f ca="1">[1]!BexGetData("DP_1","00O2TNJGODT0G5Z4TTKYMM5MT","GSON1125")</f>
        <v>#NAME?</v>
      </c>
      <c r="R1886" s="3" t="e">
        <f ca="1">[1]!BexGetData("DP_1","00O2TNJGODT0G5Z4TTKYMMBYD","GSON1125")</f>
        <v>#NAME?</v>
      </c>
      <c r="S1886" s="3" t="e">
        <f ca="1">[1]!BexGetData("DP_1","00O2TNJGODT0G5Z4TTKYMMI9X","GSON1125")</f>
        <v>#NAME?</v>
      </c>
      <c r="T1886" s="8" t="e">
        <f ca="1">[1]!BexGetData("DP_1","00O2TNJGODT0G5Z4TTKYMMOLH","GSON1125")</f>
        <v>#NAME?</v>
      </c>
      <c r="U1886" s="3" t="e">
        <f ca="1">[1]!BexGetData("DP_1","00O2TNJGODT0G5Z4TTKYMMUX1","GSON1125")</f>
        <v>#NAME?</v>
      </c>
      <c r="V1886" s="8" t="e">
        <f ca="1">[1]!BexGetData("DP_1","00O2TNJGODT0G5Z4TTKYMN18L","GSON1125")</f>
        <v>#NAME?</v>
      </c>
      <c r="W1886" s="3" t="e">
        <f ca="1">[1]!BexGetData("DP_1","00O2TNJGODT0G5Z4TTKYMN7K5","GSON1125")</f>
        <v>#NAME?</v>
      </c>
    </row>
    <row r="1887" spans="1:23" x14ac:dyDescent="0.2">
      <c r="A1887" s="16" t="s">
        <v>1238</v>
      </c>
      <c r="B1887" s="7" t="s">
        <v>1239</v>
      </c>
      <c r="C1887" s="3" t="e">
        <f ca="1">[1]!BexGetData("DP_1","003N8EMH8GTFRCSWKMPXRR8GU","GSON1125100001")</f>
        <v>#NAME?</v>
      </c>
      <c r="D1887" s="3" t="e">
        <f ca="1">[1]!BexGetData("DP_1","003N8EMH8GTFRCSWKMPXRRESE","GSON1125100001")</f>
        <v>#NAME?</v>
      </c>
      <c r="E1887" s="3" t="e">
        <f ca="1">[1]!BexGetData("DP_1","003N8EMH8GTFRCSWKMPXRRL3Y","GSON1125100001")</f>
        <v>#NAME?</v>
      </c>
      <c r="F1887" s="3" t="e">
        <f ca="1">[1]!BexGetData("DP_1","003N8EMH8GTFRCSWKMPXRRRFI","GSON1125100001")</f>
        <v>#NAME?</v>
      </c>
      <c r="G1887" s="3" t="e">
        <f ca="1">[1]!BexGetData("DP_1","003N8EMH8GTFRCSWKMPXRRXR2","GSON1125100001")</f>
        <v>#NAME?</v>
      </c>
      <c r="H1887" s="3" t="e">
        <f ca="1">[1]!BexGetData("DP_1","003N8EMH8GTFRCSWKMPXRS42M","GSON1125100001")</f>
        <v>#NAME?</v>
      </c>
      <c r="I1887" s="3" t="e">
        <f ca="1">[1]!BexGetData("DP_1","003N8EMH8GTFRCSWKMPXRSAE6","GSON1125100001")</f>
        <v>#NAME?</v>
      </c>
      <c r="J1887" s="4" t="e">
        <f ca="1">[1]!BexGetData("DP_1","003N8EMH8GTFRCSWKMPXRSGPQ","GSON1125100001")</f>
        <v>#NAME?</v>
      </c>
      <c r="K1887" s="3" t="e">
        <f ca="1">[1]!BexGetData("DP_1","003N8EMH8GTFRIVNUPY288VJH","GSON1125100001")</f>
        <v>#NAME?</v>
      </c>
      <c r="L1887" s="3" t="e">
        <f ca="1">[1]!BexGetData("DP_1","003N8EMH8GTFRIVNUPY2891V1","GSON1125100001")</f>
        <v>#NAME?</v>
      </c>
      <c r="M1887" s="3" t="e">
        <f ca="1">[1]!BexGetData("DP_1","003N8EMH8GTFRIVOG7KG9IQXA","GSON1125100001")</f>
        <v>#NAME?</v>
      </c>
      <c r="N1887" s="8" t="e">
        <f ca="1">[1]!BexGetData("DP_1","003N8EMH8GTFRIVOG7KG9IX8U","GSON1125100001")</f>
        <v>#NAME?</v>
      </c>
      <c r="O1887" s="3" t="e">
        <f ca="1">[1]!BexGetData("DP_1","003N8EMH8GTFRIVOG7KG9J3KE","GSON1125100001")</f>
        <v>#NAME?</v>
      </c>
      <c r="P1887" s="8" t="e">
        <f ca="1">[1]!BexGetData("DP_1","003N8EMH8GTFRIVOG7KG9J9VY","GSON1125100001")</f>
        <v>#NAME?</v>
      </c>
      <c r="Q1887" s="4" t="e">
        <f ca="1">[1]!BexGetData("DP_1","00O2TNJGODT0G5Z4TTKYMM5MT","GSON1125100001")</f>
        <v>#NAME?</v>
      </c>
      <c r="R1887" s="3" t="e">
        <f ca="1">[1]!BexGetData("DP_1","00O2TNJGODT0G5Z4TTKYMMBYD","GSON1125100001")</f>
        <v>#NAME?</v>
      </c>
      <c r="S1887" s="3" t="e">
        <f ca="1">[1]!BexGetData("DP_1","00O2TNJGODT0G5Z4TTKYMMI9X","GSON1125100001")</f>
        <v>#NAME?</v>
      </c>
      <c r="T1887" s="8" t="e">
        <f ca="1">[1]!BexGetData("DP_1","00O2TNJGODT0G5Z4TTKYMMOLH","GSON1125100001")</f>
        <v>#NAME?</v>
      </c>
      <c r="U1887" s="3" t="e">
        <f ca="1">[1]!BexGetData("DP_1","00O2TNJGODT0G5Z4TTKYMMUX1","GSON1125100001")</f>
        <v>#NAME?</v>
      </c>
      <c r="V1887" s="8" t="e">
        <f ca="1">[1]!BexGetData("DP_1","00O2TNJGODT0G5Z4TTKYMN18L","GSON1125100001")</f>
        <v>#NAME?</v>
      </c>
      <c r="W1887" s="3" t="e">
        <f ca="1">[1]!BexGetData("DP_1","00O2TNJGODT0G5Z4TTKYMN7K5","GSON1125100001")</f>
        <v>#NAME?</v>
      </c>
    </row>
    <row r="1888" spans="1:23" x14ac:dyDescent="0.2">
      <c r="A1888" s="16" t="s">
        <v>4604</v>
      </c>
      <c r="B1888" s="7" t="s">
        <v>4605</v>
      </c>
      <c r="C1888" s="3" t="e">
        <f ca="1">[1]!BexGetData("DP_1","003N8EMH8GTFRCSWKMPXRR8GU","GSON1125100002")</f>
        <v>#NAME?</v>
      </c>
      <c r="D1888" s="3" t="e">
        <f ca="1">[1]!BexGetData("DP_1","003N8EMH8GTFRCSWKMPXRRESE","GSON1125100002")</f>
        <v>#NAME?</v>
      </c>
      <c r="E1888" s="3" t="e">
        <f ca="1">[1]!BexGetData("DP_1","003N8EMH8GTFRCSWKMPXRRL3Y","GSON1125100002")</f>
        <v>#NAME?</v>
      </c>
      <c r="F1888" s="4" t="e">
        <f ca="1">[1]!BexGetData("DP_1","003N8EMH8GTFRCSWKMPXRRRFI","GSON1125100002")</f>
        <v>#NAME?</v>
      </c>
      <c r="G1888" s="4" t="e">
        <f ca="1">[1]!BexGetData("DP_1","003N8EMH8GTFRCSWKMPXRRXR2","GSON1125100002")</f>
        <v>#NAME?</v>
      </c>
      <c r="H1888" s="4" t="e">
        <f ca="1">[1]!BexGetData("DP_1","003N8EMH8GTFRCSWKMPXRS42M","GSON1125100002")</f>
        <v>#NAME?</v>
      </c>
      <c r="I1888" s="4" t="e">
        <f ca="1">[1]!BexGetData("DP_1","003N8EMH8GTFRCSWKMPXRSAE6","GSON1125100002")</f>
        <v>#NAME?</v>
      </c>
      <c r="J1888" s="4" t="e">
        <f ca="1">[1]!BexGetData("DP_1","003N8EMH8GTFRCSWKMPXRSGPQ","GSON1125100002")</f>
        <v>#NAME?</v>
      </c>
      <c r="K1888" s="3" t="e">
        <f ca="1">[1]!BexGetData("DP_1","003N8EMH8GTFRIVNUPY288VJH","GSON1125100002")</f>
        <v>#NAME?</v>
      </c>
      <c r="L1888" s="3" t="e">
        <f ca="1">[1]!BexGetData("DP_1","003N8EMH8GTFRIVNUPY2891V1","GSON1125100002")</f>
        <v>#NAME?</v>
      </c>
      <c r="M1888" s="8" t="e">
        <f ca="1">[1]!BexGetData("DP_1","003N8EMH8GTFRIVOG7KG9IQXA","GSON1125100002")</f>
        <v>#NAME?</v>
      </c>
      <c r="N1888" s="3" t="e">
        <f ca="1">[1]!BexGetData("DP_1","003N8EMH8GTFRIVOG7KG9IX8U","GSON1125100002")</f>
        <v>#NAME?</v>
      </c>
      <c r="O1888" s="8" t="e">
        <f ca="1">[1]!BexGetData("DP_1","003N8EMH8GTFRIVOG7KG9J3KE","GSON1125100002")</f>
        <v>#NAME?</v>
      </c>
      <c r="P1888" s="3" t="e">
        <f ca="1">[1]!BexGetData("DP_1","003N8EMH8GTFRIVOG7KG9J9VY","GSON1125100002")</f>
        <v>#NAME?</v>
      </c>
      <c r="Q1888" s="4" t="e">
        <f ca="1">[1]!BexGetData("DP_1","00O2TNJGODT0G5Z4TTKYMM5MT","GSON1125100002")</f>
        <v>#NAME?</v>
      </c>
      <c r="R1888" s="4" t="e">
        <f ca="1">[1]!BexGetData("DP_1","00O2TNJGODT0G5Z4TTKYMMBYD","GSON1125100002")</f>
        <v>#NAME?</v>
      </c>
      <c r="S1888" s="4" t="e">
        <f ca="1">[1]!BexGetData("DP_1","00O2TNJGODT0G5Z4TTKYMMI9X","GSON1125100002")</f>
        <v>#NAME?</v>
      </c>
      <c r="T1888" s="4" t="e">
        <f ca="1">[1]!BexGetData("DP_1","00O2TNJGODT0G5Z4TTKYMMOLH","GSON1125100002")</f>
        <v>#NAME?</v>
      </c>
      <c r="U1888" s="4" t="e">
        <f ca="1">[1]!BexGetData("DP_1","00O2TNJGODT0G5Z4TTKYMMUX1","GSON1125100002")</f>
        <v>#NAME?</v>
      </c>
      <c r="V1888" s="4" t="e">
        <f ca="1">[1]!BexGetData("DP_1","00O2TNJGODT0G5Z4TTKYMN18L","GSON1125100002")</f>
        <v>#NAME?</v>
      </c>
      <c r="W1888" s="4" t="e">
        <f ca="1">[1]!BexGetData("DP_1","00O2TNJGODT0G5Z4TTKYMN7K5","GSON1125100002")</f>
        <v>#NAME?</v>
      </c>
    </row>
    <row r="1889" spans="1:23" x14ac:dyDescent="0.2">
      <c r="A1889" s="16" t="s">
        <v>1696</v>
      </c>
      <c r="B1889" s="7" t="s">
        <v>1697</v>
      </c>
      <c r="C1889" s="3" t="e">
        <f ca="1">[1]!BexGetData("DP_1","003N8EMH8GTFRCSWKMPXRR8GU","GSON1125100004")</f>
        <v>#NAME?</v>
      </c>
      <c r="D1889" s="3" t="e">
        <f ca="1">[1]!BexGetData("DP_1","003N8EMH8GTFRCSWKMPXRRESE","GSON1125100004")</f>
        <v>#NAME?</v>
      </c>
      <c r="E1889" s="3" t="e">
        <f ca="1">[1]!BexGetData("DP_1","003N8EMH8GTFRCSWKMPXRRL3Y","GSON1125100004")</f>
        <v>#NAME?</v>
      </c>
      <c r="F1889" s="4" t="e">
        <f ca="1">[1]!BexGetData("DP_1","003N8EMH8GTFRCSWKMPXRRRFI","GSON1125100004")</f>
        <v>#NAME?</v>
      </c>
      <c r="G1889" s="4" t="e">
        <f ca="1">[1]!BexGetData("DP_1","003N8EMH8GTFRCSWKMPXRRXR2","GSON1125100004")</f>
        <v>#NAME?</v>
      </c>
      <c r="H1889" s="4" t="e">
        <f ca="1">[1]!BexGetData("DP_1","003N8EMH8GTFRCSWKMPXRS42M","GSON1125100004")</f>
        <v>#NAME?</v>
      </c>
      <c r="I1889" s="4" t="e">
        <f ca="1">[1]!BexGetData("DP_1","003N8EMH8GTFRCSWKMPXRSAE6","GSON1125100004")</f>
        <v>#NAME?</v>
      </c>
      <c r="J1889" s="4" t="e">
        <f ca="1">[1]!BexGetData("DP_1","003N8EMH8GTFRCSWKMPXRSGPQ","GSON1125100004")</f>
        <v>#NAME?</v>
      </c>
      <c r="K1889" s="3" t="e">
        <f ca="1">[1]!BexGetData("DP_1","003N8EMH8GTFRIVNUPY288VJH","GSON1125100004")</f>
        <v>#NAME?</v>
      </c>
      <c r="L1889" s="3" t="e">
        <f ca="1">[1]!BexGetData("DP_1","003N8EMH8GTFRIVNUPY2891V1","GSON1125100004")</f>
        <v>#NAME?</v>
      </c>
      <c r="M1889" s="8" t="e">
        <f ca="1">[1]!BexGetData("DP_1","003N8EMH8GTFRIVOG7KG9IQXA","GSON1125100004")</f>
        <v>#NAME?</v>
      </c>
      <c r="N1889" s="3" t="e">
        <f ca="1">[1]!BexGetData("DP_1","003N8EMH8GTFRIVOG7KG9IX8U","GSON1125100004")</f>
        <v>#NAME?</v>
      </c>
      <c r="O1889" s="8" t="e">
        <f ca="1">[1]!BexGetData("DP_1","003N8EMH8GTFRIVOG7KG9J3KE","GSON1125100004")</f>
        <v>#NAME?</v>
      </c>
      <c r="P1889" s="3" t="e">
        <f ca="1">[1]!BexGetData("DP_1","003N8EMH8GTFRIVOG7KG9J9VY","GSON1125100004")</f>
        <v>#NAME?</v>
      </c>
      <c r="Q1889" s="4" t="e">
        <f ca="1">[1]!BexGetData("DP_1","00O2TNJGODT0G5Z4TTKYMM5MT","GSON1125100004")</f>
        <v>#NAME?</v>
      </c>
      <c r="R1889" s="4" t="e">
        <f ca="1">[1]!BexGetData("DP_1","00O2TNJGODT0G5Z4TTKYMMBYD","GSON1125100004")</f>
        <v>#NAME?</v>
      </c>
      <c r="S1889" s="4" t="e">
        <f ca="1">[1]!BexGetData("DP_1","00O2TNJGODT0G5Z4TTKYMMI9X","GSON1125100004")</f>
        <v>#NAME?</v>
      </c>
      <c r="T1889" s="4" t="e">
        <f ca="1">[1]!BexGetData("DP_1","00O2TNJGODT0G5Z4TTKYMMOLH","GSON1125100004")</f>
        <v>#NAME?</v>
      </c>
      <c r="U1889" s="4" t="e">
        <f ca="1">[1]!BexGetData("DP_1","00O2TNJGODT0G5Z4TTKYMMUX1","GSON1125100004")</f>
        <v>#NAME?</v>
      </c>
      <c r="V1889" s="4" t="e">
        <f ca="1">[1]!BexGetData("DP_1","00O2TNJGODT0G5Z4TTKYMN18L","GSON1125100004")</f>
        <v>#NAME?</v>
      </c>
      <c r="W1889" s="4" t="e">
        <f ca="1">[1]!BexGetData("DP_1","00O2TNJGODT0G5Z4TTKYMN7K5","GSON1125100004")</f>
        <v>#NAME?</v>
      </c>
    </row>
    <row r="1890" spans="1:23" x14ac:dyDescent="0.2">
      <c r="A1890" s="16" t="s">
        <v>4606</v>
      </c>
      <c r="B1890" s="7" t="s">
        <v>4607</v>
      </c>
      <c r="C1890" s="3" t="e">
        <f ca="1">[1]!BexGetData("DP_1","003N8EMH8GTFRCSWKMPXRR8GU","GSON1125100005")</f>
        <v>#NAME?</v>
      </c>
      <c r="D1890" s="3" t="e">
        <f ca="1">[1]!BexGetData("DP_1","003N8EMH8GTFRCSWKMPXRRESE","GSON1125100005")</f>
        <v>#NAME?</v>
      </c>
      <c r="E1890" s="3" t="e">
        <f ca="1">[1]!BexGetData("DP_1","003N8EMH8GTFRCSWKMPXRRL3Y","GSON1125100005")</f>
        <v>#NAME?</v>
      </c>
      <c r="F1890" s="3" t="e">
        <f ca="1">[1]!BexGetData("DP_1","003N8EMH8GTFRCSWKMPXRRRFI","GSON1125100005")</f>
        <v>#NAME?</v>
      </c>
      <c r="G1890" s="3" t="e">
        <f ca="1">[1]!BexGetData("DP_1","003N8EMH8GTFRCSWKMPXRRXR2","GSON1125100005")</f>
        <v>#NAME?</v>
      </c>
      <c r="H1890" s="3" t="e">
        <f ca="1">[1]!BexGetData("DP_1","003N8EMH8GTFRCSWKMPXRS42M","GSON1125100005")</f>
        <v>#NAME?</v>
      </c>
      <c r="I1890" s="3" t="e">
        <f ca="1">[1]!BexGetData("DP_1","003N8EMH8GTFRCSWKMPXRSAE6","GSON1125100005")</f>
        <v>#NAME?</v>
      </c>
      <c r="J1890" s="4" t="e">
        <f ca="1">[1]!BexGetData("DP_1","003N8EMH8GTFRCSWKMPXRSGPQ","GSON1125100005")</f>
        <v>#NAME?</v>
      </c>
      <c r="K1890" s="3" t="e">
        <f ca="1">[1]!BexGetData("DP_1","003N8EMH8GTFRIVNUPY288VJH","GSON1125100005")</f>
        <v>#NAME?</v>
      </c>
      <c r="L1890" s="3" t="e">
        <f ca="1">[1]!BexGetData("DP_1","003N8EMH8GTFRIVNUPY2891V1","GSON1125100005")</f>
        <v>#NAME?</v>
      </c>
      <c r="M1890" s="3" t="e">
        <f ca="1">[1]!BexGetData("DP_1","003N8EMH8GTFRIVOG7KG9IQXA","GSON1125100005")</f>
        <v>#NAME?</v>
      </c>
      <c r="N1890" s="8" t="e">
        <f ca="1">[1]!BexGetData("DP_1","003N8EMH8GTFRIVOG7KG9IX8U","GSON1125100005")</f>
        <v>#NAME?</v>
      </c>
      <c r="O1890" s="3" t="e">
        <f ca="1">[1]!BexGetData("DP_1","003N8EMH8GTFRIVOG7KG9J3KE","GSON1125100005")</f>
        <v>#NAME?</v>
      </c>
      <c r="P1890" s="8" t="e">
        <f ca="1">[1]!BexGetData("DP_1","003N8EMH8GTFRIVOG7KG9J9VY","GSON1125100005")</f>
        <v>#NAME?</v>
      </c>
      <c r="Q1890" s="4" t="e">
        <f ca="1">[1]!BexGetData("DP_1","00O2TNJGODT0G5Z4TTKYMM5MT","GSON1125100005")</f>
        <v>#NAME?</v>
      </c>
      <c r="R1890" s="3" t="e">
        <f ca="1">[1]!BexGetData("DP_1","00O2TNJGODT0G5Z4TTKYMMBYD","GSON1125100005")</f>
        <v>#NAME?</v>
      </c>
      <c r="S1890" s="3" t="e">
        <f ca="1">[1]!BexGetData("DP_1","00O2TNJGODT0G5Z4TTKYMMI9X","GSON1125100005")</f>
        <v>#NAME?</v>
      </c>
      <c r="T1890" s="8" t="e">
        <f ca="1">[1]!BexGetData("DP_1","00O2TNJGODT0G5Z4TTKYMMOLH","GSON1125100005")</f>
        <v>#NAME?</v>
      </c>
      <c r="U1890" s="3" t="e">
        <f ca="1">[1]!BexGetData("DP_1","00O2TNJGODT0G5Z4TTKYMMUX1","GSON1125100005")</f>
        <v>#NAME?</v>
      </c>
      <c r="V1890" s="8" t="e">
        <f ca="1">[1]!BexGetData("DP_1","00O2TNJGODT0G5Z4TTKYMN18L","GSON1125100005")</f>
        <v>#NAME?</v>
      </c>
      <c r="W1890" s="3" t="e">
        <f ca="1">[1]!BexGetData("DP_1","00O2TNJGODT0G5Z4TTKYMN7K5","GSON1125100005")</f>
        <v>#NAME?</v>
      </c>
    </row>
    <row r="1891" spans="1:23" x14ac:dyDescent="0.2">
      <c r="A1891" s="16" t="s">
        <v>4608</v>
      </c>
      <c r="B1891" s="7" t="s">
        <v>4609</v>
      </c>
      <c r="C1891" s="3" t="e">
        <f ca="1">[1]!BexGetData("DP_1","003N8EMH8GTFRCSWKMPXRR8GU","GSON1125100006")</f>
        <v>#NAME?</v>
      </c>
      <c r="D1891" s="3" t="e">
        <f ca="1">[1]!BexGetData("DP_1","003N8EMH8GTFRCSWKMPXRRESE","GSON1125100006")</f>
        <v>#NAME?</v>
      </c>
      <c r="E1891" s="3" t="e">
        <f ca="1">[1]!BexGetData("DP_1","003N8EMH8GTFRCSWKMPXRRL3Y","GSON1125100006")</f>
        <v>#NAME?</v>
      </c>
      <c r="F1891" s="3" t="e">
        <f ca="1">[1]!BexGetData("DP_1","003N8EMH8GTFRCSWKMPXRRRFI","GSON1125100006")</f>
        <v>#NAME?</v>
      </c>
      <c r="G1891" s="3" t="e">
        <f ca="1">[1]!BexGetData("DP_1","003N8EMH8GTFRCSWKMPXRRXR2","GSON1125100006")</f>
        <v>#NAME?</v>
      </c>
      <c r="H1891" s="8" t="e">
        <f ca="1">[1]!BexGetData("DP_1","003N8EMH8GTFRCSWKMPXRS42M","GSON1125100006")</f>
        <v>#NAME?</v>
      </c>
      <c r="I1891" s="3" t="e">
        <f ca="1">[1]!BexGetData("DP_1","003N8EMH8GTFRCSWKMPXRSAE6","GSON1125100006")</f>
        <v>#NAME?</v>
      </c>
      <c r="J1891" s="4" t="e">
        <f ca="1">[1]!BexGetData("DP_1","003N8EMH8GTFRCSWKMPXRSGPQ","GSON1125100006")</f>
        <v>#NAME?</v>
      </c>
      <c r="K1891" s="3" t="e">
        <f ca="1">[1]!BexGetData("DP_1","003N8EMH8GTFRIVNUPY288VJH","GSON1125100006")</f>
        <v>#NAME?</v>
      </c>
      <c r="L1891" s="3" t="e">
        <f ca="1">[1]!BexGetData("DP_1","003N8EMH8GTFRIVNUPY2891V1","GSON1125100006")</f>
        <v>#NAME?</v>
      </c>
      <c r="M1891" s="3" t="e">
        <f ca="1">[1]!BexGetData("DP_1","003N8EMH8GTFRIVOG7KG9IQXA","GSON1125100006")</f>
        <v>#NAME?</v>
      </c>
      <c r="N1891" s="8" t="e">
        <f ca="1">[1]!BexGetData("DP_1","003N8EMH8GTFRIVOG7KG9IX8U","GSON1125100006")</f>
        <v>#NAME?</v>
      </c>
      <c r="O1891" s="3" t="e">
        <f ca="1">[1]!BexGetData("DP_1","003N8EMH8GTFRIVOG7KG9J3KE","GSON1125100006")</f>
        <v>#NAME?</v>
      </c>
      <c r="P1891" s="8" t="e">
        <f ca="1">[1]!BexGetData("DP_1","003N8EMH8GTFRIVOG7KG9J9VY","GSON1125100006")</f>
        <v>#NAME?</v>
      </c>
      <c r="Q1891" s="4" t="e">
        <f ca="1">[1]!BexGetData("DP_1","00O2TNJGODT0G5Z4TTKYMM5MT","GSON1125100006")</f>
        <v>#NAME?</v>
      </c>
      <c r="R1891" s="3" t="e">
        <f ca="1">[1]!BexGetData("DP_1","00O2TNJGODT0G5Z4TTKYMMBYD","GSON1125100006")</f>
        <v>#NAME?</v>
      </c>
      <c r="S1891" s="3" t="e">
        <f ca="1">[1]!BexGetData("DP_1","00O2TNJGODT0G5Z4TTKYMMI9X","GSON1125100006")</f>
        <v>#NAME?</v>
      </c>
      <c r="T1891" s="8" t="e">
        <f ca="1">[1]!BexGetData("DP_1","00O2TNJGODT0G5Z4TTKYMMOLH","GSON1125100006")</f>
        <v>#NAME?</v>
      </c>
      <c r="U1891" s="3" t="e">
        <f ca="1">[1]!BexGetData("DP_1","00O2TNJGODT0G5Z4TTKYMMUX1","GSON1125100006")</f>
        <v>#NAME?</v>
      </c>
      <c r="V1891" s="8" t="e">
        <f ca="1">[1]!BexGetData("DP_1","00O2TNJGODT0G5Z4TTKYMN18L","GSON1125100006")</f>
        <v>#NAME?</v>
      </c>
      <c r="W1891" s="3" t="e">
        <f ca="1">[1]!BexGetData("DP_1","00O2TNJGODT0G5Z4TTKYMN7K5","GSON1125100006")</f>
        <v>#NAME?</v>
      </c>
    </row>
    <row r="1892" spans="1:23" x14ac:dyDescent="0.2">
      <c r="A1892" s="16" t="s">
        <v>4610</v>
      </c>
      <c r="B1892" s="7" t="s">
        <v>4611</v>
      </c>
      <c r="C1892" s="3" t="e">
        <f ca="1">[1]!BexGetData("DP_1","003N8EMH8GTFRCSWKMPXRR8GU","GSON1125200001")</f>
        <v>#NAME?</v>
      </c>
      <c r="D1892" s="3" t="e">
        <f ca="1">[1]!BexGetData("DP_1","003N8EMH8GTFRCSWKMPXRRESE","GSON1125200001")</f>
        <v>#NAME?</v>
      </c>
      <c r="E1892" s="8" t="e">
        <f ca="1">[1]!BexGetData("DP_1","003N8EMH8GTFRCSWKMPXRRL3Y","GSON1125200001")</f>
        <v>#NAME?</v>
      </c>
      <c r="F1892" s="4" t="e">
        <f ca="1">[1]!BexGetData("DP_1","003N8EMH8GTFRCSWKMPXRRRFI","GSON1125200001")</f>
        <v>#NAME?</v>
      </c>
      <c r="G1892" s="4" t="e">
        <f ca="1">[1]!BexGetData("DP_1","003N8EMH8GTFRCSWKMPXRRXR2","GSON1125200001")</f>
        <v>#NAME?</v>
      </c>
      <c r="H1892" s="4" t="e">
        <f ca="1">[1]!BexGetData("DP_1","003N8EMH8GTFRCSWKMPXRS42M","GSON1125200001")</f>
        <v>#NAME?</v>
      </c>
      <c r="I1892" s="4" t="e">
        <f ca="1">[1]!BexGetData("DP_1","003N8EMH8GTFRCSWKMPXRSAE6","GSON1125200001")</f>
        <v>#NAME?</v>
      </c>
      <c r="J1892" s="4" t="e">
        <f ca="1">[1]!BexGetData("DP_1","003N8EMH8GTFRCSWKMPXRSGPQ","GSON1125200001")</f>
        <v>#NAME?</v>
      </c>
      <c r="K1892" s="8" t="e">
        <f ca="1">[1]!BexGetData("DP_1","003N8EMH8GTFRIVNUPY288VJH","GSON1125200001")</f>
        <v>#NAME?</v>
      </c>
      <c r="L1892" s="8" t="e">
        <f ca="1">[1]!BexGetData("DP_1","003N8EMH8GTFRIVNUPY2891V1","GSON1125200001")</f>
        <v>#NAME?</v>
      </c>
      <c r="M1892" s="8" t="e">
        <f ca="1">[1]!BexGetData("DP_1","003N8EMH8GTFRIVOG7KG9IQXA","GSON1125200001")</f>
        <v>#NAME?</v>
      </c>
      <c r="N1892" s="8" t="e">
        <f ca="1">[1]!BexGetData("DP_1","003N8EMH8GTFRIVOG7KG9IX8U","GSON1125200001")</f>
        <v>#NAME?</v>
      </c>
      <c r="O1892" s="8" t="e">
        <f ca="1">[1]!BexGetData("DP_1","003N8EMH8GTFRIVOG7KG9J3KE","GSON1125200001")</f>
        <v>#NAME?</v>
      </c>
      <c r="P1892" s="8" t="e">
        <f ca="1">[1]!BexGetData("DP_1","003N8EMH8GTFRIVOG7KG9J9VY","GSON1125200001")</f>
        <v>#NAME?</v>
      </c>
      <c r="Q1892" s="4" t="e">
        <f ca="1">[1]!BexGetData("DP_1","00O2TNJGODT0G5Z4TTKYMM5MT","GSON1125200001")</f>
        <v>#NAME?</v>
      </c>
      <c r="R1892" s="4" t="e">
        <f ca="1">[1]!BexGetData("DP_1","00O2TNJGODT0G5Z4TTKYMMBYD","GSON1125200001")</f>
        <v>#NAME?</v>
      </c>
      <c r="S1892" s="4" t="e">
        <f ca="1">[1]!BexGetData("DP_1","00O2TNJGODT0G5Z4TTKYMMI9X","GSON1125200001")</f>
        <v>#NAME?</v>
      </c>
      <c r="T1892" s="4" t="e">
        <f ca="1">[1]!BexGetData("DP_1","00O2TNJGODT0G5Z4TTKYMMOLH","GSON1125200001")</f>
        <v>#NAME?</v>
      </c>
      <c r="U1892" s="4" t="e">
        <f ca="1">[1]!BexGetData("DP_1","00O2TNJGODT0G5Z4TTKYMMUX1","GSON1125200001")</f>
        <v>#NAME?</v>
      </c>
      <c r="V1892" s="4" t="e">
        <f ca="1">[1]!BexGetData("DP_1","00O2TNJGODT0G5Z4TTKYMN18L","GSON1125200001")</f>
        <v>#NAME?</v>
      </c>
      <c r="W1892" s="4" t="e">
        <f ca="1">[1]!BexGetData("DP_1","00O2TNJGODT0G5Z4TTKYMN7K5","GSON1125200001")</f>
        <v>#NAME?</v>
      </c>
    </row>
    <row r="1893" spans="1:23" x14ac:dyDescent="0.2">
      <c r="A1893" s="15" t="s">
        <v>4612</v>
      </c>
      <c r="B1893" s="7" t="s">
        <v>4613</v>
      </c>
      <c r="C1893" s="3" t="e">
        <f ca="1">[1]!BexGetData("DP_1","003N8EMH8GTFRCSWKMPXRR8GU","GSON1129")</f>
        <v>#NAME?</v>
      </c>
      <c r="D1893" s="3" t="e">
        <f ca="1">[1]!BexGetData("DP_1","003N8EMH8GTFRCSWKMPXRRESE","GSON1129")</f>
        <v>#NAME?</v>
      </c>
      <c r="E1893" s="3" t="e">
        <f ca="1">[1]!BexGetData("DP_1","003N8EMH8GTFRCSWKMPXRRL3Y","GSON1129")</f>
        <v>#NAME?</v>
      </c>
      <c r="F1893" s="3" t="e">
        <f ca="1">[1]!BexGetData("DP_1","003N8EMH8GTFRCSWKMPXRRRFI","GSON1129")</f>
        <v>#NAME?</v>
      </c>
      <c r="G1893" s="3" t="e">
        <f ca="1">[1]!BexGetData("DP_1","003N8EMH8GTFRCSWKMPXRRXR2","GSON1129")</f>
        <v>#NAME?</v>
      </c>
      <c r="H1893" s="3" t="e">
        <f ca="1">[1]!BexGetData("DP_1","003N8EMH8GTFRCSWKMPXRS42M","GSON1129")</f>
        <v>#NAME?</v>
      </c>
      <c r="I1893" s="3" t="e">
        <f ca="1">[1]!BexGetData("DP_1","003N8EMH8GTFRCSWKMPXRSAE6","GSON1129")</f>
        <v>#NAME?</v>
      </c>
      <c r="J1893" s="4" t="e">
        <f ca="1">[1]!BexGetData("DP_1","003N8EMH8GTFRCSWKMPXRSGPQ","GSON1129")</f>
        <v>#NAME?</v>
      </c>
      <c r="K1893" s="3" t="e">
        <f ca="1">[1]!BexGetData("DP_1","003N8EMH8GTFRIVNUPY288VJH","GSON1129")</f>
        <v>#NAME?</v>
      </c>
      <c r="L1893" s="3" t="e">
        <f ca="1">[1]!BexGetData("DP_1","003N8EMH8GTFRIVNUPY2891V1","GSON1129")</f>
        <v>#NAME?</v>
      </c>
      <c r="M1893" s="8" t="e">
        <f ca="1">[1]!BexGetData("DP_1","003N8EMH8GTFRIVOG7KG9IQXA","GSON1129")</f>
        <v>#NAME?</v>
      </c>
      <c r="N1893" s="3" t="e">
        <f ca="1">[1]!BexGetData("DP_1","003N8EMH8GTFRIVOG7KG9IX8U","GSON1129")</f>
        <v>#NAME?</v>
      </c>
      <c r="O1893" s="8" t="e">
        <f ca="1">[1]!BexGetData("DP_1","003N8EMH8GTFRIVOG7KG9J3KE","GSON1129")</f>
        <v>#NAME?</v>
      </c>
      <c r="P1893" s="3" t="e">
        <f ca="1">[1]!BexGetData("DP_1","003N8EMH8GTFRIVOG7KG9J9VY","GSON1129")</f>
        <v>#NAME?</v>
      </c>
      <c r="Q1893" s="4" t="e">
        <f ca="1">[1]!BexGetData("DP_1","00O2TNJGODT0G5Z4TTKYMM5MT","GSON1129")</f>
        <v>#NAME?</v>
      </c>
      <c r="R1893" s="3" t="e">
        <f ca="1">[1]!BexGetData("DP_1","00O2TNJGODT0G5Z4TTKYMMBYD","GSON1129")</f>
        <v>#NAME?</v>
      </c>
      <c r="S1893" s="3" t="e">
        <f ca="1">[1]!BexGetData("DP_1","00O2TNJGODT0G5Z4TTKYMMI9X","GSON1129")</f>
        <v>#NAME?</v>
      </c>
      <c r="T1893" s="8" t="e">
        <f ca="1">[1]!BexGetData("DP_1","00O2TNJGODT0G5Z4TTKYMMOLH","GSON1129")</f>
        <v>#NAME?</v>
      </c>
      <c r="U1893" s="3" t="e">
        <f ca="1">[1]!BexGetData("DP_1","00O2TNJGODT0G5Z4TTKYMMUX1","GSON1129")</f>
        <v>#NAME?</v>
      </c>
      <c r="V1893" s="8" t="e">
        <f ca="1">[1]!BexGetData("DP_1","00O2TNJGODT0G5Z4TTKYMN18L","GSON1129")</f>
        <v>#NAME?</v>
      </c>
      <c r="W1893" s="3" t="e">
        <f ca="1">[1]!BexGetData("DP_1","00O2TNJGODT0G5Z4TTKYMN7K5","GSON1129")</f>
        <v>#NAME?</v>
      </c>
    </row>
    <row r="1894" spans="1:23" x14ac:dyDescent="0.2">
      <c r="A1894" s="16" t="s">
        <v>4614</v>
      </c>
      <c r="B1894" s="7" t="s">
        <v>4615</v>
      </c>
      <c r="C1894" s="3" t="e">
        <f ca="1">[1]!BexGetData("DP_1","003N8EMH8GTFRCSWKMPXRR8GU","GSON1129100001")</f>
        <v>#NAME?</v>
      </c>
      <c r="D1894" s="8" t="e">
        <f ca="1">[1]!BexGetData("DP_1","003N8EMH8GTFRCSWKMPXRRESE","GSON1129100001")</f>
        <v>#NAME?</v>
      </c>
      <c r="E1894" s="3" t="e">
        <f ca="1">[1]!BexGetData("DP_1","003N8EMH8GTFRCSWKMPXRRL3Y","GSON1129100001")</f>
        <v>#NAME?</v>
      </c>
      <c r="F1894" s="4" t="e">
        <f ca="1">[1]!BexGetData("DP_1","003N8EMH8GTFRCSWKMPXRRRFI","GSON1129100001")</f>
        <v>#NAME?</v>
      </c>
      <c r="G1894" s="4" t="e">
        <f ca="1">[1]!BexGetData("DP_1","003N8EMH8GTFRCSWKMPXRRXR2","GSON1129100001")</f>
        <v>#NAME?</v>
      </c>
      <c r="H1894" s="4" t="e">
        <f ca="1">[1]!BexGetData("DP_1","003N8EMH8GTFRCSWKMPXRS42M","GSON1129100001")</f>
        <v>#NAME?</v>
      </c>
      <c r="I1894" s="4" t="e">
        <f ca="1">[1]!BexGetData("DP_1","003N8EMH8GTFRCSWKMPXRSAE6","GSON1129100001")</f>
        <v>#NAME?</v>
      </c>
      <c r="J1894" s="4" t="e">
        <f ca="1">[1]!BexGetData("DP_1","003N8EMH8GTFRCSWKMPXRSGPQ","GSON1129100001")</f>
        <v>#NAME?</v>
      </c>
      <c r="K1894" s="3" t="e">
        <f ca="1">[1]!BexGetData("DP_1","003N8EMH8GTFRIVNUPY288VJH","GSON1129100001")</f>
        <v>#NAME?</v>
      </c>
      <c r="L1894" s="3" t="e">
        <f ca="1">[1]!BexGetData("DP_1","003N8EMH8GTFRIVNUPY2891V1","GSON1129100001")</f>
        <v>#NAME?</v>
      </c>
      <c r="M1894" s="8" t="e">
        <f ca="1">[1]!BexGetData("DP_1","003N8EMH8GTFRIVOG7KG9IQXA","GSON1129100001")</f>
        <v>#NAME?</v>
      </c>
      <c r="N1894" s="3" t="e">
        <f ca="1">[1]!BexGetData("DP_1","003N8EMH8GTFRIVOG7KG9IX8U","GSON1129100001")</f>
        <v>#NAME?</v>
      </c>
      <c r="O1894" s="8" t="e">
        <f ca="1">[1]!BexGetData("DP_1","003N8EMH8GTFRIVOG7KG9J3KE","GSON1129100001")</f>
        <v>#NAME?</v>
      </c>
      <c r="P1894" s="3" t="e">
        <f ca="1">[1]!BexGetData("DP_1","003N8EMH8GTFRIVOG7KG9J9VY","GSON1129100001")</f>
        <v>#NAME?</v>
      </c>
      <c r="Q1894" s="4" t="e">
        <f ca="1">[1]!BexGetData("DP_1","00O2TNJGODT0G5Z4TTKYMM5MT","GSON1129100001")</f>
        <v>#NAME?</v>
      </c>
      <c r="R1894" s="4" t="e">
        <f ca="1">[1]!BexGetData("DP_1","00O2TNJGODT0G5Z4TTKYMMBYD","GSON1129100001")</f>
        <v>#NAME?</v>
      </c>
      <c r="S1894" s="4" t="e">
        <f ca="1">[1]!BexGetData("DP_1","00O2TNJGODT0G5Z4TTKYMMI9X","GSON1129100001")</f>
        <v>#NAME?</v>
      </c>
      <c r="T1894" s="4" t="e">
        <f ca="1">[1]!BexGetData("DP_1","00O2TNJGODT0G5Z4TTKYMMOLH","GSON1129100001")</f>
        <v>#NAME?</v>
      </c>
      <c r="U1894" s="4" t="e">
        <f ca="1">[1]!BexGetData("DP_1","00O2TNJGODT0G5Z4TTKYMMUX1","GSON1129100001")</f>
        <v>#NAME?</v>
      </c>
      <c r="V1894" s="4" t="e">
        <f ca="1">[1]!BexGetData("DP_1","00O2TNJGODT0G5Z4TTKYMN18L","GSON1129100001")</f>
        <v>#NAME?</v>
      </c>
      <c r="W1894" s="4" t="e">
        <f ca="1">[1]!BexGetData("DP_1","00O2TNJGODT0G5Z4TTKYMN7K5","GSON1129100001")</f>
        <v>#NAME?</v>
      </c>
    </row>
    <row r="1895" spans="1:23" x14ac:dyDescent="0.2">
      <c r="A1895" s="16" t="s">
        <v>4616</v>
      </c>
      <c r="B1895" s="7" t="s">
        <v>4617</v>
      </c>
      <c r="C1895" s="3" t="e">
        <f ca="1">[1]!BexGetData("DP_1","003N8EMH8GTFRCSWKMPXRR8GU","GSON1129200001")</f>
        <v>#NAME?</v>
      </c>
      <c r="D1895" s="3" t="e">
        <f ca="1">[1]!BexGetData("DP_1","003N8EMH8GTFRCSWKMPXRRESE","GSON1129200001")</f>
        <v>#NAME?</v>
      </c>
      <c r="E1895" s="3" t="e">
        <f ca="1">[1]!BexGetData("DP_1","003N8EMH8GTFRCSWKMPXRRL3Y","GSON1129200001")</f>
        <v>#NAME?</v>
      </c>
      <c r="F1895" s="4" t="e">
        <f ca="1">[1]!BexGetData("DP_1","003N8EMH8GTFRCSWKMPXRRRFI","GSON1129200001")</f>
        <v>#NAME?</v>
      </c>
      <c r="G1895" s="4" t="e">
        <f ca="1">[1]!BexGetData("DP_1","003N8EMH8GTFRCSWKMPXRRXR2","GSON1129200001")</f>
        <v>#NAME?</v>
      </c>
      <c r="H1895" s="4" t="e">
        <f ca="1">[1]!BexGetData("DP_1","003N8EMH8GTFRCSWKMPXRS42M","GSON1129200001")</f>
        <v>#NAME?</v>
      </c>
      <c r="I1895" s="4" t="e">
        <f ca="1">[1]!BexGetData("DP_1","003N8EMH8GTFRCSWKMPXRSAE6","GSON1129200001")</f>
        <v>#NAME?</v>
      </c>
      <c r="J1895" s="4" t="e">
        <f ca="1">[1]!BexGetData("DP_1","003N8EMH8GTFRCSWKMPXRSGPQ","GSON1129200001")</f>
        <v>#NAME?</v>
      </c>
      <c r="K1895" s="3" t="e">
        <f ca="1">[1]!BexGetData("DP_1","003N8EMH8GTFRIVNUPY288VJH","GSON1129200001")</f>
        <v>#NAME?</v>
      </c>
      <c r="L1895" s="3" t="e">
        <f ca="1">[1]!BexGetData("DP_1","003N8EMH8GTFRIVNUPY2891V1","GSON1129200001")</f>
        <v>#NAME?</v>
      </c>
      <c r="M1895" s="8" t="e">
        <f ca="1">[1]!BexGetData("DP_1","003N8EMH8GTFRIVOG7KG9IQXA","GSON1129200001")</f>
        <v>#NAME?</v>
      </c>
      <c r="N1895" s="3" t="e">
        <f ca="1">[1]!BexGetData("DP_1","003N8EMH8GTFRIVOG7KG9IX8U","GSON1129200001")</f>
        <v>#NAME?</v>
      </c>
      <c r="O1895" s="8" t="e">
        <f ca="1">[1]!BexGetData("DP_1","003N8EMH8GTFRIVOG7KG9J3KE","GSON1129200001")</f>
        <v>#NAME?</v>
      </c>
      <c r="P1895" s="3" t="e">
        <f ca="1">[1]!BexGetData("DP_1","003N8EMH8GTFRIVOG7KG9J9VY","GSON1129200001")</f>
        <v>#NAME?</v>
      </c>
      <c r="Q1895" s="4" t="e">
        <f ca="1">[1]!BexGetData("DP_1","00O2TNJGODT0G5Z4TTKYMM5MT","GSON1129200001")</f>
        <v>#NAME?</v>
      </c>
      <c r="R1895" s="4" t="e">
        <f ca="1">[1]!BexGetData("DP_1","00O2TNJGODT0G5Z4TTKYMMBYD","GSON1129200001")</f>
        <v>#NAME?</v>
      </c>
      <c r="S1895" s="4" t="e">
        <f ca="1">[1]!BexGetData("DP_1","00O2TNJGODT0G5Z4TTKYMMI9X","GSON1129200001")</f>
        <v>#NAME?</v>
      </c>
      <c r="T1895" s="4" t="e">
        <f ca="1">[1]!BexGetData("DP_1","00O2TNJGODT0G5Z4TTKYMMOLH","GSON1129200001")</f>
        <v>#NAME?</v>
      </c>
      <c r="U1895" s="4" t="e">
        <f ca="1">[1]!BexGetData("DP_1","00O2TNJGODT0G5Z4TTKYMMUX1","GSON1129200001")</f>
        <v>#NAME?</v>
      </c>
      <c r="V1895" s="4" t="e">
        <f ca="1">[1]!BexGetData("DP_1","00O2TNJGODT0G5Z4TTKYMN18L","GSON1129200001")</f>
        <v>#NAME?</v>
      </c>
      <c r="W1895" s="4" t="e">
        <f ca="1">[1]!BexGetData("DP_1","00O2TNJGODT0G5Z4TTKYMN7K5","GSON1129200001")</f>
        <v>#NAME?</v>
      </c>
    </row>
    <row r="1896" spans="1:23" x14ac:dyDescent="0.2">
      <c r="A1896" s="16" t="s">
        <v>4618</v>
      </c>
      <c r="B1896" s="7" t="s">
        <v>4619</v>
      </c>
      <c r="C1896" s="8" t="e">
        <f ca="1">[1]!BexGetData("DP_1","003N8EMH8GTFRCSWKMPXRR8GU","GSON1129200003")</f>
        <v>#NAME?</v>
      </c>
      <c r="D1896" s="8" t="e">
        <f ca="1">[1]!BexGetData("DP_1","003N8EMH8GTFRCSWKMPXRRESE","GSON1129200003")</f>
        <v>#NAME?</v>
      </c>
      <c r="E1896" s="3" t="e">
        <f ca="1">[1]!BexGetData("DP_1","003N8EMH8GTFRCSWKMPXRRL3Y","GSON1129200003")</f>
        <v>#NAME?</v>
      </c>
      <c r="F1896" s="3" t="e">
        <f ca="1">[1]!BexGetData("DP_1","003N8EMH8GTFRCSWKMPXRRRFI","GSON1129200003")</f>
        <v>#NAME?</v>
      </c>
      <c r="G1896" s="3" t="e">
        <f ca="1">[1]!BexGetData("DP_1","003N8EMH8GTFRCSWKMPXRRXR2","GSON1129200003")</f>
        <v>#NAME?</v>
      </c>
      <c r="H1896" s="3" t="e">
        <f ca="1">[1]!BexGetData("DP_1","003N8EMH8GTFRCSWKMPXRS42M","GSON1129200003")</f>
        <v>#NAME?</v>
      </c>
      <c r="I1896" s="3" t="e">
        <f ca="1">[1]!BexGetData("DP_1","003N8EMH8GTFRCSWKMPXRSAE6","GSON1129200003")</f>
        <v>#NAME?</v>
      </c>
      <c r="J1896" s="4" t="e">
        <f ca="1">[1]!BexGetData("DP_1","003N8EMH8GTFRCSWKMPXRSGPQ","GSON1129200003")</f>
        <v>#NAME?</v>
      </c>
      <c r="K1896" s="8" t="e">
        <f ca="1">[1]!BexGetData("DP_1","003N8EMH8GTFRIVNUPY288VJH","GSON1129200003")</f>
        <v>#NAME?</v>
      </c>
      <c r="L1896" s="8" t="e">
        <f ca="1">[1]!BexGetData("DP_1","003N8EMH8GTFRIVNUPY2891V1","GSON1129200003")</f>
        <v>#NAME?</v>
      </c>
      <c r="M1896" s="8" t="e">
        <f ca="1">[1]!BexGetData("DP_1","003N8EMH8GTFRIVOG7KG9IQXA","GSON1129200003")</f>
        <v>#NAME?</v>
      </c>
      <c r="N1896" s="8" t="e">
        <f ca="1">[1]!BexGetData("DP_1","003N8EMH8GTFRIVOG7KG9IX8U","GSON1129200003")</f>
        <v>#NAME?</v>
      </c>
      <c r="O1896" s="8" t="e">
        <f ca="1">[1]!BexGetData("DP_1","003N8EMH8GTFRIVOG7KG9J3KE","GSON1129200003")</f>
        <v>#NAME?</v>
      </c>
      <c r="P1896" s="8" t="e">
        <f ca="1">[1]!BexGetData("DP_1","003N8EMH8GTFRIVOG7KG9J9VY","GSON1129200003")</f>
        <v>#NAME?</v>
      </c>
      <c r="Q1896" s="4" t="e">
        <f ca="1">[1]!BexGetData("DP_1","00O2TNJGODT0G5Z4TTKYMM5MT","GSON1129200003")</f>
        <v>#NAME?</v>
      </c>
      <c r="R1896" s="3" t="e">
        <f ca="1">[1]!BexGetData("DP_1","00O2TNJGODT0G5Z4TTKYMMBYD","GSON1129200003")</f>
        <v>#NAME?</v>
      </c>
      <c r="S1896" s="3" t="e">
        <f ca="1">[1]!BexGetData("DP_1","00O2TNJGODT0G5Z4TTKYMMI9X","GSON1129200003")</f>
        <v>#NAME?</v>
      </c>
      <c r="T1896" s="8" t="e">
        <f ca="1">[1]!BexGetData("DP_1","00O2TNJGODT0G5Z4TTKYMMOLH","GSON1129200003")</f>
        <v>#NAME?</v>
      </c>
      <c r="U1896" s="3" t="e">
        <f ca="1">[1]!BexGetData("DP_1","00O2TNJGODT0G5Z4TTKYMMUX1","GSON1129200003")</f>
        <v>#NAME?</v>
      </c>
      <c r="V1896" s="8" t="e">
        <f ca="1">[1]!BexGetData("DP_1","00O2TNJGODT0G5Z4TTKYMN18L","GSON1129200003")</f>
        <v>#NAME?</v>
      </c>
      <c r="W1896" s="3" t="e">
        <f ca="1">[1]!BexGetData("DP_1","00O2TNJGODT0G5Z4TTKYMN7K5","GSON1129200003")</f>
        <v>#NAME?</v>
      </c>
    </row>
    <row r="1897" spans="1:23" x14ac:dyDescent="0.2">
      <c r="A1897" s="14" t="s">
        <v>69</v>
      </c>
      <c r="B1897" s="7" t="s">
        <v>70</v>
      </c>
      <c r="C1897" s="3" t="e">
        <f ca="1">[1]!BexGetData("DP_1","003N8EMH8GTFRCSWKMPXRR8GU","GSON113")</f>
        <v>#NAME?</v>
      </c>
      <c r="D1897" s="3" t="e">
        <f ca="1">[1]!BexGetData("DP_1","003N8EMH8GTFRCSWKMPXRRESE","GSON113")</f>
        <v>#NAME?</v>
      </c>
      <c r="E1897" s="3" t="e">
        <f ca="1">[1]!BexGetData("DP_1","003N8EMH8GTFRCSWKMPXRRL3Y","GSON113")</f>
        <v>#NAME?</v>
      </c>
      <c r="F1897" s="3" t="e">
        <f ca="1">[1]!BexGetData("DP_1","003N8EMH8GTFRCSWKMPXRRRFI","GSON113")</f>
        <v>#NAME?</v>
      </c>
      <c r="G1897" s="3" t="e">
        <f ca="1">[1]!BexGetData("DP_1","003N8EMH8GTFRCSWKMPXRRXR2","GSON113")</f>
        <v>#NAME?</v>
      </c>
      <c r="H1897" s="3" t="e">
        <f ca="1">[1]!BexGetData("DP_1","003N8EMH8GTFRCSWKMPXRS42M","GSON113")</f>
        <v>#NAME?</v>
      </c>
      <c r="I1897" s="3" t="e">
        <f ca="1">[1]!BexGetData("DP_1","003N8EMH8GTFRCSWKMPXRSAE6","GSON113")</f>
        <v>#NAME?</v>
      </c>
      <c r="J1897" s="4" t="e">
        <f ca="1">[1]!BexGetData("DP_1","003N8EMH8GTFRCSWKMPXRSGPQ","GSON113")</f>
        <v>#NAME?</v>
      </c>
      <c r="K1897" s="3" t="e">
        <f ca="1">[1]!BexGetData("DP_1","003N8EMH8GTFRIVNUPY288VJH","GSON113")</f>
        <v>#NAME?</v>
      </c>
      <c r="L1897" s="3" t="e">
        <f ca="1">[1]!BexGetData("DP_1","003N8EMH8GTFRIVNUPY2891V1","GSON113")</f>
        <v>#NAME?</v>
      </c>
      <c r="M1897" s="8" t="e">
        <f ca="1">[1]!BexGetData("DP_1","003N8EMH8GTFRIVOG7KG9IQXA","GSON113")</f>
        <v>#NAME?</v>
      </c>
      <c r="N1897" s="3" t="e">
        <f ca="1">[1]!BexGetData("DP_1","003N8EMH8GTFRIVOG7KG9IX8U","GSON113")</f>
        <v>#NAME?</v>
      </c>
      <c r="O1897" s="8" t="e">
        <f ca="1">[1]!BexGetData("DP_1","003N8EMH8GTFRIVOG7KG9J3KE","GSON113")</f>
        <v>#NAME?</v>
      </c>
      <c r="P1897" s="3" t="e">
        <f ca="1">[1]!BexGetData("DP_1","003N8EMH8GTFRIVOG7KG9J9VY","GSON113")</f>
        <v>#NAME?</v>
      </c>
      <c r="Q1897" s="4" t="e">
        <f ca="1">[1]!BexGetData("DP_1","00O2TNJGODT0G5Z4TTKYMM5MT","GSON113")</f>
        <v>#NAME?</v>
      </c>
      <c r="R1897" s="3" t="e">
        <f ca="1">[1]!BexGetData("DP_1","00O2TNJGODT0G5Z4TTKYMMBYD","GSON113")</f>
        <v>#NAME?</v>
      </c>
      <c r="S1897" s="3" t="e">
        <f ca="1">[1]!BexGetData("DP_1","00O2TNJGODT0G5Z4TTKYMMI9X","GSON113")</f>
        <v>#NAME?</v>
      </c>
      <c r="T1897" s="8" t="e">
        <f ca="1">[1]!BexGetData("DP_1","00O2TNJGODT0G5Z4TTKYMMOLH","GSON113")</f>
        <v>#NAME?</v>
      </c>
      <c r="U1897" s="3" t="e">
        <f ca="1">[1]!BexGetData("DP_1","00O2TNJGODT0G5Z4TTKYMMUX1","GSON113")</f>
        <v>#NAME?</v>
      </c>
      <c r="V1897" s="8" t="e">
        <f ca="1">[1]!BexGetData("DP_1","00O2TNJGODT0G5Z4TTKYMN18L","GSON113")</f>
        <v>#NAME?</v>
      </c>
      <c r="W1897" s="3" t="e">
        <f ca="1">[1]!BexGetData("DP_1","00O2TNJGODT0G5Z4TTKYMN7K5","GSON113")</f>
        <v>#NAME?</v>
      </c>
    </row>
    <row r="1898" spans="1:23" x14ac:dyDescent="0.2">
      <c r="A1898" s="15" t="s">
        <v>71</v>
      </c>
      <c r="B1898" s="7" t="s">
        <v>72</v>
      </c>
      <c r="C1898" s="3" t="e">
        <f ca="1">[1]!BexGetData("DP_1","003N8EMH8GTFRCSWKMPXRR8GU","GSON1131")</f>
        <v>#NAME?</v>
      </c>
      <c r="D1898" s="3" t="e">
        <f ca="1">[1]!BexGetData("DP_1","003N8EMH8GTFRCSWKMPXRRESE","GSON1131")</f>
        <v>#NAME?</v>
      </c>
      <c r="E1898" s="3" t="e">
        <f ca="1">[1]!BexGetData("DP_1","003N8EMH8GTFRCSWKMPXRRL3Y","GSON1131")</f>
        <v>#NAME?</v>
      </c>
      <c r="F1898" s="3" t="e">
        <f ca="1">[1]!BexGetData("DP_1","003N8EMH8GTFRCSWKMPXRRRFI","GSON1131")</f>
        <v>#NAME?</v>
      </c>
      <c r="G1898" s="3" t="e">
        <f ca="1">[1]!BexGetData("DP_1","003N8EMH8GTFRCSWKMPXRRXR2","GSON1131")</f>
        <v>#NAME?</v>
      </c>
      <c r="H1898" s="3" t="e">
        <f ca="1">[1]!BexGetData("DP_1","003N8EMH8GTFRCSWKMPXRS42M","GSON1131")</f>
        <v>#NAME?</v>
      </c>
      <c r="I1898" s="3" t="e">
        <f ca="1">[1]!BexGetData("DP_1","003N8EMH8GTFRCSWKMPXRSAE6","GSON1131")</f>
        <v>#NAME?</v>
      </c>
      <c r="J1898" s="4" t="e">
        <f ca="1">[1]!BexGetData("DP_1","003N8EMH8GTFRCSWKMPXRSGPQ","GSON1131")</f>
        <v>#NAME?</v>
      </c>
      <c r="K1898" s="3" t="e">
        <f ca="1">[1]!BexGetData("DP_1","003N8EMH8GTFRIVNUPY288VJH","GSON1131")</f>
        <v>#NAME?</v>
      </c>
      <c r="L1898" s="3" t="e">
        <f ca="1">[1]!BexGetData("DP_1","003N8EMH8GTFRIVNUPY2891V1","GSON1131")</f>
        <v>#NAME?</v>
      </c>
      <c r="M1898" s="8" t="e">
        <f ca="1">[1]!BexGetData("DP_1","003N8EMH8GTFRIVOG7KG9IQXA","GSON1131")</f>
        <v>#NAME?</v>
      </c>
      <c r="N1898" s="3" t="e">
        <f ca="1">[1]!BexGetData("DP_1","003N8EMH8GTFRIVOG7KG9IX8U","GSON1131")</f>
        <v>#NAME?</v>
      </c>
      <c r="O1898" s="8" t="e">
        <f ca="1">[1]!BexGetData("DP_1","003N8EMH8GTFRIVOG7KG9J3KE","GSON1131")</f>
        <v>#NAME?</v>
      </c>
      <c r="P1898" s="3" t="e">
        <f ca="1">[1]!BexGetData("DP_1","003N8EMH8GTFRIVOG7KG9J9VY","GSON1131")</f>
        <v>#NAME?</v>
      </c>
      <c r="Q1898" s="4" t="e">
        <f ca="1">[1]!BexGetData("DP_1","00O2TNJGODT0G5Z4TTKYMM5MT","GSON1131")</f>
        <v>#NAME?</v>
      </c>
      <c r="R1898" s="3" t="e">
        <f ca="1">[1]!BexGetData("DP_1","00O2TNJGODT0G5Z4TTKYMMBYD","GSON1131")</f>
        <v>#NAME?</v>
      </c>
      <c r="S1898" s="3" t="e">
        <f ca="1">[1]!BexGetData("DP_1","00O2TNJGODT0G5Z4TTKYMMI9X","GSON1131")</f>
        <v>#NAME?</v>
      </c>
      <c r="T1898" s="8" t="e">
        <f ca="1">[1]!BexGetData("DP_1","00O2TNJGODT0G5Z4TTKYMMOLH","GSON1131")</f>
        <v>#NAME?</v>
      </c>
      <c r="U1898" s="3" t="e">
        <f ca="1">[1]!BexGetData("DP_1","00O2TNJGODT0G5Z4TTKYMMUX1","GSON1131")</f>
        <v>#NAME?</v>
      </c>
      <c r="V1898" s="8" t="e">
        <f ca="1">[1]!BexGetData("DP_1","00O2TNJGODT0G5Z4TTKYMN18L","GSON1131")</f>
        <v>#NAME?</v>
      </c>
      <c r="W1898" s="3" t="e">
        <f ca="1">[1]!BexGetData("DP_1","00O2TNJGODT0G5Z4TTKYMN7K5","GSON1131")</f>
        <v>#NAME?</v>
      </c>
    </row>
    <row r="1899" spans="1:23" x14ac:dyDescent="0.2">
      <c r="A1899" s="16" t="s">
        <v>1240</v>
      </c>
      <c r="B1899" s="7" t="s">
        <v>327</v>
      </c>
      <c r="C1899" s="3" t="e">
        <f ca="1">[1]!BexGetData("DP_1","003N8EMH8GTFRCSWKMPXRR8GU","GSON1131100001")</f>
        <v>#NAME?</v>
      </c>
      <c r="D1899" s="3" t="e">
        <f ca="1">[1]!BexGetData("DP_1","003N8EMH8GTFRCSWKMPXRRESE","GSON1131100001")</f>
        <v>#NAME?</v>
      </c>
      <c r="E1899" s="3" t="e">
        <f ca="1">[1]!BexGetData("DP_1","003N8EMH8GTFRCSWKMPXRRL3Y","GSON1131100001")</f>
        <v>#NAME?</v>
      </c>
      <c r="F1899" s="4" t="e">
        <f ca="1">[1]!BexGetData("DP_1","003N8EMH8GTFRCSWKMPXRRRFI","GSON1131100001")</f>
        <v>#NAME?</v>
      </c>
      <c r="G1899" s="4" t="e">
        <f ca="1">[1]!BexGetData("DP_1","003N8EMH8GTFRCSWKMPXRRXR2","GSON1131100001")</f>
        <v>#NAME?</v>
      </c>
      <c r="H1899" s="4" t="e">
        <f ca="1">[1]!BexGetData("DP_1","003N8EMH8GTFRCSWKMPXRS42M","GSON1131100001")</f>
        <v>#NAME?</v>
      </c>
      <c r="I1899" s="4" t="e">
        <f ca="1">[1]!BexGetData("DP_1","003N8EMH8GTFRCSWKMPXRSAE6","GSON1131100001")</f>
        <v>#NAME?</v>
      </c>
      <c r="J1899" s="4" t="e">
        <f ca="1">[1]!BexGetData("DP_1","003N8EMH8GTFRCSWKMPXRSGPQ","GSON1131100001")</f>
        <v>#NAME?</v>
      </c>
      <c r="K1899" s="3" t="e">
        <f ca="1">[1]!BexGetData("DP_1","003N8EMH8GTFRIVNUPY288VJH","GSON1131100001")</f>
        <v>#NAME?</v>
      </c>
      <c r="L1899" s="3" t="e">
        <f ca="1">[1]!BexGetData("DP_1","003N8EMH8GTFRIVNUPY2891V1","GSON1131100001")</f>
        <v>#NAME?</v>
      </c>
      <c r="M1899" s="8" t="e">
        <f ca="1">[1]!BexGetData("DP_1","003N8EMH8GTFRIVOG7KG9IQXA","GSON1131100001")</f>
        <v>#NAME?</v>
      </c>
      <c r="N1899" s="3" t="e">
        <f ca="1">[1]!BexGetData("DP_1","003N8EMH8GTFRIVOG7KG9IX8U","GSON1131100001")</f>
        <v>#NAME?</v>
      </c>
      <c r="O1899" s="8" t="e">
        <f ca="1">[1]!BexGetData("DP_1","003N8EMH8GTFRIVOG7KG9J3KE","GSON1131100001")</f>
        <v>#NAME?</v>
      </c>
      <c r="P1899" s="3" t="e">
        <f ca="1">[1]!BexGetData("DP_1","003N8EMH8GTFRIVOG7KG9J9VY","GSON1131100001")</f>
        <v>#NAME?</v>
      </c>
      <c r="Q1899" s="4" t="e">
        <f ca="1">[1]!BexGetData("DP_1","00O2TNJGODT0G5Z4TTKYMM5MT","GSON1131100001")</f>
        <v>#NAME?</v>
      </c>
      <c r="R1899" s="4" t="e">
        <f ca="1">[1]!BexGetData("DP_1","00O2TNJGODT0G5Z4TTKYMMBYD","GSON1131100001")</f>
        <v>#NAME?</v>
      </c>
      <c r="S1899" s="4" t="e">
        <f ca="1">[1]!BexGetData("DP_1","00O2TNJGODT0G5Z4TTKYMMI9X","GSON1131100001")</f>
        <v>#NAME?</v>
      </c>
      <c r="T1899" s="4" t="e">
        <f ca="1">[1]!BexGetData("DP_1","00O2TNJGODT0G5Z4TTKYMMOLH","GSON1131100001")</f>
        <v>#NAME?</v>
      </c>
      <c r="U1899" s="4" t="e">
        <f ca="1">[1]!BexGetData("DP_1","00O2TNJGODT0G5Z4TTKYMMUX1","GSON1131100001")</f>
        <v>#NAME?</v>
      </c>
      <c r="V1899" s="4" t="e">
        <f ca="1">[1]!BexGetData("DP_1","00O2TNJGODT0G5Z4TTKYMN18L","GSON1131100001")</f>
        <v>#NAME?</v>
      </c>
      <c r="W1899" s="4" t="e">
        <f ca="1">[1]!BexGetData("DP_1","00O2TNJGODT0G5Z4TTKYMN7K5","GSON1131100001")</f>
        <v>#NAME?</v>
      </c>
    </row>
    <row r="1900" spans="1:23" x14ac:dyDescent="0.2">
      <c r="A1900" s="16" t="s">
        <v>1241</v>
      </c>
      <c r="B1900" s="7" t="s">
        <v>1242</v>
      </c>
      <c r="C1900" s="3" t="e">
        <f ca="1">[1]!BexGetData("DP_1","003N8EMH8GTFRCSWKMPXRR8GU","GSON1131100002")</f>
        <v>#NAME?</v>
      </c>
      <c r="D1900" s="3" t="e">
        <f ca="1">[1]!BexGetData("DP_1","003N8EMH8GTFRCSWKMPXRRESE","GSON1131100002")</f>
        <v>#NAME?</v>
      </c>
      <c r="E1900" s="3" t="e">
        <f ca="1">[1]!BexGetData("DP_1","003N8EMH8GTFRCSWKMPXRRL3Y","GSON1131100002")</f>
        <v>#NAME?</v>
      </c>
      <c r="F1900" s="3" t="e">
        <f ca="1">[1]!BexGetData("DP_1","003N8EMH8GTFRCSWKMPXRRRFI","GSON1131100002")</f>
        <v>#NAME?</v>
      </c>
      <c r="G1900" s="3" t="e">
        <f ca="1">[1]!BexGetData("DP_1","003N8EMH8GTFRCSWKMPXRRXR2","GSON1131100002")</f>
        <v>#NAME?</v>
      </c>
      <c r="H1900" s="3" t="e">
        <f ca="1">[1]!BexGetData("DP_1","003N8EMH8GTFRCSWKMPXRS42M","GSON1131100002")</f>
        <v>#NAME?</v>
      </c>
      <c r="I1900" s="3" t="e">
        <f ca="1">[1]!BexGetData("DP_1","003N8EMH8GTFRCSWKMPXRSAE6","GSON1131100002")</f>
        <v>#NAME?</v>
      </c>
      <c r="J1900" s="4" t="e">
        <f ca="1">[1]!BexGetData("DP_1","003N8EMH8GTFRCSWKMPXRSGPQ","GSON1131100002")</f>
        <v>#NAME?</v>
      </c>
      <c r="K1900" s="3" t="e">
        <f ca="1">[1]!BexGetData("DP_1","003N8EMH8GTFRIVNUPY288VJH","GSON1131100002")</f>
        <v>#NAME?</v>
      </c>
      <c r="L1900" s="3" t="e">
        <f ca="1">[1]!BexGetData("DP_1","003N8EMH8GTFRIVNUPY2891V1","GSON1131100002")</f>
        <v>#NAME?</v>
      </c>
      <c r="M1900" s="3" t="e">
        <f ca="1">[1]!BexGetData("DP_1","003N8EMH8GTFRIVOG7KG9IQXA","GSON1131100002")</f>
        <v>#NAME?</v>
      </c>
      <c r="N1900" s="8" t="e">
        <f ca="1">[1]!BexGetData("DP_1","003N8EMH8GTFRIVOG7KG9IX8U","GSON1131100002")</f>
        <v>#NAME?</v>
      </c>
      <c r="O1900" s="3" t="e">
        <f ca="1">[1]!BexGetData("DP_1","003N8EMH8GTFRIVOG7KG9J3KE","GSON1131100002")</f>
        <v>#NAME?</v>
      </c>
      <c r="P1900" s="8" t="e">
        <f ca="1">[1]!BexGetData("DP_1","003N8EMH8GTFRIVOG7KG9J9VY","GSON1131100002")</f>
        <v>#NAME?</v>
      </c>
      <c r="Q1900" s="4" t="e">
        <f ca="1">[1]!BexGetData("DP_1","00O2TNJGODT0G5Z4TTKYMM5MT","GSON1131100002")</f>
        <v>#NAME?</v>
      </c>
      <c r="R1900" s="3" t="e">
        <f ca="1">[1]!BexGetData("DP_1","00O2TNJGODT0G5Z4TTKYMMBYD","GSON1131100002")</f>
        <v>#NAME?</v>
      </c>
      <c r="S1900" s="3" t="e">
        <f ca="1">[1]!BexGetData("DP_1","00O2TNJGODT0G5Z4TTKYMMI9X","GSON1131100002")</f>
        <v>#NAME?</v>
      </c>
      <c r="T1900" s="8" t="e">
        <f ca="1">[1]!BexGetData("DP_1","00O2TNJGODT0G5Z4TTKYMMOLH","GSON1131100002")</f>
        <v>#NAME?</v>
      </c>
      <c r="U1900" s="3" t="e">
        <f ca="1">[1]!BexGetData("DP_1","00O2TNJGODT0G5Z4TTKYMMUX1","GSON1131100002")</f>
        <v>#NAME?</v>
      </c>
      <c r="V1900" s="8" t="e">
        <f ca="1">[1]!BexGetData("DP_1","00O2TNJGODT0G5Z4TTKYMN18L","GSON1131100002")</f>
        <v>#NAME?</v>
      </c>
      <c r="W1900" s="3" t="e">
        <f ca="1">[1]!BexGetData("DP_1","00O2TNJGODT0G5Z4TTKYMN7K5","GSON1131100002")</f>
        <v>#NAME?</v>
      </c>
    </row>
    <row r="1901" spans="1:23" x14ac:dyDescent="0.2">
      <c r="A1901" s="15" t="s">
        <v>1243</v>
      </c>
      <c r="B1901" s="7" t="s">
        <v>1244</v>
      </c>
      <c r="C1901" s="3" t="e">
        <f ca="1">[1]!BexGetData("DP_1","003N8EMH8GTFRCSWKMPXRR8GU","GSON1134")</f>
        <v>#NAME?</v>
      </c>
      <c r="D1901" s="3" t="e">
        <f ca="1">[1]!BexGetData("DP_1","003N8EMH8GTFRCSWKMPXRRESE","GSON1134")</f>
        <v>#NAME?</v>
      </c>
      <c r="E1901" s="3" t="e">
        <f ca="1">[1]!BexGetData("DP_1","003N8EMH8GTFRCSWKMPXRRL3Y","GSON1134")</f>
        <v>#NAME?</v>
      </c>
      <c r="F1901" s="3" t="e">
        <f ca="1">[1]!BexGetData("DP_1","003N8EMH8GTFRCSWKMPXRRRFI","GSON1134")</f>
        <v>#NAME?</v>
      </c>
      <c r="G1901" s="3" t="e">
        <f ca="1">[1]!BexGetData("DP_1","003N8EMH8GTFRCSWKMPXRRXR2","GSON1134")</f>
        <v>#NAME?</v>
      </c>
      <c r="H1901" s="8" t="e">
        <f ca="1">[1]!BexGetData("DP_1","003N8EMH8GTFRCSWKMPXRS42M","GSON1134")</f>
        <v>#NAME?</v>
      </c>
      <c r="I1901" s="3" t="e">
        <f ca="1">[1]!BexGetData("DP_1","003N8EMH8GTFRCSWKMPXRSAE6","GSON1134")</f>
        <v>#NAME?</v>
      </c>
      <c r="J1901" s="4" t="e">
        <f ca="1">[1]!BexGetData("DP_1","003N8EMH8GTFRCSWKMPXRSGPQ","GSON1134")</f>
        <v>#NAME?</v>
      </c>
      <c r="K1901" s="3" t="e">
        <f ca="1">[1]!BexGetData("DP_1","003N8EMH8GTFRIVNUPY288VJH","GSON1134")</f>
        <v>#NAME?</v>
      </c>
      <c r="L1901" s="3" t="e">
        <f ca="1">[1]!BexGetData("DP_1","003N8EMH8GTFRIVNUPY2891V1","GSON1134")</f>
        <v>#NAME?</v>
      </c>
      <c r="M1901" s="8" t="e">
        <f ca="1">[1]!BexGetData("DP_1","003N8EMH8GTFRIVOG7KG9IQXA","GSON1134")</f>
        <v>#NAME?</v>
      </c>
      <c r="N1901" s="3" t="e">
        <f ca="1">[1]!BexGetData("DP_1","003N8EMH8GTFRIVOG7KG9IX8U","GSON1134")</f>
        <v>#NAME?</v>
      </c>
      <c r="O1901" s="8" t="e">
        <f ca="1">[1]!BexGetData("DP_1","003N8EMH8GTFRIVOG7KG9J3KE","GSON1134")</f>
        <v>#NAME?</v>
      </c>
      <c r="P1901" s="3" t="e">
        <f ca="1">[1]!BexGetData("DP_1","003N8EMH8GTFRIVOG7KG9J9VY","GSON1134")</f>
        <v>#NAME?</v>
      </c>
      <c r="Q1901" s="4" t="e">
        <f ca="1">[1]!BexGetData("DP_1","00O2TNJGODT0G5Z4TTKYMM5MT","GSON1134")</f>
        <v>#NAME?</v>
      </c>
      <c r="R1901" s="3" t="e">
        <f ca="1">[1]!BexGetData("DP_1","00O2TNJGODT0G5Z4TTKYMMBYD","GSON1134")</f>
        <v>#NAME?</v>
      </c>
      <c r="S1901" s="3" t="e">
        <f ca="1">[1]!BexGetData("DP_1","00O2TNJGODT0G5Z4TTKYMMI9X","GSON1134")</f>
        <v>#NAME?</v>
      </c>
      <c r="T1901" s="8" t="e">
        <f ca="1">[1]!BexGetData("DP_1","00O2TNJGODT0G5Z4TTKYMMOLH","GSON1134")</f>
        <v>#NAME?</v>
      </c>
      <c r="U1901" s="3" t="e">
        <f ca="1">[1]!BexGetData("DP_1","00O2TNJGODT0G5Z4TTKYMMUX1","GSON1134")</f>
        <v>#NAME?</v>
      </c>
      <c r="V1901" s="8" t="e">
        <f ca="1">[1]!BexGetData("DP_1","00O2TNJGODT0G5Z4TTKYMN18L","GSON1134")</f>
        <v>#NAME?</v>
      </c>
      <c r="W1901" s="3" t="e">
        <f ca="1">[1]!BexGetData("DP_1","00O2TNJGODT0G5Z4TTKYMN7K5","GSON1134")</f>
        <v>#NAME?</v>
      </c>
    </row>
    <row r="1902" spans="1:23" x14ac:dyDescent="0.2">
      <c r="A1902" s="16" t="s">
        <v>1245</v>
      </c>
      <c r="B1902" s="7" t="s">
        <v>1246</v>
      </c>
      <c r="C1902" s="3" t="e">
        <f ca="1">[1]!BexGetData("DP_1","003N8EMH8GTFRCSWKMPXRR8GU","GSON1134100001")</f>
        <v>#NAME?</v>
      </c>
      <c r="D1902" s="3" t="e">
        <f ca="1">[1]!BexGetData("DP_1","003N8EMH8GTFRCSWKMPXRRESE","GSON1134100001")</f>
        <v>#NAME?</v>
      </c>
      <c r="E1902" s="3" t="e">
        <f ca="1">[1]!BexGetData("DP_1","003N8EMH8GTFRCSWKMPXRRL3Y","GSON1134100001")</f>
        <v>#NAME?</v>
      </c>
      <c r="F1902" s="4" t="e">
        <f ca="1">[1]!BexGetData("DP_1","003N8EMH8GTFRCSWKMPXRRRFI","GSON1134100001")</f>
        <v>#NAME?</v>
      </c>
      <c r="G1902" s="4" t="e">
        <f ca="1">[1]!BexGetData("DP_1","003N8EMH8GTFRCSWKMPXRRXR2","GSON1134100001")</f>
        <v>#NAME?</v>
      </c>
      <c r="H1902" s="4" t="e">
        <f ca="1">[1]!BexGetData("DP_1","003N8EMH8GTFRCSWKMPXRS42M","GSON1134100001")</f>
        <v>#NAME?</v>
      </c>
      <c r="I1902" s="4" t="e">
        <f ca="1">[1]!BexGetData("DP_1","003N8EMH8GTFRCSWKMPXRSAE6","GSON1134100001")</f>
        <v>#NAME?</v>
      </c>
      <c r="J1902" s="4" t="e">
        <f ca="1">[1]!BexGetData("DP_1","003N8EMH8GTFRCSWKMPXRSGPQ","GSON1134100001")</f>
        <v>#NAME?</v>
      </c>
      <c r="K1902" s="3" t="e">
        <f ca="1">[1]!BexGetData("DP_1","003N8EMH8GTFRIVNUPY288VJH","GSON1134100001")</f>
        <v>#NAME?</v>
      </c>
      <c r="L1902" s="3" t="e">
        <f ca="1">[1]!BexGetData("DP_1","003N8EMH8GTFRIVNUPY2891V1","GSON1134100001")</f>
        <v>#NAME?</v>
      </c>
      <c r="M1902" s="8" t="e">
        <f ca="1">[1]!BexGetData("DP_1","003N8EMH8GTFRIVOG7KG9IQXA","GSON1134100001")</f>
        <v>#NAME?</v>
      </c>
      <c r="N1902" s="3" t="e">
        <f ca="1">[1]!BexGetData("DP_1","003N8EMH8GTFRIVOG7KG9IX8U","GSON1134100001")</f>
        <v>#NAME?</v>
      </c>
      <c r="O1902" s="8" t="e">
        <f ca="1">[1]!BexGetData("DP_1","003N8EMH8GTFRIVOG7KG9J3KE","GSON1134100001")</f>
        <v>#NAME?</v>
      </c>
      <c r="P1902" s="3" t="e">
        <f ca="1">[1]!BexGetData("DP_1","003N8EMH8GTFRIVOG7KG9J9VY","GSON1134100001")</f>
        <v>#NAME?</v>
      </c>
      <c r="Q1902" s="4" t="e">
        <f ca="1">[1]!BexGetData("DP_1","00O2TNJGODT0G5Z4TTKYMM5MT","GSON1134100001")</f>
        <v>#NAME?</v>
      </c>
      <c r="R1902" s="4" t="e">
        <f ca="1">[1]!BexGetData("DP_1","00O2TNJGODT0G5Z4TTKYMMBYD","GSON1134100001")</f>
        <v>#NAME?</v>
      </c>
      <c r="S1902" s="4" t="e">
        <f ca="1">[1]!BexGetData("DP_1","00O2TNJGODT0G5Z4TTKYMMI9X","GSON1134100001")</f>
        <v>#NAME?</v>
      </c>
      <c r="T1902" s="4" t="e">
        <f ca="1">[1]!BexGetData("DP_1","00O2TNJGODT0G5Z4TTKYMMOLH","GSON1134100001")</f>
        <v>#NAME?</v>
      </c>
      <c r="U1902" s="4" t="e">
        <f ca="1">[1]!BexGetData("DP_1","00O2TNJGODT0G5Z4TTKYMMUX1","GSON1134100001")</f>
        <v>#NAME?</v>
      </c>
      <c r="V1902" s="4" t="e">
        <f ca="1">[1]!BexGetData("DP_1","00O2TNJGODT0G5Z4TTKYMN18L","GSON1134100001")</f>
        <v>#NAME?</v>
      </c>
      <c r="W1902" s="4" t="e">
        <f ca="1">[1]!BexGetData("DP_1","00O2TNJGODT0G5Z4TTKYMN7K5","GSON1134100001")</f>
        <v>#NAME?</v>
      </c>
    </row>
    <row r="1903" spans="1:23" x14ac:dyDescent="0.2">
      <c r="A1903" s="16" t="s">
        <v>1247</v>
      </c>
      <c r="B1903" s="7" t="s">
        <v>1248</v>
      </c>
      <c r="C1903" s="3" t="e">
        <f ca="1">[1]!BexGetData("DP_1","003N8EMH8GTFRCSWKMPXRR8GU","GSON1134100002")</f>
        <v>#NAME?</v>
      </c>
      <c r="D1903" s="3" t="e">
        <f ca="1">[1]!BexGetData("DP_1","003N8EMH8GTFRCSWKMPXRRESE","GSON1134100002")</f>
        <v>#NAME?</v>
      </c>
      <c r="E1903" s="8" t="e">
        <f ca="1">[1]!BexGetData("DP_1","003N8EMH8GTFRCSWKMPXRRL3Y","GSON1134100002")</f>
        <v>#NAME?</v>
      </c>
      <c r="F1903" s="3" t="e">
        <f ca="1">[1]!BexGetData("DP_1","003N8EMH8GTFRCSWKMPXRRRFI","GSON1134100002")</f>
        <v>#NAME?</v>
      </c>
      <c r="G1903" s="3" t="e">
        <f ca="1">[1]!BexGetData("DP_1","003N8EMH8GTFRCSWKMPXRRXR2","GSON1134100002")</f>
        <v>#NAME?</v>
      </c>
      <c r="H1903" s="8" t="e">
        <f ca="1">[1]!BexGetData("DP_1","003N8EMH8GTFRCSWKMPXRS42M","GSON1134100002")</f>
        <v>#NAME?</v>
      </c>
      <c r="I1903" s="3" t="e">
        <f ca="1">[1]!BexGetData("DP_1","003N8EMH8GTFRCSWKMPXRSAE6","GSON1134100002")</f>
        <v>#NAME?</v>
      </c>
      <c r="J1903" s="4" t="e">
        <f ca="1">[1]!BexGetData("DP_1","003N8EMH8GTFRCSWKMPXRSGPQ","GSON1134100002")</f>
        <v>#NAME?</v>
      </c>
      <c r="K1903" s="3" t="e">
        <f ca="1">[1]!BexGetData("DP_1","003N8EMH8GTFRIVNUPY288VJH","GSON1134100002")</f>
        <v>#NAME?</v>
      </c>
      <c r="L1903" s="3" t="e">
        <f ca="1">[1]!BexGetData("DP_1","003N8EMH8GTFRIVNUPY2891V1","GSON1134100002")</f>
        <v>#NAME?</v>
      </c>
      <c r="M1903" s="3" t="e">
        <f ca="1">[1]!BexGetData("DP_1","003N8EMH8GTFRIVOG7KG9IQXA","GSON1134100002")</f>
        <v>#NAME?</v>
      </c>
      <c r="N1903" s="8" t="e">
        <f ca="1">[1]!BexGetData("DP_1","003N8EMH8GTFRIVOG7KG9IX8U","GSON1134100002")</f>
        <v>#NAME?</v>
      </c>
      <c r="O1903" s="3" t="e">
        <f ca="1">[1]!BexGetData("DP_1","003N8EMH8GTFRIVOG7KG9J3KE","GSON1134100002")</f>
        <v>#NAME?</v>
      </c>
      <c r="P1903" s="8" t="e">
        <f ca="1">[1]!BexGetData("DP_1","003N8EMH8GTFRIVOG7KG9J9VY","GSON1134100002")</f>
        <v>#NAME?</v>
      </c>
      <c r="Q1903" s="4" t="e">
        <f ca="1">[1]!BexGetData("DP_1","00O2TNJGODT0G5Z4TTKYMM5MT","GSON1134100002")</f>
        <v>#NAME?</v>
      </c>
      <c r="R1903" s="3" t="e">
        <f ca="1">[1]!BexGetData("DP_1","00O2TNJGODT0G5Z4TTKYMMBYD","GSON1134100002")</f>
        <v>#NAME?</v>
      </c>
      <c r="S1903" s="3" t="e">
        <f ca="1">[1]!BexGetData("DP_1","00O2TNJGODT0G5Z4TTKYMMI9X","GSON1134100002")</f>
        <v>#NAME?</v>
      </c>
      <c r="T1903" s="8" t="e">
        <f ca="1">[1]!BexGetData("DP_1","00O2TNJGODT0G5Z4TTKYMMOLH","GSON1134100002")</f>
        <v>#NAME?</v>
      </c>
      <c r="U1903" s="3" t="e">
        <f ca="1">[1]!BexGetData("DP_1","00O2TNJGODT0G5Z4TTKYMMUX1","GSON1134100002")</f>
        <v>#NAME?</v>
      </c>
      <c r="V1903" s="8" t="e">
        <f ca="1">[1]!BexGetData("DP_1","00O2TNJGODT0G5Z4TTKYMN18L","GSON1134100002")</f>
        <v>#NAME?</v>
      </c>
      <c r="W1903" s="3" t="e">
        <f ca="1">[1]!BexGetData("DP_1","00O2TNJGODT0G5Z4TTKYMN7K5","GSON1134100002")</f>
        <v>#NAME?</v>
      </c>
    </row>
    <row r="1904" spans="1:23" x14ac:dyDescent="0.2">
      <c r="A1904" s="15" t="s">
        <v>1249</v>
      </c>
      <c r="B1904" s="7" t="s">
        <v>1250</v>
      </c>
      <c r="C1904" s="8" t="e">
        <f ca="1">[1]!BexGetData("DP_1","003N8EMH8GTFRCSWKMPXRR8GU","GSON1139")</f>
        <v>#NAME?</v>
      </c>
      <c r="D1904" s="3" t="e">
        <f ca="1">[1]!BexGetData("DP_1","003N8EMH8GTFRCSWKMPXRRESE","GSON1139")</f>
        <v>#NAME?</v>
      </c>
      <c r="E1904" s="3" t="e">
        <f ca="1">[1]!BexGetData("DP_1","003N8EMH8GTFRCSWKMPXRRL3Y","GSON1139")</f>
        <v>#NAME?</v>
      </c>
      <c r="F1904" s="3" t="e">
        <f ca="1">[1]!BexGetData("DP_1","003N8EMH8GTFRCSWKMPXRRRFI","GSON1139")</f>
        <v>#NAME?</v>
      </c>
      <c r="G1904" s="3" t="e">
        <f ca="1">[1]!BexGetData("DP_1","003N8EMH8GTFRCSWKMPXRRXR2","GSON1139")</f>
        <v>#NAME?</v>
      </c>
      <c r="H1904" s="8" t="e">
        <f ca="1">[1]!BexGetData("DP_1","003N8EMH8GTFRCSWKMPXRS42M","GSON1139")</f>
        <v>#NAME?</v>
      </c>
      <c r="I1904" s="3" t="e">
        <f ca="1">[1]!BexGetData("DP_1","003N8EMH8GTFRCSWKMPXRSAE6","GSON1139")</f>
        <v>#NAME?</v>
      </c>
      <c r="J1904" s="4" t="e">
        <f ca="1">[1]!BexGetData("DP_1","003N8EMH8GTFRCSWKMPXRSGPQ","GSON1139")</f>
        <v>#NAME?</v>
      </c>
      <c r="K1904" s="3" t="e">
        <f ca="1">[1]!BexGetData("DP_1","003N8EMH8GTFRIVNUPY288VJH","GSON1139")</f>
        <v>#NAME?</v>
      </c>
      <c r="L1904" s="3" t="e">
        <f ca="1">[1]!BexGetData("DP_1","003N8EMH8GTFRIVNUPY2891V1","GSON1139")</f>
        <v>#NAME?</v>
      </c>
      <c r="M1904" s="3" t="e">
        <f ca="1">[1]!BexGetData("DP_1","003N8EMH8GTFRIVOG7KG9IQXA","GSON1139")</f>
        <v>#NAME?</v>
      </c>
      <c r="N1904" s="8" t="e">
        <f ca="1">[1]!BexGetData("DP_1","003N8EMH8GTFRIVOG7KG9IX8U","GSON1139")</f>
        <v>#NAME?</v>
      </c>
      <c r="O1904" s="3" t="e">
        <f ca="1">[1]!BexGetData("DP_1","003N8EMH8GTFRIVOG7KG9J3KE","GSON1139")</f>
        <v>#NAME?</v>
      </c>
      <c r="P1904" s="8" t="e">
        <f ca="1">[1]!BexGetData("DP_1","003N8EMH8GTFRIVOG7KG9J9VY","GSON1139")</f>
        <v>#NAME?</v>
      </c>
      <c r="Q1904" s="4" t="e">
        <f ca="1">[1]!BexGetData("DP_1","00O2TNJGODT0G5Z4TTKYMM5MT","GSON1139")</f>
        <v>#NAME?</v>
      </c>
      <c r="R1904" s="3" t="e">
        <f ca="1">[1]!BexGetData("DP_1","00O2TNJGODT0G5Z4TTKYMMBYD","GSON1139")</f>
        <v>#NAME?</v>
      </c>
      <c r="S1904" s="3" t="e">
        <f ca="1">[1]!BexGetData("DP_1","00O2TNJGODT0G5Z4TTKYMMI9X","GSON1139")</f>
        <v>#NAME?</v>
      </c>
      <c r="T1904" s="8" t="e">
        <f ca="1">[1]!BexGetData("DP_1","00O2TNJGODT0G5Z4TTKYMMOLH","GSON1139")</f>
        <v>#NAME?</v>
      </c>
      <c r="U1904" s="3" t="e">
        <f ca="1">[1]!BexGetData("DP_1","00O2TNJGODT0G5Z4TTKYMMUX1","GSON1139")</f>
        <v>#NAME?</v>
      </c>
      <c r="V1904" s="8" t="e">
        <f ca="1">[1]!BexGetData("DP_1","00O2TNJGODT0G5Z4TTKYMN18L","GSON1139")</f>
        <v>#NAME?</v>
      </c>
      <c r="W1904" s="3" t="e">
        <f ca="1">[1]!BexGetData("DP_1","00O2TNJGODT0G5Z4TTKYMN7K5","GSON1139")</f>
        <v>#NAME?</v>
      </c>
    </row>
    <row r="1905" spans="1:23" x14ac:dyDescent="0.2">
      <c r="A1905" s="16" t="s">
        <v>1251</v>
      </c>
      <c r="B1905" s="7" t="s">
        <v>4620</v>
      </c>
      <c r="C1905" s="8" t="e">
        <f ca="1">[1]!BexGetData("DP_1","003N8EMH8GTFRCSWKMPXRR8GU","GSON1139100002")</f>
        <v>#NAME?</v>
      </c>
      <c r="D1905" s="3" t="e">
        <f ca="1">[1]!BexGetData("DP_1","003N8EMH8GTFRCSWKMPXRRESE","GSON1139100002")</f>
        <v>#NAME?</v>
      </c>
      <c r="E1905" s="3" t="e">
        <f ca="1">[1]!BexGetData("DP_1","003N8EMH8GTFRCSWKMPXRRL3Y","GSON1139100002")</f>
        <v>#NAME?</v>
      </c>
      <c r="F1905" s="3" t="e">
        <f ca="1">[1]!BexGetData("DP_1","003N8EMH8GTFRCSWKMPXRRRFI","GSON1139100002")</f>
        <v>#NAME?</v>
      </c>
      <c r="G1905" s="3" t="e">
        <f ca="1">[1]!BexGetData("DP_1","003N8EMH8GTFRCSWKMPXRRXR2","GSON1139100002")</f>
        <v>#NAME?</v>
      </c>
      <c r="H1905" s="8" t="e">
        <f ca="1">[1]!BexGetData("DP_1","003N8EMH8GTFRCSWKMPXRS42M","GSON1139100002")</f>
        <v>#NAME?</v>
      </c>
      <c r="I1905" s="3" t="e">
        <f ca="1">[1]!BexGetData("DP_1","003N8EMH8GTFRCSWKMPXRSAE6","GSON1139100002")</f>
        <v>#NAME?</v>
      </c>
      <c r="J1905" s="4" t="e">
        <f ca="1">[1]!BexGetData("DP_1","003N8EMH8GTFRCSWKMPXRSGPQ","GSON1139100002")</f>
        <v>#NAME?</v>
      </c>
      <c r="K1905" s="3" t="e">
        <f ca="1">[1]!BexGetData("DP_1","003N8EMH8GTFRIVNUPY288VJH","GSON1139100002")</f>
        <v>#NAME?</v>
      </c>
      <c r="L1905" s="3" t="e">
        <f ca="1">[1]!BexGetData("DP_1","003N8EMH8GTFRIVNUPY2891V1","GSON1139100002")</f>
        <v>#NAME?</v>
      </c>
      <c r="M1905" s="3" t="e">
        <f ca="1">[1]!BexGetData("DP_1","003N8EMH8GTFRIVOG7KG9IQXA","GSON1139100002")</f>
        <v>#NAME?</v>
      </c>
      <c r="N1905" s="8" t="e">
        <f ca="1">[1]!BexGetData("DP_1","003N8EMH8GTFRIVOG7KG9IX8U","GSON1139100002")</f>
        <v>#NAME?</v>
      </c>
      <c r="O1905" s="3" t="e">
        <f ca="1">[1]!BexGetData("DP_1","003N8EMH8GTFRIVOG7KG9J3KE","GSON1139100002")</f>
        <v>#NAME?</v>
      </c>
      <c r="P1905" s="8" t="e">
        <f ca="1">[1]!BexGetData("DP_1","003N8EMH8GTFRIVOG7KG9J9VY","GSON1139100002")</f>
        <v>#NAME?</v>
      </c>
      <c r="Q1905" s="4" t="e">
        <f ca="1">[1]!BexGetData("DP_1","00O2TNJGODT0G5Z4TTKYMM5MT","GSON1139100002")</f>
        <v>#NAME?</v>
      </c>
      <c r="R1905" s="3" t="e">
        <f ca="1">[1]!BexGetData("DP_1","00O2TNJGODT0G5Z4TTKYMMBYD","GSON1139100002")</f>
        <v>#NAME?</v>
      </c>
      <c r="S1905" s="3" t="e">
        <f ca="1">[1]!BexGetData("DP_1","00O2TNJGODT0G5Z4TTKYMMI9X","GSON1139100002")</f>
        <v>#NAME?</v>
      </c>
      <c r="T1905" s="8" t="e">
        <f ca="1">[1]!BexGetData("DP_1","00O2TNJGODT0G5Z4TTKYMMOLH","GSON1139100002")</f>
        <v>#NAME?</v>
      </c>
      <c r="U1905" s="3" t="e">
        <f ca="1">[1]!BexGetData("DP_1","00O2TNJGODT0G5Z4TTKYMMUX1","GSON1139100002")</f>
        <v>#NAME?</v>
      </c>
      <c r="V1905" s="8" t="e">
        <f ca="1">[1]!BexGetData("DP_1","00O2TNJGODT0G5Z4TTKYMN18L","GSON1139100002")</f>
        <v>#NAME?</v>
      </c>
      <c r="W1905" s="3" t="e">
        <f ca="1">[1]!BexGetData("DP_1","00O2TNJGODT0G5Z4TTKYMN7K5","GSON1139100002")</f>
        <v>#NAME?</v>
      </c>
    </row>
    <row r="1906" spans="1:23" x14ac:dyDescent="0.2">
      <c r="A1906" s="14" t="s">
        <v>4</v>
      </c>
      <c r="B1906" s="7" t="s">
        <v>328</v>
      </c>
      <c r="C1906" s="3" t="e">
        <f ca="1">[1]!BexGetData("DP_1","003N8EMH8GTFRCSWKMPXRR8GU","GSON115")</f>
        <v>#NAME?</v>
      </c>
      <c r="D1906" s="3" t="e">
        <f ca="1">[1]!BexGetData("DP_1","003N8EMH8GTFRCSWKMPXRRESE","GSON115")</f>
        <v>#NAME?</v>
      </c>
      <c r="E1906" s="8" t="e">
        <f ca="1">[1]!BexGetData("DP_1","003N8EMH8GTFRCSWKMPXRRL3Y","GSON115")</f>
        <v>#NAME?</v>
      </c>
      <c r="F1906" s="4" t="e">
        <f ca="1">[1]!BexGetData("DP_1","003N8EMH8GTFRCSWKMPXRRRFI","GSON115")</f>
        <v>#NAME?</v>
      </c>
      <c r="G1906" s="4" t="e">
        <f ca="1">[1]!BexGetData("DP_1","003N8EMH8GTFRCSWKMPXRRXR2","GSON115")</f>
        <v>#NAME?</v>
      </c>
      <c r="H1906" s="4" t="e">
        <f ca="1">[1]!BexGetData("DP_1","003N8EMH8GTFRCSWKMPXRS42M","GSON115")</f>
        <v>#NAME?</v>
      </c>
      <c r="I1906" s="4" t="e">
        <f ca="1">[1]!BexGetData("DP_1","003N8EMH8GTFRCSWKMPXRSAE6","GSON115")</f>
        <v>#NAME?</v>
      </c>
      <c r="J1906" s="4" t="e">
        <f ca="1">[1]!BexGetData("DP_1","003N8EMH8GTFRCSWKMPXRSGPQ","GSON115")</f>
        <v>#NAME?</v>
      </c>
      <c r="K1906" s="8" t="e">
        <f ca="1">[1]!BexGetData("DP_1","003N8EMH8GTFRIVNUPY288VJH","GSON115")</f>
        <v>#NAME?</v>
      </c>
      <c r="L1906" s="8" t="e">
        <f ca="1">[1]!BexGetData("DP_1","003N8EMH8GTFRIVNUPY2891V1","GSON115")</f>
        <v>#NAME?</v>
      </c>
      <c r="M1906" s="8" t="e">
        <f ca="1">[1]!BexGetData("DP_1","003N8EMH8GTFRIVOG7KG9IQXA","GSON115")</f>
        <v>#NAME?</v>
      </c>
      <c r="N1906" s="8" t="e">
        <f ca="1">[1]!BexGetData("DP_1","003N8EMH8GTFRIVOG7KG9IX8U","GSON115")</f>
        <v>#NAME?</v>
      </c>
      <c r="O1906" s="8" t="e">
        <f ca="1">[1]!BexGetData("DP_1","003N8EMH8GTFRIVOG7KG9J3KE","GSON115")</f>
        <v>#NAME?</v>
      </c>
      <c r="P1906" s="8" t="e">
        <f ca="1">[1]!BexGetData("DP_1","003N8EMH8GTFRIVOG7KG9J9VY","GSON115")</f>
        <v>#NAME?</v>
      </c>
      <c r="Q1906" s="4" t="e">
        <f ca="1">[1]!BexGetData("DP_1","00O2TNJGODT0G5Z4TTKYMM5MT","GSON115")</f>
        <v>#NAME?</v>
      </c>
      <c r="R1906" s="4" t="e">
        <f ca="1">[1]!BexGetData("DP_1","00O2TNJGODT0G5Z4TTKYMMBYD","GSON115")</f>
        <v>#NAME?</v>
      </c>
      <c r="S1906" s="4" t="e">
        <f ca="1">[1]!BexGetData("DP_1","00O2TNJGODT0G5Z4TTKYMMI9X","GSON115")</f>
        <v>#NAME?</v>
      </c>
      <c r="T1906" s="4" t="e">
        <f ca="1">[1]!BexGetData("DP_1","00O2TNJGODT0G5Z4TTKYMMOLH","GSON115")</f>
        <v>#NAME?</v>
      </c>
      <c r="U1906" s="4" t="e">
        <f ca="1">[1]!BexGetData("DP_1","00O2TNJGODT0G5Z4TTKYMMUX1","GSON115")</f>
        <v>#NAME?</v>
      </c>
      <c r="V1906" s="4" t="e">
        <f ca="1">[1]!BexGetData("DP_1","00O2TNJGODT0G5Z4TTKYMN18L","GSON115")</f>
        <v>#NAME?</v>
      </c>
      <c r="W1906" s="4" t="e">
        <f ca="1">[1]!BexGetData("DP_1","00O2TNJGODT0G5Z4TTKYMN7K5","GSON115")</f>
        <v>#NAME?</v>
      </c>
    </row>
    <row r="1907" spans="1:23" x14ac:dyDescent="0.2">
      <c r="A1907" s="15" t="s">
        <v>329</v>
      </c>
      <c r="B1907" s="7" t="s">
        <v>330</v>
      </c>
      <c r="C1907" s="3" t="e">
        <f ca="1">[1]!BexGetData("DP_1","003N8EMH8GTFRCSWKMPXRR8GU","GSON1151")</f>
        <v>#NAME?</v>
      </c>
      <c r="D1907" s="3" t="e">
        <f ca="1">[1]!BexGetData("DP_1","003N8EMH8GTFRCSWKMPXRRESE","GSON1151")</f>
        <v>#NAME?</v>
      </c>
      <c r="E1907" s="8" t="e">
        <f ca="1">[1]!BexGetData("DP_1","003N8EMH8GTFRCSWKMPXRRL3Y","GSON1151")</f>
        <v>#NAME?</v>
      </c>
      <c r="F1907" s="4" t="e">
        <f ca="1">[1]!BexGetData("DP_1","003N8EMH8GTFRCSWKMPXRRRFI","GSON1151")</f>
        <v>#NAME?</v>
      </c>
      <c r="G1907" s="4" t="e">
        <f ca="1">[1]!BexGetData("DP_1","003N8EMH8GTFRCSWKMPXRRXR2","GSON1151")</f>
        <v>#NAME?</v>
      </c>
      <c r="H1907" s="4" t="e">
        <f ca="1">[1]!BexGetData("DP_1","003N8EMH8GTFRCSWKMPXRS42M","GSON1151")</f>
        <v>#NAME?</v>
      </c>
      <c r="I1907" s="4" t="e">
        <f ca="1">[1]!BexGetData("DP_1","003N8EMH8GTFRCSWKMPXRSAE6","GSON1151")</f>
        <v>#NAME?</v>
      </c>
      <c r="J1907" s="4" t="e">
        <f ca="1">[1]!BexGetData("DP_1","003N8EMH8GTFRCSWKMPXRSGPQ","GSON1151")</f>
        <v>#NAME?</v>
      </c>
      <c r="K1907" s="8" t="e">
        <f ca="1">[1]!BexGetData("DP_1","003N8EMH8GTFRIVNUPY288VJH","GSON1151")</f>
        <v>#NAME?</v>
      </c>
      <c r="L1907" s="8" t="e">
        <f ca="1">[1]!BexGetData("DP_1","003N8EMH8GTFRIVNUPY2891V1","GSON1151")</f>
        <v>#NAME?</v>
      </c>
      <c r="M1907" s="8" t="e">
        <f ca="1">[1]!BexGetData("DP_1","003N8EMH8GTFRIVOG7KG9IQXA","GSON1151")</f>
        <v>#NAME?</v>
      </c>
      <c r="N1907" s="8" t="e">
        <f ca="1">[1]!BexGetData("DP_1","003N8EMH8GTFRIVOG7KG9IX8U","GSON1151")</f>
        <v>#NAME?</v>
      </c>
      <c r="O1907" s="8" t="e">
        <f ca="1">[1]!BexGetData("DP_1","003N8EMH8GTFRIVOG7KG9J3KE","GSON1151")</f>
        <v>#NAME?</v>
      </c>
      <c r="P1907" s="8" t="e">
        <f ca="1">[1]!BexGetData("DP_1","003N8EMH8GTFRIVOG7KG9J9VY","GSON1151")</f>
        <v>#NAME?</v>
      </c>
      <c r="Q1907" s="4" t="e">
        <f ca="1">[1]!BexGetData("DP_1","00O2TNJGODT0G5Z4TTKYMM5MT","GSON1151")</f>
        <v>#NAME?</v>
      </c>
      <c r="R1907" s="4" t="e">
        <f ca="1">[1]!BexGetData("DP_1","00O2TNJGODT0G5Z4TTKYMMBYD","GSON1151")</f>
        <v>#NAME?</v>
      </c>
      <c r="S1907" s="4" t="e">
        <f ca="1">[1]!BexGetData("DP_1","00O2TNJGODT0G5Z4TTKYMMI9X","GSON1151")</f>
        <v>#NAME?</v>
      </c>
      <c r="T1907" s="4" t="e">
        <f ca="1">[1]!BexGetData("DP_1","00O2TNJGODT0G5Z4TTKYMMOLH","GSON1151")</f>
        <v>#NAME?</v>
      </c>
      <c r="U1907" s="4" t="e">
        <f ca="1">[1]!BexGetData("DP_1","00O2TNJGODT0G5Z4TTKYMMUX1","GSON1151")</f>
        <v>#NAME?</v>
      </c>
      <c r="V1907" s="4" t="e">
        <f ca="1">[1]!BexGetData("DP_1","00O2TNJGODT0G5Z4TTKYMN18L","GSON1151")</f>
        <v>#NAME?</v>
      </c>
      <c r="W1907" s="4" t="e">
        <f ca="1">[1]!BexGetData("DP_1","00O2TNJGODT0G5Z4TTKYMN7K5","GSON1151")</f>
        <v>#NAME?</v>
      </c>
    </row>
    <row r="1908" spans="1:23" x14ac:dyDescent="0.2">
      <c r="A1908" s="16" t="s">
        <v>1252</v>
      </c>
      <c r="B1908" s="7" t="s">
        <v>331</v>
      </c>
      <c r="C1908" s="3" t="e">
        <f ca="1">[1]!BexGetData("DP_1","003N8EMH8GTFRCSWKMPXRR8GU","GSON1151100021")</f>
        <v>#NAME?</v>
      </c>
      <c r="D1908" s="3" t="e">
        <f ca="1">[1]!BexGetData("DP_1","003N8EMH8GTFRCSWKMPXRRESE","GSON1151100021")</f>
        <v>#NAME?</v>
      </c>
      <c r="E1908" s="8" t="e">
        <f ca="1">[1]!BexGetData("DP_1","003N8EMH8GTFRCSWKMPXRRL3Y","GSON1151100021")</f>
        <v>#NAME?</v>
      </c>
      <c r="F1908" s="4" t="e">
        <f ca="1">[1]!BexGetData("DP_1","003N8EMH8GTFRCSWKMPXRRRFI","GSON1151100021")</f>
        <v>#NAME?</v>
      </c>
      <c r="G1908" s="4" t="e">
        <f ca="1">[1]!BexGetData("DP_1","003N8EMH8GTFRCSWKMPXRRXR2","GSON1151100021")</f>
        <v>#NAME?</v>
      </c>
      <c r="H1908" s="4" t="e">
        <f ca="1">[1]!BexGetData("DP_1","003N8EMH8GTFRCSWKMPXRS42M","GSON1151100021")</f>
        <v>#NAME?</v>
      </c>
      <c r="I1908" s="4" t="e">
        <f ca="1">[1]!BexGetData("DP_1","003N8EMH8GTFRCSWKMPXRSAE6","GSON1151100021")</f>
        <v>#NAME?</v>
      </c>
      <c r="J1908" s="4" t="e">
        <f ca="1">[1]!BexGetData("DP_1","003N8EMH8GTFRCSWKMPXRSGPQ","GSON1151100021")</f>
        <v>#NAME?</v>
      </c>
      <c r="K1908" s="8" t="e">
        <f ca="1">[1]!BexGetData("DP_1","003N8EMH8GTFRIVNUPY288VJH","GSON1151100021")</f>
        <v>#NAME?</v>
      </c>
      <c r="L1908" s="8" t="e">
        <f ca="1">[1]!BexGetData("DP_1","003N8EMH8GTFRIVNUPY2891V1","GSON1151100021")</f>
        <v>#NAME?</v>
      </c>
      <c r="M1908" s="8" t="e">
        <f ca="1">[1]!BexGetData("DP_1","003N8EMH8GTFRIVOG7KG9IQXA","GSON1151100021")</f>
        <v>#NAME?</v>
      </c>
      <c r="N1908" s="8" t="e">
        <f ca="1">[1]!BexGetData("DP_1","003N8EMH8GTFRIVOG7KG9IX8U","GSON1151100021")</f>
        <v>#NAME?</v>
      </c>
      <c r="O1908" s="8" t="e">
        <f ca="1">[1]!BexGetData("DP_1","003N8EMH8GTFRIVOG7KG9J3KE","GSON1151100021")</f>
        <v>#NAME?</v>
      </c>
      <c r="P1908" s="8" t="e">
        <f ca="1">[1]!BexGetData("DP_1","003N8EMH8GTFRIVOG7KG9J9VY","GSON1151100021")</f>
        <v>#NAME?</v>
      </c>
      <c r="Q1908" s="4" t="e">
        <f ca="1">[1]!BexGetData("DP_1","00O2TNJGODT0G5Z4TTKYMM5MT","GSON1151100021")</f>
        <v>#NAME?</v>
      </c>
      <c r="R1908" s="4" t="e">
        <f ca="1">[1]!BexGetData("DP_1","00O2TNJGODT0G5Z4TTKYMMBYD","GSON1151100021")</f>
        <v>#NAME?</v>
      </c>
      <c r="S1908" s="4" t="e">
        <f ca="1">[1]!BexGetData("DP_1","00O2TNJGODT0G5Z4TTKYMMI9X","GSON1151100021")</f>
        <v>#NAME?</v>
      </c>
      <c r="T1908" s="4" t="e">
        <f ca="1">[1]!BexGetData("DP_1","00O2TNJGODT0G5Z4TTKYMMOLH","GSON1151100021")</f>
        <v>#NAME?</v>
      </c>
      <c r="U1908" s="4" t="e">
        <f ca="1">[1]!BexGetData("DP_1","00O2TNJGODT0G5Z4TTKYMMUX1","GSON1151100021")</f>
        <v>#NAME?</v>
      </c>
      <c r="V1908" s="4" t="e">
        <f ca="1">[1]!BexGetData("DP_1","00O2TNJGODT0G5Z4TTKYMN18L","GSON1151100021")</f>
        <v>#NAME?</v>
      </c>
      <c r="W1908" s="4" t="e">
        <f ca="1">[1]!BexGetData("DP_1","00O2TNJGODT0G5Z4TTKYMN7K5","GSON1151100021")</f>
        <v>#NAME?</v>
      </c>
    </row>
    <row r="1909" spans="1:23" x14ac:dyDescent="0.2">
      <c r="A1909" s="14" t="s">
        <v>4621</v>
      </c>
      <c r="B1909" s="7" t="s">
        <v>4622</v>
      </c>
      <c r="C1909" s="3" t="e">
        <f ca="1">[1]!BexGetData("DP_1","003N8EMH8GTFRCSWKMPXRR8GU","GSON119")</f>
        <v>#NAME?</v>
      </c>
      <c r="D1909" s="3" t="e">
        <f ca="1">[1]!BexGetData("DP_1","003N8EMH8GTFRCSWKMPXRRESE","GSON119")</f>
        <v>#NAME?</v>
      </c>
      <c r="E1909" s="3" t="e">
        <f ca="1">[1]!BexGetData("DP_1","003N8EMH8GTFRCSWKMPXRRL3Y","GSON119")</f>
        <v>#NAME?</v>
      </c>
      <c r="F1909" s="3" t="e">
        <f ca="1">[1]!BexGetData("DP_1","003N8EMH8GTFRCSWKMPXRRRFI","GSON119")</f>
        <v>#NAME?</v>
      </c>
      <c r="G1909" s="3" t="e">
        <f ca="1">[1]!BexGetData("DP_1","003N8EMH8GTFRCSWKMPXRRXR2","GSON119")</f>
        <v>#NAME?</v>
      </c>
      <c r="H1909" s="8" t="e">
        <f ca="1">[1]!BexGetData("DP_1","003N8EMH8GTFRCSWKMPXRS42M","GSON119")</f>
        <v>#NAME?</v>
      </c>
      <c r="I1909" s="3" t="e">
        <f ca="1">[1]!BexGetData("DP_1","003N8EMH8GTFRCSWKMPXRSAE6","GSON119")</f>
        <v>#NAME?</v>
      </c>
      <c r="J1909" s="4" t="e">
        <f ca="1">[1]!BexGetData("DP_1","003N8EMH8GTFRCSWKMPXRSGPQ","GSON119")</f>
        <v>#NAME?</v>
      </c>
      <c r="K1909" s="3" t="e">
        <f ca="1">[1]!BexGetData("DP_1","003N8EMH8GTFRIVNUPY288VJH","GSON119")</f>
        <v>#NAME?</v>
      </c>
      <c r="L1909" s="3" t="e">
        <f ca="1">[1]!BexGetData("DP_1","003N8EMH8GTFRIVNUPY2891V1","GSON119")</f>
        <v>#NAME?</v>
      </c>
      <c r="M1909" s="8" t="e">
        <f ca="1">[1]!BexGetData("DP_1","003N8EMH8GTFRIVOG7KG9IQXA","GSON119")</f>
        <v>#NAME?</v>
      </c>
      <c r="N1909" s="3" t="e">
        <f ca="1">[1]!BexGetData("DP_1","003N8EMH8GTFRIVOG7KG9IX8U","GSON119")</f>
        <v>#NAME?</v>
      </c>
      <c r="O1909" s="8" t="e">
        <f ca="1">[1]!BexGetData("DP_1","003N8EMH8GTFRIVOG7KG9J3KE","GSON119")</f>
        <v>#NAME?</v>
      </c>
      <c r="P1909" s="3" t="e">
        <f ca="1">[1]!BexGetData("DP_1","003N8EMH8GTFRIVOG7KG9J9VY","GSON119")</f>
        <v>#NAME?</v>
      </c>
      <c r="Q1909" s="4" t="e">
        <f ca="1">[1]!BexGetData("DP_1","00O2TNJGODT0G5Z4TTKYMM5MT","GSON119")</f>
        <v>#NAME?</v>
      </c>
      <c r="R1909" s="3" t="e">
        <f ca="1">[1]!BexGetData("DP_1","00O2TNJGODT0G5Z4TTKYMMBYD","GSON119")</f>
        <v>#NAME?</v>
      </c>
      <c r="S1909" s="3" t="e">
        <f ca="1">[1]!BexGetData("DP_1","00O2TNJGODT0G5Z4TTKYMMI9X","GSON119")</f>
        <v>#NAME?</v>
      </c>
      <c r="T1909" s="8" t="e">
        <f ca="1">[1]!BexGetData("DP_1","00O2TNJGODT0G5Z4TTKYMMOLH","GSON119")</f>
        <v>#NAME?</v>
      </c>
      <c r="U1909" s="3" t="e">
        <f ca="1">[1]!BexGetData("DP_1","00O2TNJGODT0G5Z4TTKYMMUX1","GSON119")</f>
        <v>#NAME?</v>
      </c>
      <c r="V1909" s="8" t="e">
        <f ca="1">[1]!BexGetData("DP_1","00O2TNJGODT0G5Z4TTKYMN18L","GSON119")</f>
        <v>#NAME?</v>
      </c>
      <c r="W1909" s="3" t="e">
        <f ca="1">[1]!BexGetData("DP_1","00O2TNJGODT0G5Z4TTKYMN7K5","GSON119")</f>
        <v>#NAME?</v>
      </c>
    </row>
    <row r="1910" spans="1:23" x14ac:dyDescent="0.2">
      <c r="A1910" s="15" t="s">
        <v>4623</v>
      </c>
      <c r="B1910" s="7" t="s">
        <v>4624</v>
      </c>
      <c r="C1910" s="3" t="e">
        <f ca="1">[1]!BexGetData("DP_1","003N8EMH8GTFRCSWKMPXRR8GU","GSON1193")</f>
        <v>#NAME?</v>
      </c>
      <c r="D1910" s="3" t="e">
        <f ca="1">[1]!BexGetData("DP_1","003N8EMH8GTFRCSWKMPXRRESE","GSON1193")</f>
        <v>#NAME?</v>
      </c>
      <c r="E1910" s="3" t="e">
        <f ca="1">[1]!BexGetData("DP_1","003N8EMH8GTFRCSWKMPXRRL3Y","GSON1193")</f>
        <v>#NAME?</v>
      </c>
      <c r="F1910" s="3" t="e">
        <f ca="1">[1]!BexGetData("DP_1","003N8EMH8GTFRCSWKMPXRRRFI","GSON1193")</f>
        <v>#NAME?</v>
      </c>
      <c r="G1910" s="3" t="e">
        <f ca="1">[1]!BexGetData("DP_1","003N8EMH8GTFRCSWKMPXRRXR2","GSON1193")</f>
        <v>#NAME?</v>
      </c>
      <c r="H1910" s="8" t="e">
        <f ca="1">[1]!BexGetData("DP_1","003N8EMH8GTFRCSWKMPXRS42M","GSON1193")</f>
        <v>#NAME?</v>
      </c>
      <c r="I1910" s="3" t="e">
        <f ca="1">[1]!BexGetData("DP_1","003N8EMH8GTFRCSWKMPXRSAE6","GSON1193")</f>
        <v>#NAME?</v>
      </c>
      <c r="J1910" s="4" t="e">
        <f ca="1">[1]!BexGetData("DP_1","003N8EMH8GTFRCSWKMPXRSGPQ","GSON1193")</f>
        <v>#NAME?</v>
      </c>
      <c r="K1910" s="3" t="e">
        <f ca="1">[1]!BexGetData("DP_1","003N8EMH8GTFRIVNUPY288VJH","GSON1193")</f>
        <v>#NAME?</v>
      </c>
      <c r="L1910" s="3" t="e">
        <f ca="1">[1]!BexGetData("DP_1","003N8EMH8GTFRIVNUPY2891V1","GSON1193")</f>
        <v>#NAME?</v>
      </c>
      <c r="M1910" s="8" t="e">
        <f ca="1">[1]!BexGetData("DP_1","003N8EMH8GTFRIVOG7KG9IQXA","GSON1193")</f>
        <v>#NAME?</v>
      </c>
      <c r="N1910" s="3" t="e">
        <f ca="1">[1]!BexGetData("DP_1","003N8EMH8GTFRIVOG7KG9IX8U","GSON1193")</f>
        <v>#NAME?</v>
      </c>
      <c r="O1910" s="8" t="e">
        <f ca="1">[1]!BexGetData("DP_1","003N8EMH8GTFRIVOG7KG9J3KE","GSON1193")</f>
        <v>#NAME?</v>
      </c>
      <c r="P1910" s="3" t="e">
        <f ca="1">[1]!BexGetData("DP_1","003N8EMH8GTFRIVOG7KG9J9VY","GSON1193")</f>
        <v>#NAME?</v>
      </c>
      <c r="Q1910" s="4" t="e">
        <f ca="1">[1]!BexGetData("DP_1","00O2TNJGODT0G5Z4TTKYMM5MT","GSON1193")</f>
        <v>#NAME?</v>
      </c>
      <c r="R1910" s="3" t="e">
        <f ca="1">[1]!BexGetData("DP_1","00O2TNJGODT0G5Z4TTKYMMBYD","GSON1193")</f>
        <v>#NAME?</v>
      </c>
      <c r="S1910" s="3" t="e">
        <f ca="1">[1]!BexGetData("DP_1","00O2TNJGODT0G5Z4TTKYMMI9X","GSON1193")</f>
        <v>#NAME?</v>
      </c>
      <c r="T1910" s="8" t="e">
        <f ca="1">[1]!BexGetData("DP_1","00O2TNJGODT0G5Z4TTKYMMOLH","GSON1193")</f>
        <v>#NAME?</v>
      </c>
      <c r="U1910" s="3" t="e">
        <f ca="1">[1]!BexGetData("DP_1","00O2TNJGODT0G5Z4TTKYMMUX1","GSON1193")</f>
        <v>#NAME?</v>
      </c>
      <c r="V1910" s="8" t="e">
        <f ca="1">[1]!BexGetData("DP_1","00O2TNJGODT0G5Z4TTKYMN18L","GSON1193")</f>
        <v>#NAME?</v>
      </c>
      <c r="W1910" s="3" t="e">
        <f ca="1">[1]!BexGetData("DP_1","00O2TNJGODT0G5Z4TTKYMN7K5","GSON1193")</f>
        <v>#NAME?</v>
      </c>
    </row>
    <row r="1911" spans="1:23" x14ac:dyDescent="0.2">
      <c r="A1911" s="16" t="s">
        <v>4625</v>
      </c>
      <c r="B1911" s="7" t="s">
        <v>4626</v>
      </c>
      <c r="C1911" s="3" t="e">
        <f ca="1">[1]!BexGetData("DP_1","003N8EMH8GTFRCSWKMPXRR8GU","GSON1193100002")</f>
        <v>#NAME?</v>
      </c>
      <c r="D1911" s="3" t="e">
        <f ca="1">[1]!BexGetData("DP_1","003N8EMH8GTFRCSWKMPXRRESE","GSON1193100002")</f>
        <v>#NAME?</v>
      </c>
      <c r="E1911" s="3" t="e">
        <f ca="1">[1]!BexGetData("DP_1","003N8EMH8GTFRCSWKMPXRRL3Y","GSON1193100002")</f>
        <v>#NAME?</v>
      </c>
      <c r="F1911" s="3" t="e">
        <f ca="1">[1]!BexGetData("DP_1","003N8EMH8GTFRCSWKMPXRRRFI","GSON1193100002")</f>
        <v>#NAME?</v>
      </c>
      <c r="G1911" s="3" t="e">
        <f ca="1">[1]!BexGetData("DP_1","003N8EMH8GTFRCSWKMPXRRXR2","GSON1193100002")</f>
        <v>#NAME?</v>
      </c>
      <c r="H1911" s="8" t="e">
        <f ca="1">[1]!BexGetData("DP_1","003N8EMH8GTFRCSWKMPXRS42M","GSON1193100002")</f>
        <v>#NAME?</v>
      </c>
      <c r="I1911" s="3" t="e">
        <f ca="1">[1]!BexGetData("DP_1","003N8EMH8GTFRCSWKMPXRSAE6","GSON1193100002")</f>
        <v>#NAME?</v>
      </c>
      <c r="J1911" s="4" t="e">
        <f ca="1">[1]!BexGetData("DP_1","003N8EMH8GTFRCSWKMPXRSGPQ","GSON1193100002")</f>
        <v>#NAME?</v>
      </c>
      <c r="K1911" s="3" t="e">
        <f ca="1">[1]!BexGetData("DP_1","003N8EMH8GTFRIVNUPY288VJH","GSON1193100002")</f>
        <v>#NAME?</v>
      </c>
      <c r="L1911" s="3" t="e">
        <f ca="1">[1]!BexGetData("DP_1","003N8EMH8GTFRIVNUPY2891V1","GSON1193100002")</f>
        <v>#NAME?</v>
      </c>
      <c r="M1911" s="8" t="e">
        <f ca="1">[1]!BexGetData("DP_1","003N8EMH8GTFRIVOG7KG9IQXA","GSON1193100002")</f>
        <v>#NAME?</v>
      </c>
      <c r="N1911" s="3" t="e">
        <f ca="1">[1]!BexGetData("DP_1","003N8EMH8GTFRIVOG7KG9IX8U","GSON1193100002")</f>
        <v>#NAME?</v>
      </c>
      <c r="O1911" s="8" t="e">
        <f ca="1">[1]!BexGetData("DP_1","003N8EMH8GTFRIVOG7KG9J3KE","GSON1193100002")</f>
        <v>#NAME?</v>
      </c>
      <c r="P1911" s="3" t="e">
        <f ca="1">[1]!BexGetData("DP_1","003N8EMH8GTFRIVOG7KG9J9VY","GSON1193100002")</f>
        <v>#NAME?</v>
      </c>
      <c r="Q1911" s="4" t="e">
        <f ca="1">[1]!BexGetData("DP_1","00O2TNJGODT0G5Z4TTKYMM5MT","GSON1193100002")</f>
        <v>#NAME?</v>
      </c>
      <c r="R1911" s="3" t="e">
        <f ca="1">[1]!BexGetData("DP_1","00O2TNJGODT0G5Z4TTKYMMBYD","GSON1193100002")</f>
        <v>#NAME?</v>
      </c>
      <c r="S1911" s="3" t="e">
        <f ca="1">[1]!BexGetData("DP_1","00O2TNJGODT0G5Z4TTKYMMI9X","GSON1193100002")</f>
        <v>#NAME?</v>
      </c>
      <c r="T1911" s="8" t="e">
        <f ca="1">[1]!BexGetData("DP_1","00O2TNJGODT0G5Z4TTKYMMOLH","GSON1193100002")</f>
        <v>#NAME?</v>
      </c>
      <c r="U1911" s="3" t="e">
        <f ca="1">[1]!BexGetData("DP_1","00O2TNJGODT0G5Z4TTKYMMUX1","GSON1193100002")</f>
        <v>#NAME?</v>
      </c>
      <c r="V1911" s="8" t="e">
        <f ca="1">[1]!BexGetData("DP_1","00O2TNJGODT0G5Z4TTKYMN18L","GSON1193100002")</f>
        <v>#NAME?</v>
      </c>
      <c r="W1911" s="3" t="e">
        <f ca="1">[1]!BexGetData("DP_1","00O2TNJGODT0G5Z4TTKYMN7K5","GSON1193100002")</f>
        <v>#NAME?</v>
      </c>
    </row>
    <row r="1912" spans="1:23" x14ac:dyDescent="0.2">
      <c r="A1912" s="13" t="s">
        <v>73</v>
      </c>
      <c r="B1912" s="7" t="s">
        <v>74</v>
      </c>
      <c r="C1912" s="3" t="e">
        <f ca="1">[1]!BexGetData("DP_1","003N8EMH8GTFRCSWKMPXRR8GU","GSON12")</f>
        <v>#NAME?</v>
      </c>
      <c r="D1912" s="3" t="e">
        <f ca="1">[1]!BexGetData("DP_1","003N8EMH8GTFRCSWKMPXRRESE","GSON12")</f>
        <v>#NAME?</v>
      </c>
      <c r="E1912" s="3" t="e">
        <f ca="1">[1]!BexGetData("DP_1","003N8EMH8GTFRCSWKMPXRRL3Y","GSON12")</f>
        <v>#NAME?</v>
      </c>
      <c r="F1912" s="3" t="e">
        <f ca="1">[1]!BexGetData("DP_1","003N8EMH8GTFRCSWKMPXRRRFI","GSON12")</f>
        <v>#NAME?</v>
      </c>
      <c r="G1912" s="3" t="e">
        <f ca="1">[1]!BexGetData("DP_1","003N8EMH8GTFRCSWKMPXRRXR2","GSON12")</f>
        <v>#NAME?</v>
      </c>
      <c r="H1912" s="3" t="e">
        <f ca="1">[1]!BexGetData("DP_1","003N8EMH8GTFRCSWKMPXRS42M","GSON12")</f>
        <v>#NAME?</v>
      </c>
      <c r="I1912" s="3" t="e">
        <f ca="1">[1]!BexGetData("DP_1","003N8EMH8GTFRCSWKMPXRSAE6","GSON12")</f>
        <v>#NAME?</v>
      </c>
      <c r="J1912" s="4" t="e">
        <f ca="1">[1]!BexGetData("DP_1","003N8EMH8GTFRCSWKMPXRSGPQ","GSON12")</f>
        <v>#NAME?</v>
      </c>
      <c r="K1912" s="3" t="e">
        <f ca="1">[1]!BexGetData("DP_1","003N8EMH8GTFRIVNUPY288VJH","GSON12")</f>
        <v>#NAME?</v>
      </c>
      <c r="L1912" s="3" t="e">
        <f ca="1">[1]!BexGetData("DP_1","003N8EMH8GTFRIVNUPY2891V1","GSON12")</f>
        <v>#NAME?</v>
      </c>
      <c r="M1912" s="8" t="e">
        <f ca="1">[1]!BexGetData("DP_1","003N8EMH8GTFRIVOG7KG9IQXA","GSON12")</f>
        <v>#NAME?</v>
      </c>
      <c r="N1912" s="3" t="e">
        <f ca="1">[1]!BexGetData("DP_1","003N8EMH8GTFRIVOG7KG9IX8U","GSON12")</f>
        <v>#NAME?</v>
      </c>
      <c r="O1912" s="8" t="e">
        <f ca="1">[1]!BexGetData("DP_1","003N8EMH8GTFRIVOG7KG9J3KE","GSON12")</f>
        <v>#NAME?</v>
      </c>
      <c r="P1912" s="3" t="e">
        <f ca="1">[1]!BexGetData("DP_1","003N8EMH8GTFRIVOG7KG9J9VY","GSON12")</f>
        <v>#NAME?</v>
      </c>
      <c r="Q1912" s="4" t="e">
        <f ca="1">[1]!BexGetData("DP_1","00O2TNJGODT0G5Z4TTKYMM5MT","GSON12")</f>
        <v>#NAME?</v>
      </c>
      <c r="R1912" s="3" t="e">
        <f ca="1">[1]!BexGetData("DP_1","00O2TNJGODT0G5Z4TTKYMMBYD","GSON12")</f>
        <v>#NAME?</v>
      </c>
      <c r="S1912" s="3" t="e">
        <f ca="1">[1]!BexGetData("DP_1","00O2TNJGODT0G5Z4TTKYMMI9X","GSON12")</f>
        <v>#NAME?</v>
      </c>
      <c r="T1912" s="8" t="e">
        <f ca="1">[1]!BexGetData("DP_1","00O2TNJGODT0G5Z4TTKYMMOLH","GSON12")</f>
        <v>#NAME?</v>
      </c>
      <c r="U1912" s="3" t="e">
        <f ca="1">[1]!BexGetData("DP_1","00O2TNJGODT0G5Z4TTKYMMUX1","GSON12")</f>
        <v>#NAME?</v>
      </c>
      <c r="V1912" s="8" t="e">
        <f ca="1">[1]!BexGetData("DP_1","00O2TNJGODT0G5Z4TTKYMN18L","GSON12")</f>
        <v>#NAME?</v>
      </c>
      <c r="W1912" s="3" t="e">
        <f ca="1">[1]!BexGetData("DP_1","00O2TNJGODT0G5Z4TTKYMN7K5","GSON12")</f>
        <v>#NAME?</v>
      </c>
    </row>
    <row r="1913" spans="1:23" x14ac:dyDescent="0.2">
      <c r="A1913" s="14" t="s">
        <v>4627</v>
      </c>
      <c r="B1913" s="7" t="s">
        <v>4628</v>
      </c>
      <c r="C1913" s="8" t="e">
        <f ca="1">[1]!BexGetData("DP_1","003N8EMH8GTFRCSWKMPXRR8GU","GSON121")</f>
        <v>#NAME?</v>
      </c>
      <c r="D1913" s="8" t="e">
        <f ca="1">[1]!BexGetData("DP_1","003N8EMH8GTFRCSWKMPXRRESE","GSON121")</f>
        <v>#NAME?</v>
      </c>
      <c r="E1913" s="3" t="e">
        <f ca="1">[1]!BexGetData("DP_1","003N8EMH8GTFRCSWKMPXRRL3Y","GSON121")</f>
        <v>#NAME?</v>
      </c>
      <c r="F1913" s="3" t="e">
        <f ca="1">[1]!BexGetData("DP_1","003N8EMH8GTFRCSWKMPXRRRFI","GSON121")</f>
        <v>#NAME?</v>
      </c>
      <c r="G1913" s="3" t="e">
        <f ca="1">[1]!BexGetData("DP_1","003N8EMH8GTFRCSWKMPXRRXR2","GSON121")</f>
        <v>#NAME?</v>
      </c>
      <c r="H1913" s="3" t="e">
        <f ca="1">[1]!BexGetData("DP_1","003N8EMH8GTFRCSWKMPXRS42M","GSON121")</f>
        <v>#NAME?</v>
      </c>
      <c r="I1913" s="3" t="e">
        <f ca="1">[1]!BexGetData("DP_1","003N8EMH8GTFRCSWKMPXRSAE6","GSON121")</f>
        <v>#NAME?</v>
      </c>
      <c r="J1913" s="4" t="e">
        <f ca="1">[1]!BexGetData("DP_1","003N8EMH8GTFRCSWKMPXRSGPQ","GSON121")</f>
        <v>#NAME?</v>
      </c>
      <c r="K1913" s="8" t="e">
        <f ca="1">[1]!BexGetData("DP_1","003N8EMH8GTFRIVNUPY288VJH","GSON121")</f>
        <v>#NAME?</v>
      </c>
      <c r="L1913" s="8" t="e">
        <f ca="1">[1]!BexGetData("DP_1","003N8EMH8GTFRIVNUPY2891V1","GSON121")</f>
        <v>#NAME?</v>
      </c>
      <c r="M1913" s="8" t="e">
        <f ca="1">[1]!BexGetData("DP_1","003N8EMH8GTFRIVOG7KG9IQXA","GSON121")</f>
        <v>#NAME?</v>
      </c>
      <c r="N1913" s="8" t="e">
        <f ca="1">[1]!BexGetData("DP_1","003N8EMH8GTFRIVOG7KG9IX8U","GSON121")</f>
        <v>#NAME?</v>
      </c>
      <c r="O1913" s="8" t="e">
        <f ca="1">[1]!BexGetData("DP_1","003N8EMH8GTFRIVOG7KG9J3KE","GSON121")</f>
        <v>#NAME?</v>
      </c>
      <c r="P1913" s="8" t="e">
        <f ca="1">[1]!BexGetData("DP_1","003N8EMH8GTFRIVOG7KG9J9VY","GSON121")</f>
        <v>#NAME?</v>
      </c>
      <c r="Q1913" s="4" t="e">
        <f ca="1">[1]!BexGetData("DP_1","00O2TNJGODT0G5Z4TTKYMM5MT","GSON121")</f>
        <v>#NAME?</v>
      </c>
      <c r="R1913" s="3" t="e">
        <f ca="1">[1]!BexGetData("DP_1","00O2TNJGODT0G5Z4TTKYMMBYD","GSON121")</f>
        <v>#NAME?</v>
      </c>
      <c r="S1913" s="3" t="e">
        <f ca="1">[1]!BexGetData("DP_1","00O2TNJGODT0G5Z4TTKYMMI9X","GSON121")</f>
        <v>#NAME?</v>
      </c>
      <c r="T1913" s="8" t="e">
        <f ca="1">[1]!BexGetData("DP_1","00O2TNJGODT0G5Z4TTKYMMOLH","GSON121")</f>
        <v>#NAME?</v>
      </c>
      <c r="U1913" s="3" t="e">
        <f ca="1">[1]!BexGetData("DP_1","00O2TNJGODT0G5Z4TTKYMMUX1","GSON121")</f>
        <v>#NAME?</v>
      </c>
      <c r="V1913" s="8" t="e">
        <f ca="1">[1]!BexGetData("DP_1","00O2TNJGODT0G5Z4TTKYMN18L","GSON121")</f>
        <v>#NAME?</v>
      </c>
      <c r="W1913" s="3" t="e">
        <f ca="1">[1]!BexGetData("DP_1","00O2TNJGODT0G5Z4TTKYMN7K5","GSON121")</f>
        <v>#NAME?</v>
      </c>
    </row>
    <row r="1914" spans="1:23" x14ac:dyDescent="0.2">
      <c r="A1914" s="15" t="s">
        <v>346</v>
      </c>
      <c r="B1914" s="7" t="s">
        <v>4629</v>
      </c>
      <c r="C1914" s="8" t="e">
        <f ca="1">[1]!BexGetData("DP_1","003N8EMH8GTFRCSWKMPXRR8GU","GSON1214")</f>
        <v>#NAME?</v>
      </c>
      <c r="D1914" s="8" t="e">
        <f ca="1">[1]!BexGetData("DP_1","003N8EMH8GTFRCSWKMPXRRESE","GSON1214")</f>
        <v>#NAME?</v>
      </c>
      <c r="E1914" s="3" t="e">
        <f ca="1">[1]!BexGetData("DP_1","003N8EMH8GTFRCSWKMPXRRL3Y","GSON1214")</f>
        <v>#NAME?</v>
      </c>
      <c r="F1914" s="3" t="e">
        <f ca="1">[1]!BexGetData("DP_1","003N8EMH8GTFRCSWKMPXRRRFI","GSON1214")</f>
        <v>#NAME?</v>
      </c>
      <c r="G1914" s="3" t="e">
        <f ca="1">[1]!BexGetData("DP_1","003N8EMH8GTFRCSWKMPXRRXR2","GSON1214")</f>
        <v>#NAME?</v>
      </c>
      <c r="H1914" s="3" t="e">
        <f ca="1">[1]!BexGetData("DP_1","003N8EMH8GTFRCSWKMPXRS42M","GSON1214")</f>
        <v>#NAME?</v>
      </c>
      <c r="I1914" s="3" t="e">
        <f ca="1">[1]!BexGetData("DP_1","003N8EMH8GTFRCSWKMPXRSAE6","GSON1214")</f>
        <v>#NAME?</v>
      </c>
      <c r="J1914" s="4" t="e">
        <f ca="1">[1]!BexGetData("DP_1","003N8EMH8GTFRCSWKMPXRSGPQ","GSON1214")</f>
        <v>#NAME?</v>
      </c>
      <c r="K1914" s="8" t="e">
        <f ca="1">[1]!BexGetData("DP_1","003N8EMH8GTFRIVNUPY288VJH","GSON1214")</f>
        <v>#NAME?</v>
      </c>
      <c r="L1914" s="8" t="e">
        <f ca="1">[1]!BexGetData("DP_1","003N8EMH8GTFRIVNUPY2891V1","GSON1214")</f>
        <v>#NAME?</v>
      </c>
      <c r="M1914" s="8" t="e">
        <f ca="1">[1]!BexGetData("DP_1","003N8EMH8GTFRIVOG7KG9IQXA","GSON1214")</f>
        <v>#NAME?</v>
      </c>
      <c r="N1914" s="8" t="e">
        <f ca="1">[1]!BexGetData("DP_1","003N8EMH8GTFRIVOG7KG9IX8U","GSON1214")</f>
        <v>#NAME?</v>
      </c>
      <c r="O1914" s="8" t="e">
        <f ca="1">[1]!BexGetData("DP_1","003N8EMH8GTFRIVOG7KG9J3KE","GSON1214")</f>
        <v>#NAME?</v>
      </c>
      <c r="P1914" s="8" t="e">
        <f ca="1">[1]!BexGetData("DP_1","003N8EMH8GTFRIVOG7KG9J9VY","GSON1214")</f>
        <v>#NAME?</v>
      </c>
      <c r="Q1914" s="4" t="e">
        <f ca="1">[1]!BexGetData("DP_1","00O2TNJGODT0G5Z4TTKYMM5MT","GSON1214")</f>
        <v>#NAME?</v>
      </c>
      <c r="R1914" s="3" t="e">
        <f ca="1">[1]!BexGetData("DP_1","00O2TNJGODT0G5Z4TTKYMMBYD","GSON1214")</f>
        <v>#NAME?</v>
      </c>
      <c r="S1914" s="3" t="e">
        <f ca="1">[1]!BexGetData("DP_1","00O2TNJGODT0G5Z4TTKYMMI9X","GSON1214")</f>
        <v>#NAME?</v>
      </c>
      <c r="T1914" s="8" t="e">
        <f ca="1">[1]!BexGetData("DP_1","00O2TNJGODT0G5Z4TTKYMMOLH","GSON1214")</f>
        <v>#NAME?</v>
      </c>
      <c r="U1914" s="3" t="e">
        <f ca="1">[1]!BexGetData("DP_1","00O2TNJGODT0G5Z4TTKYMMUX1","GSON1214")</f>
        <v>#NAME?</v>
      </c>
      <c r="V1914" s="8" t="e">
        <f ca="1">[1]!BexGetData("DP_1","00O2TNJGODT0G5Z4TTKYMN18L","GSON1214")</f>
        <v>#NAME?</v>
      </c>
      <c r="W1914" s="3" t="e">
        <f ca="1">[1]!BexGetData("DP_1","00O2TNJGODT0G5Z4TTKYMN7K5","GSON1214")</f>
        <v>#NAME?</v>
      </c>
    </row>
    <row r="1915" spans="1:23" x14ac:dyDescent="0.2">
      <c r="A1915" s="16" t="s">
        <v>4630</v>
      </c>
      <c r="B1915" s="7" t="s">
        <v>4631</v>
      </c>
      <c r="C1915" s="8" t="e">
        <f ca="1">[1]!BexGetData("DP_1","003N8EMH8GTFRCSWKMPXRR8GU","GSON12141")</f>
        <v>#NAME?</v>
      </c>
      <c r="D1915" s="8" t="e">
        <f ca="1">[1]!BexGetData("DP_1","003N8EMH8GTFRCSWKMPXRRESE","GSON12141")</f>
        <v>#NAME?</v>
      </c>
      <c r="E1915" s="3" t="e">
        <f ca="1">[1]!BexGetData("DP_1","003N8EMH8GTFRCSWKMPXRRL3Y","GSON12141")</f>
        <v>#NAME?</v>
      </c>
      <c r="F1915" s="3" t="e">
        <f ca="1">[1]!BexGetData("DP_1","003N8EMH8GTFRCSWKMPXRRRFI","GSON12141")</f>
        <v>#NAME?</v>
      </c>
      <c r="G1915" s="3" t="e">
        <f ca="1">[1]!BexGetData("DP_1","003N8EMH8GTFRCSWKMPXRRXR2","GSON12141")</f>
        <v>#NAME?</v>
      </c>
      <c r="H1915" s="3" t="e">
        <f ca="1">[1]!BexGetData("DP_1","003N8EMH8GTFRCSWKMPXRS42M","GSON12141")</f>
        <v>#NAME?</v>
      </c>
      <c r="I1915" s="3" t="e">
        <f ca="1">[1]!BexGetData("DP_1","003N8EMH8GTFRCSWKMPXRSAE6","GSON12141")</f>
        <v>#NAME?</v>
      </c>
      <c r="J1915" s="4" t="e">
        <f ca="1">[1]!BexGetData("DP_1","003N8EMH8GTFRCSWKMPXRSGPQ","GSON12141")</f>
        <v>#NAME?</v>
      </c>
      <c r="K1915" s="8" t="e">
        <f ca="1">[1]!BexGetData("DP_1","003N8EMH8GTFRIVNUPY288VJH","GSON12141")</f>
        <v>#NAME?</v>
      </c>
      <c r="L1915" s="8" t="e">
        <f ca="1">[1]!BexGetData("DP_1","003N8EMH8GTFRIVNUPY2891V1","GSON12141")</f>
        <v>#NAME?</v>
      </c>
      <c r="M1915" s="8" t="e">
        <f ca="1">[1]!BexGetData("DP_1","003N8EMH8GTFRIVOG7KG9IQXA","GSON12141")</f>
        <v>#NAME?</v>
      </c>
      <c r="N1915" s="8" t="e">
        <f ca="1">[1]!BexGetData("DP_1","003N8EMH8GTFRIVOG7KG9IX8U","GSON12141")</f>
        <v>#NAME?</v>
      </c>
      <c r="O1915" s="8" t="e">
        <f ca="1">[1]!BexGetData("DP_1","003N8EMH8GTFRIVOG7KG9J3KE","GSON12141")</f>
        <v>#NAME?</v>
      </c>
      <c r="P1915" s="8" t="e">
        <f ca="1">[1]!BexGetData("DP_1","003N8EMH8GTFRIVOG7KG9J9VY","GSON12141")</f>
        <v>#NAME?</v>
      </c>
      <c r="Q1915" s="4" t="e">
        <f ca="1">[1]!BexGetData("DP_1","00O2TNJGODT0G5Z4TTKYMM5MT","GSON12141")</f>
        <v>#NAME?</v>
      </c>
      <c r="R1915" s="3" t="e">
        <f ca="1">[1]!BexGetData("DP_1","00O2TNJGODT0G5Z4TTKYMMBYD","GSON12141")</f>
        <v>#NAME?</v>
      </c>
      <c r="S1915" s="3" t="e">
        <f ca="1">[1]!BexGetData("DP_1","00O2TNJGODT0G5Z4TTKYMMI9X","GSON12141")</f>
        <v>#NAME?</v>
      </c>
      <c r="T1915" s="8" t="e">
        <f ca="1">[1]!BexGetData("DP_1","00O2TNJGODT0G5Z4TTKYMMOLH","GSON12141")</f>
        <v>#NAME?</v>
      </c>
      <c r="U1915" s="3" t="e">
        <f ca="1">[1]!BexGetData("DP_1","00O2TNJGODT0G5Z4TTKYMMUX1","GSON12141")</f>
        <v>#NAME?</v>
      </c>
      <c r="V1915" s="8" t="e">
        <f ca="1">[1]!BexGetData("DP_1","00O2TNJGODT0G5Z4TTKYMN18L","GSON12141")</f>
        <v>#NAME?</v>
      </c>
      <c r="W1915" s="3" t="e">
        <f ca="1">[1]!BexGetData("DP_1","00O2TNJGODT0G5Z4TTKYMN7K5","GSON12141")</f>
        <v>#NAME?</v>
      </c>
    </row>
    <row r="1916" spans="1:23" x14ac:dyDescent="0.2">
      <c r="A1916" s="17" t="s">
        <v>4632</v>
      </c>
      <c r="B1916" s="7" t="s">
        <v>4633</v>
      </c>
      <c r="C1916" s="8" t="e">
        <f ca="1">[1]!BexGetData("DP_1","003N8EMH8GTFRCSWKMPXRR8GU","GSON1214100721")</f>
        <v>#NAME?</v>
      </c>
      <c r="D1916" s="8" t="e">
        <f ca="1">[1]!BexGetData("DP_1","003N8EMH8GTFRCSWKMPXRRESE","GSON1214100721")</f>
        <v>#NAME?</v>
      </c>
      <c r="E1916" s="3" t="e">
        <f ca="1">[1]!BexGetData("DP_1","003N8EMH8GTFRCSWKMPXRRL3Y","GSON1214100721")</f>
        <v>#NAME?</v>
      </c>
      <c r="F1916" s="3" t="e">
        <f ca="1">[1]!BexGetData("DP_1","003N8EMH8GTFRCSWKMPXRRRFI","GSON1214100721")</f>
        <v>#NAME?</v>
      </c>
      <c r="G1916" s="3" t="e">
        <f ca="1">[1]!BexGetData("DP_1","003N8EMH8GTFRCSWKMPXRRXR2","GSON1214100721")</f>
        <v>#NAME?</v>
      </c>
      <c r="H1916" s="3" t="e">
        <f ca="1">[1]!BexGetData("DP_1","003N8EMH8GTFRCSWKMPXRS42M","GSON1214100721")</f>
        <v>#NAME?</v>
      </c>
      <c r="I1916" s="3" t="e">
        <f ca="1">[1]!BexGetData("DP_1","003N8EMH8GTFRCSWKMPXRSAE6","GSON1214100721")</f>
        <v>#NAME?</v>
      </c>
      <c r="J1916" s="4" t="e">
        <f ca="1">[1]!BexGetData("DP_1","003N8EMH8GTFRCSWKMPXRSGPQ","GSON1214100721")</f>
        <v>#NAME?</v>
      </c>
      <c r="K1916" s="8" t="e">
        <f ca="1">[1]!BexGetData("DP_1","003N8EMH8GTFRIVNUPY288VJH","GSON1214100721")</f>
        <v>#NAME?</v>
      </c>
      <c r="L1916" s="8" t="e">
        <f ca="1">[1]!BexGetData("DP_1","003N8EMH8GTFRIVNUPY2891V1","GSON1214100721")</f>
        <v>#NAME?</v>
      </c>
      <c r="M1916" s="8" t="e">
        <f ca="1">[1]!BexGetData("DP_1","003N8EMH8GTFRIVOG7KG9IQXA","GSON1214100721")</f>
        <v>#NAME?</v>
      </c>
      <c r="N1916" s="8" t="e">
        <f ca="1">[1]!BexGetData("DP_1","003N8EMH8GTFRIVOG7KG9IX8U","GSON1214100721")</f>
        <v>#NAME?</v>
      </c>
      <c r="O1916" s="8" t="e">
        <f ca="1">[1]!BexGetData("DP_1","003N8EMH8GTFRIVOG7KG9J3KE","GSON1214100721")</f>
        <v>#NAME?</v>
      </c>
      <c r="P1916" s="8" t="e">
        <f ca="1">[1]!BexGetData("DP_1","003N8EMH8GTFRIVOG7KG9J9VY","GSON1214100721")</f>
        <v>#NAME?</v>
      </c>
      <c r="Q1916" s="4" t="e">
        <f ca="1">[1]!BexGetData("DP_1","00O2TNJGODT0G5Z4TTKYMM5MT","GSON1214100721")</f>
        <v>#NAME?</v>
      </c>
      <c r="R1916" s="3" t="e">
        <f ca="1">[1]!BexGetData("DP_1","00O2TNJGODT0G5Z4TTKYMMBYD","GSON1214100721")</f>
        <v>#NAME?</v>
      </c>
      <c r="S1916" s="3" t="e">
        <f ca="1">[1]!BexGetData("DP_1","00O2TNJGODT0G5Z4TTKYMMI9X","GSON1214100721")</f>
        <v>#NAME?</v>
      </c>
      <c r="T1916" s="8" t="e">
        <f ca="1">[1]!BexGetData("DP_1","00O2TNJGODT0G5Z4TTKYMMOLH","GSON1214100721")</f>
        <v>#NAME?</v>
      </c>
      <c r="U1916" s="3" t="e">
        <f ca="1">[1]!BexGetData("DP_1","00O2TNJGODT0G5Z4TTKYMMUX1","GSON1214100721")</f>
        <v>#NAME?</v>
      </c>
      <c r="V1916" s="8" t="e">
        <f ca="1">[1]!BexGetData("DP_1","00O2TNJGODT0G5Z4TTKYMN18L","GSON1214100721")</f>
        <v>#NAME?</v>
      </c>
      <c r="W1916" s="3" t="e">
        <f ca="1">[1]!BexGetData("DP_1","00O2TNJGODT0G5Z4TTKYMN7K5","GSON1214100721")</f>
        <v>#NAME?</v>
      </c>
    </row>
    <row r="1917" spans="1:23" x14ac:dyDescent="0.2">
      <c r="A1917" s="14" t="s">
        <v>443</v>
      </c>
      <c r="B1917" s="7" t="s">
        <v>1253</v>
      </c>
      <c r="C1917" s="8" t="e">
        <f ca="1">[1]!BexGetData("DP_1","003N8EMH8GTFRCSWKMPXRR8GU","GSON122")</f>
        <v>#NAME?</v>
      </c>
      <c r="D1917" s="8" t="e">
        <f ca="1">[1]!BexGetData("DP_1","003N8EMH8GTFRCSWKMPXRRESE","GSON122")</f>
        <v>#NAME?</v>
      </c>
      <c r="E1917" s="3" t="e">
        <f ca="1">[1]!BexGetData("DP_1","003N8EMH8GTFRCSWKMPXRRL3Y","GSON122")</f>
        <v>#NAME?</v>
      </c>
      <c r="F1917" s="3" t="e">
        <f ca="1">[1]!BexGetData("DP_1","003N8EMH8GTFRCSWKMPXRRRFI","GSON122")</f>
        <v>#NAME?</v>
      </c>
      <c r="G1917" s="3" t="e">
        <f ca="1">[1]!BexGetData("DP_1","003N8EMH8GTFRCSWKMPXRRXR2","GSON122")</f>
        <v>#NAME?</v>
      </c>
      <c r="H1917" s="8" t="e">
        <f ca="1">[1]!BexGetData("DP_1","003N8EMH8GTFRCSWKMPXRS42M","GSON122")</f>
        <v>#NAME?</v>
      </c>
      <c r="I1917" s="3" t="e">
        <f ca="1">[1]!BexGetData("DP_1","003N8EMH8GTFRCSWKMPXRSAE6","GSON122")</f>
        <v>#NAME?</v>
      </c>
      <c r="J1917" s="4" t="e">
        <f ca="1">[1]!BexGetData("DP_1","003N8EMH8GTFRCSWKMPXRSGPQ","GSON122")</f>
        <v>#NAME?</v>
      </c>
      <c r="K1917" s="8" t="e">
        <f ca="1">[1]!BexGetData("DP_1","003N8EMH8GTFRIVNUPY288VJH","GSON122")</f>
        <v>#NAME?</v>
      </c>
      <c r="L1917" s="8" t="e">
        <f ca="1">[1]!BexGetData("DP_1","003N8EMH8GTFRIVNUPY2891V1","GSON122")</f>
        <v>#NAME?</v>
      </c>
      <c r="M1917" s="8" t="e">
        <f ca="1">[1]!BexGetData("DP_1","003N8EMH8GTFRIVOG7KG9IQXA","GSON122")</f>
        <v>#NAME?</v>
      </c>
      <c r="N1917" s="8" t="e">
        <f ca="1">[1]!BexGetData("DP_1","003N8EMH8GTFRIVOG7KG9IX8U","GSON122")</f>
        <v>#NAME?</v>
      </c>
      <c r="O1917" s="8" t="e">
        <f ca="1">[1]!BexGetData("DP_1","003N8EMH8GTFRIVOG7KG9J3KE","GSON122")</f>
        <v>#NAME?</v>
      </c>
      <c r="P1917" s="8" t="e">
        <f ca="1">[1]!BexGetData("DP_1","003N8EMH8GTFRIVOG7KG9J9VY","GSON122")</f>
        <v>#NAME?</v>
      </c>
      <c r="Q1917" s="4" t="e">
        <f ca="1">[1]!BexGetData("DP_1","00O2TNJGODT0G5Z4TTKYMM5MT","GSON122")</f>
        <v>#NAME?</v>
      </c>
      <c r="R1917" s="3" t="e">
        <f ca="1">[1]!BexGetData("DP_1","00O2TNJGODT0G5Z4TTKYMMBYD","GSON122")</f>
        <v>#NAME?</v>
      </c>
      <c r="S1917" s="3" t="e">
        <f ca="1">[1]!BexGetData("DP_1","00O2TNJGODT0G5Z4TTKYMMI9X","GSON122")</f>
        <v>#NAME?</v>
      </c>
      <c r="T1917" s="8" t="e">
        <f ca="1">[1]!BexGetData("DP_1","00O2TNJGODT0G5Z4TTKYMMOLH","GSON122")</f>
        <v>#NAME?</v>
      </c>
      <c r="U1917" s="3" t="e">
        <f ca="1">[1]!BexGetData("DP_1","00O2TNJGODT0G5Z4TTKYMMUX1","GSON122")</f>
        <v>#NAME?</v>
      </c>
      <c r="V1917" s="8" t="e">
        <f ca="1">[1]!BexGetData("DP_1","00O2TNJGODT0G5Z4TTKYMN18L","GSON122")</f>
        <v>#NAME?</v>
      </c>
      <c r="W1917" s="3" t="e">
        <f ca="1">[1]!BexGetData("DP_1","00O2TNJGODT0G5Z4TTKYMN7K5","GSON122")</f>
        <v>#NAME?</v>
      </c>
    </row>
    <row r="1918" spans="1:23" x14ac:dyDescent="0.2">
      <c r="A1918" s="15" t="s">
        <v>1254</v>
      </c>
      <c r="B1918" s="7" t="s">
        <v>1255</v>
      </c>
      <c r="C1918" s="8" t="e">
        <f ca="1">[1]!BexGetData("DP_1","003N8EMH8GTFRCSWKMPXRR8GU","GSON1229")</f>
        <v>#NAME?</v>
      </c>
      <c r="D1918" s="8" t="e">
        <f ca="1">[1]!BexGetData("DP_1","003N8EMH8GTFRCSWKMPXRRESE","GSON1229")</f>
        <v>#NAME?</v>
      </c>
      <c r="E1918" s="3" t="e">
        <f ca="1">[1]!BexGetData("DP_1","003N8EMH8GTFRCSWKMPXRRL3Y","GSON1229")</f>
        <v>#NAME?</v>
      </c>
      <c r="F1918" s="3" t="e">
        <f ca="1">[1]!BexGetData("DP_1","003N8EMH8GTFRCSWKMPXRRRFI","GSON1229")</f>
        <v>#NAME?</v>
      </c>
      <c r="G1918" s="3" t="e">
        <f ca="1">[1]!BexGetData("DP_1","003N8EMH8GTFRCSWKMPXRRXR2","GSON1229")</f>
        <v>#NAME?</v>
      </c>
      <c r="H1918" s="8" t="e">
        <f ca="1">[1]!BexGetData("DP_1","003N8EMH8GTFRCSWKMPXRS42M","GSON1229")</f>
        <v>#NAME?</v>
      </c>
      <c r="I1918" s="3" t="e">
        <f ca="1">[1]!BexGetData("DP_1","003N8EMH8GTFRCSWKMPXRSAE6","GSON1229")</f>
        <v>#NAME?</v>
      </c>
      <c r="J1918" s="4" t="e">
        <f ca="1">[1]!BexGetData("DP_1","003N8EMH8GTFRCSWKMPXRSGPQ","GSON1229")</f>
        <v>#NAME?</v>
      </c>
      <c r="K1918" s="8" t="e">
        <f ca="1">[1]!BexGetData("DP_1","003N8EMH8GTFRIVNUPY288VJH","GSON1229")</f>
        <v>#NAME?</v>
      </c>
      <c r="L1918" s="8" t="e">
        <f ca="1">[1]!BexGetData("DP_1","003N8EMH8GTFRIVNUPY2891V1","GSON1229")</f>
        <v>#NAME?</v>
      </c>
      <c r="M1918" s="8" t="e">
        <f ca="1">[1]!BexGetData("DP_1","003N8EMH8GTFRIVOG7KG9IQXA","GSON1229")</f>
        <v>#NAME?</v>
      </c>
      <c r="N1918" s="8" t="e">
        <f ca="1">[1]!BexGetData("DP_1","003N8EMH8GTFRIVOG7KG9IX8U","GSON1229")</f>
        <v>#NAME?</v>
      </c>
      <c r="O1918" s="8" t="e">
        <f ca="1">[1]!BexGetData("DP_1","003N8EMH8GTFRIVOG7KG9J3KE","GSON1229")</f>
        <v>#NAME?</v>
      </c>
      <c r="P1918" s="8" t="e">
        <f ca="1">[1]!BexGetData("DP_1","003N8EMH8GTFRIVOG7KG9J9VY","GSON1229")</f>
        <v>#NAME?</v>
      </c>
      <c r="Q1918" s="4" t="e">
        <f ca="1">[1]!BexGetData("DP_1","00O2TNJGODT0G5Z4TTKYMM5MT","GSON1229")</f>
        <v>#NAME?</v>
      </c>
      <c r="R1918" s="3" t="e">
        <f ca="1">[1]!BexGetData("DP_1","00O2TNJGODT0G5Z4TTKYMMBYD","GSON1229")</f>
        <v>#NAME?</v>
      </c>
      <c r="S1918" s="3" t="e">
        <f ca="1">[1]!BexGetData("DP_1","00O2TNJGODT0G5Z4TTKYMMI9X","GSON1229")</f>
        <v>#NAME?</v>
      </c>
      <c r="T1918" s="8" t="e">
        <f ca="1">[1]!BexGetData("DP_1","00O2TNJGODT0G5Z4TTKYMMOLH","GSON1229")</f>
        <v>#NAME?</v>
      </c>
      <c r="U1918" s="3" t="e">
        <f ca="1">[1]!BexGetData("DP_1","00O2TNJGODT0G5Z4TTKYMMUX1","GSON1229")</f>
        <v>#NAME?</v>
      </c>
      <c r="V1918" s="8" t="e">
        <f ca="1">[1]!BexGetData("DP_1","00O2TNJGODT0G5Z4TTKYMN18L","GSON1229")</f>
        <v>#NAME?</v>
      </c>
      <c r="W1918" s="3" t="e">
        <f ca="1">[1]!BexGetData("DP_1","00O2TNJGODT0G5Z4TTKYMN7K5","GSON1229")</f>
        <v>#NAME?</v>
      </c>
    </row>
    <row r="1919" spans="1:23" x14ac:dyDescent="0.2">
      <c r="A1919" s="16" t="s">
        <v>1251</v>
      </c>
      <c r="B1919" s="7" t="s">
        <v>1256</v>
      </c>
      <c r="C1919" s="8" t="e">
        <f ca="1">[1]!BexGetData("DP_1","003N8EMH8GTFRCSWKMPXRR8GU","GSON1229100002")</f>
        <v>#NAME?</v>
      </c>
      <c r="D1919" s="8" t="e">
        <f ca="1">[1]!BexGetData("DP_1","003N8EMH8GTFRCSWKMPXRRESE","GSON1229100002")</f>
        <v>#NAME?</v>
      </c>
      <c r="E1919" s="3" t="e">
        <f ca="1">[1]!BexGetData("DP_1","003N8EMH8GTFRCSWKMPXRRL3Y","GSON1229100002")</f>
        <v>#NAME?</v>
      </c>
      <c r="F1919" s="3" t="e">
        <f ca="1">[1]!BexGetData("DP_1","003N8EMH8GTFRCSWKMPXRRRFI","GSON1229100002")</f>
        <v>#NAME?</v>
      </c>
      <c r="G1919" s="3" t="e">
        <f ca="1">[1]!BexGetData("DP_1","003N8EMH8GTFRCSWKMPXRRXR2","GSON1229100002")</f>
        <v>#NAME?</v>
      </c>
      <c r="H1919" s="8" t="e">
        <f ca="1">[1]!BexGetData("DP_1","003N8EMH8GTFRCSWKMPXRS42M","GSON1229100002")</f>
        <v>#NAME?</v>
      </c>
      <c r="I1919" s="3" t="e">
        <f ca="1">[1]!BexGetData("DP_1","003N8EMH8GTFRCSWKMPXRSAE6","GSON1229100002")</f>
        <v>#NAME?</v>
      </c>
      <c r="J1919" s="4" t="e">
        <f ca="1">[1]!BexGetData("DP_1","003N8EMH8GTFRCSWKMPXRSGPQ","GSON1229100002")</f>
        <v>#NAME?</v>
      </c>
      <c r="K1919" s="8" t="e">
        <f ca="1">[1]!BexGetData("DP_1","003N8EMH8GTFRIVNUPY288VJH","GSON1229100002")</f>
        <v>#NAME?</v>
      </c>
      <c r="L1919" s="8" t="e">
        <f ca="1">[1]!BexGetData("DP_1","003N8EMH8GTFRIVNUPY2891V1","GSON1229100002")</f>
        <v>#NAME?</v>
      </c>
      <c r="M1919" s="8" t="e">
        <f ca="1">[1]!BexGetData("DP_1","003N8EMH8GTFRIVOG7KG9IQXA","GSON1229100002")</f>
        <v>#NAME?</v>
      </c>
      <c r="N1919" s="8" t="e">
        <f ca="1">[1]!BexGetData("DP_1","003N8EMH8GTFRIVOG7KG9IX8U","GSON1229100002")</f>
        <v>#NAME?</v>
      </c>
      <c r="O1919" s="8" t="e">
        <f ca="1">[1]!BexGetData("DP_1","003N8EMH8GTFRIVOG7KG9J3KE","GSON1229100002")</f>
        <v>#NAME?</v>
      </c>
      <c r="P1919" s="8" t="e">
        <f ca="1">[1]!BexGetData("DP_1","003N8EMH8GTFRIVOG7KG9J9VY","GSON1229100002")</f>
        <v>#NAME?</v>
      </c>
      <c r="Q1919" s="4" t="e">
        <f ca="1">[1]!BexGetData("DP_1","00O2TNJGODT0G5Z4TTKYMM5MT","GSON1229100002")</f>
        <v>#NAME?</v>
      </c>
      <c r="R1919" s="3" t="e">
        <f ca="1">[1]!BexGetData("DP_1","00O2TNJGODT0G5Z4TTKYMMBYD","GSON1229100002")</f>
        <v>#NAME?</v>
      </c>
      <c r="S1919" s="3" t="e">
        <f ca="1">[1]!BexGetData("DP_1","00O2TNJGODT0G5Z4TTKYMMI9X","GSON1229100002")</f>
        <v>#NAME?</v>
      </c>
      <c r="T1919" s="8" t="e">
        <f ca="1">[1]!BexGetData("DP_1","00O2TNJGODT0G5Z4TTKYMMOLH","GSON1229100002")</f>
        <v>#NAME?</v>
      </c>
      <c r="U1919" s="3" t="e">
        <f ca="1">[1]!BexGetData("DP_1","00O2TNJGODT0G5Z4TTKYMMUX1","GSON1229100002")</f>
        <v>#NAME?</v>
      </c>
      <c r="V1919" s="8" t="e">
        <f ca="1">[1]!BexGetData("DP_1","00O2TNJGODT0G5Z4TTKYMN18L","GSON1229100002")</f>
        <v>#NAME?</v>
      </c>
      <c r="W1919" s="3" t="e">
        <f ca="1">[1]!BexGetData("DP_1","00O2TNJGODT0G5Z4TTKYMN7K5","GSON1229100002")</f>
        <v>#NAME?</v>
      </c>
    </row>
    <row r="1920" spans="1:23" x14ac:dyDescent="0.2">
      <c r="A1920" s="14" t="s">
        <v>75</v>
      </c>
      <c r="B1920" s="7" t="s">
        <v>76</v>
      </c>
      <c r="C1920" s="3" t="e">
        <f ca="1">[1]!BexGetData("DP_1","003N8EMH8GTFRCSWKMPXRR8GU","GSON123")</f>
        <v>#NAME?</v>
      </c>
      <c r="D1920" s="3" t="e">
        <f ca="1">[1]!BexGetData("DP_1","003N8EMH8GTFRCSWKMPXRRESE","GSON123")</f>
        <v>#NAME?</v>
      </c>
      <c r="E1920" s="3" t="e">
        <f ca="1">[1]!BexGetData("DP_1","003N8EMH8GTFRCSWKMPXRRL3Y","GSON123")</f>
        <v>#NAME?</v>
      </c>
      <c r="F1920" s="3" t="e">
        <f ca="1">[1]!BexGetData("DP_1","003N8EMH8GTFRCSWKMPXRRRFI","GSON123")</f>
        <v>#NAME?</v>
      </c>
      <c r="G1920" s="3" t="e">
        <f ca="1">[1]!BexGetData("DP_1","003N8EMH8GTFRCSWKMPXRRXR2","GSON123")</f>
        <v>#NAME?</v>
      </c>
      <c r="H1920" s="3" t="e">
        <f ca="1">[1]!BexGetData("DP_1","003N8EMH8GTFRCSWKMPXRS42M","GSON123")</f>
        <v>#NAME?</v>
      </c>
      <c r="I1920" s="3" t="e">
        <f ca="1">[1]!BexGetData("DP_1","003N8EMH8GTFRCSWKMPXRSAE6","GSON123")</f>
        <v>#NAME?</v>
      </c>
      <c r="J1920" s="4" t="e">
        <f ca="1">[1]!BexGetData("DP_1","003N8EMH8GTFRCSWKMPXRSGPQ","GSON123")</f>
        <v>#NAME?</v>
      </c>
      <c r="K1920" s="3" t="e">
        <f ca="1">[1]!BexGetData("DP_1","003N8EMH8GTFRIVNUPY288VJH","GSON123")</f>
        <v>#NAME?</v>
      </c>
      <c r="L1920" s="3" t="e">
        <f ca="1">[1]!BexGetData("DP_1","003N8EMH8GTFRIVNUPY2891V1","GSON123")</f>
        <v>#NAME?</v>
      </c>
      <c r="M1920" s="8" t="e">
        <f ca="1">[1]!BexGetData("DP_1","003N8EMH8GTFRIVOG7KG9IQXA","GSON123")</f>
        <v>#NAME?</v>
      </c>
      <c r="N1920" s="3" t="e">
        <f ca="1">[1]!BexGetData("DP_1","003N8EMH8GTFRIVOG7KG9IX8U","GSON123")</f>
        <v>#NAME?</v>
      </c>
      <c r="O1920" s="8" t="e">
        <f ca="1">[1]!BexGetData("DP_1","003N8EMH8GTFRIVOG7KG9J3KE","GSON123")</f>
        <v>#NAME?</v>
      </c>
      <c r="P1920" s="3" t="e">
        <f ca="1">[1]!BexGetData("DP_1","003N8EMH8GTFRIVOG7KG9J9VY","GSON123")</f>
        <v>#NAME?</v>
      </c>
      <c r="Q1920" s="4" t="e">
        <f ca="1">[1]!BexGetData("DP_1","00O2TNJGODT0G5Z4TTKYMM5MT","GSON123")</f>
        <v>#NAME?</v>
      </c>
      <c r="R1920" s="3" t="e">
        <f ca="1">[1]!BexGetData("DP_1","00O2TNJGODT0G5Z4TTKYMMBYD","GSON123")</f>
        <v>#NAME?</v>
      </c>
      <c r="S1920" s="3" t="e">
        <f ca="1">[1]!BexGetData("DP_1","00O2TNJGODT0G5Z4TTKYMMI9X","GSON123")</f>
        <v>#NAME?</v>
      </c>
      <c r="T1920" s="8" t="e">
        <f ca="1">[1]!BexGetData("DP_1","00O2TNJGODT0G5Z4TTKYMMOLH","GSON123")</f>
        <v>#NAME?</v>
      </c>
      <c r="U1920" s="3" t="e">
        <f ca="1">[1]!BexGetData("DP_1","00O2TNJGODT0G5Z4TTKYMMUX1","GSON123")</f>
        <v>#NAME?</v>
      </c>
      <c r="V1920" s="8" t="e">
        <f ca="1">[1]!BexGetData("DP_1","00O2TNJGODT0G5Z4TTKYMN18L","GSON123")</f>
        <v>#NAME?</v>
      </c>
      <c r="W1920" s="3" t="e">
        <f ca="1">[1]!BexGetData("DP_1","00O2TNJGODT0G5Z4TTKYMN7K5","GSON123")</f>
        <v>#NAME?</v>
      </c>
    </row>
    <row r="1921" spans="1:23" x14ac:dyDescent="0.2">
      <c r="A1921" s="15" t="s">
        <v>7</v>
      </c>
      <c r="B1921" s="7" t="s">
        <v>77</v>
      </c>
      <c r="C1921" s="3" t="e">
        <f ca="1">[1]!BexGetData("DP_1","003N8EMH8GTFRCSWKMPXRR8GU","GSON1231")</f>
        <v>#NAME?</v>
      </c>
      <c r="D1921" s="3" t="e">
        <f ca="1">[1]!BexGetData("DP_1","003N8EMH8GTFRCSWKMPXRRESE","GSON1231")</f>
        <v>#NAME?</v>
      </c>
      <c r="E1921" s="3" t="e">
        <f ca="1">[1]!BexGetData("DP_1","003N8EMH8GTFRCSWKMPXRRL3Y","GSON1231")</f>
        <v>#NAME?</v>
      </c>
      <c r="F1921" s="3" t="e">
        <f ca="1">[1]!BexGetData("DP_1","003N8EMH8GTFRCSWKMPXRRRFI","GSON1231")</f>
        <v>#NAME?</v>
      </c>
      <c r="G1921" s="3" t="e">
        <f ca="1">[1]!BexGetData("DP_1","003N8EMH8GTFRCSWKMPXRRXR2","GSON1231")</f>
        <v>#NAME?</v>
      </c>
      <c r="H1921" s="3" t="e">
        <f ca="1">[1]!BexGetData("DP_1","003N8EMH8GTFRCSWKMPXRS42M","GSON1231")</f>
        <v>#NAME?</v>
      </c>
      <c r="I1921" s="3" t="e">
        <f ca="1">[1]!BexGetData("DP_1","003N8EMH8GTFRCSWKMPXRSAE6","GSON1231")</f>
        <v>#NAME?</v>
      </c>
      <c r="J1921" s="4" t="e">
        <f ca="1">[1]!BexGetData("DP_1","003N8EMH8GTFRCSWKMPXRSGPQ","GSON1231")</f>
        <v>#NAME?</v>
      </c>
      <c r="K1921" s="3" t="e">
        <f ca="1">[1]!BexGetData("DP_1","003N8EMH8GTFRIVNUPY288VJH","GSON1231")</f>
        <v>#NAME?</v>
      </c>
      <c r="L1921" s="3" t="e">
        <f ca="1">[1]!BexGetData("DP_1","003N8EMH8GTFRIVNUPY2891V1","GSON1231")</f>
        <v>#NAME?</v>
      </c>
      <c r="M1921" s="8" t="e">
        <f ca="1">[1]!BexGetData("DP_1","003N8EMH8GTFRIVOG7KG9IQXA","GSON1231")</f>
        <v>#NAME?</v>
      </c>
      <c r="N1921" s="3" t="e">
        <f ca="1">[1]!BexGetData("DP_1","003N8EMH8GTFRIVOG7KG9IX8U","GSON1231")</f>
        <v>#NAME?</v>
      </c>
      <c r="O1921" s="8" t="e">
        <f ca="1">[1]!BexGetData("DP_1","003N8EMH8GTFRIVOG7KG9J3KE","GSON1231")</f>
        <v>#NAME?</v>
      </c>
      <c r="P1921" s="3" t="e">
        <f ca="1">[1]!BexGetData("DP_1","003N8EMH8GTFRIVOG7KG9J9VY","GSON1231")</f>
        <v>#NAME?</v>
      </c>
      <c r="Q1921" s="4" t="e">
        <f ca="1">[1]!BexGetData("DP_1","00O2TNJGODT0G5Z4TTKYMM5MT","GSON1231")</f>
        <v>#NAME?</v>
      </c>
      <c r="R1921" s="3" t="e">
        <f ca="1">[1]!BexGetData("DP_1","00O2TNJGODT0G5Z4TTKYMMBYD","GSON1231")</f>
        <v>#NAME?</v>
      </c>
      <c r="S1921" s="3" t="e">
        <f ca="1">[1]!BexGetData("DP_1","00O2TNJGODT0G5Z4TTKYMMI9X","GSON1231")</f>
        <v>#NAME?</v>
      </c>
      <c r="T1921" s="8" t="e">
        <f ca="1">[1]!BexGetData("DP_1","00O2TNJGODT0G5Z4TTKYMMOLH","GSON1231")</f>
        <v>#NAME?</v>
      </c>
      <c r="U1921" s="3" t="e">
        <f ca="1">[1]!BexGetData("DP_1","00O2TNJGODT0G5Z4TTKYMMUX1","GSON1231")</f>
        <v>#NAME?</v>
      </c>
      <c r="V1921" s="8" t="e">
        <f ca="1">[1]!BexGetData("DP_1","00O2TNJGODT0G5Z4TTKYMN18L","GSON1231")</f>
        <v>#NAME?</v>
      </c>
      <c r="W1921" s="3" t="e">
        <f ca="1">[1]!BexGetData("DP_1","00O2TNJGODT0G5Z4TTKYMN7K5","GSON1231")</f>
        <v>#NAME?</v>
      </c>
    </row>
    <row r="1922" spans="1:23" x14ac:dyDescent="0.2">
      <c r="A1922" s="16" t="s">
        <v>4634</v>
      </c>
      <c r="B1922" s="7" t="s">
        <v>4635</v>
      </c>
      <c r="C1922" s="8" t="e">
        <f ca="1">[1]!BexGetData("DP_1","003N8EMH8GTFRCSWKMPXRR8GU","GSON1231158100")</f>
        <v>#NAME?</v>
      </c>
      <c r="D1922" s="8" t="e">
        <f ca="1">[1]!BexGetData("DP_1","003N8EMH8GTFRCSWKMPXRRESE","GSON1231158100")</f>
        <v>#NAME?</v>
      </c>
      <c r="E1922" s="3" t="e">
        <f ca="1">[1]!BexGetData("DP_1","003N8EMH8GTFRCSWKMPXRRL3Y","GSON1231158100")</f>
        <v>#NAME?</v>
      </c>
      <c r="F1922" s="3" t="e">
        <f ca="1">[1]!BexGetData("DP_1","003N8EMH8GTFRCSWKMPXRRRFI","GSON1231158100")</f>
        <v>#NAME?</v>
      </c>
      <c r="G1922" s="3" t="e">
        <f ca="1">[1]!BexGetData("DP_1","003N8EMH8GTFRCSWKMPXRRXR2","GSON1231158100")</f>
        <v>#NAME?</v>
      </c>
      <c r="H1922" s="3" t="e">
        <f ca="1">[1]!BexGetData("DP_1","003N8EMH8GTFRCSWKMPXRS42M","GSON1231158100")</f>
        <v>#NAME?</v>
      </c>
      <c r="I1922" s="3" t="e">
        <f ca="1">[1]!BexGetData("DP_1","003N8EMH8GTFRCSWKMPXRSAE6","GSON1231158100")</f>
        <v>#NAME?</v>
      </c>
      <c r="J1922" s="4" t="e">
        <f ca="1">[1]!BexGetData("DP_1","003N8EMH8GTFRCSWKMPXRSGPQ","GSON1231158100")</f>
        <v>#NAME?</v>
      </c>
      <c r="K1922" s="8" t="e">
        <f ca="1">[1]!BexGetData("DP_1","003N8EMH8GTFRIVNUPY288VJH","GSON1231158100")</f>
        <v>#NAME?</v>
      </c>
      <c r="L1922" s="8" t="e">
        <f ca="1">[1]!BexGetData("DP_1","003N8EMH8GTFRIVNUPY2891V1","GSON1231158100")</f>
        <v>#NAME?</v>
      </c>
      <c r="M1922" s="8" t="e">
        <f ca="1">[1]!BexGetData("DP_1","003N8EMH8GTFRIVOG7KG9IQXA","GSON1231158100")</f>
        <v>#NAME?</v>
      </c>
      <c r="N1922" s="8" t="e">
        <f ca="1">[1]!BexGetData("DP_1","003N8EMH8GTFRIVOG7KG9IX8U","GSON1231158100")</f>
        <v>#NAME?</v>
      </c>
      <c r="O1922" s="8" t="e">
        <f ca="1">[1]!BexGetData("DP_1","003N8EMH8GTFRIVOG7KG9J3KE","GSON1231158100")</f>
        <v>#NAME?</v>
      </c>
      <c r="P1922" s="8" t="e">
        <f ca="1">[1]!BexGetData("DP_1","003N8EMH8GTFRIVOG7KG9J9VY","GSON1231158100")</f>
        <v>#NAME?</v>
      </c>
      <c r="Q1922" s="4" t="e">
        <f ca="1">[1]!BexGetData("DP_1","00O2TNJGODT0G5Z4TTKYMM5MT","GSON1231158100")</f>
        <v>#NAME?</v>
      </c>
      <c r="R1922" s="3" t="e">
        <f ca="1">[1]!BexGetData("DP_1","00O2TNJGODT0G5Z4TTKYMMBYD","GSON1231158100")</f>
        <v>#NAME?</v>
      </c>
      <c r="S1922" s="3" t="e">
        <f ca="1">[1]!BexGetData("DP_1","00O2TNJGODT0G5Z4TTKYMMI9X","GSON1231158100")</f>
        <v>#NAME?</v>
      </c>
      <c r="T1922" s="3" t="e">
        <f ca="1">[1]!BexGetData("DP_1","00O2TNJGODT0G5Z4TTKYMMOLH","GSON1231158100")</f>
        <v>#NAME?</v>
      </c>
      <c r="U1922" s="8" t="e">
        <f ca="1">[1]!BexGetData("DP_1","00O2TNJGODT0G5Z4TTKYMMUX1","GSON1231158100")</f>
        <v>#NAME?</v>
      </c>
      <c r="V1922" s="3" t="e">
        <f ca="1">[1]!BexGetData("DP_1","00O2TNJGODT0G5Z4TTKYMN18L","GSON1231158100")</f>
        <v>#NAME?</v>
      </c>
      <c r="W1922" s="8" t="e">
        <f ca="1">[1]!BexGetData("DP_1","00O2TNJGODT0G5Z4TTKYMN7K5","GSON1231158100")</f>
        <v>#NAME?</v>
      </c>
    </row>
    <row r="1923" spans="1:23" x14ac:dyDescent="0.2">
      <c r="A1923" s="16" t="s">
        <v>1257</v>
      </c>
      <c r="B1923" s="7" t="s">
        <v>332</v>
      </c>
      <c r="C1923" s="3" t="e">
        <f ca="1">[1]!BexGetData("DP_1","003N8EMH8GTFRCSWKMPXRR8GU","GSON1231158101")</f>
        <v>#NAME?</v>
      </c>
      <c r="D1923" s="3" t="e">
        <f ca="1">[1]!BexGetData("DP_1","003N8EMH8GTFRCSWKMPXRRESE","GSON1231158101")</f>
        <v>#NAME?</v>
      </c>
      <c r="E1923" s="3" t="e">
        <f ca="1">[1]!BexGetData("DP_1","003N8EMH8GTFRCSWKMPXRRL3Y","GSON1231158101")</f>
        <v>#NAME?</v>
      </c>
      <c r="F1923" s="3" t="e">
        <f ca="1">[1]!BexGetData("DP_1","003N8EMH8GTFRCSWKMPXRRRFI","GSON1231158101")</f>
        <v>#NAME?</v>
      </c>
      <c r="G1923" s="3" t="e">
        <f ca="1">[1]!BexGetData("DP_1","003N8EMH8GTFRCSWKMPXRRXR2","GSON1231158101")</f>
        <v>#NAME?</v>
      </c>
      <c r="H1923" s="8" t="e">
        <f ca="1">[1]!BexGetData("DP_1","003N8EMH8GTFRCSWKMPXRS42M","GSON1231158101")</f>
        <v>#NAME?</v>
      </c>
      <c r="I1923" s="3" t="e">
        <f ca="1">[1]!BexGetData("DP_1","003N8EMH8GTFRCSWKMPXRSAE6","GSON1231158101")</f>
        <v>#NAME?</v>
      </c>
      <c r="J1923" s="4" t="e">
        <f ca="1">[1]!BexGetData("DP_1","003N8EMH8GTFRCSWKMPXRSGPQ","GSON1231158101")</f>
        <v>#NAME?</v>
      </c>
      <c r="K1923" s="3" t="e">
        <f ca="1">[1]!BexGetData("DP_1","003N8EMH8GTFRIVNUPY288VJH","GSON1231158101")</f>
        <v>#NAME?</v>
      </c>
      <c r="L1923" s="3" t="e">
        <f ca="1">[1]!BexGetData("DP_1","003N8EMH8GTFRIVNUPY2891V1","GSON1231158101")</f>
        <v>#NAME?</v>
      </c>
      <c r="M1923" s="8" t="e">
        <f ca="1">[1]!BexGetData("DP_1","003N8EMH8GTFRIVOG7KG9IQXA","GSON1231158101")</f>
        <v>#NAME?</v>
      </c>
      <c r="N1923" s="3" t="e">
        <f ca="1">[1]!BexGetData("DP_1","003N8EMH8GTFRIVOG7KG9IX8U","GSON1231158101")</f>
        <v>#NAME?</v>
      </c>
      <c r="O1923" s="8" t="e">
        <f ca="1">[1]!BexGetData("DP_1","003N8EMH8GTFRIVOG7KG9J3KE","GSON1231158101")</f>
        <v>#NAME?</v>
      </c>
      <c r="P1923" s="3" t="e">
        <f ca="1">[1]!BexGetData("DP_1","003N8EMH8GTFRIVOG7KG9J9VY","GSON1231158101")</f>
        <v>#NAME?</v>
      </c>
      <c r="Q1923" s="4" t="e">
        <f ca="1">[1]!BexGetData("DP_1","00O2TNJGODT0G5Z4TTKYMM5MT","GSON1231158101")</f>
        <v>#NAME?</v>
      </c>
      <c r="R1923" s="3" t="e">
        <f ca="1">[1]!BexGetData("DP_1","00O2TNJGODT0G5Z4TTKYMMBYD","GSON1231158101")</f>
        <v>#NAME?</v>
      </c>
      <c r="S1923" s="3" t="e">
        <f ca="1">[1]!BexGetData("DP_1","00O2TNJGODT0G5Z4TTKYMMI9X","GSON1231158101")</f>
        <v>#NAME?</v>
      </c>
      <c r="T1923" s="8" t="e">
        <f ca="1">[1]!BexGetData("DP_1","00O2TNJGODT0G5Z4TTKYMMOLH","GSON1231158101")</f>
        <v>#NAME?</v>
      </c>
      <c r="U1923" s="3" t="e">
        <f ca="1">[1]!BexGetData("DP_1","00O2TNJGODT0G5Z4TTKYMMUX1","GSON1231158101")</f>
        <v>#NAME?</v>
      </c>
      <c r="V1923" s="8" t="e">
        <f ca="1">[1]!BexGetData("DP_1","00O2TNJGODT0G5Z4TTKYMN18L","GSON1231158101")</f>
        <v>#NAME?</v>
      </c>
      <c r="W1923" s="3" t="e">
        <f ca="1">[1]!BexGetData("DP_1","00O2TNJGODT0G5Z4TTKYMN7K5","GSON1231158101")</f>
        <v>#NAME?</v>
      </c>
    </row>
    <row r="1924" spans="1:23" x14ac:dyDescent="0.2">
      <c r="A1924" s="15" t="s">
        <v>1258</v>
      </c>
      <c r="B1924" s="7" t="s">
        <v>1259</v>
      </c>
      <c r="C1924" s="8" t="e">
        <f ca="1">[1]!BexGetData("DP_1","003N8EMH8GTFRCSWKMPXRR8GU","GSON1232")</f>
        <v>#NAME?</v>
      </c>
      <c r="D1924" s="3" t="e">
        <f ca="1">[1]!BexGetData("DP_1","003N8EMH8GTFRCSWKMPXRRESE","GSON1232")</f>
        <v>#NAME?</v>
      </c>
      <c r="E1924" s="3" t="e">
        <f ca="1">[1]!BexGetData("DP_1","003N8EMH8GTFRCSWKMPXRRL3Y","GSON1232")</f>
        <v>#NAME?</v>
      </c>
      <c r="F1924" s="3" t="e">
        <f ca="1">[1]!BexGetData("DP_1","003N8EMH8GTFRCSWKMPXRRRFI","GSON1232")</f>
        <v>#NAME?</v>
      </c>
      <c r="G1924" s="3" t="e">
        <f ca="1">[1]!BexGetData("DP_1","003N8EMH8GTFRCSWKMPXRRXR2","GSON1232")</f>
        <v>#NAME?</v>
      </c>
      <c r="H1924" s="3" t="e">
        <f ca="1">[1]!BexGetData("DP_1","003N8EMH8GTFRCSWKMPXRS42M","GSON1232")</f>
        <v>#NAME?</v>
      </c>
      <c r="I1924" s="3" t="e">
        <f ca="1">[1]!BexGetData("DP_1","003N8EMH8GTFRCSWKMPXRSAE6","GSON1232")</f>
        <v>#NAME?</v>
      </c>
      <c r="J1924" s="4" t="e">
        <f ca="1">[1]!BexGetData("DP_1","003N8EMH8GTFRCSWKMPXRSGPQ","GSON1232")</f>
        <v>#NAME?</v>
      </c>
      <c r="K1924" s="3" t="e">
        <f ca="1">[1]!BexGetData("DP_1","003N8EMH8GTFRIVNUPY288VJH","GSON1232")</f>
        <v>#NAME?</v>
      </c>
      <c r="L1924" s="3" t="e">
        <f ca="1">[1]!BexGetData("DP_1","003N8EMH8GTFRIVNUPY2891V1","GSON1232")</f>
        <v>#NAME?</v>
      </c>
      <c r="M1924" s="3" t="e">
        <f ca="1">[1]!BexGetData("DP_1","003N8EMH8GTFRIVOG7KG9IQXA","GSON1232")</f>
        <v>#NAME?</v>
      </c>
      <c r="N1924" s="8" t="e">
        <f ca="1">[1]!BexGetData("DP_1","003N8EMH8GTFRIVOG7KG9IX8U","GSON1232")</f>
        <v>#NAME?</v>
      </c>
      <c r="O1924" s="3" t="e">
        <f ca="1">[1]!BexGetData("DP_1","003N8EMH8GTFRIVOG7KG9J3KE","GSON1232")</f>
        <v>#NAME?</v>
      </c>
      <c r="P1924" s="8" t="e">
        <f ca="1">[1]!BexGetData("DP_1","003N8EMH8GTFRIVOG7KG9J9VY","GSON1232")</f>
        <v>#NAME?</v>
      </c>
      <c r="Q1924" s="4" t="e">
        <f ca="1">[1]!BexGetData("DP_1","00O2TNJGODT0G5Z4TTKYMM5MT","GSON1232")</f>
        <v>#NAME?</v>
      </c>
      <c r="R1924" s="3" t="e">
        <f ca="1">[1]!BexGetData("DP_1","00O2TNJGODT0G5Z4TTKYMMBYD","GSON1232")</f>
        <v>#NAME?</v>
      </c>
      <c r="S1924" s="3" t="e">
        <f ca="1">[1]!BexGetData("DP_1","00O2TNJGODT0G5Z4TTKYMMI9X","GSON1232")</f>
        <v>#NAME?</v>
      </c>
      <c r="T1924" s="8" t="e">
        <f ca="1">[1]!BexGetData("DP_1","00O2TNJGODT0G5Z4TTKYMMOLH","GSON1232")</f>
        <v>#NAME?</v>
      </c>
      <c r="U1924" s="3" t="e">
        <f ca="1">[1]!BexGetData("DP_1","00O2TNJGODT0G5Z4TTKYMMUX1","GSON1232")</f>
        <v>#NAME?</v>
      </c>
      <c r="V1924" s="8" t="e">
        <f ca="1">[1]!BexGetData("DP_1","00O2TNJGODT0G5Z4TTKYMN18L","GSON1232")</f>
        <v>#NAME?</v>
      </c>
      <c r="W1924" s="3" t="e">
        <f ca="1">[1]!BexGetData("DP_1","00O2TNJGODT0G5Z4TTKYMN7K5","GSON1232")</f>
        <v>#NAME?</v>
      </c>
    </row>
    <row r="1925" spans="1:23" x14ac:dyDescent="0.2">
      <c r="A1925" s="16" t="s">
        <v>1260</v>
      </c>
      <c r="B1925" s="7" t="s">
        <v>1261</v>
      </c>
      <c r="C1925" s="8" t="e">
        <f ca="1">[1]!BexGetData("DP_1","003N8EMH8GTFRCSWKMPXRR8GU","GSON1232158200")</f>
        <v>#NAME?</v>
      </c>
      <c r="D1925" s="8" t="e">
        <f ca="1">[1]!BexGetData("DP_1","003N8EMH8GTFRCSWKMPXRRESE","GSON1232158200")</f>
        <v>#NAME?</v>
      </c>
      <c r="E1925" s="3" t="e">
        <f ca="1">[1]!BexGetData("DP_1","003N8EMH8GTFRCSWKMPXRRL3Y","GSON1232158200")</f>
        <v>#NAME?</v>
      </c>
      <c r="F1925" s="3" t="e">
        <f ca="1">[1]!BexGetData("DP_1","003N8EMH8GTFRCSWKMPXRRRFI","GSON1232158200")</f>
        <v>#NAME?</v>
      </c>
      <c r="G1925" s="3" t="e">
        <f ca="1">[1]!BexGetData("DP_1","003N8EMH8GTFRCSWKMPXRRXR2","GSON1232158200")</f>
        <v>#NAME?</v>
      </c>
      <c r="H1925" s="3" t="e">
        <f ca="1">[1]!BexGetData("DP_1","003N8EMH8GTFRCSWKMPXRS42M","GSON1232158200")</f>
        <v>#NAME?</v>
      </c>
      <c r="I1925" s="3" t="e">
        <f ca="1">[1]!BexGetData("DP_1","003N8EMH8GTFRCSWKMPXRSAE6","GSON1232158200")</f>
        <v>#NAME?</v>
      </c>
      <c r="J1925" s="4" t="e">
        <f ca="1">[1]!BexGetData("DP_1","003N8EMH8GTFRCSWKMPXRSGPQ","GSON1232158200")</f>
        <v>#NAME?</v>
      </c>
      <c r="K1925" s="8" t="e">
        <f ca="1">[1]!BexGetData("DP_1","003N8EMH8GTFRIVNUPY288VJH","GSON1232158200")</f>
        <v>#NAME?</v>
      </c>
      <c r="L1925" s="8" t="e">
        <f ca="1">[1]!BexGetData("DP_1","003N8EMH8GTFRIVNUPY2891V1","GSON1232158200")</f>
        <v>#NAME?</v>
      </c>
      <c r="M1925" s="8" t="e">
        <f ca="1">[1]!BexGetData("DP_1","003N8EMH8GTFRIVOG7KG9IQXA","GSON1232158200")</f>
        <v>#NAME?</v>
      </c>
      <c r="N1925" s="8" t="e">
        <f ca="1">[1]!BexGetData("DP_1","003N8EMH8GTFRIVOG7KG9IX8U","GSON1232158200")</f>
        <v>#NAME?</v>
      </c>
      <c r="O1925" s="8" t="e">
        <f ca="1">[1]!BexGetData("DP_1","003N8EMH8GTFRIVOG7KG9J3KE","GSON1232158200")</f>
        <v>#NAME?</v>
      </c>
      <c r="P1925" s="8" t="e">
        <f ca="1">[1]!BexGetData("DP_1","003N8EMH8GTFRIVOG7KG9J9VY","GSON1232158200")</f>
        <v>#NAME?</v>
      </c>
      <c r="Q1925" s="4" t="e">
        <f ca="1">[1]!BexGetData("DP_1","00O2TNJGODT0G5Z4TTKYMM5MT","GSON1232158200")</f>
        <v>#NAME?</v>
      </c>
      <c r="R1925" s="3" t="e">
        <f ca="1">[1]!BexGetData("DP_1","00O2TNJGODT0G5Z4TTKYMMBYD","GSON1232158200")</f>
        <v>#NAME?</v>
      </c>
      <c r="S1925" s="3" t="e">
        <f ca="1">[1]!BexGetData("DP_1","00O2TNJGODT0G5Z4TTKYMMI9X","GSON1232158200")</f>
        <v>#NAME?</v>
      </c>
      <c r="T1925" s="3" t="e">
        <f ca="1">[1]!BexGetData("DP_1","00O2TNJGODT0G5Z4TTKYMMOLH","GSON1232158200")</f>
        <v>#NAME?</v>
      </c>
      <c r="U1925" s="8" t="e">
        <f ca="1">[1]!BexGetData("DP_1","00O2TNJGODT0G5Z4TTKYMMUX1","GSON1232158200")</f>
        <v>#NAME?</v>
      </c>
      <c r="V1925" s="3" t="e">
        <f ca="1">[1]!BexGetData("DP_1","00O2TNJGODT0G5Z4TTKYMN18L","GSON1232158200")</f>
        <v>#NAME?</v>
      </c>
      <c r="W1925" s="8" t="e">
        <f ca="1">[1]!BexGetData("DP_1","00O2TNJGODT0G5Z4TTKYMN7K5","GSON1232158200")</f>
        <v>#NAME?</v>
      </c>
    </row>
    <row r="1926" spans="1:23" x14ac:dyDescent="0.2">
      <c r="A1926" s="16" t="s">
        <v>4636</v>
      </c>
      <c r="B1926" s="7" t="s">
        <v>4637</v>
      </c>
      <c r="C1926" s="8" t="e">
        <f ca="1">[1]!BexGetData("DP_1","003N8EMH8GTFRCSWKMPXRR8GU","GSON1232158201")</f>
        <v>#NAME?</v>
      </c>
      <c r="D1926" s="3" t="e">
        <f ca="1">[1]!BexGetData("DP_1","003N8EMH8GTFRCSWKMPXRRESE","GSON1232158201")</f>
        <v>#NAME?</v>
      </c>
      <c r="E1926" s="3" t="e">
        <f ca="1">[1]!BexGetData("DP_1","003N8EMH8GTFRCSWKMPXRRL3Y","GSON1232158201")</f>
        <v>#NAME?</v>
      </c>
      <c r="F1926" s="3" t="e">
        <f ca="1">[1]!BexGetData("DP_1","003N8EMH8GTFRCSWKMPXRRRFI","GSON1232158201")</f>
        <v>#NAME?</v>
      </c>
      <c r="G1926" s="3" t="e">
        <f ca="1">[1]!BexGetData("DP_1","003N8EMH8GTFRCSWKMPXRRXR2","GSON1232158201")</f>
        <v>#NAME?</v>
      </c>
      <c r="H1926" s="8" t="e">
        <f ca="1">[1]!BexGetData("DP_1","003N8EMH8GTFRCSWKMPXRS42M","GSON1232158201")</f>
        <v>#NAME?</v>
      </c>
      <c r="I1926" s="3" t="e">
        <f ca="1">[1]!BexGetData("DP_1","003N8EMH8GTFRCSWKMPXRSAE6","GSON1232158201")</f>
        <v>#NAME?</v>
      </c>
      <c r="J1926" s="4" t="e">
        <f ca="1">[1]!BexGetData("DP_1","003N8EMH8GTFRCSWKMPXRSGPQ","GSON1232158201")</f>
        <v>#NAME?</v>
      </c>
      <c r="K1926" s="3" t="e">
        <f ca="1">[1]!BexGetData("DP_1","003N8EMH8GTFRIVNUPY288VJH","GSON1232158201")</f>
        <v>#NAME?</v>
      </c>
      <c r="L1926" s="3" t="e">
        <f ca="1">[1]!BexGetData("DP_1","003N8EMH8GTFRIVNUPY2891V1","GSON1232158201")</f>
        <v>#NAME?</v>
      </c>
      <c r="M1926" s="3" t="e">
        <f ca="1">[1]!BexGetData("DP_1","003N8EMH8GTFRIVOG7KG9IQXA","GSON1232158201")</f>
        <v>#NAME?</v>
      </c>
      <c r="N1926" s="8" t="e">
        <f ca="1">[1]!BexGetData("DP_1","003N8EMH8GTFRIVOG7KG9IX8U","GSON1232158201")</f>
        <v>#NAME?</v>
      </c>
      <c r="O1926" s="3" t="e">
        <f ca="1">[1]!BexGetData("DP_1","003N8EMH8GTFRIVOG7KG9J3KE","GSON1232158201")</f>
        <v>#NAME?</v>
      </c>
      <c r="P1926" s="8" t="e">
        <f ca="1">[1]!BexGetData("DP_1","003N8EMH8GTFRIVOG7KG9J9VY","GSON1232158201")</f>
        <v>#NAME?</v>
      </c>
      <c r="Q1926" s="4" t="e">
        <f ca="1">[1]!BexGetData("DP_1","00O2TNJGODT0G5Z4TTKYMM5MT","GSON1232158201")</f>
        <v>#NAME?</v>
      </c>
      <c r="R1926" s="3" t="e">
        <f ca="1">[1]!BexGetData("DP_1","00O2TNJGODT0G5Z4TTKYMMBYD","GSON1232158201")</f>
        <v>#NAME?</v>
      </c>
      <c r="S1926" s="3" t="e">
        <f ca="1">[1]!BexGetData("DP_1","00O2TNJGODT0G5Z4TTKYMMI9X","GSON1232158201")</f>
        <v>#NAME?</v>
      </c>
      <c r="T1926" s="8" t="e">
        <f ca="1">[1]!BexGetData("DP_1","00O2TNJGODT0G5Z4TTKYMMOLH","GSON1232158201")</f>
        <v>#NAME?</v>
      </c>
      <c r="U1926" s="3" t="e">
        <f ca="1">[1]!BexGetData("DP_1","00O2TNJGODT0G5Z4TTKYMMUX1","GSON1232158201")</f>
        <v>#NAME?</v>
      </c>
      <c r="V1926" s="8" t="e">
        <f ca="1">[1]!BexGetData("DP_1","00O2TNJGODT0G5Z4TTKYMN18L","GSON1232158201")</f>
        <v>#NAME?</v>
      </c>
      <c r="W1926" s="3" t="e">
        <f ca="1">[1]!BexGetData("DP_1","00O2TNJGODT0G5Z4TTKYMN7K5","GSON1232158201")</f>
        <v>#NAME?</v>
      </c>
    </row>
    <row r="1927" spans="1:23" x14ac:dyDescent="0.2">
      <c r="A1927" s="15" t="s">
        <v>150</v>
      </c>
      <c r="B1927" s="7" t="s">
        <v>151</v>
      </c>
      <c r="C1927" s="3" t="e">
        <f ca="1">[1]!BexGetData("DP_1","003N8EMH8GTFRCSWKMPXRR8GU","GSON1233")</f>
        <v>#NAME?</v>
      </c>
      <c r="D1927" s="3" t="e">
        <f ca="1">[1]!BexGetData("DP_1","003N8EMH8GTFRCSWKMPXRRESE","GSON1233")</f>
        <v>#NAME?</v>
      </c>
      <c r="E1927" s="3" t="e">
        <f ca="1">[1]!BexGetData("DP_1","003N8EMH8GTFRCSWKMPXRRL3Y","GSON1233")</f>
        <v>#NAME?</v>
      </c>
      <c r="F1927" s="3" t="e">
        <f ca="1">[1]!BexGetData("DP_1","003N8EMH8GTFRCSWKMPXRRRFI","GSON1233")</f>
        <v>#NAME?</v>
      </c>
      <c r="G1927" s="3" t="e">
        <f ca="1">[1]!BexGetData("DP_1","003N8EMH8GTFRCSWKMPXRRXR2","GSON1233")</f>
        <v>#NAME?</v>
      </c>
      <c r="H1927" s="3" t="e">
        <f ca="1">[1]!BexGetData("DP_1","003N8EMH8GTFRCSWKMPXRS42M","GSON1233")</f>
        <v>#NAME?</v>
      </c>
      <c r="I1927" s="3" t="e">
        <f ca="1">[1]!BexGetData("DP_1","003N8EMH8GTFRCSWKMPXRSAE6","GSON1233")</f>
        <v>#NAME?</v>
      </c>
      <c r="J1927" s="4" t="e">
        <f ca="1">[1]!BexGetData("DP_1","003N8EMH8GTFRCSWKMPXRSGPQ","GSON1233")</f>
        <v>#NAME?</v>
      </c>
      <c r="K1927" s="3" t="e">
        <f ca="1">[1]!BexGetData("DP_1","003N8EMH8GTFRIVNUPY288VJH","GSON1233")</f>
        <v>#NAME?</v>
      </c>
      <c r="L1927" s="3" t="e">
        <f ca="1">[1]!BexGetData("DP_1","003N8EMH8GTFRIVNUPY2891V1","GSON1233")</f>
        <v>#NAME?</v>
      </c>
      <c r="M1927" s="8" t="e">
        <f ca="1">[1]!BexGetData("DP_1","003N8EMH8GTFRIVOG7KG9IQXA","GSON1233")</f>
        <v>#NAME?</v>
      </c>
      <c r="N1927" s="3" t="e">
        <f ca="1">[1]!BexGetData("DP_1","003N8EMH8GTFRIVOG7KG9IX8U","GSON1233")</f>
        <v>#NAME?</v>
      </c>
      <c r="O1927" s="8" t="e">
        <f ca="1">[1]!BexGetData("DP_1","003N8EMH8GTFRIVOG7KG9J3KE","GSON1233")</f>
        <v>#NAME?</v>
      </c>
      <c r="P1927" s="3" t="e">
        <f ca="1">[1]!BexGetData("DP_1","003N8EMH8GTFRIVOG7KG9J9VY","GSON1233")</f>
        <v>#NAME?</v>
      </c>
      <c r="Q1927" s="4" t="e">
        <f ca="1">[1]!BexGetData("DP_1","00O2TNJGODT0G5Z4TTKYMM5MT","GSON1233")</f>
        <v>#NAME?</v>
      </c>
      <c r="R1927" s="3" t="e">
        <f ca="1">[1]!BexGetData("DP_1","00O2TNJGODT0G5Z4TTKYMMBYD","GSON1233")</f>
        <v>#NAME?</v>
      </c>
      <c r="S1927" s="3" t="e">
        <f ca="1">[1]!BexGetData("DP_1","00O2TNJGODT0G5Z4TTKYMMI9X","GSON1233")</f>
        <v>#NAME?</v>
      </c>
      <c r="T1927" s="8" t="e">
        <f ca="1">[1]!BexGetData("DP_1","00O2TNJGODT0G5Z4TTKYMMOLH","GSON1233")</f>
        <v>#NAME?</v>
      </c>
      <c r="U1927" s="3" t="e">
        <f ca="1">[1]!BexGetData("DP_1","00O2TNJGODT0G5Z4TTKYMMUX1","GSON1233")</f>
        <v>#NAME?</v>
      </c>
      <c r="V1927" s="8" t="e">
        <f ca="1">[1]!BexGetData("DP_1","00O2TNJGODT0G5Z4TTKYMN18L","GSON1233")</f>
        <v>#NAME?</v>
      </c>
      <c r="W1927" s="3" t="e">
        <f ca="1">[1]!BexGetData("DP_1","00O2TNJGODT0G5Z4TTKYMN7K5","GSON1233")</f>
        <v>#NAME?</v>
      </c>
    </row>
    <row r="1928" spans="1:23" x14ac:dyDescent="0.2">
      <c r="A1928" s="16" t="s">
        <v>1262</v>
      </c>
      <c r="B1928" s="7" t="s">
        <v>1263</v>
      </c>
      <c r="C1928" s="8" t="e">
        <f ca="1">[1]!BexGetData("DP_1","003N8EMH8GTFRCSWKMPXRR8GU","GSON1233158300")</f>
        <v>#NAME?</v>
      </c>
      <c r="D1928" s="8" t="e">
        <f ca="1">[1]!BexGetData("DP_1","003N8EMH8GTFRCSWKMPXRRESE","GSON1233158300")</f>
        <v>#NAME?</v>
      </c>
      <c r="E1928" s="3" t="e">
        <f ca="1">[1]!BexGetData("DP_1","003N8EMH8GTFRCSWKMPXRRL3Y","GSON1233158300")</f>
        <v>#NAME?</v>
      </c>
      <c r="F1928" s="3" t="e">
        <f ca="1">[1]!BexGetData("DP_1","003N8EMH8GTFRCSWKMPXRRRFI","GSON1233158300")</f>
        <v>#NAME?</v>
      </c>
      <c r="G1928" s="3" t="e">
        <f ca="1">[1]!BexGetData("DP_1","003N8EMH8GTFRCSWKMPXRRXR2","GSON1233158300")</f>
        <v>#NAME?</v>
      </c>
      <c r="H1928" s="3" t="e">
        <f ca="1">[1]!BexGetData("DP_1","003N8EMH8GTFRCSWKMPXRS42M","GSON1233158300")</f>
        <v>#NAME?</v>
      </c>
      <c r="I1928" s="3" t="e">
        <f ca="1">[1]!BexGetData("DP_1","003N8EMH8GTFRCSWKMPXRSAE6","GSON1233158300")</f>
        <v>#NAME?</v>
      </c>
      <c r="J1928" s="4" t="e">
        <f ca="1">[1]!BexGetData("DP_1","003N8EMH8GTFRCSWKMPXRSGPQ","GSON1233158300")</f>
        <v>#NAME?</v>
      </c>
      <c r="K1928" s="8" t="e">
        <f ca="1">[1]!BexGetData("DP_1","003N8EMH8GTFRIVNUPY288VJH","GSON1233158300")</f>
        <v>#NAME?</v>
      </c>
      <c r="L1928" s="8" t="e">
        <f ca="1">[1]!BexGetData("DP_1","003N8EMH8GTFRIVNUPY2891V1","GSON1233158300")</f>
        <v>#NAME?</v>
      </c>
      <c r="M1928" s="8" t="e">
        <f ca="1">[1]!BexGetData("DP_1","003N8EMH8GTFRIVOG7KG9IQXA","GSON1233158300")</f>
        <v>#NAME?</v>
      </c>
      <c r="N1928" s="8" t="e">
        <f ca="1">[1]!BexGetData("DP_1","003N8EMH8GTFRIVOG7KG9IX8U","GSON1233158300")</f>
        <v>#NAME?</v>
      </c>
      <c r="O1928" s="8" t="e">
        <f ca="1">[1]!BexGetData("DP_1","003N8EMH8GTFRIVOG7KG9J3KE","GSON1233158300")</f>
        <v>#NAME?</v>
      </c>
      <c r="P1928" s="8" t="e">
        <f ca="1">[1]!BexGetData("DP_1","003N8EMH8GTFRIVOG7KG9J9VY","GSON1233158300")</f>
        <v>#NAME?</v>
      </c>
      <c r="Q1928" s="4" t="e">
        <f ca="1">[1]!BexGetData("DP_1","00O2TNJGODT0G5Z4TTKYMM5MT","GSON1233158300")</f>
        <v>#NAME?</v>
      </c>
      <c r="R1928" s="3" t="e">
        <f ca="1">[1]!BexGetData("DP_1","00O2TNJGODT0G5Z4TTKYMMBYD","GSON1233158300")</f>
        <v>#NAME?</v>
      </c>
      <c r="S1928" s="3" t="e">
        <f ca="1">[1]!BexGetData("DP_1","00O2TNJGODT0G5Z4TTKYMMI9X","GSON1233158300")</f>
        <v>#NAME?</v>
      </c>
      <c r="T1928" s="3" t="e">
        <f ca="1">[1]!BexGetData("DP_1","00O2TNJGODT0G5Z4TTKYMMOLH","GSON1233158300")</f>
        <v>#NAME?</v>
      </c>
      <c r="U1928" s="8" t="e">
        <f ca="1">[1]!BexGetData("DP_1","00O2TNJGODT0G5Z4TTKYMMUX1","GSON1233158300")</f>
        <v>#NAME?</v>
      </c>
      <c r="V1928" s="3" t="e">
        <f ca="1">[1]!BexGetData("DP_1","00O2TNJGODT0G5Z4TTKYMN18L","GSON1233158300")</f>
        <v>#NAME?</v>
      </c>
      <c r="W1928" s="8" t="e">
        <f ca="1">[1]!BexGetData("DP_1","00O2TNJGODT0G5Z4TTKYMN7K5","GSON1233158300")</f>
        <v>#NAME?</v>
      </c>
    </row>
    <row r="1929" spans="1:23" x14ac:dyDescent="0.2">
      <c r="A1929" s="16" t="s">
        <v>1264</v>
      </c>
      <c r="B1929" s="7" t="s">
        <v>333</v>
      </c>
      <c r="C1929" s="3" t="e">
        <f ca="1">[1]!BexGetData("DP_1","003N8EMH8GTFRCSWKMPXRR8GU","GSON1233158301")</f>
        <v>#NAME?</v>
      </c>
      <c r="D1929" s="3" t="e">
        <f ca="1">[1]!BexGetData("DP_1","003N8EMH8GTFRCSWKMPXRRESE","GSON1233158301")</f>
        <v>#NAME?</v>
      </c>
      <c r="E1929" s="3" t="e">
        <f ca="1">[1]!BexGetData("DP_1","003N8EMH8GTFRCSWKMPXRRL3Y","GSON1233158301")</f>
        <v>#NAME?</v>
      </c>
      <c r="F1929" s="3" t="e">
        <f ca="1">[1]!BexGetData("DP_1","003N8EMH8GTFRCSWKMPXRRRFI","GSON1233158301")</f>
        <v>#NAME?</v>
      </c>
      <c r="G1929" s="3" t="e">
        <f ca="1">[1]!BexGetData("DP_1","003N8EMH8GTFRCSWKMPXRRXR2","GSON1233158301")</f>
        <v>#NAME?</v>
      </c>
      <c r="H1929" s="8" t="e">
        <f ca="1">[1]!BexGetData("DP_1","003N8EMH8GTFRCSWKMPXRS42M","GSON1233158301")</f>
        <v>#NAME?</v>
      </c>
      <c r="I1929" s="3" t="e">
        <f ca="1">[1]!BexGetData("DP_1","003N8EMH8GTFRCSWKMPXRSAE6","GSON1233158301")</f>
        <v>#NAME?</v>
      </c>
      <c r="J1929" s="4" t="e">
        <f ca="1">[1]!BexGetData("DP_1","003N8EMH8GTFRCSWKMPXRSGPQ","GSON1233158301")</f>
        <v>#NAME?</v>
      </c>
      <c r="K1929" s="3" t="e">
        <f ca="1">[1]!BexGetData("DP_1","003N8EMH8GTFRIVNUPY288VJH","GSON1233158301")</f>
        <v>#NAME?</v>
      </c>
      <c r="L1929" s="3" t="e">
        <f ca="1">[1]!BexGetData("DP_1","003N8EMH8GTFRIVNUPY2891V1","GSON1233158301")</f>
        <v>#NAME?</v>
      </c>
      <c r="M1929" s="8" t="e">
        <f ca="1">[1]!BexGetData("DP_1","003N8EMH8GTFRIVOG7KG9IQXA","GSON1233158301")</f>
        <v>#NAME?</v>
      </c>
      <c r="N1929" s="3" t="e">
        <f ca="1">[1]!BexGetData("DP_1","003N8EMH8GTFRIVOG7KG9IX8U","GSON1233158301")</f>
        <v>#NAME?</v>
      </c>
      <c r="O1929" s="8" t="e">
        <f ca="1">[1]!BexGetData("DP_1","003N8EMH8GTFRIVOG7KG9J3KE","GSON1233158301")</f>
        <v>#NAME?</v>
      </c>
      <c r="P1929" s="3" t="e">
        <f ca="1">[1]!BexGetData("DP_1","003N8EMH8GTFRIVOG7KG9J9VY","GSON1233158301")</f>
        <v>#NAME?</v>
      </c>
      <c r="Q1929" s="4" t="e">
        <f ca="1">[1]!BexGetData("DP_1","00O2TNJGODT0G5Z4TTKYMM5MT","GSON1233158301")</f>
        <v>#NAME?</v>
      </c>
      <c r="R1929" s="3" t="e">
        <f ca="1">[1]!BexGetData("DP_1","00O2TNJGODT0G5Z4TTKYMMBYD","GSON1233158301")</f>
        <v>#NAME?</v>
      </c>
      <c r="S1929" s="3" t="e">
        <f ca="1">[1]!BexGetData("DP_1","00O2TNJGODT0G5Z4TTKYMMI9X","GSON1233158301")</f>
        <v>#NAME?</v>
      </c>
      <c r="T1929" s="8" t="e">
        <f ca="1">[1]!BexGetData("DP_1","00O2TNJGODT0G5Z4TTKYMMOLH","GSON1233158301")</f>
        <v>#NAME?</v>
      </c>
      <c r="U1929" s="3" t="e">
        <f ca="1">[1]!BexGetData("DP_1","00O2TNJGODT0G5Z4TTKYMMUX1","GSON1233158301")</f>
        <v>#NAME?</v>
      </c>
      <c r="V1929" s="8" t="e">
        <f ca="1">[1]!BexGetData("DP_1","00O2TNJGODT0G5Z4TTKYMN18L","GSON1233158301")</f>
        <v>#NAME?</v>
      </c>
      <c r="W1929" s="3" t="e">
        <f ca="1">[1]!BexGetData("DP_1","00O2TNJGODT0G5Z4TTKYMN7K5","GSON1233158301")</f>
        <v>#NAME?</v>
      </c>
    </row>
    <row r="1930" spans="1:23" x14ac:dyDescent="0.2">
      <c r="A1930" s="15" t="s">
        <v>464</v>
      </c>
      <c r="B1930" s="7" t="s">
        <v>465</v>
      </c>
      <c r="C1930" s="8" t="e">
        <f ca="1">[1]!BexGetData("DP_1","003N8EMH8GTFRCSWKMPXRR8GU","GSON1234")</f>
        <v>#NAME?</v>
      </c>
      <c r="D1930" s="8" t="e">
        <f ca="1">[1]!BexGetData("DP_1","003N8EMH8GTFRCSWKMPXRRESE","GSON1234")</f>
        <v>#NAME?</v>
      </c>
      <c r="E1930" s="3" t="e">
        <f ca="1">[1]!BexGetData("DP_1","003N8EMH8GTFRCSWKMPXRRL3Y","GSON1234")</f>
        <v>#NAME?</v>
      </c>
      <c r="F1930" s="3" t="e">
        <f ca="1">[1]!BexGetData("DP_1","003N8EMH8GTFRCSWKMPXRRRFI","GSON1234")</f>
        <v>#NAME?</v>
      </c>
      <c r="G1930" s="3" t="e">
        <f ca="1">[1]!BexGetData("DP_1","003N8EMH8GTFRCSWKMPXRRXR2","GSON1234")</f>
        <v>#NAME?</v>
      </c>
      <c r="H1930" s="3" t="e">
        <f ca="1">[1]!BexGetData("DP_1","003N8EMH8GTFRCSWKMPXRS42M","GSON1234")</f>
        <v>#NAME?</v>
      </c>
      <c r="I1930" s="3" t="e">
        <f ca="1">[1]!BexGetData("DP_1","003N8EMH8GTFRCSWKMPXRSAE6","GSON1234")</f>
        <v>#NAME?</v>
      </c>
      <c r="J1930" s="4" t="e">
        <f ca="1">[1]!BexGetData("DP_1","003N8EMH8GTFRCSWKMPXRSGPQ","GSON1234")</f>
        <v>#NAME?</v>
      </c>
      <c r="K1930" s="8" t="e">
        <f ca="1">[1]!BexGetData("DP_1","003N8EMH8GTFRIVNUPY288VJH","GSON1234")</f>
        <v>#NAME?</v>
      </c>
      <c r="L1930" s="8" t="e">
        <f ca="1">[1]!BexGetData("DP_1","003N8EMH8GTFRIVNUPY2891V1","GSON1234")</f>
        <v>#NAME?</v>
      </c>
      <c r="M1930" s="8" t="e">
        <f ca="1">[1]!BexGetData("DP_1","003N8EMH8GTFRIVOG7KG9IQXA","GSON1234")</f>
        <v>#NAME?</v>
      </c>
      <c r="N1930" s="8" t="e">
        <f ca="1">[1]!BexGetData("DP_1","003N8EMH8GTFRIVOG7KG9IX8U","GSON1234")</f>
        <v>#NAME?</v>
      </c>
      <c r="O1930" s="8" t="e">
        <f ca="1">[1]!BexGetData("DP_1","003N8EMH8GTFRIVOG7KG9J3KE","GSON1234")</f>
        <v>#NAME?</v>
      </c>
      <c r="P1930" s="8" t="e">
        <f ca="1">[1]!BexGetData("DP_1","003N8EMH8GTFRIVOG7KG9J9VY","GSON1234")</f>
        <v>#NAME?</v>
      </c>
      <c r="Q1930" s="4" t="e">
        <f ca="1">[1]!BexGetData("DP_1","00O2TNJGODT0G5Z4TTKYMM5MT","GSON1234")</f>
        <v>#NAME?</v>
      </c>
      <c r="R1930" s="3" t="e">
        <f ca="1">[1]!BexGetData("DP_1","00O2TNJGODT0G5Z4TTKYMMBYD","GSON1234")</f>
        <v>#NAME?</v>
      </c>
      <c r="S1930" s="3" t="e">
        <f ca="1">[1]!BexGetData("DP_1","00O2TNJGODT0G5Z4TTKYMMI9X","GSON1234")</f>
        <v>#NAME?</v>
      </c>
      <c r="T1930" s="8" t="e">
        <f ca="1">[1]!BexGetData("DP_1","00O2TNJGODT0G5Z4TTKYMMOLH","GSON1234")</f>
        <v>#NAME?</v>
      </c>
      <c r="U1930" s="3" t="e">
        <f ca="1">[1]!BexGetData("DP_1","00O2TNJGODT0G5Z4TTKYMMUX1","GSON1234")</f>
        <v>#NAME?</v>
      </c>
      <c r="V1930" s="8" t="e">
        <f ca="1">[1]!BexGetData("DP_1","00O2TNJGODT0G5Z4TTKYMN18L","GSON1234")</f>
        <v>#NAME?</v>
      </c>
      <c r="W1930" s="3" t="e">
        <f ca="1">[1]!BexGetData("DP_1","00O2TNJGODT0G5Z4TTKYMN7K5","GSON1234")</f>
        <v>#NAME?</v>
      </c>
    </row>
    <row r="1931" spans="1:23" x14ac:dyDescent="0.2">
      <c r="A1931" s="16" t="s">
        <v>1265</v>
      </c>
      <c r="B1931" s="7" t="s">
        <v>1266</v>
      </c>
      <c r="C1931" s="8" t="e">
        <f ca="1">[1]!BexGetData("DP_1","003N8EMH8GTFRCSWKMPXRR8GU","GSON1234100000")</f>
        <v>#NAME?</v>
      </c>
      <c r="D1931" s="8" t="e">
        <f ca="1">[1]!BexGetData("DP_1","003N8EMH8GTFRCSWKMPXRRESE","GSON1234100000")</f>
        <v>#NAME?</v>
      </c>
      <c r="E1931" s="3" t="e">
        <f ca="1">[1]!BexGetData("DP_1","003N8EMH8GTFRCSWKMPXRRL3Y","GSON1234100000")</f>
        <v>#NAME?</v>
      </c>
      <c r="F1931" s="3" t="e">
        <f ca="1">[1]!BexGetData("DP_1","003N8EMH8GTFRCSWKMPXRRRFI","GSON1234100000")</f>
        <v>#NAME?</v>
      </c>
      <c r="G1931" s="3" t="e">
        <f ca="1">[1]!BexGetData("DP_1","003N8EMH8GTFRCSWKMPXRRXR2","GSON1234100000")</f>
        <v>#NAME?</v>
      </c>
      <c r="H1931" s="3" t="e">
        <f ca="1">[1]!BexGetData("DP_1","003N8EMH8GTFRCSWKMPXRS42M","GSON1234100000")</f>
        <v>#NAME?</v>
      </c>
      <c r="I1931" s="3" t="e">
        <f ca="1">[1]!BexGetData("DP_1","003N8EMH8GTFRCSWKMPXRSAE6","GSON1234100000")</f>
        <v>#NAME?</v>
      </c>
      <c r="J1931" s="4" t="e">
        <f ca="1">[1]!BexGetData("DP_1","003N8EMH8GTFRCSWKMPXRSGPQ","GSON1234100000")</f>
        <v>#NAME?</v>
      </c>
      <c r="K1931" s="8" t="e">
        <f ca="1">[1]!BexGetData("DP_1","003N8EMH8GTFRIVNUPY288VJH","GSON1234100000")</f>
        <v>#NAME?</v>
      </c>
      <c r="L1931" s="8" t="e">
        <f ca="1">[1]!BexGetData("DP_1","003N8EMH8GTFRIVNUPY2891V1","GSON1234100000")</f>
        <v>#NAME?</v>
      </c>
      <c r="M1931" s="8" t="e">
        <f ca="1">[1]!BexGetData("DP_1","003N8EMH8GTFRIVOG7KG9IQXA","GSON1234100000")</f>
        <v>#NAME?</v>
      </c>
      <c r="N1931" s="8" t="e">
        <f ca="1">[1]!BexGetData("DP_1","003N8EMH8GTFRIVOG7KG9IX8U","GSON1234100000")</f>
        <v>#NAME?</v>
      </c>
      <c r="O1931" s="8" t="e">
        <f ca="1">[1]!BexGetData("DP_1","003N8EMH8GTFRIVOG7KG9J3KE","GSON1234100000")</f>
        <v>#NAME?</v>
      </c>
      <c r="P1931" s="8" t="e">
        <f ca="1">[1]!BexGetData("DP_1","003N8EMH8GTFRIVOG7KG9J9VY","GSON1234100000")</f>
        <v>#NAME?</v>
      </c>
      <c r="Q1931" s="4" t="e">
        <f ca="1">[1]!BexGetData("DP_1","00O2TNJGODT0G5Z4TTKYMM5MT","GSON1234100000")</f>
        <v>#NAME?</v>
      </c>
      <c r="R1931" s="3" t="e">
        <f ca="1">[1]!BexGetData("DP_1","00O2TNJGODT0G5Z4TTKYMMBYD","GSON1234100000")</f>
        <v>#NAME?</v>
      </c>
      <c r="S1931" s="3" t="e">
        <f ca="1">[1]!BexGetData("DP_1","00O2TNJGODT0G5Z4TTKYMMI9X","GSON1234100000")</f>
        <v>#NAME?</v>
      </c>
      <c r="T1931" s="8" t="e">
        <f ca="1">[1]!BexGetData("DP_1","00O2TNJGODT0G5Z4TTKYMMOLH","GSON1234100000")</f>
        <v>#NAME?</v>
      </c>
      <c r="U1931" s="3" t="e">
        <f ca="1">[1]!BexGetData("DP_1","00O2TNJGODT0G5Z4TTKYMMUX1","GSON1234100000")</f>
        <v>#NAME?</v>
      </c>
      <c r="V1931" s="8" t="e">
        <f ca="1">[1]!BexGetData("DP_1","00O2TNJGODT0G5Z4TTKYMN18L","GSON1234100000")</f>
        <v>#NAME?</v>
      </c>
      <c r="W1931" s="3" t="e">
        <f ca="1">[1]!BexGetData("DP_1","00O2TNJGODT0G5Z4TTKYMN7K5","GSON1234100000")</f>
        <v>#NAME?</v>
      </c>
    </row>
    <row r="1932" spans="1:23" x14ac:dyDescent="0.2">
      <c r="A1932" s="16" t="s">
        <v>4638</v>
      </c>
      <c r="B1932" s="7" t="s">
        <v>4639</v>
      </c>
      <c r="C1932" s="8" t="e">
        <f ca="1">[1]!BexGetData("DP_1","003N8EMH8GTFRCSWKMPXRR8GU","GSON1234700001")</f>
        <v>#NAME?</v>
      </c>
      <c r="D1932" s="8" t="e">
        <f ca="1">[1]!BexGetData("DP_1","003N8EMH8GTFRCSWKMPXRRESE","GSON1234700001")</f>
        <v>#NAME?</v>
      </c>
      <c r="E1932" s="3" t="e">
        <f ca="1">[1]!BexGetData("DP_1","003N8EMH8GTFRCSWKMPXRRL3Y","GSON1234700001")</f>
        <v>#NAME?</v>
      </c>
      <c r="F1932" s="3" t="e">
        <f ca="1">[1]!BexGetData("DP_1","003N8EMH8GTFRCSWKMPXRRRFI","GSON1234700001")</f>
        <v>#NAME?</v>
      </c>
      <c r="G1932" s="3" t="e">
        <f ca="1">[1]!BexGetData("DP_1","003N8EMH8GTFRCSWKMPXRRXR2","GSON1234700001")</f>
        <v>#NAME?</v>
      </c>
      <c r="H1932" s="8" t="e">
        <f ca="1">[1]!BexGetData("DP_1","003N8EMH8GTFRCSWKMPXRS42M","GSON1234700001")</f>
        <v>#NAME?</v>
      </c>
      <c r="I1932" s="3" t="e">
        <f ca="1">[1]!BexGetData("DP_1","003N8EMH8GTFRCSWKMPXRSAE6","GSON1234700001")</f>
        <v>#NAME?</v>
      </c>
      <c r="J1932" s="4" t="e">
        <f ca="1">[1]!BexGetData("DP_1","003N8EMH8GTFRCSWKMPXRSGPQ","GSON1234700001")</f>
        <v>#NAME?</v>
      </c>
      <c r="K1932" s="8" t="e">
        <f ca="1">[1]!BexGetData("DP_1","003N8EMH8GTFRIVNUPY288VJH","GSON1234700001")</f>
        <v>#NAME?</v>
      </c>
      <c r="L1932" s="8" t="e">
        <f ca="1">[1]!BexGetData("DP_1","003N8EMH8GTFRIVNUPY2891V1","GSON1234700001")</f>
        <v>#NAME?</v>
      </c>
      <c r="M1932" s="8" t="e">
        <f ca="1">[1]!BexGetData("DP_1","003N8EMH8GTFRIVOG7KG9IQXA","GSON1234700001")</f>
        <v>#NAME?</v>
      </c>
      <c r="N1932" s="8" t="e">
        <f ca="1">[1]!BexGetData("DP_1","003N8EMH8GTFRIVOG7KG9IX8U","GSON1234700001")</f>
        <v>#NAME?</v>
      </c>
      <c r="O1932" s="8" t="e">
        <f ca="1">[1]!BexGetData("DP_1","003N8EMH8GTFRIVOG7KG9J3KE","GSON1234700001")</f>
        <v>#NAME?</v>
      </c>
      <c r="P1932" s="8" t="e">
        <f ca="1">[1]!BexGetData("DP_1","003N8EMH8GTFRIVOG7KG9J9VY","GSON1234700001")</f>
        <v>#NAME?</v>
      </c>
      <c r="Q1932" s="4" t="e">
        <f ca="1">[1]!BexGetData("DP_1","00O2TNJGODT0G5Z4TTKYMM5MT","GSON1234700001")</f>
        <v>#NAME?</v>
      </c>
      <c r="R1932" s="3" t="e">
        <f ca="1">[1]!BexGetData("DP_1","00O2TNJGODT0G5Z4TTKYMMBYD","GSON1234700001")</f>
        <v>#NAME?</v>
      </c>
      <c r="S1932" s="3" t="e">
        <f ca="1">[1]!BexGetData("DP_1","00O2TNJGODT0G5Z4TTKYMMI9X","GSON1234700001")</f>
        <v>#NAME?</v>
      </c>
      <c r="T1932" s="8" t="e">
        <f ca="1">[1]!BexGetData("DP_1","00O2TNJGODT0G5Z4TTKYMMOLH","GSON1234700001")</f>
        <v>#NAME?</v>
      </c>
      <c r="U1932" s="3" t="e">
        <f ca="1">[1]!BexGetData("DP_1","00O2TNJGODT0G5Z4TTKYMMUX1","GSON1234700001")</f>
        <v>#NAME?</v>
      </c>
      <c r="V1932" s="8" t="e">
        <f ca="1">[1]!BexGetData("DP_1","00O2TNJGODT0G5Z4TTKYMN18L","GSON1234700001")</f>
        <v>#NAME?</v>
      </c>
      <c r="W1932" s="3" t="e">
        <f ca="1">[1]!BexGetData("DP_1","00O2TNJGODT0G5Z4TTKYMN7K5","GSON1234700001")</f>
        <v>#NAME?</v>
      </c>
    </row>
    <row r="1933" spans="1:23" x14ac:dyDescent="0.2">
      <c r="A1933" s="15" t="s">
        <v>78</v>
      </c>
      <c r="B1933" s="7" t="s">
        <v>334</v>
      </c>
      <c r="C1933" s="3" t="e">
        <f ca="1">[1]!BexGetData("DP_1","003N8EMH8GTFRCSWKMPXRR8GU","GSON1235")</f>
        <v>#NAME?</v>
      </c>
      <c r="D1933" s="3" t="e">
        <f ca="1">[1]!BexGetData("DP_1","003N8EMH8GTFRCSWKMPXRRESE","GSON1235")</f>
        <v>#NAME?</v>
      </c>
      <c r="E1933" s="3" t="e">
        <f ca="1">[1]!BexGetData("DP_1","003N8EMH8GTFRCSWKMPXRRL3Y","GSON1235")</f>
        <v>#NAME?</v>
      </c>
      <c r="F1933" s="3" t="e">
        <f ca="1">[1]!BexGetData("DP_1","003N8EMH8GTFRCSWKMPXRRRFI","GSON1235")</f>
        <v>#NAME?</v>
      </c>
      <c r="G1933" s="3" t="e">
        <f ca="1">[1]!BexGetData("DP_1","003N8EMH8GTFRCSWKMPXRRXR2","GSON1235")</f>
        <v>#NAME?</v>
      </c>
      <c r="H1933" s="3" t="e">
        <f ca="1">[1]!BexGetData("DP_1","003N8EMH8GTFRCSWKMPXRS42M","GSON1235")</f>
        <v>#NAME?</v>
      </c>
      <c r="I1933" s="3" t="e">
        <f ca="1">[1]!BexGetData("DP_1","003N8EMH8GTFRCSWKMPXRSAE6","GSON1235")</f>
        <v>#NAME?</v>
      </c>
      <c r="J1933" s="4" t="e">
        <f ca="1">[1]!BexGetData("DP_1","003N8EMH8GTFRCSWKMPXRSGPQ","GSON1235")</f>
        <v>#NAME?</v>
      </c>
      <c r="K1933" s="3" t="e">
        <f ca="1">[1]!BexGetData("DP_1","003N8EMH8GTFRIVNUPY288VJH","GSON1235")</f>
        <v>#NAME?</v>
      </c>
      <c r="L1933" s="3" t="e">
        <f ca="1">[1]!BexGetData("DP_1","003N8EMH8GTFRIVNUPY2891V1","GSON1235")</f>
        <v>#NAME?</v>
      </c>
      <c r="M1933" s="8" t="e">
        <f ca="1">[1]!BexGetData("DP_1","003N8EMH8GTFRIVOG7KG9IQXA","GSON1235")</f>
        <v>#NAME?</v>
      </c>
      <c r="N1933" s="3" t="e">
        <f ca="1">[1]!BexGetData("DP_1","003N8EMH8GTFRIVOG7KG9IX8U","GSON1235")</f>
        <v>#NAME?</v>
      </c>
      <c r="O1933" s="8" t="e">
        <f ca="1">[1]!BexGetData("DP_1","003N8EMH8GTFRIVOG7KG9J3KE","GSON1235")</f>
        <v>#NAME?</v>
      </c>
      <c r="P1933" s="3" t="e">
        <f ca="1">[1]!BexGetData("DP_1","003N8EMH8GTFRIVOG7KG9J9VY","GSON1235")</f>
        <v>#NAME?</v>
      </c>
      <c r="Q1933" s="4" t="e">
        <f ca="1">[1]!BexGetData("DP_1","00O2TNJGODT0G5Z4TTKYMM5MT","GSON1235")</f>
        <v>#NAME?</v>
      </c>
      <c r="R1933" s="3" t="e">
        <f ca="1">[1]!BexGetData("DP_1","00O2TNJGODT0G5Z4TTKYMMBYD","GSON1235")</f>
        <v>#NAME?</v>
      </c>
      <c r="S1933" s="3" t="e">
        <f ca="1">[1]!BexGetData("DP_1","00O2TNJGODT0G5Z4TTKYMMI9X","GSON1235")</f>
        <v>#NAME?</v>
      </c>
      <c r="T1933" s="8" t="e">
        <f ca="1">[1]!BexGetData("DP_1","00O2TNJGODT0G5Z4TTKYMMOLH","GSON1235")</f>
        <v>#NAME?</v>
      </c>
      <c r="U1933" s="3" t="e">
        <f ca="1">[1]!BexGetData("DP_1","00O2TNJGODT0G5Z4TTKYMMUX1","GSON1235")</f>
        <v>#NAME?</v>
      </c>
      <c r="V1933" s="8" t="e">
        <f ca="1">[1]!BexGetData("DP_1","00O2TNJGODT0G5Z4TTKYMN18L","GSON1235")</f>
        <v>#NAME?</v>
      </c>
      <c r="W1933" s="3" t="e">
        <f ca="1">[1]!BexGetData("DP_1","00O2TNJGODT0G5Z4TTKYMN7K5","GSON1235")</f>
        <v>#NAME?</v>
      </c>
    </row>
    <row r="1934" spans="1:23" x14ac:dyDescent="0.2">
      <c r="A1934" s="16" t="s">
        <v>1267</v>
      </c>
      <c r="B1934" s="7" t="s">
        <v>1268</v>
      </c>
      <c r="C1934" s="8" t="e">
        <f ca="1">[1]!BexGetData("DP_1","003N8EMH8GTFRCSWKMPXRR8GU","GSON1235161100")</f>
        <v>#NAME?</v>
      </c>
      <c r="D1934" s="8" t="e">
        <f ca="1">[1]!BexGetData("DP_1","003N8EMH8GTFRCSWKMPXRRESE","GSON1235161100")</f>
        <v>#NAME?</v>
      </c>
      <c r="E1934" s="3" t="e">
        <f ca="1">[1]!BexGetData("DP_1","003N8EMH8GTFRCSWKMPXRRL3Y","GSON1235161100")</f>
        <v>#NAME?</v>
      </c>
      <c r="F1934" s="3" t="e">
        <f ca="1">[1]!BexGetData("DP_1","003N8EMH8GTFRCSWKMPXRRRFI","GSON1235161100")</f>
        <v>#NAME?</v>
      </c>
      <c r="G1934" s="3" t="e">
        <f ca="1">[1]!BexGetData("DP_1","003N8EMH8GTFRCSWKMPXRRXR2","GSON1235161100")</f>
        <v>#NAME?</v>
      </c>
      <c r="H1934" s="3" t="e">
        <f ca="1">[1]!BexGetData("DP_1","003N8EMH8GTFRCSWKMPXRS42M","GSON1235161100")</f>
        <v>#NAME?</v>
      </c>
      <c r="I1934" s="3" t="e">
        <f ca="1">[1]!BexGetData("DP_1","003N8EMH8GTFRCSWKMPXRSAE6","GSON1235161100")</f>
        <v>#NAME?</v>
      </c>
      <c r="J1934" s="4" t="e">
        <f ca="1">[1]!BexGetData("DP_1","003N8EMH8GTFRCSWKMPXRSGPQ","GSON1235161100")</f>
        <v>#NAME?</v>
      </c>
      <c r="K1934" s="8" t="e">
        <f ca="1">[1]!BexGetData("DP_1","003N8EMH8GTFRIVNUPY288VJH","GSON1235161100")</f>
        <v>#NAME?</v>
      </c>
      <c r="L1934" s="8" t="e">
        <f ca="1">[1]!BexGetData("DP_1","003N8EMH8GTFRIVNUPY2891V1","GSON1235161100")</f>
        <v>#NAME?</v>
      </c>
      <c r="M1934" s="8" t="e">
        <f ca="1">[1]!BexGetData("DP_1","003N8EMH8GTFRIVOG7KG9IQXA","GSON1235161100")</f>
        <v>#NAME?</v>
      </c>
      <c r="N1934" s="8" t="e">
        <f ca="1">[1]!BexGetData("DP_1","003N8EMH8GTFRIVOG7KG9IX8U","GSON1235161100")</f>
        <v>#NAME?</v>
      </c>
      <c r="O1934" s="8" t="e">
        <f ca="1">[1]!BexGetData("DP_1","003N8EMH8GTFRIVOG7KG9J3KE","GSON1235161100")</f>
        <v>#NAME?</v>
      </c>
      <c r="P1934" s="8" t="e">
        <f ca="1">[1]!BexGetData("DP_1","003N8EMH8GTFRIVOG7KG9J9VY","GSON1235161100")</f>
        <v>#NAME?</v>
      </c>
      <c r="Q1934" s="4" t="e">
        <f ca="1">[1]!BexGetData("DP_1","00O2TNJGODT0G5Z4TTKYMM5MT","GSON1235161100")</f>
        <v>#NAME?</v>
      </c>
      <c r="R1934" s="3" t="e">
        <f ca="1">[1]!BexGetData("DP_1","00O2TNJGODT0G5Z4TTKYMMBYD","GSON1235161100")</f>
        <v>#NAME?</v>
      </c>
      <c r="S1934" s="3" t="e">
        <f ca="1">[1]!BexGetData("DP_1","00O2TNJGODT0G5Z4TTKYMMI9X","GSON1235161100")</f>
        <v>#NAME?</v>
      </c>
      <c r="T1934" s="8" t="e">
        <f ca="1">[1]!BexGetData("DP_1","00O2TNJGODT0G5Z4TTKYMMOLH","GSON1235161100")</f>
        <v>#NAME?</v>
      </c>
      <c r="U1934" s="3" t="e">
        <f ca="1">[1]!BexGetData("DP_1","00O2TNJGODT0G5Z4TTKYMMUX1","GSON1235161100")</f>
        <v>#NAME?</v>
      </c>
      <c r="V1934" s="8" t="e">
        <f ca="1">[1]!BexGetData("DP_1","00O2TNJGODT0G5Z4TTKYMN18L","GSON1235161100")</f>
        <v>#NAME?</v>
      </c>
      <c r="W1934" s="3" t="e">
        <f ca="1">[1]!BexGetData("DP_1","00O2TNJGODT0G5Z4TTKYMN7K5","GSON1235161100")</f>
        <v>#NAME?</v>
      </c>
    </row>
    <row r="1935" spans="1:23" x14ac:dyDescent="0.2">
      <c r="A1935" s="16" t="s">
        <v>1269</v>
      </c>
      <c r="B1935" s="7" t="s">
        <v>1270</v>
      </c>
      <c r="C1935" s="8" t="e">
        <f ca="1">[1]!BexGetData("DP_1","003N8EMH8GTFRCSWKMPXRR8GU","GSON1235161101")</f>
        <v>#NAME?</v>
      </c>
      <c r="D1935" s="8" t="e">
        <f ca="1">[1]!BexGetData("DP_1","003N8EMH8GTFRCSWKMPXRRESE","GSON1235161101")</f>
        <v>#NAME?</v>
      </c>
      <c r="E1935" s="3" t="e">
        <f ca="1">[1]!BexGetData("DP_1","003N8EMH8GTFRCSWKMPXRRL3Y","GSON1235161101")</f>
        <v>#NAME?</v>
      </c>
      <c r="F1935" s="3" t="e">
        <f ca="1">[1]!BexGetData("DP_1","003N8EMH8GTFRCSWKMPXRRRFI","GSON1235161101")</f>
        <v>#NAME?</v>
      </c>
      <c r="G1935" s="3" t="e">
        <f ca="1">[1]!BexGetData("DP_1","003N8EMH8GTFRCSWKMPXRRXR2","GSON1235161101")</f>
        <v>#NAME?</v>
      </c>
      <c r="H1935" s="8" t="e">
        <f ca="1">[1]!BexGetData("DP_1","003N8EMH8GTFRCSWKMPXRS42M","GSON1235161101")</f>
        <v>#NAME?</v>
      </c>
      <c r="I1935" s="3" t="e">
        <f ca="1">[1]!BexGetData("DP_1","003N8EMH8GTFRCSWKMPXRSAE6","GSON1235161101")</f>
        <v>#NAME?</v>
      </c>
      <c r="J1935" s="4" t="e">
        <f ca="1">[1]!BexGetData("DP_1","003N8EMH8GTFRCSWKMPXRSGPQ","GSON1235161101")</f>
        <v>#NAME?</v>
      </c>
      <c r="K1935" s="8" t="e">
        <f ca="1">[1]!BexGetData("DP_1","003N8EMH8GTFRIVNUPY288VJH","GSON1235161101")</f>
        <v>#NAME?</v>
      </c>
      <c r="L1935" s="8" t="e">
        <f ca="1">[1]!BexGetData("DP_1","003N8EMH8GTFRIVNUPY2891V1","GSON1235161101")</f>
        <v>#NAME?</v>
      </c>
      <c r="M1935" s="8" t="e">
        <f ca="1">[1]!BexGetData("DP_1","003N8EMH8GTFRIVOG7KG9IQXA","GSON1235161101")</f>
        <v>#NAME?</v>
      </c>
      <c r="N1935" s="8" t="e">
        <f ca="1">[1]!BexGetData("DP_1","003N8EMH8GTFRIVOG7KG9IX8U","GSON1235161101")</f>
        <v>#NAME?</v>
      </c>
      <c r="O1935" s="8" t="e">
        <f ca="1">[1]!BexGetData("DP_1","003N8EMH8GTFRIVOG7KG9J3KE","GSON1235161101")</f>
        <v>#NAME?</v>
      </c>
      <c r="P1935" s="8" t="e">
        <f ca="1">[1]!BexGetData("DP_1","003N8EMH8GTFRIVOG7KG9J9VY","GSON1235161101")</f>
        <v>#NAME?</v>
      </c>
      <c r="Q1935" s="4" t="e">
        <f ca="1">[1]!BexGetData("DP_1","00O2TNJGODT0G5Z4TTKYMM5MT","GSON1235161101")</f>
        <v>#NAME?</v>
      </c>
      <c r="R1935" s="3" t="e">
        <f ca="1">[1]!BexGetData("DP_1","00O2TNJGODT0G5Z4TTKYMMBYD","GSON1235161101")</f>
        <v>#NAME?</v>
      </c>
      <c r="S1935" s="3" t="e">
        <f ca="1">[1]!BexGetData("DP_1","00O2TNJGODT0G5Z4TTKYMMI9X","GSON1235161101")</f>
        <v>#NAME?</v>
      </c>
      <c r="T1935" s="8" t="e">
        <f ca="1">[1]!BexGetData("DP_1","00O2TNJGODT0G5Z4TTKYMMOLH","GSON1235161101")</f>
        <v>#NAME?</v>
      </c>
      <c r="U1935" s="3" t="e">
        <f ca="1">[1]!BexGetData("DP_1","00O2TNJGODT0G5Z4TTKYMMUX1","GSON1235161101")</f>
        <v>#NAME?</v>
      </c>
      <c r="V1935" s="8" t="e">
        <f ca="1">[1]!BexGetData("DP_1","00O2TNJGODT0G5Z4TTKYMN18L","GSON1235161101")</f>
        <v>#NAME?</v>
      </c>
      <c r="W1935" s="3" t="e">
        <f ca="1">[1]!BexGetData("DP_1","00O2TNJGODT0G5Z4TTKYMN7K5","GSON1235161101")</f>
        <v>#NAME?</v>
      </c>
    </row>
    <row r="1936" spans="1:23" x14ac:dyDescent="0.2">
      <c r="A1936" s="16" t="s">
        <v>1271</v>
      </c>
      <c r="B1936" s="7" t="s">
        <v>466</v>
      </c>
      <c r="C1936" s="3" t="e">
        <f ca="1">[1]!BexGetData("DP_1","003N8EMH8GTFRCSWKMPXRR8GU","GSON1235161102")</f>
        <v>#NAME?</v>
      </c>
      <c r="D1936" s="3" t="e">
        <f ca="1">[1]!BexGetData("DP_1","003N8EMH8GTFRCSWKMPXRRESE","GSON1235161102")</f>
        <v>#NAME?</v>
      </c>
      <c r="E1936" s="3" t="e">
        <f ca="1">[1]!BexGetData("DP_1","003N8EMH8GTFRCSWKMPXRRL3Y","GSON1235161102")</f>
        <v>#NAME?</v>
      </c>
      <c r="F1936" s="3" t="e">
        <f ca="1">[1]!BexGetData("DP_1","003N8EMH8GTFRCSWKMPXRRRFI","GSON1235161102")</f>
        <v>#NAME?</v>
      </c>
      <c r="G1936" s="3" t="e">
        <f ca="1">[1]!BexGetData("DP_1","003N8EMH8GTFRCSWKMPXRRXR2","GSON1235161102")</f>
        <v>#NAME?</v>
      </c>
      <c r="H1936" s="8" t="e">
        <f ca="1">[1]!BexGetData("DP_1","003N8EMH8GTFRCSWKMPXRS42M","GSON1235161102")</f>
        <v>#NAME?</v>
      </c>
      <c r="I1936" s="3" t="e">
        <f ca="1">[1]!BexGetData("DP_1","003N8EMH8GTFRCSWKMPXRSAE6","GSON1235161102")</f>
        <v>#NAME?</v>
      </c>
      <c r="J1936" s="4" t="e">
        <f ca="1">[1]!BexGetData("DP_1","003N8EMH8GTFRCSWKMPXRSGPQ","GSON1235161102")</f>
        <v>#NAME?</v>
      </c>
      <c r="K1936" s="3" t="e">
        <f ca="1">[1]!BexGetData("DP_1","003N8EMH8GTFRIVNUPY288VJH","GSON1235161102")</f>
        <v>#NAME?</v>
      </c>
      <c r="L1936" s="3" t="e">
        <f ca="1">[1]!BexGetData("DP_1","003N8EMH8GTFRIVNUPY2891V1","GSON1235161102")</f>
        <v>#NAME?</v>
      </c>
      <c r="M1936" s="8" t="e">
        <f ca="1">[1]!BexGetData("DP_1","003N8EMH8GTFRIVOG7KG9IQXA","GSON1235161102")</f>
        <v>#NAME?</v>
      </c>
      <c r="N1936" s="3" t="e">
        <f ca="1">[1]!BexGetData("DP_1","003N8EMH8GTFRIVOG7KG9IX8U","GSON1235161102")</f>
        <v>#NAME?</v>
      </c>
      <c r="O1936" s="8" t="e">
        <f ca="1">[1]!BexGetData("DP_1","003N8EMH8GTFRIVOG7KG9J3KE","GSON1235161102")</f>
        <v>#NAME?</v>
      </c>
      <c r="P1936" s="3" t="e">
        <f ca="1">[1]!BexGetData("DP_1","003N8EMH8GTFRIVOG7KG9J9VY","GSON1235161102")</f>
        <v>#NAME?</v>
      </c>
      <c r="Q1936" s="4" t="e">
        <f ca="1">[1]!BexGetData("DP_1","00O2TNJGODT0G5Z4TTKYMM5MT","GSON1235161102")</f>
        <v>#NAME?</v>
      </c>
      <c r="R1936" s="3" t="e">
        <f ca="1">[1]!BexGetData("DP_1","00O2TNJGODT0G5Z4TTKYMMBYD","GSON1235161102")</f>
        <v>#NAME?</v>
      </c>
      <c r="S1936" s="3" t="e">
        <f ca="1">[1]!BexGetData("DP_1","00O2TNJGODT0G5Z4TTKYMMI9X","GSON1235161102")</f>
        <v>#NAME?</v>
      </c>
      <c r="T1936" s="8" t="e">
        <f ca="1">[1]!BexGetData("DP_1","00O2TNJGODT0G5Z4TTKYMMOLH","GSON1235161102")</f>
        <v>#NAME?</v>
      </c>
      <c r="U1936" s="3" t="e">
        <f ca="1">[1]!BexGetData("DP_1","00O2TNJGODT0G5Z4TTKYMMUX1","GSON1235161102")</f>
        <v>#NAME?</v>
      </c>
      <c r="V1936" s="8" t="e">
        <f ca="1">[1]!BexGetData("DP_1","00O2TNJGODT0G5Z4TTKYMN18L","GSON1235161102")</f>
        <v>#NAME?</v>
      </c>
      <c r="W1936" s="3" t="e">
        <f ca="1">[1]!BexGetData("DP_1","00O2TNJGODT0G5Z4TTKYMN7K5","GSON1235161102")</f>
        <v>#NAME?</v>
      </c>
    </row>
    <row r="1937" spans="1:23" x14ac:dyDescent="0.2">
      <c r="A1937" s="16" t="s">
        <v>1272</v>
      </c>
      <c r="B1937" s="7" t="s">
        <v>1273</v>
      </c>
      <c r="C1937" s="8" t="e">
        <f ca="1">[1]!BexGetData("DP_1","003N8EMH8GTFRCSWKMPXRR8GU","GSON1235261200")</f>
        <v>#NAME?</v>
      </c>
      <c r="D1937" s="8" t="e">
        <f ca="1">[1]!BexGetData("DP_1","003N8EMH8GTFRCSWKMPXRRESE","GSON1235261200")</f>
        <v>#NAME?</v>
      </c>
      <c r="E1937" s="3" t="e">
        <f ca="1">[1]!BexGetData("DP_1","003N8EMH8GTFRCSWKMPXRRL3Y","GSON1235261200")</f>
        <v>#NAME?</v>
      </c>
      <c r="F1937" s="3" t="e">
        <f ca="1">[1]!BexGetData("DP_1","003N8EMH8GTFRCSWKMPXRRRFI","GSON1235261200")</f>
        <v>#NAME?</v>
      </c>
      <c r="G1937" s="3" t="e">
        <f ca="1">[1]!BexGetData("DP_1","003N8EMH8GTFRCSWKMPXRRXR2","GSON1235261200")</f>
        <v>#NAME?</v>
      </c>
      <c r="H1937" s="3" t="e">
        <f ca="1">[1]!BexGetData("DP_1","003N8EMH8GTFRCSWKMPXRS42M","GSON1235261200")</f>
        <v>#NAME?</v>
      </c>
      <c r="I1937" s="3" t="e">
        <f ca="1">[1]!BexGetData("DP_1","003N8EMH8GTFRCSWKMPXRSAE6","GSON1235261200")</f>
        <v>#NAME?</v>
      </c>
      <c r="J1937" s="4" t="e">
        <f ca="1">[1]!BexGetData("DP_1","003N8EMH8GTFRCSWKMPXRSGPQ","GSON1235261200")</f>
        <v>#NAME?</v>
      </c>
      <c r="K1937" s="8" t="e">
        <f ca="1">[1]!BexGetData("DP_1","003N8EMH8GTFRIVNUPY288VJH","GSON1235261200")</f>
        <v>#NAME?</v>
      </c>
      <c r="L1937" s="8" t="e">
        <f ca="1">[1]!BexGetData("DP_1","003N8EMH8GTFRIVNUPY2891V1","GSON1235261200")</f>
        <v>#NAME?</v>
      </c>
      <c r="M1937" s="8" t="e">
        <f ca="1">[1]!BexGetData("DP_1","003N8EMH8GTFRIVOG7KG9IQXA","GSON1235261200")</f>
        <v>#NAME?</v>
      </c>
      <c r="N1937" s="8" t="e">
        <f ca="1">[1]!BexGetData("DP_1","003N8EMH8GTFRIVOG7KG9IX8U","GSON1235261200")</f>
        <v>#NAME?</v>
      </c>
      <c r="O1937" s="8" t="e">
        <f ca="1">[1]!BexGetData("DP_1","003N8EMH8GTFRIVOG7KG9J3KE","GSON1235261200")</f>
        <v>#NAME?</v>
      </c>
      <c r="P1937" s="8" t="e">
        <f ca="1">[1]!BexGetData("DP_1","003N8EMH8GTFRIVOG7KG9J9VY","GSON1235261200")</f>
        <v>#NAME?</v>
      </c>
      <c r="Q1937" s="4" t="e">
        <f ca="1">[1]!BexGetData("DP_1","00O2TNJGODT0G5Z4TTKYMM5MT","GSON1235261200")</f>
        <v>#NAME?</v>
      </c>
      <c r="R1937" s="3" t="e">
        <f ca="1">[1]!BexGetData("DP_1","00O2TNJGODT0G5Z4TTKYMMBYD","GSON1235261200")</f>
        <v>#NAME?</v>
      </c>
      <c r="S1937" s="3" t="e">
        <f ca="1">[1]!BexGetData("DP_1","00O2TNJGODT0G5Z4TTKYMMI9X","GSON1235261200")</f>
        <v>#NAME?</v>
      </c>
      <c r="T1937" s="8" t="e">
        <f ca="1">[1]!BexGetData("DP_1","00O2TNJGODT0G5Z4TTKYMMOLH","GSON1235261200")</f>
        <v>#NAME?</v>
      </c>
      <c r="U1937" s="3" t="e">
        <f ca="1">[1]!BexGetData("DP_1","00O2TNJGODT0G5Z4TTKYMMUX1","GSON1235261200")</f>
        <v>#NAME?</v>
      </c>
      <c r="V1937" s="8" t="e">
        <f ca="1">[1]!BexGetData("DP_1","00O2TNJGODT0G5Z4TTKYMN18L","GSON1235261200")</f>
        <v>#NAME?</v>
      </c>
      <c r="W1937" s="3" t="e">
        <f ca="1">[1]!BexGetData("DP_1","00O2TNJGODT0G5Z4TTKYMN7K5","GSON1235261200")</f>
        <v>#NAME?</v>
      </c>
    </row>
    <row r="1938" spans="1:23" x14ac:dyDescent="0.2">
      <c r="A1938" s="16" t="s">
        <v>1698</v>
      </c>
      <c r="B1938" s="7" t="s">
        <v>1699</v>
      </c>
      <c r="C1938" s="3" t="e">
        <f ca="1">[1]!BexGetData("DP_1","003N8EMH8GTFRCSWKMPXRR8GU","GSON1235261201")</f>
        <v>#NAME?</v>
      </c>
      <c r="D1938" s="3" t="e">
        <f ca="1">[1]!BexGetData("DP_1","003N8EMH8GTFRCSWKMPXRRESE","GSON1235261201")</f>
        <v>#NAME?</v>
      </c>
      <c r="E1938" s="3" t="e">
        <f ca="1">[1]!BexGetData("DP_1","003N8EMH8GTFRCSWKMPXRRL3Y","GSON1235261201")</f>
        <v>#NAME?</v>
      </c>
      <c r="F1938" s="3" t="e">
        <f ca="1">[1]!BexGetData("DP_1","003N8EMH8GTFRCSWKMPXRRRFI","GSON1235261201")</f>
        <v>#NAME?</v>
      </c>
      <c r="G1938" s="3" t="e">
        <f ca="1">[1]!BexGetData("DP_1","003N8EMH8GTFRCSWKMPXRRXR2","GSON1235261201")</f>
        <v>#NAME?</v>
      </c>
      <c r="H1938" s="8" t="e">
        <f ca="1">[1]!BexGetData("DP_1","003N8EMH8GTFRCSWKMPXRS42M","GSON1235261201")</f>
        <v>#NAME?</v>
      </c>
      <c r="I1938" s="3" t="e">
        <f ca="1">[1]!BexGetData("DP_1","003N8EMH8GTFRCSWKMPXRSAE6","GSON1235261201")</f>
        <v>#NAME?</v>
      </c>
      <c r="J1938" s="4" t="e">
        <f ca="1">[1]!BexGetData("DP_1","003N8EMH8GTFRCSWKMPXRSGPQ","GSON1235261201")</f>
        <v>#NAME?</v>
      </c>
      <c r="K1938" s="3" t="e">
        <f ca="1">[1]!BexGetData("DP_1","003N8EMH8GTFRIVNUPY288VJH","GSON1235261201")</f>
        <v>#NAME?</v>
      </c>
      <c r="L1938" s="3" t="e">
        <f ca="1">[1]!BexGetData("DP_1","003N8EMH8GTFRIVNUPY2891V1","GSON1235261201")</f>
        <v>#NAME?</v>
      </c>
      <c r="M1938" s="8" t="e">
        <f ca="1">[1]!BexGetData("DP_1","003N8EMH8GTFRIVOG7KG9IQXA","GSON1235261201")</f>
        <v>#NAME?</v>
      </c>
      <c r="N1938" s="3" t="e">
        <f ca="1">[1]!BexGetData("DP_1","003N8EMH8GTFRIVOG7KG9IX8U","GSON1235261201")</f>
        <v>#NAME?</v>
      </c>
      <c r="O1938" s="8" t="e">
        <f ca="1">[1]!BexGetData("DP_1","003N8EMH8GTFRIVOG7KG9J3KE","GSON1235261201")</f>
        <v>#NAME?</v>
      </c>
      <c r="P1938" s="3" t="e">
        <f ca="1">[1]!BexGetData("DP_1","003N8EMH8GTFRIVOG7KG9J9VY","GSON1235261201")</f>
        <v>#NAME?</v>
      </c>
      <c r="Q1938" s="4" t="e">
        <f ca="1">[1]!BexGetData("DP_1","00O2TNJGODT0G5Z4TTKYMM5MT","GSON1235261201")</f>
        <v>#NAME?</v>
      </c>
      <c r="R1938" s="3" t="e">
        <f ca="1">[1]!BexGetData("DP_1","00O2TNJGODT0G5Z4TTKYMMBYD","GSON1235261201")</f>
        <v>#NAME?</v>
      </c>
      <c r="S1938" s="3" t="e">
        <f ca="1">[1]!BexGetData("DP_1","00O2TNJGODT0G5Z4TTKYMMI9X","GSON1235261201")</f>
        <v>#NAME?</v>
      </c>
      <c r="T1938" s="8" t="e">
        <f ca="1">[1]!BexGetData("DP_1","00O2TNJGODT0G5Z4TTKYMMOLH","GSON1235261201")</f>
        <v>#NAME?</v>
      </c>
      <c r="U1938" s="3" t="e">
        <f ca="1">[1]!BexGetData("DP_1","00O2TNJGODT0G5Z4TTKYMMUX1","GSON1235261201")</f>
        <v>#NAME?</v>
      </c>
      <c r="V1938" s="8" t="e">
        <f ca="1">[1]!BexGetData("DP_1","00O2TNJGODT0G5Z4TTKYMN18L","GSON1235261201")</f>
        <v>#NAME?</v>
      </c>
      <c r="W1938" s="3" t="e">
        <f ca="1">[1]!BexGetData("DP_1","00O2TNJGODT0G5Z4TTKYMN7K5","GSON1235261201")</f>
        <v>#NAME?</v>
      </c>
    </row>
    <row r="1939" spans="1:23" x14ac:dyDescent="0.2">
      <c r="A1939" s="16" t="s">
        <v>4640</v>
      </c>
      <c r="B1939" s="7" t="s">
        <v>4641</v>
      </c>
      <c r="C1939" s="8" t="e">
        <f ca="1">[1]!BexGetData("DP_1","003N8EMH8GTFRCSWKMPXRR8GU","GSON1235261202")</f>
        <v>#NAME?</v>
      </c>
      <c r="D1939" s="8" t="e">
        <f ca="1">[1]!BexGetData("DP_1","003N8EMH8GTFRCSWKMPXRRESE","GSON1235261202")</f>
        <v>#NAME?</v>
      </c>
      <c r="E1939" s="3" t="e">
        <f ca="1">[1]!BexGetData("DP_1","003N8EMH8GTFRCSWKMPXRRL3Y","GSON1235261202")</f>
        <v>#NAME?</v>
      </c>
      <c r="F1939" s="3" t="e">
        <f ca="1">[1]!BexGetData("DP_1","003N8EMH8GTFRCSWKMPXRRRFI","GSON1235261202")</f>
        <v>#NAME?</v>
      </c>
      <c r="G1939" s="3" t="e">
        <f ca="1">[1]!BexGetData("DP_1","003N8EMH8GTFRCSWKMPXRRXR2","GSON1235261202")</f>
        <v>#NAME?</v>
      </c>
      <c r="H1939" s="8" t="e">
        <f ca="1">[1]!BexGetData("DP_1","003N8EMH8GTFRCSWKMPXRS42M","GSON1235261202")</f>
        <v>#NAME?</v>
      </c>
      <c r="I1939" s="3" t="e">
        <f ca="1">[1]!BexGetData("DP_1","003N8EMH8GTFRCSWKMPXRSAE6","GSON1235261202")</f>
        <v>#NAME?</v>
      </c>
      <c r="J1939" s="4" t="e">
        <f ca="1">[1]!BexGetData("DP_1","003N8EMH8GTFRCSWKMPXRSGPQ","GSON1235261202")</f>
        <v>#NAME?</v>
      </c>
      <c r="K1939" s="8" t="e">
        <f ca="1">[1]!BexGetData("DP_1","003N8EMH8GTFRIVNUPY288VJH","GSON1235261202")</f>
        <v>#NAME?</v>
      </c>
      <c r="L1939" s="8" t="e">
        <f ca="1">[1]!BexGetData("DP_1","003N8EMH8GTFRIVNUPY2891V1","GSON1235261202")</f>
        <v>#NAME?</v>
      </c>
      <c r="M1939" s="8" t="e">
        <f ca="1">[1]!BexGetData("DP_1","003N8EMH8GTFRIVOG7KG9IQXA","GSON1235261202")</f>
        <v>#NAME?</v>
      </c>
      <c r="N1939" s="8" t="e">
        <f ca="1">[1]!BexGetData("DP_1","003N8EMH8GTFRIVOG7KG9IX8U","GSON1235261202")</f>
        <v>#NAME?</v>
      </c>
      <c r="O1939" s="8" t="e">
        <f ca="1">[1]!BexGetData("DP_1","003N8EMH8GTFRIVOG7KG9J3KE","GSON1235261202")</f>
        <v>#NAME?</v>
      </c>
      <c r="P1939" s="8" t="e">
        <f ca="1">[1]!BexGetData("DP_1","003N8EMH8GTFRIVOG7KG9J9VY","GSON1235261202")</f>
        <v>#NAME?</v>
      </c>
      <c r="Q1939" s="4" t="e">
        <f ca="1">[1]!BexGetData("DP_1","00O2TNJGODT0G5Z4TTKYMM5MT","GSON1235261202")</f>
        <v>#NAME?</v>
      </c>
      <c r="R1939" s="3" t="e">
        <f ca="1">[1]!BexGetData("DP_1","00O2TNJGODT0G5Z4TTKYMMBYD","GSON1235261202")</f>
        <v>#NAME?</v>
      </c>
      <c r="S1939" s="3" t="e">
        <f ca="1">[1]!BexGetData("DP_1","00O2TNJGODT0G5Z4TTKYMMI9X","GSON1235261202")</f>
        <v>#NAME?</v>
      </c>
      <c r="T1939" s="8" t="e">
        <f ca="1">[1]!BexGetData("DP_1","00O2TNJGODT0G5Z4TTKYMMOLH","GSON1235261202")</f>
        <v>#NAME?</v>
      </c>
      <c r="U1939" s="3" t="e">
        <f ca="1">[1]!BexGetData("DP_1","00O2TNJGODT0G5Z4TTKYMMUX1","GSON1235261202")</f>
        <v>#NAME?</v>
      </c>
      <c r="V1939" s="8" t="e">
        <f ca="1">[1]!BexGetData("DP_1","00O2TNJGODT0G5Z4TTKYMN18L","GSON1235261202")</f>
        <v>#NAME?</v>
      </c>
      <c r="W1939" s="3" t="e">
        <f ca="1">[1]!BexGetData("DP_1","00O2TNJGODT0G5Z4TTKYMN7K5","GSON1235261202")</f>
        <v>#NAME?</v>
      </c>
    </row>
    <row r="1940" spans="1:23" x14ac:dyDescent="0.2">
      <c r="A1940" s="16" t="s">
        <v>4642</v>
      </c>
      <c r="B1940" s="7" t="s">
        <v>4643</v>
      </c>
      <c r="C1940" s="3" t="e">
        <f ca="1">[1]!BexGetData("DP_1","003N8EMH8GTFRCSWKMPXRR8GU","GSON1235261203")</f>
        <v>#NAME?</v>
      </c>
      <c r="D1940" s="3" t="e">
        <f ca="1">[1]!BexGetData("DP_1","003N8EMH8GTFRCSWKMPXRRESE","GSON1235261203")</f>
        <v>#NAME?</v>
      </c>
      <c r="E1940" s="3" t="e">
        <f ca="1">[1]!BexGetData("DP_1","003N8EMH8GTFRCSWKMPXRRL3Y","GSON1235261203")</f>
        <v>#NAME?</v>
      </c>
      <c r="F1940" s="3" t="e">
        <f ca="1">[1]!BexGetData("DP_1","003N8EMH8GTFRCSWKMPXRRRFI","GSON1235261203")</f>
        <v>#NAME?</v>
      </c>
      <c r="G1940" s="3" t="e">
        <f ca="1">[1]!BexGetData("DP_1","003N8EMH8GTFRCSWKMPXRRXR2","GSON1235261203")</f>
        <v>#NAME?</v>
      </c>
      <c r="H1940" s="8" t="e">
        <f ca="1">[1]!BexGetData("DP_1","003N8EMH8GTFRCSWKMPXRS42M","GSON1235261203")</f>
        <v>#NAME?</v>
      </c>
      <c r="I1940" s="3" t="e">
        <f ca="1">[1]!BexGetData("DP_1","003N8EMH8GTFRCSWKMPXRSAE6","GSON1235261203")</f>
        <v>#NAME?</v>
      </c>
      <c r="J1940" s="4" t="e">
        <f ca="1">[1]!BexGetData("DP_1","003N8EMH8GTFRCSWKMPXRSGPQ","GSON1235261203")</f>
        <v>#NAME?</v>
      </c>
      <c r="K1940" s="3" t="e">
        <f ca="1">[1]!BexGetData("DP_1","003N8EMH8GTFRIVNUPY288VJH","GSON1235261203")</f>
        <v>#NAME?</v>
      </c>
      <c r="L1940" s="3" t="e">
        <f ca="1">[1]!BexGetData("DP_1","003N8EMH8GTFRIVNUPY2891V1","GSON1235261203")</f>
        <v>#NAME?</v>
      </c>
      <c r="M1940" s="8" t="e">
        <f ca="1">[1]!BexGetData("DP_1","003N8EMH8GTFRIVOG7KG9IQXA","GSON1235261203")</f>
        <v>#NAME?</v>
      </c>
      <c r="N1940" s="3" t="e">
        <f ca="1">[1]!BexGetData("DP_1","003N8EMH8GTFRIVOG7KG9IX8U","GSON1235261203")</f>
        <v>#NAME?</v>
      </c>
      <c r="O1940" s="8" t="e">
        <f ca="1">[1]!BexGetData("DP_1","003N8EMH8GTFRIVOG7KG9J3KE","GSON1235261203")</f>
        <v>#NAME?</v>
      </c>
      <c r="P1940" s="3" t="e">
        <f ca="1">[1]!BexGetData("DP_1","003N8EMH8GTFRIVOG7KG9J9VY","GSON1235261203")</f>
        <v>#NAME?</v>
      </c>
      <c r="Q1940" s="4" t="e">
        <f ca="1">[1]!BexGetData("DP_1","00O2TNJGODT0G5Z4TTKYMM5MT","GSON1235261203")</f>
        <v>#NAME?</v>
      </c>
      <c r="R1940" s="3" t="e">
        <f ca="1">[1]!BexGetData("DP_1","00O2TNJGODT0G5Z4TTKYMMBYD","GSON1235261203")</f>
        <v>#NAME?</v>
      </c>
      <c r="S1940" s="3" t="e">
        <f ca="1">[1]!BexGetData("DP_1","00O2TNJGODT0G5Z4TTKYMMI9X","GSON1235261203")</f>
        <v>#NAME?</v>
      </c>
      <c r="T1940" s="8" t="e">
        <f ca="1">[1]!BexGetData("DP_1","00O2TNJGODT0G5Z4TTKYMMOLH","GSON1235261203")</f>
        <v>#NAME?</v>
      </c>
      <c r="U1940" s="3" t="e">
        <f ca="1">[1]!BexGetData("DP_1","00O2TNJGODT0G5Z4TTKYMMUX1","GSON1235261203")</f>
        <v>#NAME?</v>
      </c>
      <c r="V1940" s="8" t="e">
        <f ca="1">[1]!BexGetData("DP_1","00O2TNJGODT0G5Z4TTKYMN18L","GSON1235261203")</f>
        <v>#NAME?</v>
      </c>
      <c r="W1940" s="3" t="e">
        <f ca="1">[1]!BexGetData("DP_1","00O2TNJGODT0G5Z4TTKYMN7K5","GSON1235261203")</f>
        <v>#NAME?</v>
      </c>
    </row>
    <row r="1941" spans="1:23" x14ac:dyDescent="0.2">
      <c r="A1941" s="16" t="s">
        <v>4644</v>
      </c>
      <c r="B1941" s="7" t="s">
        <v>4645</v>
      </c>
      <c r="C1941" s="3" t="e">
        <f ca="1">[1]!BexGetData("DP_1","003N8EMH8GTFRCSWKMPXRR8GU","GSON1235261207")</f>
        <v>#NAME?</v>
      </c>
      <c r="D1941" s="3" t="e">
        <f ca="1">[1]!BexGetData("DP_1","003N8EMH8GTFRCSWKMPXRRESE","GSON1235261207")</f>
        <v>#NAME?</v>
      </c>
      <c r="E1941" s="3" t="e">
        <f ca="1">[1]!BexGetData("DP_1","003N8EMH8GTFRCSWKMPXRRL3Y","GSON1235261207")</f>
        <v>#NAME?</v>
      </c>
      <c r="F1941" s="3" t="e">
        <f ca="1">[1]!BexGetData("DP_1","003N8EMH8GTFRCSWKMPXRRRFI","GSON1235261207")</f>
        <v>#NAME?</v>
      </c>
      <c r="G1941" s="3" t="e">
        <f ca="1">[1]!BexGetData("DP_1","003N8EMH8GTFRCSWKMPXRRXR2","GSON1235261207")</f>
        <v>#NAME?</v>
      </c>
      <c r="H1941" s="8" t="e">
        <f ca="1">[1]!BexGetData("DP_1","003N8EMH8GTFRCSWKMPXRS42M","GSON1235261207")</f>
        <v>#NAME?</v>
      </c>
      <c r="I1941" s="3" t="e">
        <f ca="1">[1]!BexGetData("DP_1","003N8EMH8GTFRCSWKMPXRSAE6","GSON1235261207")</f>
        <v>#NAME?</v>
      </c>
      <c r="J1941" s="4" t="e">
        <f ca="1">[1]!BexGetData("DP_1","003N8EMH8GTFRCSWKMPXRSGPQ","GSON1235261207")</f>
        <v>#NAME?</v>
      </c>
      <c r="K1941" s="3" t="e">
        <f ca="1">[1]!BexGetData("DP_1","003N8EMH8GTFRIVNUPY288VJH","GSON1235261207")</f>
        <v>#NAME?</v>
      </c>
      <c r="L1941" s="3" t="e">
        <f ca="1">[1]!BexGetData("DP_1","003N8EMH8GTFRIVNUPY2891V1","GSON1235261207")</f>
        <v>#NAME?</v>
      </c>
      <c r="M1941" s="8" t="e">
        <f ca="1">[1]!BexGetData("DP_1","003N8EMH8GTFRIVOG7KG9IQXA","GSON1235261207")</f>
        <v>#NAME?</v>
      </c>
      <c r="N1941" s="3" t="e">
        <f ca="1">[1]!BexGetData("DP_1","003N8EMH8GTFRIVOG7KG9IX8U","GSON1235261207")</f>
        <v>#NAME?</v>
      </c>
      <c r="O1941" s="8" t="e">
        <f ca="1">[1]!BexGetData("DP_1","003N8EMH8GTFRIVOG7KG9J3KE","GSON1235261207")</f>
        <v>#NAME?</v>
      </c>
      <c r="P1941" s="3" t="e">
        <f ca="1">[1]!BexGetData("DP_1","003N8EMH8GTFRIVOG7KG9J9VY","GSON1235261207")</f>
        <v>#NAME?</v>
      </c>
      <c r="Q1941" s="4" t="e">
        <f ca="1">[1]!BexGetData("DP_1","00O2TNJGODT0G5Z4TTKYMM5MT","GSON1235261207")</f>
        <v>#NAME?</v>
      </c>
      <c r="R1941" s="3" t="e">
        <f ca="1">[1]!BexGetData("DP_1","00O2TNJGODT0G5Z4TTKYMMBYD","GSON1235261207")</f>
        <v>#NAME?</v>
      </c>
      <c r="S1941" s="3" t="e">
        <f ca="1">[1]!BexGetData("DP_1","00O2TNJGODT0G5Z4TTKYMMI9X","GSON1235261207")</f>
        <v>#NAME?</v>
      </c>
      <c r="T1941" s="8" t="e">
        <f ca="1">[1]!BexGetData("DP_1","00O2TNJGODT0G5Z4TTKYMMOLH","GSON1235261207")</f>
        <v>#NAME?</v>
      </c>
      <c r="U1941" s="3" t="e">
        <f ca="1">[1]!BexGetData("DP_1","00O2TNJGODT0G5Z4TTKYMMUX1","GSON1235261207")</f>
        <v>#NAME?</v>
      </c>
      <c r="V1941" s="8" t="e">
        <f ca="1">[1]!BexGetData("DP_1","00O2TNJGODT0G5Z4TTKYMN18L","GSON1235261207")</f>
        <v>#NAME?</v>
      </c>
      <c r="W1941" s="3" t="e">
        <f ca="1">[1]!BexGetData("DP_1","00O2TNJGODT0G5Z4TTKYMN7K5","GSON1235261207")</f>
        <v>#NAME?</v>
      </c>
    </row>
    <row r="1942" spans="1:23" x14ac:dyDescent="0.2">
      <c r="A1942" s="16" t="s">
        <v>4646</v>
      </c>
      <c r="B1942" s="7" t="s">
        <v>4647</v>
      </c>
      <c r="C1942" s="3" t="e">
        <f ca="1">[1]!BexGetData("DP_1","003N8EMH8GTFRCSWKMPXRR8GU","GSON1235261209")</f>
        <v>#NAME?</v>
      </c>
      <c r="D1942" s="3" t="e">
        <f ca="1">[1]!BexGetData("DP_1","003N8EMH8GTFRCSWKMPXRRESE","GSON1235261209")</f>
        <v>#NAME?</v>
      </c>
      <c r="E1942" s="3" t="e">
        <f ca="1">[1]!BexGetData("DP_1","003N8EMH8GTFRCSWKMPXRRL3Y","GSON1235261209")</f>
        <v>#NAME?</v>
      </c>
      <c r="F1942" s="3" t="e">
        <f ca="1">[1]!BexGetData("DP_1","003N8EMH8GTFRCSWKMPXRRRFI","GSON1235261209")</f>
        <v>#NAME?</v>
      </c>
      <c r="G1942" s="3" t="e">
        <f ca="1">[1]!BexGetData("DP_1","003N8EMH8GTFRCSWKMPXRRXR2","GSON1235261209")</f>
        <v>#NAME?</v>
      </c>
      <c r="H1942" s="8" t="e">
        <f ca="1">[1]!BexGetData("DP_1","003N8EMH8GTFRCSWKMPXRS42M","GSON1235261209")</f>
        <v>#NAME?</v>
      </c>
      <c r="I1942" s="3" t="e">
        <f ca="1">[1]!BexGetData("DP_1","003N8EMH8GTFRCSWKMPXRSAE6","GSON1235261209")</f>
        <v>#NAME?</v>
      </c>
      <c r="J1942" s="4" t="e">
        <f ca="1">[1]!BexGetData("DP_1","003N8EMH8GTFRCSWKMPXRSGPQ","GSON1235261209")</f>
        <v>#NAME?</v>
      </c>
      <c r="K1942" s="3" t="e">
        <f ca="1">[1]!BexGetData("DP_1","003N8EMH8GTFRIVNUPY288VJH","GSON1235261209")</f>
        <v>#NAME?</v>
      </c>
      <c r="L1942" s="3" t="e">
        <f ca="1">[1]!BexGetData("DP_1","003N8EMH8GTFRIVNUPY2891V1","GSON1235261209")</f>
        <v>#NAME?</v>
      </c>
      <c r="M1942" s="8" t="e">
        <f ca="1">[1]!BexGetData("DP_1","003N8EMH8GTFRIVOG7KG9IQXA","GSON1235261209")</f>
        <v>#NAME?</v>
      </c>
      <c r="N1942" s="3" t="e">
        <f ca="1">[1]!BexGetData("DP_1","003N8EMH8GTFRIVOG7KG9IX8U","GSON1235261209")</f>
        <v>#NAME?</v>
      </c>
      <c r="O1942" s="8" t="e">
        <f ca="1">[1]!BexGetData("DP_1","003N8EMH8GTFRIVOG7KG9J3KE","GSON1235261209")</f>
        <v>#NAME?</v>
      </c>
      <c r="P1942" s="3" t="e">
        <f ca="1">[1]!BexGetData("DP_1","003N8EMH8GTFRIVOG7KG9J9VY","GSON1235261209")</f>
        <v>#NAME?</v>
      </c>
      <c r="Q1942" s="4" t="e">
        <f ca="1">[1]!BexGetData("DP_1","00O2TNJGODT0G5Z4TTKYMM5MT","GSON1235261209")</f>
        <v>#NAME?</v>
      </c>
      <c r="R1942" s="3" t="e">
        <f ca="1">[1]!BexGetData("DP_1","00O2TNJGODT0G5Z4TTKYMMBYD","GSON1235261209")</f>
        <v>#NAME?</v>
      </c>
      <c r="S1942" s="3" t="e">
        <f ca="1">[1]!BexGetData("DP_1","00O2TNJGODT0G5Z4TTKYMMI9X","GSON1235261209")</f>
        <v>#NAME?</v>
      </c>
      <c r="T1942" s="8" t="e">
        <f ca="1">[1]!BexGetData("DP_1","00O2TNJGODT0G5Z4TTKYMMOLH","GSON1235261209")</f>
        <v>#NAME?</v>
      </c>
      <c r="U1942" s="3" t="e">
        <f ca="1">[1]!BexGetData("DP_1","00O2TNJGODT0G5Z4TTKYMMUX1","GSON1235261209")</f>
        <v>#NAME?</v>
      </c>
      <c r="V1942" s="8" t="e">
        <f ca="1">[1]!BexGetData("DP_1","00O2TNJGODT0G5Z4TTKYMN18L","GSON1235261209")</f>
        <v>#NAME?</v>
      </c>
      <c r="W1942" s="3" t="e">
        <f ca="1">[1]!BexGetData("DP_1","00O2TNJGODT0G5Z4TTKYMN7K5","GSON1235261209")</f>
        <v>#NAME?</v>
      </c>
    </row>
    <row r="1943" spans="1:23" x14ac:dyDescent="0.2">
      <c r="A1943" s="16" t="s">
        <v>4648</v>
      </c>
      <c r="B1943" s="7" t="s">
        <v>4649</v>
      </c>
      <c r="C1943" s="3" t="e">
        <f ca="1">[1]!BexGetData("DP_1","003N8EMH8GTFRCSWKMPXRR8GU","GSON1235261211")</f>
        <v>#NAME?</v>
      </c>
      <c r="D1943" s="3" t="e">
        <f ca="1">[1]!BexGetData("DP_1","003N8EMH8GTFRCSWKMPXRRESE","GSON1235261211")</f>
        <v>#NAME?</v>
      </c>
      <c r="E1943" s="3" t="e">
        <f ca="1">[1]!BexGetData("DP_1","003N8EMH8GTFRCSWKMPXRRL3Y","GSON1235261211")</f>
        <v>#NAME?</v>
      </c>
      <c r="F1943" s="3" t="e">
        <f ca="1">[1]!BexGetData("DP_1","003N8EMH8GTFRCSWKMPXRRRFI","GSON1235261211")</f>
        <v>#NAME?</v>
      </c>
      <c r="G1943" s="3" t="e">
        <f ca="1">[1]!BexGetData("DP_1","003N8EMH8GTFRCSWKMPXRRXR2","GSON1235261211")</f>
        <v>#NAME?</v>
      </c>
      <c r="H1943" s="8" t="e">
        <f ca="1">[1]!BexGetData("DP_1","003N8EMH8GTFRCSWKMPXRS42M","GSON1235261211")</f>
        <v>#NAME?</v>
      </c>
      <c r="I1943" s="3" t="e">
        <f ca="1">[1]!BexGetData("DP_1","003N8EMH8GTFRCSWKMPXRSAE6","GSON1235261211")</f>
        <v>#NAME?</v>
      </c>
      <c r="J1943" s="4" t="e">
        <f ca="1">[1]!BexGetData("DP_1","003N8EMH8GTFRCSWKMPXRSGPQ","GSON1235261211")</f>
        <v>#NAME?</v>
      </c>
      <c r="K1943" s="3" t="e">
        <f ca="1">[1]!BexGetData("DP_1","003N8EMH8GTFRIVNUPY288VJH","GSON1235261211")</f>
        <v>#NAME?</v>
      </c>
      <c r="L1943" s="3" t="e">
        <f ca="1">[1]!BexGetData("DP_1","003N8EMH8GTFRIVNUPY2891V1","GSON1235261211")</f>
        <v>#NAME?</v>
      </c>
      <c r="M1943" s="8" t="e">
        <f ca="1">[1]!BexGetData("DP_1","003N8EMH8GTFRIVOG7KG9IQXA","GSON1235261211")</f>
        <v>#NAME?</v>
      </c>
      <c r="N1943" s="3" t="e">
        <f ca="1">[1]!BexGetData("DP_1","003N8EMH8GTFRIVOG7KG9IX8U","GSON1235261211")</f>
        <v>#NAME?</v>
      </c>
      <c r="O1943" s="8" t="e">
        <f ca="1">[1]!BexGetData("DP_1","003N8EMH8GTFRIVOG7KG9J3KE","GSON1235261211")</f>
        <v>#NAME?</v>
      </c>
      <c r="P1943" s="3" t="e">
        <f ca="1">[1]!BexGetData("DP_1","003N8EMH8GTFRIVOG7KG9J9VY","GSON1235261211")</f>
        <v>#NAME?</v>
      </c>
      <c r="Q1943" s="4" t="e">
        <f ca="1">[1]!BexGetData("DP_1","00O2TNJGODT0G5Z4TTKYMM5MT","GSON1235261211")</f>
        <v>#NAME?</v>
      </c>
      <c r="R1943" s="3" t="e">
        <f ca="1">[1]!BexGetData("DP_1","00O2TNJGODT0G5Z4TTKYMMBYD","GSON1235261211")</f>
        <v>#NAME?</v>
      </c>
      <c r="S1943" s="3" t="e">
        <f ca="1">[1]!BexGetData("DP_1","00O2TNJGODT0G5Z4TTKYMMI9X","GSON1235261211")</f>
        <v>#NAME?</v>
      </c>
      <c r="T1943" s="8" t="e">
        <f ca="1">[1]!BexGetData("DP_1","00O2TNJGODT0G5Z4TTKYMMOLH","GSON1235261211")</f>
        <v>#NAME?</v>
      </c>
      <c r="U1943" s="3" t="e">
        <f ca="1">[1]!BexGetData("DP_1","00O2TNJGODT0G5Z4TTKYMMUX1","GSON1235261211")</f>
        <v>#NAME?</v>
      </c>
      <c r="V1943" s="8" t="e">
        <f ca="1">[1]!BexGetData("DP_1","00O2TNJGODT0G5Z4TTKYMN18L","GSON1235261211")</f>
        <v>#NAME?</v>
      </c>
      <c r="W1943" s="3" t="e">
        <f ca="1">[1]!BexGetData("DP_1","00O2TNJGODT0G5Z4TTKYMN7K5","GSON1235261211")</f>
        <v>#NAME?</v>
      </c>
    </row>
    <row r="1944" spans="1:23" x14ac:dyDescent="0.2">
      <c r="A1944" s="16" t="s">
        <v>4650</v>
      </c>
      <c r="B1944" s="7" t="s">
        <v>4651</v>
      </c>
      <c r="C1944" s="3" t="e">
        <f ca="1">[1]!BexGetData("DP_1","003N8EMH8GTFRCSWKMPXRR8GU","GSON1235261217")</f>
        <v>#NAME?</v>
      </c>
      <c r="D1944" s="3" t="e">
        <f ca="1">[1]!BexGetData("DP_1","003N8EMH8GTFRCSWKMPXRRESE","GSON1235261217")</f>
        <v>#NAME?</v>
      </c>
      <c r="E1944" s="3" t="e">
        <f ca="1">[1]!BexGetData("DP_1","003N8EMH8GTFRCSWKMPXRRL3Y","GSON1235261217")</f>
        <v>#NAME?</v>
      </c>
      <c r="F1944" s="4" t="e">
        <f ca="1">[1]!BexGetData("DP_1","003N8EMH8GTFRCSWKMPXRRRFI","GSON1235261217")</f>
        <v>#NAME?</v>
      </c>
      <c r="G1944" s="4" t="e">
        <f ca="1">[1]!BexGetData("DP_1","003N8EMH8GTFRCSWKMPXRRXR2","GSON1235261217")</f>
        <v>#NAME?</v>
      </c>
      <c r="H1944" s="4" t="e">
        <f ca="1">[1]!BexGetData("DP_1","003N8EMH8GTFRCSWKMPXRS42M","GSON1235261217")</f>
        <v>#NAME?</v>
      </c>
      <c r="I1944" s="4" t="e">
        <f ca="1">[1]!BexGetData("DP_1","003N8EMH8GTFRCSWKMPXRSAE6","GSON1235261217")</f>
        <v>#NAME?</v>
      </c>
      <c r="J1944" s="4" t="e">
        <f ca="1">[1]!BexGetData("DP_1","003N8EMH8GTFRCSWKMPXRSGPQ","GSON1235261217")</f>
        <v>#NAME?</v>
      </c>
      <c r="K1944" s="3" t="e">
        <f ca="1">[1]!BexGetData("DP_1","003N8EMH8GTFRIVNUPY288VJH","GSON1235261217")</f>
        <v>#NAME?</v>
      </c>
      <c r="L1944" s="3" t="e">
        <f ca="1">[1]!BexGetData("DP_1","003N8EMH8GTFRIVNUPY2891V1","GSON1235261217")</f>
        <v>#NAME?</v>
      </c>
      <c r="M1944" s="8" t="e">
        <f ca="1">[1]!BexGetData("DP_1","003N8EMH8GTFRIVOG7KG9IQXA","GSON1235261217")</f>
        <v>#NAME?</v>
      </c>
      <c r="N1944" s="3" t="e">
        <f ca="1">[1]!BexGetData("DP_1","003N8EMH8GTFRIVOG7KG9IX8U","GSON1235261217")</f>
        <v>#NAME?</v>
      </c>
      <c r="O1944" s="8" t="e">
        <f ca="1">[1]!BexGetData("DP_1","003N8EMH8GTFRIVOG7KG9J3KE","GSON1235261217")</f>
        <v>#NAME?</v>
      </c>
      <c r="P1944" s="3" t="e">
        <f ca="1">[1]!BexGetData("DP_1","003N8EMH8GTFRIVOG7KG9J9VY","GSON1235261217")</f>
        <v>#NAME?</v>
      </c>
      <c r="Q1944" s="4" t="e">
        <f ca="1">[1]!BexGetData("DP_1","00O2TNJGODT0G5Z4TTKYMM5MT","GSON1235261217")</f>
        <v>#NAME?</v>
      </c>
      <c r="R1944" s="4" t="e">
        <f ca="1">[1]!BexGetData("DP_1","00O2TNJGODT0G5Z4TTKYMMBYD","GSON1235261217")</f>
        <v>#NAME?</v>
      </c>
      <c r="S1944" s="4" t="e">
        <f ca="1">[1]!BexGetData("DP_1","00O2TNJGODT0G5Z4TTKYMMI9X","GSON1235261217")</f>
        <v>#NAME?</v>
      </c>
      <c r="T1944" s="4" t="e">
        <f ca="1">[1]!BexGetData("DP_1","00O2TNJGODT0G5Z4TTKYMMOLH","GSON1235261217")</f>
        <v>#NAME?</v>
      </c>
      <c r="U1944" s="4" t="e">
        <f ca="1">[1]!BexGetData("DP_1","00O2TNJGODT0G5Z4TTKYMMUX1","GSON1235261217")</f>
        <v>#NAME?</v>
      </c>
      <c r="V1944" s="4" t="e">
        <f ca="1">[1]!BexGetData("DP_1","00O2TNJGODT0G5Z4TTKYMN18L","GSON1235261217")</f>
        <v>#NAME?</v>
      </c>
      <c r="W1944" s="4" t="e">
        <f ca="1">[1]!BexGetData("DP_1","00O2TNJGODT0G5Z4TTKYMN7K5","GSON1235261217")</f>
        <v>#NAME?</v>
      </c>
    </row>
    <row r="1945" spans="1:23" x14ac:dyDescent="0.2">
      <c r="A1945" s="16" t="s">
        <v>4652</v>
      </c>
      <c r="B1945" s="7" t="s">
        <v>4653</v>
      </c>
      <c r="C1945" s="3" t="e">
        <f ca="1">[1]!BexGetData("DP_1","003N8EMH8GTFRCSWKMPXRR8GU","GSON1235261218")</f>
        <v>#NAME?</v>
      </c>
      <c r="D1945" s="3" t="e">
        <f ca="1">[1]!BexGetData("DP_1","003N8EMH8GTFRCSWKMPXRRESE","GSON1235261218")</f>
        <v>#NAME?</v>
      </c>
      <c r="E1945" s="3" t="e">
        <f ca="1">[1]!BexGetData("DP_1","003N8EMH8GTFRCSWKMPXRRL3Y","GSON1235261218")</f>
        <v>#NAME?</v>
      </c>
      <c r="F1945" s="4" t="e">
        <f ca="1">[1]!BexGetData("DP_1","003N8EMH8GTFRCSWKMPXRRRFI","GSON1235261218")</f>
        <v>#NAME?</v>
      </c>
      <c r="G1945" s="4" t="e">
        <f ca="1">[1]!BexGetData("DP_1","003N8EMH8GTFRCSWKMPXRRXR2","GSON1235261218")</f>
        <v>#NAME?</v>
      </c>
      <c r="H1945" s="4" t="e">
        <f ca="1">[1]!BexGetData("DP_1","003N8EMH8GTFRCSWKMPXRS42M","GSON1235261218")</f>
        <v>#NAME?</v>
      </c>
      <c r="I1945" s="4" t="e">
        <f ca="1">[1]!BexGetData("DP_1","003N8EMH8GTFRCSWKMPXRSAE6","GSON1235261218")</f>
        <v>#NAME?</v>
      </c>
      <c r="J1945" s="4" t="e">
        <f ca="1">[1]!BexGetData("DP_1","003N8EMH8GTFRCSWKMPXRSGPQ","GSON1235261218")</f>
        <v>#NAME?</v>
      </c>
      <c r="K1945" s="3" t="e">
        <f ca="1">[1]!BexGetData("DP_1","003N8EMH8GTFRIVNUPY288VJH","GSON1235261218")</f>
        <v>#NAME?</v>
      </c>
      <c r="L1945" s="3" t="e">
        <f ca="1">[1]!BexGetData("DP_1","003N8EMH8GTFRIVNUPY2891V1","GSON1235261218")</f>
        <v>#NAME?</v>
      </c>
      <c r="M1945" s="8" t="e">
        <f ca="1">[1]!BexGetData("DP_1","003N8EMH8GTFRIVOG7KG9IQXA","GSON1235261218")</f>
        <v>#NAME?</v>
      </c>
      <c r="N1945" s="3" t="e">
        <f ca="1">[1]!BexGetData("DP_1","003N8EMH8GTFRIVOG7KG9IX8U","GSON1235261218")</f>
        <v>#NAME?</v>
      </c>
      <c r="O1945" s="8" t="e">
        <f ca="1">[1]!BexGetData("DP_1","003N8EMH8GTFRIVOG7KG9J3KE","GSON1235261218")</f>
        <v>#NAME?</v>
      </c>
      <c r="P1945" s="3" t="e">
        <f ca="1">[1]!BexGetData("DP_1","003N8EMH8GTFRIVOG7KG9J9VY","GSON1235261218")</f>
        <v>#NAME?</v>
      </c>
      <c r="Q1945" s="4" t="e">
        <f ca="1">[1]!BexGetData("DP_1","00O2TNJGODT0G5Z4TTKYMM5MT","GSON1235261218")</f>
        <v>#NAME?</v>
      </c>
      <c r="R1945" s="4" t="e">
        <f ca="1">[1]!BexGetData("DP_1","00O2TNJGODT0G5Z4TTKYMMBYD","GSON1235261218")</f>
        <v>#NAME?</v>
      </c>
      <c r="S1945" s="4" t="e">
        <f ca="1">[1]!BexGetData("DP_1","00O2TNJGODT0G5Z4TTKYMMI9X","GSON1235261218")</f>
        <v>#NAME?</v>
      </c>
      <c r="T1945" s="4" t="e">
        <f ca="1">[1]!BexGetData("DP_1","00O2TNJGODT0G5Z4TTKYMMOLH","GSON1235261218")</f>
        <v>#NAME?</v>
      </c>
      <c r="U1945" s="4" t="e">
        <f ca="1">[1]!BexGetData("DP_1","00O2TNJGODT0G5Z4TTKYMMUX1","GSON1235261218")</f>
        <v>#NAME?</v>
      </c>
      <c r="V1945" s="4" t="e">
        <f ca="1">[1]!BexGetData("DP_1","00O2TNJGODT0G5Z4TTKYMN18L","GSON1235261218")</f>
        <v>#NAME?</v>
      </c>
      <c r="W1945" s="4" t="e">
        <f ca="1">[1]!BexGetData("DP_1","00O2TNJGODT0G5Z4TTKYMN7K5","GSON1235261218")</f>
        <v>#NAME?</v>
      </c>
    </row>
    <row r="1946" spans="1:23" x14ac:dyDescent="0.2">
      <c r="A1946" s="16" t="s">
        <v>4654</v>
      </c>
      <c r="B1946" s="7" t="s">
        <v>4655</v>
      </c>
      <c r="C1946" s="3" t="e">
        <f ca="1">[1]!BexGetData("DP_1","003N8EMH8GTFRCSWKMPXRR8GU","GSON1235261222")</f>
        <v>#NAME?</v>
      </c>
      <c r="D1946" s="8" t="e">
        <f ca="1">[1]!BexGetData("DP_1","003N8EMH8GTFRCSWKMPXRRESE","GSON1235261222")</f>
        <v>#NAME?</v>
      </c>
      <c r="E1946" s="3" t="e">
        <f ca="1">[1]!BexGetData("DP_1","003N8EMH8GTFRCSWKMPXRRL3Y","GSON1235261222")</f>
        <v>#NAME?</v>
      </c>
      <c r="F1946" s="3" t="e">
        <f ca="1">[1]!BexGetData("DP_1","003N8EMH8GTFRCSWKMPXRRRFI","GSON1235261222")</f>
        <v>#NAME?</v>
      </c>
      <c r="G1946" s="3" t="e">
        <f ca="1">[1]!BexGetData("DP_1","003N8EMH8GTFRCSWKMPXRRXR2","GSON1235261222")</f>
        <v>#NAME?</v>
      </c>
      <c r="H1946" s="8" t="e">
        <f ca="1">[1]!BexGetData("DP_1","003N8EMH8GTFRCSWKMPXRS42M","GSON1235261222")</f>
        <v>#NAME?</v>
      </c>
      <c r="I1946" s="3" t="e">
        <f ca="1">[1]!BexGetData("DP_1","003N8EMH8GTFRCSWKMPXRSAE6","GSON1235261222")</f>
        <v>#NAME?</v>
      </c>
      <c r="J1946" s="4" t="e">
        <f ca="1">[1]!BexGetData("DP_1","003N8EMH8GTFRCSWKMPXRSGPQ","GSON1235261222")</f>
        <v>#NAME?</v>
      </c>
      <c r="K1946" s="3" t="e">
        <f ca="1">[1]!BexGetData("DP_1","003N8EMH8GTFRIVNUPY288VJH","GSON1235261222")</f>
        <v>#NAME?</v>
      </c>
      <c r="L1946" s="3" t="e">
        <f ca="1">[1]!BexGetData("DP_1","003N8EMH8GTFRIVNUPY2891V1","GSON1235261222")</f>
        <v>#NAME?</v>
      </c>
      <c r="M1946" s="8" t="e">
        <f ca="1">[1]!BexGetData("DP_1","003N8EMH8GTFRIVOG7KG9IQXA","GSON1235261222")</f>
        <v>#NAME?</v>
      </c>
      <c r="N1946" s="3" t="e">
        <f ca="1">[1]!BexGetData("DP_1","003N8EMH8GTFRIVOG7KG9IX8U","GSON1235261222")</f>
        <v>#NAME?</v>
      </c>
      <c r="O1946" s="8" t="e">
        <f ca="1">[1]!BexGetData("DP_1","003N8EMH8GTFRIVOG7KG9J3KE","GSON1235261222")</f>
        <v>#NAME?</v>
      </c>
      <c r="P1946" s="3" t="e">
        <f ca="1">[1]!BexGetData("DP_1","003N8EMH8GTFRIVOG7KG9J9VY","GSON1235261222")</f>
        <v>#NAME?</v>
      </c>
      <c r="Q1946" s="4" t="e">
        <f ca="1">[1]!BexGetData("DP_1","00O2TNJGODT0G5Z4TTKYMM5MT","GSON1235261222")</f>
        <v>#NAME?</v>
      </c>
      <c r="R1946" s="3" t="e">
        <f ca="1">[1]!BexGetData("DP_1","00O2TNJGODT0G5Z4TTKYMMBYD","GSON1235261222")</f>
        <v>#NAME?</v>
      </c>
      <c r="S1946" s="3" t="e">
        <f ca="1">[1]!BexGetData("DP_1","00O2TNJGODT0G5Z4TTKYMMI9X","GSON1235261222")</f>
        <v>#NAME?</v>
      </c>
      <c r="T1946" s="8" t="e">
        <f ca="1">[1]!BexGetData("DP_1","00O2TNJGODT0G5Z4TTKYMMOLH","GSON1235261222")</f>
        <v>#NAME?</v>
      </c>
      <c r="U1946" s="3" t="e">
        <f ca="1">[1]!BexGetData("DP_1","00O2TNJGODT0G5Z4TTKYMMUX1","GSON1235261222")</f>
        <v>#NAME?</v>
      </c>
      <c r="V1946" s="8" t="e">
        <f ca="1">[1]!BexGetData("DP_1","00O2TNJGODT0G5Z4TTKYMN18L","GSON1235261222")</f>
        <v>#NAME?</v>
      </c>
      <c r="W1946" s="3" t="e">
        <f ca="1">[1]!BexGetData("DP_1","00O2TNJGODT0G5Z4TTKYMN7K5","GSON1235261222")</f>
        <v>#NAME?</v>
      </c>
    </row>
    <row r="1947" spans="1:23" x14ac:dyDescent="0.2">
      <c r="A1947" s="16" t="s">
        <v>1274</v>
      </c>
      <c r="B1947" s="7" t="s">
        <v>1275</v>
      </c>
      <c r="C1947" s="8" t="e">
        <f ca="1">[1]!BexGetData("DP_1","003N8EMH8GTFRCSWKMPXRR8GU","GSON1235361300")</f>
        <v>#NAME?</v>
      </c>
      <c r="D1947" s="8" t="e">
        <f ca="1">[1]!BexGetData("DP_1","003N8EMH8GTFRCSWKMPXRRESE","GSON1235361300")</f>
        <v>#NAME?</v>
      </c>
      <c r="E1947" s="3" t="e">
        <f ca="1">[1]!BexGetData("DP_1","003N8EMH8GTFRCSWKMPXRRL3Y","GSON1235361300")</f>
        <v>#NAME?</v>
      </c>
      <c r="F1947" s="3" t="e">
        <f ca="1">[1]!BexGetData("DP_1","003N8EMH8GTFRCSWKMPXRRRFI","GSON1235361300")</f>
        <v>#NAME?</v>
      </c>
      <c r="G1947" s="3" t="e">
        <f ca="1">[1]!BexGetData("DP_1","003N8EMH8GTFRCSWKMPXRRXR2","GSON1235361300")</f>
        <v>#NAME?</v>
      </c>
      <c r="H1947" s="3" t="e">
        <f ca="1">[1]!BexGetData("DP_1","003N8EMH8GTFRCSWKMPXRS42M","GSON1235361300")</f>
        <v>#NAME?</v>
      </c>
      <c r="I1947" s="3" t="e">
        <f ca="1">[1]!BexGetData("DP_1","003N8EMH8GTFRCSWKMPXRSAE6","GSON1235361300")</f>
        <v>#NAME?</v>
      </c>
      <c r="J1947" s="4" t="e">
        <f ca="1">[1]!BexGetData("DP_1","003N8EMH8GTFRCSWKMPXRSGPQ","GSON1235361300")</f>
        <v>#NAME?</v>
      </c>
      <c r="K1947" s="8" t="e">
        <f ca="1">[1]!BexGetData("DP_1","003N8EMH8GTFRIVNUPY288VJH","GSON1235361300")</f>
        <v>#NAME?</v>
      </c>
      <c r="L1947" s="8" t="e">
        <f ca="1">[1]!BexGetData("DP_1","003N8EMH8GTFRIVNUPY2891V1","GSON1235361300")</f>
        <v>#NAME?</v>
      </c>
      <c r="M1947" s="8" t="e">
        <f ca="1">[1]!BexGetData("DP_1","003N8EMH8GTFRIVOG7KG9IQXA","GSON1235361300")</f>
        <v>#NAME?</v>
      </c>
      <c r="N1947" s="8" t="e">
        <f ca="1">[1]!BexGetData("DP_1","003N8EMH8GTFRIVOG7KG9IX8U","GSON1235361300")</f>
        <v>#NAME?</v>
      </c>
      <c r="O1947" s="8" t="e">
        <f ca="1">[1]!BexGetData("DP_1","003N8EMH8GTFRIVOG7KG9J3KE","GSON1235361300")</f>
        <v>#NAME?</v>
      </c>
      <c r="P1947" s="8" t="e">
        <f ca="1">[1]!BexGetData("DP_1","003N8EMH8GTFRIVOG7KG9J9VY","GSON1235361300")</f>
        <v>#NAME?</v>
      </c>
      <c r="Q1947" s="4" t="e">
        <f ca="1">[1]!BexGetData("DP_1","00O2TNJGODT0G5Z4TTKYMM5MT","GSON1235361300")</f>
        <v>#NAME?</v>
      </c>
      <c r="R1947" s="3" t="e">
        <f ca="1">[1]!BexGetData("DP_1","00O2TNJGODT0G5Z4TTKYMMBYD","GSON1235361300")</f>
        <v>#NAME?</v>
      </c>
      <c r="S1947" s="3" t="e">
        <f ca="1">[1]!BexGetData("DP_1","00O2TNJGODT0G5Z4TTKYMMI9X","GSON1235361300")</f>
        <v>#NAME?</v>
      </c>
      <c r="T1947" s="8" t="e">
        <f ca="1">[1]!BexGetData("DP_1","00O2TNJGODT0G5Z4TTKYMMOLH","GSON1235361300")</f>
        <v>#NAME?</v>
      </c>
      <c r="U1947" s="3" t="e">
        <f ca="1">[1]!BexGetData("DP_1","00O2TNJGODT0G5Z4TTKYMMUX1","GSON1235361300")</f>
        <v>#NAME?</v>
      </c>
      <c r="V1947" s="8" t="e">
        <f ca="1">[1]!BexGetData("DP_1","00O2TNJGODT0G5Z4TTKYMN18L","GSON1235361300")</f>
        <v>#NAME?</v>
      </c>
      <c r="W1947" s="3" t="e">
        <f ca="1">[1]!BexGetData("DP_1","00O2TNJGODT0G5Z4TTKYMN7K5","GSON1235361300")</f>
        <v>#NAME?</v>
      </c>
    </row>
    <row r="1948" spans="1:23" x14ac:dyDescent="0.2">
      <c r="A1948" s="16" t="s">
        <v>4656</v>
      </c>
      <c r="B1948" s="7" t="s">
        <v>4657</v>
      </c>
      <c r="C1948" s="8" t="e">
        <f ca="1">[1]!BexGetData("DP_1","003N8EMH8GTFRCSWKMPXRR8GU","GSON1235361302")</f>
        <v>#NAME?</v>
      </c>
      <c r="D1948" s="8" t="e">
        <f ca="1">[1]!BexGetData("DP_1","003N8EMH8GTFRCSWKMPXRRESE","GSON1235361302")</f>
        <v>#NAME?</v>
      </c>
      <c r="E1948" s="3" t="e">
        <f ca="1">[1]!BexGetData("DP_1","003N8EMH8GTFRCSWKMPXRRL3Y","GSON1235361302")</f>
        <v>#NAME?</v>
      </c>
      <c r="F1948" s="3" t="e">
        <f ca="1">[1]!BexGetData("DP_1","003N8EMH8GTFRCSWKMPXRRRFI","GSON1235361302")</f>
        <v>#NAME?</v>
      </c>
      <c r="G1948" s="3" t="e">
        <f ca="1">[1]!BexGetData("DP_1","003N8EMH8GTFRCSWKMPXRRXR2","GSON1235361302")</f>
        <v>#NAME?</v>
      </c>
      <c r="H1948" s="8" t="e">
        <f ca="1">[1]!BexGetData("DP_1","003N8EMH8GTFRCSWKMPXRS42M","GSON1235361302")</f>
        <v>#NAME?</v>
      </c>
      <c r="I1948" s="3" t="e">
        <f ca="1">[1]!BexGetData("DP_1","003N8EMH8GTFRCSWKMPXRSAE6","GSON1235361302")</f>
        <v>#NAME?</v>
      </c>
      <c r="J1948" s="4" t="e">
        <f ca="1">[1]!BexGetData("DP_1","003N8EMH8GTFRCSWKMPXRSGPQ","GSON1235361302")</f>
        <v>#NAME?</v>
      </c>
      <c r="K1948" s="8" t="e">
        <f ca="1">[1]!BexGetData("DP_1","003N8EMH8GTFRIVNUPY288VJH","GSON1235361302")</f>
        <v>#NAME?</v>
      </c>
      <c r="L1948" s="8" t="e">
        <f ca="1">[1]!BexGetData("DP_1","003N8EMH8GTFRIVNUPY2891V1","GSON1235361302")</f>
        <v>#NAME?</v>
      </c>
      <c r="M1948" s="8" t="e">
        <f ca="1">[1]!BexGetData("DP_1","003N8EMH8GTFRIVOG7KG9IQXA","GSON1235361302")</f>
        <v>#NAME?</v>
      </c>
      <c r="N1948" s="8" t="e">
        <f ca="1">[1]!BexGetData("DP_1","003N8EMH8GTFRIVOG7KG9IX8U","GSON1235361302")</f>
        <v>#NAME?</v>
      </c>
      <c r="O1948" s="8" t="e">
        <f ca="1">[1]!BexGetData("DP_1","003N8EMH8GTFRIVOG7KG9J3KE","GSON1235361302")</f>
        <v>#NAME?</v>
      </c>
      <c r="P1948" s="8" t="e">
        <f ca="1">[1]!BexGetData("DP_1","003N8EMH8GTFRIVOG7KG9J9VY","GSON1235361302")</f>
        <v>#NAME?</v>
      </c>
      <c r="Q1948" s="4" t="e">
        <f ca="1">[1]!BexGetData("DP_1","00O2TNJGODT0G5Z4TTKYMM5MT","GSON1235361302")</f>
        <v>#NAME?</v>
      </c>
      <c r="R1948" s="3" t="e">
        <f ca="1">[1]!BexGetData("DP_1","00O2TNJGODT0G5Z4TTKYMMBYD","GSON1235361302")</f>
        <v>#NAME?</v>
      </c>
      <c r="S1948" s="3" t="e">
        <f ca="1">[1]!BexGetData("DP_1","00O2TNJGODT0G5Z4TTKYMMI9X","GSON1235361302")</f>
        <v>#NAME?</v>
      </c>
      <c r="T1948" s="8" t="e">
        <f ca="1">[1]!BexGetData("DP_1","00O2TNJGODT0G5Z4TTKYMMOLH","GSON1235361302")</f>
        <v>#NAME?</v>
      </c>
      <c r="U1948" s="3" t="e">
        <f ca="1">[1]!BexGetData("DP_1","00O2TNJGODT0G5Z4TTKYMMUX1","GSON1235361302")</f>
        <v>#NAME?</v>
      </c>
      <c r="V1948" s="8" t="e">
        <f ca="1">[1]!BexGetData("DP_1","00O2TNJGODT0G5Z4TTKYMN18L","GSON1235361302")</f>
        <v>#NAME?</v>
      </c>
      <c r="W1948" s="3" t="e">
        <f ca="1">[1]!BexGetData("DP_1","00O2TNJGODT0G5Z4TTKYMN7K5","GSON1235361302")</f>
        <v>#NAME?</v>
      </c>
    </row>
    <row r="1949" spans="1:23" x14ac:dyDescent="0.2">
      <c r="A1949" s="16" t="s">
        <v>1276</v>
      </c>
      <c r="B1949" s="7" t="s">
        <v>1277</v>
      </c>
      <c r="C1949" s="8" t="e">
        <f ca="1">[1]!BexGetData("DP_1","003N8EMH8GTFRCSWKMPXRR8GU","GSON1235461400")</f>
        <v>#NAME?</v>
      </c>
      <c r="D1949" s="8" t="e">
        <f ca="1">[1]!BexGetData("DP_1","003N8EMH8GTFRCSWKMPXRRESE","GSON1235461400")</f>
        <v>#NAME?</v>
      </c>
      <c r="E1949" s="3" t="e">
        <f ca="1">[1]!BexGetData("DP_1","003N8EMH8GTFRCSWKMPXRRL3Y","GSON1235461400")</f>
        <v>#NAME?</v>
      </c>
      <c r="F1949" s="3" t="e">
        <f ca="1">[1]!BexGetData("DP_1","003N8EMH8GTFRCSWKMPXRRRFI","GSON1235461400")</f>
        <v>#NAME?</v>
      </c>
      <c r="G1949" s="3" t="e">
        <f ca="1">[1]!BexGetData("DP_1","003N8EMH8GTFRCSWKMPXRRXR2","GSON1235461400")</f>
        <v>#NAME?</v>
      </c>
      <c r="H1949" s="3" t="e">
        <f ca="1">[1]!BexGetData("DP_1","003N8EMH8GTFRCSWKMPXRS42M","GSON1235461400")</f>
        <v>#NAME?</v>
      </c>
      <c r="I1949" s="3" t="e">
        <f ca="1">[1]!BexGetData("DP_1","003N8EMH8GTFRCSWKMPXRSAE6","GSON1235461400")</f>
        <v>#NAME?</v>
      </c>
      <c r="J1949" s="4" t="e">
        <f ca="1">[1]!BexGetData("DP_1","003N8EMH8GTFRCSWKMPXRSGPQ","GSON1235461400")</f>
        <v>#NAME?</v>
      </c>
      <c r="K1949" s="8" t="e">
        <f ca="1">[1]!BexGetData("DP_1","003N8EMH8GTFRIVNUPY288VJH","GSON1235461400")</f>
        <v>#NAME?</v>
      </c>
      <c r="L1949" s="8" t="e">
        <f ca="1">[1]!BexGetData("DP_1","003N8EMH8GTFRIVNUPY2891V1","GSON1235461400")</f>
        <v>#NAME?</v>
      </c>
      <c r="M1949" s="8" t="e">
        <f ca="1">[1]!BexGetData("DP_1","003N8EMH8GTFRIVOG7KG9IQXA","GSON1235461400")</f>
        <v>#NAME?</v>
      </c>
      <c r="N1949" s="8" t="e">
        <f ca="1">[1]!BexGetData("DP_1","003N8EMH8GTFRIVOG7KG9IX8U","GSON1235461400")</f>
        <v>#NAME?</v>
      </c>
      <c r="O1949" s="8" t="e">
        <f ca="1">[1]!BexGetData("DP_1","003N8EMH8GTFRIVOG7KG9J3KE","GSON1235461400")</f>
        <v>#NAME?</v>
      </c>
      <c r="P1949" s="8" t="e">
        <f ca="1">[1]!BexGetData("DP_1","003N8EMH8GTFRIVOG7KG9J9VY","GSON1235461400")</f>
        <v>#NAME?</v>
      </c>
      <c r="Q1949" s="4" t="e">
        <f ca="1">[1]!BexGetData("DP_1","00O2TNJGODT0G5Z4TTKYMM5MT","GSON1235461400")</f>
        <v>#NAME?</v>
      </c>
      <c r="R1949" s="3" t="e">
        <f ca="1">[1]!BexGetData("DP_1","00O2TNJGODT0G5Z4TTKYMMBYD","GSON1235461400")</f>
        <v>#NAME?</v>
      </c>
      <c r="S1949" s="3" t="e">
        <f ca="1">[1]!BexGetData("DP_1","00O2TNJGODT0G5Z4TTKYMMI9X","GSON1235461400")</f>
        <v>#NAME?</v>
      </c>
      <c r="T1949" s="8" t="e">
        <f ca="1">[1]!BexGetData("DP_1","00O2TNJGODT0G5Z4TTKYMMOLH","GSON1235461400")</f>
        <v>#NAME?</v>
      </c>
      <c r="U1949" s="3" t="e">
        <f ca="1">[1]!BexGetData("DP_1","00O2TNJGODT0G5Z4TTKYMMUX1","GSON1235461400")</f>
        <v>#NAME?</v>
      </c>
      <c r="V1949" s="8" t="e">
        <f ca="1">[1]!BexGetData("DP_1","00O2TNJGODT0G5Z4TTKYMN18L","GSON1235461400")</f>
        <v>#NAME?</v>
      </c>
      <c r="W1949" s="3" t="e">
        <f ca="1">[1]!BexGetData("DP_1","00O2TNJGODT0G5Z4TTKYMN7K5","GSON1235461400")</f>
        <v>#NAME?</v>
      </c>
    </row>
    <row r="1950" spans="1:23" x14ac:dyDescent="0.2">
      <c r="A1950" s="16" t="s">
        <v>4658</v>
      </c>
      <c r="B1950" s="7" t="s">
        <v>4659</v>
      </c>
      <c r="C1950" s="3" t="e">
        <f ca="1">[1]!BexGetData("DP_1","003N8EMH8GTFRCSWKMPXRR8GU","GSON1235461406")</f>
        <v>#NAME?</v>
      </c>
      <c r="D1950" s="3" t="e">
        <f ca="1">[1]!BexGetData("DP_1","003N8EMH8GTFRCSWKMPXRRESE","GSON1235461406")</f>
        <v>#NAME?</v>
      </c>
      <c r="E1950" s="3" t="e">
        <f ca="1">[1]!BexGetData("DP_1","003N8EMH8GTFRCSWKMPXRRL3Y","GSON1235461406")</f>
        <v>#NAME?</v>
      </c>
      <c r="F1950" s="3" t="e">
        <f ca="1">[1]!BexGetData("DP_1","003N8EMH8GTFRCSWKMPXRRRFI","GSON1235461406")</f>
        <v>#NAME?</v>
      </c>
      <c r="G1950" s="3" t="e">
        <f ca="1">[1]!BexGetData("DP_1","003N8EMH8GTFRCSWKMPXRRXR2","GSON1235461406")</f>
        <v>#NAME?</v>
      </c>
      <c r="H1950" s="8" t="e">
        <f ca="1">[1]!BexGetData("DP_1","003N8EMH8GTFRCSWKMPXRS42M","GSON1235461406")</f>
        <v>#NAME?</v>
      </c>
      <c r="I1950" s="3" t="e">
        <f ca="1">[1]!BexGetData("DP_1","003N8EMH8GTFRCSWKMPXRSAE6","GSON1235461406")</f>
        <v>#NAME?</v>
      </c>
      <c r="J1950" s="4" t="e">
        <f ca="1">[1]!BexGetData("DP_1","003N8EMH8GTFRCSWKMPXRSGPQ","GSON1235461406")</f>
        <v>#NAME?</v>
      </c>
      <c r="K1950" s="3" t="e">
        <f ca="1">[1]!BexGetData("DP_1","003N8EMH8GTFRIVNUPY288VJH","GSON1235461406")</f>
        <v>#NAME?</v>
      </c>
      <c r="L1950" s="3" t="e">
        <f ca="1">[1]!BexGetData("DP_1","003N8EMH8GTFRIVNUPY2891V1","GSON1235461406")</f>
        <v>#NAME?</v>
      </c>
      <c r="M1950" s="8" t="e">
        <f ca="1">[1]!BexGetData("DP_1","003N8EMH8GTFRIVOG7KG9IQXA","GSON1235461406")</f>
        <v>#NAME?</v>
      </c>
      <c r="N1950" s="3" t="e">
        <f ca="1">[1]!BexGetData("DP_1","003N8EMH8GTFRIVOG7KG9IX8U","GSON1235461406")</f>
        <v>#NAME?</v>
      </c>
      <c r="O1950" s="8" t="e">
        <f ca="1">[1]!BexGetData("DP_1","003N8EMH8GTFRIVOG7KG9J3KE","GSON1235461406")</f>
        <v>#NAME?</v>
      </c>
      <c r="P1950" s="3" t="e">
        <f ca="1">[1]!BexGetData("DP_1","003N8EMH8GTFRIVOG7KG9J9VY","GSON1235461406")</f>
        <v>#NAME?</v>
      </c>
      <c r="Q1950" s="4" t="e">
        <f ca="1">[1]!BexGetData("DP_1","00O2TNJGODT0G5Z4TTKYMM5MT","GSON1235461406")</f>
        <v>#NAME?</v>
      </c>
      <c r="R1950" s="3" t="e">
        <f ca="1">[1]!BexGetData("DP_1","00O2TNJGODT0G5Z4TTKYMMBYD","GSON1235461406")</f>
        <v>#NAME?</v>
      </c>
      <c r="S1950" s="3" t="e">
        <f ca="1">[1]!BexGetData("DP_1","00O2TNJGODT0G5Z4TTKYMMI9X","GSON1235461406")</f>
        <v>#NAME?</v>
      </c>
      <c r="T1950" s="8" t="e">
        <f ca="1">[1]!BexGetData("DP_1","00O2TNJGODT0G5Z4TTKYMMOLH","GSON1235461406")</f>
        <v>#NAME?</v>
      </c>
      <c r="U1950" s="3" t="e">
        <f ca="1">[1]!BexGetData("DP_1","00O2TNJGODT0G5Z4TTKYMMUX1","GSON1235461406")</f>
        <v>#NAME?</v>
      </c>
      <c r="V1950" s="8" t="e">
        <f ca="1">[1]!BexGetData("DP_1","00O2TNJGODT0G5Z4TTKYMN18L","GSON1235461406")</f>
        <v>#NAME?</v>
      </c>
      <c r="W1950" s="3" t="e">
        <f ca="1">[1]!BexGetData("DP_1","00O2TNJGODT0G5Z4TTKYMN7K5","GSON1235461406")</f>
        <v>#NAME?</v>
      </c>
    </row>
    <row r="1951" spans="1:23" x14ac:dyDescent="0.2">
      <c r="A1951" s="16" t="s">
        <v>1278</v>
      </c>
      <c r="B1951" s="7" t="s">
        <v>1279</v>
      </c>
      <c r="C1951" s="3" t="e">
        <f ca="1">[1]!BexGetData("DP_1","003N8EMH8GTFRCSWKMPXRR8GU","GSON1235461407")</f>
        <v>#NAME?</v>
      </c>
      <c r="D1951" s="3" t="e">
        <f ca="1">[1]!BexGetData("DP_1","003N8EMH8GTFRCSWKMPXRRESE","GSON1235461407")</f>
        <v>#NAME?</v>
      </c>
      <c r="E1951" s="3" t="e">
        <f ca="1">[1]!BexGetData("DP_1","003N8EMH8GTFRCSWKMPXRRL3Y","GSON1235461407")</f>
        <v>#NAME?</v>
      </c>
      <c r="F1951" s="4" t="e">
        <f ca="1">[1]!BexGetData("DP_1","003N8EMH8GTFRCSWKMPXRRRFI","GSON1235461407")</f>
        <v>#NAME?</v>
      </c>
      <c r="G1951" s="4" t="e">
        <f ca="1">[1]!BexGetData("DP_1","003N8EMH8GTFRCSWKMPXRRXR2","GSON1235461407")</f>
        <v>#NAME?</v>
      </c>
      <c r="H1951" s="4" t="e">
        <f ca="1">[1]!BexGetData("DP_1","003N8EMH8GTFRCSWKMPXRS42M","GSON1235461407")</f>
        <v>#NAME?</v>
      </c>
      <c r="I1951" s="4" t="e">
        <f ca="1">[1]!BexGetData("DP_1","003N8EMH8GTFRCSWKMPXRSAE6","GSON1235461407")</f>
        <v>#NAME?</v>
      </c>
      <c r="J1951" s="4" t="e">
        <f ca="1">[1]!BexGetData("DP_1","003N8EMH8GTFRCSWKMPXRSGPQ","GSON1235461407")</f>
        <v>#NAME?</v>
      </c>
      <c r="K1951" s="3" t="e">
        <f ca="1">[1]!BexGetData("DP_1","003N8EMH8GTFRIVNUPY288VJH","GSON1235461407")</f>
        <v>#NAME?</v>
      </c>
      <c r="L1951" s="3" t="e">
        <f ca="1">[1]!BexGetData("DP_1","003N8EMH8GTFRIVNUPY2891V1","GSON1235461407")</f>
        <v>#NAME?</v>
      </c>
      <c r="M1951" s="8" t="e">
        <f ca="1">[1]!BexGetData("DP_1","003N8EMH8GTFRIVOG7KG9IQXA","GSON1235461407")</f>
        <v>#NAME?</v>
      </c>
      <c r="N1951" s="3" t="e">
        <f ca="1">[1]!BexGetData("DP_1","003N8EMH8GTFRIVOG7KG9IX8U","GSON1235461407")</f>
        <v>#NAME?</v>
      </c>
      <c r="O1951" s="8" t="e">
        <f ca="1">[1]!BexGetData("DP_1","003N8EMH8GTFRIVOG7KG9J3KE","GSON1235461407")</f>
        <v>#NAME?</v>
      </c>
      <c r="P1951" s="3" t="e">
        <f ca="1">[1]!BexGetData("DP_1","003N8EMH8GTFRIVOG7KG9J9VY","GSON1235461407")</f>
        <v>#NAME?</v>
      </c>
      <c r="Q1951" s="4" t="e">
        <f ca="1">[1]!BexGetData("DP_1","00O2TNJGODT0G5Z4TTKYMM5MT","GSON1235461407")</f>
        <v>#NAME?</v>
      </c>
      <c r="R1951" s="4" t="e">
        <f ca="1">[1]!BexGetData("DP_1","00O2TNJGODT0G5Z4TTKYMMBYD","GSON1235461407")</f>
        <v>#NAME?</v>
      </c>
      <c r="S1951" s="4" t="e">
        <f ca="1">[1]!BexGetData("DP_1","00O2TNJGODT0G5Z4TTKYMMI9X","GSON1235461407")</f>
        <v>#NAME?</v>
      </c>
      <c r="T1951" s="4" t="e">
        <f ca="1">[1]!BexGetData("DP_1","00O2TNJGODT0G5Z4TTKYMMOLH","GSON1235461407")</f>
        <v>#NAME?</v>
      </c>
      <c r="U1951" s="4" t="e">
        <f ca="1">[1]!BexGetData("DP_1","00O2TNJGODT0G5Z4TTKYMMUX1","GSON1235461407")</f>
        <v>#NAME?</v>
      </c>
      <c r="V1951" s="4" t="e">
        <f ca="1">[1]!BexGetData("DP_1","00O2TNJGODT0G5Z4TTKYMN18L","GSON1235461407")</f>
        <v>#NAME?</v>
      </c>
      <c r="W1951" s="4" t="e">
        <f ca="1">[1]!BexGetData("DP_1","00O2TNJGODT0G5Z4TTKYMN7K5","GSON1235461407")</f>
        <v>#NAME?</v>
      </c>
    </row>
    <row r="1952" spans="1:23" x14ac:dyDescent="0.2">
      <c r="A1952" s="16" t="s">
        <v>4660</v>
      </c>
      <c r="B1952" s="7" t="s">
        <v>4661</v>
      </c>
      <c r="C1952" s="3" t="e">
        <f ca="1">[1]!BexGetData("DP_1","003N8EMH8GTFRCSWKMPXRR8GU","GSON1235461408")</f>
        <v>#NAME?</v>
      </c>
      <c r="D1952" s="3" t="e">
        <f ca="1">[1]!BexGetData("DP_1","003N8EMH8GTFRCSWKMPXRRESE","GSON1235461408")</f>
        <v>#NAME?</v>
      </c>
      <c r="E1952" s="3" t="e">
        <f ca="1">[1]!BexGetData("DP_1","003N8EMH8GTFRCSWKMPXRRL3Y","GSON1235461408")</f>
        <v>#NAME?</v>
      </c>
      <c r="F1952" s="3" t="e">
        <f ca="1">[1]!BexGetData("DP_1","003N8EMH8GTFRCSWKMPXRRRFI","GSON1235461408")</f>
        <v>#NAME?</v>
      </c>
      <c r="G1952" s="3" t="e">
        <f ca="1">[1]!BexGetData("DP_1","003N8EMH8GTFRCSWKMPXRRXR2","GSON1235461408")</f>
        <v>#NAME?</v>
      </c>
      <c r="H1952" s="8" t="e">
        <f ca="1">[1]!BexGetData("DP_1","003N8EMH8GTFRCSWKMPXRS42M","GSON1235461408")</f>
        <v>#NAME?</v>
      </c>
      <c r="I1952" s="3" t="e">
        <f ca="1">[1]!BexGetData("DP_1","003N8EMH8GTFRCSWKMPXRSAE6","GSON1235461408")</f>
        <v>#NAME?</v>
      </c>
      <c r="J1952" s="4" t="e">
        <f ca="1">[1]!BexGetData("DP_1","003N8EMH8GTFRCSWKMPXRSGPQ","GSON1235461408")</f>
        <v>#NAME?</v>
      </c>
      <c r="K1952" s="3" t="e">
        <f ca="1">[1]!BexGetData("DP_1","003N8EMH8GTFRIVNUPY288VJH","GSON1235461408")</f>
        <v>#NAME?</v>
      </c>
      <c r="L1952" s="3" t="e">
        <f ca="1">[1]!BexGetData("DP_1","003N8EMH8GTFRIVNUPY2891V1","GSON1235461408")</f>
        <v>#NAME?</v>
      </c>
      <c r="M1952" s="8" t="e">
        <f ca="1">[1]!BexGetData("DP_1","003N8EMH8GTFRIVOG7KG9IQXA","GSON1235461408")</f>
        <v>#NAME?</v>
      </c>
      <c r="N1952" s="3" t="e">
        <f ca="1">[1]!BexGetData("DP_1","003N8EMH8GTFRIVOG7KG9IX8U","GSON1235461408")</f>
        <v>#NAME?</v>
      </c>
      <c r="O1952" s="8" t="e">
        <f ca="1">[1]!BexGetData("DP_1","003N8EMH8GTFRIVOG7KG9J3KE","GSON1235461408")</f>
        <v>#NAME?</v>
      </c>
      <c r="P1952" s="3" t="e">
        <f ca="1">[1]!BexGetData("DP_1","003N8EMH8GTFRIVOG7KG9J9VY","GSON1235461408")</f>
        <v>#NAME?</v>
      </c>
      <c r="Q1952" s="4" t="e">
        <f ca="1">[1]!BexGetData("DP_1","00O2TNJGODT0G5Z4TTKYMM5MT","GSON1235461408")</f>
        <v>#NAME?</v>
      </c>
      <c r="R1952" s="3" t="e">
        <f ca="1">[1]!BexGetData("DP_1","00O2TNJGODT0G5Z4TTKYMMBYD","GSON1235461408")</f>
        <v>#NAME?</v>
      </c>
      <c r="S1952" s="3" t="e">
        <f ca="1">[1]!BexGetData("DP_1","00O2TNJGODT0G5Z4TTKYMMI9X","GSON1235461408")</f>
        <v>#NAME?</v>
      </c>
      <c r="T1952" s="8" t="e">
        <f ca="1">[1]!BexGetData("DP_1","00O2TNJGODT0G5Z4TTKYMMOLH","GSON1235461408")</f>
        <v>#NAME?</v>
      </c>
      <c r="U1952" s="3" t="e">
        <f ca="1">[1]!BexGetData("DP_1","00O2TNJGODT0G5Z4TTKYMMUX1","GSON1235461408")</f>
        <v>#NAME?</v>
      </c>
      <c r="V1952" s="8" t="e">
        <f ca="1">[1]!BexGetData("DP_1","00O2TNJGODT0G5Z4TTKYMN18L","GSON1235461408")</f>
        <v>#NAME?</v>
      </c>
      <c r="W1952" s="3" t="e">
        <f ca="1">[1]!BexGetData("DP_1","00O2TNJGODT0G5Z4TTKYMN7K5","GSON1235461408")</f>
        <v>#NAME?</v>
      </c>
    </row>
    <row r="1953" spans="1:23" x14ac:dyDescent="0.2">
      <c r="A1953" s="16" t="s">
        <v>1700</v>
      </c>
      <c r="B1953" s="7" t="s">
        <v>1701</v>
      </c>
      <c r="C1953" s="3" t="e">
        <f ca="1">[1]!BexGetData("DP_1","003N8EMH8GTFRCSWKMPXRR8GU","GSON1235461409")</f>
        <v>#NAME?</v>
      </c>
      <c r="D1953" s="3" t="e">
        <f ca="1">[1]!BexGetData("DP_1","003N8EMH8GTFRCSWKMPXRRESE","GSON1235461409")</f>
        <v>#NAME?</v>
      </c>
      <c r="E1953" s="3" t="e">
        <f ca="1">[1]!BexGetData("DP_1","003N8EMH8GTFRCSWKMPXRRL3Y","GSON1235461409")</f>
        <v>#NAME?</v>
      </c>
      <c r="F1953" s="3" t="e">
        <f ca="1">[1]!BexGetData("DP_1","003N8EMH8GTFRCSWKMPXRRRFI","GSON1235461409")</f>
        <v>#NAME?</v>
      </c>
      <c r="G1953" s="3" t="e">
        <f ca="1">[1]!BexGetData("DP_1","003N8EMH8GTFRCSWKMPXRRXR2","GSON1235461409")</f>
        <v>#NAME?</v>
      </c>
      <c r="H1953" s="8" t="e">
        <f ca="1">[1]!BexGetData("DP_1","003N8EMH8GTFRCSWKMPXRS42M","GSON1235461409")</f>
        <v>#NAME?</v>
      </c>
      <c r="I1953" s="3" t="e">
        <f ca="1">[1]!BexGetData("DP_1","003N8EMH8GTFRCSWKMPXRSAE6","GSON1235461409")</f>
        <v>#NAME?</v>
      </c>
      <c r="J1953" s="4" t="e">
        <f ca="1">[1]!BexGetData("DP_1","003N8EMH8GTFRCSWKMPXRSGPQ","GSON1235461409")</f>
        <v>#NAME?</v>
      </c>
      <c r="K1953" s="3" t="e">
        <f ca="1">[1]!BexGetData("DP_1","003N8EMH8GTFRIVNUPY288VJH","GSON1235461409")</f>
        <v>#NAME?</v>
      </c>
      <c r="L1953" s="3" t="e">
        <f ca="1">[1]!BexGetData("DP_1","003N8EMH8GTFRIVNUPY2891V1","GSON1235461409")</f>
        <v>#NAME?</v>
      </c>
      <c r="M1953" s="8" t="e">
        <f ca="1">[1]!BexGetData("DP_1","003N8EMH8GTFRIVOG7KG9IQXA","GSON1235461409")</f>
        <v>#NAME?</v>
      </c>
      <c r="N1953" s="3" t="e">
        <f ca="1">[1]!BexGetData("DP_1","003N8EMH8GTFRIVOG7KG9IX8U","GSON1235461409")</f>
        <v>#NAME?</v>
      </c>
      <c r="O1953" s="8" t="e">
        <f ca="1">[1]!BexGetData("DP_1","003N8EMH8GTFRIVOG7KG9J3KE","GSON1235461409")</f>
        <v>#NAME?</v>
      </c>
      <c r="P1953" s="3" t="e">
        <f ca="1">[1]!BexGetData("DP_1","003N8EMH8GTFRIVOG7KG9J9VY","GSON1235461409")</f>
        <v>#NAME?</v>
      </c>
      <c r="Q1953" s="4" t="e">
        <f ca="1">[1]!BexGetData("DP_1","00O2TNJGODT0G5Z4TTKYMM5MT","GSON1235461409")</f>
        <v>#NAME?</v>
      </c>
      <c r="R1953" s="3" t="e">
        <f ca="1">[1]!BexGetData("DP_1","00O2TNJGODT0G5Z4TTKYMMBYD","GSON1235461409")</f>
        <v>#NAME?</v>
      </c>
      <c r="S1953" s="3" t="e">
        <f ca="1">[1]!BexGetData("DP_1","00O2TNJGODT0G5Z4TTKYMMI9X","GSON1235461409")</f>
        <v>#NAME?</v>
      </c>
      <c r="T1953" s="8" t="e">
        <f ca="1">[1]!BexGetData("DP_1","00O2TNJGODT0G5Z4TTKYMMOLH","GSON1235461409")</f>
        <v>#NAME?</v>
      </c>
      <c r="U1953" s="3" t="e">
        <f ca="1">[1]!BexGetData("DP_1","00O2TNJGODT0G5Z4TTKYMMUX1","GSON1235461409")</f>
        <v>#NAME?</v>
      </c>
      <c r="V1953" s="8" t="e">
        <f ca="1">[1]!BexGetData("DP_1","00O2TNJGODT0G5Z4TTKYMN18L","GSON1235461409")</f>
        <v>#NAME?</v>
      </c>
      <c r="W1953" s="3" t="e">
        <f ca="1">[1]!BexGetData("DP_1","00O2TNJGODT0G5Z4TTKYMN7K5","GSON1235461409")</f>
        <v>#NAME?</v>
      </c>
    </row>
    <row r="1954" spans="1:23" x14ac:dyDescent="0.2">
      <c r="A1954" s="16" t="s">
        <v>4662</v>
      </c>
      <c r="B1954" s="7" t="s">
        <v>4663</v>
      </c>
      <c r="C1954" s="3" t="e">
        <f ca="1">[1]!BexGetData("DP_1","003N8EMH8GTFRCSWKMPXRR8GU","GSON1235461410")</f>
        <v>#NAME?</v>
      </c>
      <c r="D1954" s="8" t="e">
        <f ca="1">[1]!BexGetData("DP_1","003N8EMH8GTFRCSWKMPXRRESE","GSON1235461410")</f>
        <v>#NAME?</v>
      </c>
      <c r="E1954" s="3" t="e">
        <f ca="1">[1]!BexGetData("DP_1","003N8EMH8GTFRCSWKMPXRRL3Y","GSON1235461410")</f>
        <v>#NAME?</v>
      </c>
      <c r="F1954" s="4" t="e">
        <f ca="1">[1]!BexGetData("DP_1","003N8EMH8GTFRCSWKMPXRRRFI","GSON1235461410")</f>
        <v>#NAME?</v>
      </c>
      <c r="G1954" s="4" t="e">
        <f ca="1">[1]!BexGetData("DP_1","003N8EMH8GTFRCSWKMPXRRXR2","GSON1235461410")</f>
        <v>#NAME?</v>
      </c>
      <c r="H1954" s="4" t="e">
        <f ca="1">[1]!BexGetData("DP_1","003N8EMH8GTFRCSWKMPXRS42M","GSON1235461410")</f>
        <v>#NAME?</v>
      </c>
      <c r="I1954" s="4" t="e">
        <f ca="1">[1]!BexGetData("DP_1","003N8EMH8GTFRCSWKMPXRSAE6","GSON1235461410")</f>
        <v>#NAME?</v>
      </c>
      <c r="J1954" s="4" t="e">
        <f ca="1">[1]!BexGetData("DP_1","003N8EMH8GTFRCSWKMPXRSGPQ","GSON1235461410")</f>
        <v>#NAME?</v>
      </c>
      <c r="K1954" s="3" t="e">
        <f ca="1">[1]!BexGetData("DP_1","003N8EMH8GTFRIVNUPY288VJH","GSON1235461410")</f>
        <v>#NAME?</v>
      </c>
      <c r="L1954" s="3" t="e">
        <f ca="1">[1]!BexGetData("DP_1","003N8EMH8GTFRIVNUPY2891V1","GSON1235461410")</f>
        <v>#NAME?</v>
      </c>
      <c r="M1954" s="8" t="e">
        <f ca="1">[1]!BexGetData("DP_1","003N8EMH8GTFRIVOG7KG9IQXA","GSON1235461410")</f>
        <v>#NAME?</v>
      </c>
      <c r="N1954" s="3" t="e">
        <f ca="1">[1]!BexGetData("DP_1","003N8EMH8GTFRIVOG7KG9IX8U","GSON1235461410")</f>
        <v>#NAME?</v>
      </c>
      <c r="O1954" s="8" t="e">
        <f ca="1">[1]!BexGetData("DP_1","003N8EMH8GTFRIVOG7KG9J3KE","GSON1235461410")</f>
        <v>#NAME?</v>
      </c>
      <c r="P1954" s="3" t="e">
        <f ca="1">[1]!BexGetData("DP_1","003N8EMH8GTFRIVOG7KG9J9VY","GSON1235461410")</f>
        <v>#NAME?</v>
      </c>
      <c r="Q1954" s="4" t="e">
        <f ca="1">[1]!BexGetData("DP_1","00O2TNJGODT0G5Z4TTKYMM5MT","GSON1235461410")</f>
        <v>#NAME?</v>
      </c>
      <c r="R1954" s="4" t="e">
        <f ca="1">[1]!BexGetData("DP_1","00O2TNJGODT0G5Z4TTKYMMBYD","GSON1235461410")</f>
        <v>#NAME?</v>
      </c>
      <c r="S1954" s="4" t="e">
        <f ca="1">[1]!BexGetData("DP_1","00O2TNJGODT0G5Z4TTKYMMI9X","GSON1235461410")</f>
        <v>#NAME?</v>
      </c>
      <c r="T1954" s="4" t="e">
        <f ca="1">[1]!BexGetData("DP_1","00O2TNJGODT0G5Z4TTKYMMOLH","GSON1235461410")</f>
        <v>#NAME?</v>
      </c>
      <c r="U1954" s="4" t="e">
        <f ca="1">[1]!BexGetData("DP_1","00O2TNJGODT0G5Z4TTKYMMUX1","GSON1235461410")</f>
        <v>#NAME?</v>
      </c>
      <c r="V1954" s="4" t="e">
        <f ca="1">[1]!BexGetData("DP_1","00O2TNJGODT0G5Z4TTKYMN18L","GSON1235461410")</f>
        <v>#NAME?</v>
      </c>
      <c r="W1954" s="4" t="e">
        <f ca="1">[1]!BexGetData("DP_1","00O2TNJGODT0G5Z4TTKYMN7K5","GSON1235461410")</f>
        <v>#NAME?</v>
      </c>
    </row>
    <row r="1955" spans="1:23" x14ac:dyDescent="0.2">
      <c r="A1955" s="16" t="s">
        <v>4664</v>
      </c>
      <c r="B1955" s="7" t="s">
        <v>4665</v>
      </c>
      <c r="C1955" s="3" t="e">
        <f ca="1">[1]!BexGetData("DP_1","003N8EMH8GTFRCSWKMPXRR8GU","GSON1235461411")</f>
        <v>#NAME?</v>
      </c>
      <c r="D1955" s="3" t="e">
        <f ca="1">[1]!BexGetData("DP_1","003N8EMH8GTFRCSWKMPXRRESE","GSON1235461411")</f>
        <v>#NAME?</v>
      </c>
      <c r="E1955" s="3" t="e">
        <f ca="1">[1]!BexGetData("DP_1","003N8EMH8GTFRCSWKMPXRRL3Y","GSON1235461411")</f>
        <v>#NAME?</v>
      </c>
      <c r="F1955" s="3" t="e">
        <f ca="1">[1]!BexGetData("DP_1","003N8EMH8GTFRCSWKMPXRRRFI","GSON1235461411")</f>
        <v>#NAME?</v>
      </c>
      <c r="G1955" s="3" t="e">
        <f ca="1">[1]!BexGetData("DP_1","003N8EMH8GTFRCSWKMPXRRXR2","GSON1235461411")</f>
        <v>#NAME?</v>
      </c>
      <c r="H1955" s="8" t="e">
        <f ca="1">[1]!BexGetData("DP_1","003N8EMH8GTFRCSWKMPXRS42M","GSON1235461411")</f>
        <v>#NAME?</v>
      </c>
      <c r="I1955" s="3" t="e">
        <f ca="1">[1]!BexGetData("DP_1","003N8EMH8GTFRCSWKMPXRSAE6","GSON1235461411")</f>
        <v>#NAME?</v>
      </c>
      <c r="J1955" s="4" t="e">
        <f ca="1">[1]!BexGetData("DP_1","003N8EMH8GTFRCSWKMPXRSGPQ","GSON1235461411")</f>
        <v>#NAME?</v>
      </c>
      <c r="K1955" s="3" t="e">
        <f ca="1">[1]!BexGetData("DP_1","003N8EMH8GTFRIVNUPY288VJH","GSON1235461411")</f>
        <v>#NAME?</v>
      </c>
      <c r="L1955" s="3" t="e">
        <f ca="1">[1]!BexGetData("DP_1","003N8EMH8GTFRIVNUPY2891V1","GSON1235461411")</f>
        <v>#NAME?</v>
      </c>
      <c r="M1955" s="8" t="e">
        <f ca="1">[1]!BexGetData("DP_1","003N8EMH8GTFRIVOG7KG9IQXA","GSON1235461411")</f>
        <v>#NAME?</v>
      </c>
      <c r="N1955" s="3" t="e">
        <f ca="1">[1]!BexGetData("DP_1","003N8EMH8GTFRIVOG7KG9IX8U","GSON1235461411")</f>
        <v>#NAME?</v>
      </c>
      <c r="O1955" s="8" t="e">
        <f ca="1">[1]!BexGetData("DP_1","003N8EMH8GTFRIVOG7KG9J3KE","GSON1235461411")</f>
        <v>#NAME?</v>
      </c>
      <c r="P1955" s="3" t="e">
        <f ca="1">[1]!BexGetData("DP_1","003N8EMH8GTFRIVOG7KG9J9VY","GSON1235461411")</f>
        <v>#NAME?</v>
      </c>
      <c r="Q1955" s="4" t="e">
        <f ca="1">[1]!BexGetData("DP_1","00O2TNJGODT0G5Z4TTKYMM5MT","GSON1235461411")</f>
        <v>#NAME?</v>
      </c>
      <c r="R1955" s="3" t="e">
        <f ca="1">[1]!BexGetData("DP_1","00O2TNJGODT0G5Z4TTKYMMBYD","GSON1235461411")</f>
        <v>#NAME?</v>
      </c>
      <c r="S1955" s="3" t="e">
        <f ca="1">[1]!BexGetData("DP_1","00O2TNJGODT0G5Z4TTKYMMI9X","GSON1235461411")</f>
        <v>#NAME?</v>
      </c>
      <c r="T1955" s="8" t="e">
        <f ca="1">[1]!BexGetData("DP_1","00O2TNJGODT0G5Z4TTKYMMOLH","GSON1235461411")</f>
        <v>#NAME?</v>
      </c>
      <c r="U1955" s="3" t="e">
        <f ca="1">[1]!BexGetData("DP_1","00O2TNJGODT0G5Z4TTKYMMUX1","GSON1235461411")</f>
        <v>#NAME?</v>
      </c>
      <c r="V1955" s="8" t="e">
        <f ca="1">[1]!BexGetData("DP_1","00O2TNJGODT0G5Z4TTKYMN18L","GSON1235461411")</f>
        <v>#NAME?</v>
      </c>
      <c r="W1955" s="3" t="e">
        <f ca="1">[1]!BexGetData("DP_1","00O2TNJGODT0G5Z4TTKYMN7K5","GSON1235461411")</f>
        <v>#NAME?</v>
      </c>
    </row>
    <row r="1956" spans="1:23" x14ac:dyDescent="0.2">
      <c r="A1956" s="16" t="s">
        <v>4666</v>
      </c>
      <c r="B1956" s="7" t="s">
        <v>4667</v>
      </c>
      <c r="C1956" s="8" t="e">
        <f ca="1">[1]!BexGetData("DP_1","003N8EMH8GTFRCSWKMPXRR8GU","GSON1235461412")</f>
        <v>#NAME?</v>
      </c>
      <c r="D1956" s="8" t="e">
        <f ca="1">[1]!BexGetData("DP_1","003N8EMH8GTFRCSWKMPXRRESE","GSON1235461412")</f>
        <v>#NAME?</v>
      </c>
      <c r="E1956" s="3" t="e">
        <f ca="1">[1]!BexGetData("DP_1","003N8EMH8GTFRCSWKMPXRRL3Y","GSON1235461412")</f>
        <v>#NAME?</v>
      </c>
      <c r="F1956" s="3" t="e">
        <f ca="1">[1]!BexGetData("DP_1","003N8EMH8GTFRCSWKMPXRRRFI","GSON1235461412")</f>
        <v>#NAME?</v>
      </c>
      <c r="G1956" s="3" t="e">
        <f ca="1">[1]!BexGetData("DP_1","003N8EMH8GTFRCSWKMPXRRXR2","GSON1235461412")</f>
        <v>#NAME?</v>
      </c>
      <c r="H1956" s="8" t="e">
        <f ca="1">[1]!BexGetData("DP_1","003N8EMH8GTFRCSWKMPXRS42M","GSON1235461412")</f>
        <v>#NAME?</v>
      </c>
      <c r="I1956" s="3" t="e">
        <f ca="1">[1]!BexGetData("DP_1","003N8EMH8GTFRCSWKMPXRSAE6","GSON1235461412")</f>
        <v>#NAME?</v>
      </c>
      <c r="J1956" s="4" t="e">
        <f ca="1">[1]!BexGetData("DP_1","003N8EMH8GTFRCSWKMPXRSGPQ","GSON1235461412")</f>
        <v>#NAME?</v>
      </c>
      <c r="K1956" s="8" t="e">
        <f ca="1">[1]!BexGetData("DP_1","003N8EMH8GTFRIVNUPY288VJH","GSON1235461412")</f>
        <v>#NAME?</v>
      </c>
      <c r="L1956" s="8" t="e">
        <f ca="1">[1]!BexGetData("DP_1","003N8EMH8GTFRIVNUPY2891V1","GSON1235461412")</f>
        <v>#NAME?</v>
      </c>
      <c r="M1956" s="8" t="e">
        <f ca="1">[1]!BexGetData("DP_1","003N8EMH8GTFRIVOG7KG9IQXA","GSON1235461412")</f>
        <v>#NAME?</v>
      </c>
      <c r="N1956" s="8" t="e">
        <f ca="1">[1]!BexGetData("DP_1","003N8EMH8GTFRIVOG7KG9IX8U","GSON1235461412")</f>
        <v>#NAME?</v>
      </c>
      <c r="O1956" s="8" t="e">
        <f ca="1">[1]!BexGetData("DP_1","003N8EMH8GTFRIVOG7KG9J3KE","GSON1235461412")</f>
        <v>#NAME?</v>
      </c>
      <c r="P1956" s="8" t="e">
        <f ca="1">[1]!BexGetData("DP_1","003N8EMH8GTFRIVOG7KG9J9VY","GSON1235461412")</f>
        <v>#NAME?</v>
      </c>
      <c r="Q1956" s="4" t="e">
        <f ca="1">[1]!BexGetData("DP_1","00O2TNJGODT0G5Z4TTKYMM5MT","GSON1235461412")</f>
        <v>#NAME?</v>
      </c>
      <c r="R1956" s="3" t="e">
        <f ca="1">[1]!BexGetData("DP_1","00O2TNJGODT0G5Z4TTKYMMBYD","GSON1235461412")</f>
        <v>#NAME?</v>
      </c>
      <c r="S1956" s="3" t="e">
        <f ca="1">[1]!BexGetData("DP_1","00O2TNJGODT0G5Z4TTKYMMI9X","GSON1235461412")</f>
        <v>#NAME?</v>
      </c>
      <c r="T1956" s="8" t="e">
        <f ca="1">[1]!BexGetData("DP_1","00O2TNJGODT0G5Z4TTKYMMOLH","GSON1235461412")</f>
        <v>#NAME?</v>
      </c>
      <c r="U1956" s="3" t="e">
        <f ca="1">[1]!BexGetData("DP_1","00O2TNJGODT0G5Z4TTKYMMUX1","GSON1235461412")</f>
        <v>#NAME?</v>
      </c>
      <c r="V1956" s="8" t="e">
        <f ca="1">[1]!BexGetData("DP_1","00O2TNJGODT0G5Z4TTKYMN18L","GSON1235461412")</f>
        <v>#NAME?</v>
      </c>
      <c r="W1956" s="3" t="e">
        <f ca="1">[1]!BexGetData("DP_1","00O2TNJGODT0G5Z4TTKYMN7K5","GSON1235461412")</f>
        <v>#NAME?</v>
      </c>
    </row>
    <row r="1957" spans="1:23" x14ac:dyDescent="0.2">
      <c r="A1957" s="16" t="s">
        <v>4668</v>
      </c>
      <c r="B1957" s="7" t="s">
        <v>4669</v>
      </c>
      <c r="C1957" s="3" t="e">
        <f ca="1">[1]!BexGetData("DP_1","003N8EMH8GTFRCSWKMPXRR8GU","GSON1235461414")</f>
        <v>#NAME?</v>
      </c>
      <c r="D1957" s="8" t="e">
        <f ca="1">[1]!BexGetData("DP_1","003N8EMH8GTFRCSWKMPXRRESE","GSON1235461414")</f>
        <v>#NAME?</v>
      </c>
      <c r="E1957" s="3" t="e">
        <f ca="1">[1]!BexGetData("DP_1","003N8EMH8GTFRCSWKMPXRRL3Y","GSON1235461414")</f>
        <v>#NAME?</v>
      </c>
      <c r="F1957" s="4" t="e">
        <f ca="1">[1]!BexGetData("DP_1","003N8EMH8GTFRCSWKMPXRRRFI","GSON1235461414")</f>
        <v>#NAME?</v>
      </c>
      <c r="G1957" s="4" t="e">
        <f ca="1">[1]!BexGetData("DP_1","003N8EMH8GTFRCSWKMPXRRXR2","GSON1235461414")</f>
        <v>#NAME?</v>
      </c>
      <c r="H1957" s="4" t="e">
        <f ca="1">[1]!BexGetData("DP_1","003N8EMH8GTFRCSWKMPXRS42M","GSON1235461414")</f>
        <v>#NAME?</v>
      </c>
      <c r="I1957" s="4" t="e">
        <f ca="1">[1]!BexGetData("DP_1","003N8EMH8GTFRCSWKMPXRSAE6","GSON1235461414")</f>
        <v>#NAME?</v>
      </c>
      <c r="J1957" s="4" t="e">
        <f ca="1">[1]!BexGetData("DP_1","003N8EMH8GTFRCSWKMPXRSGPQ","GSON1235461414")</f>
        <v>#NAME?</v>
      </c>
      <c r="K1957" s="3" t="e">
        <f ca="1">[1]!BexGetData("DP_1","003N8EMH8GTFRIVNUPY288VJH","GSON1235461414")</f>
        <v>#NAME?</v>
      </c>
      <c r="L1957" s="3" t="e">
        <f ca="1">[1]!BexGetData("DP_1","003N8EMH8GTFRIVNUPY2891V1","GSON1235461414")</f>
        <v>#NAME?</v>
      </c>
      <c r="M1957" s="8" t="e">
        <f ca="1">[1]!BexGetData("DP_1","003N8EMH8GTFRIVOG7KG9IQXA","GSON1235461414")</f>
        <v>#NAME?</v>
      </c>
      <c r="N1957" s="3" t="e">
        <f ca="1">[1]!BexGetData("DP_1","003N8EMH8GTFRIVOG7KG9IX8U","GSON1235461414")</f>
        <v>#NAME?</v>
      </c>
      <c r="O1957" s="8" t="e">
        <f ca="1">[1]!BexGetData("DP_1","003N8EMH8GTFRIVOG7KG9J3KE","GSON1235461414")</f>
        <v>#NAME?</v>
      </c>
      <c r="P1957" s="3" t="e">
        <f ca="1">[1]!BexGetData("DP_1","003N8EMH8GTFRIVOG7KG9J9VY","GSON1235461414")</f>
        <v>#NAME?</v>
      </c>
      <c r="Q1957" s="4" t="e">
        <f ca="1">[1]!BexGetData("DP_1","00O2TNJGODT0G5Z4TTKYMM5MT","GSON1235461414")</f>
        <v>#NAME?</v>
      </c>
      <c r="R1957" s="4" t="e">
        <f ca="1">[1]!BexGetData("DP_1","00O2TNJGODT0G5Z4TTKYMMBYD","GSON1235461414")</f>
        <v>#NAME?</v>
      </c>
      <c r="S1957" s="4" t="e">
        <f ca="1">[1]!BexGetData("DP_1","00O2TNJGODT0G5Z4TTKYMMI9X","GSON1235461414")</f>
        <v>#NAME?</v>
      </c>
      <c r="T1957" s="4" t="e">
        <f ca="1">[1]!BexGetData("DP_1","00O2TNJGODT0G5Z4TTKYMMOLH","GSON1235461414")</f>
        <v>#NAME?</v>
      </c>
      <c r="U1957" s="4" t="e">
        <f ca="1">[1]!BexGetData("DP_1","00O2TNJGODT0G5Z4TTKYMMUX1","GSON1235461414")</f>
        <v>#NAME?</v>
      </c>
      <c r="V1957" s="4" t="e">
        <f ca="1">[1]!BexGetData("DP_1","00O2TNJGODT0G5Z4TTKYMN18L","GSON1235461414")</f>
        <v>#NAME?</v>
      </c>
      <c r="W1957" s="4" t="e">
        <f ca="1">[1]!BexGetData("DP_1","00O2TNJGODT0G5Z4TTKYMN7K5","GSON1235461414")</f>
        <v>#NAME?</v>
      </c>
    </row>
    <row r="1958" spans="1:23" x14ac:dyDescent="0.2">
      <c r="A1958" s="16" t="s">
        <v>4670</v>
      </c>
      <c r="B1958" s="7" t="s">
        <v>4671</v>
      </c>
      <c r="C1958" s="3" t="e">
        <f ca="1">[1]!BexGetData("DP_1","003N8EMH8GTFRCSWKMPXRR8GU","GSON1235461418")</f>
        <v>#NAME?</v>
      </c>
      <c r="D1958" s="3" t="e">
        <f ca="1">[1]!BexGetData("DP_1","003N8EMH8GTFRCSWKMPXRRESE","GSON1235461418")</f>
        <v>#NAME?</v>
      </c>
      <c r="E1958" s="3" t="e">
        <f ca="1">[1]!BexGetData("DP_1","003N8EMH8GTFRCSWKMPXRRL3Y","GSON1235461418")</f>
        <v>#NAME?</v>
      </c>
      <c r="F1958" s="4" t="e">
        <f ca="1">[1]!BexGetData("DP_1","003N8EMH8GTFRCSWKMPXRRRFI","GSON1235461418")</f>
        <v>#NAME?</v>
      </c>
      <c r="G1958" s="4" t="e">
        <f ca="1">[1]!BexGetData("DP_1","003N8EMH8GTFRCSWKMPXRRXR2","GSON1235461418")</f>
        <v>#NAME?</v>
      </c>
      <c r="H1958" s="4" t="e">
        <f ca="1">[1]!BexGetData("DP_1","003N8EMH8GTFRCSWKMPXRS42M","GSON1235461418")</f>
        <v>#NAME?</v>
      </c>
      <c r="I1958" s="4" t="e">
        <f ca="1">[1]!BexGetData("DP_1","003N8EMH8GTFRCSWKMPXRSAE6","GSON1235461418")</f>
        <v>#NAME?</v>
      </c>
      <c r="J1958" s="4" t="e">
        <f ca="1">[1]!BexGetData("DP_1","003N8EMH8GTFRCSWKMPXRSGPQ","GSON1235461418")</f>
        <v>#NAME?</v>
      </c>
      <c r="K1958" s="3" t="e">
        <f ca="1">[1]!BexGetData("DP_1","003N8EMH8GTFRIVNUPY288VJH","GSON1235461418")</f>
        <v>#NAME?</v>
      </c>
      <c r="L1958" s="3" t="e">
        <f ca="1">[1]!BexGetData("DP_1","003N8EMH8GTFRIVNUPY2891V1","GSON1235461418")</f>
        <v>#NAME?</v>
      </c>
      <c r="M1958" s="8" t="e">
        <f ca="1">[1]!BexGetData("DP_1","003N8EMH8GTFRIVOG7KG9IQXA","GSON1235461418")</f>
        <v>#NAME?</v>
      </c>
      <c r="N1958" s="3" t="e">
        <f ca="1">[1]!BexGetData("DP_1","003N8EMH8GTFRIVOG7KG9IX8U","GSON1235461418")</f>
        <v>#NAME?</v>
      </c>
      <c r="O1958" s="8" t="e">
        <f ca="1">[1]!BexGetData("DP_1","003N8EMH8GTFRIVOG7KG9J3KE","GSON1235461418")</f>
        <v>#NAME?</v>
      </c>
      <c r="P1958" s="3" t="e">
        <f ca="1">[1]!BexGetData("DP_1","003N8EMH8GTFRIVOG7KG9J9VY","GSON1235461418")</f>
        <v>#NAME?</v>
      </c>
      <c r="Q1958" s="4" t="e">
        <f ca="1">[1]!BexGetData("DP_1","00O2TNJGODT0G5Z4TTKYMM5MT","GSON1235461418")</f>
        <v>#NAME?</v>
      </c>
      <c r="R1958" s="4" t="e">
        <f ca="1">[1]!BexGetData("DP_1","00O2TNJGODT0G5Z4TTKYMMBYD","GSON1235461418")</f>
        <v>#NAME?</v>
      </c>
      <c r="S1958" s="4" t="e">
        <f ca="1">[1]!BexGetData("DP_1","00O2TNJGODT0G5Z4TTKYMMI9X","GSON1235461418")</f>
        <v>#NAME?</v>
      </c>
      <c r="T1958" s="4" t="e">
        <f ca="1">[1]!BexGetData("DP_1","00O2TNJGODT0G5Z4TTKYMMOLH","GSON1235461418")</f>
        <v>#NAME?</v>
      </c>
      <c r="U1958" s="4" t="e">
        <f ca="1">[1]!BexGetData("DP_1","00O2TNJGODT0G5Z4TTKYMMUX1","GSON1235461418")</f>
        <v>#NAME?</v>
      </c>
      <c r="V1958" s="4" t="e">
        <f ca="1">[1]!BexGetData("DP_1","00O2TNJGODT0G5Z4TTKYMN18L","GSON1235461418")</f>
        <v>#NAME?</v>
      </c>
      <c r="W1958" s="4" t="e">
        <f ca="1">[1]!BexGetData("DP_1","00O2TNJGODT0G5Z4TTKYMN7K5","GSON1235461418")</f>
        <v>#NAME?</v>
      </c>
    </row>
    <row r="1959" spans="1:23" x14ac:dyDescent="0.2">
      <c r="A1959" s="16" t="s">
        <v>4672</v>
      </c>
      <c r="B1959" s="7" t="s">
        <v>4673</v>
      </c>
      <c r="C1959" s="3" t="e">
        <f ca="1">[1]!BexGetData("DP_1","003N8EMH8GTFRCSWKMPXRR8GU","GSON1235461419")</f>
        <v>#NAME?</v>
      </c>
      <c r="D1959" s="3" t="e">
        <f ca="1">[1]!BexGetData("DP_1","003N8EMH8GTFRCSWKMPXRRESE","GSON1235461419")</f>
        <v>#NAME?</v>
      </c>
      <c r="E1959" s="3" t="e">
        <f ca="1">[1]!BexGetData("DP_1","003N8EMH8GTFRCSWKMPXRRL3Y","GSON1235461419")</f>
        <v>#NAME?</v>
      </c>
      <c r="F1959" s="4" t="e">
        <f ca="1">[1]!BexGetData("DP_1","003N8EMH8GTFRCSWKMPXRRRFI","GSON1235461419")</f>
        <v>#NAME?</v>
      </c>
      <c r="G1959" s="4" t="e">
        <f ca="1">[1]!BexGetData("DP_1","003N8EMH8GTFRCSWKMPXRRXR2","GSON1235461419")</f>
        <v>#NAME?</v>
      </c>
      <c r="H1959" s="4" t="e">
        <f ca="1">[1]!BexGetData("DP_1","003N8EMH8GTFRCSWKMPXRS42M","GSON1235461419")</f>
        <v>#NAME?</v>
      </c>
      <c r="I1959" s="4" t="e">
        <f ca="1">[1]!BexGetData("DP_1","003N8EMH8GTFRCSWKMPXRSAE6","GSON1235461419")</f>
        <v>#NAME?</v>
      </c>
      <c r="J1959" s="4" t="e">
        <f ca="1">[1]!BexGetData("DP_1","003N8EMH8GTFRCSWKMPXRSGPQ","GSON1235461419")</f>
        <v>#NAME?</v>
      </c>
      <c r="K1959" s="3" t="e">
        <f ca="1">[1]!BexGetData("DP_1","003N8EMH8GTFRIVNUPY288VJH","GSON1235461419")</f>
        <v>#NAME?</v>
      </c>
      <c r="L1959" s="3" t="e">
        <f ca="1">[1]!BexGetData("DP_1","003N8EMH8GTFRIVNUPY2891V1","GSON1235461419")</f>
        <v>#NAME?</v>
      </c>
      <c r="M1959" s="8" t="e">
        <f ca="1">[1]!BexGetData("DP_1","003N8EMH8GTFRIVOG7KG9IQXA","GSON1235461419")</f>
        <v>#NAME?</v>
      </c>
      <c r="N1959" s="3" t="e">
        <f ca="1">[1]!BexGetData("DP_1","003N8EMH8GTFRIVOG7KG9IX8U","GSON1235461419")</f>
        <v>#NAME?</v>
      </c>
      <c r="O1959" s="8" t="e">
        <f ca="1">[1]!BexGetData("DP_1","003N8EMH8GTFRIVOG7KG9J3KE","GSON1235461419")</f>
        <v>#NAME?</v>
      </c>
      <c r="P1959" s="3" t="e">
        <f ca="1">[1]!BexGetData("DP_1","003N8EMH8GTFRIVOG7KG9J9VY","GSON1235461419")</f>
        <v>#NAME?</v>
      </c>
      <c r="Q1959" s="4" t="e">
        <f ca="1">[1]!BexGetData("DP_1","00O2TNJGODT0G5Z4TTKYMM5MT","GSON1235461419")</f>
        <v>#NAME?</v>
      </c>
      <c r="R1959" s="4" t="e">
        <f ca="1">[1]!BexGetData("DP_1","00O2TNJGODT0G5Z4TTKYMMBYD","GSON1235461419")</f>
        <v>#NAME?</v>
      </c>
      <c r="S1959" s="4" t="e">
        <f ca="1">[1]!BexGetData("DP_1","00O2TNJGODT0G5Z4TTKYMMI9X","GSON1235461419")</f>
        <v>#NAME?</v>
      </c>
      <c r="T1959" s="4" t="e">
        <f ca="1">[1]!BexGetData("DP_1","00O2TNJGODT0G5Z4TTKYMMOLH","GSON1235461419")</f>
        <v>#NAME?</v>
      </c>
      <c r="U1959" s="4" t="e">
        <f ca="1">[1]!BexGetData("DP_1","00O2TNJGODT0G5Z4TTKYMMUX1","GSON1235461419")</f>
        <v>#NAME?</v>
      </c>
      <c r="V1959" s="4" t="e">
        <f ca="1">[1]!BexGetData("DP_1","00O2TNJGODT0G5Z4TTKYMN18L","GSON1235461419")</f>
        <v>#NAME?</v>
      </c>
      <c r="W1959" s="4" t="e">
        <f ca="1">[1]!BexGetData("DP_1","00O2TNJGODT0G5Z4TTKYMN7K5","GSON1235461419")</f>
        <v>#NAME?</v>
      </c>
    </row>
    <row r="1960" spans="1:23" x14ac:dyDescent="0.2">
      <c r="A1960" s="16" t="s">
        <v>4674</v>
      </c>
      <c r="B1960" s="7" t="s">
        <v>4675</v>
      </c>
      <c r="C1960" s="3" t="e">
        <f ca="1">[1]!BexGetData("DP_1","003N8EMH8GTFRCSWKMPXRR8GU","GSON1235461420")</f>
        <v>#NAME?</v>
      </c>
      <c r="D1960" s="3" t="e">
        <f ca="1">[1]!BexGetData("DP_1","003N8EMH8GTFRCSWKMPXRRESE","GSON1235461420")</f>
        <v>#NAME?</v>
      </c>
      <c r="E1960" s="3" t="e">
        <f ca="1">[1]!BexGetData("DP_1","003N8EMH8GTFRCSWKMPXRRL3Y","GSON1235461420")</f>
        <v>#NAME?</v>
      </c>
      <c r="F1960" s="3" t="e">
        <f ca="1">[1]!BexGetData("DP_1","003N8EMH8GTFRCSWKMPXRRRFI","GSON1235461420")</f>
        <v>#NAME?</v>
      </c>
      <c r="G1960" s="3" t="e">
        <f ca="1">[1]!BexGetData("DP_1","003N8EMH8GTFRCSWKMPXRRXR2","GSON1235461420")</f>
        <v>#NAME?</v>
      </c>
      <c r="H1960" s="8" t="e">
        <f ca="1">[1]!BexGetData("DP_1","003N8EMH8GTFRCSWKMPXRS42M","GSON1235461420")</f>
        <v>#NAME?</v>
      </c>
      <c r="I1960" s="3" t="e">
        <f ca="1">[1]!BexGetData("DP_1","003N8EMH8GTFRCSWKMPXRSAE6","GSON1235461420")</f>
        <v>#NAME?</v>
      </c>
      <c r="J1960" s="4" t="e">
        <f ca="1">[1]!BexGetData("DP_1","003N8EMH8GTFRCSWKMPXRSGPQ","GSON1235461420")</f>
        <v>#NAME?</v>
      </c>
      <c r="K1960" s="3" t="e">
        <f ca="1">[1]!BexGetData("DP_1","003N8EMH8GTFRIVNUPY288VJH","GSON1235461420")</f>
        <v>#NAME?</v>
      </c>
      <c r="L1960" s="3" t="e">
        <f ca="1">[1]!BexGetData("DP_1","003N8EMH8GTFRIVNUPY2891V1","GSON1235461420")</f>
        <v>#NAME?</v>
      </c>
      <c r="M1960" s="8" t="e">
        <f ca="1">[1]!BexGetData("DP_1","003N8EMH8GTFRIVOG7KG9IQXA","GSON1235461420")</f>
        <v>#NAME?</v>
      </c>
      <c r="N1960" s="3" t="e">
        <f ca="1">[1]!BexGetData("DP_1","003N8EMH8GTFRIVOG7KG9IX8U","GSON1235461420")</f>
        <v>#NAME?</v>
      </c>
      <c r="O1960" s="8" t="e">
        <f ca="1">[1]!BexGetData("DP_1","003N8EMH8GTFRIVOG7KG9J3KE","GSON1235461420")</f>
        <v>#NAME?</v>
      </c>
      <c r="P1960" s="3" t="e">
        <f ca="1">[1]!BexGetData("DP_1","003N8EMH8GTFRIVOG7KG9J9VY","GSON1235461420")</f>
        <v>#NAME?</v>
      </c>
      <c r="Q1960" s="4" t="e">
        <f ca="1">[1]!BexGetData("DP_1","00O2TNJGODT0G5Z4TTKYMM5MT","GSON1235461420")</f>
        <v>#NAME?</v>
      </c>
      <c r="R1960" s="3" t="e">
        <f ca="1">[1]!BexGetData("DP_1","00O2TNJGODT0G5Z4TTKYMMBYD","GSON1235461420")</f>
        <v>#NAME?</v>
      </c>
      <c r="S1960" s="3" t="e">
        <f ca="1">[1]!BexGetData("DP_1","00O2TNJGODT0G5Z4TTKYMMI9X","GSON1235461420")</f>
        <v>#NAME?</v>
      </c>
      <c r="T1960" s="8" t="e">
        <f ca="1">[1]!BexGetData("DP_1","00O2TNJGODT0G5Z4TTKYMMOLH","GSON1235461420")</f>
        <v>#NAME?</v>
      </c>
      <c r="U1960" s="3" t="e">
        <f ca="1">[1]!BexGetData("DP_1","00O2TNJGODT0G5Z4TTKYMMUX1","GSON1235461420")</f>
        <v>#NAME?</v>
      </c>
      <c r="V1960" s="8" t="e">
        <f ca="1">[1]!BexGetData("DP_1","00O2TNJGODT0G5Z4TTKYMN18L","GSON1235461420")</f>
        <v>#NAME?</v>
      </c>
      <c r="W1960" s="3" t="e">
        <f ca="1">[1]!BexGetData("DP_1","00O2TNJGODT0G5Z4TTKYMN7K5","GSON1235461420")</f>
        <v>#NAME?</v>
      </c>
    </row>
    <row r="1961" spans="1:23" x14ac:dyDescent="0.2">
      <c r="A1961" s="16" t="s">
        <v>4676</v>
      </c>
      <c r="B1961" s="7" t="s">
        <v>4677</v>
      </c>
      <c r="C1961" s="3" t="e">
        <f ca="1">[1]!BexGetData("DP_1","003N8EMH8GTFRCSWKMPXRR8GU","GSON1235461422")</f>
        <v>#NAME?</v>
      </c>
      <c r="D1961" s="3" t="e">
        <f ca="1">[1]!BexGetData("DP_1","003N8EMH8GTFRCSWKMPXRRESE","GSON1235461422")</f>
        <v>#NAME?</v>
      </c>
      <c r="E1961" s="3" t="e">
        <f ca="1">[1]!BexGetData("DP_1","003N8EMH8GTFRCSWKMPXRRL3Y","GSON1235461422")</f>
        <v>#NAME?</v>
      </c>
      <c r="F1961" s="3" t="e">
        <f ca="1">[1]!BexGetData("DP_1","003N8EMH8GTFRCSWKMPXRRRFI","GSON1235461422")</f>
        <v>#NAME?</v>
      </c>
      <c r="G1961" s="3" t="e">
        <f ca="1">[1]!BexGetData("DP_1","003N8EMH8GTFRCSWKMPXRRXR2","GSON1235461422")</f>
        <v>#NAME?</v>
      </c>
      <c r="H1961" s="8" t="e">
        <f ca="1">[1]!BexGetData("DP_1","003N8EMH8GTFRCSWKMPXRS42M","GSON1235461422")</f>
        <v>#NAME?</v>
      </c>
      <c r="I1961" s="3" t="e">
        <f ca="1">[1]!BexGetData("DP_1","003N8EMH8GTFRCSWKMPXRSAE6","GSON1235461422")</f>
        <v>#NAME?</v>
      </c>
      <c r="J1961" s="4" t="e">
        <f ca="1">[1]!BexGetData("DP_1","003N8EMH8GTFRCSWKMPXRSGPQ","GSON1235461422")</f>
        <v>#NAME?</v>
      </c>
      <c r="K1961" s="3" t="e">
        <f ca="1">[1]!BexGetData("DP_1","003N8EMH8GTFRIVNUPY288VJH","GSON1235461422")</f>
        <v>#NAME?</v>
      </c>
      <c r="L1961" s="3" t="e">
        <f ca="1">[1]!BexGetData("DP_1","003N8EMH8GTFRIVNUPY2891V1","GSON1235461422")</f>
        <v>#NAME?</v>
      </c>
      <c r="M1961" s="8" t="e">
        <f ca="1">[1]!BexGetData("DP_1","003N8EMH8GTFRIVOG7KG9IQXA","GSON1235461422")</f>
        <v>#NAME?</v>
      </c>
      <c r="N1961" s="3" t="e">
        <f ca="1">[1]!BexGetData("DP_1","003N8EMH8GTFRIVOG7KG9IX8U","GSON1235461422")</f>
        <v>#NAME?</v>
      </c>
      <c r="O1961" s="8" t="e">
        <f ca="1">[1]!BexGetData("DP_1","003N8EMH8GTFRIVOG7KG9J3KE","GSON1235461422")</f>
        <v>#NAME?</v>
      </c>
      <c r="P1961" s="3" t="e">
        <f ca="1">[1]!BexGetData("DP_1","003N8EMH8GTFRIVOG7KG9J9VY","GSON1235461422")</f>
        <v>#NAME?</v>
      </c>
      <c r="Q1961" s="4" t="e">
        <f ca="1">[1]!BexGetData("DP_1","00O2TNJGODT0G5Z4TTKYMM5MT","GSON1235461422")</f>
        <v>#NAME?</v>
      </c>
      <c r="R1961" s="3" t="e">
        <f ca="1">[1]!BexGetData("DP_1","00O2TNJGODT0G5Z4TTKYMMBYD","GSON1235461422")</f>
        <v>#NAME?</v>
      </c>
      <c r="S1961" s="3" t="e">
        <f ca="1">[1]!BexGetData("DP_1","00O2TNJGODT0G5Z4TTKYMMI9X","GSON1235461422")</f>
        <v>#NAME?</v>
      </c>
      <c r="T1961" s="8" t="e">
        <f ca="1">[1]!BexGetData("DP_1","00O2TNJGODT0G5Z4TTKYMMOLH","GSON1235461422")</f>
        <v>#NAME?</v>
      </c>
      <c r="U1961" s="3" t="e">
        <f ca="1">[1]!BexGetData("DP_1","00O2TNJGODT0G5Z4TTKYMMUX1","GSON1235461422")</f>
        <v>#NAME?</v>
      </c>
      <c r="V1961" s="8" t="e">
        <f ca="1">[1]!BexGetData("DP_1","00O2TNJGODT0G5Z4TTKYMN18L","GSON1235461422")</f>
        <v>#NAME?</v>
      </c>
      <c r="W1961" s="3" t="e">
        <f ca="1">[1]!BexGetData("DP_1","00O2TNJGODT0G5Z4TTKYMN7K5","GSON1235461422")</f>
        <v>#NAME?</v>
      </c>
    </row>
    <row r="1962" spans="1:23" x14ac:dyDescent="0.2">
      <c r="A1962" s="16" t="s">
        <v>1280</v>
      </c>
      <c r="B1962" s="7" t="s">
        <v>1281</v>
      </c>
      <c r="C1962" s="3" t="e">
        <f ca="1">[1]!BexGetData("DP_1","003N8EMH8GTFRCSWKMPXRR8GU","GSON1235461424")</f>
        <v>#NAME?</v>
      </c>
      <c r="D1962" s="3" t="e">
        <f ca="1">[1]!BexGetData("DP_1","003N8EMH8GTFRCSWKMPXRRESE","GSON1235461424")</f>
        <v>#NAME?</v>
      </c>
      <c r="E1962" s="3" t="e">
        <f ca="1">[1]!BexGetData("DP_1","003N8EMH8GTFRCSWKMPXRRL3Y","GSON1235461424")</f>
        <v>#NAME?</v>
      </c>
      <c r="F1962" s="3" t="e">
        <f ca="1">[1]!BexGetData("DP_1","003N8EMH8GTFRCSWKMPXRRRFI","GSON1235461424")</f>
        <v>#NAME?</v>
      </c>
      <c r="G1962" s="3" t="e">
        <f ca="1">[1]!BexGetData("DP_1","003N8EMH8GTFRCSWKMPXRRXR2","GSON1235461424")</f>
        <v>#NAME?</v>
      </c>
      <c r="H1962" s="8" t="e">
        <f ca="1">[1]!BexGetData("DP_1","003N8EMH8GTFRCSWKMPXRS42M","GSON1235461424")</f>
        <v>#NAME?</v>
      </c>
      <c r="I1962" s="3" t="e">
        <f ca="1">[1]!BexGetData("DP_1","003N8EMH8GTFRCSWKMPXRSAE6","GSON1235461424")</f>
        <v>#NAME?</v>
      </c>
      <c r="J1962" s="4" t="e">
        <f ca="1">[1]!BexGetData("DP_1","003N8EMH8GTFRCSWKMPXRSGPQ","GSON1235461424")</f>
        <v>#NAME?</v>
      </c>
      <c r="K1962" s="3" t="e">
        <f ca="1">[1]!BexGetData("DP_1","003N8EMH8GTFRIVNUPY288VJH","GSON1235461424")</f>
        <v>#NAME?</v>
      </c>
      <c r="L1962" s="3" t="e">
        <f ca="1">[1]!BexGetData("DP_1","003N8EMH8GTFRIVNUPY2891V1","GSON1235461424")</f>
        <v>#NAME?</v>
      </c>
      <c r="M1962" s="8" t="e">
        <f ca="1">[1]!BexGetData("DP_1","003N8EMH8GTFRIVOG7KG9IQXA","GSON1235461424")</f>
        <v>#NAME?</v>
      </c>
      <c r="N1962" s="3" t="e">
        <f ca="1">[1]!BexGetData("DP_1","003N8EMH8GTFRIVOG7KG9IX8U","GSON1235461424")</f>
        <v>#NAME?</v>
      </c>
      <c r="O1962" s="8" t="e">
        <f ca="1">[1]!BexGetData("DP_1","003N8EMH8GTFRIVOG7KG9J3KE","GSON1235461424")</f>
        <v>#NAME?</v>
      </c>
      <c r="P1962" s="3" t="e">
        <f ca="1">[1]!BexGetData("DP_1","003N8EMH8GTFRIVOG7KG9J9VY","GSON1235461424")</f>
        <v>#NAME?</v>
      </c>
      <c r="Q1962" s="4" t="e">
        <f ca="1">[1]!BexGetData("DP_1","00O2TNJGODT0G5Z4TTKYMM5MT","GSON1235461424")</f>
        <v>#NAME?</v>
      </c>
      <c r="R1962" s="3" t="e">
        <f ca="1">[1]!BexGetData("DP_1","00O2TNJGODT0G5Z4TTKYMMBYD","GSON1235461424")</f>
        <v>#NAME?</v>
      </c>
      <c r="S1962" s="3" t="e">
        <f ca="1">[1]!BexGetData("DP_1","00O2TNJGODT0G5Z4TTKYMMI9X","GSON1235461424")</f>
        <v>#NAME?</v>
      </c>
      <c r="T1962" s="8" t="e">
        <f ca="1">[1]!BexGetData("DP_1","00O2TNJGODT0G5Z4TTKYMMOLH","GSON1235461424")</f>
        <v>#NAME?</v>
      </c>
      <c r="U1962" s="3" t="e">
        <f ca="1">[1]!BexGetData("DP_1","00O2TNJGODT0G5Z4TTKYMMUX1","GSON1235461424")</f>
        <v>#NAME?</v>
      </c>
      <c r="V1962" s="8" t="e">
        <f ca="1">[1]!BexGetData("DP_1","00O2TNJGODT0G5Z4TTKYMN18L","GSON1235461424")</f>
        <v>#NAME?</v>
      </c>
      <c r="W1962" s="3" t="e">
        <f ca="1">[1]!BexGetData("DP_1","00O2TNJGODT0G5Z4TTKYMN7K5","GSON1235461424")</f>
        <v>#NAME?</v>
      </c>
    </row>
    <row r="1963" spans="1:23" x14ac:dyDescent="0.2">
      <c r="A1963" s="16" t="s">
        <v>1282</v>
      </c>
      <c r="B1963" s="7" t="s">
        <v>1283</v>
      </c>
      <c r="C1963" s="8" t="e">
        <f ca="1">[1]!BexGetData("DP_1","003N8EMH8GTFRCSWKMPXRR8GU","GSON1235561500")</f>
        <v>#NAME?</v>
      </c>
      <c r="D1963" s="8" t="e">
        <f ca="1">[1]!BexGetData("DP_1","003N8EMH8GTFRCSWKMPXRRESE","GSON1235561500")</f>
        <v>#NAME?</v>
      </c>
      <c r="E1963" s="3" t="e">
        <f ca="1">[1]!BexGetData("DP_1","003N8EMH8GTFRCSWKMPXRRL3Y","GSON1235561500")</f>
        <v>#NAME?</v>
      </c>
      <c r="F1963" s="3" t="e">
        <f ca="1">[1]!BexGetData("DP_1","003N8EMH8GTFRCSWKMPXRRRFI","GSON1235561500")</f>
        <v>#NAME?</v>
      </c>
      <c r="G1963" s="3" t="e">
        <f ca="1">[1]!BexGetData("DP_1","003N8EMH8GTFRCSWKMPXRRXR2","GSON1235561500")</f>
        <v>#NAME?</v>
      </c>
      <c r="H1963" s="3" t="e">
        <f ca="1">[1]!BexGetData("DP_1","003N8EMH8GTFRCSWKMPXRS42M","GSON1235561500")</f>
        <v>#NAME?</v>
      </c>
      <c r="I1963" s="3" t="e">
        <f ca="1">[1]!BexGetData("DP_1","003N8EMH8GTFRCSWKMPXRSAE6","GSON1235561500")</f>
        <v>#NAME?</v>
      </c>
      <c r="J1963" s="4" t="e">
        <f ca="1">[1]!BexGetData("DP_1","003N8EMH8GTFRCSWKMPXRSGPQ","GSON1235561500")</f>
        <v>#NAME?</v>
      </c>
      <c r="K1963" s="8" t="e">
        <f ca="1">[1]!BexGetData("DP_1","003N8EMH8GTFRIVNUPY288VJH","GSON1235561500")</f>
        <v>#NAME?</v>
      </c>
      <c r="L1963" s="8" t="e">
        <f ca="1">[1]!BexGetData("DP_1","003N8EMH8GTFRIVNUPY2891V1","GSON1235561500")</f>
        <v>#NAME?</v>
      </c>
      <c r="M1963" s="8" t="e">
        <f ca="1">[1]!BexGetData("DP_1","003N8EMH8GTFRIVOG7KG9IQXA","GSON1235561500")</f>
        <v>#NAME?</v>
      </c>
      <c r="N1963" s="8" t="e">
        <f ca="1">[1]!BexGetData("DP_1","003N8EMH8GTFRIVOG7KG9IX8U","GSON1235561500")</f>
        <v>#NAME?</v>
      </c>
      <c r="O1963" s="8" t="e">
        <f ca="1">[1]!BexGetData("DP_1","003N8EMH8GTFRIVOG7KG9J3KE","GSON1235561500")</f>
        <v>#NAME?</v>
      </c>
      <c r="P1963" s="8" t="e">
        <f ca="1">[1]!BexGetData("DP_1","003N8EMH8GTFRIVOG7KG9J9VY","GSON1235561500")</f>
        <v>#NAME?</v>
      </c>
      <c r="Q1963" s="4" t="e">
        <f ca="1">[1]!BexGetData("DP_1","00O2TNJGODT0G5Z4TTKYMM5MT","GSON1235561500")</f>
        <v>#NAME?</v>
      </c>
      <c r="R1963" s="3" t="e">
        <f ca="1">[1]!BexGetData("DP_1","00O2TNJGODT0G5Z4TTKYMMBYD","GSON1235561500")</f>
        <v>#NAME?</v>
      </c>
      <c r="S1963" s="3" t="e">
        <f ca="1">[1]!BexGetData("DP_1","00O2TNJGODT0G5Z4TTKYMMI9X","GSON1235561500")</f>
        <v>#NAME?</v>
      </c>
      <c r="T1963" s="8" t="e">
        <f ca="1">[1]!BexGetData("DP_1","00O2TNJGODT0G5Z4TTKYMMOLH","GSON1235561500")</f>
        <v>#NAME?</v>
      </c>
      <c r="U1963" s="3" t="e">
        <f ca="1">[1]!BexGetData("DP_1","00O2TNJGODT0G5Z4TTKYMMUX1","GSON1235561500")</f>
        <v>#NAME?</v>
      </c>
      <c r="V1963" s="8" t="e">
        <f ca="1">[1]!BexGetData("DP_1","00O2TNJGODT0G5Z4TTKYMN18L","GSON1235561500")</f>
        <v>#NAME?</v>
      </c>
      <c r="W1963" s="3" t="e">
        <f ca="1">[1]!BexGetData("DP_1","00O2TNJGODT0G5Z4TTKYMN7K5","GSON1235561500")</f>
        <v>#NAME?</v>
      </c>
    </row>
    <row r="1964" spans="1:23" x14ac:dyDescent="0.2">
      <c r="A1964" s="16" t="s">
        <v>4678</v>
      </c>
      <c r="B1964" s="7" t="s">
        <v>4679</v>
      </c>
      <c r="C1964" s="8" t="e">
        <f ca="1">[1]!BexGetData("DP_1","003N8EMH8GTFRCSWKMPXRR8GU","GSON1235561503")</f>
        <v>#NAME?</v>
      </c>
      <c r="D1964" s="8" t="e">
        <f ca="1">[1]!BexGetData("DP_1","003N8EMH8GTFRCSWKMPXRRESE","GSON1235561503")</f>
        <v>#NAME?</v>
      </c>
      <c r="E1964" s="3" t="e">
        <f ca="1">[1]!BexGetData("DP_1","003N8EMH8GTFRCSWKMPXRRL3Y","GSON1235561503")</f>
        <v>#NAME?</v>
      </c>
      <c r="F1964" s="3" t="e">
        <f ca="1">[1]!BexGetData("DP_1","003N8EMH8GTFRCSWKMPXRRRFI","GSON1235561503")</f>
        <v>#NAME?</v>
      </c>
      <c r="G1964" s="3" t="e">
        <f ca="1">[1]!BexGetData("DP_1","003N8EMH8GTFRCSWKMPXRRXR2","GSON1235561503")</f>
        <v>#NAME?</v>
      </c>
      <c r="H1964" s="8" t="e">
        <f ca="1">[1]!BexGetData("DP_1","003N8EMH8GTFRCSWKMPXRS42M","GSON1235561503")</f>
        <v>#NAME?</v>
      </c>
      <c r="I1964" s="3" t="e">
        <f ca="1">[1]!BexGetData("DP_1","003N8EMH8GTFRCSWKMPXRSAE6","GSON1235561503")</f>
        <v>#NAME?</v>
      </c>
      <c r="J1964" s="4" t="e">
        <f ca="1">[1]!BexGetData("DP_1","003N8EMH8GTFRCSWKMPXRSGPQ","GSON1235561503")</f>
        <v>#NAME?</v>
      </c>
      <c r="K1964" s="8" t="e">
        <f ca="1">[1]!BexGetData("DP_1","003N8EMH8GTFRIVNUPY288VJH","GSON1235561503")</f>
        <v>#NAME?</v>
      </c>
      <c r="L1964" s="8" t="e">
        <f ca="1">[1]!BexGetData("DP_1","003N8EMH8GTFRIVNUPY2891V1","GSON1235561503")</f>
        <v>#NAME?</v>
      </c>
      <c r="M1964" s="8" t="e">
        <f ca="1">[1]!BexGetData("DP_1","003N8EMH8GTFRIVOG7KG9IQXA","GSON1235561503")</f>
        <v>#NAME?</v>
      </c>
      <c r="N1964" s="8" t="e">
        <f ca="1">[1]!BexGetData("DP_1","003N8EMH8GTFRIVOG7KG9IX8U","GSON1235561503")</f>
        <v>#NAME?</v>
      </c>
      <c r="O1964" s="8" t="e">
        <f ca="1">[1]!BexGetData("DP_1","003N8EMH8GTFRIVOG7KG9J3KE","GSON1235561503")</f>
        <v>#NAME?</v>
      </c>
      <c r="P1964" s="8" t="e">
        <f ca="1">[1]!BexGetData("DP_1","003N8EMH8GTFRIVOG7KG9J9VY","GSON1235561503")</f>
        <v>#NAME?</v>
      </c>
      <c r="Q1964" s="4" t="e">
        <f ca="1">[1]!BexGetData("DP_1","00O2TNJGODT0G5Z4TTKYMM5MT","GSON1235561503")</f>
        <v>#NAME?</v>
      </c>
      <c r="R1964" s="3" t="e">
        <f ca="1">[1]!BexGetData("DP_1","00O2TNJGODT0G5Z4TTKYMMBYD","GSON1235561503")</f>
        <v>#NAME?</v>
      </c>
      <c r="S1964" s="3" t="e">
        <f ca="1">[1]!BexGetData("DP_1","00O2TNJGODT0G5Z4TTKYMMI9X","GSON1235561503")</f>
        <v>#NAME?</v>
      </c>
      <c r="T1964" s="8" t="e">
        <f ca="1">[1]!BexGetData("DP_1","00O2TNJGODT0G5Z4TTKYMMOLH","GSON1235561503")</f>
        <v>#NAME?</v>
      </c>
      <c r="U1964" s="3" t="e">
        <f ca="1">[1]!BexGetData("DP_1","00O2TNJGODT0G5Z4TTKYMMUX1","GSON1235561503")</f>
        <v>#NAME?</v>
      </c>
      <c r="V1964" s="8" t="e">
        <f ca="1">[1]!BexGetData("DP_1","00O2TNJGODT0G5Z4TTKYMN18L","GSON1235561503")</f>
        <v>#NAME?</v>
      </c>
      <c r="W1964" s="3" t="e">
        <f ca="1">[1]!BexGetData("DP_1","00O2TNJGODT0G5Z4TTKYMN7K5","GSON1235561503")</f>
        <v>#NAME?</v>
      </c>
    </row>
    <row r="1965" spans="1:23" x14ac:dyDescent="0.2">
      <c r="A1965" s="16" t="s">
        <v>4658</v>
      </c>
      <c r="B1965" s="7" t="s">
        <v>4680</v>
      </c>
      <c r="C1965" s="8" t="e">
        <f ca="1">[1]!BexGetData("DP_1","003N8EMH8GTFRCSWKMPXRR8GU","GSON1235561505")</f>
        <v>#NAME?</v>
      </c>
      <c r="D1965" s="8" t="e">
        <f ca="1">[1]!BexGetData("DP_1","003N8EMH8GTFRCSWKMPXRRESE","GSON1235561505")</f>
        <v>#NAME?</v>
      </c>
      <c r="E1965" s="3" t="e">
        <f ca="1">[1]!BexGetData("DP_1","003N8EMH8GTFRCSWKMPXRRL3Y","GSON1235561505")</f>
        <v>#NAME?</v>
      </c>
      <c r="F1965" s="3" t="e">
        <f ca="1">[1]!BexGetData("DP_1","003N8EMH8GTFRCSWKMPXRRRFI","GSON1235561505")</f>
        <v>#NAME?</v>
      </c>
      <c r="G1965" s="3" t="e">
        <f ca="1">[1]!BexGetData("DP_1","003N8EMH8GTFRCSWKMPXRRXR2","GSON1235561505")</f>
        <v>#NAME?</v>
      </c>
      <c r="H1965" s="8" t="e">
        <f ca="1">[1]!BexGetData("DP_1","003N8EMH8GTFRCSWKMPXRS42M","GSON1235561505")</f>
        <v>#NAME?</v>
      </c>
      <c r="I1965" s="3" t="e">
        <f ca="1">[1]!BexGetData("DP_1","003N8EMH8GTFRCSWKMPXRSAE6","GSON1235561505")</f>
        <v>#NAME?</v>
      </c>
      <c r="J1965" s="4" t="e">
        <f ca="1">[1]!BexGetData("DP_1","003N8EMH8GTFRCSWKMPXRSGPQ","GSON1235561505")</f>
        <v>#NAME?</v>
      </c>
      <c r="K1965" s="8" t="e">
        <f ca="1">[1]!BexGetData("DP_1","003N8EMH8GTFRIVNUPY288VJH","GSON1235561505")</f>
        <v>#NAME?</v>
      </c>
      <c r="L1965" s="8" t="e">
        <f ca="1">[1]!BexGetData("DP_1","003N8EMH8GTFRIVNUPY2891V1","GSON1235561505")</f>
        <v>#NAME?</v>
      </c>
      <c r="M1965" s="8" t="e">
        <f ca="1">[1]!BexGetData("DP_1","003N8EMH8GTFRIVOG7KG9IQXA","GSON1235561505")</f>
        <v>#NAME?</v>
      </c>
      <c r="N1965" s="8" t="e">
        <f ca="1">[1]!BexGetData("DP_1","003N8EMH8GTFRIVOG7KG9IX8U","GSON1235561505")</f>
        <v>#NAME?</v>
      </c>
      <c r="O1965" s="8" t="e">
        <f ca="1">[1]!BexGetData("DP_1","003N8EMH8GTFRIVOG7KG9J3KE","GSON1235561505")</f>
        <v>#NAME?</v>
      </c>
      <c r="P1965" s="8" t="e">
        <f ca="1">[1]!BexGetData("DP_1","003N8EMH8GTFRIVOG7KG9J9VY","GSON1235561505")</f>
        <v>#NAME?</v>
      </c>
      <c r="Q1965" s="4" t="e">
        <f ca="1">[1]!BexGetData("DP_1","00O2TNJGODT0G5Z4TTKYMM5MT","GSON1235561505")</f>
        <v>#NAME?</v>
      </c>
      <c r="R1965" s="3" t="e">
        <f ca="1">[1]!BexGetData("DP_1","00O2TNJGODT0G5Z4TTKYMMBYD","GSON1235561505")</f>
        <v>#NAME?</v>
      </c>
      <c r="S1965" s="3" t="e">
        <f ca="1">[1]!BexGetData("DP_1","00O2TNJGODT0G5Z4TTKYMMI9X","GSON1235561505")</f>
        <v>#NAME?</v>
      </c>
      <c r="T1965" s="8" t="e">
        <f ca="1">[1]!BexGetData("DP_1","00O2TNJGODT0G5Z4TTKYMMOLH","GSON1235561505")</f>
        <v>#NAME?</v>
      </c>
      <c r="U1965" s="3" t="e">
        <f ca="1">[1]!BexGetData("DP_1","00O2TNJGODT0G5Z4TTKYMMUX1","GSON1235561505")</f>
        <v>#NAME?</v>
      </c>
      <c r="V1965" s="8" t="e">
        <f ca="1">[1]!BexGetData("DP_1","00O2TNJGODT0G5Z4TTKYMN18L","GSON1235561505")</f>
        <v>#NAME?</v>
      </c>
      <c r="W1965" s="3" t="e">
        <f ca="1">[1]!BexGetData("DP_1","00O2TNJGODT0G5Z4TTKYMN7K5","GSON1235561505")</f>
        <v>#NAME?</v>
      </c>
    </row>
    <row r="1966" spans="1:23" x14ac:dyDescent="0.2">
      <c r="A1966" s="16" t="s">
        <v>4681</v>
      </c>
      <c r="B1966" s="7" t="s">
        <v>4682</v>
      </c>
      <c r="C1966" s="3" t="e">
        <f ca="1">[1]!BexGetData("DP_1","003N8EMH8GTFRCSWKMPXRR8GU","GSON1235561509")</f>
        <v>#NAME?</v>
      </c>
      <c r="D1966" s="3" t="e">
        <f ca="1">[1]!BexGetData("DP_1","003N8EMH8GTFRCSWKMPXRRESE","GSON1235561509")</f>
        <v>#NAME?</v>
      </c>
      <c r="E1966" s="8" t="e">
        <f ca="1">[1]!BexGetData("DP_1","003N8EMH8GTFRCSWKMPXRRL3Y","GSON1235561509")</f>
        <v>#NAME?</v>
      </c>
      <c r="F1966" s="4" t="e">
        <f ca="1">[1]!BexGetData("DP_1","003N8EMH8GTFRCSWKMPXRRRFI","GSON1235561509")</f>
        <v>#NAME?</v>
      </c>
      <c r="G1966" s="4" t="e">
        <f ca="1">[1]!BexGetData("DP_1","003N8EMH8GTFRCSWKMPXRRXR2","GSON1235561509")</f>
        <v>#NAME?</v>
      </c>
      <c r="H1966" s="4" t="e">
        <f ca="1">[1]!BexGetData("DP_1","003N8EMH8GTFRCSWKMPXRS42M","GSON1235561509")</f>
        <v>#NAME?</v>
      </c>
      <c r="I1966" s="4" t="e">
        <f ca="1">[1]!BexGetData("DP_1","003N8EMH8GTFRCSWKMPXRSAE6","GSON1235561509")</f>
        <v>#NAME?</v>
      </c>
      <c r="J1966" s="4" t="e">
        <f ca="1">[1]!BexGetData("DP_1","003N8EMH8GTFRCSWKMPXRSGPQ","GSON1235561509")</f>
        <v>#NAME?</v>
      </c>
      <c r="K1966" s="8" t="e">
        <f ca="1">[1]!BexGetData("DP_1","003N8EMH8GTFRIVNUPY288VJH","GSON1235561509")</f>
        <v>#NAME?</v>
      </c>
      <c r="L1966" s="8" t="e">
        <f ca="1">[1]!BexGetData("DP_1","003N8EMH8GTFRIVNUPY2891V1","GSON1235561509")</f>
        <v>#NAME?</v>
      </c>
      <c r="M1966" s="8" t="e">
        <f ca="1">[1]!BexGetData("DP_1","003N8EMH8GTFRIVOG7KG9IQXA","GSON1235561509")</f>
        <v>#NAME?</v>
      </c>
      <c r="N1966" s="8" t="e">
        <f ca="1">[1]!BexGetData("DP_1","003N8EMH8GTFRIVOG7KG9IX8U","GSON1235561509")</f>
        <v>#NAME?</v>
      </c>
      <c r="O1966" s="8" t="e">
        <f ca="1">[1]!BexGetData("DP_1","003N8EMH8GTFRIVOG7KG9J3KE","GSON1235561509")</f>
        <v>#NAME?</v>
      </c>
      <c r="P1966" s="8" t="e">
        <f ca="1">[1]!BexGetData("DP_1","003N8EMH8GTFRIVOG7KG9J9VY","GSON1235561509")</f>
        <v>#NAME?</v>
      </c>
      <c r="Q1966" s="4" t="e">
        <f ca="1">[1]!BexGetData("DP_1","00O2TNJGODT0G5Z4TTKYMM5MT","GSON1235561509")</f>
        <v>#NAME?</v>
      </c>
      <c r="R1966" s="4" t="e">
        <f ca="1">[1]!BexGetData("DP_1","00O2TNJGODT0G5Z4TTKYMMBYD","GSON1235561509")</f>
        <v>#NAME?</v>
      </c>
      <c r="S1966" s="4" t="e">
        <f ca="1">[1]!BexGetData("DP_1","00O2TNJGODT0G5Z4TTKYMMI9X","GSON1235561509")</f>
        <v>#NAME?</v>
      </c>
      <c r="T1966" s="4" t="e">
        <f ca="1">[1]!BexGetData("DP_1","00O2TNJGODT0G5Z4TTKYMMOLH","GSON1235561509")</f>
        <v>#NAME?</v>
      </c>
      <c r="U1966" s="4" t="e">
        <f ca="1">[1]!BexGetData("DP_1","00O2TNJGODT0G5Z4TTKYMMUX1","GSON1235561509")</f>
        <v>#NAME?</v>
      </c>
      <c r="V1966" s="4" t="e">
        <f ca="1">[1]!BexGetData("DP_1","00O2TNJGODT0G5Z4TTKYMN18L","GSON1235561509")</f>
        <v>#NAME?</v>
      </c>
      <c r="W1966" s="4" t="e">
        <f ca="1">[1]!BexGetData("DP_1","00O2TNJGODT0G5Z4TTKYMN7K5","GSON1235561509")</f>
        <v>#NAME?</v>
      </c>
    </row>
    <row r="1967" spans="1:23" x14ac:dyDescent="0.2">
      <c r="A1967" s="16" t="s">
        <v>1284</v>
      </c>
      <c r="B1967" s="7" t="s">
        <v>1285</v>
      </c>
      <c r="C1967" s="8" t="e">
        <f ca="1">[1]!BexGetData("DP_1","003N8EMH8GTFRCSWKMPXRR8GU","GSON1235661600")</f>
        <v>#NAME?</v>
      </c>
      <c r="D1967" s="8" t="e">
        <f ca="1">[1]!BexGetData("DP_1","003N8EMH8GTFRCSWKMPXRRESE","GSON1235661600")</f>
        <v>#NAME?</v>
      </c>
      <c r="E1967" s="3" t="e">
        <f ca="1">[1]!BexGetData("DP_1","003N8EMH8GTFRCSWKMPXRRL3Y","GSON1235661600")</f>
        <v>#NAME?</v>
      </c>
      <c r="F1967" s="3" t="e">
        <f ca="1">[1]!BexGetData("DP_1","003N8EMH8GTFRCSWKMPXRRRFI","GSON1235661600")</f>
        <v>#NAME?</v>
      </c>
      <c r="G1967" s="3" t="e">
        <f ca="1">[1]!BexGetData("DP_1","003N8EMH8GTFRCSWKMPXRRXR2","GSON1235661600")</f>
        <v>#NAME?</v>
      </c>
      <c r="H1967" s="3" t="e">
        <f ca="1">[1]!BexGetData("DP_1","003N8EMH8GTFRCSWKMPXRS42M","GSON1235661600")</f>
        <v>#NAME?</v>
      </c>
      <c r="I1967" s="3" t="e">
        <f ca="1">[1]!BexGetData("DP_1","003N8EMH8GTFRCSWKMPXRSAE6","GSON1235661600")</f>
        <v>#NAME?</v>
      </c>
      <c r="J1967" s="4" t="e">
        <f ca="1">[1]!BexGetData("DP_1","003N8EMH8GTFRCSWKMPXRSGPQ","GSON1235661600")</f>
        <v>#NAME?</v>
      </c>
      <c r="K1967" s="8" t="e">
        <f ca="1">[1]!BexGetData("DP_1","003N8EMH8GTFRIVNUPY288VJH","GSON1235661600")</f>
        <v>#NAME?</v>
      </c>
      <c r="L1967" s="8" t="e">
        <f ca="1">[1]!BexGetData("DP_1","003N8EMH8GTFRIVNUPY2891V1","GSON1235661600")</f>
        <v>#NAME?</v>
      </c>
      <c r="M1967" s="8" t="e">
        <f ca="1">[1]!BexGetData("DP_1","003N8EMH8GTFRIVOG7KG9IQXA","GSON1235661600")</f>
        <v>#NAME?</v>
      </c>
      <c r="N1967" s="8" t="e">
        <f ca="1">[1]!BexGetData("DP_1","003N8EMH8GTFRIVOG7KG9IX8U","GSON1235661600")</f>
        <v>#NAME?</v>
      </c>
      <c r="O1967" s="8" t="e">
        <f ca="1">[1]!BexGetData("DP_1","003N8EMH8GTFRIVOG7KG9J3KE","GSON1235661600")</f>
        <v>#NAME?</v>
      </c>
      <c r="P1967" s="8" t="e">
        <f ca="1">[1]!BexGetData("DP_1","003N8EMH8GTFRIVOG7KG9J9VY","GSON1235661600")</f>
        <v>#NAME?</v>
      </c>
      <c r="Q1967" s="4" t="e">
        <f ca="1">[1]!BexGetData("DP_1","00O2TNJGODT0G5Z4TTKYMM5MT","GSON1235661600")</f>
        <v>#NAME?</v>
      </c>
      <c r="R1967" s="3" t="e">
        <f ca="1">[1]!BexGetData("DP_1","00O2TNJGODT0G5Z4TTKYMMBYD","GSON1235661600")</f>
        <v>#NAME?</v>
      </c>
      <c r="S1967" s="3" t="e">
        <f ca="1">[1]!BexGetData("DP_1","00O2TNJGODT0G5Z4TTKYMMI9X","GSON1235661600")</f>
        <v>#NAME?</v>
      </c>
      <c r="T1967" s="8" t="e">
        <f ca="1">[1]!BexGetData("DP_1","00O2TNJGODT0G5Z4TTKYMMOLH","GSON1235661600")</f>
        <v>#NAME?</v>
      </c>
      <c r="U1967" s="3" t="e">
        <f ca="1">[1]!BexGetData("DP_1","00O2TNJGODT0G5Z4TTKYMMUX1","GSON1235661600")</f>
        <v>#NAME?</v>
      </c>
      <c r="V1967" s="8" t="e">
        <f ca="1">[1]!BexGetData("DP_1","00O2TNJGODT0G5Z4TTKYMN18L","GSON1235661600")</f>
        <v>#NAME?</v>
      </c>
      <c r="W1967" s="3" t="e">
        <f ca="1">[1]!BexGetData("DP_1","00O2TNJGODT0G5Z4TTKYMN7K5","GSON1235661600")</f>
        <v>#NAME?</v>
      </c>
    </row>
    <row r="1968" spans="1:23" x14ac:dyDescent="0.2">
      <c r="A1968" s="15" t="s">
        <v>78</v>
      </c>
      <c r="B1968" s="7" t="s">
        <v>79</v>
      </c>
      <c r="C1968" s="3" t="e">
        <f ca="1">[1]!BexGetData("DP_1","003N8EMH8GTFRCSWKMPXRR8GU","GSON1236")</f>
        <v>#NAME?</v>
      </c>
      <c r="D1968" s="3" t="e">
        <f ca="1">[1]!BexGetData("DP_1","003N8EMH8GTFRCSWKMPXRRESE","GSON1236")</f>
        <v>#NAME?</v>
      </c>
      <c r="E1968" s="3" t="e">
        <f ca="1">[1]!BexGetData("DP_1","003N8EMH8GTFRCSWKMPXRRL3Y","GSON1236")</f>
        <v>#NAME?</v>
      </c>
      <c r="F1968" s="3" t="e">
        <f ca="1">[1]!BexGetData("DP_1","003N8EMH8GTFRCSWKMPXRRRFI","GSON1236")</f>
        <v>#NAME?</v>
      </c>
      <c r="G1968" s="3" t="e">
        <f ca="1">[1]!BexGetData("DP_1","003N8EMH8GTFRCSWKMPXRRXR2","GSON1236")</f>
        <v>#NAME?</v>
      </c>
      <c r="H1968" s="3" t="e">
        <f ca="1">[1]!BexGetData("DP_1","003N8EMH8GTFRCSWKMPXRS42M","GSON1236")</f>
        <v>#NAME?</v>
      </c>
      <c r="I1968" s="3" t="e">
        <f ca="1">[1]!BexGetData("DP_1","003N8EMH8GTFRCSWKMPXRSAE6","GSON1236")</f>
        <v>#NAME?</v>
      </c>
      <c r="J1968" s="4" t="e">
        <f ca="1">[1]!BexGetData("DP_1","003N8EMH8GTFRCSWKMPXRSGPQ","GSON1236")</f>
        <v>#NAME?</v>
      </c>
      <c r="K1968" s="3" t="e">
        <f ca="1">[1]!BexGetData("DP_1","003N8EMH8GTFRIVNUPY288VJH","GSON1236")</f>
        <v>#NAME?</v>
      </c>
      <c r="L1968" s="3" t="e">
        <f ca="1">[1]!BexGetData("DP_1","003N8EMH8GTFRIVNUPY2891V1","GSON1236")</f>
        <v>#NAME?</v>
      </c>
      <c r="M1968" s="8" t="e">
        <f ca="1">[1]!BexGetData("DP_1","003N8EMH8GTFRIVOG7KG9IQXA","GSON1236")</f>
        <v>#NAME?</v>
      </c>
      <c r="N1968" s="3" t="e">
        <f ca="1">[1]!BexGetData("DP_1","003N8EMH8GTFRIVOG7KG9IX8U","GSON1236")</f>
        <v>#NAME?</v>
      </c>
      <c r="O1968" s="8" t="e">
        <f ca="1">[1]!BexGetData("DP_1","003N8EMH8GTFRIVOG7KG9J3KE","GSON1236")</f>
        <v>#NAME?</v>
      </c>
      <c r="P1968" s="3" t="e">
        <f ca="1">[1]!BexGetData("DP_1","003N8EMH8GTFRIVOG7KG9J9VY","GSON1236")</f>
        <v>#NAME?</v>
      </c>
      <c r="Q1968" s="4" t="e">
        <f ca="1">[1]!BexGetData("DP_1","00O2TNJGODT0G5Z4TTKYMM5MT","GSON1236")</f>
        <v>#NAME?</v>
      </c>
      <c r="R1968" s="3" t="e">
        <f ca="1">[1]!BexGetData("DP_1","00O2TNJGODT0G5Z4TTKYMMBYD","GSON1236")</f>
        <v>#NAME?</v>
      </c>
      <c r="S1968" s="3" t="e">
        <f ca="1">[1]!BexGetData("DP_1","00O2TNJGODT0G5Z4TTKYMMI9X","GSON1236")</f>
        <v>#NAME?</v>
      </c>
      <c r="T1968" s="8" t="e">
        <f ca="1">[1]!BexGetData("DP_1","00O2TNJGODT0G5Z4TTKYMMOLH","GSON1236")</f>
        <v>#NAME?</v>
      </c>
      <c r="U1968" s="3" t="e">
        <f ca="1">[1]!BexGetData("DP_1","00O2TNJGODT0G5Z4TTKYMMUX1","GSON1236")</f>
        <v>#NAME?</v>
      </c>
      <c r="V1968" s="8" t="e">
        <f ca="1">[1]!BexGetData("DP_1","00O2TNJGODT0G5Z4TTKYMN18L","GSON1236")</f>
        <v>#NAME?</v>
      </c>
      <c r="W1968" s="3" t="e">
        <f ca="1">[1]!BexGetData("DP_1","00O2TNJGODT0G5Z4TTKYMN7K5","GSON1236")</f>
        <v>#NAME?</v>
      </c>
    </row>
    <row r="1969" spans="1:23" x14ac:dyDescent="0.2">
      <c r="A1969" s="16" t="s">
        <v>1286</v>
      </c>
      <c r="B1969" s="7" t="s">
        <v>1287</v>
      </c>
      <c r="C1969" s="8" t="e">
        <f ca="1">[1]!BexGetData("DP_1","003N8EMH8GTFRCSWKMPXRR8GU","GSON1236262200")</f>
        <v>#NAME?</v>
      </c>
      <c r="D1969" s="8" t="e">
        <f ca="1">[1]!BexGetData("DP_1","003N8EMH8GTFRCSWKMPXRRESE","GSON1236262200")</f>
        <v>#NAME?</v>
      </c>
      <c r="E1969" s="3" t="e">
        <f ca="1">[1]!BexGetData("DP_1","003N8EMH8GTFRCSWKMPXRRL3Y","GSON1236262200")</f>
        <v>#NAME?</v>
      </c>
      <c r="F1969" s="3" t="e">
        <f ca="1">[1]!BexGetData("DP_1","003N8EMH8GTFRCSWKMPXRRRFI","GSON1236262200")</f>
        <v>#NAME?</v>
      </c>
      <c r="G1969" s="3" t="e">
        <f ca="1">[1]!BexGetData("DP_1","003N8EMH8GTFRCSWKMPXRRXR2","GSON1236262200")</f>
        <v>#NAME?</v>
      </c>
      <c r="H1969" s="3" t="e">
        <f ca="1">[1]!BexGetData("DP_1","003N8EMH8GTFRCSWKMPXRS42M","GSON1236262200")</f>
        <v>#NAME?</v>
      </c>
      <c r="I1969" s="3" t="e">
        <f ca="1">[1]!BexGetData("DP_1","003N8EMH8GTFRCSWKMPXRSAE6","GSON1236262200")</f>
        <v>#NAME?</v>
      </c>
      <c r="J1969" s="4" t="e">
        <f ca="1">[1]!BexGetData("DP_1","003N8EMH8GTFRCSWKMPXRSGPQ","GSON1236262200")</f>
        <v>#NAME?</v>
      </c>
      <c r="K1969" s="8" t="e">
        <f ca="1">[1]!BexGetData("DP_1","003N8EMH8GTFRIVNUPY288VJH","GSON1236262200")</f>
        <v>#NAME?</v>
      </c>
      <c r="L1969" s="8" t="e">
        <f ca="1">[1]!BexGetData("DP_1","003N8EMH8GTFRIVNUPY2891V1","GSON1236262200")</f>
        <v>#NAME?</v>
      </c>
      <c r="M1969" s="8" t="e">
        <f ca="1">[1]!BexGetData("DP_1","003N8EMH8GTFRIVOG7KG9IQXA","GSON1236262200")</f>
        <v>#NAME?</v>
      </c>
      <c r="N1969" s="8" t="e">
        <f ca="1">[1]!BexGetData("DP_1","003N8EMH8GTFRIVOG7KG9IX8U","GSON1236262200")</f>
        <v>#NAME?</v>
      </c>
      <c r="O1969" s="8" t="e">
        <f ca="1">[1]!BexGetData("DP_1","003N8EMH8GTFRIVOG7KG9J3KE","GSON1236262200")</f>
        <v>#NAME?</v>
      </c>
      <c r="P1969" s="8" t="e">
        <f ca="1">[1]!BexGetData("DP_1","003N8EMH8GTFRIVOG7KG9J9VY","GSON1236262200")</f>
        <v>#NAME?</v>
      </c>
      <c r="Q1969" s="4" t="e">
        <f ca="1">[1]!BexGetData("DP_1","00O2TNJGODT0G5Z4TTKYMM5MT","GSON1236262200")</f>
        <v>#NAME?</v>
      </c>
      <c r="R1969" s="3" t="e">
        <f ca="1">[1]!BexGetData("DP_1","00O2TNJGODT0G5Z4TTKYMMBYD","GSON1236262200")</f>
        <v>#NAME?</v>
      </c>
      <c r="S1969" s="3" t="e">
        <f ca="1">[1]!BexGetData("DP_1","00O2TNJGODT0G5Z4TTKYMMI9X","GSON1236262200")</f>
        <v>#NAME?</v>
      </c>
      <c r="T1969" s="8" t="e">
        <f ca="1">[1]!BexGetData("DP_1","00O2TNJGODT0G5Z4TTKYMMOLH","GSON1236262200")</f>
        <v>#NAME?</v>
      </c>
      <c r="U1969" s="3" t="e">
        <f ca="1">[1]!BexGetData("DP_1","00O2TNJGODT0G5Z4TTKYMMUX1","GSON1236262200")</f>
        <v>#NAME?</v>
      </c>
      <c r="V1969" s="8" t="e">
        <f ca="1">[1]!BexGetData("DP_1","00O2TNJGODT0G5Z4TTKYMN18L","GSON1236262200")</f>
        <v>#NAME?</v>
      </c>
      <c r="W1969" s="3" t="e">
        <f ca="1">[1]!BexGetData("DP_1","00O2TNJGODT0G5Z4TTKYMN7K5","GSON1236262200")</f>
        <v>#NAME?</v>
      </c>
    </row>
    <row r="1970" spans="1:23" x14ac:dyDescent="0.2">
      <c r="A1970" s="16" t="s">
        <v>1288</v>
      </c>
      <c r="B1970" s="7" t="s">
        <v>80</v>
      </c>
      <c r="C1970" s="3" t="e">
        <f ca="1">[1]!BexGetData("DP_1","003N8EMH8GTFRCSWKMPXRR8GU","GSON1236262201")</f>
        <v>#NAME?</v>
      </c>
      <c r="D1970" s="3" t="e">
        <f ca="1">[1]!BexGetData("DP_1","003N8EMH8GTFRCSWKMPXRRESE","GSON1236262201")</f>
        <v>#NAME?</v>
      </c>
      <c r="E1970" s="3" t="e">
        <f ca="1">[1]!BexGetData("DP_1","003N8EMH8GTFRCSWKMPXRRL3Y","GSON1236262201")</f>
        <v>#NAME?</v>
      </c>
      <c r="F1970" s="3" t="e">
        <f ca="1">[1]!BexGetData("DP_1","003N8EMH8GTFRCSWKMPXRRRFI","GSON1236262201")</f>
        <v>#NAME?</v>
      </c>
      <c r="G1970" s="3" t="e">
        <f ca="1">[1]!BexGetData("DP_1","003N8EMH8GTFRCSWKMPXRRXR2","GSON1236262201")</f>
        <v>#NAME?</v>
      </c>
      <c r="H1970" s="8" t="e">
        <f ca="1">[1]!BexGetData("DP_1","003N8EMH8GTFRCSWKMPXRS42M","GSON1236262201")</f>
        <v>#NAME?</v>
      </c>
      <c r="I1970" s="3" t="e">
        <f ca="1">[1]!BexGetData("DP_1","003N8EMH8GTFRCSWKMPXRSAE6","GSON1236262201")</f>
        <v>#NAME?</v>
      </c>
      <c r="J1970" s="4" t="e">
        <f ca="1">[1]!BexGetData("DP_1","003N8EMH8GTFRCSWKMPXRSGPQ","GSON1236262201")</f>
        <v>#NAME?</v>
      </c>
      <c r="K1970" s="3" t="e">
        <f ca="1">[1]!BexGetData("DP_1","003N8EMH8GTFRIVNUPY288VJH","GSON1236262201")</f>
        <v>#NAME?</v>
      </c>
      <c r="L1970" s="3" t="e">
        <f ca="1">[1]!BexGetData("DP_1","003N8EMH8GTFRIVNUPY2891V1","GSON1236262201")</f>
        <v>#NAME?</v>
      </c>
      <c r="M1970" s="8" t="e">
        <f ca="1">[1]!BexGetData("DP_1","003N8EMH8GTFRIVOG7KG9IQXA","GSON1236262201")</f>
        <v>#NAME?</v>
      </c>
      <c r="N1970" s="3" t="e">
        <f ca="1">[1]!BexGetData("DP_1","003N8EMH8GTFRIVOG7KG9IX8U","GSON1236262201")</f>
        <v>#NAME?</v>
      </c>
      <c r="O1970" s="8" t="e">
        <f ca="1">[1]!BexGetData("DP_1","003N8EMH8GTFRIVOG7KG9J3KE","GSON1236262201")</f>
        <v>#NAME?</v>
      </c>
      <c r="P1970" s="3" t="e">
        <f ca="1">[1]!BexGetData("DP_1","003N8EMH8GTFRIVOG7KG9J9VY","GSON1236262201")</f>
        <v>#NAME?</v>
      </c>
      <c r="Q1970" s="4" t="e">
        <f ca="1">[1]!BexGetData("DP_1","00O2TNJGODT0G5Z4TTKYMM5MT","GSON1236262201")</f>
        <v>#NAME?</v>
      </c>
      <c r="R1970" s="3" t="e">
        <f ca="1">[1]!BexGetData("DP_1","00O2TNJGODT0G5Z4TTKYMMBYD","GSON1236262201")</f>
        <v>#NAME?</v>
      </c>
      <c r="S1970" s="3" t="e">
        <f ca="1">[1]!BexGetData("DP_1","00O2TNJGODT0G5Z4TTKYMMI9X","GSON1236262201")</f>
        <v>#NAME?</v>
      </c>
      <c r="T1970" s="8" t="e">
        <f ca="1">[1]!BexGetData("DP_1","00O2TNJGODT0G5Z4TTKYMMOLH","GSON1236262201")</f>
        <v>#NAME?</v>
      </c>
      <c r="U1970" s="3" t="e">
        <f ca="1">[1]!BexGetData("DP_1","00O2TNJGODT0G5Z4TTKYMMUX1","GSON1236262201")</f>
        <v>#NAME?</v>
      </c>
      <c r="V1970" s="8" t="e">
        <f ca="1">[1]!BexGetData("DP_1","00O2TNJGODT0G5Z4TTKYMN18L","GSON1236262201")</f>
        <v>#NAME?</v>
      </c>
      <c r="W1970" s="3" t="e">
        <f ca="1">[1]!BexGetData("DP_1","00O2TNJGODT0G5Z4TTKYMN7K5","GSON1236262201")</f>
        <v>#NAME?</v>
      </c>
    </row>
    <row r="1971" spans="1:23" x14ac:dyDescent="0.2">
      <c r="A1971" s="16" t="s">
        <v>4683</v>
      </c>
      <c r="B1971" s="7" t="s">
        <v>4684</v>
      </c>
      <c r="C1971" s="3" t="e">
        <f ca="1">[1]!BexGetData("DP_1","003N8EMH8GTFRCSWKMPXRR8GU","GSON1236262202")</f>
        <v>#NAME?</v>
      </c>
      <c r="D1971" s="3" t="e">
        <f ca="1">[1]!BexGetData("DP_1","003N8EMH8GTFRCSWKMPXRRESE","GSON1236262202")</f>
        <v>#NAME?</v>
      </c>
      <c r="E1971" s="3" t="e">
        <f ca="1">[1]!BexGetData("DP_1","003N8EMH8GTFRCSWKMPXRRL3Y","GSON1236262202")</f>
        <v>#NAME?</v>
      </c>
      <c r="F1971" s="3" t="e">
        <f ca="1">[1]!BexGetData("DP_1","003N8EMH8GTFRCSWKMPXRRRFI","GSON1236262202")</f>
        <v>#NAME?</v>
      </c>
      <c r="G1971" s="3" t="e">
        <f ca="1">[1]!BexGetData("DP_1","003N8EMH8GTFRCSWKMPXRRXR2","GSON1236262202")</f>
        <v>#NAME?</v>
      </c>
      <c r="H1971" s="8" t="e">
        <f ca="1">[1]!BexGetData("DP_1","003N8EMH8GTFRCSWKMPXRS42M","GSON1236262202")</f>
        <v>#NAME?</v>
      </c>
      <c r="I1971" s="3" t="e">
        <f ca="1">[1]!BexGetData("DP_1","003N8EMH8GTFRCSWKMPXRSAE6","GSON1236262202")</f>
        <v>#NAME?</v>
      </c>
      <c r="J1971" s="4" t="e">
        <f ca="1">[1]!BexGetData("DP_1","003N8EMH8GTFRCSWKMPXRSGPQ","GSON1236262202")</f>
        <v>#NAME?</v>
      </c>
      <c r="K1971" s="3" t="e">
        <f ca="1">[1]!BexGetData("DP_1","003N8EMH8GTFRIVNUPY288VJH","GSON1236262202")</f>
        <v>#NAME?</v>
      </c>
      <c r="L1971" s="3" t="e">
        <f ca="1">[1]!BexGetData("DP_1","003N8EMH8GTFRIVNUPY2891V1","GSON1236262202")</f>
        <v>#NAME?</v>
      </c>
      <c r="M1971" s="8" t="e">
        <f ca="1">[1]!BexGetData("DP_1","003N8EMH8GTFRIVOG7KG9IQXA","GSON1236262202")</f>
        <v>#NAME?</v>
      </c>
      <c r="N1971" s="3" t="e">
        <f ca="1">[1]!BexGetData("DP_1","003N8EMH8GTFRIVOG7KG9IX8U","GSON1236262202")</f>
        <v>#NAME?</v>
      </c>
      <c r="O1971" s="8" t="e">
        <f ca="1">[1]!BexGetData("DP_1","003N8EMH8GTFRIVOG7KG9J3KE","GSON1236262202")</f>
        <v>#NAME?</v>
      </c>
      <c r="P1971" s="3" t="e">
        <f ca="1">[1]!BexGetData("DP_1","003N8EMH8GTFRIVOG7KG9J9VY","GSON1236262202")</f>
        <v>#NAME?</v>
      </c>
      <c r="Q1971" s="4" t="e">
        <f ca="1">[1]!BexGetData("DP_1","00O2TNJGODT0G5Z4TTKYMM5MT","GSON1236262202")</f>
        <v>#NAME?</v>
      </c>
      <c r="R1971" s="3" t="e">
        <f ca="1">[1]!BexGetData("DP_1","00O2TNJGODT0G5Z4TTKYMMBYD","GSON1236262202")</f>
        <v>#NAME?</v>
      </c>
      <c r="S1971" s="3" t="e">
        <f ca="1">[1]!BexGetData("DP_1","00O2TNJGODT0G5Z4TTKYMMI9X","GSON1236262202")</f>
        <v>#NAME?</v>
      </c>
      <c r="T1971" s="8" t="e">
        <f ca="1">[1]!BexGetData("DP_1","00O2TNJGODT0G5Z4TTKYMMOLH","GSON1236262202")</f>
        <v>#NAME?</v>
      </c>
      <c r="U1971" s="3" t="e">
        <f ca="1">[1]!BexGetData("DP_1","00O2TNJGODT0G5Z4TTKYMMUX1","GSON1236262202")</f>
        <v>#NAME?</v>
      </c>
      <c r="V1971" s="8" t="e">
        <f ca="1">[1]!BexGetData("DP_1","00O2TNJGODT0G5Z4TTKYMN18L","GSON1236262202")</f>
        <v>#NAME?</v>
      </c>
      <c r="W1971" s="3" t="e">
        <f ca="1">[1]!BexGetData("DP_1","00O2TNJGODT0G5Z4TTKYMN7K5","GSON1236262202")</f>
        <v>#NAME?</v>
      </c>
    </row>
    <row r="1972" spans="1:23" x14ac:dyDescent="0.2">
      <c r="A1972" s="16" t="s">
        <v>4685</v>
      </c>
      <c r="B1972" s="7" t="s">
        <v>4686</v>
      </c>
      <c r="C1972" s="3" t="e">
        <f ca="1">[1]!BexGetData("DP_1","003N8EMH8GTFRCSWKMPXRR8GU","GSON1236262203")</f>
        <v>#NAME?</v>
      </c>
      <c r="D1972" s="3" t="e">
        <f ca="1">[1]!BexGetData("DP_1","003N8EMH8GTFRCSWKMPXRRESE","GSON1236262203")</f>
        <v>#NAME?</v>
      </c>
      <c r="E1972" s="3" t="e">
        <f ca="1">[1]!BexGetData("DP_1","003N8EMH8GTFRCSWKMPXRRL3Y","GSON1236262203")</f>
        <v>#NAME?</v>
      </c>
      <c r="F1972" s="3" t="e">
        <f ca="1">[1]!BexGetData("DP_1","003N8EMH8GTFRCSWKMPXRRRFI","GSON1236262203")</f>
        <v>#NAME?</v>
      </c>
      <c r="G1972" s="3" t="e">
        <f ca="1">[1]!BexGetData("DP_1","003N8EMH8GTFRCSWKMPXRRXR2","GSON1236262203")</f>
        <v>#NAME?</v>
      </c>
      <c r="H1972" s="8" t="e">
        <f ca="1">[1]!BexGetData("DP_1","003N8EMH8GTFRCSWKMPXRS42M","GSON1236262203")</f>
        <v>#NAME?</v>
      </c>
      <c r="I1972" s="3" t="e">
        <f ca="1">[1]!BexGetData("DP_1","003N8EMH8GTFRCSWKMPXRSAE6","GSON1236262203")</f>
        <v>#NAME?</v>
      </c>
      <c r="J1972" s="4" t="e">
        <f ca="1">[1]!BexGetData("DP_1","003N8EMH8GTFRCSWKMPXRSGPQ","GSON1236262203")</f>
        <v>#NAME?</v>
      </c>
      <c r="K1972" s="3" t="e">
        <f ca="1">[1]!BexGetData("DP_1","003N8EMH8GTFRIVNUPY288VJH","GSON1236262203")</f>
        <v>#NAME?</v>
      </c>
      <c r="L1972" s="3" t="e">
        <f ca="1">[1]!BexGetData("DP_1","003N8EMH8GTFRIVNUPY2891V1","GSON1236262203")</f>
        <v>#NAME?</v>
      </c>
      <c r="M1972" s="8" t="e">
        <f ca="1">[1]!BexGetData("DP_1","003N8EMH8GTFRIVOG7KG9IQXA","GSON1236262203")</f>
        <v>#NAME?</v>
      </c>
      <c r="N1972" s="3" t="e">
        <f ca="1">[1]!BexGetData("DP_1","003N8EMH8GTFRIVOG7KG9IX8U","GSON1236262203")</f>
        <v>#NAME?</v>
      </c>
      <c r="O1972" s="8" t="e">
        <f ca="1">[1]!BexGetData("DP_1","003N8EMH8GTFRIVOG7KG9J3KE","GSON1236262203")</f>
        <v>#NAME?</v>
      </c>
      <c r="P1972" s="3" t="e">
        <f ca="1">[1]!BexGetData("DP_1","003N8EMH8GTFRIVOG7KG9J9VY","GSON1236262203")</f>
        <v>#NAME?</v>
      </c>
      <c r="Q1972" s="4" t="e">
        <f ca="1">[1]!BexGetData("DP_1","00O2TNJGODT0G5Z4TTKYMM5MT","GSON1236262203")</f>
        <v>#NAME?</v>
      </c>
      <c r="R1972" s="3" t="e">
        <f ca="1">[1]!BexGetData("DP_1","00O2TNJGODT0G5Z4TTKYMMBYD","GSON1236262203")</f>
        <v>#NAME?</v>
      </c>
      <c r="S1972" s="3" t="e">
        <f ca="1">[1]!BexGetData("DP_1","00O2TNJGODT0G5Z4TTKYMMI9X","GSON1236262203")</f>
        <v>#NAME?</v>
      </c>
      <c r="T1972" s="8" t="e">
        <f ca="1">[1]!BexGetData("DP_1","00O2TNJGODT0G5Z4TTKYMMOLH","GSON1236262203")</f>
        <v>#NAME?</v>
      </c>
      <c r="U1972" s="3" t="e">
        <f ca="1">[1]!BexGetData("DP_1","00O2TNJGODT0G5Z4TTKYMMUX1","GSON1236262203")</f>
        <v>#NAME?</v>
      </c>
      <c r="V1972" s="8" t="e">
        <f ca="1">[1]!BexGetData("DP_1","00O2TNJGODT0G5Z4TTKYMN18L","GSON1236262203")</f>
        <v>#NAME?</v>
      </c>
      <c r="W1972" s="3" t="e">
        <f ca="1">[1]!BexGetData("DP_1","00O2TNJGODT0G5Z4TTKYMN7K5","GSON1236262203")</f>
        <v>#NAME?</v>
      </c>
    </row>
    <row r="1973" spans="1:23" x14ac:dyDescent="0.2">
      <c r="A1973" s="16" t="s">
        <v>4687</v>
      </c>
      <c r="B1973" s="7" t="s">
        <v>4688</v>
      </c>
      <c r="C1973" s="3" t="e">
        <f ca="1">[1]!BexGetData("DP_1","003N8EMH8GTFRCSWKMPXRR8GU","GSON1236262207")</f>
        <v>#NAME?</v>
      </c>
      <c r="D1973" s="8" t="e">
        <f ca="1">[1]!BexGetData("DP_1","003N8EMH8GTFRCSWKMPXRRESE","GSON1236262207")</f>
        <v>#NAME?</v>
      </c>
      <c r="E1973" s="3" t="e">
        <f ca="1">[1]!BexGetData("DP_1","003N8EMH8GTFRCSWKMPXRRL3Y","GSON1236262207")</f>
        <v>#NAME?</v>
      </c>
      <c r="F1973" s="3" t="e">
        <f ca="1">[1]!BexGetData("DP_1","003N8EMH8GTFRCSWKMPXRRRFI","GSON1236262207")</f>
        <v>#NAME?</v>
      </c>
      <c r="G1973" s="3" t="e">
        <f ca="1">[1]!BexGetData("DP_1","003N8EMH8GTFRCSWKMPXRRXR2","GSON1236262207")</f>
        <v>#NAME?</v>
      </c>
      <c r="H1973" s="8" t="e">
        <f ca="1">[1]!BexGetData("DP_1","003N8EMH8GTFRCSWKMPXRS42M","GSON1236262207")</f>
        <v>#NAME?</v>
      </c>
      <c r="I1973" s="3" t="e">
        <f ca="1">[1]!BexGetData("DP_1","003N8EMH8GTFRCSWKMPXRSAE6","GSON1236262207")</f>
        <v>#NAME?</v>
      </c>
      <c r="J1973" s="4" t="e">
        <f ca="1">[1]!BexGetData("DP_1","003N8EMH8GTFRCSWKMPXRSGPQ","GSON1236262207")</f>
        <v>#NAME?</v>
      </c>
      <c r="K1973" s="3" t="e">
        <f ca="1">[1]!BexGetData("DP_1","003N8EMH8GTFRIVNUPY288VJH","GSON1236262207")</f>
        <v>#NAME?</v>
      </c>
      <c r="L1973" s="3" t="e">
        <f ca="1">[1]!BexGetData("DP_1","003N8EMH8GTFRIVNUPY2891V1","GSON1236262207")</f>
        <v>#NAME?</v>
      </c>
      <c r="M1973" s="8" t="e">
        <f ca="1">[1]!BexGetData("DP_1","003N8EMH8GTFRIVOG7KG9IQXA","GSON1236262207")</f>
        <v>#NAME?</v>
      </c>
      <c r="N1973" s="3" t="e">
        <f ca="1">[1]!BexGetData("DP_1","003N8EMH8GTFRIVOG7KG9IX8U","GSON1236262207")</f>
        <v>#NAME?</v>
      </c>
      <c r="O1973" s="8" t="e">
        <f ca="1">[1]!BexGetData("DP_1","003N8EMH8GTFRIVOG7KG9J3KE","GSON1236262207")</f>
        <v>#NAME?</v>
      </c>
      <c r="P1973" s="3" t="e">
        <f ca="1">[1]!BexGetData("DP_1","003N8EMH8GTFRIVOG7KG9J9VY","GSON1236262207")</f>
        <v>#NAME?</v>
      </c>
      <c r="Q1973" s="4" t="e">
        <f ca="1">[1]!BexGetData("DP_1","00O2TNJGODT0G5Z4TTKYMM5MT","GSON1236262207")</f>
        <v>#NAME?</v>
      </c>
      <c r="R1973" s="3" t="e">
        <f ca="1">[1]!BexGetData("DP_1","00O2TNJGODT0G5Z4TTKYMMBYD","GSON1236262207")</f>
        <v>#NAME?</v>
      </c>
      <c r="S1973" s="3" t="e">
        <f ca="1">[1]!BexGetData("DP_1","00O2TNJGODT0G5Z4TTKYMMI9X","GSON1236262207")</f>
        <v>#NAME?</v>
      </c>
      <c r="T1973" s="8" t="e">
        <f ca="1">[1]!BexGetData("DP_1","00O2TNJGODT0G5Z4TTKYMMOLH","GSON1236262207")</f>
        <v>#NAME?</v>
      </c>
      <c r="U1973" s="3" t="e">
        <f ca="1">[1]!BexGetData("DP_1","00O2TNJGODT0G5Z4TTKYMMUX1","GSON1236262207")</f>
        <v>#NAME?</v>
      </c>
      <c r="V1973" s="8" t="e">
        <f ca="1">[1]!BexGetData("DP_1","00O2TNJGODT0G5Z4TTKYMN18L","GSON1236262207")</f>
        <v>#NAME?</v>
      </c>
      <c r="W1973" s="3" t="e">
        <f ca="1">[1]!BexGetData("DP_1","00O2TNJGODT0G5Z4TTKYMN7K5","GSON1236262207")</f>
        <v>#NAME?</v>
      </c>
    </row>
    <row r="1974" spans="1:23" x14ac:dyDescent="0.2">
      <c r="A1974" s="16" t="s">
        <v>4689</v>
      </c>
      <c r="B1974" s="7" t="s">
        <v>4690</v>
      </c>
      <c r="C1974" s="3" t="e">
        <f ca="1">[1]!BexGetData("DP_1","003N8EMH8GTFRCSWKMPXRR8GU","GSON1236262211")</f>
        <v>#NAME?</v>
      </c>
      <c r="D1974" s="8" t="e">
        <f ca="1">[1]!BexGetData("DP_1","003N8EMH8GTFRCSWKMPXRRESE","GSON1236262211")</f>
        <v>#NAME?</v>
      </c>
      <c r="E1974" s="3" t="e">
        <f ca="1">[1]!BexGetData("DP_1","003N8EMH8GTFRCSWKMPXRRL3Y","GSON1236262211")</f>
        <v>#NAME?</v>
      </c>
      <c r="F1974" s="4" t="e">
        <f ca="1">[1]!BexGetData("DP_1","003N8EMH8GTFRCSWKMPXRRRFI","GSON1236262211")</f>
        <v>#NAME?</v>
      </c>
      <c r="G1974" s="4" t="e">
        <f ca="1">[1]!BexGetData("DP_1","003N8EMH8GTFRCSWKMPXRRXR2","GSON1236262211")</f>
        <v>#NAME?</v>
      </c>
      <c r="H1974" s="4" t="e">
        <f ca="1">[1]!BexGetData("DP_1","003N8EMH8GTFRCSWKMPXRS42M","GSON1236262211")</f>
        <v>#NAME?</v>
      </c>
      <c r="I1974" s="4" t="e">
        <f ca="1">[1]!BexGetData("DP_1","003N8EMH8GTFRCSWKMPXRSAE6","GSON1236262211")</f>
        <v>#NAME?</v>
      </c>
      <c r="J1974" s="4" t="e">
        <f ca="1">[1]!BexGetData("DP_1","003N8EMH8GTFRCSWKMPXRSGPQ","GSON1236262211")</f>
        <v>#NAME?</v>
      </c>
      <c r="K1974" s="3" t="e">
        <f ca="1">[1]!BexGetData("DP_1","003N8EMH8GTFRIVNUPY288VJH","GSON1236262211")</f>
        <v>#NAME?</v>
      </c>
      <c r="L1974" s="3" t="e">
        <f ca="1">[1]!BexGetData("DP_1","003N8EMH8GTFRIVNUPY2891V1","GSON1236262211")</f>
        <v>#NAME?</v>
      </c>
      <c r="M1974" s="8" t="e">
        <f ca="1">[1]!BexGetData("DP_1","003N8EMH8GTFRIVOG7KG9IQXA","GSON1236262211")</f>
        <v>#NAME?</v>
      </c>
      <c r="N1974" s="3" t="e">
        <f ca="1">[1]!BexGetData("DP_1","003N8EMH8GTFRIVOG7KG9IX8U","GSON1236262211")</f>
        <v>#NAME?</v>
      </c>
      <c r="O1974" s="8" t="e">
        <f ca="1">[1]!BexGetData("DP_1","003N8EMH8GTFRIVOG7KG9J3KE","GSON1236262211")</f>
        <v>#NAME?</v>
      </c>
      <c r="P1974" s="3" t="e">
        <f ca="1">[1]!BexGetData("DP_1","003N8EMH8GTFRIVOG7KG9J9VY","GSON1236262211")</f>
        <v>#NAME?</v>
      </c>
      <c r="Q1974" s="4" t="e">
        <f ca="1">[1]!BexGetData("DP_1","00O2TNJGODT0G5Z4TTKYMM5MT","GSON1236262211")</f>
        <v>#NAME?</v>
      </c>
      <c r="R1974" s="4" t="e">
        <f ca="1">[1]!BexGetData("DP_1","00O2TNJGODT0G5Z4TTKYMMBYD","GSON1236262211")</f>
        <v>#NAME?</v>
      </c>
      <c r="S1974" s="4" t="e">
        <f ca="1">[1]!BexGetData("DP_1","00O2TNJGODT0G5Z4TTKYMMI9X","GSON1236262211")</f>
        <v>#NAME?</v>
      </c>
      <c r="T1974" s="4" t="e">
        <f ca="1">[1]!BexGetData("DP_1","00O2TNJGODT0G5Z4TTKYMMOLH","GSON1236262211")</f>
        <v>#NAME?</v>
      </c>
      <c r="U1974" s="4" t="e">
        <f ca="1">[1]!BexGetData("DP_1","00O2TNJGODT0G5Z4TTKYMMUX1","GSON1236262211")</f>
        <v>#NAME?</v>
      </c>
      <c r="V1974" s="4" t="e">
        <f ca="1">[1]!BexGetData("DP_1","00O2TNJGODT0G5Z4TTKYMN18L","GSON1236262211")</f>
        <v>#NAME?</v>
      </c>
      <c r="W1974" s="4" t="e">
        <f ca="1">[1]!BexGetData("DP_1","00O2TNJGODT0G5Z4TTKYMN7K5","GSON1236262211")</f>
        <v>#NAME?</v>
      </c>
    </row>
    <row r="1975" spans="1:23" x14ac:dyDescent="0.2">
      <c r="A1975" s="16" t="s">
        <v>4691</v>
      </c>
      <c r="B1975" s="7" t="s">
        <v>4692</v>
      </c>
      <c r="C1975" s="8" t="e">
        <f ca="1">[1]!BexGetData("DP_1","003N8EMH8GTFRCSWKMPXRR8GU","GSON1236262212")</f>
        <v>#NAME?</v>
      </c>
      <c r="D1975" s="8" t="e">
        <f ca="1">[1]!BexGetData("DP_1","003N8EMH8GTFRCSWKMPXRRESE","GSON1236262212")</f>
        <v>#NAME?</v>
      </c>
      <c r="E1975" s="3" t="e">
        <f ca="1">[1]!BexGetData("DP_1","003N8EMH8GTFRCSWKMPXRRL3Y","GSON1236262212")</f>
        <v>#NAME?</v>
      </c>
      <c r="F1975" s="3" t="e">
        <f ca="1">[1]!BexGetData("DP_1","003N8EMH8GTFRCSWKMPXRRRFI","GSON1236262212")</f>
        <v>#NAME?</v>
      </c>
      <c r="G1975" s="3" t="e">
        <f ca="1">[1]!BexGetData("DP_1","003N8EMH8GTFRCSWKMPXRRXR2","GSON1236262212")</f>
        <v>#NAME?</v>
      </c>
      <c r="H1975" s="8" t="e">
        <f ca="1">[1]!BexGetData("DP_1","003N8EMH8GTFRCSWKMPXRS42M","GSON1236262212")</f>
        <v>#NAME?</v>
      </c>
      <c r="I1975" s="3" t="e">
        <f ca="1">[1]!BexGetData("DP_1","003N8EMH8GTFRCSWKMPXRSAE6","GSON1236262212")</f>
        <v>#NAME?</v>
      </c>
      <c r="J1975" s="4" t="e">
        <f ca="1">[1]!BexGetData("DP_1","003N8EMH8GTFRCSWKMPXRSGPQ","GSON1236262212")</f>
        <v>#NAME?</v>
      </c>
      <c r="K1975" s="8" t="e">
        <f ca="1">[1]!BexGetData("DP_1","003N8EMH8GTFRIVNUPY288VJH","GSON1236262212")</f>
        <v>#NAME?</v>
      </c>
      <c r="L1975" s="8" t="e">
        <f ca="1">[1]!BexGetData("DP_1","003N8EMH8GTFRIVNUPY2891V1","GSON1236262212")</f>
        <v>#NAME?</v>
      </c>
      <c r="M1975" s="8" t="e">
        <f ca="1">[1]!BexGetData("DP_1","003N8EMH8GTFRIVOG7KG9IQXA","GSON1236262212")</f>
        <v>#NAME?</v>
      </c>
      <c r="N1975" s="8" t="e">
        <f ca="1">[1]!BexGetData("DP_1","003N8EMH8GTFRIVOG7KG9IX8U","GSON1236262212")</f>
        <v>#NAME?</v>
      </c>
      <c r="O1975" s="8" t="e">
        <f ca="1">[1]!BexGetData("DP_1","003N8EMH8GTFRIVOG7KG9J3KE","GSON1236262212")</f>
        <v>#NAME?</v>
      </c>
      <c r="P1975" s="8" t="e">
        <f ca="1">[1]!BexGetData("DP_1","003N8EMH8GTFRIVOG7KG9J9VY","GSON1236262212")</f>
        <v>#NAME?</v>
      </c>
      <c r="Q1975" s="4" t="e">
        <f ca="1">[1]!BexGetData("DP_1","00O2TNJGODT0G5Z4TTKYMM5MT","GSON1236262212")</f>
        <v>#NAME?</v>
      </c>
      <c r="R1975" s="3" t="e">
        <f ca="1">[1]!BexGetData("DP_1","00O2TNJGODT0G5Z4TTKYMMBYD","GSON1236262212")</f>
        <v>#NAME?</v>
      </c>
      <c r="S1975" s="3" t="e">
        <f ca="1">[1]!BexGetData("DP_1","00O2TNJGODT0G5Z4TTKYMMI9X","GSON1236262212")</f>
        <v>#NAME?</v>
      </c>
      <c r="T1975" s="8" t="e">
        <f ca="1">[1]!BexGetData("DP_1","00O2TNJGODT0G5Z4TTKYMMOLH","GSON1236262212")</f>
        <v>#NAME?</v>
      </c>
      <c r="U1975" s="3" t="e">
        <f ca="1">[1]!BexGetData("DP_1","00O2TNJGODT0G5Z4TTKYMMUX1","GSON1236262212")</f>
        <v>#NAME?</v>
      </c>
      <c r="V1975" s="8" t="e">
        <f ca="1">[1]!BexGetData("DP_1","00O2TNJGODT0G5Z4TTKYMN18L","GSON1236262212")</f>
        <v>#NAME?</v>
      </c>
      <c r="W1975" s="3" t="e">
        <f ca="1">[1]!BexGetData("DP_1","00O2TNJGODT0G5Z4TTKYMN7K5","GSON1236262212")</f>
        <v>#NAME?</v>
      </c>
    </row>
    <row r="1976" spans="1:23" x14ac:dyDescent="0.2">
      <c r="A1976" s="16" t="s">
        <v>4693</v>
      </c>
      <c r="B1976" s="7" t="s">
        <v>4694</v>
      </c>
      <c r="C1976" s="8" t="e">
        <f ca="1">[1]!BexGetData("DP_1","003N8EMH8GTFRCSWKMPXRR8GU","GSON1236262213")</f>
        <v>#NAME?</v>
      </c>
      <c r="D1976" s="8" t="e">
        <f ca="1">[1]!BexGetData("DP_1","003N8EMH8GTFRCSWKMPXRRESE","GSON1236262213")</f>
        <v>#NAME?</v>
      </c>
      <c r="E1976" s="3" t="e">
        <f ca="1">[1]!BexGetData("DP_1","003N8EMH8GTFRCSWKMPXRRL3Y","GSON1236262213")</f>
        <v>#NAME?</v>
      </c>
      <c r="F1976" s="3" t="e">
        <f ca="1">[1]!BexGetData("DP_1","003N8EMH8GTFRCSWKMPXRRRFI","GSON1236262213")</f>
        <v>#NAME?</v>
      </c>
      <c r="G1976" s="3" t="e">
        <f ca="1">[1]!BexGetData("DP_1","003N8EMH8GTFRCSWKMPXRRXR2","GSON1236262213")</f>
        <v>#NAME?</v>
      </c>
      <c r="H1976" s="8" t="e">
        <f ca="1">[1]!BexGetData("DP_1","003N8EMH8GTFRCSWKMPXRS42M","GSON1236262213")</f>
        <v>#NAME?</v>
      </c>
      <c r="I1976" s="3" t="e">
        <f ca="1">[1]!BexGetData("DP_1","003N8EMH8GTFRCSWKMPXRSAE6","GSON1236262213")</f>
        <v>#NAME?</v>
      </c>
      <c r="J1976" s="4" t="e">
        <f ca="1">[1]!BexGetData("DP_1","003N8EMH8GTFRCSWKMPXRSGPQ","GSON1236262213")</f>
        <v>#NAME?</v>
      </c>
      <c r="K1976" s="8" t="e">
        <f ca="1">[1]!BexGetData("DP_1","003N8EMH8GTFRIVNUPY288VJH","GSON1236262213")</f>
        <v>#NAME?</v>
      </c>
      <c r="L1976" s="8" t="e">
        <f ca="1">[1]!BexGetData("DP_1","003N8EMH8GTFRIVNUPY2891V1","GSON1236262213")</f>
        <v>#NAME?</v>
      </c>
      <c r="M1976" s="8" t="e">
        <f ca="1">[1]!BexGetData("DP_1","003N8EMH8GTFRIVOG7KG9IQXA","GSON1236262213")</f>
        <v>#NAME?</v>
      </c>
      <c r="N1976" s="8" t="e">
        <f ca="1">[1]!BexGetData("DP_1","003N8EMH8GTFRIVOG7KG9IX8U","GSON1236262213")</f>
        <v>#NAME?</v>
      </c>
      <c r="O1976" s="8" t="e">
        <f ca="1">[1]!BexGetData("DP_1","003N8EMH8GTFRIVOG7KG9J3KE","GSON1236262213")</f>
        <v>#NAME?</v>
      </c>
      <c r="P1976" s="8" t="e">
        <f ca="1">[1]!BexGetData("DP_1","003N8EMH8GTFRIVOG7KG9J9VY","GSON1236262213")</f>
        <v>#NAME?</v>
      </c>
      <c r="Q1976" s="4" t="e">
        <f ca="1">[1]!BexGetData("DP_1","00O2TNJGODT0G5Z4TTKYMM5MT","GSON1236262213")</f>
        <v>#NAME?</v>
      </c>
      <c r="R1976" s="3" t="e">
        <f ca="1">[1]!BexGetData("DP_1","00O2TNJGODT0G5Z4TTKYMMBYD","GSON1236262213")</f>
        <v>#NAME?</v>
      </c>
      <c r="S1976" s="3" t="e">
        <f ca="1">[1]!BexGetData("DP_1","00O2TNJGODT0G5Z4TTKYMMI9X","GSON1236262213")</f>
        <v>#NAME?</v>
      </c>
      <c r="T1976" s="8" t="e">
        <f ca="1">[1]!BexGetData("DP_1","00O2TNJGODT0G5Z4TTKYMMOLH","GSON1236262213")</f>
        <v>#NAME?</v>
      </c>
      <c r="U1976" s="3" t="e">
        <f ca="1">[1]!BexGetData("DP_1","00O2TNJGODT0G5Z4TTKYMMUX1","GSON1236262213")</f>
        <v>#NAME?</v>
      </c>
      <c r="V1976" s="8" t="e">
        <f ca="1">[1]!BexGetData("DP_1","00O2TNJGODT0G5Z4TTKYMN18L","GSON1236262213")</f>
        <v>#NAME?</v>
      </c>
      <c r="W1976" s="3" t="e">
        <f ca="1">[1]!BexGetData("DP_1","00O2TNJGODT0G5Z4TTKYMN7K5","GSON1236262213")</f>
        <v>#NAME?</v>
      </c>
    </row>
    <row r="1977" spans="1:23" x14ac:dyDescent="0.2">
      <c r="A1977" s="16" t="s">
        <v>4695</v>
      </c>
      <c r="B1977" s="7" t="s">
        <v>4696</v>
      </c>
      <c r="C1977" s="8" t="e">
        <f ca="1">[1]!BexGetData("DP_1","003N8EMH8GTFRCSWKMPXRR8GU","GSON1236262214")</f>
        <v>#NAME?</v>
      </c>
      <c r="D1977" s="8" t="e">
        <f ca="1">[1]!BexGetData("DP_1","003N8EMH8GTFRCSWKMPXRRESE","GSON1236262214")</f>
        <v>#NAME?</v>
      </c>
      <c r="E1977" s="3" t="e">
        <f ca="1">[1]!BexGetData("DP_1","003N8EMH8GTFRCSWKMPXRRL3Y","GSON1236262214")</f>
        <v>#NAME?</v>
      </c>
      <c r="F1977" s="3" t="e">
        <f ca="1">[1]!BexGetData("DP_1","003N8EMH8GTFRCSWKMPXRRRFI","GSON1236262214")</f>
        <v>#NAME?</v>
      </c>
      <c r="G1977" s="3" t="e">
        <f ca="1">[1]!BexGetData("DP_1","003N8EMH8GTFRCSWKMPXRRXR2","GSON1236262214")</f>
        <v>#NAME?</v>
      </c>
      <c r="H1977" s="8" t="e">
        <f ca="1">[1]!BexGetData("DP_1","003N8EMH8GTFRCSWKMPXRS42M","GSON1236262214")</f>
        <v>#NAME?</v>
      </c>
      <c r="I1977" s="3" t="e">
        <f ca="1">[1]!BexGetData("DP_1","003N8EMH8GTFRCSWKMPXRSAE6","GSON1236262214")</f>
        <v>#NAME?</v>
      </c>
      <c r="J1977" s="4" t="e">
        <f ca="1">[1]!BexGetData("DP_1","003N8EMH8GTFRCSWKMPXRSGPQ","GSON1236262214")</f>
        <v>#NAME?</v>
      </c>
      <c r="K1977" s="8" t="e">
        <f ca="1">[1]!BexGetData("DP_1","003N8EMH8GTFRIVNUPY288VJH","GSON1236262214")</f>
        <v>#NAME?</v>
      </c>
      <c r="L1977" s="8" t="e">
        <f ca="1">[1]!BexGetData("DP_1","003N8EMH8GTFRIVNUPY2891V1","GSON1236262214")</f>
        <v>#NAME?</v>
      </c>
      <c r="M1977" s="8" t="e">
        <f ca="1">[1]!BexGetData("DP_1","003N8EMH8GTFRIVOG7KG9IQXA","GSON1236262214")</f>
        <v>#NAME?</v>
      </c>
      <c r="N1977" s="8" t="e">
        <f ca="1">[1]!BexGetData("DP_1","003N8EMH8GTFRIVOG7KG9IX8U","GSON1236262214")</f>
        <v>#NAME?</v>
      </c>
      <c r="O1977" s="8" t="e">
        <f ca="1">[1]!BexGetData("DP_1","003N8EMH8GTFRIVOG7KG9J3KE","GSON1236262214")</f>
        <v>#NAME?</v>
      </c>
      <c r="P1977" s="8" t="e">
        <f ca="1">[1]!BexGetData("DP_1","003N8EMH8GTFRIVOG7KG9J9VY","GSON1236262214")</f>
        <v>#NAME?</v>
      </c>
      <c r="Q1977" s="4" t="e">
        <f ca="1">[1]!BexGetData("DP_1","00O2TNJGODT0G5Z4TTKYMM5MT","GSON1236262214")</f>
        <v>#NAME?</v>
      </c>
      <c r="R1977" s="3" t="e">
        <f ca="1">[1]!BexGetData("DP_1","00O2TNJGODT0G5Z4TTKYMMBYD","GSON1236262214")</f>
        <v>#NAME?</v>
      </c>
      <c r="S1977" s="3" t="e">
        <f ca="1">[1]!BexGetData("DP_1","00O2TNJGODT0G5Z4TTKYMMI9X","GSON1236262214")</f>
        <v>#NAME?</v>
      </c>
      <c r="T1977" s="8" t="e">
        <f ca="1">[1]!BexGetData("DP_1","00O2TNJGODT0G5Z4TTKYMMOLH","GSON1236262214")</f>
        <v>#NAME?</v>
      </c>
      <c r="U1977" s="3" t="e">
        <f ca="1">[1]!BexGetData("DP_1","00O2TNJGODT0G5Z4TTKYMMUX1","GSON1236262214")</f>
        <v>#NAME?</v>
      </c>
      <c r="V1977" s="8" t="e">
        <f ca="1">[1]!BexGetData("DP_1","00O2TNJGODT0G5Z4TTKYMN18L","GSON1236262214")</f>
        <v>#NAME?</v>
      </c>
      <c r="W1977" s="3" t="e">
        <f ca="1">[1]!BexGetData("DP_1","00O2TNJGODT0G5Z4TTKYMN7K5","GSON1236262214")</f>
        <v>#NAME?</v>
      </c>
    </row>
    <row r="1978" spans="1:23" x14ac:dyDescent="0.2">
      <c r="A1978" s="16" t="s">
        <v>4697</v>
      </c>
      <c r="B1978" s="7" t="s">
        <v>4698</v>
      </c>
      <c r="C1978" s="8" t="e">
        <f ca="1">[1]!BexGetData("DP_1","003N8EMH8GTFRCSWKMPXRR8GU","GSON1236262215")</f>
        <v>#NAME?</v>
      </c>
      <c r="D1978" s="8" t="e">
        <f ca="1">[1]!BexGetData("DP_1","003N8EMH8GTFRCSWKMPXRRESE","GSON1236262215")</f>
        <v>#NAME?</v>
      </c>
      <c r="E1978" s="3" t="e">
        <f ca="1">[1]!BexGetData("DP_1","003N8EMH8GTFRCSWKMPXRRL3Y","GSON1236262215")</f>
        <v>#NAME?</v>
      </c>
      <c r="F1978" s="3" t="e">
        <f ca="1">[1]!BexGetData("DP_1","003N8EMH8GTFRCSWKMPXRRRFI","GSON1236262215")</f>
        <v>#NAME?</v>
      </c>
      <c r="G1978" s="3" t="e">
        <f ca="1">[1]!BexGetData("DP_1","003N8EMH8GTFRCSWKMPXRRXR2","GSON1236262215")</f>
        <v>#NAME?</v>
      </c>
      <c r="H1978" s="8" t="e">
        <f ca="1">[1]!BexGetData("DP_1","003N8EMH8GTFRCSWKMPXRS42M","GSON1236262215")</f>
        <v>#NAME?</v>
      </c>
      <c r="I1978" s="3" t="e">
        <f ca="1">[1]!BexGetData("DP_1","003N8EMH8GTFRCSWKMPXRSAE6","GSON1236262215")</f>
        <v>#NAME?</v>
      </c>
      <c r="J1978" s="4" t="e">
        <f ca="1">[1]!BexGetData("DP_1","003N8EMH8GTFRCSWKMPXRSGPQ","GSON1236262215")</f>
        <v>#NAME?</v>
      </c>
      <c r="K1978" s="8" t="e">
        <f ca="1">[1]!BexGetData("DP_1","003N8EMH8GTFRIVNUPY288VJH","GSON1236262215")</f>
        <v>#NAME?</v>
      </c>
      <c r="L1978" s="8" t="e">
        <f ca="1">[1]!BexGetData("DP_1","003N8EMH8GTFRIVNUPY2891V1","GSON1236262215")</f>
        <v>#NAME?</v>
      </c>
      <c r="M1978" s="8" t="e">
        <f ca="1">[1]!BexGetData("DP_1","003N8EMH8GTFRIVOG7KG9IQXA","GSON1236262215")</f>
        <v>#NAME?</v>
      </c>
      <c r="N1978" s="8" t="e">
        <f ca="1">[1]!BexGetData("DP_1","003N8EMH8GTFRIVOG7KG9IX8U","GSON1236262215")</f>
        <v>#NAME?</v>
      </c>
      <c r="O1978" s="8" t="e">
        <f ca="1">[1]!BexGetData("DP_1","003N8EMH8GTFRIVOG7KG9J3KE","GSON1236262215")</f>
        <v>#NAME?</v>
      </c>
      <c r="P1978" s="8" t="e">
        <f ca="1">[1]!BexGetData("DP_1","003N8EMH8GTFRIVOG7KG9J9VY","GSON1236262215")</f>
        <v>#NAME?</v>
      </c>
      <c r="Q1978" s="4" t="e">
        <f ca="1">[1]!BexGetData("DP_1","00O2TNJGODT0G5Z4TTKYMM5MT","GSON1236262215")</f>
        <v>#NAME?</v>
      </c>
      <c r="R1978" s="3" t="e">
        <f ca="1">[1]!BexGetData("DP_1","00O2TNJGODT0G5Z4TTKYMMBYD","GSON1236262215")</f>
        <v>#NAME?</v>
      </c>
      <c r="S1978" s="3" t="e">
        <f ca="1">[1]!BexGetData("DP_1","00O2TNJGODT0G5Z4TTKYMMI9X","GSON1236262215")</f>
        <v>#NAME?</v>
      </c>
      <c r="T1978" s="8" t="e">
        <f ca="1">[1]!BexGetData("DP_1","00O2TNJGODT0G5Z4TTKYMMOLH","GSON1236262215")</f>
        <v>#NAME?</v>
      </c>
      <c r="U1978" s="3" t="e">
        <f ca="1">[1]!BexGetData("DP_1","00O2TNJGODT0G5Z4TTKYMMUX1","GSON1236262215")</f>
        <v>#NAME?</v>
      </c>
      <c r="V1978" s="8" t="e">
        <f ca="1">[1]!BexGetData("DP_1","00O2TNJGODT0G5Z4TTKYMN18L","GSON1236262215")</f>
        <v>#NAME?</v>
      </c>
      <c r="W1978" s="3" t="e">
        <f ca="1">[1]!BexGetData("DP_1","00O2TNJGODT0G5Z4TTKYMN7K5","GSON1236262215")</f>
        <v>#NAME?</v>
      </c>
    </row>
    <row r="1979" spans="1:23" x14ac:dyDescent="0.2">
      <c r="A1979" s="16" t="s">
        <v>4699</v>
      </c>
      <c r="B1979" s="7" t="s">
        <v>4700</v>
      </c>
      <c r="C1979" s="8" t="e">
        <f ca="1">[1]!BexGetData("DP_1","003N8EMH8GTFRCSWKMPXRR8GU","GSON1236262217")</f>
        <v>#NAME?</v>
      </c>
      <c r="D1979" s="8" t="e">
        <f ca="1">[1]!BexGetData("DP_1","003N8EMH8GTFRCSWKMPXRRESE","GSON1236262217")</f>
        <v>#NAME?</v>
      </c>
      <c r="E1979" s="3" t="e">
        <f ca="1">[1]!BexGetData("DP_1","003N8EMH8GTFRCSWKMPXRRL3Y","GSON1236262217")</f>
        <v>#NAME?</v>
      </c>
      <c r="F1979" s="3" t="e">
        <f ca="1">[1]!BexGetData("DP_1","003N8EMH8GTFRCSWKMPXRRRFI","GSON1236262217")</f>
        <v>#NAME?</v>
      </c>
      <c r="G1979" s="3" t="e">
        <f ca="1">[1]!BexGetData("DP_1","003N8EMH8GTFRCSWKMPXRRXR2","GSON1236262217")</f>
        <v>#NAME?</v>
      </c>
      <c r="H1979" s="8" t="e">
        <f ca="1">[1]!BexGetData("DP_1","003N8EMH8GTFRCSWKMPXRS42M","GSON1236262217")</f>
        <v>#NAME?</v>
      </c>
      <c r="I1979" s="3" t="e">
        <f ca="1">[1]!BexGetData("DP_1","003N8EMH8GTFRCSWKMPXRSAE6","GSON1236262217")</f>
        <v>#NAME?</v>
      </c>
      <c r="J1979" s="4" t="e">
        <f ca="1">[1]!BexGetData("DP_1","003N8EMH8GTFRCSWKMPXRSGPQ","GSON1236262217")</f>
        <v>#NAME?</v>
      </c>
      <c r="K1979" s="8" t="e">
        <f ca="1">[1]!BexGetData("DP_1","003N8EMH8GTFRIVNUPY288VJH","GSON1236262217")</f>
        <v>#NAME?</v>
      </c>
      <c r="L1979" s="8" t="e">
        <f ca="1">[1]!BexGetData("DP_1","003N8EMH8GTFRIVNUPY2891V1","GSON1236262217")</f>
        <v>#NAME?</v>
      </c>
      <c r="M1979" s="8" t="e">
        <f ca="1">[1]!BexGetData("DP_1","003N8EMH8GTFRIVOG7KG9IQXA","GSON1236262217")</f>
        <v>#NAME?</v>
      </c>
      <c r="N1979" s="8" t="e">
        <f ca="1">[1]!BexGetData("DP_1","003N8EMH8GTFRIVOG7KG9IX8U","GSON1236262217")</f>
        <v>#NAME?</v>
      </c>
      <c r="O1979" s="8" t="e">
        <f ca="1">[1]!BexGetData("DP_1","003N8EMH8GTFRIVOG7KG9J3KE","GSON1236262217")</f>
        <v>#NAME?</v>
      </c>
      <c r="P1979" s="8" t="e">
        <f ca="1">[1]!BexGetData("DP_1","003N8EMH8GTFRIVOG7KG9J9VY","GSON1236262217")</f>
        <v>#NAME?</v>
      </c>
      <c r="Q1979" s="4" t="e">
        <f ca="1">[1]!BexGetData("DP_1","00O2TNJGODT0G5Z4TTKYMM5MT","GSON1236262217")</f>
        <v>#NAME?</v>
      </c>
      <c r="R1979" s="3" t="e">
        <f ca="1">[1]!BexGetData("DP_1","00O2TNJGODT0G5Z4TTKYMMBYD","GSON1236262217")</f>
        <v>#NAME?</v>
      </c>
      <c r="S1979" s="3" t="e">
        <f ca="1">[1]!BexGetData("DP_1","00O2TNJGODT0G5Z4TTKYMMI9X","GSON1236262217")</f>
        <v>#NAME?</v>
      </c>
      <c r="T1979" s="8" t="e">
        <f ca="1">[1]!BexGetData("DP_1","00O2TNJGODT0G5Z4TTKYMMOLH","GSON1236262217")</f>
        <v>#NAME?</v>
      </c>
      <c r="U1979" s="3" t="e">
        <f ca="1">[1]!BexGetData("DP_1","00O2TNJGODT0G5Z4TTKYMMUX1","GSON1236262217")</f>
        <v>#NAME?</v>
      </c>
      <c r="V1979" s="8" t="e">
        <f ca="1">[1]!BexGetData("DP_1","00O2TNJGODT0G5Z4TTKYMN18L","GSON1236262217")</f>
        <v>#NAME?</v>
      </c>
      <c r="W1979" s="3" t="e">
        <f ca="1">[1]!BexGetData("DP_1","00O2TNJGODT0G5Z4TTKYMN7K5","GSON1236262217")</f>
        <v>#NAME?</v>
      </c>
    </row>
    <row r="1980" spans="1:23" x14ac:dyDescent="0.2">
      <c r="A1980" s="16" t="s">
        <v>4701</v>
      </c>
      <c r="B1980" s="7" t="s">
        <v>4702</v>
      </c>
      <c r="C1980" s="8" t="e">
        <f ca="1">[1]!BexGetData("DP_1","003N8EMH8GTFRCSWKMPXRR8GU","GSON1236262218")</f>
        <v>#NAME?</v>
      </c>
      <c r="D1980" s="8" t="e">
        <f ca="1">[1]!BexGetData("DP_1","003N8EMH8GTFRCSWKMPXRRESE","GSON1236262218")</f>
        <v>#NAME?</v>
      </c>
      <c r="E1980" s="3" t="e">
        <f ca="1">[1]!BexGetData("DP_1","003N8EMH8GTFRCSWKMPXRRL3Y","GSON1236262218")</f>
        <v>#NAME?</v>
      </c>
      <c r="F1980" s="3" t="e">
        <f ca="1">[1]!BexGetData("DP_1","003N8EMH8GTFRCSWKMPXRRRFI","GSON1236262218")</f>
        <v>#NAME?</v>
      </c>
      <c r="G1980" s="3" t="e">
        <f ca="1">[1]!BexGetData("DP_1","003N8EMH8GTFRCSWKMPXRRXR2","GSON1236262218")</f>
        <v>#NAME?</v>
      </c>
      <c r="H1980" s="8" t="e">
        <f ca="1">[1]!BexGetData("DP_1","003N8EMH8GTFRCSWKMPXRS42M","GSON1236262218")</f>
        <v>#NAME?</v>
      </c>
      <c r="I1980" s="3" t="e">
        <f ca="1">[1]!BexGetData("DP_1","003N8EMH8GTFRCSWKMPXRSAE6","GSON1236262218")</f>
        <v>#NAME?</v>
      </c>
      <c r="J1980" s="4" t="e">
        <f ca="1">[1]!BexGetData("DP_1","003N8EMH8GTFRCSWKMPXRSGPQ","GSON1236262218")</f>
        <v>#NAME?</v>
      </c>
      <c r="K1980" s="8" t="e">
        <f ca="1">[1]!BexGetData("DP_1","003N8EMH8GTFRIVNUPY288VJH","GSON1236262218")</f>
        <v>#NAME?</v>
      </c>
      <c r="L1980" s="8" t="e">
        <f ca="1">[1]!BexGetData("DP_1","003N8EMH8GTFRIVNUPY2891V1","GSON1236262218")</f>
        <v>#NAME?</v>
      </c>
      <c r="M1980" s="8" t="e">
        <f ca="1">[1]!BexGetData("DP_1","003N8EMH8GTFRIVOG7KG9IQXA","GSON1236262218")</f>
        <v>#NAME?</v>
      </c>
      <c r="N1980" s="8" t="e">
        <f ca="1">[1]!BexGetData("DP_1","003N8EMH8GTFRIVOG7KG9IX8U","GSON1236262218")</f>
        <v>#NAME?</v>
      </c>
      <c r="O1980" s="8" t="e">
        <f ca="1">[1]!BexGetData("DP_1","003N8EMH8GTFRIVOG7KG9J3KE","GSON1236262218")</f>
        <v>#NAME?</v>
      </c>
      <c r="P1980" s="8" t="e">
        <f ca="1">[1]!BexGetData("DP_1","003N8EMH8GTFRIVOG7KG9J9VY","GSON1236262218")</f>
        <v>#NAME?</v>
      </c>
      <c r="Q1980" s="4" t="e">
        <f ca="1">[1]!BexGetData("DP_1","00O2TNJGODT0G5Z4TTKYMM5MT","GSON1236262218")</f>
        <v>#NAME?</v>
      </c>
      <c r="R1980" s="3" t="e">
        <f ca="1">[1]!BexGetData("DP_1","00O2TNJGODT0G5Z4TTKYMMBYD","GSON1236262218")</f>
        <v>#NAME?</v>
      </c>
      <c r="S1980" s="3" t="e">
        <f ca="1">[1]!BexGetData("DP_1","00O2TNJGODT0G5Z4TTKYMMI9X","GSON1236262218")</f>
        <v>#NAME?</v>
      </c>
      <c r="T1980" s="8" t="e">
        <f ca="1">[1]!BexGetData("DP_1","00O2TNJGODT0G5Z4TTKYMMOLH","GSON1236262218")</f>
        <v>#NAME?</v>
      </c>
      <c r="U1980" s="3" t="e">
        <f ca="1">[1]!BexGetData("DP_1","00O2TNJGODT0G5Z4TTKYMMUX1","GSON1236262218")</f>
        <v>#NAME?</v>
      </c>
      <c r="V1980" s="8" t="e">
        <f ca="1">[1]!BexGetData("DP_1","00O2TNJGODT0G5Z4TTKYMN18L","GSON1236262218")</f>
        <v>#NAME?</v>
      </c>
      <c r="W1980" s="3" t="e">
        <f ca="1">[1]!BexGetData("DP_1","00O2TNJGODT0G5Z4TTKYMN7K5","GSON1236262218")</f>
        <v>#NAME?</v>
      </c>
    </row>
    <row r="1981" spans="1:23" x14ac:dyDescent="0.2">
      <c r="A1981" s="16" t="s">
        <v>4703</v>
      </c>
      <c r="B1981" s="7" t="s">
        <v>4704</v>
      </c>
      <c r="C1981" s="3" t="e">
        <f ca="1">[1]!BexGetData("DP_1","003N8EMH8GTFRCSWKMPXRR8GU","GSON1236262219")</f>
        <v>#NAME?</v>
      </c>
      <c r="D1981" s="3" t="e">
        <f ca="1">[1]!BexGetData("DP_1","003N8EMH8GTFRCSWKMPXRRESE","GSON1236262219")</f>
        <v>#NAME?</v>
      </c>
      <c r="E1981" s="3" t="e">
        <f ca="1">[1]!BexGetData("DP_1","003N8EMH8GTFRCSWKMPXRRL3Y","GSON1236262219")</f>
        <v>#NAME?</v>
      </c>
      <c r="F1981" s="4" t="e">
        <f ca="1">[1]!BexGetData("DP_1","003N8EMH8GTFRCSWKMPXRRRFI","GSON1236262219")</f>
        <v>#NAME?</v>
      </c>
      <c r="G1981" s="4" t="e">
        <f ca="1">[1]!BexGetData("DP_1","003N8EMH8GTFRCSWKMPXRRXR2","GSON1236262219")</f>
        <v>#NAME?</v>
      </c>
      <c r="H1981" s="4" t="e">
        <f ca="1">[1]!BexGetData("DP_1","003N8EMH8GTFRCSWKMPXRS42M","GSON1236262219")</f>
        <v>#NAME?</v>
      </c>
      <c r="I1981" s="4" t="e">
        <f ca="1">[1]!BexGetData("DP_1","003N8EMH8GTFRCSWKMPXRSAE6","GSON1236262219")</f>
        <v>#NAME?</v>
      </c>
      <c r="J1981" s="4" t="e">
        <f ca="1">[1]!BexGetData("DP_1","003N8EMH8GTFRCSWKMPXRSGPQ","GSON1236262219")</f>
        <v>#NAME?</v>
      </c>
      <c r="K1981" s="3" t="e">
        <f ca="1">[1]!BexGetData("DP_1","003N8EMH8GTFRIVNUPY288VJH","GSON1236262219")</f>
        <v>#NAME?</v>
      </c>
      <c r="L1981" s="3" t="e">
        <f ca="1">[1]!BexGetData("DP_1","003N8EMH8GTFRIVNUPY2891V1","GSON1236262219")</f>
        <v>#NAME?</v>
      </c>
      <c r="M1981" s="8" t="e">
        <f ca="1">[1]!BexGetData("DP_1","003N8EMH8GTFRIVOG7KG9IQXA","GSON1236262219")</f>
        <v>#NAME?</v>
      </c>
      <c r="N1981" s="3" t="e">
        <f ca="1">[1]!BexGetData("DP_1","003N8EMH8GTFRIVOG7KG9IX8U","GSON1236262219")</f>
        <v>#NAME?</v>
      </c>
      <c r="O1981" s="8" t="e">
        <f ca="1">[1]!BexGetData("DP_1","003N8EMH8GTFRIVOG7KG9J3KE","GSON1236262219")</f>
        <v>#NAME?</v>
      </c>
      <c r="P1981" s="3" t="e">
        <f ca="1">[1]!BexGetData("DP_1","003N8EMH8GTFRIVOG7KG9J9VY","GSON1236262219")</f>
        <v>#NAME?</v>
      </c>
      <c r="Q1981" s="4" t="e">
        <f ca="1">[1]!BexGetData("DP_1","00O2TNJGODT0G5Z4TTKYMM5MT","GSON1236262219")</f>
        <v>#NAME?</v>
      </c>
      <c r="R1981" s="4" t="e">
        <f ca="1">[1]!BexGetData("DP_1","00O2TNJGODT0G5Z4TTKYMMBYD","GSON1236262219")</f>
        <v>#NAME?</v>
      </c>
      <c r="S1981" s="4" t="e">
        <f ca="1">[1]!BexGetData("DP_1","00O2TNJGODT0G5Z4TTKYMMI9X","GSON1236262219")</f>
        <v>#NAME?</v>
      </c>
      <c r="T1981" s="4" t="e">
        <f ca="1">[1]!BexGetData("DP_1","00O2TNJGODT0G5Z4TTKYMMOLH","GSON1236262219")</f>
        <v>#NAME?</v>
      </c>
      <c r="U1981" s="4" t="e">
        <f ca="1">[1]!BexGetData("DP_1","00O2TNJGODT0G5Z4TTKYMMUX1","GSON1236262219")</f>
        <v>#NAME?</v>
      </c>
      <c r="V1981" s="4" t="e">
        <f ca="1">[1]!BexGetData("DP_1","00O2TNJGODT0G5Z4TTKYMN18L","GSON1236262219")</f>
        <v>#NAME?</v>
      </c>
      <c r="W1981" s="4" t="e">
        <f ca="1">[1]!BexGetData("DP_1","00O2TNJGODT0G5Z4TTKYMN7K5","GSON1236262219")</f>
        <v>#NAME?</v>
      </c>
    </row>
    <row r="1982" spans="1:23" x14ac:dyDescent="0.2">
      <c r="A1982" s="16" t="s">
        <v>4705</v>
      </c>
      <c r="B1982" s="7" t="s">
        <v>4706</v>
      </c>
      <c r="C1982" s="3" t="e">
        <f ca="1">[1]!BexGetData("DP_1","003N8EMH8GTFRCSWKMPXRR8GU","GSON1236262220")</f>
        <v>#NAME?</v>
      </c>
      <c r="D1982" s="8" t="e">
        <f ca="1">[1]!BexGetData("DP_1","003N8EMH8GTFRCSWKMPXRRESE","GSON1236262220")</f>
        <v>#NAME?</v>
      </c>
      <c r="E1982" s="3" t="e">
        <f ca="1">[1]!BexGetData("DP_1","003N8EMH8GTFRCSWKMPXRRL3Y","GSON1236262220")</f>
        <v>#NAME?</v>
      </c>
      <c r="F1982" s="4" t="e">
        <f ca="1">[1]!BexGetData("DP_1","003N8EMH8GTFRCSWKMPXRRRFI","GSON1236262220")</f>
        <v>#NAME?</v>
      </c>
      <c r="G1982" s="4" t="e">
        <f ca="1">[1]!BexGetData("DP_1","003N8EMH8GTFRCSWKMPXRRXR2","GSON1236262220")</f>
        <v>#NAME?</v>
      </c>
      <c r="H1982" s="4" t="e">
        <f ca="1">[1]!BexGetData("DP_1","003N8EMH8GTFRCSWKMPXRS42M","GSON1236262220")</f>
        <v>#NAME?</v>
      </c>
      <c r="I1982" s="4" t="e">
        <f ca="1">[1]!BexGetData("DP_1","003N8EMH8GTFRCSWKMPXRSAE6","GSON1236262220")</f>
        <v>#NAME?</v>
      </c>
      <c r="J1982" s="4" t="e">
        <f ca="1">[1]!BexGetData("DP_1","003N8EMH8GTFRCSWKMPXRSGPQ","GSON1236262220")</f>
        <v>#NAME?</v>
      </c>
      <c r="K1982" s="3" t="e">
        <f ca="1">[1]!BexGetData("DP_1","003N8EMH8GTFRIVNUPY288VJH","GSON1236262220")</f>
        <v>#NAME?</v>
      </c>
      <c r="L1982" s="3" t="e">
        <f ca="1">[1]!BexGetData("DP_1","003N8EMH8GTFRIVNUPY2891V1","GSON1236262220")</f>
        <v>#NAME?</v>
      </c>
      <c r="M1982" s="8" t="e">
        <f ca="1">[1]!BexGetData("DP_1","003N8EMH8GTFRIVOG7KG9IQXA","GSON1236262220")</f>
        <v>#NAME?</v>
      </c>
      <c r="N1982" s="3" t="e">
        <f ca="1">[1]!BexGetData("DP_1","003N8EMH8GTFRIVOG7KG9IX8U","GSON1236262220")</f>
        <v>#NAME?</v>
      </c>
      <c r="O1982" s="8" t="e">
        <f ca="1">[1]!BexGetData("DP_1","003N8EMH8GTFRIVOG7KG9J3KE","GSON1236262220")</f>
        <v>#NAME?</v>
      </c>
      <c r="P1982" s="3" t="e">
        <f ca="1">[1]!BexGetData("DP_1","003N8EMH8GTFRIVOG7KG9J9VY","GSON1236262220")</f>
        <v>#NAME?</v>
      </c>
      <c r="Q1982" s="4" t="e">
        <f ca="1">[1]!BexGetData("DP_1","00O2TNJGODT0G5Z4TTKYMM5MT","GSON1236262220")</f>
        <v>#NAME?</v>
      </c>
      <c r="R1982" s="4" t="e">
        <f ca="1">[1]!BexGetData("DP_1","00O2TNJGODT0G5Z4TTKYMMBYD","GSON1236262220")</f>
        <v>#NAME?</v>
      </c>
      <c r="S1982" s="4" t="e">
        <f ca="1">[1]!BexGetData("DP_1","00O2TNJGODT0G5Z4TTKYMMI9X","GSON1236262220")</f>
        <v>#NAME?</v>
      </c>
      <c r="T1982" s="4" t="e">
        <f ca="1">[1]!BexGetData("DP_1","00O2TNJGODT0G5Z4TTKYMMOLH","GSON1236262220")</f>
        <v>#NAME?</v>
      </c>
      <c r="U1982" s="4" t="e">
        <f ca="1">[1]!BexGetData("DP_1","00O2TNJGODT0G5Z4TTKYMMUX1","GSON1236262220")</f>
        <v>#NAME?</v>
      </c>
      <c r="V1982" s="4" t="e">
        <f ca="1">[1]!BexGetData("DP_1","00O2TNJGODT0G5Z4TTKYMN18L","GSON1236262220")</f>
        <v>#NAME?</v>
      </c>
      <c r="W1982" s="4" t="e">
        <f ca="1">[1]!BexGetData("DP_1","00O2TNJGODT0G5Z4TTKYMN7K5","GSON1236262220")</f>
        <v>#NAME?</v>
      </c>
    </row>
    <row r="1983" spans="1:23" x14ac:dyDescent="0.2">
      <c r="A1983" s="16" t="s">
        <v>4707</v>
      </c>
      <c r="B1983" s="7" t="s">
        <v>4708</v>
      </c>
      <c r="C1983" s="3" t="e">
        <f ca="1">[1]!BexGetData("DP_1","003N8EMH8GTFRCSWKMPXRR8GU","GSON1236262221")</f>
        <v>#NAME?</v>
      </c>
      <c r="D1983" s="8" t="e">
        <f ca="1">[1]!BexGetData("DP_1","003N8EMH8GTFRCSWKMPXRRESE","GSON1236262221")</f>
        <v>#NAME?</v>
      </c>
      <c r="E1983" s="3" t="e">
        <f ca="1">[1]!BexGetData("DP_1","003N8EMH8GTFRCSWKMPXRRL3Y","GSON1236262221")</f>
        <v>#NAME?</v>
      </c>
      <c r="F1983" s="3" t="e">
        <f ca="1">[1]!BexGetData("DP_1","003N8EMH8GTFRCSWKMPXRRRFI","GSON1236262221")</f>
        <v>#NAME?</v>
      </c>
      <c r="G1983" s="3" t="e">
        <f ca="1">[1]!BexGetData("DP_1","003N8EMH8GTFRCSWKMPXRRXR2","GSON1236262221")</f>
        <v>#NAME?</v>
      </c>
      <c r="H1983" s="8" t="e">
        <f ca="1">[1]!BexGetData("DP_1","003N8EMH8GTFRCSWKMPXRS42M","GSON1236262221")</f>
        <v>#NAME?</v>
      </c>
      <c r="I1983" s="3" t="e">
        <f ca="1">[1]!BexGetData("DP_1","003N8EMH8GTFRCSWKMPXRSAE6","GSON1236262221")</f>
        <v>#NAME?</v>
      </c>
      <c r="J1983" s="4" t="e">
        <f ca="1">[1]!BexGetData("DP_1","003N8EMH8GTFRCSWKMPXRSGPQ","GSON1236262221")</f>
        <v>#NAME?</v>
      </c>
      <c r="K1983" s="3" t="e">
        <f ca="1">[1]!BexGetData("DP_1","003N8EMH8GTFRIVNUPY288VJH","GSON1236262221")</f>
        <v>#NAME?</v>
      </c>
      <c r="L1983" s="3" t="e">
        <f ca="1">[1]!BexGetData("DP_1","003N8EMH8GTFRIVNUPY2891V1","GSON1236262221")</f>
        <v>#NAME?</v>
      </c>
      <c r="M1983" s="8" t="e">
        <f ca="1">[1]!BexGetData("DP_1","003N8EMH8GTFRIVOG7KG9IQXA","GSON1236262221")</f>
        <v>#NAME?</v>
      </c>
      <c r="N1983" s="3" t="e">
        <f ca="1">[1]!BexGetData("DP_1","003N8EMH8GTFRIVOG7KG9IX8U","GSON1236262221")</f>
        <v>#NAME?</v>
      </c>
      <c r="O1983" s="8" t="e">
        <f ca="1">[1]!BexGetData("DP_1","003N8EMH8GTFRIVOG7KG9J3KE","GSON1236262221")</f>
        <v>#NAME?</v>
      </c>
      <c r="P1983" s="3" t="e">
        <f ca="1">[1]!BexGetData("DP_1","003N8EMH8GTFRIVOG7KG9J9VY","GSON1236262221")</f>
        <v>#NAME?</v>
      </c>
      <c r="Q1983" s="4" t="e">
        <f ca="1">[1]!BexGetData("DP_1","00O2TNJGODT0G5Z4TTKYMM5MT","GSON1236262221")</f>
        <v>#NAME?</v>
      </c>
      <c r="R1983" s="3" t="e">
        <f ca="1">[1]!BexGetData("DP_1","00O2TNJGODT0G5Z4TTKYMMBYD","GSON1236262221")</f>
        <v>#NAME?</v>
      </c>
      <c r="S1983" s="3" t="e">
        <f ca="1">[1]!BexGetData("DP_1","00O2TNJGODT0G5Z4TTKYMMI9X","GSON1236262221")</f>
        <v>#NAME?</v>
      </c>
      <c r="T1983" s="8" t="e">
        <f ca="1">[1]!BexGetData("DP_1","00O2TNJGODT0G5Z4TTKYMMOLH","GSON1236262221")</f>
        <v>#NAME?</v>
      </c>
      <c r="U1983" s="3" t="e">
        <f ca="1">[1]!BexGetData("DP_1","00O2TNJGODT0G5Z4TTKYMMUX1","GSON1236262221")</f>
        <v>#NAME?</v>
      </c>
      <c r="V1983" s="8" t="e">
        <f ca="1">[1]!BexGetData("DP_1","00O2TNJGODT0G5Z4TTKYMN18L","GSON1236262221")</f>
        <v>#NAME?</v>
      </c>
      <c r="W1983" s="3" t="e">
        <f ca="1">[1]!BexGetData("DP_1","00O2TNJGODT0G5Z4TTKYMN7K5","GSON1236262221")</f>
        <v>#NAME?</v>
      </c>
    </row>
    <row r="1984" spans="1:23" x14ac:dyDescent="0.2">
      <c r="A1984" s="16" t="s">
        <v>1289</v>
      </c>
      <c r="B1984" s="7" t="s">
        <v>1290</v>
      </c>
      <c r="C1984" s="8" t="e">
        <f ca="1">[1]!BexGetData("DP_1","003N8EMH8GTFRCSWKMPXRR8GU","GSON1236562500")</f>
        <v>#NAME?</v>
      </c>
      <c r="D1984" s="8" t="e">
        <f ca="1">[1]!BexGetData("DP_1","003N8EMH8GTFRCSWKMPXRRESE","GSON1236562500")</f>
        <v>#NAME?</v>
      </c>
      <c r="E1984" s="3" t="e">
        <f ca="1">[1]!BexGetData("DP_1","003N8EMH8GTFRCSWKMPXRRL3Y","GSON1236562500")</f>
        <v>#NAME?</v>
      </c>
      <c r="F1984" s="3" t="e">
        <f ca="1">[1]!BexGetData("DP_1","003N8EMH8GTFRCSWKMPXRRRFI","GSON1236562500")</f>
        <v>#NAME?</v>
      </c>
      <c r="G1984" s="3" t="e">
        <f ca="1">[1]!BexGetData("DP_1","003N8EMH8GTFRCSWKMPXRRXR2","GSON1236562500")</f>
        <v>#NAME?</v>
      </c>
      <c r="H1984" s="3" t="e">
        <f ca="1">[1]!BexGetData("DP_1","003N8EMH8GTFRCSWKMPXRS42M","GSON1236562500")</f>
        <v>#NAME?</v>
      </c>
      <c r="I1984" s="3" t="e">
        <f ca="1">[1]!BexGetData("DP_1","003N8EMH8GTFRCSWKMPXRSAE6","GSON1236562500")</f>
        <v>#NAME?</v>
      </c>
      <c r="J1984" s="4" t="e">
        <f ca="1">[1]!BexGetData("DP_1","003N8EMH8GTFRCSWKMPXRSGPQ","GSON1236562500")</f>
        <v>#NAME?</v>
      </c>
      <c r="K1984" s="8" t="e">
        <f ca="1">[1]!BexGetData("DP_1","003N8EMH8GTFRIVNUPY288VJH","GSON1236562500")</f>
        <v>#NAME?</v>
      </c>
      <c r="L1984" s="8" t="e">
        <f ca="1">[1]!BexGetData("DP_1","003N8EMH8GTFRIVNUPY2891V1","GSON1236562500")</f>
        <v>#NAME?</v>
      </c>
      <c r="M1984" s="8" t="e">
        <f ca="1">[1]!BexGetData("DP_1","003N8EMH8GTFRIVOG7KG9IQXA","GSON1236562500")</f>
        <v>#NAME?</v>
      </c>
      <c r="N1984" s="8" t="e">
        <f ca="1">[1]!BexGetData("DP_1","003N8EMH8GTFRIVOG7KG9IX8U","GSON1236562500")</f>
        <v>#NAME?</v>
      </c>
      <c r="O1984" s="8" t="e">
        <f ca="1">[1]!BexGetData("DP_1","003N8EMH8GTFRIVOG7KG9J3KE","GSON1236562500")</f>
        <v>#NAME?</v>
      </c>
      <c r="P1984" s="8" t="e">
        <f ca="1">[1]!BexGetData("DP_1","003N8EMH8GTFRIVOG7KG9J9VY","GSON1236562500")</f>
        <v>#NAME?</v>
      </c>
      <c r="Q1984" s="4" t="e">
        <f ca="1">[1]!BexGetData("DP_1","00O2TNJGODT0G5Z4TTKYMM5MT","GSON1236562500")</f>
        <v>#NAME?</v>
      </c>
      <c r="R1984" s="3" t="e">
        <f ca="1">[1]!BexGetData("DP_1","00O2TNJGODT0G5Z4TTKYMMBYD","GSON1236562500")</f>
        <v>#NAME?</v>
      </c>
      <c r="S1984" s="3" t="e">
        <f ca="1">[1]!BexGetData("DP_1","00O2TNJGODT0G5Z4TTKYMMI9X","GSON1236562500")</f>
        <v>#NAME?</v>
      </c>
      <c r="T1984" s="8" t="e">
        <f ca="1">[1]!BexGetData("DP_1","00O2TNJGODT0G5Z4TTKYMMOLH","GSON1236562500")</f>
        <v>#NAME?</v>
      </c>
      <c r="U1984" s="3" t="e">
        <f ca="1">[1]!BexGetData("DP_1","00O2TNJGODT0G5Z4TTKYMMUX1","GSON1236562500")</f>
        <v>#NAME?</v>
      </c>
      <c r="V1984" s="8" t="e">
        <f ca="1">[1]!BexGetData("DP_1","00O2TNJGODT0G5Z4TTKYMN18L","GSON1236562500")</f>
        <v>#NAME?</v>
      </c>
      <c r="W1984" s="3" t="e">
        <f ca="1">[1]!BexGetData("DP_1","00O2TNJGODT0G5Z4TTKYMN7K5","GSON1236562500")</f>
        <v>#NAME?</v>
      </c>
    </row>
    <row r="1985" spans="1:23" x14ac:dyDescent="0.2">
      <c r="A1985" s="16" t="s">
        <v>1291</v>
      </c>
      <c r="B1985" s="7" t="s">
        <v>335</v>
      </c>
      <c r="C1985" s="8" t="e">
        <f ca="1">[1]!BexGetData("DP_1","003N8EMH8GTFRCSWKMPXRR8GU","GSON1236562501")</f>
        <v>#NAME?</v>
      </c>
      <c r="D1985" s="8" t="e">
        <f ca="1">[1]!BexGetData("DP_1","003N8EMH8GTFRCSWKMPXRRESE","GSON1236562501")</f>
        <v>#NAME?</v>
      </c>
      <c r="E1985" s="3" t="e">
        <f ca="1">[1]!BexGetData("DP_1","003N8EMH8GTFRCSWKMPXRRL3Y","GSON1236562501")</f>
        <v>#NAME?</v>
      </c>
      <c r="F1985" s="3" t="e">
        <f ca="1">[1]!BexGetData("DP_1","003N8EMH8GTFRCSWKMPXRRRFI","GSON1236562501")</f>
        <v>#NAME?</v>
      </c>
      <c r="G1985" s="3" t="e">
        <f ca="1">[1]!BexGetData("DP_1","003N8EMH8GTFRCSWKMPXRRXR2","GSON1236562501")</f>
        <v>#NAME?</v>
      </c>
      <c r="H1985" s="8" t="e">
        <f ca="1">[1]!BexGetData("DP_1","003N8EMH8GTFRCSWKMPXRS42M","GSON1236562501")</f>
        <v>#NAME?</v>
      </c>
      <c r="I1985" s="3" t="e">
        <f ca="1">[1]!BexGetData("DP_1","003N8EMH8GTFRCSWKMPXRSAE6","GSON1236562501")</f>
        <v>#NAME?</v>
      </c>
      <c r="J1985" s="4" t="e">
        <f ca="1">[1]!BexGetData("DP_1","003N8EMH8GTFRCSWKMPXRSGPQ","GSON1236562501")</f>
        <v>#NAME?</v>
      </c>
      <c r="K1985" s="8" t="e">
        <f ca="1">[1]!BexGetData("DP_1","003N8EMH8GTFRIVNUPY288VJH","GSON1236562501")</f>
        <v>#NAME?</v>
      </c>
      <c r="L1985" s="8" t="e">
        <f ca="1">[1]!BexGetData("DP_1","003N8EMH8GTFRIVNUPY2891V1","GSON1236562501")</f>
        <v>#NAME?</v>
      </c>
      <c r="M1985" s="8" t="e">
        <f ca="1">[1]!BexGetData("DP_1","003N8EMH8GTFRIVOG7KG9IQXA","GSON1236562501")</f>
        <v>#NAME?</v>
      </c>
      <c r="N1985" s="8" t="e">
        <f ca="1">[1]!BexGetData("DP_1","003N8EMH8GTFRIVOG7KG9IX8U","GSON1236562501")</f>
        <v>#NAME?</v>
      </c>
      <c r="O1985" s="8" t="e">
        <f ca="1">[1]!BexGetData("DP_1","003N8EMH8GTFRIVOG7KG9J3KE","GSON1236562501")</f>
        <v>#NAME?</v>
      </c>
      <c r="P1985" s="8" t="e">
        <f ca="1">[1]!BexGetData("DP_1","003N8EMH8GTFRIVOG7KG9J9VY","GSON1236562501")</f>
        <v>#NAME?</v>
      </c>
      <c r="Q1985" s="4" t="e">
        <f ca="1">[1]!BexGetData("DP_1","00O2TNJGODT0G5Z4TTKYMM5MT","GSON1236562501")</f>
        <v>#NAME?</v>
      </c>
      <c r="R1985" s="3" t="e">
        <f ca="1">[1]!BexGetData("DP_1","00O2TNJGODT0G5Z4TTKYMMBYD","GSON1236562501")</f>
        <v>#NAME?</v>
      </c>
      <c r="S1985" s="3" t="e">
        <f ca="1">[1]!BexGetData("DP_1","00O2TNJGODT0G5Z4TTKYMMI9X","GSON1236562501")</f>
        <v>#NAME?</v>
      </c>
      <c r="T1985" s="8" t="e">
        <f ca="1">[1]!BexGetData("DP_1","00O2TNJGODT0G5Z4TTKYMMOLH","GSON1236562501")</f>
        <v>#NAME?</v>
      </c>
      <c r="U1985" s="3" t="e">
        <f ca="1">[1]!BexGetData("DP_1","00O2TNJGODT0G5Z4TTKYMMUX1","GSON1236562501")</f>
        <v>#NAME?</v>
      </c>
      <c r="V1985" s="8" t="e">
        <f ca="1">[1]!BexGetData("DP_1","00O2TNJGODT0G5Z4TTKYMN18L","GSON1236562501")</f>
        <v>#NAME?</v>
      </c>
      <c r="W1985" s="3" t="e">
        <f ca="1">[1]!BexGetData("DP_1","00O2TNJGODT0G5Z4TTKYMN7K5","GSON1236562501")</f>
        <v>#NAME?</v>
      </c>
    </row>
    <row r="1986" spans="1:23" x14ac:dyDescent="0.2">
      <c r="A1986" s="16" t="s">
        <v>4709</v>
      </c>
      <c r="B1986" s="7" t="s">
        <v>4710</v>
      </c>
      <c r="C1986" s="3" t="e">
        <f ca="1">[1]!BexGetData("DP_1","003N8EMH8GTFRCSWKMPXRR8GU","GSON1236562502")</f>
        <v>#NAME?</v>
      </c>
      <c r="D1986" s="3" t="e">
        <f ca="1">[1]!BexGetData("DP_1","003N8EMH8GTFRCSWKMPXRRESE","GSON1236562502")</f>
        <v>#NAME?</v>
      </c>
      <c r="E1986" s="3" t="e">
        <f ca="1">[1]!BexGetData("DP_1","003N8EMH8GTFRCSWKMPXRRL3Y","GSON1236562502")</f>
        <v>#NAME?</v>
      </c>
      <c r="F1986" s="3" t="e">
        <f ca="1">[1]!BexGetData("DP_1","003N8EMH8GTFRCSWKMPXRRRFI","GSON1236562502")</f>
        <v>#NAME?</v>
      </c>
      <c r="G1986" s="3" t="e">
        <f ca="1">[1]!BexGetData("DP_1","003N8EMH8GTFRCSWKMPXRRXR2","GSON1236562502")</f>
        <v>#NAME?</v>
      </c>
      <c r="H1986" s="8" t="e">
        <f ca="1">[1]!BexGetData("DP_1","003N8EMH8GTFRCSWKMPXRS42M","GSON1236562502")</f>
        <v>#NAME?</v>
      </c>
      <c r="I1986" s="3" t="e">
        <f ca="1">[1]!BexGetData("DP_1","003N8EMH8GTFRCSWKMPXRSAE6","GSON1236562502")</f>
        <v>#NAME?</v>
      </c>
      <c r="J1986" s="4" t="e">
        <f ca="1">[1]!BexGetData("DP_1","003N8EMH8GTFRCSWKMPXRSGPQ","GSON1236562502")</f>
        <v>#NAME?</v>
      </c>
      <c r="K1986" s="3" t="e">
        <f ca="1">[1]!BexGetData("DP_1","003N8EMH8GTFRIVNUPY288VJH","GSON1236562502")</f>
        <v>#NAME?</v>
      </c>
      <c r="L1986" s="3" t="e">
        <f ca="1">[1]!BexGetData("DP_1","003N8EMH8GTFRIVNUPY2891V1","GSON1236562502")</f>
        <v>#NAME?</v>
      </c>
      <c r="M1986" s="8" t="e">
        <f ca="1">[1]!BexGetData("DP_1","003N8EMH8GTFRIVOG7KG9IQXA","GSON1236562502")</f>
        <v>#NAME?</v>
      </c>
      <c r="N1986" s="3" t="e">
        <f ca="1">[1]!BexGetData("DP_1","003N8EMH8GTFRIVOG7KG9IX8U","GSON1236562502")</f>
        <v>#NAME?</v>
      </c>
      <c r="O1986" s="8" t="e">
        <f ca="1">[1]!BexGetData("DP_1","003N8EMH8GTFRIVOG7KG9J3KE","GSON1236562502")</f>
        <v>#NAME?</v>
      </c>
      <c r="P1986" s="3" t="e">
        <f ca="1">[1]!BexGetData("DP_1","003N8EMH8GTFRIVOG7KG9J9VY","GSON1236562502")</f>
        <v>#NAME?</v>
      </c>
      <c r="Q1986" s="4" t="e">
        <f ca="1">[1]!BexGetData("DP_1","00O2TNJGODT0G5Z4TTKYMM5MT","GSON1236562502")</f>
        <v>#NAME?</v>
      </c>
      <c r="R1986" s="3" t="e">
        <f ca="1">[1]!BexGetData("DP_1","00O2TNJGODT0G5Z4TTKYMMBYD","GSON1236562502")</f>
        <v>#NAME?</v>
      </c>
      <c r="S1986" s="3" t="e">
        <f ca="1">[1]!BexGetData("DP_1","00O2TNJGODT0G5Z4TTKYMMI9X","GSON1236562502")</f>
        <v>#NAME?</v>
      </c>
      <c r="T1986" s="8" t="e">
        <f ca="1">[1]!BexGetData("DP_1","00O2TNJGODT0G5Z4TTKYMMOLH","GSON1236562502")</f>
        <v>#NAME?</v>
      </c>
      <c r="U1986" s="3" t="e">
        <f ca="1">[1]!BexGetData("DP_1","00O2TNJGODT0G5Z4TTKYMMUX1","GSON1236562502")</f>
        <v>#NAME?</v>
      </c>
      <c r="V1986" s="8" t="e">
        <f ca="1">[1]!BexGetData("DP_1","00O2TNJGODT0G5Z4TTKYMN18L","GSON1236562502")</f>
        <v>#NAME?</v>
      </c>
      <c r="W1986" s="3" t="e">
        <f ca="1">[1]!BexGetData("DP_1","00O2TNJGODT0G5Z4TTKYMN7K5","GSON1236562502")</f>
        <v>#NAME?</v>
      </c>
    </row>
    <row r="1987" spans="1:23" x14ac:dyDescent="0.2">
      <c r="A1987" s="16" t="s">
        <v>1288</v>
      </c>
      <c r="B1987" s="7" t="s">
        <v>1292</v>
      </c>
      <c r="C1987" s="8" t="e">
        <f ca="1">[1]!BexGetData("DP_1","003N8EMH8GTFRCSWKMPXRR8GU","GSON1236562503")</f>
        <v>#NAME?</v>
      </c>
      <c r="D1987" s="8" t="e">
        <f ca="1">[1]!BexGetData("DP_1","003N8EMH8GTFRCSWKMPXRRESE","GSON1236562503")</f>
        <v>#NAME?</v>
      </c>
      <c r="E1987" s="3" t="e">
        <f ca="1">[1]!BexGetData("DP_1","003N8EMH8GTFRCSWKMPXRRL3Y","GSON1236562503")</f>
        <v>#NAME?</v>
      </c>
      <c r="F1987" s="3" t="e">
        <f ca="1">[1]!BexGetData("DP_1","003N8EMH8GTFRCSWKMPXRRRFI","GSON1236562503")</f>
        <v>#NAME?</v>
      </c>
      <c r="G1987" s="3" t="e">
        <f ca="1">[1]!BexGetData("DP_1","003N8EMH8GTFRCSWKMPXRRXR2","GSON1236562503")</f>
        <v>#NAME?</v>
      </c>
      <c r="H1987" s="8" t="e">
        <f ca="1">[1]!BexGetData("DP_1","003N8EMH8GTFRCSWKMPXRS42M","GSON1236562503")</f>
        <v>#NAME?</v>
      </c>
      <c r="I1987" s="3" t="e">
        <f ca="1">[1]!BexGetData("DP_1","003N8EMH8GTFRCSWKMPXRSAE6","GSON1236562503")</f>
        <v>#NAME?</v>
      </c>
      <c r="J1987" s="4" t="e">
        <f ca="1">[1]!BexGetData("DP_1","003N8EMH8GTFRCSWKMPXRSGPQ","GSON1236562503")</f>
        <v>#NAME?</v>
      </c>
      <c r="K1987" s="8" t="e">
        <f ca="1">[1]!BexGetData("DP_1","003N8EMH8GTFRIVNUPY288VJH","GSON1236562503")</f>
        <v>#NAME?</v>
      </c>
      <c r="L1987" s="8" t="e">
        <f ca="1">[1]!BexGetData("DP_1","003N8EMH8GTFRIVNUPY2891V1","GSON1236562503")</f>
        <v>#NAME?</v>
      </c>
      <c r="M1987" s="8" t="e">
        <f ca="1">[1]!BexGetData("DP_1","003N8EMH8GTFRIVOG7KG9IQXA","GSON1236562503")</f>
        <v>#NAME?</v>
      </c>
      <c r="N1987" s="8" t="e">
        <f ca="1">[1]!BexGetData("DP_1","003N8EMH8GTFRIVOG7KG9IX8U","GSON1236562503")</f>
        <v>#NAME?</v>
      </c>
      <c r="O1987" s="8" t="e">
        <f ca="1">[1]!BexGetData("DP_1","003N8EMH8GTFRIVOG7KG9J3KE","GSON1236562503")</f>
        <v>#NAME?</v>
      </c>
      <c r="P1987" s="8" t="e">
        <f ca="1">[1]!BexGetData("DP_1","003N8EMH8GTFRIVOG7KG9J9VY","GSON1236562503")</f>
        <v>#NAME?</v>
      </c>
      <c r="Q1987" s="4" t="e">
        <f ca="1">[1]!BexGetData("DP_1","00O2TNJGODT0G5Z4TTKYMM5MT","GSON1236562503")</f>
        <v>#NAME?</v>
      </c>
      <c r="R1987" s="3" t="e">
        <f ca="1">[1]!BexGetData("DP_1","00O2TNJGODT0G5Z4TTKYMMBYD","GSON1236562503")</f>
        <v>#NAME?</v>
      </c>
      <c r="S1987" s="3" t="e">
        <f ca="1">[1]!BexGetData("DP_1","00O2TNJGODT0G5Z4TTKYMMI9X","GSON1236562503")</f>
        <v>#NAME?</v>
      </c>
      <c r="T1987" s="8" t="e">
        <f ca="1">[1]!BexGetData("DP_1","00O2TNJGODT0G5Z4TTKYMMOLH","GSON1236562503")</f>
        <v>#NAME?</v>
      </c>
      <c r="U1987" s="3" t="e">
        <f ca="1">[1]!BexGetData("DP_1","00O2TNJGODT0G5Z4TTKYMMUX1","GSON1236562503")</f>
        <v>#NAME?</v>
      </c>
      <c r="V1987" s="8" t="e">
        <f ca="1">[1]!BexGetData("DP_1","00O2TNJGODT0G5Z4TTKYMN18L","GSON1236562503")</f>
        <v>#NAME?</v>
      </c>
      <c r="W1987" s="3" t="e">
        <f ca="1">[1]!BexGetData("DP_1","00O2TNJGODT0G5Z4TTKYMN7K5","GSON1236562503")</f>
        <v>#NAME?</v>
      </c>
    </row>
    <row r="1988" spans="1:23" x14ac:dyDescent="0.2">
      <c r="A1988" s="16" t="s">
        <v>4711</v>
      </c>
      <c r="B1988" s="7" t="s">
        <v>4712</v>
      </c>
      <c r="C1988" s="8" t="e">
        <f ca="1">[1]!BexGetData("DP_1","003N8EMH8GTFRCSWKMPXRR8GU","GSON1236562504")</f>
        <v>#NAME?</v>
      </c>
      <c r="D1988" s="8" t="e">
        <f ca="1">[1]!BexGetData("DP_1","003N8EMH8GTFRCSWKMPXRRESE","GSON1236562504")</f>
        <v>#NAME?</v>
      </c>
      <c r="E1988" s="3" t="e">
        <f ca="1">[1]!BexGetData("DP_1","003N8EMH8GTFRCSWKMPXRRL3Y","GSON1236562504")</f>
        <v>#NAME?</v>
      </c>
      <c r="F1988" s="3" t="e">
        <f ca="1">[1]!BexGetData("DP_1","003N8EMH8GTFRCSWKMPXRRRFI","GSON1236562504")</f>
        <v>#NAME?</v>
      </c>
      <c r="G1988" s="3" t="e">
        <f ca="1">[1]!BexGetData("DP_1","003N8EMH8GTFRCSWKMPXRRXR2","GSON1236562504")</f>
        <v>#NAME?</v>
      </c>
      <c r="H1988" s="8" t="e">
        <f ca="1">[1]!BexGetData("DP_1","003N8EMH8GTFRCSWKMPXRS42M","GSON1236562504")</f>
        <v>#NAME?</v>
      </c>
      <c r="I1988" s="3" t="e">
        <f ca="1">[1]!BexGetData("DP_1","003N8EMH8GTFRCSWKMPXRSAE6","GSON1236562504")</f>
        <v>#NAME?</v>
      </c>
      <c r="J1988" s="4" t="e">
        <f ca="1">[1]!BexGetData("DP_1","003N8EMH8GTFRCSWKMPXRSGPQ","GSON1236562504")</f>
        <v>#NAME?</v>
      </c>
      <c r="K1988" s="8" t="e">
        <f ca="1">[1]!BexGetData("DP_1","003N8EMH8GTFRIVNUPY288VJH","GSON1236562504")</f>
        <v>#NAME?</v>
      </c>
      <c r="L1988" s="8" t="e">
        <f ca="1">[1]!BexGetData("DP_1","003N8EMH8GTFRIVNUPY2891V1","GSON1236562504")</f>
        <v>#NAME?</v>
      </c>
      <c r="M1988" s="8" t="e">
        <f ca="1">[1]!BexGetData("DP_1","003N8EMH8GTFRIVOG7KG9IQXA","GSON1236562504")</f>
        <v>#NAME?</v>
      </c>
      <c r="N1988" s="8" t="e">
        <f ca="1">[1]!BexGetData("DP_1","003N8EMH8GTFRIVOG7KG9IX8U","GSON1236562504")</f>
        <v>#NAME?</v>
      </c>
      <c r="O1988" s="8" t="e">
        <f ca="1">[1]!BexGetData("DP_1","003N8EMH8GTFRIVOG7KG9J3KE","GSON1236562504")</f>
        <v>#NAME?</v>
      </c>
      <c r="P1988" s="8" t="e">
        <f ca="1">[1]!BexGetData("DP_1","003N8EMH8GTFRIVOG7KG9J9VY","GSON1236562504")</f>
        <v>#NAME?</v>
      </c>
      <c r="Q1988" s="4" t="e">
        <f ca="1">[1]!BexGetData("DP_1","00O2TNJGODT0G5Z4TTKYMM5MT","GSON1236562504")</f>
        <v>#NAME?</v>
      </c>
      <c r="R1988" s="3" t="e">
        <f ca="1">[1]!BexGetData("DP_1","00O2TNJGODT0G5Z4TTKYMMBYD","GSON1236562504")</f>
        <v>#NAME?</v>
      </c>
      <c r="S1988" s="3" t="e">
        <f ca="1">[1]!BexGetData("DP_1","00O2TNJGODT0G5Z4TTKYMMI9X","GSON1236562504")</f>
        <v>#NAME?</v>
      </c>
      <c r="T1988" s="8" t="e">
        <f ca="1">[1]!BexGetData("DP_1","00O2TNJGODT0G5Z4TTKYMMOLH","GSON1236562504")</f>
        <v>#NAME?</v>
      </c>
      <c r="U1988" s="3" t="e">
        <f ca="1">[1]!BexGetData("DP_1","00O2TNJGODT0G5Z4TTKYMMUX1","GSON1236562504")</f>
        <v>#NAME?</v>
      </c>
      <c r="V1988" s="8" t="e">
        <f ca="1">[1]!BexGetData("DP_1","00O2TNJGODT0G5Z4TTKYMN18L","GSON1236562504")</f>
        <v>#NAME?</v>
      </c>
      <c r="W1988" s="3" t="e">
        <f ca="1">[1]!BexGetData("DP_1","00O2TNJGODT0G5Z4TTKYMN7K5","GSON1236562504")</f>
        <v>#NAME?</v>
      </c>
    </row>
    <row r="1989" spans="1:23" x14ac:dyDescent="0.2">
      <c r="A1989" s="16" t="s">
        <v>4687</v>
      </c>
      <c r="B1989" s="7" t="s">
        <v>4713</v>
      </c>
      <c r="C1989" s="3" t="e">
        <f ca="1">[1]!BexGetData("DP_1","003N8EMH8GTFRCSWKMPXRR8GU","GSON1236562505")</f>
        <v>#NAME?</v>
      </c>
      <c r="D1989" s="3" t="e">
        <f ca="1">[1]!BexGetData("DP_1","003N8EMH8GTFRCSWKMPXRRESE","GSON1236562505")</f>
        <v>#NAME?</v>
      </c>
      <c r="E1989" s="3" t="e">
        <f ca="1">[1]!BexGetData("DP_1","003N8EMH8GTFRCSWKMPXRRL3Y","GSON1236562505")</f>
        <v>#NAME?</v>
      </c>
      <c r="F1989" s="4" t="e">
        <f ca="1">[1]!BexGetData("DP_1","003N8EMH8GTFRCSWKMPXRRRFI","GSON1236562505")</f>
        <v>#NAME?</v>
      </c>
      <c r="G1989" s="4" t="e">
        <f ca="1">[1]!BexGetData("DP_1","003N8EMH8GTFRCSWKMPXRRXR2","GSON1236562505")</f>
        <v>#NAME?</v>
      </c>
      <c r="H1989" s="4" t="e">
        <f ca="1">[1]!BexGetData("DP_1","003N8EMH8GTFRCSWKMPXRS42M","GSON1236562505")</f>
        <v>#NAME?</v>
      </c>
      <c r="I1989" s="4" t="e">
        <f ca="1">[1]!BexGetData("DP_1","003N8EMH8GTFRCSWKMPXRSAE6","GSON1236562505")</f>
        <v>#NAME?</v>
      </c>
      <c r="J1989" s="4" t="e">
        <f ca="1">[1]!BexGetData("DP_1","003N8EMH8GTFRCSWKMPXRSGPQ","GSON1236562505")</f>
        <v>#NAME?</v>
      </c>
      <c r="K1989" s="3" t="e">
        <f ca="1">[1]!BexGetData("DP_1","003N8EMH8GTFRIVNUPY288VJH","GSON1236562505")</f>
        <v>#NAME?</v>
      </c>
      <c r="L1989" s="3" t="e">
        <f ca="1">[1]!BexGetData("DP_1","003N8EMH8GTFRIVNUPY2891V1","GSON1236562505")</f>
        <v>#NAME?</v>
      </c>
      <c r="M1989" s="8" t="e">
        <f ca="1">[1]!BexGetData("DP_1","003N8EMH8GTFRIVOG7KG9IQXA","GSON1236562505")</f>
        <v>#NAME?</v>
      </c>
      <c r="N1989" s="3" t="e">
        <f ca="1">[1]!BexGetData("DP_1","003N8EMH8GTFRIVOG7KG9IX8U","GSON1236562505")</f>
        <v>#NAME?</v>
      </c>
      <c r="O1989" s="8" t="e">
        <f ca="1">[1]!BexGetData("DP_1","003N8EMH8GTFRIVOG7KG9J3KE","GSON1236562505")</f>
        <v>#NAME?</v>
      </c>
      <c r="P1989" s="3" t="e">
        <f ca="1">[1]!BexGetData("DP_1","003N8EMH8GTFRIVOG7KG9J9VY","GSON1236562505")</f>
        <v>#NAME?</v>
      </c>
      <c r="Q1989" s="4" t="e">
        <f ca="1">[1]!BexGetData("DP_1","00O2TNJGODT0G5Z4TTKYMM5MT","GSON1236562505")</f>
        <v>#NAME?</v>
      </c>
      <c r="R1989" s="4" t="e">
        <f ca="1">[1]!BexGetData("DP_1","00O2TNJGODT0G5Z4TTKYMMBYD","GSON1236562505")</f>
        <v>#NAME?</v>
      </c>
      <c r="S1989" s="4" t="e">
        <f ca="1">[1]!BexGetData("DP_1","00O2TNJGODT0G5Z4TTKYMMI9X","GSON1236562505")</f>
        <v>#NAME?</v>
      </c>
      <c r="T1989" s="4" t="e">
        <f ca="1">[1]!BexGetData("DP_1","00O2TNJGODT0G5Z4TTKYMMOLH","GSON1236562505")</f>
        <v>#NAME?</v>
      </c>
      <c r="U1989" s="4" t="e">
        <f ca="1">[1]!BexGetData("DP_1","00O2TNJGODT0G5Z4TTKYMMUX1","GSON1236562505")</f>
        <v>#NAME?</v>
      </c>
      <c r="V1989" s="4" t="e">
        <f ca="1">[1]!BexGetData("DP_1","00O2TNJGODT0G5Z4TTKYMN18L","GSON1236562505")</f>
        <v>#NAME?</v>
      </c>
      <c r="W1989" s="4" t="e">
        <f ca="1">[1]!BexGetData("DP_1","00O2TNJGODT0G5Z4TTKYMN7K5","GSON1236562505")</f>
        <v>#NAME?</v>
      </c>
    </row>
    <row r="1990" spans="1:23" x14ac:dyDescent="0.2">
      <c r="A1990" s="16" t="s">
        <v>4714</v>
      </c>
      <c r="B1990" s="7" t="s">
        <v>4715</v>
      </c>
      <c r="C1990" s="8" t="e">
        <f ca="1">[1]!BexGetData("DP_1","003N8EMH8GTFRCSWKMPXRR8GU","GSON1236562512")</f>
        <v>#NAME?</v>
      </c>
      <c r="D1990" s="8" t="e">
        <f ca="1">[1]!BexGetData("DP_1","003N8EMH8GTFRCSWKMPXRRESE","GSON1236562512")</f>
        <v>#NAME?</v>
      </c>
      <c r="E1990" s="3" t="e">
        <f ca="1">[1]!BexGetData("DP_1","003N8EMH8GTFRCSWKMPXRRL3Y","GSON1236562512")</f>
        <v>#NAME?</v>
      </c>
      <c r="F1990" s="3" t="e">
        <f ca="1">[1]!BexGetData("DP_1","003N8EMH8GTFRCSWKMPXRRRFI","GSON1236562512")</f>
        <v>#NAME?</v>
      </c>
      <c r="G1990" s="3" t="e">
        <f ca="1">[1]!BexGetData("DP_1","003N8EMH8GTFRCSWKMPXRRXR2","GSON1236562512")</f>
        <v>#NAME?</v>
      </c>
      <c r="H1990" s="8" t="e">
        <f ca="1">[1]!BexGetData("DP_1","003N8EMH8GTFRCSWKMPXRS42M","GSON1236562512")</f>
        <v>#NAME?</v>
      </c>
      <c r="I1990" s="3" t="e">
        <f ca="1">[1]!BexGetData("DP_1","003N8EMH8GTFRCSWKMPXRSAE6","GSON1236562512")</f>
        <v>#NAME?</v>
      </c>
      <c r="J1990" s="4" t="e">
        <f ca="1">[1]!BexGetData("DP_1","003N8EMH8GTFRCSWKMPXRSGPQ","GSON1236562512")</f>
        <v>#NAME?</v>
      </c>
      <c r="K1990" s="8" t="e">
        <f ca="1">[1]!BexGetData("DP_1","003N8EMH8GTFRIVNUPY288VJH","GSON1236562512")</f>
        <v>#NAME?</v>
      </c>
      <c r="L1990" s="8" t="e">
        <f ca="1">[1]!BexGetData("DP_1","003N8EMH8GTFRIVNUPY2891V1","GSON1236562512")</f>
        <v>#NAME?</v>
      </c>
      <c r="M1990" s="8" t="e">
        <f ca="1">[1]!BexGetData("DP_1","003N8EMH8GTFRIVOG7KG9IQXA","GSON1236562512")</f>
        <v>#NAME?</v>
      </c>
      <c r="N1990" s="8" t="e">
        <f ca="1">[1]!BexGetData("DP_1","003N8EMH8GTFRIVOG7KG9IX8U","GSON1236562512")</f>
        <v>#NAME?</v>
      </c>
      <c r="O1990" s="8" t="e">
        <f ca="1">[1]!BexGetData("DP_1","003N8EMH8GTFRIVOG7KG9J3KE","GSON1236562512")</f>
        <v>#NAME?</v>
      </c>
      <c r="P1990" s="8" t="e">
        <f ca="1">[1]!BexGetData("DP_1","003N8EMH8GTFRIVOG7KG9J9VY","GSON1236562512")</f>
        <v>#NAME?</v>
      </c>
      <c r="Q1990" s="4" t="e">
        <f ca="1">[1]!BexGetData("DP_1","00O2TNJGODT0G5Z4TTKYMM5MT","GSON1236562512")</f>
        <v>#NAME?</v>
      </c>
      <c r="R1990" s="3" t="e">
        <f ca="1">[1]!BexGetData("DP_1","00O2TNJGODT0G5Z4TTKYMMBYD","GSON1236562512")</f>
        <v>#NAME?</v>
      </c>
      <c r="S1990" s="3" t="e">
        <f ca="1">[1]!BexGetData("DP_1","00O2TNJGODT0G5Z4TTKYMMI9X","GSON1236562512")</f>
        <v>#NAME?</v>
      </c>
      <c r="T1990" s="8" t="e">
        <f ca="1">[1]!BexGetData("DP_1","00O2TNJGODT0G5Z4TTKYMMOLH","GSON1236562512")</f>
        <v>#NAME?</v>
      </c>
      <c r="U1990" s="3" t="e">
        <f ca="1">[1]!BexGetData("DP_1","00O2TNJGODT0G5Z4TTKYMMUX1","GSON1236562512")</f>
        <v>#NAME?</v>
      </c>
      <c r="V1990" s="8" t="e">
        <f ca="1">[1]!BexGetData("DP_1","00O2TNJGODT0G5Z4TTKYMN18L","GSON1236562512")</f>
        <v>#NAME?</v>
      </c>
      <c r="W1990" s="3" t="e">
        <f ca="1">[1]!BexGetData("DP_1","00O2TNJGODT0G5Z4TTKYMN7K5","GSON1236562512")</f>
        <v>#NAME?</v>
      </c>
    </row>
    <row r="1991" spans="1:23" x14ac:dyDescent="0.2">
      <c r="A1991" s="16" t="s">
        <v>1293</v>
      </c>
      <c r="B1991" s="7" t="s">
        <v>1294</v>
      </c>
      <c r="C1991" s="8" t="e">
        <f ca="1">[1]!BexGetData("DP_1","003N8EMH8GTFRCSWKMPXRR8GU","GSON1236662600")</f>
        <v>#NAME?</v>
      </c>
      <c r="D1991" s="8" t="e">
        <f ca="1">[1]!BexGetData("DP_1","003N8EMH8GTFRCSWKMPXRRESE","GSON1236662600")</f>
        <v>#NAME?</v>
      </c>
      <c r="E1991" s="8" t="e">
        <f ca="1">[1]!BexGetData("DP_1","003N8EMH8GTFRCSWKMPXRRL3Y","GSON1236662600")</f>
        <v>#NAME?</v>
      </c>
      <c r="F1991" s="8" t="e">
        <f ca="1">[1]!BexGetData("DP_1","003N8EMH8GTFRCSWKMPXRRRFI","GSON1236662600")</f>
        <v>#NAME?</v>
      </c>
      <c r="G1991" s="3" t="e">
        <f ca="1">[1]!BexGetData("DP_1","003N8EMH8GTFRCSWKMPXRRXR2","GSON1236662600")</f>
        <v>#NAME?</v>
      </c>
      <c r="H1991" s="3" t="e">
        <f ca="1">[1]!BexGetData("DP_1","003N8EMH8GTFRCSWKMPXRS42M","GSON1236662600")</f>
        <v>#NAME?</v>
      </c>
      <c r="I1991" s="8" t="e">
        <f ca="1">[1]!BexGetData("DP_1","003N8EMH8GTFRCSWKMPXRSAE6","GSON1236662600")</f>
        <v>#NAME?</v>
      </c>
      <c r="J1991" s="4" t="e">
        <f ca="1">[1]!BexGetData("DP_1","003N8EMH8GTFRCSWKMPXRSGPQ","GSON1236662600")</f>
        <v>#NAME?</v>
      </c>
      <c r="K1991" s="8" t="e">
        <f ca="1">[1]!BexGetData("DP_1","003N8EMH8GTFRIVNUPY288VJH","GSON1236662600")</f>
        <v>#NAME?</v>
      </c>
      <c r="L1991" s="8" t="e">
        <f ca="1">[1]!BexGetData("DP_1","003N8EMH8GTFRIVNUPY2891V1","GSON1236662600")</f>
        <v>#NAME?</v>
      </c>
      <c r="M1991" s="8" t="e">
        <f ca="1">[1]!BexGetData("DP_1","003N8EMH8GTFRIVOG7KG9IQXA","GSON1236662600")</f>
        <v>#NAME?</v>
      </c>
      <c r="N1991" s="8" t="e">
        <f ca="1">[1]!BexGetData("DP_1","003N8EMH8GTFRIVOG7KG9IX8U","GSON1236662600")</f>
        <v>#NAME?</v>
      </c>
      <c r="O1991" s="8" t="e">
        <f ca="1">[1]!BexGetData("DP_1","003N8EMH8GTFRIVOG7KG9J3KE","GSON1236662600")</f>
        <v>#NAME?</v>
      </c>
      <c r="P1991" s="8" t="e">
        <f ca="1">[1]!BexGetData("DP_1","003N8EMH8GTFRIVOG7KG9J9VY","GSON1236662600")</f>
        <v>#NAME?</v>
      </c>
      <c r="Q1991" s="4" t="e">
        <f ca="1">[1]!BexGetData("DP_1","00O2TNJGODT0G5Z4TTKYMM5MT","GSON1236662600")</f>
        <v>#NAME?</v>
      </c>
      <c r="R1991" s="8" t="e">
        <f ca="1">[1]!BexGetData("DP_1","00O2TNJGODT0G5Z4TTKYMMBYD","GSON1236662600")</f>
        <v>#NAME?</v>
      </c>
      <c r="S1991" s="8" t="e">
        <f ca="1">[1]!BexGetData("DP_1","00O2TNJGODT0G5Z4TTKYMMI9X","GSON1236662600")</f>
        <v>#NAME?</v>
      </c>
      <c r="T1991" s="8" t="e">
        <f ca="1">[1]!BexGetData("DP_1","00O2TNJGODT0G5Z4TTKYMMOLH","GSON1236662600")</f>
        <v>#NAME?</v>
      </c>
      <c r="U1991" s="8" t="e">
        <f ca="1">[1]!BexGetData("DP_1","00O2TNJGODT0G5Z4TTKYMMUX1","GSON1236662600")</f>
        <v>#NAME?</v>
      </c>
      <c r="V1991" s="8" t="e">
        <f ca="1">[1]!BexGetData("DP_1","00O2TNJGODT0G5Z4TTKYMN18L","GSON1236662600")</f>
        <v>#NAME?</v>
      </c>
      <c r="W1991" s="8" t="e">
        <f ca="1">[1]!BexGetData("DP_1","00O2TNJGODT0G5Z4TTKYMN7K5","GSON1236662600")</f>
        <v>#NAME?</v>
      </c>
    </row>
    <row r="1992" spans="1:23" x14ac:dyDescent="0.2">
      <c r="A1992" s="16" t="s">
        <v>1295</v>
      </c>
      <c r="B1992" s="7" t="s">
        <v>1296</v>
      </c>
      <c r="C1992" s="8" t="e">
        <f ca="1">[1]!BexGetData("DP_1","003N8EMH8GTFRCSWKMPXRR8GU","GSON1236962900")</f>
        <v>#NAME?</v>
      </c>
      <c r="D1992" s="8" t="e">
        <f ca="1">[1]!BexGetData("DP_1","003N8EMH8GTFRCSWKMPXRRESE","GSON1236962900")</f>
        <v>#NAME?</v>
      </c>
      <c r="E1992" s="8" t="e">
        <f ca="1">[1]!BexGetData("DP_1","003N8EMH8GTFRCSWKMPXRRL3Y","GSON1236962900")</f>
        <v>#NAME?</v>
      </c>
      <c r="F1992" s="8" t="e">
        <f ca="1">[1]!BexGetData("DP_1","003N8EMH8GTFRCSWKMPXRRRFI","GSON1236962900")</f>
        <v>#NAME?</v>
      </c>
      <c r="G1992" s="3" t="e">
        <f ca="1">[1]!BexGetData("DP_1","003N8EMH8GTFRCSWKMPXRRXR2","GSON1236962900")</f>
        <v>#NAME?</v>
      </c>
      <c r="H1992" s="3" t="e">
        <f ca="1">[1]!BexGetData("DP_1","003N8EMH8GTFRCSWKMPXRS42M","GSON1236962900")</f>
        <v>#NAME?</v>
      </c>
      <c r="I1992" s="8" t="e">
        <f ca="1">[1]!BexGetData("DP_1","003N8EMH8GTFRCSWKMPXRSAE6","GSON1236962900")</f>
        <v>#NAME?</v>
      </c>
      <c r="J1992" s="4" t="e">
        <f ca="1">[1]!BexGetData("DP_1","003N8EMH8GTFRCSWKMPXRSGPQ","GSON1236962900")</f>
        <v>#NAME?</v>
      </c>
      <c r="K1992" s="8" t="e">
        <f ca="1">[1]!BexGetData("DP_1","003N8EMH8GTFRIVNUPY288VJH","GSON1236962900")</f>
        <v>#NAME?</v>
      </c>
      <c r="L1992" s="8" t="e">
        <f ca="1">[1]!BexGetData("DP_1","003N8EMH8GTFRIVNUPY2891V1","GSON1236962900")</f>
        <v>#NAME?</v>
      </c>
      <c r="M1992" s="8" t="e">
        <f ca="1">[1]!BexGetData("DP_1","003N8EMH8GTFRIVOG7KG9IQXA","GSON1236962900")</f>
        <v>#NAME?</v>
      </c>
      <c r="N1992" s="8" t="e">
        <f ca="1">[1]!BexGetData("DP_1","003N8EMH8GTFRIVOG7KG9IX8U","GSON1236962900")</f>
        <v>#NAME?</v>
      </c>
      <c r="O1992" s="8" t="e">
        <f ca="1">[1]!BexGetData("DP_1","003N8EMH8GTFRIVOG7KG9J3KE","GSON1236962900")</f>
        <v>#NAME?</v>
      </c>
      <c r="P1992" s="8" t="e">
        <f ca="1">[1]!BexGetData("DP_1","003N8EMH8GTFRIVOG7KG9J9VY","GSON1236962900")</f>
        <v>#NAME?</v>
      </c>
      <c r="Q1992" s="4" t="e">
        <f ca="1">[1]!BexGetData("DP_1","00O2TNJGODT0G5Z4TTKYMM5MT","GSON1236962900")</f>
        <v>#NAME?</v>
      </c>
      <c r="R1992" s="8" t="e">
        <f ca="1">[1]!BexGetData("DP_1","00O2TNJGODT0G5Z4TTKYMMBYD","GSON1236962900")</f>
        <v>#NAME?</v>
      </c>
      <c r="S1992" s="8" t="e">
        <f ca="1">[1]!BexGetData("DP_1","00O2TNJGODT0G5Z4TTKYMMI9X","GSON1236962900")</f>
        <v>#NAME?</v>
      </c>
      <c r="T1992" s="8" t="e">
        <f ca="1">[1]!BexGetData("DP_1","00O2TNJGODT0G5Z4TTKYMMOLH","GSON1236962900")</f>
        <v>#NAME?</v>
      </c>
      <c r="U1992" s="8" t="e">
        <f ca="1">[1]!BexGetData("DP_1","00O2TNJGODT0G5Z4TTKYMMUX1","GSON1236962900")</f>
        <v>#NAME?</v>
      </c>
      <c r="V1992" s="8" t="e">
        <f ca="1">[1]!BexGetData("DP_1","00O2TNJGODT0G5Z4TTKYMN18L","GSON1236962900")</f>
        <v>#NAME?</v>
      </c>
      <c r="W1992" s="8" t="e">
        <f ca="1">[1]!BexGetData("DP_1","00O2TNJGODT0G5Z4TTKYMN7K5","GSON1236962900")</f>
        <v>#NAME?</v>
      </c>
    </row>
    <row r="1993" spans="1:23" x14ac:dyDescent="0.2">
      <c r="A1993" s="15" t="s">
        <v>1297</v>
      </c>
      <c r="B1993" s="7" t="s">
        <v>1298</v>
      </c>
      <c r="C1993" s="8" t="e">
        <f ca="1">[1]!BexGetData("DP_1","003N8EMH8GTFRCSWKMPXRR8GU","GSON1239")</f>
        <v>#NAME?</v>
      </c>
      <c r="D1993" s="8" t="e">
        <f ca="1">[1]!BexGetData("DP_1","003N8EMH8GTFRCSWKMPXRRESE","GSON1239")</f>
        <v>#NAME?</v>
      </c>
      <c r="E1993" s="3" t="e">
        <f ca="1">[1]!BexGetData("DP_1","003N8EMH8GTFRCSWKMPXRRL3Y","GSON1239")</f>
        <v>#NAME?</v>
      </c>
      <c r="F1993" s="3" t="e">
        <f ca="1">[1]!BexGetData("DP_1","003N8EMH8GTFRCSWKMPXRRRFI","GSON1239")</f>
        <v>#NAME?</v>
      </c>
      <c r="G1993" s="3" t="e">
        <f ca="1">[1]!BexGetData("DP_1","003N8EMH8GTFRCSWKMPXRRXR2","GSON1239")</f>
        <v>#NAME?</v>
      </c>
      <c r="H1993" s="8" t="e">
        <f ca="1">[1]!BexGetData("DP_1","003N8EMH8GTFRCSWKMPXRS42M","GSON1239")</f>
        <v>#NAME?</v>
      </c>
      <c r="I1993" s="3" t="e">
        <f ca="1">[1]!BexGetData("DP_1","003N8EMH8GTFRCSWKMPXRSAE6","GSON1239")</f>
        <v>#NAME?</v>
      </c>
      <c r="J1993" s="4" t="e">
        <f ca="1">[1]!BexGetData("DP_1","003N8EMH8GTFRCSWKMPXRSGPQ","GSON1239")</f>
        <v>#NAME?</v>
      </c>
      <c r="K1993" s="8" t="e">
        <f ca="1">[1]!BexGetData("DP_1","003N8EMH8GTFRIVNUPY288VJH","GSON1239")</f>
        <v>#NAME?</v>
      </c>
      <c r="L1993" s="8" t="e">
        <f ca="1">[1]!BexGetData("DP_1","003N8EMH8GTFRIVNUPY2891V1","GSON1239")</f>
        <v>#NAME?</v>
      </c>
      <c r="M1993" s="8" t="e">
        <f ca="1">[1]!BexGetData("DP_1","003N8EMH8GTFRIVOG7KG9IQXA","GSON1239")</f>
        <v>#NAME?</v>
      </c>
      <c r="N1993" s="8" t="e">
        <f ca="1">[1]!BexGetData("DP_1","003N8EMH8GTFRIVOG7KG9IX8U","GSON1239")</f>
        <v>#NAME?</v>
      </c>
      <c r="O1993" s="8" t="e">
        <f ca="1">[1]!BexGetData("DP_1","003N8EMH8GTFRIVOG7KG9J3KE","GSON1239")</f>
        <v>#NAME?</v>
      </c>
      <c r="P1993" s="8" t="e">
        <f ca="1">[1]!BexGetData("DP_1","003N8EMH8GTFRIVOG7KG9J9VY","GSON1239")</f>
        <v>#NAME?</v>
      </c>
      <c r="Q1993" s="4" t="e">
        <f ca="1">[1]!BexGetData("DP_1","00O2TNJGODT0G5Z4TTKYMM5MT","GSON1239")</f>
        <v>#NAME?</v>
      </c>
      <c r="R1993" s="3" t="e">
        <f ca="1">[1]!BexGetData("DP_1","00O2TNJGODT0G5Z4TTKYMMBYD","GSON1239")</f>
        <v>#NAME?</v>
      </c>
      <c r="S1993" s="3" t="e">
        <f ca="1">[1]!BexGetData("DP_1","00O2TNJGODT0G5Z4TTKYMMI9X","GSON1239")</f>
        <v>#NAME?</v>
      </c>
      <c r="T1993" s="8" t="e">
        <f ca="1">[1]!BexGetData("DP_1","00O2TNJGODT0G5Z4TTKYMMOLH","GSON1239")</f>
        <v>#NAME?</v>
      </c>
      <c r="U1993" s="3" t="e">
        <f ca="1">[1]!BexGetData("DP_1","00O2TNJGODT0G5Z4TTKYMMUX1","GSON1239")</f>
        <v>#NAME?</v>
      </c>
      <c r="V1993" s="8" t="e">
        <f ca="1">[1]!BexGetData("DP_1","00O2TNJGODT0G5Z4TTKYMN18L","GSON1239")</f>
        <v>#NAME?</v>
      </c>
      <c r="W1993" s="3" t="e">
        <f ca="1">[1]!BexGetData("DP_1","00O2TNJGODT0G5Z4TTKYMN7K5","GSON1239")</f>
        <v>#NAME?</v>
      </c>
    </row>
    <row r="1994" spans="1:23" x14ac:dyDescent="0.2">
      <c r="A1994" s="16" t="s">
        <v>1299</v>
      </c>
      <c r="B1994" s="7" t="s">
        <v>1300</v>
      </c>
      <c r="C1994" s="8" t="e">
        <f ca="1">[1]!BexGetData("DP_1","003N8EMH8GTFRCSWKMPXRR8GU","GSON1239158900")</f>
        <v>#NAME?</v>
      </c>
      <c r="D1994" s="8" t="e">
        <f ca="1">[1]!BexGetData("DP_1","003N8EMH8GTFRCSWKMPXRRESE","GSON1239158900")</f>
        <v>#NAME?</v>
      </c>
      <c r="E1994" s="3" t="e">
        <f ca="1">[1]!BexGetData("DP_1","003N8EMH8GTFRCSWKMPXRRL3Y","GSON1239158900")</f>
        <v>#NAME?</v>
      </c>
      <c r="F1994" s="3" t="e">
        <f ca="1">[1]!BexGetData("DP_1","003N8EMH8GTFRCSWKMPXRRRFI","GSON1239158900")</f>
        <v>#NAME?</v>
      </c>
      <c r="G1994" s="3" t="e">
        <f ca="1">[1]!BexGetData("DP_1","003N8EMH8GTFRCSWKMPXRRXR2","GSON1239158900")</f>
        <v>#NAME?</v>
      </c>
      <c r="H1994" s="8" t="e">
        <f ca="1">[1]!BexGetData("DP_1","003N8EMH8GTFRCSWKMPXRS42M","GSON1239158900")</f>
        <v>#NAME?</v>
      </c>
      <c r="I1994" s="3" t="e">
        <f ca="1">[1]!BexGetData("DP_1","003N8EMH8GTFRCSWKMPXRSAE6","GSON1239158900")</f>
        <v>#NAME?</v>
      </c>
      <c r="J1994" s="4" t="e">
        <f ca="1">[1]!BexGetData("DP_1","003N8EMH8GTFRCSWKMPXRSGPQ","GSON1239158900")</f>
        <v>#NAME?</v>
      </c>
      <c r="K1994" s="8" t="e">
        <f ca="1">[1]!BexGetData("DP_1","003N8EMH8GTFRIVNUPY288VJH","GSON1239158900")</f>
        <v>#NAME?</v>
      </c>
      <c r="L1994" s="8" t="e">
        <f ca="1">[1]!BexGetData("DP_1","003N8EMH8GTFRIVNUPY2891V1","GSON1239158900")</f>
        <v>#NAME?</v>
      </c>
      <c r="M1994" s="8" t="e">
        <f ca="1">[1]!BexGetData("DP_1","003N8EMH8GTFRIVOG7KG9IQXA","GSON1239158900")</f>
        <v>#NAME?</v>
      </c>
      <c r="N1994" s="8" t="e">
        <f ca="1">[1]!BexGetData("DP_1","003N8EMH8GTFRIVOG7KG9IX8U","GSON1239158900")</f>
        <v>#NAME?</v>
      </c>
      <c r="O1994" s="8" t="e">
        <f ca="1">[1]!BexGetData("DP_1","003N8EMH8GTFRIVOG7KG9J3KE","GSON1239158900")</f>
        <v>#NAME?</v>
      </c>
      <c r="P1994" s="8" t="e">
        <f ca="1">[1]!BexGetData("DP_1","003N8EMH8GTFRIVOG7KG9J9VY","GSON1239158900")</f>
        <v>#NAME?</v>
      </c>
      <c r="Q1994" s="4" t="e">
        <f ca="1">[1]!BexGetData("DP_1","00O2TNJGODT0G5Z4TTKYMM5MT","GSON1239158900")</f>
        <v>#NAME?</v>
      </c>
      <c r="R1994" s="3" t="e">
        <f ca="1">[1]!BexGetData("DP_1","00O2TNJGODT0G5Z4TTKYMMBYD","GSON1239158900")</f>
        <v>#NAME?</v>
      </c>
      <c r="S1994" s="3" t="e">
        <f ca="1">[1]!BexGetData("DP_1","00O2TNJGODT0G5Z4TTKYMMI9X","GSON1239158900")</f>
        <v>#NAME?</v>
      </c>
      <c r="T1994" s="8" t="e">
        <f ca="1">[1]!BexGetData("DP_1","00O2TNJGODT0G5Z4TTKYMMOLH","GSON1239158900")</f>
        <v>#NAME?</v>
      </c>
      <c r="U1994" s="3" t="e">
        <f ca="1">[1]!BexGetData("DP_1","00O2TNJGODT0G5Z4TTKYMMUX1","GSON1239158900")</f>
        <v>#NAME?</v>
      </c>
      <c r="V1994" s="8" t="e">
        <f ca="1">[1]!BexGetData("DP_1","00O2TNJGODT0G5Z4TTKYMN18L","GSON1239158900")</f>
        <v>#NAME?</v>
      </c>
      <c r="W1994" s="3" t="e">
        <f ca="1">[1]!BexGetData("DP_1","00O2TNJGODT0G5Z4TTKYMN7K5","GSON1239158900")</f>
        <v>#NAME?</v>
      </c>
    </row>
    <row r="1995" spans="1:23" x14ac:dyDescent="0.2">
      <c r="A1995" s="14" t="s">
        <v>8</v>
      </c>
      <c r="B1995" s="7" t="s">
        <v>81</v>
      </c>
      <c r="C1995" s="3" t="e">
        <f ca="1">[1]!BexGetData("DP_1","003N8EMH8GTFRCSWKMPXRR8GU","GSON124")</f>
        <v>#NAME?</v>
      </c>
      <c r="D1995" s="3" t="e">
        <f ca="1">[1]!BexGetData("DP_1","003N8EMH8GTFRCSWKMPXRRESE","GSON124")</f>
        <v>#NAME?</v>
      </c>
      <c r="E1995" s="3" t="e">
        <f ca="1">[1]!BexGetData("DP_1","003N8EMH8GTFRCSWKMPXRRL3Y","GSON124")</f>
        <v>#NAME?</v>
      </c>
      <c r="F1995" s="3" t="e">
        <f ca="1">[1]!BexGetData("DP_1","003N8EMH8GTFRCSWKMPXRRRFI","GSON124")</f>
        <v>#NAME?</v>
      </c>
      <c r="G1995" s="3" t="e">
        <f ca="1">[1]!BexGetData("DP_1","003N8EMH8GTFRCSWKMPXRRXR2","GSON124")</f>
        <v>#NAME?</v>
      </c>
      <c r="H1995" s="3" t="e">
        <f ca="1">[1]!BexGetData("DP_1","003N8EMH8GTFRCSWKMPXRS42M","GSON124")</f>
        <v>#NAME?</v>
      </c>
      <c r="I1995" s="3" t="e">
        <f ca="1">[1]!BexGetData("DP_1","003N8EMH8GTFRCSWKMPXRSAE6","GSON124")</f>
        <v>#NAME?</v>
      </c>
      <c r="J1995" s="4" t="e">
        <f ca="1">[1]!BexGetData("DP_1","003N8EMH8GTFRCSWKMPXRSGPQ","GSON124")</f>
        <v>#NAME?</v>
      </c>
      <c r="K1995" s="3" t="e">
        <f ca="1">[1]!BexGetData("DP_1","003N8EMH8GTFRIVNUPY288VJH","GSON124")</f>
        <v>#NAME?</v>
      </c>
      <c r="L1995" s="3" t="e">
        <f ca="1">[1]!BexGetData("DP_1","003N8EMH8GTFRIVNUPY2891V1","GSON124")</f>
        <v>#NAME?</v>
      </c>
      <c r="M1995" s="8" t="e">
        <f ca="1">[1]!BexGetData("DP_1","003N8EMH8GTFRIVOG7KG9IQXA","GSON124")</f>
        <v>#NAME?</v>
      </c>
      <c r="N1995" s="3" t="e">
        <f ca="1">[1]!BexGetData("DP_1","003N8EMH8GTFRIVOG7KG9IX8U","GSON124")</f>
        <v>#NAME?</v>
      </c>
      <c r="O1995" s="8" t="e">
        <f ca="1">[1]!BexGetData("DP_1","003N8EMH8GTFRIVOG7KG9J3KE","GSON124")</f>
        <v>#NAME?</v>
      </c>
      <c r="P1995" s="3" t="e">
        <f ca="1">[1]!BexGetData("DP_1","003N8EMH8GTFRIVOG7KG9J9VY","GSON124")</f>
        <v>#NAME?</v>
      </c>
      <c r="Q1995" s="4" t="e">
        <f ca="1">[1]!BexGetData("DP_1","00O2TNJGODT0G5Z4TTKYMM5MT","GSON124")</f>
        <v>#NAME?</v>
      </c>
      <c r="R1995" s="3" t="e">
        <f ca="1">[1]!BexGetData("DP_1","00O2TNJGODT0G5Z4TTKYMMBYD","GSON124")</f>
        <v>#NAME?</v>
      </c>
      <c r="S1995" s="3" t="e">
        <f ca="1">[1]!BexGetData("DP_1","00O2TNJGODT0G5Z4TTKYMMI9X","GSON124")</f>
        <v>#NAME?</v>
      </c>
      <c r="T1995" s="8" t="e">
        <f ca="1">[1]!BexGetData("DP_1","00O2TNJGODT0G5Z4TTKYMMOLH","GSON124")</f>
        <v>#NAME?</v>
      </c>
      <c r="U1995" s="3" t="e">
        <f ca="1">[1]!BexGetData("DP_1","00O2TNJGODT0G5Z4TTKYMMUX1","GSON124")</f>
        <v>#NAME?</v>
      </c>
      <c r="V1995" s="8" t="e">
        <f ca="1">[1]!BexGetData("DP_1","00O2TNJGODT0G5Z4TTKYMN18L","GSON124")</f>
        <v>#NAME?</v>
      </c>
      <c r="W1995" s="3" t="e">
        <f ca="1">[1]!BexGetData("DP_1","00O2TNJGODT0G5Z4TTKYMN7K5","GSON124")</f>
        <v>#NAME?</v>
      </c>
    </row>
    <row r="1996" spans="1:23" x14ac:dyDescent="0.2">
      <c r="A1996" s="15" t="s">
        <v>82</v>
      </c>
      <c r="B1996" s="7" t="s">
        <v>83</v>
      </c>
      <c r="C1996" s="3" t="e">
        <f ca="1">[1]!BexGetData("DP_1","003N8EMH8GTFRCSWKMPXRR8GU","GSON1241")</f>
        <v>#NAME?</v>
      </c>
      <c r="D1996" s="3" t="e">
        <f ca="1">[1]!BexGetData("DP_1","003N8EMH8GTFRCSWKMPXRRESE","GSON1241")</f>
        <v>#NAME?</v>
      </c>
      <c r="E1996" s="3" t="e">
        <f ca="1">[1]!BexGetData("DP_1","003N8EMH8GTFRCSWKMPXRRL3Y","GSON1241")</f>
        <v>#NAME?</v>
      </c>
      <c r="F1996" s="3" t="e">
        <f ca="1">[1]!BexGetData("DP_1","003N8EMH8GTFRCSWKMPXRRRFI","GSON1241")</f>
        <v>#NAME?</v>
      </c>
      <c r="G1996" s="3" t="e">
        <f ca="1">[1]!BexGetData("DP_1","003N8EMH8GTFRCSWKMPXRRXR2","GSON1241")</f>
        <v>#NAME?</v>
      </c>
      <c r="H1996" s="3" t="e">
        <f ca="1">[1]!BexGetData("DP_1","003N8EMH8GTFRCSWKMPXRS42M","GSON1241")</f>
        <v>#NAME?</v>
      </c>
      <c r="I1996" s="3" t="e">
        <f ca="1">[1]!BexGetData("DP_1","003N8EMH8GTFRCSWKMPXRSAE6","GSON1241")</f>
        <v>#NAME?</v>
      </c>
      <c r="J1996" s="4" t="e">
        <f ca="1">[1]!BexGetData("DP_1","003N8EMH8GTFRCSWKMPXRSGPQ","GSON1241")</f>
        <v>#NAME?</v>
      </c>
      <c r="K1996" s="3" t="e">
        <f ca="1">[1]!BexGetData("DP_1","003N8EMH8GTFRIVNUPY288VJH","GSON1241")</f>
        <v>#NAME?</v>
      </c>
      <c r="L1996" s="3" t="e">
        <f ca="1">[1]!BexGetData("DP_1","003N8EMH8GTFRIVNUPY2891V1","GSON1241")</f>
        <v>#NAME?</v>
      </c>
      <c r="M1996" s="8" t="e">
        <f ca="1">[1]!BexGetData("DP_1","003N8EMH8GTFRIVOG7KG9IQXA","GSON1241")</f>
        <v>#NAME?</v>
      </c>
      <c r="N1996" s="3" t="e">
        <f ca="1">[1]!BexGetData("DP_1","003N8EMH8GTFRIVOG7KG9IX8U","GSON1241")</f>
        <v>#NAME?</v>
      </c>
      <c r="O1996" s="8" t="e">
        <f ca="1">[1]!BexGetData("DP_1","003N8EMH8GTFRIVOG7KG9J3KE","GSON1241")</f>
        <v>#NAME?</v>
      </c>
      <c r="P1996" s="3" t="e">
        <f ca="1">[1]!BexGetData("DP_1","003N8EMH8GTFRIVOG7KG9J9VY","GSON1241")</f>
        <v>#NAME?</v>
      </c>
      <c r="Q1996" s="4" t="e">
        <f ca="1">[1]!BexGetData("DP_1","00O2TNJGODT0G5Z4TTKYMM5MT","GSON1241")</f>
        <v>#NAME?</v>
      </c>
      <c r="R1996" s="3" t="e">
        <f ca="1">[1]!BexGetData("DP_1","00O2TNJGODT0G5Z4TTKYMMBYD","GSON1241")</f>
        <v>#NAME?</v>
      </c>
      <c r="S1996" s="3" t="e">
        <f ca="1">[1]!BexGetData("DP_1","00O2TNJGODT0G5Z4TTKYMMI9X","GSON1241")</f>
        <v>#NAME?</v>
      </c>
      <c r="T1996" s="8" t="e">
        <f ca="1">[1]!BexGetData("DP_1","00O2TNJGODT0G5Z4TTKYMMOLH","GSON1241")</f>
        <v>#NAME?</v>
      </c>
      <c r="U1996" s="3" t="e">
        <f ca="1">[1]!BexGetData("DP_1","00O2TNJGODT0G5Z4TTKYMMUX1","GSON1241")</f>
        <v>#NAME?</v>
      </c>
      <c r="V1996" s="8" t="e">
        <f ca="1">[1]!BexGetData("DP_1","00O2TNJGODT0G5Z4TTKYMN18L","GSON1241")</f>
        <v>#NAME?</v>
      </c>
      <c r="W1996" s="3" t="e">
        <f ca="1">[1]!BexGetData("DP_1","00O2TNJGODT0G5Z4TTKYMN7K5","GSON1241")</f>
        <v>#NAME?</v>
      </c>
    </row>
    <row r="1997" spans="1:23" x14ac:dyDescent="0.2">
      <c r="A1997" s="16" t="s">
        <v>1301</v>
      </c>
      <c r="B1997" s="7" t="s">
        <v>1302</v>
      </c>
      <c r="C1997" s="3" t="e">
        <f ca="1">[1]!BexGetData("DP_1","003N8EMH8GTFRCSWKMPXRR8GU","GSON1241151100")</f>
        <v>#NAME?</v>
      </c>
      <c r="D1997" s="3" t="e">
        <f ca="1">[1]!BexGetData("DP_1","003N8EMH8GTFRCSWKMPXRRESE","GSON1241151100")</f>
        <v>#NAME?</v>
      </c>
      <c r="E1997" s="3" t="e">
        <f ca="1">[1]!BexGetData("DP_1","003N8EMH8GTFRCSWKMPXRRL3Y","GSON1241151100")</f>
        <v>#NAME?</v>
      </c>
      <c r="F1997" s="3" t="e">
        <f ca="1">[1]!BexGetData("DP_1","003N8EMH8GTFRCSWKMPXRRRFI","GSON1241151100")</f>
        <v>#NAME?</v>
      </c>
      <c r="G1997" s="3" t="e">
        <f ca="1">[1]!BexGetData("DP_1","003N8EMH8GTFRCSWKMPXRRXR2","GSON1241151100")</f>
        <v>#NAME?</v>
      </c>
      <c r="H1997" s="3" t="e">
        <f ca="1">[1]!BexGetData("DP_1","003N8EMH8GTFRCSWKMPXRS42M","GSON1241151100")</f>
        <v>#NAME?</v>
      </c>
      <c r="I1997" s="3" t="e">
        <f ca="1">[1]!BexGetData("DP_1","003N8EMH8GTFRCSWKMPXRSAE6","GSON1241151100")</f>
        <v>#NAME?</v>
      </c>
      <c r="J1997" s="4" t="e">
        <f ca="1">[1]!BexGetData("DP_1","003N8EMH8GTFRCSWKMPXRSGPQ","GSON1241151100")</f>
        <v>#NAME?</v>
      </c>
      <c r="K1997" s="3" t="e">
        <f ca="1">[1]!BexGetData("DP_1","003N8EMH8GTFRIVNUPY288VJH","GSON1241151100")</f>
        <v>#NAME?</v>
      </c>
      <c r="L1997" s="3" t="e">
        <f ca="1">[1]!BexGetData("DP_1","003N8EMH8GTFRIVNUPY2891V1","GSON1241151100")</f>
        <v>#NAME?</v>
      </c>
      <c r="M1997" s="3" t="e">
        <f ca="1">[1]!BexGetData("DP_1","003N8EMH8GTFRIVOG7KG9IQXA","GSON1241151100")</f>
        <v>#NAME?</v>
      </c>
      <c r="N1997" s="8" t="e">
        <f ca="1">[1]!BexGetData("DP_1","003N8EMH8GTFRIVOG7KG9IX8U","GSON1241151100")</f>
        <v>#NAME?</v>
      </c>
      <c r="O1997" s="3" t="e">
        <f ca="1">[1]!BexGetData("DP_1","003N8EMH8GTFRIVOG7KG9J3KE","GSON1241151100")</f>
        <v>#NAME?</v>
      </c>
      <c r="P1997" s="8" t="e">
        <f ca="1">[1]!BexGetData("DP_1","003N8EMH8GTFRIVOG7KG9J9VY","GSON1241151100")</f>
        <v>#NAME?</v>
      </c>
      <c r="Q1997" s="4" t="e">
        <f ca="1">[1]!BexGetData("DP_1","00O2TNJGODT0G5Z4TTKYMM5MT","GSON1241151100")</f>
        <v>#NAME?</v>
      </c>
      <c r="R1997" s="3" t="e">
        <f ca="1">[1]!BexGetData("DP_1","00O2TNJGODT0G5Z4TTKYMMBYD","GSON1241151100")</f>
        <v>#NAME?</v>
      </c>
      <c r="S1997" s="3" t="e">
        <f ca="1">[1]!BexGetData("DP_1","00O2TNJGODT0G5Z4TTKYMMI9X","GSON1241151100")</f>
        <v>#NAME?</v>
      </c>
      <c r="T1997" s="8" t="e">
        <f ca="1">[1]!BexGetData("DP_1","00O2TNJGODT0G5Z4TTKYMMOLH","GSON1241151100")</f>
        <v>#NAME?</v>
      </c>
      <c r="U1997" s="3" t="e">
        <f ca="1">[1]!BexGetData("DP_1","00O2TNJGODT0G5Z4TTKYMMUX1","GSON1241151100")</f>
        <v>#NAME?</v>
      </c>
      <c r="V1997" s="8" t="e">
        <f ca="1">[1]!BexGetData("DP_1","00O2TNJGODT0G5Z4TTKYMN18L","GSON1241151100")</f>
        <v>#NAME?</v>
      </c>
      <c r="W1997" s="3" t="e">
        <f ca="1">[1]!BexGetData("DP_1","00O2TNJGODT0G5Z4TTKYMN7K5","GSON1241151100")</f>
        <v>#NAME?</v>
      </c>
    </row>
    <row r="1998" spans="1:23" x14ac:dyDescent="0.2">
      <c r="A1998" s="16" t="s">
        <v>1303</v>
      </c>
      <c r="B1998" s="7" t="s">
        <v>84</v>
      </c>
      <c r="C1998" s="3" t="e">
        <f ca="1">[1]!BexGetData("DP_1","003N8EMH8GTFRCSWKMPXRR8GU","GSON1241151101")</f>
        <v>#NAME?</v>
      </c>
      <c r="D1998" s="3" t="e">
        <f ca="1">[1]!BexGetData("DP_1","003N8EMH8GTFRCSWKMPXRRESE","GSON1241151101")</f>
        <v>#NAME?</v>
      </c>
      <c r="E1998" s="3" t="e">
        <f ca="1">[1]!BexGetData("DP_1","003N8EMH8GTFRCSWKMPXRRL3Y","GSON1241151101")</f>
        <v>#NAME?</v>
      </c>
      <c r="F1998" s="3" t="e">
        <f ca="1">[1]!BexGetData("DP_1","003N8EMH8GTFRCSWKMPXRRRFI","GSON1241151101")</f>
        <v>#NAME?</v>
      </c>
      <c r="G1998" s="3" t="e">
        <f ca="1">[1]!BexGetData("DP_1","003N8EMH8GTFRCSWKMPXRRXR2","GSON1241151101")</f>
        <v>#NAME?</v>
      </c>
      <c r="H1998" s="3" t="e">
        <f ca="1">[1]!BexGetData("DP_1","003N8EMH8GTFRCSWKMPXRS42M","GSON1241151101")</f>
        <v>#NAME?</v>
      </c>
      <c r="I1998" s="3" t="e">
        <f ca="1">[1]!BexGetData("DP_1","003N8EMH8GTFRCSWKMPXRSAE6","GSON1241151101")</f>
        <v>#NAME?</v>
      </c>
      <c r="J1998" s="4" t="e">
        <f ca="1">[1]!BexGetData("DP_1","003N8EMH8GTFRCSWKMPXRSGPQ","GSON1241151101")</f>
        <v>#NAME?</v>
      </c>
      <c r="K1998" s="3" t="e">
        <f ca="1">[1]!BexGetData("DP_1","003N8EMH8GTFRIVNUPY288VJH","GSON1241151101")</f>
        <v>#NAME?</v>
      </c>
      <c r="L1998" s="3" t="e">
        <f ca="1">[1]!BexGetData("DP_1","003N8EMH8GTFRIVNUPY2891V1","GSON1241151101")</f>
        <v>#NAME?</v>
      </c>
      <c r="M1998" s="8" t="e">
        <f ca="1">[1]!BexGetData("DP_1","003N8EMH8GTFRIVOG7KG9IQXA","GSON1241151101")</f>
        <v>#NAME?</v>
      </c>
      <c r="N1998" s="3" t="e">
        <f ca="1">[1]!BexGetData("DP_1","003N8EMH8GTFRIVOG7KG9IX8U","GSON1241151101")</f>
        <v>#NAME?</v>
      </c>
      <c r="O1998" s="8" t="e">
        <f ca="1">[1]!BexGetData("DP_1","003N8EMH8GTFRIVOG7KG9J3KE","GSON1241151101")</f>
        <v>#NAME?</v>
      </c>
      <c r="P1998" s="3" t="e">
        <f ca="1">[1]!BexGetData("DP_1","003N8EMH8GTFRIVOG7KG9J9VY","GSON1241151101")</f>
        <v>#NAME?</v>
      </c>
      <c r="Q1998" s="4" t="e">
        <f ca="1">[1]!BexGetData("DP_1","00O2TNJGODT0G5Z4TTKYMM5MT","GSON1241151101")</f>
        <v>#NAME?</v>
      </c>
      <c r="R1998" s="3" t="e">
        <f ca="1">[1]!BexGetData("DP_1","00O2TNJGODT0G5Z4TTKYMMBYD","GSON1241151101")</f>
        <v>#NAME?</v>
      </c>
      <c r="S1998" s="3" t="e">
        <f ca="1">[1]!BexGetData("DP_1","00O2TNJGODT0G5Z4TTKYMMI9X","GSON1241151101")</f>
        <v>#NAME?</v>
      </c>
      <c r="T1998" s="8" t="e">
        <f ca="1">[1]!BexGetData("DP_1","00O2TNJGODT0G5Z4TTKYMMOLH","GSON1241151101")</f>
        <v>#NAME?</v>
      </c>
      <c r="U1998" s="3" t="e">
        <f ca="1">[1]!BexGetData("DP_1","00O2TNJGODT0G5Z4TTKYMMUX1","GSON1241151101")</f>
        <v>#NAME?</v>
      </c>
      <c r="V1998" s="8" t="e">
        <f ca="1">[1]!BexGetData("DP_1","00O2TNJGODT0G5Z4TTKYMN18L","GSON1241151101")</f>
        <v>#NAME?</v>
      </c>
      <c r="W1998" s="3" t="e">
        <f ca="1">[1]!BexGetData("DP_1","00O2TNJGODT0G5Z4TTKYMN7K5","GSON1241151101")</f>
        <v>#NAME?</v>
      </c>
    </row>
    <row r="1999" spans="1:23" x14ac:dyDescent="0.2">
      <c r="A1999" s="16" t="s">
        <v>4716</v>
      </c>
      <c r="B1999" s="7" t="s">
        <v>4717</v>
      </c>
      <c r="C1999" s="8" t="e">
        <f ca="1">[1]!BexGetData("DP_1","003N8EMH8GTFRCSWKMPXRR8GU","GSON1241251200")</f>
        <v>#NAME?</v>
      </c>
      <c r="D1999" s="8" t="e">
        <f ca="1">[1]!BexGetData("DP_1","003N8EMH8GTFRCSWKMPXRRESE","GSON1241251200")</f>
        <v>#NAME?</v>
      </c>
      <c r="E1999" s="3" t="e">
        <f ca="1">[1]!BexGetData("DP_1","003N8EMH8GTFRCSWKMPXRRL3Y","GSON1241251200")</f>
        <v>#NAME?</v>
      </c>
      <c r="F1999" s="3" t="e">
        <f ca="1">[1]!BexGetData("DP_1","003N8EMH8GTFRCSWKMPXRRRFI","GSON1241251200")</f>
        <v>#NAME?</v>
      </c>
      <c r="G1999" s="3" t="e">
        <f ca="1">[1]!BexGetData("DP_1","003N8EMH8GTFRCSWKMPXRRXR2","GSON1241251200")</f>
        <v>#NAME?</v>
      </c>
      <c r="H1999" s="3" t="e">
        <f ca="1">[1]!BexGetData("DP_1","003N8EMH8GTFRCSWKMPXRS42M","GSON1241251200")</f>
        <v>#NAME?</v>
      </c>
      <c r="I1999" s="3" t="e">
        <f ca="1">[1]!BexGetData("DP_1","003N8EMH8GTFRCSWKMPXRSAE6","GSON1241251200")</f>
        <v>#NAME?</v>
      </c>
      <c r="J1999" s="4" t="e">
        <f ca="1">[1]!BexGetData("DP_1","003N8EMH8GTFRCSWKMPXRSGPQ","GSON1241251200")</f>
        <v>#NAME?</v>
      </c>
      <c r="K1999" s="8" t="e">
        <f ca="1">[1]!BexGetData("DP_1","003N8EMH8GTFRIVNUPY288VJH","GSON1241251200")</f>
        <v>#NAME?</v>
      </c>
      <c r="L1999" s="8" t="e">
        <f ca="1">[1]!BexGetData("DP_1","003N8EMH8GTFRIVNUPY2891V1","GSON1241251200")</f>
        <v>#NAME?</v>
      </c>
      <c r="M1999" s="8" t="e">
        <f ca="1">[1]!BexGetData("DP_1","003N8EMH8GTFRIVOG7KG9IQXA","GSON1241251200")</f>
        <v>#NAME?</v>
      </c>
      <c r="N1999" s="8" t="e">
        <f ca="1">[1]!BexGetData("DP_1","003N8EMH8GTFRIVOG7KG9IX8U","GSON1241251200")</f>
        <v>#NAME?</v>
      </c>
      <c r="O1999" s="8" t="e">
        <f ca="1">[1]!BexGetData("DP_1","003N8EMH8GTFRIVOG7KG9J3KE","GSON1241251200")</f>
        <v>#NAME?</v>
      </c>
      <c r="P1999" s="8" t="e">
        <f ca="1">[1]!BexGetData("DP_1","003N8EMH8GTFRIVOG7KG9J9VY","GSON1241251200")</f>
        <v>#NAME?</v>
      </c>
      <c r="Q1999" s="4" t="e">
        <f ca="1">[1]!BexGetData("DP_1","00O2TNJGODT0G5Z4TTKYMM5MT","GSON1241251200")</f>
        <v>#NAME?</v>
      </c>
      <c r="R1999" s="3" t="e">
        <f ca="1">[1]!BexGetData("DP_1","00O2TNJGODT0G5Z4TTKYMMBYD","GSON1241251200")</f>
        <v>#NAME?</v>
      </c>
      <c r="S1999" s="3" t="e">
        <f ca="1">[1]!BexGetData("DP_1","00O2TNJGODT0G5Z4TTKYMMI9X","GSON1241251200")</f>
        <v>#NAME?</v>
      </c>
      <c r="T1999" s="8" t="e">
        <f ca="1">[1]!BexGetData("DP_1","00O2TNJGODT0G5Z4TTKYMMOLH","GSON1241251200")</f>
        <v>#NAME?</v>
      </c>
      <c r="U1999" s="3" t="e">
        <f ca="1">[1]!BexGetData("DP_1","00O2TNJGODT0G5Z4TTKYMMUX1","GSON1241251200")</f>
        <v>#NAME?</v>
      </c>
      <c r="V1999" s="8" t="e">
        <f ca="1">[1]!BexGetData("DP_1","00O2TNJGODT0G5Z4TTKYMN18L","GSON1241251200")</f>
        <v>#NAME?</v>
      </c>
      <c r="W1999" s="3" t="e">
        <f ca="1">[1]!BexGetData("DP_1","00O2TNJGODT0G5Z4TTKYMN7K5","GSON1241251200")</f>
        <v>#NAME?</v>
      </c>
    </row>
    <row r="2000" spans="1:23" x14ac:dyDescent="0.2">
      <c r="A2000" s="16" t="s">
        <v>1304</v>
      </c>
      <c r="B2000" s="7" t="s">
        <v>1305</v>
      </c>
      <c r="C2000" s="8" t="e">
        <f ca="1">[1]!BexGetData("DP_1","003N8EMH8GTFRCSWKMPXRR8GU","GSON1241251201")</f>
        <v>#NAME?</v>
      </c>
      <c r="D2000" s="8" t="e">
        <f ca="1">[1]!BexGetData("DP_1","003N8EMH8GTFRCSWKMPXRRESE","GSON1241251201")</f>
        <v>#NAME?</v>
      </c>
      <c r="E2000" s="3" t="e">
        <f ca="1">[1]!BexGetData("DP_1","003N8EMH8GTFRCSWKMPXRRL3Y","GSON1241251201")</f>
        <v>#NAME?</v>
      </c>
      <c r="F2000" s="3" t="e">
        <f ca="1">[1]!BexGetData("DP_1","003N8EMH8GTFRCSWKMPXRRRFI","GSON1241251201")</f>
        <v>#NAME?</v>
      </c>
      <c r="G2000" s="3" t="e">
        <f ca="1">[1]!BexGetData("DP_1","003N8EMH8GTFRCSWKMPXRRXR2","GSON1241251201")</f>
        <v>#NAME?</v>
      </c>
      <c r="H2000" s="8" t="e">
        <f ca="1">[1]!BexGetData("DP_1","003N8EMH8GTFRCSWKMPXRS42M","GSON1241251201")</f>
        <v>#NAME?</v>
      </c>
      <c r="I2000" s="3" t="e">
        <f ca="1">[1]!BexGetData("DP_1","003N8EMH8GTFRCSWKMPXRSAE6","GSON1241251201")</f>
        <v>#NAME?</v>
      </c>
      <c r="J2000" s="4" t="e">
        <f ca="1">[1]!BexGetData("DP_1","003N8EMH8GTFRCSWKMPXRSGPQ","GSON1241251201")</f>
        <v>#NAME?</v>
      </c>
      <c r="K2000" s="8" t="e">
        <f ca="1">[1]!BexGetData("DP_1","003N8EMH8GTFRIVNUPY288VJH","GSON1241251201")</f>
        <v>#NAME?</v>
      </c>
      <c r="L2000" s="8" t="e">
        <f ca="1">[1]!BexGetData("DP_1","003N8EMH8GTFRIVNUPY2891V1","GSON1241251201")</f>
        <v>#NAME?</v>
      </c>
      <c r="M2000" s="8" t="e">
        <f ca="1">[1]!BexGetData("DP_1","003N8EMH8GTFRIVOG7KG9IQXA","GSON1241251201")</f>
        <v>#NAME?</v>
      </c>
      <c r="N2000" s="8" t="e">
        <f ca="1">[1]!BexGetData("DP_1","003N8EMH8GTFRIVOG7KG9IX8U","GSON1241251201")</f>
        <v>#NAME?</v>
      </c>
      <c r="O2000" s="8" t="e">
        <f ca="1">[1]!BexGetData("DP_1","003N8EMH8GTFRIVOG7KG9J3KE","GSON1241251201")</f>
        <v>#NAME?</v>
      </c>
      <c r="P2000" s="8" t="e">
        <f ca="1">[1]!BexGetData("DP_1","003N8EMH8GTFRIVOG7KG9J9VY","GSON1241251201")</f>
        <v>#NAME?</v>
      </c>
      <c r="Q2000" s="4" t="e">
        <f ca="1">[1]!BexGetData("DP_1","00O2TNJGODT0G5Z4TTKYMM5MT","GSON1241251201")</f>
        <v>#NAME?</v>
      </c>
      <c r="R2000" s="3" t="e">
        <f ca="1">[1]!BexGetData("DP_1","00O2TNJGODT0G5Z4TTKYMMBYD","GSON1241251201")</f>
        <v>#NAME?</v>
      </c>
      <c r="S2000" s="3" t="e">
        <f ca="1">[1]!BexGetData("DP_1","00O2TNJGODT0G5Z4TTKYMMI9X","GSON1241251201")</f>
        <v>#NAME?</v>
      </c>
      <c r="T2000" s="8" t="e">
        <f ca="1">[1]!BexGetData("DP_1","00O2TNJGODT0G5Z4TTKYMMOLH","GSON1241251201")</f>
        <v>#NAME?</v>
      </c>
      <c r="U2000" s="3" t="e">
        <f ca="1">[1]!BexGetData("DP_1","00O2TNJGODT0G5Z4TTKYMMUX1","GSON1241251201")</f>
        <v>#NAME?</v>
      </c>
      <c r="V2000" s="8" t="e">
        <f ca="1">[1]!BexGetData("DP_1","00O2TNJGODT0G5Z4TTKYMN18L","GSON1241251201")</f>
        <v>#NAME?</v>
      </c>
      <c r="W2000" s="3" t="e">
        <f ca="1">[1]!BexGetData("DP_1","00O2TNJGODT0G5Z4TTKYMN7K5","GSON1241251201")</f>
        <v>#NAME?</v>
      </c>
    </row>
    <row r="2001" spans="1:23" x14ac:dyDescent="0.2">
      <c r="A2001" s="16" t="s">
        <v>1306</v>
      </c>
      <c r="B2001" s="7" t="s">
        <v>1307</v>
      </c>
      <c r="C2001" s="3" t="e">
        <f ca="1">[1]!BexGetData("DP_1","003N8EMH8GTFRCSWKMPXRR8GU","GSON1241351500")</f>
        <v>#NAME?</v>
      </c>
      <c r="D2001" s="3" t="e">
        <f ca="1">[1]!BexGetData("DP_1","003N8EMH8GTFRCSWKMPXRRESE","GSON1241351500")</f>
        <v>#NAME?</v>
      </c>
      <c r="E2001" s="3" t="e">
        <f ca="1">[1]!BexGetData("DP_1","003N8EMH8GTFRCSWKMPXRRL3Y","GSON1241351500")</f>
        <v>#NAME?</v>
      </c>
      <c r="F2001" s="3" t="e">
        <f ca="1">[1]!BexGetData("DP_1","003N8EMH8GTFRCSWKMPXRRRFI","GSON1241351500")</f>
        <v>#NAME?</v>
      </c>
      <c r="G2001" s="3" t="e">
        <f ca="1">[1]!BexGetData("DP_1","003N8EMH8GTFRCSWKMPXRRXR2","GSON1241351500")</f>
        <v>#NAME?</v>
      </c>
      <c r="H2001" s="3" t="e">
        <f ca="1">[1]!BexGetData("DP_1","003N8EMH8GTFRCSWKMPXRS42M","GSON1241351500")</f>
        <v>#NAME?</v>
      </c>
      <c r="I2001" s="3" t="e">
        <f ca="1">[1]!BexGetData("DP_1","003N8EMH8GTFRCSWKMPXRSAE6","GSON1241351500")</f>
        <v>#NAME?</v>
      </c>
      <c r="J2001" s="4" t="e">
        <f ca="1">[1]!BexGetData("DP_1","003N8EMH8GTFRCSWKMPXRSGPQ","GSON1241351500")</f>
        <v>#NAME?</v>
      </c>
      <c r="K2001" s="3" t="e">
        <f ca="1">[1]!BexGetData("DP_1","003N8EMH8GTFRIVNUPY288VJH","GSON1241351500")</f>
        <v>#NAME?</v>
      </c>
      <c r="L2001" s="3" t="e">
        <f ca="1">[1]!BexGetData("DP_1","003N8EMH8GTFRIVNUPY2891V1","GSON1241351500")</f>
        <v>#NAME?</v>
      </c>
      <c r="M2001" s="3" t="e">
        <f ca="1">[1]!BexGetData("DP_1","003N8EMH8GTFRIVOG7KG9IQXA","GSON1241351500")</f>
        <v>#NAME?</v>
      </c>
      <c r="N2001" s="8" t="e">
        <f ca="1">[1]!BexGetData("DP_1","003N8EMH8GTFRIVOG7KG9IX8U","GSON1241351500")</f>
        <v>#NAME?</v>
      </c>
      <c r="O2001" s="3" t="e">
        <f ca="1">[1]!BexGetData("DP_1","003N8EMH8GTFRIVOG7KG9J3KE","GSON1241351500")</f>
        <v>#NAME?</v>
      </c>
      <c r="P2001" s="8" t="e">
        <f ca="1">[1]!BexGetData("DP_1","003N8EMH8GTFRIVOG7KG9J9VY","GSON1241351500")</f>
        <v>#NAME?</v>
      </c>
      <c r="Q2001" s="4" t="e">
        <f ca="1">[1]!BexGetData("DP_1","00O2TNJGODT0G5Z4TTKYMM5MT","GSON1241351500")</f>
        <v>#NAME?</v>
      </c>
      <c r="R2001" s="3" t="e">
        <f ca="1">[1]!BexGetData("DP_1","00O2TNJGODT0G5Z4TTKYMMBYD","GSON1241351500")</f>
        <v>#NAME?</v>
      </c>
      <c r="S2001" s="3" t="e">
        <f ca="1">[1]!BexGetData("DP_1","00O2TNJGODT0G5Z4TTKYMMI9X","GSON1241351500")</f>
        <v>#NAME?</v>
      </c>
      <c r="T2001" s="8" t="e">
        <f ca="1">[1]!BexGetData("DP_1","00O2TNJGODT0G5Z4TTKYMMOLH","GSON1241351500")</f>
        <v>#NAME?</v>
      </c>
      <c r="U2001" s="3" t="e">
        <f ca="1">[1]!BexGetData("DP_1","00O2TNJGODT0G5Z4TTKYMMUX1","GSON1241351500")</f>
        <v>#NAME?</v>
      </c>
      <c r="V2001" s="8" t="e">
        <f ca="1">[1]!BexGetData("DP_1","00O2TNJGODT0G5Z4TTKYMN18L","GSON1241351500")</f>
        <v>#NAME?</v>
      </c>
      <c r="W2001" s="3" t="e">
        <f ca="1">[1]!BexGetData("DP_1","00O2TNJGODT0G5Z4TTKYMN7K5","GSON1241351500")</f>
        <v>#NAME?</v>
      </c>
    </row>
    <row r="2002" spans="1:23" x14ac:dyDescent="0.2">
      <c r="A2002" s="16" t="s">
        <v>1308</v>
      </c>
      <c r="B2002" s="7" t="s">
        <v>1309</v>
      </c>
      <c r="C2002" s="3" t="e">
        <f ca="1">[1]!BexGetData("DP_1","003N8EMH8GTFRCSWKMPXRR8GU","GSON1241351501")</f>
        <v>#NAME?</v>
      </c>
      <c r="D2002" s="3" t="e">
        <f ca="1">[1]!BexGetData("DP_1","003N8EMH8GTFRCSWKMPXRRESE","GSON1241351501")</f>
        <v>#NAME?</v>
      </c>
      <c r="E2002" s="3" t="e">
        <f ca="1">[1]!BexGetData("DP_1","003N8EMH8GTFRCSWKMPXRRL3Y","GSON1241351501")</f>
        <v>#NAME?</v>
      </c>
      <c r="F2002" s="3" t="e">
        <f ca="1">[1]!BexGetData("DP_1","003N8EMH8GTFRCSWKMPXRRRFI","GSON1241351501")</f>
        <v>#NAME?</v>
      </c>
      <c r="G2002" s="3" t="e">
        <f ca="1">[1]!BexGetData("DP_1","003N8EMH8GTFRCSWKMPXRRXR2","GSON1241351501")</f>
        <v>#NAME?</v>
      </c>
      <c r="H2002" s="8" t="e">
        <f ca="1">[1]!BexGetData("DP_1","003N8EMH8GTFRCSWKMPXRS42M","GSON1241351501")</f>
        <v>#NAME?</v>
      </c>
      <c r="I2002" s="3" t="e">
        <f ca="1">[1]!BexGetData("DP_1","003N8EMH8GTFRCSWKMPXRSAE6","GSON1241351501")</f>
        <v>#NAME?</v>
      </c>
      <c r="J2002" s="4" t="e">
        <f ca="1">[1]!BexGetData("DP_1","003N8EMH8GTFRCSWKMPXRSGPQ","GSON1241351501")</f>
        <v>#NAME?</v>
      </c>
      <c r="K2002" s="3" t="e">
        <f ca="1">[1]!BexGetData("DP_1","003N8EMH8GTFRIVNUPY288VJH","GSON1241351501")</f>
        <v>#NAME?</v>
      </c>
      <c r="L2002" s="3" t="e">
        <f ca="1">[1]!BexGetData("DP_1","003N8EMH8GTFRIVNUPY2891V1","GSON1241351501")</f>
        <v>#NAME?</v>
      </c>
      <c r="M2002" s="8" t="e">
        <f ca="1">[1]!BexGetData("DP_1","003N8EMH8GTFRIVOG7KG9IQXA","GSON1241351501")</f>
        <v>#NAME?</v>
      </c>
      <c r="N2002" s="3" t="e">
        <f ca="1">[1]!BexGetData("DP_1","003N8EMH8GTFRIVOG7KG9IX8U","GSON1241351501")</f>
        <v>#NAME?</v>
      </c>
      <c r="O2002" s="8" t="e">
        <f ca="1">[1]!BexGetData("DP_1","003N8EMH8GTFRIVOG7KG9J3KE","GSON1241351501")</f>
        <v>#NAME?</v>
      </c>
      <c r="P2002" s="3" t="e">
        <f ca="1">[1]!BexGetData("DP_1","003N8EMH8GTFRIVOG7KG9J9VY","GSON1241351501")</f>
        <v>#NAME?</v>
      </c>
      <c r="Q2002" s="4" t="e">
        <f ca="1">[1]!BexGetData("DP_1","00O2TNJGODT0G5Z4TTKYMM5MT","GSON1241351501")</f>
        <v>#NAME?</v>
      </c>
      <c r="R2002" s="3" t="e">
        <f ca="1">[1]!BexGetData("DP_1","00O2TNJGODT0G5Z4TTKYMMBYD","GSON1241351501")</f>
        <v>#NAME?</v>
      </c>
      <c r="S2002" s="3" t="e">
        <f ca="1">[1]!BexGetData("DP_1","00O2TNJGODT0G5Z4TTKYMMI9X","GSON1241351501")</f>
        <v>#NAME?</v>
      </c>
      <c r="T2002" s="8" t="e">
        <f ca="1">[1]!BexGetData("DP_1","00O2TNJGODT0G5Z4TTKYMMOLH","GSON1241351501")</f>
        <v>#NAME?</v>
      </c>
      <c r="U2002" s="3" t="e">
        <f ca="1">[1]!BexGetData("DP_1","00O2TNJGODT0G5Z4TTKYMMUX1","GSON1241351501")</f>
        <v>#NAME?</v>
      </c>
      <c r="V2002" s="8" t="e">
        <f ca="1">[1]!BexGetData("DP_1","00O2TNJGODT0G5Z4TTKYMN18L","GSON1241351501")</f>
        <v>#NAME?</v>
      </c>
      <c r="W2002" s="3" t="e">
        <f ca="1">[1]!BexGetData("DP_1","00O2TNJGODT0G5Z4TTKYMN7K5","GSON1241351501")</f>
        <v>#NAME?</v>
      </c>
    </row>
    <row r="2003" spans="1:23" x14ac:dyDescent="0.2">
      <c r="A2003" s="16" t="s">
        <v>1310</v>
      </c>
      <c r="B2003" s="7" t="s">
        <v>1311</v>
      </c>
      <c r="C2003" s="8" t="e">
        <f ca="1">[1]!BexGetData("DP_1","003N8EMH8GTFRCSWKMPXRR8GU","GSON1241951900")</f>
        <v>#NAME?</v>
      </c>
      <c r="D2003" s="3" t="e">
        <f ca="1">[1]!BexGetData("DP_1","003N8EMH8GTFRCSWKMPXRRESE","GSON1241951900")</f>
        <v>#NAME?</v>
      </c>
      <c r="E2003" s="3" t="e">
        <f ca="1">[1]!BexGetData("DP_1","003N8EMH8GTFRCSWKMPXRRL3Y","GSON1241951900")</f>
        <v>#NAME?</v>
      </c>
      <c r="F2003" s="3" t="e">
        <f ca="1">[1]!BexGetData("DP_1","003N8EMH8GTFRCSWKMPXRRRFI","GSON1241951900")</f>
        <v>#NAME?</v>
      </c>
      <c r="G2003" s="3" t="e">
        <f ca="1">[1]!BexGetData("DP_1","003N8EMH8GTFRCSWKMPXRRXR2","GSON1241951900")</f>
        <v>#NAME?</v>
      </c>
      <c r="H2003" s="3" t="e">
        <f ca="1">[1]!BexGetData("DP_1","003N8EMH8GTFRCSWKMPXRS42M","GSON1241951900")</f>
        <v>#NAME?</v>
      </c>
      <c r="I2003" s="3" t="e">
        <f ca="1">[1]!BexGetData("DP_1","003N8EMH8GTFRCSWKMPXRSAE6","GSON1241951900")</f>
        <v>#NAME?</v>
      </c>
      <c r="J2003" s="4" t="e">
        <f ca="1">[1]!BexGetData("DP_1","003N8EMH8GTFRCSWKMPXRSGPQ","GSON1241951900")</f>
        <v>#NAME?</v>
      </c>
      <c r="K2003" s="3" t="e">
        <f ca="1">[1]!BexGetData("DP_1","003N8EMH8GTFRIVNUPY288VJH","GSON1241951900")</f>
        <v>#NAME?</v>
      </c>
      <c r="L2003" s="3" t="e">
        <f ca="1">[1]!BexGetData("DP_1","003N8EMH8GTFRIVNUPY2891V1","GSON1241951900")</f>
        <v>#NAME?</v>
      </c>
      <c r="M2003" s="3" t="e">
        <f ca="1">[1]!BexGetData("DP_1","003N8EMH8GTFRIVOG7KG9IQXA","GSON1241951900")</f>
        <v>#NAME?</v>
      </c>
      <c r="N2003" s="8" t="e">
        <f ca="1">[1]!BexGetData("DP_1","003N8EMH8GTFRIVOG7KG9IX8U","GSON1241951900")</f>
        <v>#NAME?</v>
      </c>
      <c r="O2003" s="3" t="e">
        <f ca="1">[1]!BexGetData("DP_1","003N8EMH8GTFRIVOG7KG9J3KE","GSON1241951900")</f>
        <v>#NAME?</v>
      </c>
      <c r="P2003" s="8" t="e">
        <f ca="1">[1]!BexGetData("DP_1","003N8EMH8GTFRIVOG7KG9J9VY","GSON1241951900")</f>
        <v>#NAME?</v>
      </c>
      <c r="Q2003" s="4" t="e">
        <f ca="1">[1]!BexGetData("DP_1","00O2TNJGODT0G5Z4TTKYMM5MT","GSON1241951900")</f>
        <v>#NAME?</v>
      </c>
      <c r="R2003" s="3" t="e">
        <f ca="1">[1]!BexGetData("DP_1","00O2TNJGODT0G5Z4TTKYMMBYD","GSON1241951900")</f>
        <v>#NAME?</v>
      </c>
      <c r="S2003" s="3" t="e">
        <f ca="1">[1]!BexGetData("DP_1","00O2TNJGODT0G5Z4TTKYMMI9X","GSON1241951900")</f>
        <v>#NAME?</v>
      </c>
      <c r="T2003" s="3" t="e">
        <f ca="1">[1]!BexGetData("DP_1","00O2TNJGODT0G5Z4TTKYMMOLH","GSON1241951900")</f>
        <v>#NAME?</v>
      </c>
      <c r="U2003" s="8" t="e">
        <f ca="1">[1]!BexGetData("DP_1","00O2TNJGODT0G5Z4TTKYMMUX1","GSON1241951900")</f>
        <v>#NAME?</v>
      </c>
      <c r="V2003" s="3" t="e">
        <f ca="1">[1]!BexGetData("DP_1","00O2TNJGODT0G5Z4TTKYMN18L","GSON1241951900")</f>
        <v>#NAME?</v>
      </c>
      <c r="W2003" s="8" t="e">
        <f ca="1">[1]!BexGetData("DP_1","00O2TNJGODT0G5Z4TTKYMN7K5","GSON1241951900")</f>
        <v>#NAME?</v>
      </c>
    </row>
    <row r="2004" spans="1:23" x14ac:dyDescent="0.2">
      <c r="A2004" s="16" t="s">
        <v>1312</v>
      </c>
      <c r="B2004" s="7" t="s">
        <v>1313</v>
      </c>
      <c r="C2004" s="3" t="e">
        <f ca="1">[1]!BexGetData("DP_1","003N8EMH8GTFRCSWKMPXRR8GU","GSON1241951901")</f>
        <v>#NAME?</v>
      </c>
      <c r="D2004" s="3" t="e">
        <f ca="1">[1]!BexGetData("DP_1","003N8EMH8GTFRCSWKMPXRRESE","GSON1241951901")</f>
        <v>#NAME?</v>
      </c>
      <c r="E2004" s="3" t="e">
        <f ca="1">[1]!BexGetData("DP_1","003N8EMH8GTFRCSWKMPXRRL3Y","GSON1241951901")</f>
        <v>#NAME?</v>
      </c>
      <c r="F2004" s="3" t="e">
        <f ca="1">[1]!BexGetData("DP_1","003N8EMH8GTFRCSWKMPXRRRFI","GSON1241951901")</f>
        <v>#NAME?</v>
      </c>
      <c r="G2004" s="3" t="e">
        <f ca="1">[1]!BexGetData("DP_1","003N8EMH8GTFRCSWKMPXRRXR2","GSON1241951901")</f>
        <v>#NAME?</v>
      </c>
      <c r="H2004" s="8" t="e">
        <f ca="1">[1]!BexGetData("DP_1","003N8EMH8GTFRCSWKMPXRS42M","GSON1241951901")</f>
        <v>#NAME?</v>
      </c>
      <c r="I2004" s="3" t="e">
        <f ca="1">[1]!BexGetData("DP_1","003N8EMH8GTFRCSWKMPXRSAE6","GSON1241951901")</f>
        <v>#NAME?</v>
      </c>
      <c r="J2004" s="4" t="e">
        <f ca="1">[1]!BexGetData("DP_1","003N8EMH8GTFRCSWKMPXRSGPQ","GSON1241951901")</f>
        <v>#NAME?</v>
      </c>
      <c r="K2004" s="3" t="e">
        <f ca="1">[1]!BexGetData("DP_1","003N8EMH8GTFRIVNUPY288VJH","GSON1241951901")</f>
        <v>#NAME?</v>
      </c>
      <c r="L2004" s="3" t="e">
        <f ca="1">[1]!BexGetData("DP_1","003N8EMH8GTFRIVNUPY2891V1","GSON1241951901")</f>
        <v>#NAME?</v>
      </c>
      <c r="M2004" s="8" t="e">
        <f ca="1">[1]!BexGetData("DP_1","003N8EMH8GTFRIVOG7KG9IQXA","GSON1241951901")</f>
        <v>#NAME?</v>
      </c>
      <c r="N2004" s="3" t="e">
        <f ca="1">[1]!BexGetData("DP_1","003N8EMH8GTFRIVOG7KG9IX8U","GSON1241951901")</f>
        <v>#NAME?</v>
      </c>
      <c r="O2004" s="8" t="e">
        <f ca="1">[1]!BexGetData("DP_1","003N8EMH8GTFRIVOG7KG9J3KE","GSON1241951901")</f>
        <v>#NAME?</v>
      </c>
      <c r="P2004" s="3" t="e">
        <f ca="1">[1]!BexGetData("DP_1","003N8EMH8GTFRIVOG7KG9J9VY","GSON1241951901")</f>
        <v>#NAME?</v>
      </c>
      <c r="Q2004" s="4" t="e">
        <f ca="1">[1]!BexGetData("DP_1","00O2TNJGODT0G5Z4TTKYMM5MT","GSON1241951901")</f>
        <v>#NAME?</v>
      </c>
      <c r="R2004" s="3" t="e">
        <f ca="1">[1]!BexGetData("DP_1","00O2TNJGODT0G5Z4TTKYMMBYD","GSON1241951901")</f>
        <v>#NAME?</v>
      </c>
      <c r="S2004" s="3" t="e">
        <f ca="1">[1]!BexGetData("DP_1","00O2TNJGODT0G5Z4TTKYMMI9X","GSON1241951901")</f>
        <v>#NAME?</v>
      </c>
      <c r="T2004" s="8" t="e">
        <f ca="1">[1]!BexGetData("DP_1","00O2TNJGODT0G5Z4TTKYMMOLH","GSON1241951901")</f>
        <v>#NAME?</v>
      </c>
      <c r="U2004" s="3" t="e">
        <f ca="1">[1]!BexGetData("DP_1","00O2TNJGODT0G5Z4TTKYMMUX1","GSON1241951901")</f>
        <v>#NAME?</v>
      </c>
      <c r="V2004" s="8" t="e">
        <f ca="1">[1]!BexGetData("DP_1","00O2TNJGODT0G5Z4TTKYMN18L","GSON1241951901")</f>
        <v>#NAME?</v>
      </c>
      <c r="W2004" s="3" t="e">
        <f ca="1">[1]!BexGetData("DP_1","00O2TNJGODT0G5Z4TTKYMN7K5","GSON1241951901")</f>
        <v>#NAME?</v>
      </c>
    </row>
    <row r="2005" spans="1:23" x14ac:dyDescent="0.2">
      <c r="A2005" s="16" t="s">
        <v>1314</v>
      </c>
      <c r="B2005" s="7" t="s">
        <v>1315</v>
      </c>
      <c r="C2005" s="3" t="e">
        <f ca="1">[1]!BexGetData("DP_1","003N8EMH8GTFRCSWKMPXRR8GU","GSON1241951902")</f>
        <v>#NAME?</v>
      </c>
      <c r="D2005" s="8" t="e">
        <f ca="1">[1]!BexGetData("DP_1","003N8EMH8GTFRCSWKMPXRRESE","GSON1241951902")</f>
        <v>#NAME?</v>
      </c>
      <c r="E2005" s="3" t="e">
        <f ca="1">[1]!BexGetData("DP_1","003N8EMH8GTFRCSWKMPXRRL3Y","GSON1241951902")</f>
        <v>#NAME?</v>
      </c>
      <c r="F2005" s="3" t="e">
        <f ca="1">[1]!BexGetData("DP_1","003N8EMH8GTFRCSWKMPXRRRFI","GSON1241951902")</f>
        <v>#NAME?</v>
      </c>
      <c r="G2005" s="3" t="e">
        <f ca="1">[1]!BexGetData("DP_1","003N8EMH8GTFRCSWKMPXRRXR2","GSON1241951902")</f>
        <v>#NAME?</v>
      </c>
      <c r="H2005" s="3" t="e">
        <f ca="1">[1]!BexGetData("DP_1","003N8EMH8GTFRCSWKMPXRS42M","GSON1241951902")</f>
        <v>#NAME?</v>
      </c>
      <c r="I2005" s="3" t="e">
        <f ca="1">[1]!BexGetData("DP_1","003N8EMH8GTFRCSWKMPXRSAE6","GSON1241951902")</f>
        <v>#NAME?</v>
      </c>
      <c r="J2005" s="4" t="e">
        <f ca="1">[1]!BexGetData("DP_1","003N8EMH8GTFRCSWKMPXRSGPQ","GSON1241951902")</f>
        <v>#NAME?</v>
      </c>
      <c r="K2005" s="3" t="e">
        <f ca="1">[1]!BexGetData("DP_1","003N8EMH8GTFRIVNUPY288VJH","GSON1241951902")</f>
        <v>#NAME?</v>
      </c>
      <c r="L2005" s="3" t="e">
        <f ca="1">[1]!BexGetData("DP_1","003N8EMH8GTFRIVNUPY2891V1","GSON1241951902")</f>
        <v>#NAME?</v>
      </c>
      <c r="M2005" s="8" t="e">
        <f ca="1">[1]!BexGetData("DP_1","003N8EMH8GTFRIVOG7KG9IQXA","GSON1241951902")</f>
        <v>#NAME?</v>
      </c>
      <c r="N2005" s="3" t="e">
        <f ca="1">[1]!BexGetData("DP_1","003N8EMH8GTFRIVOG7KG9IX8U","GSON1241951902")</f>
        <v>#NAME?</v>
      </c>
      <c r="O2005" s="8" t="e">
        <f ca="1">[1]!BexGetData("DP_1","003N8EMH8GTFRIVOG7KG9J3KE","GSON1241951902")</f>
        <v>#NAME?</v>
      </c>
      <c r="P2005" s="3" t="e">
        <f ca="1">[1]!BexGetData("DP_1","003N8EMH8GTFRIVOG7KG9J9VY","GSON1241951902")</f>
        <v>#NAME?</v>
      </c>
      <c r="Q2005" s="4" t="e">
        <f ca="1">[1]!BexGetData("DP_1","00O2TNJGODT0G5Z4TTKYMM5MT","GSON1241951902")</f>
        <v>#NAME?</v>
      </c>
      <c r="R2005" s="3" t="e">
        <f ca="1">[1]!BexGetData("DP_1","00O2TNJGODT0G5Z4TTKYMMBYD","GSON1241951902")</f>
        <v>#NAME?</v>
      </c>
      <c r="S2005" s="3" t="e">
        <f ca="1">[1]!BexGetData("DP_1","00O2TNJGODT0G5Z4TTKYMMI9X","GSON1241951902")</f>
        <v>#NAME?</v>
      </c>
      <c r="T2005" s="8" t="e">
        <f ca="1">[1]!BexGetData("DP_1","00O2TNJGODT0G5Z4TTKYMMOLH","GSON1241951902")</f>
        <v>#NAME?</v>
      </c>
      <c r="U2005" s="3" t="e">
        <f ca="1">[1]!BexGetData("DP_1","00O2TNJGODT0G5Z4TTKYMMUX1","GSON1241951902")</f>
        <v>#NAME?</v>
      </c>
      <c r="V2005" s="8" t="e">
        <f ca="1">[1]!BexGetData("DP_1","00O2TNJGODT0G5Z4TTKYMN18L","GSON1241951902")</f>
        <v>#NAME?</v>
      </c>
      <c r="W2005" s="3" t="e">
        <f ca="1">[1]!BexGetData("DP_1","00O2TNJGODT0G5Z4TTKYMN7K5","GSON1241951902")</f>
        <v>#NAME?</v>
      </c>
    </row>
    <row r="2006" spans="1:23" x14ac:dyDescent="0.2">
      <c r="A2006" s="15" t="s">
        <v>82</v>
      </c>
      <c r="B2006" s="7" t="s">
        <v>336</v>
      </c>
      <c r="C2006" s="3" t="e">
        <f ca="1">[1]!BexGetData("DP_1","003N8EMH8GTFRCSWKMPXRR8GU","GSON1242")</f>
        <v>#NAME?</v>
      </c>
      <c r="D2006" s="3" t="e">
        <f ca="1">[1]!BexGetData("DP_1","003N8EMH8GTFRCSWKMPXRRESE","GSON1242")</f>
        <v>#NAME?</v>
      </c>
      <c r="E2006" s="3" t="e">
        <f ca="1">[1]!BexGetData("DP_1","003N8EMH8GTFRCSWKMPXRRL3Y","GSON1242")</f>
        <v>#NAME?</v>
      </c>
      <c r="F2006" s="3" t="e">
        <f ca="1">[1]!BexGetData("DP_1","003N8EMH8GTFRCSWKMPXRRRFI","GSON1242")</f>
        <v>#NAME?</v>
      </c>
      <c r="G2006" s="3" t="e">
        <f ca="1">[1]!BexGetData("DP_1","003N8EMH8GTFRCSWKMPXRRXR2","GSON1242")</f>
        <v>#NAME?</v>
      </c>
      <c r="H2006" s="3" t="e">
        <f ca="1">[1]!BexGetData("DP_1","003N8EMH8GTFRCSWKMPXRS42M","GSON1242")</f>
        <v>#NAME?</v>
      </c>
      <c r="I2006" s="3" t="e">
        <f ca="1">[1]!BexGetData("DP_1","003N8EMH8GTFRCSWKMPXRSAE6","GSON1242")</f>
        <v>#NAME?</v>
      </c>
      <c r="J2006" s="4" t="e">
        <f ca="1">[1]!BexGetData("DP_1","003N8EMH8GTFRCSWKMPXRSGPQ","GSON1242")</f>
        <v>#NAME?</v>
      </c>
      <c r="K2006" s="3" t="e">
        <f ca="1">[1]!BexGetData("DP_1","003N8EMH8GTFRIVNUPY288VJH","GSON1242")</f>
        <v>#NAME?</v>
      </c>
      <c r="L2006" s="3" t="e">
        <f ca="1">[1]!BexGetData("DP_1","003N8EMH8GTFRIVNUPY2891V1","GSON1242")</f>
        <v>#NAME?</v>
      </c>
      <c r="M2006" s="8" t="e">
        <f ca="1">[1]!BexGetData("DP_1","003N8EMH8GTFRIVOG7KG9IQXA","GSON1242")</f>
        <v>#NAME?</v>
      </c>
      <c r="N2006" s="3" t="e">
        <f ca="1">[1]!BexGetData("DP_1","003N8EMH8GTFRIVOG7KG9IX8U","GSON1242")</f>
        <v>#NAME?</v>
      </c>
      <c r="O2006" s="8" t="e">
        <f ca="1">[1]!BexGetData("DP_1","003N8EMH8GTFRIVOG7KG9J3KE","GSON1242")</f>
        <v>#NAME?</v>
      </c>
      <c r="P2006" s="3" t="e">
        <f ca="1">[1]!BexGetData("DP_1","003N8EMH8GTFRIVOG7KG9J9VY","GSON1242")</f>
        <v>#NAME?</v>
      </c>
      <c r="Q2006" s="4" t="e">
        <f ca="1">[1]!BexGetData("DP_1","00O2TNJGODT0G5Z4TTKYMM5MT","GSON1242")</f>
        <v>#NAME?</v>
      </c>
      <c r="R2006" s="3" t="e">
        <f ca="1">[1]!BexGetData("DP_1","00O2TNJGODT0G5Z4TTKYMMBYD","GSON1242")</f>
        <v>#NAME?</v>
      </c>
      <c r="S2006" s="3" t="e">
        <f ca="1">[1]!BexGetData("DP_1","00O2TNJGODT0G5Z4TTKYMMI9X","GSON1242")</f>
        <v>#NAME?</v>
      </c>
      <c r="T2006" s="8" t="e">
        <f ca="1">[1]!BexGetData("DP_1","00O2TNJGODT0G5Z4TTKYMMOLH","GSON1242")</f>
        <v>#NAME?</v>
      </c>
      <c r="U2006" s="3" t="e">
        <f ca="1">[1]!BexGetData("DP_1","00O2TNJGODT0G5Z4TTKYMMUX1","GSON1242")</f>
        <v>#NAME?</v>
      </c>
      <c r="V2006" s="8" t="e">
        <f ca="1">[1]!BexGetData("DP_1","00O2TNJGODT0G5Z4TTKYMN18L","GSON1242")</f>
        <v>#NAME?</v>
      </c>
      <c r="W2006" s="3" t="e">
        <f ca="1">[1]!BexGetData("DP_1","00O2TNJGODT0G5Z4TTKYMN7K5","GSON1242")</f>
        <v>#NAME?</v>
      </c>
    </row>
    <row r="2007" spans="1:23" x14ac:dyDescent="0.2">
      <c r="A2007" s="16" t="s">
        <v>1316</v>
      </c>
      <c r="B2007" s="7" t="s">
        <v>1317</v>
      </c>
      <c r="C2007" s="8" t="e">
        <f ca="1">[1]!BexGetData("DP_1","003N8EMH8GTFRCSWKMPXRR8GU","GSON1242152100")</f>
        <v>#NAME?</v>
      </c>
      <c r="D2007" s="8" t="e">
        <f ca="1">[1]!BexGetData("DP_1","003N8EMH8GTFRCSWKMPXRRESE","GSON1242152100")</f>
        <v>#NAME?</v>
      </c>
      <c r="E2007" s="3" t="e">
        <f ca="1">[1]!BexGetData("DP_1","003N8EMH8GTFRCSWKMPXRRL3Y","GSON1242152100")</f>
        <v>#NAME?</v>
      </c>
      <c r="F2007" s="3" t="e">
        <f ca="1">[1]!BexGetData("DP_1","003N8EMH8GTFRCSWKMPXRRRFI","GSON1242152100")</f>
        <v>#NAME?</v>
      </c>
      <c r="G2007" s="3" t="e">
        <f ca="1">[1]!BexGetData("DP_1","003N8EMH8GTFRCSWKMPXRRXR2","GSON1242152100")</f>
        <v>#NAME?</v>
      </c>
      <c r="H2007" s="3" t="e">
        <f ca="1">[1]!BexGetData("DP_1","003N8EMH8GTFRCSWKMPXRS42M","GSON1242152100")</f>
        <v>#NAME?</v>
      </c>
      <c r="I2007" s="3" t="e">
        <f ca="1">[1]!BexGetData("DP_1","003N8EMH8GTFRCSWKMPXRSAE6","GSON1242152100")</f>
        <v>#NAME?</v>
      </c>
      <c r="J2007" s="4" t="e">
        <f ca="1">[1]!BexGetData("DP_1","003N8EMH8GTFRCSWKMPXRSGPQ","GSON1242152100")</f>
        <v>#NAME?</v>
      </c>
      <c r="K2007" s="8" t="e">
        <f ca="1">[1]!BexGetData("DP_1","003N8EMH8GTFRIVNUPY288VJH","GSON1242152100")</f>
        <v>#NAME?</v>
      </c>
      <c r="L2007" s="8" t="e">
        <f ca="1">[1]!BexGetData("DP_1","003N8EMH8GTFRIVNUPY2891V1","GSON1242152100")</f>
        <v>#NAME?</v>
      </c>
      <c r="M2007" s="8" t="e">
        <f ca="1">[1]!BexGetData("DP_1","003N8EMH8GTFRIVOG7KG9IQXA","GSON1242152100")</f>
        <v>#NAME?</v>
      </c>
      <c r="N2007" s="8" t="e">
        <f ca="1">[1]!BexGetData("DP_1","003N8EMH8GTFRIVOG7KG9IX8U","GSON1242152100")</f>
        <v>#NAME?</v>
      </c>
      <c r="O2007" s="8" t="e">
        <f ca="1">[1]!BexGetData("DP_1","003N8EMH8GTFRIVOG7KG9J3KE","GSON1242152100")</f>
        <v>#NAME?</v>
      </c>
      <c r="P2007" s="8" t="e">
        <f ca="1">[1]!BexGetData("DP_1","003N8EMH8GTFRIVOG7KG9J9VY","GSON1242152100")</f>
        <v>#NAME?</v>
      </c>
      <c r="Q2007" s="4" t="e">
        <f ca="1">[1]!BexGetData("DP_1","00O2TNJGODT0G5Z4TTKYMM5MT","GSON1242152100")</f>
        <v>#NAME?</v>
      </c>
      <c r="R2007" s="3" t="e">
        <f ca="1">[1]!BexGetData("DP_1","00O2TNJGODT0G5Z4TTKYMMBYD","GSON1242152100")</f>
        <v>#NAME?</v>
      </c>
      <c r="S2007" s="3" t="e">
        <f ca="1">[1]!BexGetData("DP_1","00O2TNJGODT0G5Z4TTKYMMI9X","GSON1242152100")</f>
        <v>#NAME?</v>
      </c>
      <c r="T2007" s="8" t="e">
        <f ca="1">[1]!BexGetData("DP_1","00O2TNJGODT0G5Z4TTKYMMOLH","GSON1242152100")</f>
        <v>#NAME?</v>
      </c>
      <c r="U2007" s="3" t="e">
        <f ca="1">[1]!BexGetData("DP_1","00O2TNJGODT0G5Z4TTKYMMUX1","GSON1242152100")</f>
        <v>#NAME?</v>
      </c>
      <c r="V2007" s="8" t="e">
        <f ca="1">[1]!BexGetData("DP_1","00O2TNJGODT0G5Z4TTKYMN18L","GSON1242152100")</f>
        <v>#NAME?</v>
      </c>
      <c r="W2007" s="3" t="e">
        <f ca="1">[1]!BexGetData("DP_1","00O2TNJGODT0G5Z4TTKYMN7K5","GSON1242152100")</f>
        <v>#NAME?</v>
      </c>
    </row>
    <row r="2008" spans="1:23" x14ac:dyDescent="0.2">
      <c r="A2008" s="16" t="s">
        <v>337</v>
      </c>
      <c r="B2008" s="7" t="s">
        <v>338</v>
      </c>
      <c r="C2008" s="3" t="e">
        <f ca="1">[1]!BexGetData("DP_1","003N8EMH8GTFRCSWKMPXRR8GU","GSON1242152101")</f>
        <v>#NAME?</v>
      </c>
      <c r="D2008" s="3" t="e">
        <f ca="1">[1]!BexGetData("DP_1","003N8EMH8GTFRCSWKMPXRRESE","GSON1242152101")</f>
        <v>#NAME?</v>
      </c>
      <c r="E2008" s="3" t="e">
        <f ca="1">[1]!BexGetData("DP_1","003N8EMH8GTFRCSWKMPXRRL3Y","GSON1242152101")</f>
        <v>#NAME?</v>
      </c>
      <c r="F2008" s="3" t="e">
        <f ca="1">[1]!BexGetData("DP_1","003N8EMH8GTFRCSWKMPXRRRFI","GSON1242152101")</f>
        <v>#NAME?</v>
      </c>
      <c r="G2008" s="3" t="e">
        <f ca="1">[1]!BexGetData("DP_1","003N8EMH8GTFRCSWKMPXRRXR2","GSON1242152101")</f>
        <v>#NAME?</v>
      </c>
      <c r="H2008" s="8" t="e">
        <f ca="1">[1]!BexGetData("DP_1","003N8EMH8GTFRCSWKMPXRS42M","GSON1242152101")</f>
        <v>#NAME?</v>
      </c>
      <c r="I2008" s="3" t="e">
        <f ca="1">[1]!BexGetData("DP_1","003N8EMH8GTFRCSWKMPXRSAE6","GSON1242152101")</f>
        <v>#NAME?</v>
      </c>
      <c r="J2008" s="4" t="e">
        <f ca="1">[1]!BexGetData("DP_1","003N8EMH8GTFRCSWKMPXRSGPQ","GSON1242152101")</f>
        <v>#NAME?</v>
      </c>
      <c r="K2008" s="3" t="e">
        <f ca="1">[1]!BexGetData("DP_1","003N8EMH8GTFRIVNUPY288VJH","GSON1242152101")</f>
        <v>#NAME?</v>
      </c>
      <c r="L2008" s="3" t="e">
        <f ca="1">[1]!BexGetData("DP_1","003N8EMH8GTFRIVNUPY2891V1","GSON1242152101")</f>
        <v>#NAME?</v>
      </c>
      <c r="M2008" s="8" t="e">
        <f ca="1">[1]!BexGetData("DP_1","003N8EMH8GTFRIVOG7KG9IQXA","GSON1242152101")</f>
        <v>#NAME?</v>
      </c>
      <c r="N2008" s="3" t="e">
        <f ca="1">[1]!BexGetData("DP_1","003N8EMH8GTFRIVOG7KG9IX8U","GSON1242152101")</f>
        <v>#NAME?</v>
      </c>
      <c r="O2008" s="8" t="e">
        <f ca="1">[1]!BexGetData("DP_1","003N8EMH8GTFRIVOG7KG9J3KE","GSON1242152101")</f>
        <v>#NAME?</v>
      </c>
      <c r="P2008" s="3" t="e">
        <f ca="1">[1]!BexGetData("DP_1","003N8EMH8GTFRIVOG7KG9J9VY","GSON1242152101")</f>
        <v>#NAME?</v>
      </c>
      <c r="Q2008" s="4" t="e">
        <f ca="1">[1]!BexGetData("DP_1","00O2TNJGODT0G5Z4TTKYMM5MT","GSON1242152101")</f>
        <v>#NAME?</v>
      </c>
      <c r="R2008" s="3" t="e">
        <f ca="1">[1]!BexGetData("DP_1","00O2TNJGODT0G5Z4TTKYMMBYD","GSON1242152101")</f>
        <v>#NAME?</v>
      </c>
      <c r="S2008" s="3" t="e">
        <f ca="1">[1]!BexGetData("DP_1","00O2TNJGODT0G5Z4TTKYMMI9X","GSON1242152101")</f>
        <v>#NAME?</v>
      </c>
      <c r="T2008" s="8" t="e">
        <f ca="1">[1]!BexGetData("DP_1","00O2TNJGODT0G5Z4TTKYMMOLH","GSON1242152101")</f>
        <v>#NAME?</v>
      </c>
      <c r="U2008" s="3" t="e">
        <f ca="1">[1]!BexGetData("DP_1","00O2TNJGODT0G5Z4TTKYMMUX1","GSON1242152101")</f>
        <v>#NAME?</v>
      </c>
      <c r="V2008" s="8" t="e">
        <f ca="1">[1]!BexGetData("DP_1","00O2TNJGODT0G5Z4TTKYMN18L","GSON1242152101")</f>
        <v>#NAME?</v>
      </c>
      <c r="W2008" s="3" t="e">
        <f ca="1">[1]!BexGetData("DP_1","00O2TNJGODT0G5Z4TTKYMN7K5","GSON1242152101")</f>
        <v>#NAME?</v>
      </c>
    </row>
    <row r="2009" spans="1:23" x14ac:dyDescent="0.2">
      <c r="A2009" s="16" t="s">
        <v>4718</v>
      </c>
      <c r="B2009" s="7" t="s">
        <v>4719</v>
      </c>
      <c r="C2009" s="8" t="e">
        <f ca="1">[1]!BexGetData("DP_1","003N8EMH8GTFRCSWKMPXRR8GU","GSON1242252200")</f>
        <v>#NAME?</v>
      </c>
      <c r="D2009" s="8" t="e">
        <f ca="1">[1]!BexGetData("DP_1","003N8EMH8GTFRCSWKMPXRRESE","GSON1242252200")</f>
        <v>#NAME?</v>
      </c>
      <c r="E2009" s="3" t="e">
        <f ca="1">[1]!BexGetData("DP_1","003N8EMH8GTFRCSWKMPXRRL3Y","GSON1242252200")</f>
        <v>#NAME?</v>
      </c>
      <c r="F2009" s="3" t="e">
        <f ca="1">[1]!BexGetData("DP_1","003N8EMH8GTFRCSWKMPXRRRFI","GSON1242252200")</f>
        <v>#NAME?</v>
      </c>
      <c r="G2009" s="3" t="e">
        <f ca="1">[1]!BexGetData("DP_1","003N8EMH8GTFRCSWKMPXRRXR2","GSON1242252200")</f>
        <v>#NAME?</v>
      </c>
      <c r="H2009" s="3" t="e">
        <f ca="1">[1]!BexGetData("DP_1","003N8EMH8GTFRCSWKMPXRS42M","GSON1242252200")</f>
        <v>#NAME?</v>
      </c>
      <c r="I2009" s="3" t="e">
        <f ca="1">[1]!BexGetData("DP_1","003N8EMH8GTFRCSWKMPXRSAE6","GSON1242252200")</f>
        <v>#NAME?</v>
      </c>
      <c r="J2009" s="4" t="e">
        <f ca="1">[1]!BexGetData("DP_1","003N8EMH8GTFRCSWKMPXRSGPQ","GSON1242252200")</f>
        <v>#NAME?</v>
      </c>
      <c r="K2009" s="8" t="e">
        <f ca="1">[1]!BexGetData("DP_1","003N8EMH8GTFRIVNUPY288VJH","GSON1242252200")</f>
        <v>#NAME?</v>
      </c>
      <c r="L2009" s="8" t="e">
        <f ca="1">[1]!BexGetData("DP_1","003N8EMH8GTFRIVNUPY2891V1","GSON1242252200")</f>
        <v>#NAME?</v>
      </c>
      <c r="M2009" s="8" t="e">
        <f ca="1">[1]!BexGetData("DP_1","003N8EMH8GTFRIVOG7KG9IQXA","GSON1242252200")</f>
        <v>#NAME?</v>
      </c>
      <c r="N2009" s="8" t="e">
        <f ca="1">[1]!BexGetData("DP_1","003N8EMH8GTFRIVOG7KG9IX8U","GSON1242252200")</f>
        <v>#NAME?</v>
      </c>
      <c r="O2009" s="8" t="e">
        <f ca="1">[1]!BexGetData("DP_1","003N8EMH8GTFRIVOG7KG9J3KE","GSON1242252200")</f>
        <v>#NAME?</v>
      </c>
      <c r="P2009" s="8" t="e">
        <f ca="1">[1]!BexGetData("DP_1","003N8EMH8GTFRIVOG7KG9J9VY","GSON1242252200")</f>
        <v>#NAME?</v>
      </c>
      <c r="Q2009" s="4" t="e">
        <f ca="1">[1]!BexGetData("DP_1","00O2TNJGODT0G5Z4TTKYMM5MT","GSON1242252200")</f>
        <v>#NAME?</v>
      </c>
      <c r="R2009" s="3" t="e">
        <f ca="1">[1]!BexGetData("DP_1","00O2TNJGODT0G5Z4TTKYMMBYD","GSON1242252200")</f>
        <v>#NAME?</v>
      </c>
      <c r="S2009" s="3" t="e">
        <f ca="1">[1]!BexGetData("DP_1","00O2TNJGODT0G5Z4TTKYMMI9X","GSON1242252200")</f>
        <v>#NAME?</v>
      </c>
      <c r="T2009" s="8" t="e">
        <f ca="1">[1]!BexGetData("DP_1","00O2TNJGODT0G5Z4TTKYMMOLH","GSON1242252200")</f>
        <v>#NAME?</v>
      </c>
      <c r="U2009" s="3" t="e">
        <f ca="1">[1]!BexGetData("DP_1","00O2TNJGODT0G5Z4TTKYMMUX1","GSON1242252200")</f>
        <v>#NAME?</v>
      </c>
      <c r="V2009" s="8" t="e">
        <f ca="1">[1]!BexGetData("DP_1","00O2TNJGODT0G5Z4TTKYMN18L","GSON1242252200")</f>
        <v>#NAME?</v>
      </c>
      <c r="W2009" s="3" t="e">
        <f ca="1">[1]!BexGetData("DP_1","00O2TNJGODT0G5Z4TTKYMN7K5","GSON1242252200")</f>
        <v>#NAME?</v>
      </c>
    </row>
    <row r="2010" spans="1:23" x14ac:dyDescent="0.2">
      <c r="A2010" s="16" t="s">
        <v>4720</v>
      </c>
      <c r="B2010" s="7" t="s">
        <v>4721</v>
      </c>
      <c r="C2010" s="3" t="e">
        <f ca="1">[1]!BexGetData("DP_1","003N8EMH8GTFRCSWKMPXRR8GU","GSON1242252201")</f>
        <v>#NAME?</v>
      </c>
      <c r="D2010" s="8" t="e">
        <f ca="1">[1]!BexGetData("DP_1","003N8EMH8GTFRCSWKMPXRRESE","GSON1242252201")</f>
        <v>#NAME?</v>
      </c>
      <c r="E2010" s="3" t="e">
        <f ca="1">[1]!BexGetData("DP_1","003N8EMH8GTFRCSWKMPXRRL3Y","GSON1242252201")</f>
        <v>#NAME?</v>
      </c>
      <c r="F2010" s="3" t="e">
        <f ca="1">[1]!BexGetData("DP_1","003N8EMH8GTFRCSWKMPXRRRFI","GSON1242252201")</f>
        <v>#NAME?</v>
      </c>
      <c r="G2010" s="3" t="e">
        <f ca="1">[1]!BexGetData("DP_1","003N8EMH8GTFRCSWKMPXRRXR2","GSON1242252201")</f>
        <v>#NAME?</v>
      </c>
      <c r="H2010" s="8" t="e">
        <f ca="1">[1]!BexGetData("DP_1","003N8EMH8GTFRCSWKMPXRS42M","GSON1242252201")</f>
        <v>#NAME?</v>
      </c>
      <c r="I2010" s="3" t="e">
        <f ca="1">[1]!BexGetData("DP_1","003N8EMH8GTFRCSWKMPXRSAE6","GSON1242252201")</f>
        <v>#NAME?</v>
      </c>
      <c r="J2010" s="4" t="e">
        <f ca="1">[1]!BexGetData("DP_1","003N8EMH8GTFRCSWKMPXRSGPQ","GSON1242252201")</f>
        <v>#NAME?</v>
      </c>
      <c r="K2010" s="3" t="e">
        <f ca="1">[1]!BexGetData("DP_1","003N8EMH8GTFRIVNUPY288VJH","GSON1242252201")</f>
        <v>#NAME?</v>
      </c>
      <c r="L2010" s="3" t="e">
        <f ca="1">[1]!BexGetData("DP_1","003N8EMH8GTFRIVNUPY2891V1","GSON1242252201")</f>
        <v>#NAME?</v>
      </c>
      <c r="M2010" s="8" t="e">
        <f ca="1">[1]!BexGetData("DP_1","003N8EMH8GTFRIVOG7KG9IQXA","GSON1242252201")</f>
        <v>#NAME?</v>
      </c>
      <c r="N2010" s="3" t="e">
        <f ca="1">[1]!BexGetData("DP_1","003N8EMH8GTFRIVOG7KG9IX8U","GSON1242252201")</f>
        <v>#NAME?</v>
      </c>
      <c r="O2010" s="8" t="e">
        <f ca="1">[1]!BexGetData("DP_1","003N8EMH8GTFRIVOG7KG9J3KE","GSON1242252201")</f>
        <v>#NAME?</v>
      </c>
      <c r="P2010" s="3" t="e">
        <f ca="1">[1]!BexGetData("DP_1","003N8EMH8GTFRIVOG7KG9J9VY","GSON1242252201")</f>
        <v>#NAME?</v>
      </c>
      <c r="Q2010" s="4" t="e">
        <f ca="1">[1]!BexGetData("DP_1","00O2TNJGODT0G5Z4TTKYMM5MT","GSON1242252201")</f>
        <v>#NAME?</v>
      </c>
      <c r="R2010" s="3" t="e">
        <f ca="1">[1]!BexGetData("DP_1","00O2TNJGODT0G5Z4TTKYMMBYD","GSON1242252201")</f>
        <v>#NAME?</v>
      </c>
      <c r="S2010" s="3" t="e">
        <f ca="1">[1]!BexGetData("DP_1","00O2TNJGODT0G5Z4TTKYMMI9X","GSON1242252201")</f>
        <v>#NAME?</v>
      </c>
      <c r="T2010" s="8" t="e">
        <f ca="1">[1]!BexGetData("DP_1","00O2TNJGODT0G5Z4TTKYMMOLH","GSON1242252201")</f>
        <v>#NAME?</v>
      </c>
      <c r="U2010" s="3" t="e">
        <f ca="1">[1]!BexGetData("DP_1","00O2TNJGODT0G5Z4TTKYMMUX1","GSON1242252201")</f>
        <v>#NAME?</v>
      </c>
      <c r="V2010" s="8" t="e">
        <f ca="1">[1]!BexGetData("DP_1","00O2TNJGODT0G5Z4TTKYMN18L","GSON1242252201")</f>
        <v>#NAME?</v>
      </c>
      <c r="W2010" s="3" t="e">
        <f ca="1">[1]!BexGetData("DP_1","00O2TNJGODT0G5Z4TTKYMN7K5","GSON1242252201")</f>
        <v>#NAME?</v>
      </c>
    </row>
    <row r="2011" spans="1:23" x14ac:dyDescent="0.2">
      <c r="A2011" s="16" t="s">
        <v>1318</v>
      </c>
      <c r="B2011" s="7" t="s">
        <v>1319</v>
      </c>
      <c r="C2011" s="8" t="e">
        <f ca="1">[1]!BexGetData("DP_1","003N8EMH8GTFRCSWKMPXRR8GU","GSON1242352300")</f>
        <v>#NAME?</v>
      </c>
      <c r="D2011" s="3" t="e">
        <f ca="1">[1]!BexGetData("DP_1","003N8EMH8GTFRCSWKMPXRRESE","GSON1242352300")</f>
        <v>#NAME?</v>
      </c>
      <c r="E2011" s="3" t="e">
        <f ca="1">[1]!BexGetData("DP_1","003N8EMH8GTFRCSWKMPXRRL3Y","GSON1242352300")</f>
        <v>#NAME?</v>
      </c>
      <c r="F2011" s="3" t="e">
        <f ca="1">[1]!BexGetData("DP_1","003N8EMH8GTFRCSWKMPXRRRFI","GSON1242352300")</f>
        <v>#NAME?</v>
      </c>
      <c r="G2011" s="3" t="e">
        <f ca="1">[1]!BexGetData("DP_1","003N8EMH8GTFRCSWKMPXRRXR2","GSON1242352300")</f>
        <v>#NAME?</v>
      </c>
      <c r="H2011" s="3" t="e">
        <f ca="1">[1]!BexGetData("DP_1","003N8EMH8GTFRCSWKMPXRS42M","GSON1242352300")</f>
        <v>#NAME?</v>
      </c>
      <c r="I2011" s="3" t="e">
        <f ca="1">[1]!BexGetData("DP_1","003N8EMH8GTFRCSWKMPXRSAE6","GSON1242352300")</f>
        <v>#NAME?</v>
      </c>
      <c r="J2011" s="4" t="e">
        <f ca="1">[1]!BexGetData("DP_1","003N8EMH8GTFRCSWKMPXRSGPQ","GSON1242352300")</f>
        <v>#NAME?</v>
      </c>
      <c r="K2011" s="3" t="e">
        <f ca="1">[1]!BexGetData("DP_1","003N8EMH8GTFRIVNUPY288VJH","GSON1242352300")</f>
        <v>#NAME?</v>
      </c>
      <c r="L2011" s="3" t="e">
        <f ca="1">[1]!BexGetData("DP_1","003N8EMH8GTFRIVNUPY2891V1","GSON1242352300")</f>
        <v>#NAME?</v>
      </c>
      <c r="M2011" s="3" t="e">
        <f ca="1">[1]!BexGetData("DP_1","003N8EMH8GTFRIVOG7KG9IQXA","GSON1242352300")</f>
        <v>#NAME?</v>
      </c>
      <c r="N2011" s="8" t="e">
        <f ca="1">[1]!BexGetData("DP_1","003N8EMH8GTFRIVOG7KG9IX8U","GSON1242352300")</f>
        <v>#NAME?</v>
      </c>
      <c r="O2011" s="3" t="e">
        <f ca="1">[1]!BexGetData("DP_1","003N8EMH8GTFRIVOG7KG9J3KE","GSON1242352300")</f>
        <v>#NAME?</v>
      </c>
      <c r="P2011" s="8" t="e">
        <f ca="1">[1]!BexGetData("DP_1","003N8EMH8GTFRIVOG7KG9J9VY","GSON1242352300")</f>
        <v>#NAME?</v>
      </c>
      <c r="Q2011" s="4" t="e">
        <f ca="1">[1]!BexGetData("DP_1","00O2TNJGODT0G5Z4TTKYMM5MT","GSON1242352300")</f>
        <v>#NAME?</v>
      </c>
      <c r="R2011" s="3" t="e">
        <f ca="1">[1]!BexGetData("DP_1","00O2TNJGODT0G5Z4TTKYMMBYD","GSON1242352300")</f>
        <v>#NAME?</v>
      </c>
      <c r="S2011" s="3" t="e">
        <f ca="1">[1]!BexGetData("DP_1","00O2TNJGODT0G5Z4TTKYMMI9X","GSON1242352300")</f>
        <v>#NAME?</v>
      </c>
      <c r="T2011" s="8" t="e">
        <f ca="1">[1]!BexGetData("DP_1","00O2TNJGODT0G5Z4TTKYMMOLH","GSON1242352300")</f>
        <v>#NAME?</v>
      </c>
      <c r="U2011" s="3" t="e">
        <f ca="1">[1]!BexGetData("DP_1","00O2TNJGODT0G5Z4TTKYMMUX1","GSON1242352300")</f>
        <v>#NAME?</v>
      </c>
      <c r="V2011" s="8" t="e">
        <f ca="1">[1]!BexGetData("DP_1","00O2TNJGODT0G5Z4TTKYMN18L","GSON1242352300")</f>
        <v>#NAME?</v>
      </c>
      <c r="W2011" s="3" t="e">
        <f ca="1">[1]!BexGetData("DP_1","00O2TNJGODT0G5Z4TTKYMN7K5","GSON1242352300")</f>
        <v>#NAME?</v>
      </c>
    </row>
    <row r="2012" spans="1:23" x14ac:dyDescent="0.2">
      <c r="A2012" s="16" t="s">
        <v>1320</v>
      </c>
      <c r="B2012" s="7" t="s">
        <v>1321</v>
      </c>
      <c r="C2012" s="3" t="e">
        <f ca="1">[1]!BexGetData("DP_1","003N8EMH8GTFRCSWKMPXRR8GU","GSON1242352301")</f>
        <v>#NAME?</v>
      </c>
      <c r="D2012" s="3" t="e">
        <f ca="1">[1]!BexGetData("DP_1","003N8EMH8GTFRCSWKMPXRRESE","GSON1242352301")</f>
        <v>#NAME?</v>
      </c>
      <c r="E2012" s="3" t="e">
        <f ca="1">[1]!BexGetData("DP_1","003N8EMH8GTFRCSWKMPXRRL3Y","GSON1242352301")</f>
        <v>#NAME?</v>
      </c>
      <c r="F2012" s="3" t="e">
        <f ca="1">[1]!BexGetData("DP_1","003N8EMH8GTFRCSWKMPXRRRFI","GSON1242352301")</f>
        <v>#NAME?</v>
      </c>
      <c r="G2012" s="3" t="e">
        <f ca="1">[1]!BexGetData("DP_1","003N8EMH8GTFRCSWKMPXRRXR2","GSON1242352301")</f>
        <v>#NAME?</v>
      </c>
      <c r="H2012" s="8" t="e">
        <f ca="1">[1]!BexGetData("DP_1","003N8EMH8GTFRCSWKMPXRS42M","GSON1242352301")</f>
        <v>#NAME?</v>
      </c>
      <c r="I2012" s="3" t="e">
        <f ca="1">[1]!BexGetData("DP_1","003N8EMH8GTFRCSWKMPXRSAE6","GSON1242352301")</f>
        <v>#NAME?</v>
      </c>
      <c r="J2012" s="4" t="e">
        <f ca="1">[1]!BexGetData("DP_1","003N8EMH8GTFRCSWKMPXRSGPQ","GSON1242352301")</f>
        <v>#NAME?</v>
      </c>
      <c r="K2012" s="3" t="e">
        <f ca="1">[1]!BexGetData("DP_1","003N8EMH8GTFRIVNUPY288VJH","GSON1242352301")</f>
        <v>#NAME?</v>
      </c>
      <c r="L2012" s="3" t="e">
        <f ca="1">[1]!BexGetData("DP_1","003N8EMH8GTFRIVNUPY2891V1","GSON1242352301")</f>
        <v>#NAME?</v>
      </c>
      <c r="M2012" s="8" t="e">
        <f ca="1">[1]!BexGetData("DP_1","003N8EMH8GTFRIVOG7KG9IQXA","GSON1242352301")</f>
        <v>#NAME?</v>
      </c>
      <c r="N2012" s="3" t="e">
        <f ca="1">[1]!BexGetData("DP_1","003N8EMH8GTFRIVOG7KG9IX8U","GSON1242352301")</f>
        <v>#NAME?</v>
      </c>
      <c r="O2012" s="8" t="e">
        <f ca="1">[1]!BexGetData("DP_1","003N8EMH8GTFRIVOG7KG9J3KE","GSON1242352301")</f>
        <v>#NAME?</v>
      </c>
      <c r="P2012" s="3" t="e">
        <f ca="1">[1]!BexGetData("DP_1","003N8EMH8GTFRIVOG7KG9J9VY","GSON1242352301")</f>
        <v>#NAME?</v>
      </c>
      <c r="Q2012" s="4" t="e">
        <f ca="1">[1]!BexGetData("DP_1","00O2TNJGODT0G5Z4TTKYMM5MT","GSON1242352301")</f>
        <v>#NAME?</v>
      </c>
      <c r="R2012" s="3" t="e">
        <f ca="1">[1]!BexGetData("DP_1","00O2TNJGODT0G5Z4TTKYMMBYD","GSON1242352301")</f>
        <v>#NAME?</v>
      </c>
      <c r="S2012" s="3" t="e">
        <f ca="1">[1]!BexGetData("DP_1","00O2TNJGODT0G5Z4TTKYMMI9X","GSON1242352301")</f>
        <v>#NAME?</v>
      </c>
      <c r="T2012" s="8" t="e">
        <f ca="1">[1]!BexGetData("DP_1","00O2TNJGODT0G5Z4TTKYMMOLH","GSON1242352301")</f>
        <v>#NAME?</v>
      </c>
      <c r="U2012" s="3" t="e">
        <f ca="1">[1]!BexGetData("DP_1","00O2TNJGODT0G5Z4TTKYMMUX1","GSON1242352301")</f>
        <v>#NAME?</v>
      </c>
      <c r="V2012" s="8" t="e">
        <f ca="1">[1]!BexGetData("DP_1","00O2TNJGODT0G5Z4TTKYMN18L","GSON1242352301")</f>
        <v>#NAME?</v>
      </c>
      <c r="W2012" s="3" t="e">
        <f ca="1">[1]!BexGetData("DP_1","00O2TNJGODT0G5Z4TTKYMN7K5","GSON1242352301")</f>
        <v>#NAME?</v>
      </c>
    </row>
    <row r="2013" spans="1:23" x14ac:dyDescent="0.2">
      <c r="A2013" s="16" t="s">
        <v>1322</v>
      </c>
      <c r="B2013" s="7" t="s">
        <v>1323</v>
      </c>
      <c r="C2013" s="8" t="e">
        <f ca="1">[1]!BexGetData("DP_1","003N8EMH8GTFRCSWKMPXRR8GU","GSON1242952900")</f>
        <v>#NAME?</v>
      </c>
      <c r="D2013" s="8" t="e">
        <f ca="1">[1]!BexGetData("DP_1","003N8EMH8GTFRCSWKMPXRRESE","GSON1242952900")</f>
        <v>#NAME?</v>
      </c>
      <c r="E2013" s="3" t="e">
        <f ca="1">[1]!BexGetData("DP_1","003N8EMH8GTFRCSWKMPXRRL3Y","GSON1242952900")</f>
        <v>#NAME?</v>
      </c>
      <c r="F2013" s="3" t="e">
        <f ca="1">[1]!BexGetData("DP_1","003N8EMH8GTFRCSWKMPXRRRFI","GSON1242952900")</f>
        <v>#NAME?</v>
      </c>
      <c r="G2013" s="3" t="e">
        <f ca="1">[1]!BexGetData("DP_1","003N8EMH8GTFRCSWKMPXRRXR2","GSON1242952900")</f>
        <v>#NAME?</v>
      </c>
      <c r="H2013" s="3" t="e">
        <f ca="1">[1]!BexGetData("DP_1","003N8EMH8GTFRCSWKMPXRS42M","GSON1242952900")</f>
        <v>#NAME?</v>
      </c>
      <c r="I2013" s="3" t="e">
        <f ca="1">[1]!BexGetData("DP_1","003N8EMH8GTFRCSWKMPXRSAE6","GSON1242952900")</f>
        <v>#NAME?</v>
      </c>
      <c r="J2013" s="4" t="e">
        <f ca="1">[1]!BexGetData("DP_1","003N8EMH8GTFRCSWKMPXRSGPQ","GSON1242952900")</f>
        <v>#NAME?</v>
      </c>
      <c r="K2013" s="8" t="e">
        <f ca="1">[1]!BexGetData("DP_1","003N8EMH8GTFRIVNUPY288VJH","GSON1242952900")</f>
        <v>#NAME?</v>
      </c>
      <c r="L2013" s="8" t="e">
        <f ca="1">[1]!BexGetData("DP_1","003N8EMH8GTFRIVNUPY2891V1","GSON1242952900")</f>
        <v>#NAME?</v>
      </c>
      <c r="M2013" s="8" t="e">
        <f ca="1">[1]!BexGetData("DP_1","003N8EMH8GTFRIVOG7KG9IQXA","GSON1242952900")</f>
        <v>#NAME?</v>
      </c>
      <c r="N2013" s="8" t="e">
        <f ca="1">[1]!BexGetData("DP_1","003N8EMH8GTFRIVOG7KG9IX8U","GSON1242952900")</f>
        <v>#NAME?</v>
      </c>
      <c r="O2013" s="8" t="e">
        <f ca="1">[1]!BexGetData("DP_1","003N8EMH8GTFRIVOG7KG9J3KE","GSON1242952900")</f>
        <v>#NAME?</v>
      </c>
      <c r="P2013" s="8" t="e">
        <f ca="1">[1]!BexGetData("DP_1","003N8EMH8GTFRIVOG7KG9J9VY","GSON1242952900")</f>
        <v>#NAME?</v>
      </c>
      <c r="Q2013" s="4" t="e">
        <f ca="1">[1]!BexGetData("DP_1","00O2TNJGODT0G5Z4TTKYMM5MT","GSON1242952900")</f>
        <v>#NAME?</v>
      </c>
      <c r="R2013" s="3" t="e">
        <f ca="1">[1]!BexGetData("DP_1","00O2TNJGODT0G5Z4TTKYMMBYD","GSON1242952900")</f>
        <v>#NAME?</v>
      </c>
      <c r="S2013" s="3" t="e">
        <f ca="1">[1]!BexGetData("DP_1","00O2TNJGODT0G5Z4TTKYMMI9X","GSON1242952900")</f>
        <v>#NAME?</v>
      </c>
      <c r="T2013" s="8" t="e">
        <f ca="1">[1]!BexGetData("DP_1","00O2TNJGODT0G5Z4TTKYMMOLH","GSON1242952900")</f>
        <v>#NAME?</v>
      </c>
      <c r="U2013" s="3" t="e">
        <f ca="1">[1]!BexGetData("DP_1","00O2TNJGODT0G5Z4TTKYMMUX1","GSON1242952900")</f>
        <v>#NAME?</v>
      </c>
      <c r="V2013" s="8" t="e">
        <f ca="1">[1]!BexGetData("DP_1","00O2TNJGODT0G5Z4TTKYMN18L","GSON1242952900")</f>
        <v>#NAME?</v>
      </c>
      <c r="W2013" s="3" t="e">
        <f ca="1">[1]!BexGetData("DP_1","00O2TNJGODT0G5Z4TTKYMN7K5","GSON1242952900")</f>
        <v>#NAME?</v>
      </c>
    </row>
    <row r="2014" spans="1:23" x14ac:dyDescent="0.2">
      <c r="A2014" s="16" t="s">
        <v>4722</v>
      </c>
      <c r="B2014" s="7" t="s">
        <v>4723</v>
      </c>
      <c r="C2014" s="8" t="e">
        <f ca="1">[1]!BexGetData("DP_1","003N8EMH8GTFRCSWKMPXRR8GU","GSON1242952901")</f>
        <v>#NAME?</v>
      </c>
      <c r="D2014" s="8" t="e">
        <f ca="1">[1]!BexGetData("DP_1","003N8EMH8GTFRCSWKMPXRRESE","GSON1242952901")</f>
        <v>#NAME?</v>
      </c>
      <c r="E2014" s="3" t="e">
        <f ca="1">[1]!BexGetData("DP_1","003N8EMH8GTFRCSWKMPXRRL3Y","GSON1242952901")</f>
        <v>#NAME?</v>
      </c>
      <c r="F2014" s="3" t="e">
        <f ca="1">[1]!BexGetData("DP_1","003N8EMH8GTFRCSWKMPXRRRFI","GSON1242952901")</f>
        <v>#NAME?</v>
      </c>
      <c r="G2014" s="3" t="e">
        <f ca="1">[1]!BexGetData("DP_1","003N8EMH8GTFRCSWKMPXRRXR2","GSON1242952901")</f>
        <v>#NAME?</v>
      </c>
      <c r="H2014" s="8" t="e">
        <f ca="1">[1]!BexGetData("DP_1","003N8EMH8GTFRCSWKMPXRS42M","GSON1242952901")</f>
        <v>#NAME?</v>
      </c>
      <c r="I2014" s="3" t="e">
        <f ca="1">[1]!BexGetData("DP_1","003N8EMH8GTFRCSWKMPXRSAE6","GSON1242952901")</f>
        <v>#NAME?</v>
      </c>
      <c r="J2014" s="4" t="e">
        <f ca="1">[1]!BexGetData("DP_1","003N8EMH8GTFRCSWKMPXRSGPQ","GSON1242952901")</f>
        <v>#NAME?</v>
      </c>
      <c r="K2014" s="8" t="e">
        <f ca="1">[1]!BexGetData("DP_1","003N8EMH8GTFRIVNUPY288VJH","GSON1242952901")</f>
        <v>#NAME?</v>
      </c>
      <c r="L2014" s="8" t="e">
        <f ca="1">[1]!BexGetData("DP_1","003N8EMH8GTFRIVNUPY2891V1","GSON1242952901")</f>
        <v>#NAME?</v>
      </c>
      <c r="M2014" s="8" t="e">
        <f ca="1">[1]!BexGetData("DP_1","003N8EMH8GTFRIVOG7KG9IQXA","GSON1242952901")</f>
        <v>#NAME?</v>
      </c>
      <c r="N2014" s="8" t="e">
        <f ca="1">[1]!BexGetData("DP_1","003N8EMH8GTFRIVOG7KG9IX8U","GSON1242952901")</f>
        <v>#NAME?</v>
      </c>
      <c r="O2014" s="8" t="e">
        <f ca="1">[1]!BexGetData("DP_1","003N8EMH8GTFRIVOG7KG9J3KE","GSON1242952901")</f>
        <v>#NAME?</v>
      </c>
      <c r="P2014" s="8" t="e">
        <f ca="1">[1]!BexGetData("DP_1","003N8EMH8GTFRIVOG7KG9J9VY","GSON1242952901")</f>
        <v>#NAME?</v>
      </c>
      <c r="Q2014" s="4" t="e">
        <f ca="1">[1]!BexGetData("DP_1","00O2TNJGODT0G5Z4TTKYMM5MT","GSON1242952901")</f>
        <v>#NAME?</v>
      </c>
      <c r="R2014" s="3" t="e">
        <f ca="1">[1]!BexGetData("DP_1","00O2TNJGODT0G5Z4TTKYMMBYD","GSON1242952901")</f>
        <v>#NAME?</v>
      </c>
      <c r="S2014" s="3" t="e">
        <f ca="1">[1]!BexGetData("DP_1","00O2TNJGODT0G5Z4TTKYMMI9X","GSON1242952901")</f>
        <v>#NAME?</v>
      </c>
      <c r="T2014" s="8" t="e">
        <f ca="1">[1]!BexGetData("DP_1","00O2TNJGODT0G5Z4TTKYMMOLH","GSON1242952901")</f>
        <v>#NAME?</v>
      </c>
      <c r="U2014" s="3" t="e">
        <f ca="1">[1]!BexGetData("DP_1","00O2TNJGODT0G5Z4TTKYMMUX1","GSON1242952901")</f>
        <v>#NAME?</v>
      </c>
      <c r="V2014" s="8" t="e">
        <f ca="1">[1]!BexGetData("DP_1","00O2TNJGODT0G5Z4TTKYMN18L","GSON1242952901")</f>
        <v>#NAME?</v>
      </c>
      <c r="W2014" s="3" t="e">
        <f ca="1">[1]!BexGetData("DP_1","00O2TNJGODT0G5Z4TTKYMN7K5","GSON1242952901")</f>
        <v>#NAME?</v>
      </c>
    </row>
    <row r="2015" spans="1:23" x14ac:dyDescent="0.2">
      <c r="A2015" s="15" t="s">
        <v>1324</v>
      </c>
      <c r="B2015" s="7" t="s">
        <v>1325</v>
      </c>
      <c r="C2015" s="3" t="e">
        <f ca="1">[1]!BexGetData("DP_1","003N8EMH8GTFRCSWKMPXRR8GU","GSON1243")</f>
        <v>#NAME?</v>
      </c>
      <c r="D2015" s="3" t="e">
        <f ca="1">[1]!BexGetData("DP_1","003N8EMH8GTFRCSWKMPXRRESE","GSON1243")</f>
        <v>#NAME?</v>
      </c>
      <c r="E2015" s="3" t="e">
        <f ca="1">[1]!BexGetData("DP_1","003N8EMH8GTFRCSWKMPXRRL3Y","GSON1243")</f>
        <v>#NAME?</v>
      </c>
      <c r="F2015" s="3" t="e">
        <f ca="1">[1]!BexGetData("DP_1","003N8EMH8GTFRCSWKMPXRRRFI","GSON1243")</f>
        <v>#NAME?</v>
      </c>
      <c r="G2015" s="3" t="e">
        <f ca="1">[1]!BexGetData("DP_1","003N8EMH8GTFRCSWKMPXRRXR2","GSON1243")</f>
        <v>#NAME?</v>
      </c>
      <c r="H2015" s="3" t="e">
        <f ca="1">[1]!BexGetData("DP_1","003N8EMH8GTFRCSWKMPXRS42M","GSON1243")</f>
        <v>#NAME?</v>
      </c>
      <c r="I2015" s="3" t="e">
        <f ca="1">[1]!BexGetData("DP_1","003N8EMH8GTFRCSWKMPXRSAE6","GSON1243")</f>
        <v>#NAME?</v>
      </c>
      <c r="J2015" s="4" t="e">
        <f ca="1">[1]!BexGetData("DP_1","003N8EMH8GTFRCSWKMPXRSGPQ","GSON1243")</f>
        <v>#NAME?</v>
      </c>
      <c r="K2015" s="3" t="e">
        <f ca="1">[1]!BexGetData("DP_1","003N8EMH8GTFRIVNUPY288VJH","GSON1243")</f>
        <v>#NAME?</v>
      </c>
      <c r="L2015" s="3" t="e">
        <f ca="1">[1]!BexGetData("DP_1","003N8EMH8GTFRIVNUPY2891V1","GSON1243")</f>
        <v>#NAME?</v>
      </c>
      <c r="M2015" s="8" t="e">
        <f ca="1">[1]!BexGetData("DP_1","003N8EMH8GTFRIVOG7KG9IQXA","GSON1243")</f>
        <v>#NAME?</v>
      </c>
      <c r="N2015" s="3" t="e">
        <f ca="1">[1]!BexGetData("DP_1","003N8EMH8GTFRIVOG7KG9IX8U","GSON1243")</f>
        <v>#NAME?</v>
      </c>
      <c r="O2015" s="8" t="e">
        <f ca="1">[1]!BexGetData("DP_1","003N8EMH8GTFRIVOG7KG9J3KE","GSON1243")</f>
        <v>#NAME?</v>
      </c>
      <c r="P2015" s="3" t="e">
        <f ca="1">[1]!BexGetData("DP_1","003N8EMH8GTFRIVOG7KG9J9VY","GSON1243")</f>
        <v>#NAME?</v>
      </c>
      <c r="Q2015" s="4" t="e">
        <f ca="1">[1]!BexGetData("DP_1","00O2TNJGODT0G5Z4TTKYMM5MT","GSON1243")</f>
        <v>#NAME?</v>
      </c>
      <c r="R2015" s="3" t="e">
        <f ca="1">[1]!BexGetData("DP_1","00O2TNJGODT0G5Z4TTKYMMBYD","GSON1243")</f>
        <v>#NAME?</v>
      </c>
      <c r="S2015" s="3" t="e">
        <f ca="1">[1]!BexGetData("DP_1","00O2TNJGODT0G5Z4TTKYMMI9X","GSON1243")</f>
        <v>#NAME?</v>
      </c>
      <c r="T2015" s="8" t="e">
        <f ca="1">[1]!BexGetData("DP_1","00O2TNJGODT0G5Z4TTKYMMOLH","GSON1243")</f>
        <v>#NAME?</v>
      </c>
      <c r="U2015" s="3" t="e">
        <f ca="1">[1]!BexGetData("DP_1","00O2TNJGODT0G5Z4TTKYMMUX1","GSON1243")</f>
        <v>#NAME?</v>
      </c>
      <c r="V2015" s="8" t="e">
        <f ca="1">[1]!BexGetData("DP_1","00O2TNJGODT0G5Z4TTKYMN18L","GSON1243")</f>
        <v>#NAME?</v>
      </c>
      <c r="W2015" s="3" t="e">
        <f ca="1">[1]!BexGetData("DP_1","00O2TNJGODT0G5Z4TTKYMN7K5","GSON1243")</f>
        <v>#NAME?</v>
      </c>
    </row>
    <row r="2016" spans="1:23" x14ac:dyDescent="0.2">
      <c r="A2016" s="16" t="s">
        <v>1326</v>
      </c>
      <c r="B2016" s="7" t="s">
        <v>1327</v>
      </c>
      <c r="C2016" s="8" t="e">
        <f ca="1">[1]!BexGetData("DP_1","003N8EMH8GTFRCSWKMPXRR8GU","GSON1243153100")</f>
        <v>#NAME?</v>
      </c>
      <c r="D2016" s="8" t="e">
        <f ca="1">[1]!BexGetData("DP_1","003N8EMH8GTFRCSWKMPXRRESE","GSON1243153100")</f>
        <v>#NAME?</v>
      </c>
      <c r="E2016" s="3" t="e">
        <f ca="1">[1]!BexGetData("DP_1","003N8EMH8GTFRCSWKMPXRRL3Y","GSON1243153100")</f>
        <v>#NAME?</v>
      </c>
      <c r="F2016" s="3" t="e">
        <f ca="1">[1]!BexGetData("DP_1","003N8EMH8GTFRCSWKMPXRRRFI","GSON1243153100")</f>
        <v>#NAME?</v>
      </c>
      <c r="G2016" s="3" t="e">
        <f ca="1">[1]!BexGetData("DP_1","003N8EMH8GTFRCSWKMPXRRXR2","GSON1243153100")</f>
        <v>#NAME?</v>
      </c>
      <c r="H2016" s="3" t="e">
        <f ca="1">[1]!BexGetData("DP_1","003N8EMH8GTFRCSWKMPXRS42M","GSON1243153100")</f>
        <v>#NAME?</v>
      </c>
      <c r="I2016" s="3" t="e">
        <f ca="1">[1]!BexGetData("DP_1","003N8EMH8GTFRCSWKMPXRSAE6","GSON1243153100")</f>
        <v>#NAME?</v>
      </c>
      <c r="J2016" s="4" t="e">
        <f ca="1">[1]!BexGetData("DP_1","003N8EMH8GTFRCSWKMPXRSGPQ","GSON1243153100")</f>
        <v>#NAME?</v>
      </c>
      <c r="K2016" s="8" t="e">
        <f ca="1">[1]!BexGetData("DP_1","003N8EMH8GTFRIVNUPY288VJH","GSON1243153100")</f>
        <v>#NAME?</v>
      </c>
      <c r="L2016" s="8" t="e">
        <f ca="1">[1]!BexGetData("DP_1","003N8EMH8GTFRIVNUPY2891V1","GSON1243153100")</f>
        <v>#NAME?</v>
      </c>
      <c r="M2016" s="8" t="e">
        <f ca="1">[1]!BexGetData("DP_1","003N8EMH8GTFRIVOG7KG9IQXA","GSON1243153100")</f>
        <v>#NAME?</v>
      </c>
      <c r="N2016" s="8" t="e">
        <f ca="1">[1]!BexGetData("DP_1","003N8EMH8GTFRIVOG7KG9IX8U","GSON1243153100")</f>
        <v>#NAME?</v>
      </c>
      <c r="O2016" s="8" t="e">
        <f ca="1">[1]!BexGetData("DP_1","003N8EMH8GTFRIVOG7KG9J3KE","GSON1243153100")</f>
        <v>#NAME?</v>
      </c>
      <c r="P2016" s="8" t="e">
        <f ca="1">[1]!BexGetData("DP_1","003N8EMH8GTFRIVOG7KG9J9VY","GSON1243153100")</f>
        <v>#NAME?</v>
      </c>
      <c r="Q2016" s="4" t="e">
        <f ca="1">[1]!BexGetData("DP_1","00O2TNJGODT0G5Z4TTKYMM5MT","GSON1243153100")</f>
        <v>#NAME?</v>
      </c>
      <c r="R2016" s="3" t="e">
        <f ca="1">[1]!BexGetData("DP_1","00O2TNJGODT0G5Z4TTKYMMBYD","GSON1243153100")</f>
        <v>#NAME?</v>
      </c>
      <c r="S2016" s="3" t="e">
        <f ca="1">[1]!BexGetData("DP_1","00O2TNJGODT0G5Z4TTKYMMI9X","GSON1243153100")</f>
        <v>#NAME?</v>
      </c>
      <c r="T2016" s="8" t="e">
        <f ca="1">[1]!BexGetData("DP_1","00O2TNJGODT0G5Z4TTKYMMOLH","GSON1243153100")</f>
        <v>#NAME?</v>
      </c>
      <c r="U2016" s="3" t="e">
        <f ca="1">[1]!BexGetData("DP_1","00O2TNJGODT0G5Z4TTKYMMUX1","GSON1243153100")</f>
        <v>#NAME?</v>
      </c>
      <c r="V2016" s="8" t="e">
        <f ca="1">[1]!BexGetData("DP_1","00O2TNJGODT0G5Z4TTKYMN18L","GSON1243153100")</f>
        <v>#NAME?</v>
      </c>
      <c r="W2016" s="3" t="e">
        <f ca="1">[1]!BexGetData("DP_1","00O2TNJGODT0G5Z4TTKYMN7K5","GSON1243153100")</f>
        <v>#NAME?</v>
      </c>
    </row>
    <row r="2017" spans="1:23" x14ac:dyDescent="0.2">
      <c r="A2017" s="16" t="s">
        <v>1328</v>
      </c>
      <c r="B2017" s="7" t="s">
        <v>1329</v>
      </c>
      <c r="C2017" s="3" t="e">
        <f ca="1">[1]!BexGetData("DP_1","003N8EMH8GTFRCSWKMPXRR8GU","GSON1243153101")</f>
        <v>#NAME?</v>
      </c>
      <c r="D2017" s="3" t="e">
        <f ca="1">[1]!BexGetData("DP_1","003N8EMH8GTFRCSWKMPXRRESE","GSON1243153101")</f>
        <v>#NAME?</v>
      </c>
      <c r="E2017" s="3" t="e">
        <f ca="1">[1]!BexGetData("DP_1","003N8EMH8GTFRCSWKMPXRRL3Y","GSON1243153101")</f>
        <v>#NAME?</v>
      </c>
      <c r="F2017" s="3" t="e">
        <f ca="1">[1]!BexGetData("DP_1","003N8EMH8GTFRCSWKMPXRRRFI","GSON1243153101")</f>
        <v>#NAME?</v>
      </c>
      <c r="G2017" s="3" t="e">
        <f ca="1">[1]!BexGetData("DP_1","003N8EMH8GTFRCSWKMPXRRXR2","GSON1243153101")</f>
        <v>#NAME?</v>
      </c>
      <c r="H2017" s="8" t="e">
        <f ca="1">[1]!BexGetData("DP_1","003N8EMH8GTFRCSWKMPXRS42M","GSON1243153101")</f>
        <v>#NAME?</v>
      </c>
      <c r="I2017" s="3" t="e">
        <f ca="1">[1]!BexGetData("DP_1","003N8EMH8GTFRCSWKMPXRSAE6","GSON1243153101")</f>
        <v>#NAME?</v>
      </c>
      <c r="J2017" s="4" t="e">
        <f ca="1">[1]!BexGetData("DP_1","003N8EMH8GTFRCSWKMPXRSGPQ","GSON1243153101")</f>
        <v>#NAME?</v>
      </c>
      <c r="K2017" s="3" t="e">
        <f ca="1">[1]!BexGetData("DP_1","003N8EMH8GTFRIVNUPY288VJH","GSON1243153101")</f>
        <v>#NAME?</v>
      </c>
      <c r="L2017" s="3" t="e">
        <f ca="1">[1]!BexGetData("DP_1","003N8EMH8GTFRIVNUPY2891V1","GSON1243153101")</f>
        <v>#NAME?</v>
      </c>
      <c r="M2017" s="8" t="e">
        <f ca="1">[1]!BexGetData("DP_1","003N8EMH8GTFRIVOG7KG9IQXA","GSON1243153101")</f>
        <v>#NAME?</v>
      </c>
      <c r="N2017" s="3" t="e">
        <f ca="1">[1]!BexGetData("DP_1","003N8EMH8GTFRIVOG7KG9IX8U","GSON1243153101")</f>
        <v>#NAME?</v>
      </c>
      <c r="O2017" s="8" t="e">
        <f ca="1">[1]!BexGetData("DP_1","003N8EMH8GTFRIVOG7KG9J3KE","GSON1243153101")</f>
        <v>#NAME?</v>
      </c>
      <c r="P2017" s="3" t="e">
        <f ca="1">[1]!BexGetData("DP_1","003N8EMH8GTFRIVOG7KG9J9VY","GSON1243153101")</f>
        <v>#NAME?</v>
      </c>
      <c r="Q2017" s="4" t="e">
        <f ca="1">[1]!BexGetData("DP_1","00O2TNJGODT0G5Z4TTKYMM5MT","GSON1243153101")</f>
        <v>#NAME?</v>
      </c>
      <c r="R2017" s="3" t="e">
        <f ca="1">[1]!BexGetData("DP_1","00O2TNJGODT0G5Z4TTKYMMBYD","GSON1243153101")</f>
        <v>#NAME?</v>
      </c>
      <c r="S2017" s="3" t="e">
        <f ca="1">[1]!BexGetData("DP_1","00O2TNJGODT0G5Z4TTKYMMI9X","GSON1243153101")</f>
        <v>#NAME?</v>
      </c>
      <c r="T2017" s="8" t="e">
        <f ca="1">[1]!BexGetData("DP_1","00O2TNJGODT0G5Z4TTKYMMOLH","GSON1243153101")</f>
        <v>#NAME?</v>
      </c>
      <c r="U2017" s="3" t="e">
        <f ca="1">[1]!BexGetData("DP_1","00O2TNJGODT0G5Z4TTKYMMUX1","GSON1243153101")</f>
        <v>#NAME?</v>
      </c>
      <c r="V2017" s="8" t="e">
        <f ca="1">[1]!BexGetData("DP_1","00O2TNJGODT0G5Z4TTKYMN18L","GSON1243153101")</f>
        <v>#NAME?</v>
      </c>
      <c r="W2017" s="3" t="e">
        <f ca="1">[1]!BexGetData("DP_1","00O2TNJGODT0G5Z4TTKYMN7K5","GSON1243153101")</f>
        <v>#NAME?</v>
      </c>
    </row>
    <row r="2018" spans="1:23" x14ac:dyDescent="0.2">
      <c r="A2018" s="16" t="s">
        <v>1330</v>
      </c>
      <c r="B2018" s="7" t="s">
        <v>1331</v>
      </c>
      <c r="C2018" s="8" t="e">
        <f ca="1">[1]!BexGetData("DP_1","003N8EMH8GTFRCSWKMPXRR8GU","GSON1243253200")</f>
        <v>#NAME?</v>
      </c>
      <c r="D2018" s="8" t="e">
        <f ca="1">[1]!BexGetData("DP_1","003N8EMH8GTFRCSWKMPXRRESE","GSON1243253200")</f>
        <v>#NAME?</v>
      </c>
      <c r="E2018" s="3" t="e">
        <f ca="1">[1]!BexGetData("DP_1","003N8EMH8GTFRCSWKMPXRRL3Y","GSON1243253200")</f>
        <v>#NAME?</v>
      </c>
      <c r="F2018" s="3" t="e">
        <f ca="1">[1]!BexGetData("DP_1","003N8EMH8GTFRCSWKMPXRRRFI","GSON1243253200")</f>
        <v>#NAME?</v>
      </c>
      <c r="G2018" s="3" t="e">
        <f ca="1">[1]!BexGetData("DP_1","003N8EMH8GTFRCSWKMPXRRXR2","GSON1243253200")</f>
        <v>#NAME?</v>
      </c>
      <c r="H2018" s="3" t="e">
        <f ca="1">[1]!BexGetData("DP_1","003N8EMH8GTFRCSWKMPXRS42M","GSON1243253200")</f>
        <v>#NAME?</v>
      </c>
      <c r="I2018" s="3" t="e">
        <f ca="1">[1]!BexGetData("DP_1","003N8EMH8GTFRCSWKMPXRSAE6","GSON1243253200")</f>
        <v>#NAME?</v>
      </c>
      <c r="J2018" s="4" t="e">
        <f ca="1">[1]!BexGetData("DP_1","003N8EMH8GTFRCSWKMPXRSGPQ","GSON1243253200")</f>
        <v>#NAME?</v>
      </c>
      <c r="K2018" s="8" t="e">
        <f ca="1">[1]!BexGetData("DP_1","003N8EMH8GTFRIVNUPY288VJH","GSON1243253200")</f>
        <v>#NAME?</v>
      </c>
      <c r="L2018" s="8" t="e">
        <f ca="1">[1]!BexGetData("DP_1","003N8EMH8GTFRIVNUPY2891V1","GSON1243253200")</f>
        <v>#NAME?</v>
      </c>
      <c r="M2018" s="8" t="e">
        <f ca="1">[1]!BexGetData("DP_1","003N8EMH8GTFRIVOG7KG9IQXA","GSON1243253200")</f>
        <v>#NAME?</v>
      </c>
      <c r="N2018" s="8" t="e">
        <f ca="1">[1]!BexGetData("DP_1","003N8EMH8GTFRIVOG7KG9IX8U","GSON1243253200")</f>
        <v>#NAME?</v>
      </c>
      <c r="O2018" s="8" t="e">
        <f ca="1">[1]!BexGetData("DP_1","003N8EMH8GTFRIVOG7KG9J3KE","GSON1243253200")</f>
        <v>#NAME?</v>
      </c>
      <c r="P2018" s="8" t="e">
        <f ca="1">[1]!BexGetData("DP_1","003N8EMH8GTFRIVOG7KG9J9VY","GSON1243253200")</f>
        <v>#NAME?</v>
      </c>
      <c r="Q2018" s="4" t="e">
        <f ca="1">[1]!BexGetData("DP_1","00O2TNJGODT0G5Z4TTKYMM5MT","GSON1243253200")</f>
        <v>#NAME?</v>
      </c>
      <c r="R2018" s="3" t="e">
        <f ca="1">[1]!BexGetData("DP_1","00O2TNJGODT0G5Z4TTKYMMBYD","GSON1243253200")</f>
        <v>#NAME?</v>
      </c>
      <c r="S2018" s="3" t="e">
        <f ca="1">[1]!BexGetData("DP_1","00O2TNJGODT0G5Z4TTKYMMI9X","GSON1243253200")</f>
        <v>#NAME?</v>
      </c>
      <c r="T2018" s="8" t="e">
        <f ca="1">[1]!BexGetData("DP_1","00O2TNJGODT0G5Z4TTKYMMOLH","GSON1243253200")</f>
        <v>#NAME?</v>
      </c>
      <c r="U2018" s="3" t="e">
        <f ca="1">[1]!BexGetData("DP_1","00O2TNJGODT0G5Z4TTKYMMUX1","GSON1243253200")</f>
        <v>#NAME?</v>
      </c>
      <c r="V2018" s="8" t="e">
        <f ca="1">[1]!BexGetData("DP_1","00O2TNJGODT0G5Z4TTKYMN18L","GSON1243253200")</f>
        <v>#NAME?</v>
      </c>
      <c r="W2018" s="3" t="e">
        <f ca="1">[1]!BexGetData("DP_1","00O2TNJGODT0G5Z4TTKYMN7K5","GSON1243253200")</f>
        <v>#NAME?</v>
      </c>
    </row>
    <row r="2019" spans="1:23" x14ac:dyDescent="0.2">
      <c r="A2019" s="16" t="s">
        <v>4724</v>
      </c>
      <c r="B2019" s="7" t="s">
        <v>4725</v>
      </c>
      <c r="C2019" s="8" t="e">
        <f ca="1">[1]!BexGetData("DP_1","003N8EMH8GTFRCSWKMPXRR8GU","GSON1243253201")</f>
        <v>#NAME?</v>
      </c>
      <c r="D2019" s="8" t="e">
        <f ca="1">[1]!BexGetData("DP_1","003N8EMH8GTFRCSWKMPXRRESE","GSON1243253201")</f>
        <v>#NAME?</v>
      </c>
      <c r="E2019" s="3" t="e">
        <f ca="1">[1]!BexGetData("DP_1","003N8EMH8GTFRCSWKMPXRRL3Y","GSON1243253201")</f>
        <v>#NAME?</v>
      </c>
      <c r="F2019" s="3" t="e">
        <f ca="1">[1]!BexGetData("DP_1","003N8EMH8GTFRCSWKMPXRRRFI","GSON1243253201")</f>
        <v>#NAME?</v>
      </c>
      <c r="G2019" s="3" t="e">
        <f ca="1">[1]!BexGetData("DP_1","003N8EMH8GTFRCSWKMPXRRXR2","GSON1243253201")</f>
        <v>#NAME?</v>
      </c>
      <c r="H2019" s="8" t="e">
        <f ca="1">[1]!BexGetData("DP_1","003N8EMH8GTFRCSWKMPXRS42M","GSON1243253201")</f>
        <v>#NAME?</v>
      </c>
      <c r="I2019" s="3" t="e">
        <f ca="1">[1]!BexGetData("DP_1","003N8EMH8GTFRCSWKMPXRSAE6","GSON1243253201")</f>
        <v>#NAME?</v>
      </c>
      <c r="J2019" s="4" t="e">
        <f ca="1">[1]!BexGetData("DP_1","003N8EMH8GTFRCSWKMPXRSGPQ","GSON1243253201")</f>
        <v>#NAME?</v>
      </c>
      <c r="K2019" s="8" t="e">
        <f ca="1">[1]!BexGetData("DP_1","003N8EMH8GTFRIVNUPY288VJH","GSON1243253201")</f>
        <v>#NAME?</v>
      </c>
      <c r="L2019" s="8" t="e">
        <f ca="1">[1]!BexGetData("DP_1","003N8EMH8GTFRIVNUPY2891V1","GSON1243253201")</f>
        <v>#NAME?</v>
      </c>
      <c r="M2019" s="8" t="e">
        <f ca="1">[1]!BexGetData("DP_1","003N8EMH8GTFRIVOG7KG9IQXA","GSON1243253201")</f>
        <v>#NAME?</v>
      </c>
      <c r="N2019" s="8" t="e">
        <f ca="1">[1]!BexGetData("DP_1","003N8EMH8GTFRIVOG7KG9IX8U","GSON1243253201")</f>
        <v>#NAME?</v>
      </c>
      <c r="O2019" s="8" t="e">
        <f ca="1">[1]!BexGetData("DP_1","003N8EMH8GTFRIVOG7KG9J3KE","GSON1243253201")</f>
        <v>#NAME?</v>
      </c>
      <c r="P2019" s="8" t="e">
        <f ca="1">[1]!BexGetData("DP_1","003N8EMH8GTFRIVOG7KG9J9VY","GSON1243253201")</f>
        <v>#NAME?</v>
      </c>
      <c r="Q2019" s="4" t="e">
        <f ca="1">[1]!BexGetData("DP_1","00O2TNJGODT0G5Z4TTKYMM5MT","GSON1243253201")</f>
        <v>#NAME?</v>
      </c>
      <c r="R2019" s="3" t="e">
        <f ca="1">[1]!BexGetData("DP_1","00O2TNJGODT0G5Z4TTKYMMBYD","GSON1243253201")</f>
        <v>#NAME?</v>
      </c>
      <c r="S2019" s="3" t="e">
        <f ca="1">[1]!BexGetData("DP_1","00O2TNJGODT0G5Z4TTKYMMI9X","GSON1243253201")</f>
        <v>#NAME?</v>
      </c>
      <c r="T2019" s="8" t="e">
        <f ca="1">[1]!BexGetData("DP_1","00O2TNJGODT0G5Z4TTKYMMOLH","GSON1243253201")</f>
        <v>#NAME?</v>
      </c>
      <c r="U2019" s="3" t="e">
        <f ca="1">[1]!BexGetData("DP_1","00O2TNJGODT0G5Z4TTKYMMUX1","GSON1243253201")</f>
        <v>#NAME?</v>
      </c>
      <c r="V2019" s="8" t="e">
        <f ca="1">[1]!BexGetData("DP_1","00O2TNJGODT0G5Z4TTKYMN18L","GSON1243253201")</f>
        <v>#NAME?</v>
      </c>
      <c r="W2019" s="3" t="e">
        <f ca="1">[1]!BexGetData("DP_1","00O2TNJGODT0G5Z4TTKYMN7K5","GSON1243253201")</f>
        <v>#NAME?</v>
      </c>
    </row>
    <row r="2020" spans="1:23" x14ac:dyDescent="0.2">
      <c r="A2020" s="15" t="s">
        <v>339</v>
      </c>
      <c r="B2020" s="7" t="s">
        <v>85</v>
      </c>
      <c r="C2020" s="3" t="e">
        <f ca="1">[1]!BexGetData("DP_1","003N8EMH8GTFRCSWKMPXRR8GU","GSON1244")</f>
        <v>#NAME?</v>
      </c>
      <c r="D2020" s="3" t="e">
        <f ca="1">[1]!BexGetData("DP_1","003N8EMH8GTFRCSWKMPXRRESE","GSON1244")</f>
        <v>#NAME?</v>
      </c>
      <c r="E2020" s="3" t="e">
        <f ca="1">[1]!BexGetData("DP_1","003N8EMH8GTFRCSWKMPXRRL3Y","GSON1244")</f>
        <v>#NAME?</v>
      </c>
      <c r="F2020" s="3" t="e">
        <f ca="1">[1]!BexGetData("DP_1","003N8EMH8GTFRCSWKMPXRRRFI","GSON1244")</f>
        <v>#NAME?</v>
      </c>
      <c r="G2020" s="3" t="e">
        <f ca="1">[1]!BexGetData("DP_1","003N8EMH8GTFRCSWKMPXRRXR2","GSON1244")</f>
        <v>#NAME?</v>
      </c>
      <c r="H2020" s="3" t="e">
        <f ca="1">[1]!BexGetData("DP_1","003N8EMH8GTFRCSWKMPXRS42M","GSON1244")</f>
        <v>#NAME?</v>
      </c>
      <c r="I2020" s="3" t="e">
        <f ca="1">[1]!BexGetData("DP_1","003N8EMH8GTFRCSWKMPXRSAE6","GSON1244")</f>
        <v>#NAME?</v>
      </c>
      <c r="J2020" s="4" t="e">
        <f ca="1">[1]!BexGetData("DP_1","003N8EMH8GTFRCSWKMPXRSGPQ","GSON1244")</f>
        <v>#NAME?</v>
      </c>
      <c r="K2020" s="3" t="e">
        <f ca="1">[1]!BexGetData("DP_1","003N8EMH8GTFRIVNUPY288VJH","GSON1244")</f>
        <v>#NAME?</v>
      </c>
      <c r="L2020" s="3" t="e">
        <f ca="1">[1]!BexGetData("DP_1","003N8EMH8GTFRIVNUPY2891V1","GSON1244")</f>
        <v>#NAME?</v>
      </c>
      <c r="M2020" s="8" t="e">
        <f ca="1">[1]!BexGetData("DP_1","003N8EMH8GTFRIVOG7KG9IQXA","GSON1244")</f>
        <v>#NAME?</v>
      </c>
      <c r="N2020" s="3" t="e">
        <f ca="1">[1]!BexGetData("DP_1","003N8EMH8GTFRIVOG7KG9IX8U","GSON1244")</f>
        <v>#NAME?</v>
      </c>
      <c r="O2020" s="8" t="e">
        <f ca="1">[1]!BexGetData("DP_1","003N8EMH8GTFRIVOG7KG9J3KE","GSON1244")</f>
        <v>#NAME?</v>
      </c>
      <c r="P2020" s="3" t="e">
        <f ca="1">[1]!BexGetData("DP_1","003N8EMH8GTFRIVOG7KG9J9VY","GSON1244")</f>
        <v>#NAME?</v>
      </c>
      <c r="Q2020" s="4" t="e">
        <f ca="1">[1]!BexGetData("DP_1","00O2TNJGODT0G5Z4TTKYMM5MT","GSON1244")</f>
        <v>#NAME?</v>
      </c>
      <c r="R2020" s="3" t="e">
        <f ca="1">[1]!BexGetData("DP_1","00O2TNJGODT0G5Z4TTKYMMBYD","GSON1244")</f>
        <v>#NAME?</v>
      </c>
      <c r="S2020" s="3" t="e">
        <f ca="1">[1]!BexGetData("DP_1","00O2TNJGODT0G5Z4TTKYMMI9X","GSON1244")</f>
        <v>#NAME?</v>
      </c>
      <c r="T2020" s="8" t="e">
        <f ca="1">[1]!BexGetData("DP_1","00O2TNJGODT0G5Z4TTKYMMOLH","GSON1244")</f>
        <v>#NAME?</v>
      </c>
      <c r="U2020" s="3" t="e">
        <f ca="1">[1]!BexGetData("DP_1","00O2TNJGODT0G5Z4TTKYMMUX1","GSON1244")</f>
        <v>#NAME?</v>
      </c>
      <c r="V2020" s="8" t="e">
        <f ca="1">[1]!BexGetData("DP_1","00O2TNJGODT0G5Z4TTKYMN18L","GSON1244")</f>
        <v>#NAME?</v>
      </c>
      <c r="W2020" s="3" t="e">
        <f ca="1">[1]!BexGetData("DP_1","00O2TNJGODT0G5Z4TTKYMN7K5","GSON1244")</f>
        <v>#NAME?</v>
      </c>
    </row>
    <row r="2021" spans="1:23" x14ac:dyDescent="0.2">
      <c r="A2021" s="16" t="s">
        <v>1332</v>
      </c>
      <c r="B2021" s="7" t="s">
        <v>1333</v>
      </c>
      <c r="C2021" s="8" t="e">
        <f ca="1">[1]!BexGetData("DP_1","003N8EMH8GTFRCSWKMPXRR8GU","GSON1244154100")</f>
        <v>#NAME?</v>
      </c>
      <c r="D2021" s="3" t="e">
        <f ca="1">[1]!BexGetData("DP_1","003N8EMH8GTFRCSWKMPXRRESE","GSON1244154100")</f>
        <v>#NAME?</v>
      </c>
      <c r="E2021" s="3" t="e">
        <f ca="1">[1]!BexGetData("DP_1","003N8EMH8GTFRCSWKMPXRRL3Y","GSON1244154100")</f>
        <v>#NAME?</v>
      </c>
      <c r="F2021" s="3" t="e">
        <f ca="1">[1]!BexGetData("DP_1","003N8EMH8GTFRCSWKMPXRRRFI","GSON1244154100")</f>
        <v>#NAME?</v>
      </c>
      <c r="G2021" s="3" t="e">
        <f ca="1">[1]!BexGetData("DP_1","003N8EMH8GTFRCSWKMPXRRXR2","GSON1244154100")</f>
        <v>#NAME?</v>
      </c>
      <c r="H2021" s="3" t="e">
        <f ca="1">[1]!BexGetData("DP_1","003N8EMH8GTFRCSWKMPXRS42M","GSON1244154100")</f>
        <v>#NAME?</v>
      </c>
      <c r="I2021" s="3" t="e">
        <f ca="1">[1]!BexGetData("DP_1","003N8EMH8GTFRCSWKMPXRSAE6","GSON1244154100")</f>
        <v>#NAME?</v>
      </c>
      <c r="J2021" s="4" t="e">
        <f ca="1">[1]!BexGetData("DP_1","003N8EMH8GTFRCSWKMPXRSGPQ","GSON1244154100")</f>
        <v>#NAME?</v>
      </c>
      <c r="K2021" s="3" t="e">
        <f ca="1">[1]!BexGetData("DP_1","003N8EMH8GTFRIVNUPY288VJH","GSON1244154100")</f>
        <v>#NAME?</v>
      </c>
      <c r="L2021" s="3" t="e">
        <f ca="1">[1]!BexGetData("DP_1","003N8EMH8GTFRIVNUPY2891V1","GSON1244154100")</f>
        <v>#NAME?</v>
      </c>
      <c r="M2021" s="3" t="e">
        <f ca="1">[1]!BexGetData("DP_1","003N8EMH8GTFRIVOG7KG9IQXA","GSON1244154100")</f>
        <v>#NAME?</v>
      </c>
      <c r="N2021" s="8" t="e">
        <f ca="1">[1]!BexGetData("DP_1","003N8EMH8GTFRIVOG7KG9IX8U","GSON1244154100")</f>
        <v>#NAME?</v>
      </c>
      <c r="O2021" s="3" t="e">
        <f ca="1">[1]!BexGetData("DP_1","003N8EMH8GTFRIVOG7KG9J3KE","GSON1244154100")</f>
        <v>#NAME?</v>
      </c>
      <c r="P2021" s="8" t="e">
        <f ca="1">[1]!BexGetData("DP_1","003N8EMH8GTFRIVOG7KG9J9VY","GSON1244154100")</f>
        <v>#NAME?</v>
      </c>
      <c r="Q2021" s="4" t="e">
        <f ca="1">[1]!BexGetData("DP_1","00O2TNJGODT0G5Z4TTKYMM5MT","GSON1244154100")</f>
        <v>#NAME?</v>
      </c>
      <c r="R2021" s="3" t="e">
        <f ca="1">[1]!BexGetData("DP_1","00O2TNJGODT0G5Z4TTKYMMBYD","GSON1244154100")</f>
        <v>#NAME?</v>
      </c>
      <c r="S2021" s="3" t="e">
        <f ca="1">[1]!BexGetData("DP_1","00O2TNJGODT0G5Z4TTKYMMI9X","GSON1244154100")</f>
        <v>#NAME?</v>
      </c>
      <c r="T2021" s="8" t="e">
        <f ca="1">[1]!BexGetData("DP_1","00O2TNJGODT0G5Z4TTKYMMOLH","GSON1244154100")</f>
        <v>#NAME?</v>
      </c>
      <c r="U2021" s="3" t="e">
        <f ca="1">[1]!BexGetData("DP_1","00O2TNJGODT0G5Z4TTKYMMUX1","GSON1244154100")</f>
        <v>#NAME?</v>
      </c>
      <c r="V2021" s="8" t="e">
        <f ca="1">[1]!BexGetData("DP_1","00O2TNJGODT0G5Z4TTKYMN18L","GSON1244154100")</f>
        <v>#NAME?</v>
      </c>
      <c r="W2021" s="3" t="e">
        <f ca="1">[1]!BexGetData("DP_1","00O2TNJGODT0G5Z4TTKYMN7K5","GSON1244154100")</f>
        <v>#NAME?</v>
      </c>
    </row>
    <row r="2022" spans="1:23" x14ac:dyDescent="0.2">
      <c r="A2022" s="16" t="s">
        <v>1334</v>
      </c>
      <c r="B2022" s="7" t="s">
        <v>86</v>
      </c>
      <c r="C2022" s="3" t="e">
        <f ca="1">[1]!BexGetData("DP_1","003N8EMH8GTFRCSWKMPXRR8GU","GSON1244154101")</f>
        <v>#NAME?</v>
      </c>
      <c r="D2022" s="3" t="e">
        <f ca="1">[1]!BexGetData("DP_1","003N8EMH8GTFRCSWKMPXRRESE","GSON1244154101")</f>
        <v>#NAME?</v>
      </c>
      <c r="E2022" s="3" t="e">
        <f ca="1">[1]!BexGetData("DP_1","003N8EMH8GTFRCSWKMPXRRL3Y","GSON1244154101")</f>
        <v>#NAME?</v>
      </c>
      <c r="F2022" s="3" t="e">
        <f ca="1">[1]!BexGetData("DP_1","003N8EMH8GTFRCSWKMPXRRRFI","GSON1244154101")</f>
        <v>#NAME?</v>
      </c>
      <c r="G2022" s="3" t="e">
        <f ca="1">[1]!BexGetData("DP_1","003N8EMH8GTFRCSWKMPXRRXR2","GSON1244154101")</f>
        <v>#NAME?</v>
      </c>
      <c r="H2022" s="8" t="e">
        <f ca="1">[1]!BexGetData("DP_1","003N8EMH8GTFRCSWKMPXRS42M","GSON1244154101")</f>
        <v>#NAME?</v>
      </c>
      <c r="I2022" s="3" t="e">
        <f ca="1">[1]!BexGetData("DP_1","003N8EMH8GTFRCSWKMPXRSAE6","GSON1244154101")</f>
        <v>#NAME?</v>
      </c>
      <c r="J2022" s="4" t="e">
        <f ca="1">[1]!BexGetData("DP_1","003N8EMH8GTFRCSWKMPXRSGPQ","GSON1244154101")</f>
        <v>#NAME?</v>
      </c>
      <c r="K2022" s="3" t="e">
        <f ca="1">[1]!BexGetData("DP_1","003N8EMH8GTFRIVNUPY288VJH","GSON1244154101")</f>
        <v>#NAME?</v>
      </c>
      <c r="L2022" s="3" t="e">
        <f ca="1">[1]!BexGetData("DP_1","003N8EMH8GTFRIVNUPY2891V1","GSON1244154101")</f>
        <v>#NAME?</v>
      </c>
      <c r="M2022" s="8" t="e">
        <f ca="1">[1]!BexGetData("DP_1","003N8EMH8GTFRIVOG7KG9IQXA","GSON1244154101")</f>
        <v>#NAME?</v>
      </c>
      <c r="N2022" s="3" t="e">
        <f ca="1">[1]!BexGetData("DP_1","003N8EMH8GTFRIVOG7KG9IX8U","GSON1244154101")</f>
        <v>#NAME?</v>
      </c>
      <c r="O2022" s="8" t="e">
        <f ca="1">[1]!BexGetData("DP_1","003N8EMH8GTFRIVOG7KG9J3KE","GSON1244154101")</f>
        <v>#NAME?</v>
      </c>
      <c r="P2022" s="3" t="e">
        <f ca="1">[1]!BexGetData("DP_1","003N8EMH8GTFRIVOG7KG9J9VY","GSON1244154101")</f>
        <v>#NAME?</v>
      </c>
      <c r="Q2022" s="4" t="e">
        <f ca="1">[1]!BexGetData("DP_1","00O2TNJGODT0G5Z4TTKYMM5MT","GSON1244154101")</f>
        <v>#NAME?</v>
      </c>
      <c r="R2022" s="3" t="e">
        <f ca="1">[1]!BexGetData("DP_1","00O2TNJGODT0G5Z4TTKYMMBYD","GSON1244154101")</f>
        <v>#NAME?</v>
      </c>
      <c r="S2022" s="3" t="e">
        <f ca="1">[1]!BexGetData("DP_1","00O2TNJGODT0G5Z4TTKYMMI9X","GSON1244154101")</f>
        <v>#NAME?</v>
      </c>
      <c r="T2022" s="8" t="e">
        <f ca="1">[1]!BexGetData("DP_1","00O2TNJGODT0G5Z4TTKYMMOLH","GSON1244154101")</f>
        <v>#NAME?</v>
      </c>
      <c r="U2022" s="3" t="e">
        <f ca="1">[1]!BexGetData("DP_1","00O2TNJGODT0G5Z4TTKYMMUX1","GSON1244154101")</f>
        <v>#NAME?</v>
      </c>
      <c r="V2022" s="8" t="e">
        <f ca="1">[1]!BexGetData("DP_1","00O2TNJGODT0G5Z4TTKYMN18L","GSON1244154101")</f>
        <v>#NAME?</v>
      </c>
      <c r="W2022" s="3" t="e">
        <f ca="1">[1]!BexGetData("DP_1","00O2TNJGODT0G5Z4TTKYMN7K5","GSON1244154101")</f>
        <v>#NAME?</v>
      </c>
    </row>
    <row r="2023" spans="1:23" x14ac:dyDescent="0.2">
      <c r="A2023" s="16" t="s">
        <v>1335</v>
      </c>
      <c r="B2023" s="7" t="s">
        <v>1336</v>
      </c>
      <c r="C2023" s="8" t="e">
        <f ca="1">[1]!BexGetData("DP_1","003N8EMH8GTFRCSWKMPXRR8GU","GSON1244254200")</f>
        <v>#NAME?</v>
      </c>
      <c r="D2023" s="3" t="e">
        <f ca="1">[1]!BexGetData("DP_1","003N8EMH8GTFRCSWKMPXRRESE","GSON1244254200")</f>
        <v>#NAME?</v>
      </c>
      <c r="E2023" s="3" t="e">
        <f ca="1">[1]!BexGetData("DP_1","003N8EMH8GTFRCSWKMPXRRL3Y","GSON1244254200")</f>
        <v>#NAME?</v>
      </c>
      <c r="F2023" s="3" t="e">
        <f ca="1">[1]!BexGetData("DP_1","003N8EMH8GTFRCSWKMPXRRRFI","GSON1244254200")</f>
        <v>#NAME?</v>
      </c>
      <c r="G2023" s="3" t="e">
        <f ca="1">[1]!BexGetData("DP_1","003N8EMH8GTFRCSWKMPXRRXR2","GSON1244254200")</f>
        <v>#NAME?</v>
      </c>
      <c r="H2023" s="3" t="e">
        <f ca="1">[1]!BexGetData("DP_1","003N8EMH8GTFRCSWKMPXRS42M","GSON1244254200")</f>
        <v>#NAME?</v>
      </c>
      <c r="I2023" s="3" t="e">
        <f ca="1">[1]!BexGetData("DP_1","003N8EMH8GTFRCSWKMPXRSAE6","GSON1244254200")</f>
        <v>#NAME?</v>
      </c>
      <c r="J2023" s="4" t="e">
        <f ca="1">[1]!BexGetData("DP_1","003N8EMH8GTFRCSWKMPXRSGPQ","GSON1244254200")</f>
        <v>#NAME?</v>
      </c>
      <c r="K2023" s="3" t="e">
        <f ca="1">[1]!BexGetData("DP_1","003N8EMH8GTFRIVNUPY288VJH","GSON1244254200")</f>
        <v>#NAME?</v>
      </c>
      <c r="L2023" s="3" t="e">
        <f ca="1">[1]!BexGetData("DP_1","003N8EMH8GTFRIVNUPY2891V1","GSON1244254200")</f>
        <v>#NAME?</v>
      </c>
      <c r="M2023" s="3" t="e">
        <f ca="1">[1]!BexGetData("DP_1","003N8EMH8GTFRIVOG7KG9IQXA","GSON1244254200")</f>
        <v>#NAME?</v>
      </c>
      <c r="N2023" s="8" t="e">
        <f ca="1">[1]!BexGetData("DP_1","003N8EMH8GTFRIVOG7KG9IX8U","GSON1244254200")</f>
        <v>#NAME?</v>
      </c>
      <c r="O2023" s="3" t="e">
        <f ca="1">[1]!BexGetData("DP_1","003N8EMH8GTFRIVOG7KG9J3KE","GSON1244254200")</f>
        <v>#NAME?</v>
      </c>
      <c r="P2023" s="8" t="e">
        <f ca="1">[1]!BexGetData("DP_1","003N8EMH8GTFRIVOG7KG9J9VY","GSON1244254200")</f>
        <v>#NAME?</v>
      </c>
      <c r="Q2023" s="4" t="e">
        <f ca="1">[1]!BexGetData("DP_1","00O2TNJGODT0G5Z4TTKYMM5MT","GSON1244254200")</f>
        <v>#NAME?</v>
      </c>
      <c r="R2023" s="3" t="e">
        <f ca="1">[1]!BexGetData("DP_1","00O2TNJGODT0G5Z4TTKYMMBYD","GSON1244254200")</f>
        <v>#NAME?</v>
      </c>
      <c r="S2023" s="3" t="e">
        <f ca="1">[1]!BexGetData("DP_1","00O2TNJGODT0G5Z4TTKYMMI9X","GSON1244254200")</f>
        <v>#NAME?</v>
      </c>
      <c r="T2023" s="8" t="e">
        <f ca="1">[1]!BexGetData("DP_1","00O2TNJGODT0G5Z4TTKYMMOLH","GSON1244254200")</f>
        <v>#NAME?</v>
      </c>
      <c r="U2023" s="3" t="e">
        <f ca="1">[1]!BexGetData("DP_1","00O2TNJGODT0G5Z4TTKYMMUX1","GSON1244254200")</f>
        <v>#NAME?</v>
      </c>
      <c r="V2023" s="8" t="e">
        <f ca="1">[1]!BexGetData("DP_1","00O2TNJGODT0G5Z4TTKYMN18L","GSON1244254200")</f>
        <v>#NAME?</v>
      </c>
      <c r="W2023" s="3" t="e">
        <f ca="1">[1]!BexGetData("DP_1","00O2TNJGODT0G5Z4TTKYMN7K5","GSON1244254200")</f>
        <v>#NAME?</v>
      </c>
    </row>
    <row r="2024" spans="1:23" x14ac:dyDescent="0.2">
      <c r="A2024" s="16" t="s">
        <v>4726</v>
      </c>
      <c r="B2024" s="7" t="s">
        <v>4727</v>
      </c>
      <c r="C2024" s="3" t="e">
        <f ca="1">[1]!BexGetData("DP_1","003N8EMH8GTFRCSWKMPXRR8GU","GSON1244254201")</f>
        <v>#NAME?</v>
      </c>
      <c r="D2024" s="8" t="e">
        <f ca="1">[1]!BexGetData("DP_1","003N8EMH8GTFRCSWKMPXRRESE","GSON1244254201")</f>
        <v>#NAME?</v>
      </c>
      <c r="E2024" s="3" t="e">
        <f ca="1">[1]!BexGetData("DP_1","003N8EMH8GTFRCSWKMPXRRL3Y","GSON1244254201")</f>
        <v>#NAME?</v>
      </c>
      <c r="F2024" s="3" t="e">
        <f ca="1">[1]!BexGetData("DP_1","003N8EMH8GTFRCSWKMPXRRRFI","GSON1244254201")</f>
        <v>#NAME?</v>
      </c>
      <c r="G2024" s="3" t="e">
        <f ca="1">[1]!BexGetData("DP_1","003N8EMH8GTFRCSWKMPXRRXR2","GSON1244254201")</f>
        <v>#NAME?</v>
      </c>
      <c r="H2024" s="8" t="e">
        <f ca="1">[1]!BexGetData("DP_1","003N8EMH8GTFRCSWKMPXRS42M","GSON1244254201")</f>
        <v>#NAME?</v>
      </c>
      <c r="I2024" s="3" t="e">
        <f ca="1">[1]!BexGetData("DP_1","003N8EMH8GTFRCSWKMPXRSAE6","GSON1244254201")</f>
        <v>#NAME?</v>
      </c>
      <c r="J2024" s="4" t="e">
        <f ca="1">[1]!BexGetData("DP_1","003N8EMH8GTFRCSWKMPXRSGPQ","GSON1244254201")</f>
        <v>#NAME?</v>
      </c>
      <c r="K2024" s="3" t="e">
        <f ca="1">[1]!BexGetData("DP_1","003N8EMH8GTFRIVNUPY288VJH","GSON1244254201")</f>
        <v>#NAME?</v>
      </c>
      <c r="L2024" s="3" t="e">
        <f ca="1">[1]!BexGetData("DP_1","003N8EMH8GTFRIVNUPY2891V1","GSON1244254201")</f>
        <v>#NAME?</v>
      </c>
      <c r="M2024" s="8" t="e">
        <f ca="1">[1]!BexGetData("DP_1","003N8EMH8GTFRIVOG7KG9IQXA","GSON1244254201")</f>
        <v>#NAME?</v>
      </c>
      <c r="N2024" s="3" t="e">
        <f ca="1">[1]!BexGetData("DP_1","003N8EMH8GTFRIVOG7KG9IX8U","GSON1244254201")</f>
        <v>#NAME?</v>
      </c>
      <c r="O2024" s="8" t="e">
        <f ca="1">[1]!BexGetData("DP_1","003N8EMH8GTFRIVOG7KG9J3KE","GSON1244254201")</f>
        <v>#NAME?</v>
      </c>
      <c r="P2024" s="3" t="e">
        <f ca="1">[1]!BexGetData("DP_1","003N8EMH8GTFRIVOG7KG9J9VY","GSON1244254201")</f>
        <v>#NAME?</v>
      </c>
      <c r="Q2024" s="4" t="e">
        <f ca="1">[1]!BexGetData("DP_1","00O2TNJGODT0G5Z4TTKYMM5MT","GSON1244254201")</f>
        <v>#NAME?</v>
      </c>
      <c r="R2024" s="3" t="e">
        <f ca="1">[1]!BexGetData("DP_1","00O2TNJGODT0G5Z4TTKYMMBYD","GSON1244254201")</f>
        <v>#NAME?</v>
      </c>
      <c r="S2024" s="3" t="e">
        <f ca="1">[1]!BexGetData("DP_1","00O2TNJGODT0G5Z4TTKYMMI9X","GSON1244254201")</f>
        <v>#NAME?</v>
      </c>
      <c r="T2024" s="8" t="e">
        <f ca="1">[1]!BexGetData("DP_1","00O2TNJGODT0G5Z4TTKYMMOLH","GSON1244254201")</f>
        <v>#NAME?</v>
      </c>
      <c r="U2024" s="3" t="e">
        <f ca="1">[1]!BexGetData("DP_1","00O2TNJGODT0G5Z4TTKYMMUX1","GSON1244254201")</f>
        <v>#NAME?</v>
      </c>
      <c r="V2024" s="8" t="e">
        <f ca="1">[1]!BexGetData("DP_1","00O2TNJGODT0G5Z4TTKYMN18L","GSON1244254201")</f>
        <v>#NAME?</v>
      </c>
      <c r="W2024" s="3" t="e">
        <f ca="1">[1]!BexGetData("DP_1","00O2TNJGODT0G5Z4TTKYMN7K5","GSON1244254201")</f>
        <v>#NAME?</v>
      </c>
    </row>
    <row r="2025" spans="1:23" x14ac:dyDescent="0.2">
      <c r="A2025" s="16" t="s">
        <v>4728</v>
      </c>
      <c r="B2025" s="7" t="s">
        <v>4729</v>
      </c>
      <c r="C2025" s="8" t="e">
        <f ca="1">[1]!BexGetData("DP_1","003N8EMH8GTFRCSWKMPXRR8GU","GSON1244354300")</f>
        <v>#NAME?</v>
      </c>
      <c r="D2025" s="8" t="e">
        <f ca="1">[1]!BexGetData("DP_1","003N8EMH8GTFRCSWKMPXRRESE","GSON1244354300")</f>
        <v>#NAME?</v>
      </c>
      <c r="E2025" s="3" t="e">
        <f ca="1">[1]!BexGetData("DP_1","003N8EMH8GTFRCSWKMPXRRL3Y","GSON1244354300")</f>
        <v>#NAME?</v>
      </c>
      <c r="F2025" s="3" t="e">
        <f ca="1">[1]!BexGetData("DP_1","003N8EMH8GTFRCSWKMPXRRRFI","GSON1244354300")</f>
        <v>#NAME?</v>
      </c>
      <c r="G2025" s="3" t="e">
        <f ca="1">[1]!BexGetData("DP_1","003N8EMH8GTFRCSWKMPXRRXR2","GSON1244354300")</f>
        <v>#NAME?</v>
      </c>
      <c r="H2025" s="8" t="e">
        <f ca="1">[1]!BexGetData("DP_1","003N8EMH8GTFRCSWKMPXRS42M","GSON1244354300")</f>
        <v>#NAME?</v>
      </c>
      <c r="I2025" s="3" t="e">
        <f ca="1">[1]!BexGetData("DP_1","003N8EMH8GTFRCSWKMPXRSAE6","GSON1244354300")</f>
        <v>#NAME?</v>
      </c>
      <c r="J2025" s="4" t="e">
        <f ca="1">[1]!BexGetData("DP_1","003N8EMH8GTFRCSWKMPXRSGPQ","GSON1244354300")</f>
        <v>#NAME?</v>
      </c>
      <c r="K2025" s="8" t="e">
        <f ca="1">[1]!BexGetData("DP_1","003N8EMH8GTFRIVNUPY288VJH","GSON1244354300")</f>
        <v>#NAME?</v>
      </c>
      <c r="L2025" s="8" t="e">
        <f ca="1">[1]!BexGetData("DP_1","003N8EMH8GTFRIVNUPY2891V1","GSON1244354300")</f>
        <v>#NAME?</v>
      </c>
      <c r="M2025" s="8" t="e">
        <f ca="1">[1]!BexGetData("DP_1","003N8EMH8GTFRIVOG7KG9IQXA","GSON1244354300")</f>
        <v>#NAME?</v>
      </c>
      <c r="N2025" s="8" t="e">
        <f ca="1">[1]!BexGetData("DP_1","003N8EMH8GTFRIVOG7KG9IX8U","GSON1244354300")</f>
        <v>#NAME?</v>
      </c>
      <c r="O2025" s="8" t="e">
        <f ca="1">[1]!BexGetData("DP_1","003N8EMH8GTFRIVOG7KG9J3KE","GSON1244354300")</f>
        <v>#NAME?</v>
      </c>
      <c r="P2025" s="8" t="e">
        <f ca="1">[1]!BexGetData("DP_1","003N8EMH8GTFRIVOG7KG9J9VY","GSON1244354300")</f>
        <v>#NAME?</v>
      </c>
      <c r="Q2025" s="4" t="e">
        <f ca="1">[1]!BexGetData("DP_1","00O2TNJGODT0G5Z4TTKYMM5MT","GSON1244354300")</f>
        <v>#NAME?</v>
      </c>
      <c r="R2025" s="3" t="e">
        <f ca="1">[1]!BexGetData("DP_1","00O2TNJGODT0G5Z4TTKYMMBYD","GSON1244354300")</f>
        <v>#NAME?</v>
      </c>
      <c r="S2025" s="3" t="e">
        <f ca="1">[1]!BexGetData("DP_1","00O2TNJGODT0G5Z4TTKYMMI9X","GSON1244354300")</f>
        <v>#NAME?</v>
      </c>
      <c r="T2025" s="8" t="e">
        <f ca="1">[1]!BexGetData("DP_1","00O2TNJGODT0G5Z4TTKYMMOLH","GSON1244354300")</f>
        <v>#NAME?</v>
      </c>
      <c r="U2025" s="3" t="e">
        <f ca="1">[1]!BexGetData("DP_1","00O2TNJGODT0G5Z4TTKYMMUX1","GSON1244354300")</f>
        <v>#NAME?</v>
      </c>
      <c r="V2025" s="8" t="e">
        <f ca="1">[1]!BexGetData("DP_1","00O2TNJGODT0G5Z4TTKYMN18L","GSON1244354300")</f>
        <v>#NAME?</v>
      </c>
      <c r="W2025" s="3" t="e">
        <f ca="1">[1]!BexGetData("DP_1","00O2TNJGODT0G5Z4TTKYMN7K5","GSON1244354300")</f>
        <v>#NAME?</v>
      </c>
    </row>
    <row r="2026" spans="1:23" x14ac:dyDescent="0.2">
      <c r="A2026" s="16" t="s">
        <v>4730</v>
      </c>
      <c r="B2026" s="7" t="s">
        <v>4731</v>
      </c>
      <c r="C2026" s="3" t="e">
        <f ca="1">[1]!BexGetData("DP_1","003N8EMH8GTFRCSWKMPXRR8GU","GSON1244554501")</f>
        <v>#NAME?</v>
      </c>
      <c r="D2026" s="8" t="e">
        <f ca="1">[1]!BexGetData("DP_1","003N8EMH8GTFRCSWKMPXRRESE","GSON1244554501")</f>
        <v>#NAME?</v>
      </c>
      <c r="E2026" s="3" t="e">
        <f ca="1">[1]!BexGetData("DP_1","003N8EMH8GTFRCSWKMPXRRL3Y","GSON1244554501")</f>
        <v>#NAME?</v>
      </c>
      <c r="F2026" s="4" t="e">
        <f ca="1">[1]!BexGetData("DP_1","003N8EMH8GTFRCSWKMPXRRRFI","GSON1244554501")</f>
        <v>#NAME?</v>
      </c>
      <c r="G2026" s="4" t="e">
        <f ca="1">[1]!BexGetData("DP_1","003N8EMH8GTFRCSWKMPXRRXR2","GSON1244554501")</f>
        <v>#NAME?</v>
      </c>
      <c r="H2026" s="4" t="e">
        <f ca="1">[1]!BexGetData("DP_1","003N8EMH8GTFRCSWKMPXRS42M","GSON1244554501")</f>
        <v>#NAME?</v>
      </c>
      <c r="I2026" s="4" t="e">
        <f ca="1">[1]!BexGetData("DP_1","003N8EMH8GTFRCSWKMPXRSAE6","GSON1244554501")</f>
        <v>#NAME?</v>
      </c>
      <c r="J2026" s="4" t="e">
        <f ca="1">[1]!BexGetData("DP_1","003N8EMH8GTFRCSWKMPXRSGPQ","GSON1244554501")</f>
        <v>#NAME?</v>
      </c>
      <c r="K2026" s="3" t="e">
        <f ca="1">[1]!BexGetData("DP_1","003N8EMH8GTFRIVNUPY288VJH","GSON1244554501")</f>
        <v>#NAME?</v>
      </c>
      <c r="L2026" s="3" t="e">
        <f ca="1">[1]!BexGetData("DP_1","003N8EMH8GTFRIVNUPY2891V1","GSON1244554501")</f>
        <v>#NAME?</v>
      </c>
      <c r="M2026" s="8" t="e">
        <f ca="1">[1]!BexGetData("DP_1","003N8EMH8GTFRIVOG7KG9IQXA","GSON1244554501")</f>
        <v>#NAME?</v>
      </c>
      <c r="N2026" s="3" t="e">
        <f ca="1">[1]!BexGetData("DP_1","003N8EMH8GTFRIVOG7KG9IX8U","GSON1244554501")</f>
        <v>#NAME?</v>
      </c>
      <c r="O2026" s="8" t="e">
        <f ca="1">[1]!BexGetData("DP_1","003N8EMH8GTFRIVOG7KG9J3KE","GSON1244554501")</f>
        <v>#NAME?</v>
      </c>
      <c r="P2026" s="3" t="e">
        <f ca="1">[1]!BexGetData("DP_1","003N8EMH8GTFRIVOG7KG9J9VY","GSON1244554501")</f>
        <v>#NAME?</v>
      </c>
      <c r="Q2026" s="4" t="e">
        <f ca="1">[1]!BexGetData("DP_1","00O2TNJGODT0G5Z4TTKYMM5MT","GSON1244554501")</f>
        <v>#NAME?</v>
      </c>
      <c r="R2026" s="4" t="e">
        <f ca="1">[1]!BexGetData("DP_1","00O2TNJGODT0G5Z4TTKYMMBYD","GSON1244554501")</f>
        <v>#NAME?</v>
      </c>
      <c r="S2026" s="4" t="e">
        <f ca="1">[1]!BexGetData("DP_1","00O2TNJGODT0G5Z4TTKYMMI9X","GSON1244554501")</f>
        <v>#NAME?</v>
      </c>
      <c r="T2026" s="4" t="e">
        <f ca="1">[1]!BexGetData("DP_1","00O2TNJGODT0G5Z4TTKYMMOLH","GSON1244554501")</f>
        <v>#NAME?</v>
      </c>
      <c r="U2026" s="4" t="e">
        <f ca="1">[1]!BexGetData("DP_1","00O2TNJGODT0G5Z4TTKYMMUX1","GSON1244554501")</f>
        <v>#NAME?</v>
      </c>
      <c r="V2026" s="4" t="e">
        <f ca="1">[1]!BexGetData("DP_1","00O2TNJGODT0G5Z4TTKYMN18L","GSON1244554501")</f>
        <v>#NAME?</v>
      </c>
      <c r="W2026" s="4" t="e">
        <f ca="1">[1]!BexGetData("DP_1","00O2TNJGODT0G5Z4TTKYMN7K5","GSON1244554501")</f>
        <v>#NAME?</v>
      </c>
    </row>
    <row r="2027" spans="1:23" x14ac:dyDescent="0.2">
      <c r="A2027" s="16" t="s">
        <v>4732</v>
      </c>
      <c r="B2027" s="7" t="s">
        <v>4733</v>
      </c>
      <c r="C2027" s="3" t="e">
        <f ca="1">[1]!BexGetData("DP_1","003N8EMH8GTFRCSWKMPXRR8GU","GSON1244954901")</f>
        <v>#NAME?</v>
      </c>
      <c r="D2027" s="8" t="e">
        <f ca="1">[1]!BexGetData("DP_1","003N8EMH8GTFRCSWKMPXRRESE","GSON1244954901")</f>
        <v>#NAME?</v>
      </c>
      <c r="E2027" s="3" t="e">
        <f ca="1">[1]!BexGetData("DP_1","003N8EMH8GTFRCSWKMPXRRL3Y","GSON1244954901")</f>
        <v>#NAME?</v>
      </c>
      <c r="F2027" s="3" t="e">
        <f ca="1">[1]!BexGetData("DP_1","003N8EMH8GTFRCSWKMPXRRRFI","GSON1244954901")</f>
        <v>#NAME?</v>
      </c>
      <c r="G2027" s="3" t="e">
        <f ca="1">[1]!BexGetData("DP_1","003N8EMH8GTFRCSWKMPXRRXR2","GSON1244954901")</f>
        <v>#NAME?</v>
      </c>
      <c r="H2027" s="8" t="e">
        <f ca="1">[1]!BexGetData("DP_1","003N8EMH8GTFRCSWKMPXRS42M","GSON1244954901")</f>
        <v>#NAME?</v>
      </c>
      <c r="I2027" s="3" t="e">
        <f ca="1">[1]!BexGetData("DP_1","003N8EMH8GTFRCSWKMPXRSAE6","GSON1244954901")</f>
        <v>#NAME?</v>
      </c>
      <c r="J2027" s="4" t="e">
        <f ca="1">[1]!BexGetData("DP_1","003N8EMH8GTFRCSWKMPXRSGPQ","GSON1244954901")</f>
        <v>#NAME?</v>
      </c>
      <c r="K2027" s="3" t="e">
        <f ca="1">[1]!BexGetData("DP_1","003N8EMH8GTFRIVNUPY288VJH","GSON1244954901")</f>
        <v>#NAME?</v>
      </c>
      <c r="L2027" s="3" t="e">
        <f ca="1">[1]!BexGetData("DP_1","003N8EMH8GTFRIVNUPY2891V1","GSON1244954901")</f>
        <v>#NAME?</v>
      </c>
      <c r="M2027" s="8" t="e">
        <f ca="1">[1]!BexGetData("DP_1","003N8EMH8GTFRIVOG7KG9IQXA","GSON1244954901")</f>
        <v>#NAME?</v>
      </c>
      <c r="N2027" s="3" t="e">
        <f ca="1">[1]!BexGetData("DP_1","003N8EMH8GTFRIVOG7KG9IX8U","GSON1244954901")</f>
        <v>#NAME?</v>
      </c>
      <c r="O2027" s="8" t="e">
        <f ca="1">[1]!BexGetData("DP_1","003N8EMH8GTFRIVOG7KG9J3KE","GSON1244954901")</f>
        <v>#NAME?</v>
      </c>
      <c r="P2027" s="3" t="e">
        <f ca="1">[1]!BexGetData("DP_1","003N8EMH8GTFRIVOG7KG9J9VY","GSON1244954901")</f>
        <v>#NAME?</v>
      </c>
      <c r="Q2027" s="4" t="e">
        <f ca="1">[1]!BexGetData("DP_1","00O2TNJGODT0G5Z4TTKYMM5MT","GSON1244954901")</f>
        <v>#NAME?</v>
      </c>
      <c r="R2027" s="3" t="e">
        <f ca="1">[1]!BexGetData("DP_1","00O2TNJGODT0G5Z4TTKYMMBYD","GSON1244954901")</f>
        <v>#NAME?</v>
      </c>
      <c r="S2027" s="3" t="e">
        <f ca="1">[1]!BexGetData("DP_1","00O2TNJGODT0G5Z4TTKYMMI9X","GSON1244954901")</f>
        <v>#NAME?</v>
      </c>
      <c r="T2027" s="8" t="e">
        <f ca="1">[1]!BexGetData("DP_1","00O2TNJGODT0G5Z4TTKYMMOLH","GSON1244954901")</f>
        <v>#NAME?</v>
      </c>
      <c r="U2027" s="3" t="e">
        <f ca="1">[1]!BexGetData("DP_1","00O2TNJGODT0G5Z4TTKYMMUX1","GSON1244954901")</f>
        <v>#NAME?</v>
      </c>
      <c r="V2027" s="8" t="e">
        <f ca="1">[1]!BexGetData("DP_1","00O2TNJGODT0G5Z4TTKYMN18L","GSON1244954901")</f>
        <v>#NAME?</v>
      </c>
      <c r="W2027" s="3" t="e">
        <f ca="1">[1]!BexGetData("DP_1","00O2TNJGODT0G5Z4TTKYMN7K5","GSON1244954901")</f>
        <v>#NAME?</v>
      </c>
    </row>
    <row r="2028" spans="1:23" x14ac:dyDescent="0.2">
      <c r="A2028" s="15" t="s">
        <v>4734</v>
      </c>
      <c r="B2028" s="7" t="s">
        <v>4735</v>
      </c>
      <c r="C2028" s="3" t="e">
        <f ca="1">[1]!BexGetData("DP_1","003N8EMH8GTFRCSWKMPXRR8GU","GSON1245")</f>
        <v>#NAME?</v>
      </c>
      <c r="D2028" s="3" t="e">
        <f ca="1">[1]!BexGetData("DP_1","003N8EMH8GTFRCSWKMPXRRESE","GSON1245")</f>
        <v>#NAME?</v>
      </c>
      <c r="E2028" s="3" t="e">
        <f ca="1">[1]!BexGetData("DP_1","003N8EMH8GTFRCSWKMPXRRL3Y","GSON1245")</f>
        <v>#NAME?</v>
      </c>
      <c r="F2028" s="3" t="e">
        <f ca="1">[1]!BexGetData("DP_1","003N8EMH8GTFRCSWKMPXRRRFI","GSON1245")</f>
        <v>#NAME?</v>
      </c>
      <c r="G2028" s="3" t="e">
        <f ca="1">[1]!BexGetData("DP_1","003N8EMH8GTFRCSWKMPXRRXR2","GSON1245")</f>
        <v>#NAME?</v>
      </c>
      <c r="H2028" s="3" t="e">
        <f ca="1">[1]!BexGetData("DP_1","003N8EMH8GTFRCSWKMPXRS42M","GSON1245")</f>
        <v>#NAME?</v>
      </c>
      <c r="I2028" s="3" t="e">
        <f ca="1">[1]!BexGetData("DP_1","003N8EMH8GTFRCSWKMPXRSAE6","GSON1245")</f>
        <v>#NAME?</v>
      </c>
      <c r="J2028" s="4" t="e">
        <f ca="1">[1]!BexGetData("DP_1","003N8EMH8GTFRCSWKMPXRSGPQ","GSON1245")</f>
        <v>#NAME?</v>
      </c>
      <c r="K2028" s="3" t="e">
        <f ca="1">[1]!BexGetData("DP_1","003N8EMH8GTFRIVNUPY288VJH","GSON1245")</f>
        <v>#NAME?</v>
      </c>
      <c r="L2028" s="3" t="e">
        <f ca="1">[1]!BexGetData("DP_1","003N8EMH8GTFRIVNUPY2891V1","GSON1245")</f>
        <v>#NAME?</v>
      </c>
      <c r="M2028" s="8" t="e">
        <f ca="1">[1]!BexGetData("DP_1","003N8EMH8GTFRIVOG7KG9IQXA","GSON1245")</f>
        <v>#NAME?</v>
      </c>
      <c r="N2028" s="3" t="e">
        <f ca="1">[1]!BexGetData("DP_1","003N8EMH8GTFRIVOG7KG9IX8U","GSON1245")</f>
        <v>#NAME?</v>
      </c>
      <c r="O2028" s="8" t="e">
        <f ca="1">[1]!BexGetData("DP_1","003N8EMH8GTFRIVOG7KG9J3KE","GSON1245")</f>
        <v>#NAME?</v>
      </c>
      <c r="P2028" s="3" t="e">
        <f ca="1">[1]!BexGetData("DP_1","003N8EMH8GTFRIVOG7KG9J9VY","GSON1245")</f>
        <v>#NAME?</v>
      </c>
      <c r="Q2028" s="4" t="e">
        <f ca="1">[1]!BexGetData("DP_1","00O2TNJGODT0G5Z4TTKYMM5MT","GSON1245")</f>
        <v>#NAME?</v>
      </c>
      <c r="R2028" s="3" t="e">
        <f ca="1">[1]!BexGetData("DP_1","00O2TNJGODT0G5Z4TTKYMMBYD","GSON1245")</f>
        <v>#NAME?</v>
      </c>
      <c r="S2028" s="3" t="e">
        <f ca="1">[1]!BexGetData("DP_1","00O2TNJGODT0G5Z4TTKYMMI9X","GSON1245")</f>
        <v>#NAME?</v>
      </c>
      <c r="T2028" s="8" t="e">
        <f ca="1">[1]!BexGetData("DP_1","00O2TNJGODT0G5Z4TTKYMMOLH","GSON1245")</f>
        <v>#NAME?</v>
      </c>
      <c r="U2028" s="3" t="e">
        <f ca="1">[1]!BexGetData("DP_1","00O2TNJGODT0G5Z4TTKYMMUX1","GSON1245")</f>
        <v>#NAME?</v>
      </c>
      <c r="V2028" s="8" t="e">
        <f ca="1">[1]!BexGetData("DP_1","00O2TNJGODT0G5Z4TTKYMN18L","GSON1245")</f>
        <v>#NAME?</v>
      </c>
      <c r="W2028" s="3" t="e">
        <f ca="1">[1]!BexGetData("DP_1","00O2TNJGODT0G5Z4TTKYMN7K5","GSON1245")</f>
        <v>#NAME?</v>
      </c>
    </row>
    <row r="2029" spans="1:23" x14ac:dyDescent="0.2">
      <c r="A2029" s="16" t="s">
        <v>4736</v>
      </c>
      <c r="B2029" s="7" t="s">
        <v>4737</v>
      </c>
      <c r="C2029" s="8" t="e">
        <f ca="1">[1]!BexGetData("DP_1","003N8EMH8GTFRCSWKMPXRR8GU","GSON1245155100")</f>
        <v>#NAME?</v>
      </c>
      <c r="D2029" s="8" t="e">
        <f ca="1">[1]!BexGetData("DP_1","003N8EMH8GTFRCSWKMPXRRESE","GSON1245155100")</f>
        <v>#NAME?</v>
      </c>
      <c r="E2029" s="3" t="e">
        <f ca="1">[1]!BexGetData("DP_1","003N8EMH8GTFRCSWKMPXRRL3Y","GSON1245155100")</f>
        <v>#NAME?</v>
      </c>
      <c r="F2029" s="3" t="e">
        <f ca="1">[1]!BexGetData("DP_1","003N8EMH8GTFRCSWKMPXRRRFI","GSON1245155100")</f>
        <v>#NAME?</v>
      </c>
      <c r="G2029" s="3" t="e">
        <f ca="1">[1]!BexGetData("DP_1","003N8EMH8GTFRCSWKMPXRRXR2","GSON1245155100")</f>
        <v>#NAME?</v>
      </c>
      <c r="H2029" s="3" t="e">
        <f ca="1">[1]!BexGetData("DP_1","003N8EMH8GTFRCSWKMPXRS42M","GSON1245155100")</f>
        <v>#NAME?</v>
      </c>
      <c r="I2029" s="3" t="e">
        <f ca="1">[1]!BexGetData("DP_1","003N8EMH8GTFRCSWKMPXRSAE6","GSON1245155100")</f>
        <v>#NAME?</v>
      </c>
      <c r="J2029" s="4" t="e">
        <f ca="1">[1]!BexGetData("DP_1","003N8EMH8GTFRCSWKMPXRSGPQ","GSON1245155100")</f>
        <v>#NAME?</v>
      </c>
      <c r="K2029" s="8" t="e">
        <f ca="1">[1]!BexGetData("DP_1","003N8EMH8GTFRIVNUPY288VJH","GSON1245155100")</f>
        <v>#NAME?</v>
      </c>
      <c r="L2029" s="8" t="e">
        <f ca="1">[1]!BexGetData("DP_1","003N8EMH8GTFRIVNUPY2891V1","GSON1245155100")</f>
        <v>#NAME?</v>
      </c>
      <c r="M2029" s="8" t="e">
        <f ca="1">[1]!BexGetData("DP_1","003N8EMH8GTFRIVOG7KG9IQXA","GSON1245155100")</f>
        <v>#NAME?</v>
      </c>
      <c r="N2029" s="8" t="e">
        <f ca="1">[1]!BexGetData("DP_1","003N8EMH8GTFRIVOG7KG9IX8U","GSON1245155100")</f>
        <v>#NAME?</v>
      </c>
      <c r="O2029" s="8" t="e">
        <f ca="1">[1]!BexGetData("DP_1","003N8EMH8GTFRIVOG7KG9J3KE","GSON1245155100")</f>
        <v>#NAME?</v>
      </c>
      <c r="P2029" s="8" t="e">
        <f ca="1">[1]!BexGetData("DP_1","003N8EMH8GTFRIVOG7KG9J9VY","GSON1245155100")</f>
        <v>#NAME?</v>
      </c>
      <c r="Q2029" s="4" t="e">
        <f ca="1">[1]!BexGetData("DP_1","00O2TNJGODT0G5Z4TTKYMM5MT","GSON1245155100")</f>
        <v>#NAME?</v>
      </c>
      <c r="R2029" s="3" t="e">
        <f ca="1">[1]!BexGetData("DP_1","00O2TNJGODT0G5Z4TTKYMMBYD","GSON1245155100")</f>
        <v>#NAME?</v>
      </c>
      <c r="S2029" s="3" t="e">
        <f ca="1">[1]!BexGetData("DP_1","00O2TNJGODT0G5Z4TTKYMMI9X","GSON1245155100")</f>
        <v>#NAME?</v>
      </c>
      <c r="T2029" s="8" t="e">
        <f ca="1">[1]!BexGetData("DP_1","00O2TNJGODT0G5Z4TTKYMMOLH","GSON1245155100")</f>
        <v>#NAME?</v>
      </c>
      <c r="U2029" s="3" t="e">
        <f ca="1">[1]!BexGetData("DP_1","00O2TNJGODT0G5Z4TTKYMMUX1","GSON1245155100")</f>
        <v>#NAME?</v>
      </c>
      <c r="V2029" s="8" t="e">
        <f ca="1">[1]!BexGetData("DP_1","00O2TNJGODT0G5Z4TTKYMN18L","GSON1245155100")</f>
        <v>#NAME?</v>
      </c>
      <c r="W2029" s="3" t="e">
        <f ca="1">[1]!BexGetData("DP_1","00O2TNJGODT0G5Z4TTKYMN7K5","GSON1245155100")</f>
        <v>#NAME?</v>
      </c>
    </row>
    <row r="2030" spans="1:23" x14ac:dyDescent="0.2">
      <c r="A2030" s="16" t="s">
        <v>4738</v>
      </c>
      <c r="B2030" s="7" t="s">
        <v>4739</v>
      </c>
      <c r="C2030" s="3" t="e">
        <f ca="1">[1]!BexGetData("DP_1","003N8EMH8GTFRCSWKMPXRR8GU","GSON1245155101")</f>
        <v>#NAME?</v>
      </c>
      <c r="D2030" s="3" t="e">
        <f ca="1">[1]!BexGetData("DP_1","003N8EMH8GTFRCSWKMPXRRESE","GSON1245155101")</f>
        <v>#NAME?</v>
      </c>
      <c r="E2030" s="3" t="e">
        <f ca="1">[1]!BexGetData("DP_1","003N8EMH8GTFRCSWKMPXRRL3Y","GSON1245155101")</f>
        <v>#NAME?</v>
      </c>
      <c r="F2030" s="3" t="e">
        <f ca="1">[1]!BexGetData("DP_1","003N8EMH8GTFRCSWKMPXRRRFI","GSON1245155101")</f>
        <v>#NAME?</v>
      </c>
      <c r="G2030" s="3" t="e">
        <f ca="1">[1]!BexGetData("DP_1","003N8EMH8GTFRCSWKMPXRRXR2","GSON1245155101")</f>
        <v>#NAME?</v>
      </c>
      <c r="H2030" s="8" t="e">
        <f ca="1">[1]!BexGetData("DP_1","003N8EMH8GTFRCSWKMPXRS42M","GSON1245155101")</f>
        <v>#NAME?</v>
      </c>
      <c r="I2030" s="3" t="e">
        <f ca="1">[1]!BexGetData("DP_1","003N8EMH8GTFRCSWKMPXRSAE6","GSON1245155101")</f>
        <v>#NAME?</v>
      </c>
      <c r="J2030" s="4" t="e">
        <f ca="1">[1]!BexGetData("DP_1","003N8EMH8GTFRCSWKMPXRSGPQ","GSON1245155101")</f>
        <v>#NAME?</v>
      </c>
      <c r="K2030" s="3" t="e">
        <f ca="1">[1]!BexGetData("DP_1","003N8EMH8GTFRIVNUPY288VJH","GSON1245155101")</f>
        <v>#NAME?</v>
      </c>
      <c r="L2030" s="3" t="e">
        <f ca="1">[1]!BexGetData("DP_1","003N8EMH8GTFRIVNUPY2891V1","GSON1245155101")</f>
        <v>#NAME?</v>
      </c>
      <c r="M2030" s="8" t="e">
        <f ca="1">[1]!BexGetData("DP_1","003N8EMH8GTFRIVOG7KG9IQXA","GSON1245155101")</f>
        <v>#NAME?</v>
      </c>
      <c r="N2030" s="3" t="e">
        <f ca="1">[1]!BexGetData("DP_1","003N8EMH8GTFRIVOG7KG9IX8U","GSON1245155101")</f>
        <v>#NAME?</v>
      </c>
      <c r="O2030" s="8" t="e">
        <f ca="1">[1]!BexGetData("DP_1","003N8EMH8GTFRIVOG7KG9J3KE","GSON1245155101")</f>
        <v>#NAME?</v>
      </c>
      <c r="P2030" s="3" t="e">
        <f ca="1">[1]!BexGetData("DP_1","003N8EMH8GTFRIVOG7KG9J9VY","GSON1245155101")</f>
        <v>#NAME?</v>
      </c>
      <c r="Q2030" s="4" t="e">
        <f ca="1">[1]!BexGetData("DP_1","00O2TNJGODT0G5Z4TTKYMM5MT","GSON1245155101")</f>
        <v>#NAME?</v>
      </c>
      <c r="R2030" s="3" t="e">
        <f ca="1">[1]!BexGetData("DP_1","00O2TNJGODT0G5Z4TTKYMMBYD","GSON1245155101")</f>
        <v>#NAME?</v>
      </c>
      <c r="S2030" s="3" t="e">
        <f ca="1">[1]!BexGetData("DP_1","00O2TNJGODT0G5Z4TTKYMMI9X","GSON1245155101")</f>
        <v>#NAME?</v>
      </c>
      <c r="T2030" s="8" t="e">
        <f ca="1">[1]!BexGetData("DP_1","00O2TNJGODT0G5Z4TTKYMMOLH","GSON1245155101")</f>
        <v>#NAME?</v>
      </c>
      <c r="U2030" s="3" t="e">
        <f ca="1">[1]!BexGetData("DP_1","00O2TNJGODT0G5Z4TTKYMMUX1","GSON1245155101")</f>
        <v>#NAME?</v>
      </c>
      <c r="V2030" s="8" t="e">
        <f ca="1">[1]!BexGetData("DP_1","00O2TNJGODT0G5Z4TTKYMN18L","GSON1245155101")</f>
        <v>#NAME?</v>
      </c>
      <c r="W2030" s="3" t="e">
        <f ca="1">[1]!BexGetData("DP_1","00O2TNJGODT0G5Z4TTKYMN7K5","GSON1245155101")</f>
        <v>#NAME?</v>
      </c>
    </row>
    <row r="2031" spans="1:23" x14ac:dyDescent="0.2">
      <c r="A2031" s="15" t="s">
        <v>1337</v>
      </c>
      <c r="B2031" s="7" t="s">
        <v>1338</v>
      </c>
      <c r="C2031" s="3" t="e">
        <f ca="1">[1]!BexGetData("DP_1","003N8EMH8GTFRCSWKMPXRR8GU","GSON1246")</f>
        <v>#NAME?</v>
      </c>
      <c r="D2031" s="3" t="e">
        <f ca="1">[1]!BexGetData("DP_1","003N8EMH8GTFRCSWKMPXRRESE","GSON1246")</f>
        <v>#NAME?</v>
      </c>
      <c r="E2031" s="3" t="e">
        <f ca="1">[1]!BexGetData("DP_1","003N8EMH8GTFRCSWKMPXRRL3Y","GSON1246")</f>
        <v>#NAME?</v>
      </c>
      <c r="F2031" s="3" t="e">
        <f ca="1">[1]!BexGetData("DP_1","003N8EMH8GTFRCSWKMPXRRRFI","GSON1246")</f>
        <v>#NAME?</v>
      </c>
      <c r="G2031" s="3" t="e">
        <f ca="1">[1]!BexGetData("DP_1","003N8EMH8GTFRCSWKMPXRRXR2","GSON1246")</f>
        <v>#NAME?</v>
      </c>
      <c r="H2031" s="3" t="e">
        <f ca="1">[1]!BexGetData("DP_1","003N8EMH8GTFRCSWKMPXRS42M","GSON1246")</f>
        <v>#NAME?</v>
      </c>
      <c r="I2031" s="3" t="e">
        <f ca="1">[1]!BexGetData("DP_1","003N8EMH8GTFRCSWKMPXRSAE6","GSON1246")</f>
        <v>#NAME?</v>
      </c>
      <c r="J2031" s="4" t="e">
        <f ca="1">[1]!BexGetData("DP_1","003N8EMH8GTFRCSWKMPXRSGPQ","GSON1246")</f>
        <v>#NAME?</v>
      </c>
      <c r="K2031" s="3" t="e">
        <f ca="1">[1]!BexGetData("DP_1","003N8EMH8GTFRIVNUPY288VJH","GSON1246")</f>
        <v>#NAME?</v>
      </c>
      <c r="L2031" s="3" t="e">
        <f ca="1">[1]!BexGetData("DP_1","003N8EMH8GTFRIVNUPY2891V1","GSON1246")</f>
        <v>#NAME?</v>
      </c>
      <c r="M2031" s="8" t="e">
        <f ca="1">[1]!BexGetData("DP_1","003N8EMH8GTFRIVOG7KG9IQXA","GSON1246")</f>
        <v>#NAME?</v>
      </c>
      <c r="N2031" s="3" t="e">
        <f ca="1">[1]!BexGetData("DP_1","003N8EMH8GTFRIVOG7KG9IX8U","GSON1246")</f>
        <v>#NAME?</v>
      </c>
      <c r="O2031" s="8" t="e">
        <f ca="1">[1]!BexGetData("DP_1","003N8EMH8GTFRIVOG7KG9J3KE","GSON1246")</f>
        <v>#NAME?</v>
      </c>
      <c r="P2031" s="3" t="e">
        <f ca="1">[1]!BexGetData("DP_1","003N8EMH8GTFRIVOG7KG9J9VY","GSON1246")</f>
        <v>#NAME?</v>
      </c>
      <c r="Q2031" s="4" t="e">
        <f ca="1">[1]!BexGetData("DP_1","00O2TNJGODT0G5Z4TTKYMM5MT","GSON1246")</f>
        <v>#NAME?</v>
      </c>
      <c r="R2031" s="3" t="e">
        <f ca="1">[1]!BexGetData("DP_1","00O2TNJGODT0G5Z4TTKYMMBYD","GSON1246")</f>
        <v>#NAME?</v>
      </c>
      <c r="S2031" s="3" t="e">
        <f ca="1">[1]!BexGetData("DP_1","00O2TNJGODT0G5Z4TTKYMMI9X","GSON1246")</f>
        <v>#NAME?</v>
      </c>
      <c r="T2031" s="8" t="e">
        <f ca="1">[1]!BexGetData("DP_1","00O2TNJGODT0G5Z4TTKYMMOLH","GSON1246")</f>
        <v>#NAME?</v>
      </c>
      <c r="U2031" s="3" t="e">
        <f ca="1">[1]!BexGetData("DP_1","00O2TNJGODT0G5Z4TTKYMMUX1","GSON1246")</f>
        <v>#NAME?</v>
      </c>
      <c r="V2031" s="8" t="e">
        <f ca="1">[1]!BexGetData("DP_1","00O2TNJGODT0G5Z4TTKYMN18L","GSON1246")</f>
        <v>#NAME?</v>
      </c>
      <c r="W2031" s="3" t="e">
        <f ca="1">[1]!BexGetData("DP_1","00O2TNJGODT0G5Z4TTKYMN7K5","GSON1246")</f>
        <v>#NAME?</v>
      </c>
    </row>
    <row r="2032" spans="1:23" x14ac:dyDescent="0.2">
      <c r="A2032" s="16" t="s">
        <v>1339</v>
      </c>
      <c r="B2032" s="7" t="s">
        <v>1340</v>
      </c>
      <c r="C2032" s="8" t="e">
        <f ca="1">[1]!BexGetData("DP_1","003N8EMH8GTFRCSWKMPXRR8GU","GSON1246156100")</f>
        <v>#NAME?</v>
      </c>
      <c r="D2032" s="8" t="e">
        <f ca="1">[1]!BexGetData("DP_1","003N8EMH8GTFRCSWKMPXRRESE","GSON1246156100")</f>
        <v>#NAME?</v>
      </c>
      <c r="E2032" s="3" t="e">
        <f ca="1">[1]!BexGetData("DP_1","003N8EMH8GTFRCSWKMPXRRL3Y","GSON1246156100")</f>
        <v>#NAME?</v>
      </c>
      <c r="F2032" s="3" t="e">
        <f ca="1">[1]!BexGetData("DP_1","003N8EMH8GTFRCSWKMPXRRRFI","GSON1246156100")</f>
        <v>#NAME?</v>
      </c>
      <c r="G2032" s="3" t="e">
        <f ca="1">[1]!BexGetData("DP_1","003N8EMH8GTFRCSWKMPXRRXR2","GSON1246156100")</f>
        <v>#NAME?</v>
      </c>
      <c r="H2032" s="8" t="e">
        <f ca="1">[1]!BexGetData("DP_1","003N8EMH8GTFRCSWKMPXRS42M","GSON1246156100")</f>
        <v>#NAME?</v>
      </c>
      <c r="I2032" s="3" t="e">
        <f ca="1">[1]!BexGetData("DP_1","003N8EMH8GTFRCSWKMPXRSAE6","GSON1246156100")</f>
        <v>#NAME?</v>
      </c>
      <c r="J2032" s="4" t="e">
        <f ca="1">[1]!BexGetData("DP_1","003N8EMH8GTFRCSWKMPXRSGPQ","GSON1246156100")</f>
        <v>#NAME?</v>
      </c>
      <c r="K2032" s="8" t="e">
        <f ca="1">[1]!BexGetData("DP_1","003N8EMH8GTFRIVNUPY288VJH","GSON1246156100")</f>
        <v>#NAME?</v>
      </c>
      <c r="L2032" s="8" t="e">
        <f ca="1">[1]!BexGetData("DP_1","003N8EMH8GTFRIVNUPY2891V1","GSON1246156100")</f>
        <v>#NAME?</v>
      </c>
      <c r="M2032" s="8" t="e">
        <f ca="1">[1]!BexGetData("DP_1","003N8EMH8GTFRIVOG7KG9IQXA","GSON1246156100")</f>
        <v>#NAME?</v>
      </c>
      <c r="N2032" s="8" t="e">
        <f ca="1">[1]!BexGetData("DP_1","003N8EMH8GTFRIVOG7KG9IX8U","GSON1246156100")</f>
        <v>#NAME?</v>
      </c>
      <c r="O2032" s="8" t="e">
        <f ca="1">[1]!BexGetData("DP_1","003N8EMH8GTFRIVOG7KG9J3KE","GSON1246156100")</f>
        <v>#NAME?</v>
      </c>
      <c r="P2032" s="8" t="e">
        <f ca="1">[1]!BexGetData("DP_1","003N8EMH8GTFRIVOG7KG9J9VY","GSON1246156100")</f>
        <v>#NAME?</v>
      </c>
      <c r="Q2032" s="4" t="e">
        <f ca="1">[1]!BexGetData("DP_1","00O2TNJGODT0G5Z4TTKYMM5MT","GSON1246156100")</f>
        <v>#NAME?</v>
      </c>
      <c r="R2032" s="3" t="e">
        <f ca="1">[1]!BexGetData("DP_1","00O2TNJGODT0G5Z4TTKYMMBYD","GSON1246156100")</f>
        <v>#NAME?</v>
      </c>
      <c r="S2032" s="3" t="e">
        <f ca="1">[1]!BexGetData("DP_1","00O2TNJGODT0G5Z4TTKYMMI9X","GSON1246156100")</f>
        <v>#NAME?</v>
      </c>
      <c r="T2032" s="8" t="e">
        <f ca="1">[1]!BexGetData("DP_1","00O2TNJGODT0G5Z4TTKYMMOLH","GSON1246156100")</f>
        <v>#NAME?</v>
      </c>
      <c r="U2032" s="3" t="e">
        <f ca="1">[1]!BexGetData("DP_1","00O2TNJGODT0G5Z4TTKYMMUX1","GSON1246156100")</f>
        <v>#NAME?</v>
      </c>
      <c r="V2032" s="8" t="e">
        <f ca="1">[1]!BexGetData("DP_1","00O2TNJGODT0G5Z4TTKYMN18L","GSON1246156100")</f>
        <v>#NAME?</v>
      </c>
      <c r="W2032" s="3" t="e">
        <f ca="1">[1]!BexGetData("DP_1","00O2TNJGODT0G5Z4TTKYMN7K5","GSON1246156100")</f>
        <v>#NAME?</v>
      </c>
    </row>
    <row r="2033" spans="1:23" x14ac:dyDescent="0.2">
      <c r="A2033" s="16" t="s">
        <v>1341</v>
      </c>
      <c r="B2033" s="7" t="s">
        <v>1342</v>
      </c>
      <c r="C2033" s="8" t="e">
        <f ca="1">[1]!BexGetData("DP_1","003N8EMH8GTFRCSWKMPXRR8GU","GSON1246256200")</f>
        <v>#NAME?</v>
      </c>
      <c r="D2033" s="8" t="e">
        <f ca="1">[1]!BexGetData("DP_1","003N8EMH8GTFRCSWKMPXRRESE","GSON1246256200")</f>
        <v>#NAME?</v>
      </c>
      <c r="E2033" s="3" t="e">
        <f ca="1">[1]!BexGetData("DP_1","003N8EMH8GTFRCSWKMPXRRL3Y","GSON1246256200")</f>
        <v>#NAME?</v>
      </c>
      <c r="F2033" s="3" t="e">
        <f ca="1">[1]!BexGetData("DP_1","003N8EMH8GTFRCSWKMPXRRRFI","GSON1246256200")</f>
        <v>#NAME?</v>
      </c>
      <c r="G2033" s="3" t="e">
        <f ca="1">[1]!BexGetData("DP_1","003N8EMH8GTFRCSWKMPXRRXR2","GSON1246256200")</f>
        <v>#NAME?</v>
      </c>
      <c r="H2033" s="3" t="e">
        <f ca="1">[1]!BexGetData("DP_1","003N8EMH8GTFRCSWKMPXRS42M","GSON1246256200")</f>
        <v>#NAME?</v>
      </c>
      <c r="I2033" s="3" t="e">
        <f ca="1">[1]!BexGetData("DP_1","003N8EMH8GTFRCSWKMPXRSAE6","GSON1246256200")</f>
        <v>#NAME?</v>
      </c>
      <c r="J2033" s="4" t="e">
        <f ca="1">[1]!BexGetData("DP_1","003N8EMH8GTFRCSWKMPXRSGPQ","GSON1246256200")</f>
        <v>#NAME?</v>
      </c>
      <c r="K2033" s="8" t="e">
        <f ca="1">[1]!BexGetData("DP_1","003N8EMH8GTFRIVNUPY288VJH","GSON1246256200")</f>
        <v>#NAME?</v>
      </c>
      <c r="L2033" s="8" t="e">
        <f ca="1">[1]!BexGetData("DP_1","003N8EMH8GTFRIVNUPY2891V1","GSON1246256200")</f>
        <v>#NAME?</v>
      </c>
      <c r="M2033" s="8" t="e">
        <f ca="1">[1]!BexGetData("DP_1","003N8EMH8GTFRIVOG7KG9IQXA","GSON1246256200")</f>
        <v>#NAME?</v>
      </c>
      <c r="N2033" s="8" t="e">
        <f ca="1">[1]!BexGetData("DP_1","003N8EMH8GTFRIVOG7KG9IX8U","GSON1246256200")</f>
        <v>#NAME?</v>
      </c>
      <c r="O2033" s="8" t="e">
        <f ca="1">[1]!BexGetData("DP_1","003N8EMH8GTFRIVOG7KG9J3KE","GSON1246256200")</f>
        <v>#NAME?</v>
      </c>
      <c r="P2033" s="8" t="e">
        <f ca="1">[1]!BexGetData("DP_1","003N8EMH8GTFRIVOG7KG9J9VY","GSON1246256200")</f>
        <v>#NAME?</v>
      </c>
      <c r="Q2033" s="4" t="e">
        <f ca="1">[1]!BexGetData("DP_1","00O2TNJGODT0G5Z4TTKYMM5MT","GSON1246256200")</f>
        <v>#NAME?</v>
      </c>
      <c r="R2033" s="3" t="e">
        <f ca="1">[1]!BexGetData("DP_1","00O2TNJGODT0G5Z4TTKYMMBYD","GSON1246256200")</f>
        <v>#NAME?</v>
      </c>
      <c r="S2033" s="3" t="e">
        <f ca="1">[1]!BexGetData("DP_1","00O2TNJGODT0G5Z4TTKYMMI9X","GSON1246256200")</f>
        <v>#NAME?</v>
      </c>
      <c r="T2033" s="3" t="e">
        <f ca="1">[1]!BexGetData("DP_1","00O2TNJGODT0G5Z4TTKYMMOLH","GSON1246256200")</f>
        <v>#NAME?</v>
      </c>
      <c r="U2033" s="8" t="e">
        <f ca="1">[1]!BexGetData("DP_1","00O2TNJGODT0G5Z4TTKYMMUX1","GSON1246256200")</f>
        <v>#NAME?</v>
      </c>
      <c r="V2033" s="3" t="e">
        <f ca="1">[1]!BexGetData("DP_1","00O2TNJGODT0G5Z4TTKYMN18L","GSON1246256200")</f>
        <v>#NAME?</v>
      </c>
      <c r="W2033" s="8" t="e">
        <f ca="1">[1]!BexGetData("DP_1","00O2TNJGODT0G5Z4TTKYMN7K5","GSON1246256200")</f>
        <v>#NAME?</v>
      </c>
    </row>
    <row r="2034" spans="1:23" x14ac:dyDescent="0.2">
      <c r="A2034" s="16" t="s">
        <v>4740</v>
      </c>
      <c r="B2034" s="7" t="s">
        <v>4741</v>
      </c>
      <c r="C2034" s="3" t="e">
        <f ca="1">[1]!BexGetData("DP_1","003N8EMH8GTFRCSWKMPXRR8GU","GSON1246256201")</f>
        <v>#NAME?</v>
      </c>
      <c r="D2034" s="3" t="e">
        <f ca="1">[1]!BexGetData("DP_1","003N8EMH8GTFRCSWKMPXRRESE","GSON1246256201")</f>
        <v>#NAME?</v>
      </c>
      <c r="E2034" s="3" t="e">
        <f ca="1">[1]!BexGetData("DP_1","003N8EMH8GTFRCSWKMPXRRL3Y","GSON1246256201")</f>
        <v>#NAME?</v>
      </c>
      <c r="F2034" s="3" t="e">
        <f ca="1">[1]!BexGetData("DP_1","003N8EMH8GTFRCSWKMPXRRRFI","GSON1246256201")</f>
        <v>#NAME?</v>
      </c>
      <c r="G2034" s="3" t="e">
        <f ca="1">[1]!BexGetData("DP_1","003N8EMH8GTFRCSWKMPXRRXR2","GSON1246256201")</f>
        <v>#NAME?</v>
      </c>
      <c r="H2034" s="8" t="e">
        <f ca="1">[1]!BexGetData("DP_1","003N8EMH8GTFRCSWKMPXRS42M","GSON1246256201")</f>
        <v>#NAME?</v>
      </c>
      <c r="I2034" s="3" t="e">
        <f ca="1">[1]!BexGetData("DP_1","003N8EMH8GTFRCSWKMPXRSAE6","GSON1246256201")</f>
        <v>#NAME?</v>
      </c>
      <c r="J2034" s="4" t="e">
        <f ca="1">[1]!BexGetData("DP_1","003N8EMH8GTFRCSWKMPXRSGPQ","GSON1246256201")</f>
        <v>#NAME?</v>
      </c>
      <c r="K2034" s="3" t="e">
        <f ca="1">[1]!BexGetData("DP_1","003N8EMH8GTFRIVNUPY288VJH","GSON1246256201")</f>
        <v>#NAME?</v>
      </c>
      <c r="L2034" s="3" t="e">
        <f ca="1">[1]!BexGetData("DP_1","003N8EMH8GTFRIVNUPY2891V1","GSON1246256201")</f>
        <v>#NAME?</v>
      </c>
      <c r="M2034" s="8" t="e">
        <f ca="1">[1]!BexGetData("DP_1","003N8EMH8GTFRIVOG7KG9IQXA","GSON1246256201")</f>
        <v>#NAME?</v>
      </c>
      <c r="N2034" s="3" t="e">
        <f ca="1">[1]!BexGetData("DP_1","003N8EMH8GTFRIVOG7KG9IX8U","GSON1246256201")</f>
        <v>#NAME?</v>
      </c>
      <c r="O2034" s="8" t="e">
        <f ca="1">[1]!BexGetData("DP_1","003N8EMH8GTFRIVOG7KG9J3KE","GSON1246256201")</f>
        <v>#NAME?</v>
      </c>
      <c r="P2034" s="3" t="e">
        <f ca="1">[1]!BexGetData("DP_1","003N8EMH8GTFRIVOG7KG9J9VY","GSON1246256201")</f>
        <v>#NAME?</v>
      </c>
      <c r="Q2034" s="4" t="e">
        <f ca="1">[1]!BexGetData("DP_1","00O2TNJGODT0G5Z4TTKYMM5MT","GSON1246256201")</f>
        <v>#NAME?</v>
      </c>
      <c r="R2034" s="3" t="e">
        <f ca="1">[1]!BexGetData("DP_1","00O2TNJGODT0G5Z4TTKYMMBYD","GSON1246256201")</f>
        <v>#NAME?</v>
      </c>
      <c r="S2034" s="3" t="e">
        <f ca="1">[1]!BexGetData("DP_1","00O2TNJGODT0G5Z4TTKYMMI9X","GSON1246256201")</f>
        <v>#NAME?</v>
      </c>
      <c r="T2034" s="8" t="e">
        <f ca="1">[1]!BexGetData("DP_1","00O2TNJGODT0G5Z4TTKYMMOLH","GSON1246256201")</f>
        <v>#NAME?</v>
      </c>
      <c r="U2034" s="3" t="e">
        <f ca="1">[1]!BexGetData("DP_1","00O2TNJGODT0G5Z4TTKYMMUX1","GSON1246256201")</f>
        <v>#NAME?</v>
      </c>
      <c r="V2034" s="8" t="e">
        <f ca="1">[1]!BexGetData("DP_1","00O2TNJGODT0G5Z4TTKYMN18L","GSON1246256201")</f>
        <v>#NAME?</v>
      </c>
      <c r="W2034" s="3" t="e">
        <f ca="1">[1]!BexGetData("DP_1","00O2TNJGODT0G5Z4TTKYMN7K5","GSON1246256201")</f>
        <v>#NAME?</v>
      </c>
    </row>
    <row r="2035" spans="1:23" x14ac:dyDescent="0.2">
      <c r="A2035" s="16" t="s">
        <v>1343</v>
      </c>
      <c r="B2035" s="7" t="s">
        <v>1344</v>
      </c>
      <c r="C2035" s="8" t="e">
        <f ca="1">[1]!BexGetData("DP_1","003N8EMH8GTFRCSWKMPXRR8GU","GSON1246356300")</f>
        <v>#NAME?</v>
      </c>
      <c r="D2035" s="8" t="e">
        <f ca="1">[1]!BexGetData("DP_1","003N8EMH8GTFRCSWKMPXRRESE","GSON1246356300")</f>
        <v>#NAME?</v>
      </c>
      <c r="E2035" s="3" t="e">
        <f ca="1">[1]!BexGetData("DP_1","003N8EMH8GTFRCSWKMPXRRL3Y","GSON1246356300")</f>
        <v>#NAME?</v>
      </c>
      <c r="F2035" s="3" t="e">
        <f ca="1">[1]!BexGetData("DP_1","003N8EMH8GTFRCSWKMPXRRRFI","GSON1246356300")</f>
        <v>#NAME?</v>
      </c>
      <c r="G2035" s="3" t="e">
        <f ca="1">[1]!BexGetData("DP_1","003N8EMH8GTFRCSWKMPXRRXR2","GSON1246356300")</f>
        <v>#NAME?</v>
      </c>
      <c r="H2035" s="3" t="e">
        <f ca="1">[1]!BexGetData("DP_1","003N8EMH8GTFRCSWKMPXRS42M","GSON1246356300")</f>
        <v>#NAME?</v>
      </c>
      <c r="I2035" s="3" t="e">
        <f ca="1">[1]!BexGetData("DP_1","003N8EMH8GTFRCSWKMPXRSAE6","GSON1246356300")</f>
        <v>#NAME?</v>
      </c>
      <c r="J2035" s="4" t="e">
        <f ca="1">[1]!BexGetData("DP_1","003N8EMH8GTFRCSWKMPXRSGPQ","GSON1246356300")</f>
        <v>#NAME?</v>
      </c>
      <c r="K2035" s="8" t="e">
        <f ca="1">[1]!BexGetData("DP_1","003N8EMH8GTFRIVNUPY288VJH","GSON1246356300")</f>
        <v>#NAME?</v>
      </c>
      <c r="L2035" s="8" t="e">
        <f ca="1">[1]!BexGetData("DP_1","003N8EMH8GTFRIVNUPY2891V1","GSON1246356300")</f>
        <v>#NAME?</v>
      </c>
      <c r="M2035" s="8" t="e">
        <f ca="1">[1]!BexGetData("DP_1","003N8EMH8GTFRIVOG7KG9IQXA","GSON1246356300")</f>
        <v>#NAME?</v>
      </c>
      <c r="N2035" s="8" t="e">
        <f ca="1">[1]!BexGetData("DP_1","003N8EMH8GTFRIVOG7KG9IX8U","GSON1246356300")</f>
        <v>#NAME?</v>
      </c>
      <c r="O2035" s="8" t="e">
        <f ca="1">[1]!BexGetData("DP_1","003N8EMH8GTFRIVOG7KG9J3KE","GSON1246356300")</f>
        <v>#NAME?</v>
      </c>
      <c r="P2035" s="8" t="e">
        <f ca="1">[1]!BexGetData("DP_1","003N8EMH8GTFRIVOG7KG9J9VY","GSON1246356300")</f>
        <v>#NAME?</v>
      </c>
      <c r="Q2035" s="4" t="e">
        <f ca="1">[1]!BexGetData("DP_1","00O2TNJGODT0G5Z4TTKYMM5MT","GSON1246356300")</f>
        <v>#NAME?</v>
      </c>
      <c r="R2035" s="3" t="e">
        <f ca="1">[1]!BexGetData("DP_1","00O2TNJGODT0G5Z4TTKYMMBYD","GSON1246356300")</f>
        <v>#NAME?</v>
      </c>
      <c r="S2035" s="3" t="e">
        <f ca="1">[1]!BexGetData("DP_1","00O2TNJGODT0G5Z4TTKYMMI9X","GSON1246356300")</f>
        <v>#NAME?</v>
      </c>
      <c r="T2035" s="3" t="e">
        <f ca="1">[1]!BexGetData("DP_1","00O2TNJGODT0G5Z4TTKYMMOLH","GSON1246356300")</f>
        <v>#NAME?</v>
      </c>
      <c r="U2035" s="8" t="e">
        <f ca="1">[1]!BexGetData("DP_1","00O2TNJGODT0G5Z4TTKYMMUX1","GSON1246356300")</f>
        <v>#NAME?</v>
      </c>
      <c r="V2035" s="3" t="e">
        <f ca="1">[1]!BexGetData("DP_1","00O2TNJGODT0G5Z4TTKYMN18L","GSON1246356300")</f>
        <v>#NAME?</v>
      </c>
      <c r="W2035" s="8" t="e">
        <f ca="1">[1]!BexGetData("DP_1","00O2TNJGODT0G5Z4TTKYMN7K5","GSON1246356300")</f>
        <v>#NAME?</v>
      </c>
    </row>
    <row r="2036" spans="1:23" x14ac:dyDescent="0.2">
      <c r="A2036" s="16" t="s">
        <v>1345</v>
      </c>
      <c r="B2036" s="7" t="s">
        <v>1346</v>
      </c>
      <c r="C2036" s="3" t="e">
        <f ca="1">[1]!BexGetData("DP_1","003N8EMH8GTFRCSWKMPXRR8GU","GSON1246356301")</f>
        <v>#NAME?</v>
      </c>
      <c r="D2036" s="8" t="e">
        <f ca="1">[1]!BexGetData("DP_1","003N8EMH8GTFRCSWKMPXRRESE","GSON1246356301")</f>
        <v>#NAME?</v>
      </c>
      <c r="E2036" s="3" t="e">
        <f ca="1">[1]!BexGetData("DP_1","003N8EMH8GTFRCSWKMPXRRL3Y","GSON1246356301")</f>
        <v>#NAME?</v>
      </c>
      <c r="F2036" s="3" t="e">
        <f ca="1">[1]!BexGetData("DP_1","003N8EMH8GTFRCSWKMPXRRRFI","GSON1246356301")</f>
        <v>#NAME?</v>
      </c>
      <c r="G2036" s="3" t="e">
        <f ca="1">[1]!BexGetData("DP_1","003N8EMH8GTFRCSWKMPXRRXR2","GSON1246356301")</f>
        <v>#NAME?</v>
      </c>
      <c r="H2036" s="8" t="e">
        <f ca="1">[1]!BexGetData("DP_1","003N8EMH8GTFRCSWKMPXRS42M","GSON1246356301")</f>
        <v>#NAME?</v>
      </c>
      <c r="I2036" s="3" t="e">
        <f ca="1">[1]!BexGetData("DP_1","003N8EMH8GTFRCSWKMPXRSAE6","GSON1246356301")</f>
        <v>#NAME?</v>
      </c>
      <c r="J2036" s="4" t="e">
        <f ca="1">[1]!BexGetData("DP_1","003N8EMH8GTFRCSWKMPXRSGPQ","GSON1246356301")</f>
        <v>#NAME?</v>
      </c>
      <c r="K2036" s="3" t="e">
        <f ca="1">[1]!BexGetData("DP_1","003N8EMH8GTFRIVNUPY288VJH","GSON1246356301")</f>
        <v>#NAME?</v>
      </c>
      <c r="L2036" s="3" t="e">
        <f ca="1">[1]!BexGetData("DP_1","003N8EMH8GTFRIVNUPY2891V1","GSON1246356301")</f>
        <v>#NAME?</v>
      </c>
      <c r="M2036" s="8" t="e">
        <f ca="1">[1]!BexGetData("DP_1","003N8EMH8GTFRIVOG7KG9IQXA","GSON1246356301")</f>
        <v>#NAME?</v>
      </c>
      <c r="N2036" s="3" t="e">
        <f ca="1">[1]!BexGetData("DP_1","003N8EMH8GTFRIVOG7KG9IX8U","GSON1246356301")</f>
        <v>#NAME?</v>
      </c>
      <c r="O2036" s="8" t="e">
        <f ca="1">[1]!BexGetData("DP_1","003N8EMH8GTFRIVOG7KG9J3KE","GSON1246356301")</f>
        <v>#NAME?</v>
      </c>
      <c r="P2036" s="3" t="e">
        <f ca="1">[1]!BexGetData("DP_1","003N8EMH8GTFRIVOG7KG9J9VY","GSON1246356301")</f>
        <v>#NAME?</v>
      </c>
      <c r="Q2036" s="4" t="e">
        <f ca="1">[1]!BexGetData("DP_1","00O2TNJGODT0G5Z4TTKYMM5MT","GSON1246356301")</f>
        <v>#NAME?</v>
      </c>
      <c r="R2036" s="3" t="e">
        <f ca="1">[1]!BexGetData("DP_1","00O2TNJGODT0G5Z4TTKYMMBYD","GSON1246356301")</f>
        <v>#NAME?</v>
      </c>
      <c r="S2036" s="3" t="e">
        <f ca="1">[1]!BexGetData("DP_1","00O2TNJGODT0G5Z4TTKYMMI9X","GSON1246356301")</f>
        <v>#NAME?</v>
      </c>
      <c r="T2036" s="8" t="e">
        <f ca="1">[1]!BexGetData("DP_1","00O2TNJGODT0G5Z4TTKYMMOLH","GSON1246356301")</f>
        <v>#NAME?</v>
      </c>
      <c r="U2036" s="3" t="e">
        <f ca="1">[1]!BexGetData("DP_1","00O2TNJGODT0G5Z4TTKYMMUX1","GSON1246356301")</f>
        <v>#NAME?</v>
      </c>
      <c r="V2036" s="8" t="e">
        <f ca="1">[1]!BexGetData("DP_1","00O2TNJGODT0G5Z4TTKYMN18L","GSON1246356301")</f>
        <v>#NAME?</v>
      </c>
      <c r="W2036" s="3" t="e">
        <f ca="1">[1]!BexGetData("DP_1","00O2TNJGODT0G5Z4TTKYMN7K5","GSON1246356301")</f>
        <v>#NAME?</v>
      </c>
    </row>
    <row r="2037" spans="1:23" x14ac:dyDescent="0.2">
      <c r="A2037" s="16" t="s">
        <v>1347</v>
      </c>
      <c r="B2037" s="7" t="s">
        <v>1348</v>
      </c>
      <c r="C2037" s="8" t="e">
        <f ca="1">[1]!BexGetData("DP_1","003N8EMH8GTFRCSWKMPXRR8GU","GSON1246456400")</f>
        <v>#NAME?</v>
      </c>
      <c r="D2037" s="3" t="e">
        <f ca="1">[1]!BexGetData("DP_1","003N8EMH8GTFRCSWKMPXRRESE","GSON1246456400")</f>
        <v>#NAME?</v>
      </c>
      <c r="E2037" s="3" t="e">
        <f ca="1">[1]!BexGetData("DP_1","003N8EMH8GTFRCSWKMPXRRL3Y","GSON1246456400")</f>
        <v>#NAME?</v>
      </c>
      <c r="F2037" s="3" t="e">
        <f ca="1">[1]!BexGetData("DP_1","003N8EMH8GTFRCSWKMPXRRRFI","GSON1246456400")</f>
        <v>#NAME?</v>
      </c>
      <c r="G2037" s="3" t="e">
        <f ca="1">[1]!BexGetData("DP_1","003N8EMH8GTFRCSWKMPXRRXR2","GSON1246456400")</f>
        <v>#NAME?</v>
      </c>
      <c r="H2037" s="3" t="e">
        <f ca="1">[1]!BexGetData("DP_1","003N8EMH8GTFRCSWKMPXRS42M","GSON1246456400")</f>
        <v>#NAME?</v>
      </c>
      <c r="I2037" s="3" t="e">
        <f ca="1">[1]!BexGetData("DP_1","003N8EMH8GTFRCSWKMPXRSAE6","GSON1246456400")</f>
        <v>#NAME?</v>
      </c>
      <c r="J2037" s="4" t="e">
        <f ca="1">[1]!BexGetData("DP_1","003N8EMH8GTFRCSWKMPXRSGPQ","GSON1246456400")</f>
        <v>#NAME?</v>
      </c>
      <c r="K2037" s="3" t="e">
        <f ca="1">[1]!BexGetData("DP_1","003N8EMH8GTFRIVNUPY288VJH","GSON1246456400")</f>
        <v>#NAME?</v>
      </c>
      <c r="L2037" s="3" t="e">
        <f ca="1">[1]!BexGetData("DP_1","003N8EMH8GTFRIVNUPY2891V1","GSON1246456400")</f>
        <v>#NAME?</v>
      </c>
      <c r="M2037" s="3" t="e">
        <f ca="1">[1]!BexGetData("DP_1","003N8EMH8GTFRIVOG7KG9IQXA","GSON1246456400")</f>
        <v>#NAME?</v>
      </c>
      <c r="N2037" s="8" t="e">
        <f ca="1">[1]!BexGetData("DP_1","003N8EMH8GTFRIVOG7KG9IX8U","GSON1246456400")</f>
        <v>#NAME?</v>
      </c>
      <c r="O2037" s="3" t="e">
        <f ca="1">[1]!BexGetData("DP_1","003N8EMH8GTFRIVOG7KG9J3KE","GSON1246456400")</f>
        <v>#NAME?</v>
      </c>
      <c r="P2037" s="8" t="e">
        <f ca="1">[1]!BexGetData("DP_1","003N8EMH8GTFRIVOG7KG9J9VY","GSON1246456400")</f>
        <v>#NAME?</v>
      </c>
      <c r="Q2037" s="4" t="e">
        <f ca="1">[1]!BexGetData("DP_1","00O2TNJGODT0G5Z4TTKYMM5MT","GSON1246456400")</f>
        <v>#NAME?</v>
      </c>
      <c r="R2037" s="3" t="e">
        <f ca="1">[1]!BexGetData("DP_1","00O2TNJGODT0G5Z4TTKYMMBYD","GSON1246456400")</f>
        <v>#NAME?</v>
      </c>
      <c r="S2037" s="3" t="e">
        <f ca="1">[1]!BexGetData("DP_1","00O2TNJGODT0G5Z4TTKYMMI9X","GSON1246456400")</f>
        <v>#NAME?</v>
      </c>
      <c r="T2037" s="8" t="e">
        <f ca="1">[1]!BexGetData("DP_1","00O2TNJGODT0G5Z4TTKYMMOLH","GSON1246456400")</f>
        <v>#NAME?</v>
      </c>
      <c r="U2037" s="3" t="e">
        <f ca="1">[1]!BexGetData("DP_1","00O2TNJGODT0G5Z4TTKYMMUX1","GSON1246456400")</f>
        <v>#NAME?</v>
      </c>
      <c r="V2037" s="8" t="e">
        <f ca="1">[1]!BexGetData("DP_1","00O2TNJGODT0G5Z4TTKYMN18L","GSON1246456400")</f>
        <v>#NAME?</v>
      </c>
      <c r="W2037" s="3" t="e">
        <f ca="1">[1]!BexGetData("DP_1","00O2TNJGODT0G5Z4TTKYMN7K5","GSON1246456400")</f>
        <v>#NAME?</v>
      </c>
    </row>
    <row r="2038" spans="1:23" x14ac:dyDescent="0.2">
      <c r="A2038" s="16" t="s">
        <v>1349</v>
      </c>
      <c r="B2038" s="7" t="s">
        <v>1350</v>
      </c>
      <c r="C2038" s="3" t="e">
        <f ca="1">[1]!BexGetData("DP_1","003N8EMH8GTFRCSWKMPXRR8GU","GSON1246456401")</f>
        <v>#NAME?</v>
      </c>
      <c r="D2038" s="3" t="e">
        <f ca="1">[1]!BexGetData("DP_1","003N8EMH8GTFRCSWKMPXRRESE","GSON1246456401")</f>
        <v>#NAME?</v>
      </c>
      <c r="E2038" s="3" t="e">
        <f ca="1">[1]!BexGetData("DP_1","003N8EMH8GTFRCSWKMPXRRL3Y","GSON1246456401")</f>
        <v>#NAME?</v>
      </c>
      <c r="F2038" s="3" t="e">
        <f ca="1">[1]!BexGetData("DP_1","003N8EMH8GTFRCSWKMPXRRRFI","GSON1246456401")</f>
        <v>#NAME?</v>
      </c>
      <c r="G2038" s="3" t="e">
        <f ca="1">[1]!BexGetData("DP_1","003N8EMH8GTFRCSWKMPXRRXR2","GSON1246456401")</f>
        <v>#NAME?</v>
      </c>
      <c r="H2038" s="8" t="e">
        <f ca="1">[1]!BexGetData("DP_1","003N8EMH8GTFRCSWKMPXRS42M","GSON1246456401")</f>
        <v>#NAME?</v>
      </c>
      <c r="I2038" s="3" t="e">
        <f ca="1">[1]!BexGetData("DP_1","003N8EMH8GTFRCSWKMPXRSAE6","GSON1246456401")</f>
        <v>#NAME?</v>
      </c>
      <c r="J2038" s="4" t="e">
        <f ca="1">[1]!BexGetData("DP_1","003N8EMH8GTFRCSWKMPXRSGPQ","GSON1246456401")</f>
        <v>#NAME?</v>
      </c>
      <c r="K2038" s="3" t="e">
        <f ca="1">[1]!BexGetData("DP_1","003N8EMH8GTFRIVNUPY288VJH","GSON1246456401")</f>
        <v>#NAME?</v>
      </c>
      <c r="L2038" s="3" t="e">
        <f ca="1">[1]!BexGetData("DP_1","003N8EMH8GTFRIVNUPY2891V1","GSON1246456401")</f>
        <v>#NAME?</v>
      </c>
      <c r="M2038" s="8" t="e">
        <f ca="1">[1]!BexGetData("DP_1","003N8EMH8GTFRIVOG7KG9IQXA","GSON1246456401")</f>
        <v>#NAME?</v>
      </c>
      <c r="N2038" s="3" t="e">
        <f ca="1">[1]!BexGetData("DP_1","003N8EMH8GTFRIVOG7KG9IX8U","GSON1246456401")</f>
        <v>#NAME?</v>
      </c>
      <c r="O2038" s="8" t="e">
        <f ca="1">[1]!BexGetData("DP_1","003N8EMH8GTFRIVOG7KG9J3KE","GSON1246456401")</f>
        <v>#NAME?</v>
      </c>
      <c r="P2038" s="3" t="e">
        <f ca="1">[1]!BexGetData("DP_1","003N8EMH8GTFRIVOG7KG9J9VY","GSON1246456401")</f>
        <v>#NAME?</v>
      </c>
      <c r="Q2038" s="4" t="e">
        <f ca="1">[1]!BexGetData("DP_1","00O2TNJGODT0G5Z4TTKYMM5MT","GSON1246456401")</f>
        <v>#NAME?</v>
      </c>
      <c r="R2038" s="3" t="e">
        <f ca="1">[1]!BexGetData("DP_1","00O2TNJGODT0G5Z4TTKYMMBYD","GSON1246456401")</f>
        <v>#NAME?</v>
      </c>
      <c r="S2038" s="3" t="e">
        <f ca="1">[1]!BexGetData("DP_1","00O2TNJGODT0G5Z4TTKYMMI9X","GSON1246456401")</f>
        <v>#NAME?</v>
      </c>
      <c r="T2038" s="8" t="e">
        <f ca="1">[1]!BexGetData("DP_1","00O2TNJGODT0G5Z4TTKYMMOLH","GSON1246456401")</f>
        <v>#NAME?</v>
      </c>
      <c r="U2038" s="3" t="e">
        <f ca="1">[1]!BexGetData("DP_1","00O2TNJGODT0G5Z4TTKYMMUX1","GSON1246456401")</f>
        <v>#NAME?</v>
      </c>
      <c r="V2038" s="8" t="e">
        <f ca="1">[1]!BexGetData("DP_1","00O2TNJGODT0G5Z4TTKYMN18L","GSON1246456401")</f>
        <v>#NAME?</v>
      </c>
      <c r="W2038" s="3" t="e">
        <f ca="1">[1]!BexGetData("DP_1","00O2TNJGODT0G5Z4TTKYMN7K5","GSON1246456401")</f>
        <v>#NAME?</v>
      </c>
    </row>
    <row r="2039" spans="1:23" x14ac:dyDescent="0.2">
      <c r="A2039" s="16" t="s">
        <v>4742</v>
      </c>
      <c r="B2039" s="7" t="s">
        <v>1351</v>
      </c>
      <c r="C2039" s="3" t="e">
        <f ca="1">[1]!BexGetData("DP_1","003N8EMH8GTFRCSWKMPXRR8GU","GSON1246556500")</f>
        <v>#NAME?</v>
      </c>
      <c r="D2039" s="3" t="e">
        <f ca="1">[1]!BexGetData("DP_1","003N8EMH8GTFRCSWKMPXRRESE","GSON1246556500")</f>
        <v>#NAME?</v>
      </c>
      <c r="E2039" s="3" t="e">
        <f ca="1">[1]!BexGetData("DP_1","003N8EMH8GTFRCSWKMPXRRL3Y","GSON1246556500")</f>
        <v>#NAME?</v>
      </c>
      <c r="F2039" s="3" t="e">
        <f ca="1">[1]!BexGetData("DP_1","003N8EMH8GTFRCSWKMPXRRRFI","GSON1246556500")</f>
        <v>#NAME?</v>
      </c>
      <c r="G2039" s="3" t="e">
        <f ca="1">[1]!BexGetData("DP_1","003N8EMH8GTFRCSWKMPXRRXR2","GSON1246556500")</f>
        <v>#NAME?</v>
      </c>
      <c r="H2039" s="3" t="e">
        <f ca="1">[1]!BexGetData("DP_1","003N8EMH8GTFRCSWKMPXRS42M","GSON1246556500")</f>
        <v>#NAME?</v>
      </c>
      <c r="I2039" s="3" t="e">
        <f ca="1">[1]!BexGetData("DP_1","003N8EMH8GTFRCSWKMPXRSAE6","GSON1246556500")</f>
        <v>#NAME?</v>
      </c>
      <c r="J2039" s="4" t="e">
        <f ca="1">[1]!BexGetData("DP_1","003N8EMH8GTFRCSWKMPXRSGPQ","GSON1246556500")</f>
        <v>#NAME?</v>
      </c>
      <c r="K2039" s="3" t="e">
        <f ca="1">[1]!BexGetData("DP_1","003N8EMH8GTFRIVNUPY288VJH","GSON1246556500")</f>
        <v>#NAME?</v>
      </c>
      <c r="L2039" s="3" t="e">
        <f ca="1">[1]!BexGetData("DP_1","003N8EMH8GTFRIVNUPY2891V1","GSON1246556500")</f>
        <v>#NAME?</v>
      </c>
      <c r="M2039" s="3" t="e">
        <f ca="1">[1]!BexGetData("DP_1","003N8EMH8GTFRIVOG7KG9IQXA","GSON1246556500")</f>
        <v>#NAME?</v>
      </c>
      <c r="N2039" s="8" t="e">
        <f ca="1">[1]!BexGetData("DP_1","003N8EMH8GTFRIVOG7KG9IX8U","GSON1246556500")</f>
        <v>#NAME?</v>
      </c>
      <c r="O2039" s="3" t="e">
        <f ca="1">[1]!BexGetData("DP_1","003N8EMH8GTFRIVOG7KG9J3KE","GSON1246556500")</f>
        <v>#NAME?</v>
      </c>
      <c r="P2039" s="8" t="e">
        <f ca="1">[1]!BexGetData("DP_1","003N8EMH8GTFRIVOG7KG9J9VY","GSON1246556500")</f>
        <v>#NAME?</v>
      </c>
      <c r="Q2039" s="4" t="e">
        <f ca="1">[1]!BexGetData("DP_1","00O2TNJGODT0G5Z4TTKYMM5MT","GSON1246556500")</f>
        <v>#NAME?</v>
      </c>
      <c r="R2039" s="3" t="e">
        <f ca="1">[1]!BexGetData("DP_1","00O2TNJGODT0G5Z4TTKYMMBYD","GSON1246556500")</f>
        <v>#NAME?</v>
      </c>
      <c r="S2039" s="3" t="e">
        <f ca="1">[1]!BexGetData("DP_1","00O2TNJGODT0G5Z4TTKYMMI9X","GSON1246556500")</f>
        <v>#NAME?</v>
      </c>
      <c r="T2039" s="8" t="e">
        <f ca="1">[1]!BexGetData("DP_1","00O2TNJGODT0G5Z4TTKYMMOLH","GSON1246556500")</f>
        <v>#NAME?</v>
      </c>
      <c r="U2039" s="3" t="e">
        <f ca="1">[1]!BexGetData("DP_1","00O2TNJGODT0G5Z4TTKYMMUX1","GSON1246556500")</f>
        <v>#NAME?</v>
      </c>
      <c r="V2039" s="8" t="e">
        <f ca="1">[1]!BexGetData("DP_1","00O2TNJGODT0G5Z4TTKYMN18L","GSON1246556500")</f>
        <v>#NAME?</v>
      </c>
      <c r="W2039" s="3" t="e">
        <f ca="1">[1]!BexGetData("DP_1","00O2TNJGODT0G5Z4TTKYMN7K5","GSON1246556500")</f>
        <v>#NAME?</v>
      </c>
    </row>
    <row r="2040" spans="1:23" x14ac:dyDescent="0.2">
      <c r="A2040" s="16" t="s">
        <v>4743</v>
      </c>
      <c r="B2040" s="7" t="s">
        <v>1352</v>
      </c>
      <c r="C2040" s="3" t="e">
        <f ca="1">[1]!BexGetData("DP_1","003N8EMH8GTFRCSWKMPXRR8GU","GSON1246556501")</f>
        <v>#NAME?</v>
      </c>
      <c r="D2040" s="3" t="e">
        <f ca="1">[1]!BexGetData("DP_1","003N8EMH8GTFRCSWKMPXRRESE","GSON1246556501")</f>
        <v>#NAME?</v>
      </c>
      <c r="E2040" s="3" t="e">
        <f ca="1">[1]!BexGetData("DP_1","003N8EMH8GTFRCSWKMPXRRL3Y","GSON1246556501")</f>
        <v>#NAME?</v>
      </c>
      <c r="F2040" s="3" t="e">
        <f ca="1">[1]!BexGetData("DP_1","003N8EMH8GTFRCSWKMPXRRRFI","GSON1246556501")</f>
        <v>#NAME?</v>
      </c>
      <c r="G2040" s="3" t="e">
        <f ca="1">[1]!BexGetData("DP_1","003N8EMH8GTFRCSWKMPXRRXR2","GSON1246556501")</f>
        <v>#NAME?</v>
      </c>
      <c r="H2040" s="8" t="e">
        <f ca="1">[1]!BexGetData("DP_1","003N8EMH8GTFRCSWKMPXRS42M","GSON1246556501")</f>
        <v>#NAME?</v>
      </c>
      <c r="I2040" s="3" t="e">
        <f ca="1">[1]!BexGetData("DP_1","003N8EMH8GTFRCSWKMPXRSAE6","GSON1246556501")</f>
        <v>#NAME?</v>
      </c>
      <c r="J2040" s="4" t="e">
        <f ca="1">[1]!BexGetData("DP_1","003N8EMH8GTFRCSWKMPXRSGPQ","GSON1246556501")</f>
        <v>#NAME?</v>
      </c>
      <c r="K2040" s="3" t="e">
        <f ca="1">[1]!BexGetData("DP_1","003N8EMH8GTFRIVNUPY288VJH","GSON1246556501")</f>
        <v>#NAME?</v>
      </c>
      <c r="L2040" s="3" t="e">
        <f ca="1">[1]!BexGetData("DP_1","003N8EMH8GTFRIVNUPY2891V1","GSON1246556501")</f>
        <v>#NAME?</v>
      </c>
      <c r="M2040" s="8" t="e">
        <f ca="1">[1]!BexGetData("DP_1","003N8EMH8GTFRIVOG7KG9IQXA","GSON1246556501")</f>
        <v>#NAME?</v>
      </c>
      <c r="N2040" s="3" t="e">
        <f ca="1">[1]!BexGetData("DP_1","003N8EMH8GTFRIVOG7KG9IX8U","GSON1246556501")</f>
        <v>#NAME?</v>
      </c>
      <c r="O2040" s="8" t="e">
        <f ca="1">[1]!BexGetData("DP_1","003N8EMH8GTFRIVOG7KG9J3KE","GSON1246556501")</f>
        <v>#NAME?</v>
      </c>
      <c r="P2040" s="3" t="e">
        <f ca="1">[1]!BexGetData("DP_1","003N8EMH8GTFRIVOG7KG9J9VY","GSON1246556501")</f>
        <v>#NAME?</v>
      </c>
      <c r="Q2040" s="4" t="e">
        <f ca="1">[1]!BexGetData("DP_1","00O2TNJGODT0G5Z4TTKYMM5MT","GSON1246556501")</f>
        <v>#NAME?</v>
      </c>
      <c r="R2040" s="3" t="e">
        <f ca="1">[1]!BexGetData("DP_1","00O2TNJGODT0G5Z4TTKYMMBYD","GSON1246556501")</f>
        <v>#NAME?</v>
      </c>
      <c r="S2040" s="3" t="e">
        <f ca="1">[1]!BexGetData("DP_1","00O2TNJGODT0G5Z4TTKYMMI9X","GSON1246556501")</f>
        <v>#NAME?</v>
      </c>
      <c r="T2040" s="8" t="e">
        <f ca="1">[1]!BexGetData("DP_1","00O2TNJGODT0G5Z4TTKYMMOLH","GSON1246556501")</f>
        <v>#NAME?</v>
      </c>
      <c r="U2040" s="3" t="e">
        <f ca="1">[1]!BexGetData("DP_1","00O2TNJGODT0G5Z4TTKYMMUX1","GSON1246556501")</f>
        <v>#NAME?</v>
      </c>
      <c r="V2040" s="8" t="e">
        <f ca="1">[1]!BexGetData("DP_1","00O2TNJGODT0G5Z4TTKYMN18L","GSON1246556501")</f>
        <v>#NAME?</v>
      </c>
      <c r="W2040" s="3" t="e">
        <f ca="1">[1]!BexGetData("DP_1","00O2TNJGODT0G5Z4TTKYMN7K5","GSON1246556501")</f>
        <v>#NAME?</v>
      </c>
    </row>
    <row r="2041" spans="1:23" x14ac:dyDescent="0.2">
      <c r="A2041" s="16" t="s">
        <v>1353</v>
      </c>
      <c r="B2041" s="7" t="s">
        <v>1354</v>
      </c>
      <c r="C2041" s="8" t="e">
        <f ca="1">[1]!BexGetData("DP_1","003N8EMH8GTFRCSWKMPXRR8GU","GSON1246656600")</f>
        <v>#NAME?</v>
      </c>
      <c r="D2041" s="3" t="e">
        <f ca="1">[1]!BexGetData("DP_1","003N8EMH8GTFRCSWKMPXRRESE","GSON1246656600")</f>
        <v>#NAME?</v>
      </c>
      <c r="E2041" s="3" t="e">
        <f ca="1">[1]!BexGetData("DP_1","003N8EMH8GTFRCSWKMPXRRL3Y","GSON1246656600")</f>
        <v>#NAME?</v>
      </c>
      <c r="F2041" s="3" t="e">
        <f ca="1">[1]!BexGetData("DP_1","003N8EMH8GTFRCSWKMPXRRRFI","GSON1246656600")</f>
        <v>#NAME?</v>
      </c>
      <c r="G2041" s="3" t="e">
        <f ca="1">[1]!BexGetData("DP_1","003N8EMH8GTFRCSWKMPXRRXR2","GSON1246656600")</f>
        <v>#NAME?</v>
      </c>
      <c r="H2041" s="3" t="e">
        <f ca="1">[1]!BexGetData("DP_1","003N8EMH8GTFRCSWKMPXRS42M","GSON1246656600")</f>
        <v>#NAME?</v>
      </c>
      <c r="I2041" s="3" t="e">
        <f ca="1">[1]!BexGetData("DP_1","003N8EMH8GTFRCSWKMPXRSAE6","GSON1246656600")</f>
        <v>#NAME?</v>
      </c>
      <c r="J2041" s="4" t="e">
        <f ca="1">[1]!BexGetData("DP_1","003N8EMH8GTFRCSWKMPXRSGPQ","GSON1246656600")</f>
        <v>#NAME?</v>
      </c>
      <c r="K2041" s="3" t="e">
        <f ca="1">[1]!BexGetData("DP_1","003N8EMH8GTFRIVNUPY288VJH","GSON1246656600")</f>
        <v>#NAME?</v>
      </c>
      <c r="L2041" s="3" t="e">
        <f ca="1">[1]!BexGetData("DP_1","003N8EMH8GTFRIVNUPY2891V1","GSON1246656600")</f>
        <v>#NAME?</v>
      </c>
      <c r="M2041" s="3" t="e">
        <f ca="1">[1]!BexGetData("DP_1","003N8EMH8GTFRIVOG7KG9IQXA","GSON1246656600")</f>
        <v>#NAME?</v>
      </c>
      <c r="N2041" s="8" t="e">
        <f ca="1">[1]!BexGetData("DP_1","003N8EMH8GTFRIVOG7KG9IX8U","GSON1246656600")</f>
        <v>#NAME?</v>
      </c>
      <c r="O2041" s="3" t="e">
        <f ca="1">[1]!BexGetData("DP_1","003N8EMH8GTFRIVOG7KG9J3KE","GSON1246656600")</f>
        <v>#NAME?</v>
      </c>
      <c r="P2041" s="8" t="e">
        <f ca="1">[1]!BexGetData("DP_1","003N8EMH8GTFRIVOG7KG9J9VY","GSON1246656600")</f>
        <v>#NAME?</v>
      </c>
      <c r="Q2041" s="4" t="e">
        <f ca="1">[1]!BexGetData("DP_1","00O2TNJGODT0G5Z4TTKYMM5MT","GSON1246656600")</f>
        <v>#NAME?</v>
      </c>
      <c r="R2041" s="3" t="e">
        <f ca="1">[1]!BexGetData("DP_1","00O2TNJGODT0G5Z4TTKYMMBYD","GSON1246656600")</f>
        <v>#NAME?</v>
      </c>
      <c r="S2041" s="3" t="e">
        <f ca="1">[1]!BexGetData("DP_1","00O2TNJGODT0G5Z4TTKYMMI9X","GSON1246656600")</f>
        <v>#NAME?</v>
      </c>
      <c r="T2041" s="8" t="e">
        <f ca="1">[1]!BexGetData("DP_1","00O2TNJGODT0G5Z4TTKYMMOLH","GSON1246656600")</f>
        <v>#NAME?</v>
      </c>
      <c r="U2041" s="3" t="e">
        <f ca="1">[1]!BexGetData("DP_1","00O2TNJGODT0G5Z4TTKYMMUX1","GSON1246656600")</f>
        <v>#NAME?</v>
      </c>
      <c r="V2041" s="8" t="e">
        <f ca="1">[1]!BexGetData("DP_1","00O2TNJGODT0G5Z4TTKYMN18L","GSON1246656600")</f>
        <v>#NAME?</v>
      </c>
      <c r="W2041" s="3" t="e">
        <f ca="1">[1]!BexGetData("DP_1","00O2TNJGODT0G5Z4TTKYMN7K5","GSON1246656600")</f>
        <v>#NAME?</v>
      </c>
    </row>
    <row r="2042" spans="1:23" x14ac:dyDescent="0.2">
      <c r="A2042" s="16" t="s">
        <v>1355</v>
      </c>
      <c r="B2042" s="7" t="s">
        <v>1356</v>
      </c>
      <c r="C2042" s="3" t="e">
        <f ca="1">[1]!BexGetData("DP_1","003N8EMH8GTFRCSWKMPXRR8GU","GSON1246656601")</f>
        <v>#NAME?</v>
      </c>
      <c r="D2042" s="3" t="e">
        <f ca="1">[1]!BexGetData("DP_1","003N8EMH8GTFRCSWKMPXRRESE","GSON1246656601")</f>
        <v>#NAME?</v>
      </c>
      <c r="E2042" s="3" t="e">
        <f ca="1">[1]!BexGetData("DP_1","003N8EMH8GTFRCSWKMPXRRL3Y","GSON1246656601")</f>
        <v>#NAME?</v>
      </c>
      <c r="F2042" s="3" t="e">
        <f ca="1">[1]!BexGetData("DP_1","003N8EMH8GTFRCSWKMPXRRRFI","GSON1246656601")</f>
        <v>#NAME?</v>
      </c>
      <c r="G2042" s="3" t="e">
        <f ca="1">[1]!BexGetData("DP_1","003N8EMH8GTFRCSWKMPXRRXR2","GSON1246656601")</f>
        <v>#NAME?</v>
      </c>
      <c r="H2042" s="8" t="e">
        <f ca="1">[1]!BexGetData("DP_1","003N8EMH8GTFRCSWKMPXRS42M","GSON1246656601")</f>
        <v>#NAME?</v>
      </c>
      <c r="I2042" s="3" t="e">
        <f ca="1">[1]!BexGetData("DP_1","003N8EMH8GTFRCSWKMPXRSAE6","GSON1246656601")</f>
        <v>#NAME?</v>
      </c>
      <c r="J2042" s="4" t="e">
        <f ca="1">[1]!BexGetData("DP_1","003N8EMH8GTFRCSWKMPXRSGPQ","GSON1246656601")</f>
        <v>#NAME?</v>
      </c>
      <c r="K2042" s="3" t="e">
        <f ca="1">[1]!BexGetData("DP_1","003N8EMH8GTFRIVNUPY288VJH","GSON1246656601")</f>
        <v>#NAME?</v>
      </c>
      <c r="L2042" s="3" t="e">
        <f ca="1">[1]!BexGetData("DP_1","003N8EMH8GTFRIVNUPY2891V1","GSON1246656601")</f>
        <v>#NAME?</v>
      </c>
      <c r="M2042" s="8" t="e">
        <f ca="1">[1]!BexGetData("DP_1","003N8EMH8GTFRIVOG7KG9IQXA","GSON1246656601")</f>
        <v>#NAME?</v>
      </c>
      <c r="N2042" s="3" t="e">
        <f ca="1">[1]!BexGetData("DP_1","003N8EMH8GTFRIVOG7KG9IX8U","GSON1246656601")</f>
        <v>#NAME?</v>
      </c>
      <c r="O2042" s="8" t="e">
        <f ca="1">[1]!BexGetData("DP_1","003N8EMH8GTFRIVOG7KG9J3KE","GSON1246656601")</f>
        <v>#NAME?</v>
      </c>
      <c r="P2042" s="3" t="e">
        <f ca="1">[1]!BexGetData("DP_1","003N8EMH8GTFRIVOG7KG9J9VY","GSON1246656601")</f>
        <v>#NAME?</v>
      </c>
      <c r="Q2042" s="4" t="e">
        <f ca="1">[1]!BexGetData("DP_1","00O2TNJGODT0G5Z4TTKYMM5MT","GSON1246656601")</f>
        <v>#NAME?</v>
      </c>
      <c r="R2042" s="3" t="e">
        <f ca="1">[1]!BexGetData("DP_1","00O2TNJGODT0G5Z4TTKYMMBYD","GSON1246656601")</f>
        <v>#NAME?</v>
      </c>
      <c r="S2042" s="3" t="e">
        <f ca="1">[1]!BexGetData("DP_1","00O2TNJGODT0G5Z4TTKYMMI9X","GSON1246656601")</f>
        <v>#NAME?</v>
      </c>
      <c r="T2042" s="8" t="e">
        <f ca="1">[1]!BexGetData("DP_1","00O2TNJGODT0G5Z4TTKYMMOLH","GSON1246656601")</f>
        <v>#NAME?</v>
      </c>
      <c r="U2042" s="3" t="e">
        <f ca="1">[1]!BexGetData("DP_1","00O2TNJGODT0G5Z4TTKYMMUX1","GSON1246656601")</f>
        <v>#NAME?</v>
      </c>
      <c r="V2042" s="8" t="e">
        <f ca="1">[1]!BexGetData("DP_1","00O2TNJGODT0G5Z4TTKYMN18L","GSON1246656601")</f>
        <v>#NAME?</v>
      </c>
      <c r="W2042" s="3" t="e">
        <f ca="1">[1]!BexGetData("DP_1","00O2TNJGODT0G5Z4TTKYMN7K5","GSON1246656601")</f>
        <v>#NAME?</v>
      </c>
    </row>
    <row r="2043" spans="1:23" x14ac:dyDescent="0.2">
      <c r="A2043" s="16" t="s">
        <v>1357</v>
      </c>
      <c r="B2043" s="7" t="s">
        <v>1358</v>
      </c>
      <c r="C2043" s="8" t="e">
        <f ca="1">[1]!BexGetData("DP_1","003N8EMH8GTFRCSWKMPXRR8GU","GSON1246756700")</f>
        <v>#NAME?</v>
      </c>
      <c r="D2043" s="8" t="e">
        <f ca="1">[1]!BexGetData("DP_1","003N8EMH8GTFRCSWKMPXRRESE","GSON1246756700")</f>
        <v>#NAME?</v>
      </c>
      <c r="E2043" s="3" t="e">
        <f ca="1">[1]!BexGetData("DP_1","003N8EMH8GTFRCSWKMPXRRL3Y","GSON1246756700")</f>
        <v>#NAME?</v>
      </c>
      <c r="F2043" s="3" t="e">
        <f ca="1">[1]!BexGetData("DP_1","003N8EMH8GTFRCSWKMPXRRRFI","GSON1246756700")</f>
        <v>#NAME?</v>
      </c>
      <c r="G2043" s="3" t="e">
        <f ca="1">[1]!BexGetData("DP_1","003N8EMH8GTFRCSWKMPXRRXR2","GSON1246756700")</f>
        <v>#NAME?</v>
      </c>
      <c r="H2043" s="3" t="e">
        <f ca="1">[1]!BexGetData("DP_1","003N8EMH8GTFRCSWKMPXRS42M","GSON1246756700")</f>
        <v>#NAME?</v>
      </c>
      <c r="I2043" s="3" t="e">
        <f ca="1">[1]!BexGetData("DP_1","003N8EMH8GTFRCSWKMPXRSAE6","GSON1246756700")</f>
        <v>#NAME?</v>
      </c>
      <c r="J2043" s="4" t="e">
        <f ca="1">[1]!BexGetData("DP_1","003N8EMH8GTFRCSWKMPXRSGPQ","GSON1246756700")</f>
        <v>#NAME?</v>
      </c>
      <c r="K2043" s="8" t="e">
        <f ca="1">[1]!BexGetData("DP_1","003N8EMH8GTFRIVNUPY288VJH","GSON1246756700")</f>
        <v>#NAME?</v>
      </c>
      <c r="L2043" s="8" t="e">
        <f ca="1">[1]!BexGetData("DP_1","003N8EMH8GTFRIVNUPY2891V1","GSON1246756700")</f>
        <v>#NAME?</v>
      </c>
      <c r="M2043" s="8" t="e">
        <f ca="1">[1]!BexGetData("DP_1","003N8EMH8GTFRIVOG7KG9IQXA","GSON1246756700")</f>
        <v>#NAME?</v>
      </c>
      <c r="N2043" s="8" t="e">
        <f ca="1">[1]!BexGetData("DP_1","003N8EMH8GTFRIVOG7KG9IX8U","GSON1246756700")</f>
        <v>#NAME?</v>
      </c>
      <c r="O2043" s="8" t="e">
        <f ca="1">[1]!BexGetData("DP_1","003N8EMH8GTFRIVOG7KG9J3KE","GSON1246756700")</f>
        <v>#NAME?</v>
      </c>
      <c r="P2043" s="8" t="e">
        <f ca="1">[1]!BexGetData("DP_1","003N8EMH8GTFRIVOG7KG9J9VY","GSON1246756700")</f>
        <v>#NAME?</v>
      </c>
      <c r="Q2043" s="4" t="e">
        <f ca="1">[1]!BexGetData("DP_1","00O2TNJGODT0G5Z4TTKYMM5MT","GSON1246756700")</f>
        <v>#NAME?</v>
      </c>
      <c r="R2043" s="3" t="e">
        <f ca="1">[1]!BexGetData("DP_1","00O2TNJGODT0G5Z4TTKYMMBYD","GSON1246756700")</f>
        <v>#NAME?</v>
      </c>
      <c r="S2043" s="3" t="e">
        <f ca="1">[1]!BexGetData("DP_1","00O2TNJGODT0G5Z4TTKYMMI9X","GSON1246756700")</f>
        <v>#NAME?</v>
      </c>
      <c r="T2043" s="8" t="e">
        <f ca="1">[1]!BexGetData("DP_1","00O2TNJGODT0G5Z4TTKYMMOLH","GSON1246756700")</f>
        <v>#NAME?</v>
      </c>
      <c r="U2043" s="3" t="e">
        <f ca="1">[1]!BexGetData("DP_1","00O2TNJGODT0G5Z4TTKYMMUX1","GSON1246756700")</f>
        <v>#NAME?</v>
      </c>
      <c r="V2043" s="8" t="e">
        <f ca="1">[1]!BexGetData("DP_1","00O2TNJGODT0G5Z4TTKYMN18L","GSON1246756700")</f>
        <v>#NAME?</v>
      </c>
      <c r="W2043" s="3" t="e">
        <f ca="1">[1]!BexGetData("DP_1","00O2TNJGODT0G5Z4TTKYMN7K5","GSON1246756700")</f>
        <v>#NAME?</v>
      </c>
    </row>
    <row r="2044" spans="1:23" x14ac:dyDescent="0.2">
      <c r="A2044" s="16" t="s">
        <v>4744</v>
      </c>
      <c r="B2044" s="7" t="s">
        <v>4745</v>
      </c>
      <c r="C2044" s="3" t="e">
        <f ca="1">[1]!BexGetData("DP_1","003N8EMH8GTFRCSWKMPXRR8GU","GSON1246756701")</f>
        <v>#NAME?</v>
      </c>
      <c r="D2044" s="8" t="e">
        <f ca="1">[1]!BexGetData("DP_1","003N8EMH8GTFRCSWKMPXRRESE","GSON1246756701")</f>
        <v>#NAME?</v>
      </c>
      <c r="E2044" s="3" t="e">
        <f ca="1">[1]!BexGetData("DP_1","003N8EMH8GTFRCSWKMPXRRL3Y","GSON1246756701")</f>
        <v>#NAME?</v>
      </c>
      <c r="F2044" s="3" t="e">
        <f ca="1">[1]!BexGetData("DP_1","003N8EMH8GTFRCSWKMPXRRRFI","GSON1246756701")</f>
        <v>#NAME?</v>
      </c>
      <c r="G2044" s="3" t="e">
        <f ca="1">[1]!BexGetData("DP_1","003N8EMH8GTFRCSWKMPXRRXR2","GSON1246756701")</f>
        <v>#NAME?</v>
      </c>
      <c r="H2044" s="8" t="e">
        <f ca="1">[1]!BexGetData("DP_1","003N8EMH8GTFRCSWKMPXRS42M","GSON1246756701")</f>
        <v>#NAME?</v>
      </c>
      <c r="I2044" s="3" t="e">
        <f ca="1">[1]!BexGetData("DP_1","003N8EMH8GTFRCSWKMPXRSAE6","GSON1246756701")</f>
        <v>#NAME?</v>
      </c>
      <c r="J2044" s="4" t="e">
        <f ca="1">[1]!BexGetData("DP_1","003N8EMH8GTFRCSWKMPXRSGPQ","GSON1246756701")</f>
        <v>#NAME?</v>
      </c>
      <c r="K2044" s="3" t="e">
        <f ca="1">[1]!BexGetData("DP_1","003N8EMH8GTFRIVNUPY288VJH","GSON1246756701")</f>
        <v>#NAME?</v>
      </c>
      <c r="L2044" s="3" t="e">
        <f ca="1">[1]!BexGetData("DP_1","003N8EMH8GTFRIVNUPY2891V1","GSON1246756701")</f>
        <v>#NAME?</v>
      </c>
      <c r="M2044" s="8" t="e">
        <f ca="1">[1]!BexGetData("DP_1","003N8EMH8GTFRIVOG7KG9IQXA","GSON1246756701")</f>
        <v>#NAME?</v>
      </c>
      <c r="N2044" s="3" t="e">
        <f ca="1">[1]!BexGetData("DP_1","003N8EMH8GTFRIVOG7KG9IX8U","GSON1246756701")</f>
        <v>#NAME?</v>
      </c>
      <c r="O2044" s="8" t="e">
        <f ca="1">[1]!BexGetData("DP_1","003N8EMH8GTFRIVOG7KG9J3KE","GSON1246756701")</f>
        <v>#NAME?</v>
      </c>
      <c r="P2044" s="3" t="e">
        <f ca="1">[1]!BexGetData("DP_1","003N8EMH8GTFRIVOG7KG9J9VY","GSON1246756701")</f>
        <v>#NAME?</v>
      </c>
      <c r="Q2044" s="4" t="e">
        <f ca="1">[1]!BexGetData("DP_1","00O2TNJGODT0G5Z4TTKYMM5MT","GSON1246756701")</f>
        <v>#NAME?</v>
      </c>
      <c r="R2044" s="3" t="e">
        <f ca="1">[1]!BexGetData("DP_1","00O2TNJGODT0G5Z4TTKYMMBYD","GSON1246756701")</f>
        <v>#NAME?</v>
      </c>
      <c r="S2044" s="3" t="e">
        <f ca="1">[1]!BexGetData("DP_1","00O2TNJGODT0G5Z4TTKYMMI9X","GSON1246756701")</f>
        <v>#NAME?</v>
      </c>
      <c r="T2044" s="8" t="e">
        <f ca="1">[1]!BexGetData("DP_1","00O2TNJGODT0G5Z4TTKYMMOLH","GSON1246756701")</f>
        <v>#NAME?</v>
      </c>
      <c r="U2044" s="3" t="e">
        <f ca="1">[1]!BexGetData("DP_1","00O2TNJGODT0G5Z4TTKYMMUX1","GSON1246756701")</f>
        <v>#NAME?</v>
      </c>
      <c r="V2044" s="8" t="e">
        <f ca="1">[1]!BexGetData("DP_1","00O2TNJGODT0G5Z4TTKYMN18L","GSON1246756701")</f>
        <v>#NAME?</v>
      </c>
      <c r="W2044" s="3" t="e">
        <f ca="1">[1]!BexGetData("DP_1","00O2TNJGODT0G5Z4TTKYMN7K5","GSON1246756701")</f>
        <v>#NAME?</v>
      </c>
    </row>
    <row r="2045" spans="1:23" x14ac:dyDescent="0.2">
      <c r="A2045" s="16" t="s">
        <v>4746</v>
      </c>
      <c r="B2045" s="7" t="s">
        <v>4747</v>
      </c>
      <c r="C2045" s="3" t="e">
        <f ca="1">[1]!BexGetData("DP_1","003N8EMH8GTFRCSWKMPXRR8GU","GSON1246756702")</f>
        <v>#NAME?</v>
      </c>
      <c r="D2045" s="8" t="e">
        <f ca="1">[1]!BexGetData("DP_1","003N8EMH8GTFRCSWKMPXRRESE","GSON1246756702")</f>
        <v>#NAME?</v>
      </c>
      <c r="E2045" s="3" t="e">
        <f ca="1">[1]!BexGetData("DP_1","003N8EMH8GTFRCSWKMPXRRL3Y","GSON1246756702")</f>
        <v>#NAME?</v>
      </c>
      <c r="F2045" s="3" t="e">
        <f ca="1">[1]!BexGetData("DP_1","003N8EMH8GTFRCSWKMPXRRRFI","GSON1246756702")</f>
        <v>#NAME?</v>
      </c>
      <c r="G2045" s="3" t="e">
        <f ca="1">[1]!BexGetData("DP_1","003N8EMH8GTFRCSWKMPXRRXR2","GSON1246756702")</f>
        <v>#NAME?</v>
      </c>
      <c r="H2045" s="8" t="e">
        <f ca="1">[1]!BexGetData("DP_1","003N8EMH8GTFRCSWKMPXRS42M","GSON1246756702")</f>
        <v>#NAME?</v>
      </c>
      <c r="I2045" s="3" t="e">
        <f ca="1">[1]!BexGetData("DP_1","003N8EMH8GTFRCSWKMPXRSAE6","GSON1246756702")</f>
        <v>#NAME?</v>
      </c>
      <c r="J2045" s="4" t="e">
        <f ca="1">[1]!BexGetData("DP_1","003N8EMH8GTFRCSWKMPXRSGPQ","GSON1246756702")</f>
        <v>#NAME?</v>
      </c>
      <c r="K2045" s="3" t="e">
        <f ca="1">[1]!BexGetData("DP_1","003N8EMH8GTFRIVNUPY288VJH","GSON1246756702")</f>
        <v>#NAME?</v>
      </c>
      <c r="L2045" s="3" t="e">
        <f ca="1">[1]!BexGetData("DP_1","003N8EMH8GTFRIVNUPY2891V1","GSON1246756702")</f>
        <v>#NAME?</v>
      </c>
      <c r="M2045" s="8" t="e">
        <f ca="1">[1]!BexGetData("DP_1","003N8EMH8GTFRIVOG7KG9IQXA","GSON1246756702")</f>
        <v>#NAME?</v>
      </c>
      <c r="N2045" s="3" t="e">
        <f ca="1">[1]!BexGetData("DP_1","003N8EMH8GTFRIVOG7KG9IX8U","GSON1246756702")</f>
        <v>#NAME?</v>
      </c>
      <c r="O2045" s="8" t="e">
        <f ca="1">[1]!BexGetData("DP_1","003N8EMH8GTFRIVOG7KG9J3KE","GSON1246756702")</f>
        <v>#NAME?</v>
      </c>
      <c r="P2045" s="3" t="e">
        <f ca="1">[1]!BexGetData("DP_1","003N8EMH8GTFRIVOG7KG9J9VY","GSON1246756702")</f>
        <v>#NAME?</v>
      </c>
      <c r="Q2045" s="4" t="e">
        <f ca="1">[1]!BexGetData("DP_1","00O2TNJGODT0G5Z4TTKYMM5MT","GSON1246756702")</f>
        <v>#NAME?</v>
      </c>
      <c r="R2045" s="3" t="e">
        <f ca="1">[1]!BexGetData("DP_1","00O2TNJGODT0G5Z4TTKYMMBYD","GSON1246756702")</f>
        <v>#NAME?</v>
      </c>
      <c r="S2045" s="3" t="e">
        <f ca="1">[1]!BexGetData("DP_1","00O2TNJGODT0G5Z4TTKYMMI9X","GSON1246756702")</f>
        <v>#NAME?</v>
      </c>
      <c r="T2045" s="8" t="e">
        <f ca="1">[1]!BexGetData("DP_1","00O2TNJGODT0G5Z4TTKYMMOLH","GSON1246756702")</f>
        <v>#NAME?</v>
      </c>
      <c r="U2045" s="3" t="e">
        <f ca="1">[1]!BexGetData("DP_1","00O2TNJGODT0G5Z4TTKYMMUX1","GSON1246756702")</f>
        <v>#NAME?</v>
      </c>
      <c r="V2045" s="8" t="e">
        <f ca="1">[1]!BexGetData("DP_1","00O2TNJGODT0G5Z4TTKYMN18L","GSON1246756702")</f>
        <v>#NAME?</v>
      </c>
      <c r="W2045" s="3" t="e">
        <f ca="1">[1]!BexGetData("DP_1","00O2TNJGODT0G5Z4TTKYMN7K5","GSON1246756702")</f>
        <v>#NAME?</v>
      </c>
    </row>
    <row r="2046" spans="1:23" x14ac:dyDescent="0.2">
      <c r="A2046" s="16" t="s">
        <v>1359</v>
      </c>
      <c r="B2046" s="7" t="s">
        <v>1360</v>
      </c>
      <c r="C2046" s="8" t="e">
        <f ca="1">[1]!BexGetData("DP_1","003N8EMH8GTFRCSWKMPXRR8GU","GSON1246956900")</f>
        <v>#NAME?</v>
      </c>
      <c r="D2046" s="8" t="e">
        <f ca="1">[1]!BexGetData("DP_1","003N8EMH8GTFRCSWKMPXRRESE","GSON1246956900")</f>
        <v>#NAME?</v>
      </c>
      <c r="E2046" s="3" t="e">
        <f ca="1">[1]!BexGetData("DP_1","003N8EMH8GTFRCSWKMPXRRL3Y","GSON1246956900")</f>
        <v>#NAME?</v>
      </c>
      <c r="F2046" s="3" t="e">
        <f ca="1">[1]!BexGetData("DP_1","003N8EMH8GTFRCSWKMPXRRRFI","GSON1246956900")</f>
        <v>#NAME?</v>
      </c>
      <c r="G2046" s="3" t="e">
        <f ca="1">[1]!BexGetData("DP_1","003N8EMH8GTFRCSWKMPXRRXR2","GSON1246956900")</f>
        <v>#NAME?</v>
      </c>
      <c r="H2046" s="3" t="e">
        <f ca="1">[1]!BexGetData("DP_1","003N8EMH8GTFRCSWKMPXRS42M","GSON1246956900")</f>
        <v>#NAME?</v>
      </c>
      <c r="I2046" s="3" t="e">
        <f ca="1">[1]!BexGetData("DP_1","003N8EMH8GTFRCSWKMPXRSAE6","GSON1246956900")</f>
        <v>#NAME?</v>
      </c>
      <c r="J2046" s="4" t="e">
        <f ca="1">[1]!BexGetData("DP_1","003N8EMH8GTFRCSWKMPXRSGPQ","GSON1246956900")</f>
        <v>#NAME?</v>
      </c>
      <c r="K2046" s="8" t="e">
        <f ca="1">[1]!BexGetData("DP_1","003N8EMH8GTFRIVNUPY288VJH","GSON1246956900")</f>
        <v>#NAME?</v>
      </c>
      <c r="L2046" s="8" t="e">
        <f ca="1">[1]!BexGetData("DP_1","003N8EMH8GTFRIVNUPY2891V1","GSON1246956900")</f>
        <v>#NAME?</v>
      </c>
      <c r="M2046" s="8" t="e">
        <f ca="1">[1]!BexGetData("DP_1","003N8EMH8GTFRIVOG7KG9IQXA","GSON1246956900")</f>
        <v>#NAME?</v>
      </c>
      <c r="N2046" s="8" t="e">
        <f ca="1">[1]!BexGetData("DP_1","003N8EMH8GTFRIVOG7KG9IX8U","GSON1246956900")</f>
        <v>#NAME?</v>
      </c>
      <c r="O2046" s="8" t="e">
        <f ca="1">[1]!BexGetData("DP_1","003N8EMH8GTFRIVOG7KG9J3KE","GSON1246956900")</f>
        <v>#NAME?</v>
      </c>
      <c r="P2046" s="8" t="e">
        <f ca="1">[1]!BexGetData("DP_1","003N8EMH8GTFRIVOG7KG9J9VY","GSON1246956900")</f>
        <v>#NAME?</v>
      </c>
      <c r="Q2046" s="4" t="e">
        <f ca="1">[1]!BexGetData("DP_1","00O2TNJGODT0G5Z4TTKYMM5MT","GSON1246956900")</f>
        <v>#NAME?</v>
      </c>
      <c r="R2046" s="3" t="e">
        <f ca="1">[1]!BexGetData("DP_1","00O2TNJGODT0G5Z4TTKYMMBYD","GSON1246956900")</f>
        <v>#NAME?</v>
      </c>
      <c r="S2046" s="3" t="e">
        <f ca="1">[1]!BexGetData("DP_1","00O2TNJGODT0G5Z4TTKYMMI9X","GSON1246956900")</f>
        <v>#NAME?</v>
      </c>
      <c r="T2046" s="8" t="e">
        <f ca="1">[1]!BexGetData("DP_1","00O2TNJGODT0G5Z4TTKYMMOLH","GSON1246956900")</f>
        <v>#NAME?</v>
      </c>
      <c r="U2046" s="3" t="e">
        <f ca="1">[1]!BexGetData("DP_1","00O2TNJGODT0G5Z4TTKYMMUX1","GSON1246956900")</f>
        <v>#NAME?</v>
      </c>
      <c r="V2046" s="8" t="e">
        <f ca="1">[1]!BexGetData("DP_1","00O2TNJGODT0G5Z4TTKYMN18L","GSON1246956900")</f>
        <v>#NAME?</v>
      </c>
      <c r="W2046" s="3" t="e">
        <f ca="1">[1]!BexGetData("DP_1","00O2TNJGODT0G5Z4TTKYMN7K5","GSON1246956900")</f>
        <v>#NAME?</v>
      </c>
    </row>
    <row r="2047" spans="1:23" x14ac:dyDescent="0.2">
      <c r="A2047" s="16" t="s">
        <v>4748</v>
      </c>
      <c r="B2047" s="7" t="s">
        <v>4749</v>
      </c>
      <c r="C2047" s="8" t="e">
        <f ca="1">[1]!BexGetData("DP_1","003N8EMH8GTFRCSWKMPXRR8GU","GSON1246956901")</f>
        <v>#NAME?</v>
      </c>
      <c r="D2047" s="8" t="e">
        <f ca="1">[1]!BexGetData("DP_1","003N8EMH8GTFRCSWKMPXRRESE","GSON1246956901")</f>
        <v>#NAME?</v>
      </c>
      <c r="E2047" s="3" t="e">
        <f ca="1">[1]!BexGetData("DP_1","003N8EMH8GTFRCSWKMPXRRL3Y","GSON1246956901")</f>
        <v>#NAME?</v>
      </c>
      <c r="F2047" s="3" t="e">
        <f ca="1">[1]!BexGetData("DP_1","003N8EMH8GTFRCSWKMPXRRRFI","GSON1246956901")</f>
        <v>#NAME?</v>
      </c>
      <c r="G2047" s="3" t="e">
        <f ca="1">[1]!BexGetData("DP_1","003N8EMH8GTFRCSWKMPXRRXR2","GSON1246956901")</f>
        <v>#NAME?</v>
      </c>
      <c r="H2047" s="8" t="e">
        <f ca="1">[1]!BexGetData("DP_1","003N8EMH8GTFRCSWKMPXRS42M","GSON1246956901")</f>
        <v>#NAME?</v>
      </c>
      <c r="I2047" s="3" t="e">
        <f ca="1">[1]!BexGetData("DP_1","003N8EMH8GTFRCSWKMPXRSAE6","GSON1246956901")</f>
        <v>#NAME?</v>
      </c>
      <c r="J2047" s="4" t="e">
        <f ca="1">[1]!BexGetData("DP_1","003N8EMH8GTFRCSWKMPXRSGPQ","GSON1246956901")</f>
        <v>#NAME?</v>
      </c>
      <c r="K2047" s="8" t="e">
        <f ca="1">[1]!BexGetData("DP_1","003N8EMH8GTFRIVNUPY288VJH","GSON1246956901")</f>
        <v>#NAME?</v>
      </c>
      <c r="L2047" s="8" t="e">
        <f ca="1">[1]!BexGetData("DP_1","003N8EMH8GTFRIVNUPY2891V1","GSON1246956901")</f>
        <v>#NAME?</v>
      </c>
      <c r="M2047" s="8" t="e">
        <f ca="1">[1]!BexGetData("DP_1","003N8EMH8GTFRIVOG7KG9IQXA","GSON1246956901")</f>
        <v>#NAME?</v>
      </c>
      <c r="N2047" s="8" t="e">
        <f ca="1">[1]!BexGetData("DP_1","003N8EMH8GTFRIVOG7KG9IX8U","GSON1246956901")</f>
        <v>#NAME?</v>
      </c>
      <c r="O2047" s="8" t="e">
        <f ca="1">[1]!BexGetData("DP_1","003N8EMH8GTFRIVOG7KG9J3KE","GSON1246956901")</f>
        <v>#NAME?</v>
      </c>
      <c r="P2047" s="8" t="e">
        <f ca="1">[1]!BexGetData("DP_1","003N8EMH8GTFRIVOG7KG9J9VY","GSON1246956901")</f>
        <v>#NAME?</v>
      </c>
      <c r="Q2047" s="4" t="e">
        <f ca="1">[1]!BexGetData("DP_1","00O2TNJGODT0G5Z4TTKYMM5MT","GSON1246956901")</f>
        <v>#NAME?</v>
      </c>
      <c r="R2047" s="3" t="e">
        <f ca="1">[1]!BexGetData("DP_1","00O2TNJGODT0G5Z4TTKYMMBYD","GSON1246956901")</f>
        <v>#NAME?</v>
      </c>
      <c r="S2047" s="3" t="e">
        <f ca="1">[1]!BexGetData("DP_1","00O2TNJGODT0G5Z4TTKYMMI9X","GSON1246956901")</f>
        <v>#NAME?</v>
      </c>
      <c r="T2047" s="8" t="e">
        <f ca="1">[1]!BexGetData("DP_1","00O2TNJGODT0G5Z4TTKYMMOLH","GSON1246956901")</f>
        <v>#NAME?</v>
      </c>
      <c r="U2047" s="3" t="e">
        <f ca="1">[1]!BexGetData("DP_1","00O2TNJGODT0G5Z4TTKYMMUX1","GSON1246956901")</f>
        <v>#NAME?</v>
      </c>
      <c r="V2047" s="8" t="e">
        <f ca="1">[1]!BexGetData("DP_1","00O2TNJGODT0G5Z4TTKYMN18L","GSON1246956901")</f>
        <v>#NAME?</v>
      </c>
      <c r="W2047" s="3" t="e">
        <f ca="1">[1]!BexGetData("DP_1","00O2TNJGODT0G5Z4TTKYMN7K5","GSON1246956901")</f>
        <v>#NAME?</v>
      </c>
    </row>
    <row r="2048" spans="1:23" x14ac:dyDescent="0.2">
      <c r="A2048" s="15" t="s">
        <v>1361</v>
      </c>
      <c r="B2048" s="7" t="s">
        <v>1362</v>
      </c>
      <c r="C2048" s="8" t="e">
        <f ca="1">[1]!BexGetData("DP_1","003N8EMH8GTFRCSWKMPXRR8GU","GSON1247")</f>
        <v>#NAME?</v>
      </c>
      <c r="D2048" s="8" t="e">
        <f ca="1">[1]!BexGetData("DP_1","003N8EMH8GTFRCSWKMPXRRESE","GSON1247")</f>
        <v>#NAME?</v>
      </c>
      <c r="E2048" s="3" t="e">
        <f ca="1">[1]!BexGetData("DP_1","003N8EMH8GTFRCSWKMPXRRL3Y","GSON1247")</f>
        <v>#NAME?</v>
      </c>
      <c r="F2048" s="3" t="e">
        <f ca="1">[1]!BexGetData("DP_1","003N8EMH8GTFRCSWKMPXRRRFI","GSON1247")</f>
        <v>#NAME?</v>
      </c>
      <c r="G2048" s="3" t="e">
        <f ca="1">[1]!BexGetData("DP_1","003N8EMH8GTFRCSWKMPXRRXR2","GSON1247")</f>
        <v>#NAME?</v>
      </c>
      <c r="H2048" s="3" t="e">
        <f ca="1">[1]!BexGetData("DP_1","003N8EMH8GTFRCSWKMPXRS42M","GSON1247")</f>
        <v>#NAME?</v>
      </c>
      <c r="I2048" s="3" t="e">
        <f ca="1">[1]!BexGetData("DP_1","003N8EMH8GTFRCSWKMPXRSAE6","GSON1247")</f>
        <v>#NAME?</v>
      </c>
      <c r="J2048" s="4" t="e">
        <f ca="1">[1]!BexGetData("DP_1","003N8EMH8GTFRCSWKMPXRSGPQ","GSON1247")</f>
        <v>#NAME?</v>
      </c>
      <c r="K2048" s="8" t="e">
        <f ca="1">[1]!BexGetData("DP_1","003N8EMH8GTFRIVNUPY288VJH","GSON1247")</f>
        <v>#NAME?</v>
      </c>
      <c r="L2048" s="8" t="e">
        <f ca="1">[1]!BexGetData("DP_1","003N8EMH8GTFRIVNUPY2891V1","GSON1247")</f>
        <v>#NAME?</v>
      </c>
      <c r="M2048" s="8" t="e">
        <f ca="1">[1]!BexGetData("DP_1","003N8EMH8GTFRIVOG7KG9IQXA","GSON1247")</f>
        <v>#NAME?</v>
      </c>
      <c r="N2048" s="8" t="e">
        <f ca="1">[1]!BexGetData("DP_1","003N8EMH8GTFRIVOG7KG9IX8U","GSON1247")</f>
        <v>#NAME?</v>
      </c>
      <c r="O2048" s="8" t="e">
        <f ca="1">[1]!BexGetData("DP_1","003N8EMH8GTFRIVOG7KG9J3KE","GSON1247")</f>
        <v>#NAME?</v>
      </c>
      <c r="P2048" s="8" t="e">
        <f ca="1">[1]!BexGetData("DP_1","003N8EMH8GTFRIVOG7KG9J9VY","GSON1247")</f>
        <v>#NAME?</v>
      </c>
      <c r="Q2048" s="4" t="e">
        <f ca="1">[1]!BexGetData("DP_1","00O2TNJGODT0G5Z4TTKYMM5MT","GSON1247")</f>
        <v>#NAME?</v>
      </c>
      <c r="R2048" s="3" t="e">
        <f ca="1">[1]!BexGetData("DP_1","00O2TNJGODT0G5Z4TTKYMMBYD","GSON1247")</f>
        <v>#NAME?</v>
      </c>
      <c r="S2048" s="3" t="e">
        <f ca="1">[1]!BexGetData("DP_1","00O2TNJGODT0G5Z4TTKYMMI9X","GSON1247")</f>
        <v>#NAME?</v>
      </c>
      <c r="T2048" s="8" t="e">
        <f ca="1">[1]!BexGetData("DP_1","00O2TNJGODT0G5Z4TTKYMMOLH","GSON1247")</f>
        <v>#NAME?</v>
      </c>
      <c r="U2048" s="3" t="e">
        <f ca="1">[1]!BexGetData("DP_1","00O2TNJGODT0G5Z4TTKYMMUX1","GSON1247")</f>
        <v>#NAME?</v>
      </c>
      <c r="V2048" s="8" t="e">
        <f ca="1">[1]!BexGetData("DP_1","00O2TNJGODT0G5Z4TTKYMN18L","GSON1247")</f>
        <v>#NAME?</v>
      </c>
      <c r="W2048" s="3" t="e">
        <f ca="1">[1]!BexGetData("DP_1","00O2TNJGODT0G5Z4TTKYMN7K5","GSON1247")</f>
        <v>#NAME?</v>
      </c>
    </row>
    <row r="2049" spans="1:23" x14ac:dyDescent="0.2">
      <c r="A2049" s="16" t="s">
        <v>1363</v>
      </c>
      <c r="B2049" s="7" t="s">
        <v>1364</v>
      </c>
      <c r="C2049" s="8" t="e">
        <f ca="1">[1]!BexGetData("DP_1","003N8EMH8GTFRCSWKMPXRR8GU","GSON1247151300")</f>
        <v>#NAME?</v>
      </c>
      <c r="D2049" s="8" t="e">
        <f ca="1">[1]!BexGetData("DP_1","003N8EMH8GTFRCSWKMPXRRESE","GSON1247151300")</f>
        <v>#NAME?</v>
      </c>
      <c r="E2049" s="3" t="e">
        <f ca="1">[1]!BexGetData("DP_1","003N8EMH8GTFRCSWKMPXRRL3Y","GSON1247151300")</f>
        <v>#NAME?</v>
      </c>
      <c r="F2049" s="3" t="e">
        <f ca="1">[1]!BexGetData("DP_1","003N8EMH8GTFRCSWKMPXRRRFI","GSON1247151300")</f>
        <v>#NAME?</v>
      </c>
      <c r="G2049" s="3" t="e">
        <f ca="1">[1]!BexGetData("DP_1","003N8EMH8GTFRCSWKMPXRRXR2","GSON1247151300")</f>
        <v>#NAME?</v>
      </c>
      <c r="H2049" s="3" t="e">
        <f ca="1">[1]!BexGetData("DP_1","003N8EMH8GTFRCSWKMPXRS42M","GSON1247151300")</f>
        <v>#NAME?</v>
      </c>
      <c r="I2049" s="3" t="e">
        <f ca="1">[1]!BexGetData("DP_1","003N8EMH8GTFRCSWKMPXRSAE6","GSON1247151300")</f>
        <v>#NAME?</v>
      </c>
      <c r="J2049" s="4" t="e">
        <f ca="1">[1]!BexGetData("DP_1","003N8EMH8GTFRCSWKMPXRSGPQ","GSON1247151300")</f>
        <v>#NAME?</v>
      </c>
      <c r="K2049" s="8" t="e">
        <f ca="1">[1]!BexGetData("DP_1","003N8EMH8GTFRIVNUPY288VJH","GSON1247151300")</f>
        <v>#NAME?</v>
      </c>
      <c r="L2049" s="8" t="e">
        <f ca="1">[1]!BexGetData("DP_1","003N8EMH8GTFRIVNUPY2891V1","GSON1247151300")</f>
        <v>#NAME?</v>
      </c>
      <c r="M2049" s="8" t="e">
        <f ca="1">[1]!BexGetData("DP_1","003N8EMH8GTFRIVOG7KG9IQXA","GSON1247151300")</f>
        <v>#NAME?</v>
      </c>
      <c r="N2049" s="8" t="e">
        <f ca="1">[1]!BexGetData("DP_1","003N8EMH8GTFRIVOG7KG9IX8U","GSON1247151300")</f>
        <v>#NAME?</v>
      </c>
      <c r="O2049" s="8" t="e">
        <f ca="1">[1]!BexGetData("DP_1","003N8EMH8GTFRIVOG7KG9J3KE","GSON1247151300")</f>
        <v>#NAME?</v>
      </c>
      <c r="P2049" s="8" t="e">
        <f ca="1">[1]!BexGetData("DP_1","003N8EMH8GTFRIVOG7KG9J9VY","GSON1247151300")</f>
        <v>#NAME?</v>
      </c>
      <c r="Q2049" s="4" t="e">
        <f ca="1">[1]!BexGetData("DP_1","00O2TNJGODT0G5Z4TTKYMM5MT","GSON1247151300")</f>
        <v>#NAME?</v>
      </c>
      <c r="R2049" s="3" t="e">
        <f ca="1">[1]!BexGetData("DP_1","00O2TNJGODT0G5Z4TTKYMMBYD","GSON1247151300")</f>
        <v>#NAME?</v>
      </c>
      <c r="S2049" s="3" t="e">
        <f ca="1">[1]!BexGetData("DP_1","00O2TNJGODT0G5Z4TTKYMMI9X","GSON1247151300")</f>
        <v>#NAME?</v>
      </c>
      <c r="T2049" s="8" t="e">
        <f ca="1">[1]!BexGetData("DP_1","00O2TNJGODT0G5Z4TTKYMMOLH","GSON1247151300")</f>
        <v>#NAME?</v>
      </c>
      <c r="U2049" s="3" t="e">
        <f ca="1">[1]!BexGetData("DP_1","00O2TNJGODT0G5Z4TTKYMMUX1","GSON1247151300")</f>
        <v>#NAME?</v>
      </c>
      <c r="V2049" s="8" t="e">
        <f ca="1">[1]!BexGetData("DP_1","00O2TNJGODT0G5Z4TTKYMN18L","GSON1247151300")</f>
        <v>#NAME?</v>
      </c>
      <c r="W2049" s="3" t="e">
        <f ca="1">[1]!BexGetData("DP_1","00O2TNJGODT0G5Z4TTKYMN7K5","GSON1247151300")</f>
        <v>#NAME?</v>
      </c>
    </row>
    <row r="2050" spans="1:23" x14ac:dyDescent="0.2">
      <c r="A2050" s="16" t="s">
        <v>1365</v>
      </c>
      <c r="B2050" s="7" t="s">
        <v>1366</v>
      </c>
      <c r="C2050" s="8" t="e">
        <f ca="1">[1]!BexGetData("DP_1","003N8EMH8GTFRCSWKMPXRR8GU","GSON1247151301")</f>
        <v>#NAME?</v>
      </c>
      <c r="D2050" s="8" t="e">
        <f ca="1">[1]!BexGetData("DP_1","003N8EMH8GTFRCSWKMPXRRESE","GSON1247151301")</f>
        <v>#NAME?</v>
      </c>
      <c r="E2050" s="3" t="e">
        <f ca="1">[1]!BexGetData("DP_1","003N8EMH8GTFRCSWKMPXRRL3Y","GSON1247151301")</f>
        <v>#NAME?</v>
      </c>
      <c r="F2050" s="3" t="e">
        <f ca="1">[1]!BexGetData("DP_1","003N8EMH8GTFRCSWKMPXRRRFI","GSON1247151301")</f>
        <v>#NAME?</v>
      </c>
      <c r="G2050" s="3" t="e">
        <f ca="1">[1]!BexGetData("DP_1","003N8EMH8GTFRCSWKMPXRRXR2","GSON1247151301")</f>
        <v>#NAME?</v>
      </c>
      <c r="H2050" s="8" t="e">
        <f ca="1">[1]!BexGetData("DP_1","003N8EMH8GTFRCSWKMPXRS42M","GSON1247151301")</f>
        <v>#NAME?</v>
      </c>
      <c r="I2050" s="3" t="e">
        <f ca="1">[1]!BexGetData("DP_1","003N8EMH8GTFRCSWKMPXRSAE6","GSON1247151301")</f>
        <v>#NAME?</v>
      </c>
      <c r="J2050" s="4" t="e">
        <f ca="1">[1]!BexGetData("DP_1","003N8EMH8GTFRCSWKMPXRSGPQ","GSON1247151301")</f>
        <v>#NAME?</v>
      </c>
      <c r="K2050" s="8" t="e">
        <f ca="1">[1]!BexGetData("DP_1","003N8EMH8GTFRIVNUPY288VJH","GSON1247151301")</f>
        <v>#NAME?</v>
      </c>
      <c r="L2050" s="8" t="e">
        <f ca="1">[1]!BexGetData("DP_1","003N8EMH8GTFRIVNUPY2891V1","GSON1247151301")</f>
        <v>#NAME?</v>
      </c>
      <c r="M2050" s="8" t="e">
        <f ca="1">[1]!BexGetData("DP_1","003N8EMH8GTFRIVOG7KG9IQXA","GSON1247151301")</f>
        <v>#NAME?</v>
      </c>
      <c r="N2050" s="8" t="e">
        <f ca="1">[1]!BexGetData("DP_1","003N8EMH8GTFRIVOG7KG9IX8U","GSON1247151301")</f>
        <v>#NAME?</v>
      </c>
      <c r="O2050" s="8" t="e">
        <f ca="1">[1]!BexGetData("DP_1","003N8EMH8GTFRIVOG7KG9J3KE","GSON1247151301")</f>
        <v>#NAME?</v>
      </c>
      <c r="P2050" s="8" t="e">
        <f ca="1">[1]!BexGetData("DP_1","003N8EMH8GTFRIVOG7KG9J9VY","GSON1247151301")</f>
        <v>#NAME?</v>
      </c>
      <c r="Q2050" s="4" t="e">
        <f ca="1">[1]!BexGetData("DP_1","00O2TNJGODT0G5Z4TTKYMM5MT","GSON1247151301")</f>
        <v>#NAME?</v>
      </c>
      <c r="R2050" s="3" t="e">
        <f ca="1">[1]!BexGetData("DP_1","00O2TNJGODT0G5Z4TTKYMMBYD","GSON1247151301")</f>
        <v>#NAME?</v>
      </c>
      <c r="S2050" s="3" t="e">
        <f ca="1">[1]!BexGetData("DP_1","00O2TNJGODT0G5Z4TTKYMMI9X","GSON1247151301")</f>
        <v>#NAME?</v>
      </c>
      <c r="T2050" s="8" t="e">
        <f ca="1">[1]!BexGetData("DP_1","00O2TNJGODT0G5Z4TTKYMMOLH","GSON1247151301")</f>
        <v>#NAME?</v>
      </c>
      <c r="U2050" s="3" t="e">
        <f ca="1">[1]!BexGetData("DP_1","00O2TNJGODT0G5Z4TTKYMMUX1","GSON1247151301")</f>
        <v>#NAME?</v>
      </c>
      <c r="V2050" s="8" t="e">
        <f ca="1">[1]!BexGetData("DP_1","00O2TNJGODT0G5Z4TTKYMN18L","GSON1247151301")</f>
        <v>#NAME?</v>
      </c>
      <c r="W2050" s="3" t="e">
        <f ca="1">[1]!BexGetData("DP_1","00O2TNJGODT0G5Z4TTKYMN7K5","GSON1247151301")</f>
        <v>#NAME?</v>
      </c>
    </row>
    <row r="2051" spans="1:23" x14ac:dyDescent="0.2">
      <c r="A2051" s="15" t="s">
        <v>1367</v>
      </c>
      <c r="B2051" s="7" t="s">
        <v>1368</v>
      </c>
      <c r="C2051" s="8" t="e">
        <f ca="1">[1]!BexGetData("DP_1","003N8EMH8GTFRCSWKMPXRR8GU","GSON1248")</f>
        <v>#NAME?</v>
      </c>
      <c r="D2051" s="8" t="e">
        <f ca="1">[1]!BexGetData("DP_1","003N8EMH8GTFRCSWKMPXRRESE","GSON1248")</f>
        <v>#NAME?</v>
      </c>
      <c r="E2051" s="3" t="e">
        <f ca="1">[1]!BexGetData("DP_1","003N8EMH8GTFRCSWKMPXRRL3Y","GSON1248")</f>
        <v>#NAME?</v>
      </c>
      <c r="F2051" s="3" t="e">
        <f ca="1">[1]!BexGetData("DP_1","003N8EMH8GTFRCSWKMPXRRRFI","GSON1248")</f>
        <v>#NAME?</v>
      </c>
      <c r="G2051" s="3" t="e">
        <f ca="1">[1]!BexGetData("DP_1","003N8EMH8GTFRCSWKMPXRRXR2","GSON1248")</f>
        <v>#NAME?</v>
      </c>
      <c r="H2051" s="8" t="e">
        <f ca="1">[1]!BexGetData("DP_1","003N8EMH8GTFRCSWKMPXRS42M","GSON1248")</f>
        <v>#NAME?</v>
      </c>
      <c r="I2051" s="3" t="e">
        <f ca="1">[1]!BexGetData("DP_1","003N8EMH8GTFRCSWKMPXRSAE6","GSON1248")</f>
        <v>#NAME?</v>
      </c>
      <c r="J2051" s="4" t="e">
        <f ca="1">[1]!BexGetData("DP_1","003N8EMH8GTFRCSWKMPXRSGPQ","GSON1248")</f>
        <v>#NAME?</v>
      </c>
      <c r="K2051" s="8" t="e">
        <f ca="1">[1]!BexGetData("DP_1","003N8EMH8GTFRIVNUPY288VJH","GSON1248")</f>
        <v>#NAME?</v>
      </c>
      <c r="L2051" s="8" t="e">
        <f ca="1">[1]!BexGetData("DP_1","003N8EMH8GTFRIVNUPY2891V1","GSON1248")</f>
        <v>#NAME?</v>
      </c>
      <c r="M2051" s="8" t="e">
        <f ca="1">[1]!BexGetData("DP_1","003N8EMH8GTFRIVOG7KG9IQXA","GSON1248")</f>
        <v>#NAME?</v>
      </c>
      <c r="N2051" s="8" t="e">
        <f ca="1">[1]!BexGetData("DP_1","003N8EMH8GTFRIVOG7KG9IX8U","GSON1248")</f>
        <v>#NAME?</v>
      </c>
      <c r="O2051" s="8" t="e">
        <f ca="1">[1]!BexGetData("DP_1","003N8EMH8GTFRIVOG7KG9J3KE","GSON1248")</f>
        <v>#NAME?</v>
      </c>
      <c r="P2051" s="8" t="e">
        <f ca="1">[1]!BexGetData("DP_1","003N8EMH8GTFRIVOG7KG9J9VY","GSON1248")</f>
        <v>#NAME?</v>
      </c>
      <c r="Q2051" s="4" t="e">
        <f ca="1">[1]!BexGetData("DP_1","00O2TNJGODT0G5Z4TTKYMM5MT","GSON1248")</f>
        <v>#NAME?</v>
      </c>
      <c r="R2051" s="3" t="e">
        <f ca="1">[1]!BexGetData("DP_1","00O2TNJGODT0G5Z4TTKYMMBYD","GSON1248")</f>
        <v>#NAME?</v>
      </c>
      <c r="S2051" s="3" t="e">
        <f ca="1">[1]!BexGetData("DP_1","00O2TNJGODT0G5Z4TTKYMMI9X","GSON1248")</f>
        <v>#NAME?</v>
      </c>
      <c r="T2051" s="8" t="e">
        <f ca="1">[1]!BexGetData("DP_1","00O2TNJGODT0G5Z4TTKYMMOLH","GSON1248")</f>
        <v>#NAME?</v>
      </c>
      <c r="U2051" s="3" t="e">
        <f ca="1">[1]!BexGetData("DP_1","00O2TNJGODT0G5Z4TTKYMMUX1","GSON1248")</f>
        <v>#NAME?</v>
      </c>
      <c r="V2051" s="8" t="e">
        <f ca="1">[1]!BexGetData("DP_1","00O2TNJGODT0G5Z4TTKYMN18L","GSON1248")</f>
        <v>#NAME?</v>
      </c>
      <c r="W2051" s="3" t="e">
        <f ca="1">[1]!BexGetData("DP_1","00O2TNJGODT0G5Z4TTKYMN7K5","GSON1248")</f>
        <v>#NAME?</v>
      </c>
    </row>
    <row r="2052" spans="1:23" x14ac:dyDescent="0.2">
      <c r="A2052" s="16" t="s">
        <v>4750</v>
      </c>
      <c r="B2052" s="7" t="s">
        <v>4751</v>
      </c>
      <c r="C2052" s="8" t="e">
        <f ca="1">[1]!BexGetData("DP_1","003N8EMH8GTFRCSWKMPXRR8GU","GSON1248957900")</f>
        <v>#NAME?</v>
      </c>
      <c r="D2052" s="8" t="e">
        <f ca="1">[1]!BexGetData("DP_1","003N8EMH8GTFRCSWKMPXRRESE","GSON1248957900")</f>
        <v>#NAME?</v>
      </c>
      <c r="E2052" s="3" t="e">
        <f ca="1">[1]!BexGetData("DP_1","003N8EMH8GTFRCSWKMPXRRL3Y","GSON1248957900")</f>
        <v>#NAME?</v>
      </c>
      <c r="F2052" s="3" t="e">
        <f ca="1">[1]!BexGetData("DP_1","003N8EMH8GTFRCSWKMPXRRRFI","GSON1248957900")</f>
        <v>#NAME?</v>
      </c>
      <c r="G2052" s="3" t="e">
        <f ca="1">[1]!BexGetData("DP_1","003N8EMH8GTFRCSWKMPXRRXR2","GSON1248957900")</f>
        <v>#NAME?</v>
      </c>
      <c r="H2052" s="8" t="e">
        <f ca="1">[1]!BexGetData("DP_1","003N8EMH8GTFRCSWKMPXRS42M","GSON1248957900")</f>
        <v>#NAME?</v>
      </c>
      <c r="I2052" s="3" t="e">
        <f ca="1">[1]!BexGetData("DP_1","003N8EMH8GTFRCSWKMPXRSAE6","GSON1248957900")</f>
        <v>#NAME?</v>
      </c>
      <c r="J2052" s="4" t="e">
        <f ca="1">[1]!BexGetData("DP_1","003N8EMH8GTFRCSWKMPXRSGPQ","GSON1248957900")</f>
        <v>#NAME?</v>
      </c>
      <c r="K2052" s="8" t="e">
        <f ca="1">[1]!BexGetData("DP_1","003N8EMH8GTFRIVNUPY288VJH","GSON1248957900")</f>
        <v>#NAME?</v>
      </c>
      <c r="L2052" s="8" t="e">
        <f ca="1">[1]!BexGetData("DP_1","003N8EMH8GTFRIVNUPY2891V1","GSON1248957900")</f>
        <v>#NAME?</v>
      </c>
      <c r="M2052" s="8" t="e">
        <f ca="1">[1]!BexGetData("DP_1","003N8EMH8GTFRIVOG7KG9IQXA","GSON1248957900")</f>
        <v>#NAME?</v>
      </c>
      <c r="N2052" s="8" t="e">
        <f ca="1">[1]!BexGetData("DP_1","003N8EMH8GTFRIVOG7KG9IX8U","GSON1248957900")</f>
        <v>#NAME?</v>
      </c>
      <c r="O2052" s="8" t="e">
        <f ca="1">[1]!BexGetData("DP_1","003N8EMH8GTFRIVOG7KG9J3KE","GSON1248957900")</f>
        <v>#NAME?</v>
      </c>
      <c r="P2052" s="8" t="e">
        <f ca="1">[1]!BexGetData("DP_1","003N8EMH8GTFRIVOG7KG9J9VY","GSON1248957900")</f>
        <v>#NAME?</v>
      </c>
      <c r="Q2052" s="4" t="e">
        <f ca="1">[1]!BexGetData("DP_1","00O2TNJGODT0G5Z4TTKYMM5MT","GSON1248957900")</f>
        <v>#NAME?</v>
      </c>
      <c r="R2052" s="3" t="e">
        <f ca="1">[1]!BexGetData("DP_1","00O2TNJGODT0G5Z4TTKYMMBYD","GSON1248957900")</f>
        <v>#NAME?</v>
      </c>
      <c r="S2052" s="3" t="e">
        <f ca="1">[1]!BexGetData("DP_1","00O2TNJGODT0G5Z4TTKYMMI9X","GSON1248957900")</f>
        <v>#NAME?</v>
      </c>
      <c r="T2052" s="8" t="e">
        <f ca="1">[1]!BexGetData("DP_1","00O2TNJGODT0G5Z4TTKYMMOLH","GSON1248957900")</f>
        <v>#NAME?</v>
      </c>
      <c r="U2052" s="3" t="e">
        <f ca="1">[1]!BexGetData("DP_1","00O2TNJGODT0G5Z4TTKYMMUX1","GSON1248957900")</f>
        <v>#NAME?</v>
      </c>
      <c r="V2052" s="8" t="e">
        <f ca="1">[1]!BexGetData("DP_1","00O2TNJGODT0G5Z4TTKYMN18L","GSON1248957900")</f>
        <v>#NAME?</v>
      </c>
      <c r="W2052" s="3" t="e">
        <f ca="1">[1]!BexGetData("DP_1","00O2TNJGODT0G5Z4TTKYMN7K5","GSON1248957900")</f>
        <v>#NAME?</v>
      </c>
    </row>
    <row r="2053" spans="1:23" x14ac:dyDescent="0.2">
      <c r="A2053" s="16" t="s">
        <v>4752</v>
      </c>
      <c r="B2053" s="7" t="s">
        <v>4753</v>
      </c>
      <c r="C2053" s="8" t="e">
        <f ca="1">[1]!BexGetData("DP_1","003N8EMH8GTFRCSWKMPXRR8GU","GSON1248957901")</f>
        <v>#NAME?</v>
      </c>
      <c r="D2053" s="8" t="e">
        <f ca="1">[1]!BexGetData("DP_1","003N8EMH8GTFRCSWKMPXRRESE","GSON1248957901")</f>
        <v>#NAME?</v>
      </c>
      <c r="E2053" s="3" t="e">
        <f ca="1">[1]!BexGetData("DP_1","003N8EMH8GTFRCSWKMPXRRL3Y","GSON1248957901")</f>
        <v>#NAME?</v>
      </c>
      <c r="F2053" s="3" t="e">
        <f ca="1">[1]!BexGetData("DP_1","003N8EMH8GTFRCSWKMPXRRRFI","GSON1248957901")</f>
        <v>#NAME?</v>
      </c>
      <c r="G2053" s="3" t="e">
        <f ca="1">[1]!BexGetData("DP_1","003N8EMH8GTFRCSWKMPXRRXR2","GSON1248957901")</f>
        <v>#NAME?</v>
      </c>
      <c r="H2053" s="8" t="e">
        <f ca="1">[1]!BexGetData("DP_1","003N8EMH8GTFRCSWKMPXRS42M","GSON1248957901")</f>
        <v>#NAME?</v>
      </c>
      <c r="I2053" s="3" t="e">
        <f ca="1">[1]!BexGetData("DP_1","003N8EMH8GTFRCSWKMPXRSAE6","GSON1248957901")</f>
        <v>#NAME?</v>
      </c>
      <c r="J2053" s="4" t="e">
        <f ca="1">[1]!BexGetData("DP_1","003N8EMH8GTFRCSWKMPXRSGPQ","GSON1248957901")</f>
        <v>#NAME?</v>
      </c>
      <c r="K2053" s="8" t="e">
        <f ca="1">[1]!BexGetData("DP_1","003N8EMH8GTFRIVNUPY288VJH","GSON1248957901")</f>
        <v>#NAME?</v>
      </c>
      <c r="L2053" s="8" t="e">
        <f ca="1">[1]!BexGetData("DP_1","003N8EMH8GTFRIVNUPY2891V1","GSON1248957901")</f>
        <v>#NAME?</v>
      </c>
      <c r="M2053" s="8" t="e">
        <f ca="1">[1]!BexGetData("DP_1","003N8EMH8GTFRIVOG7KG9IQXA","GSON1248957901")</f>
        <v>#NAME?</v>
      </c>
      <c r="N2053" s="8" t="e">
        <f ca="1">[1]!BexGetData("DP_1","003N8EMH8GTFRIVOG7KG9IX8U","GSON1248957901")</f>
        <v>#NAME?</v>
      </c>
      <c r="O2053" s="8" t="e">
        <f ca="1">[1]!BexGetData("DP_1","003N8EMH8GTFRIVOG7KG9J3KE","GSON1248957901")</f>
        <v>#NAME?</v>
      </c>
      <c r="P2053" s="8" t="e">
        <f ca="1">[1]!BexGetData("DP_1","003N8EMH8GTFRIVOG7KG9J9VY","GSON1248957901")</f>
        <v>#NAME?</v>
      </c>
      <c r="Q2053" s="4" t="e">
        <f ca="1">[1]!BexGetData("DP_1","00O2TNJGODT0G5Z4TTKYMM5MT","GSON1248957901")</f>
        <v>#NAME?</v>
      </c>
      <c r="R2053" s="3" t="e">
        <f ca="1">[1]!BexGetData("DP_1","00O2TNJGODT0G5Z4TTKYMMBYD","GSON1248957901")</f>
        <v>#NAME?</v>
      </c>
      <c r="S2053" s="3" t="e">
        <f ca="1">[1]!BexGetData("DP_1","00O2TNJGODT0G5Z4TTKYMMI9X","GSON1248957901")</f>
        <v>#NAME?</v>
      </c>
      <c r="T2053" s="8" t="e">
        <f ca="1">[1]!BexGetData("DP_1","00O2TNJGODT0G5Z4TTKYMMOLH","GSON1248957901")</f>
        <v>#NAME?</v>
      </c>
      <c r="U2053" s="3" t="e">
        <f ca="1">[1]!BexGetData("DP_1","00O2TNJGODT0G5Z4TTKYMMUX1","GSON1248957901")</f>
        <v>#NAME?</v>
      </c>
      <c r="V2053" s="8" t="e">
        <f ca="1">[1]!BexGetData("DP_1","00O2TNJGODT0G5Z4TTKYMN18L","GSON1248957901")</f>
        <v>#NAME?</v>
      </c>
      <c r="W2053" s="3" t="e">
        <f ca="1">[1]!BexGetData("DP_1","00O2TNJGODT0G5Z4TTKYMN7K5","GSON1248957901")</f>
        <v>#NAME?</v>
      </c>
    </row>
    <row r="2054" spans="1:23" x14ac:dyDescent="0.2">
      <c r="A2054" s="14" t="s">
        <v>9</v>
      </c>
      <c r="B2054" s="7" t="s">
        <v>340</v>
      </c>
      <c r="C2054" s="3" t="e">
        <f ca="1">[1]!BexGetData("DP_1","003N8EMH8GTFRCSWKMPXRR8GU","GSON125")</f>
        <v>#NAME?</v>
      </c>
      <c r="D2054" s="3" t="e">
        <f ca="1">[1]!BexGetData("DP_1","003N8EMH8GTFRCSWKMPXRRESE","GSON125")</f>
        <v>#NAME?</v>
      </c>
      <c r="E2054" s="3" t="e">
        <f ca="1">[1]!BexGetData("DP_1","003N8EMH8GTFRCSWKMPXRRL3Y","GSON125")</f>
        <v>#NAME?</v>
      </c>
      <c r="F2054" s="3" t="e">
        <f ca="1">[1]!BexGetData("DP_1","003N8EMH8GTFRCSWKMPXRRRFI","GSON125")</f>
        <v>#NAME?</v>
      </c>
      <c r="G2054" s="3" t="e">
        <f ca="1">[1]!BexGetData("DP_1","003N8EMH8GTFRCSWKMPXRRXR2","GSON125")</f>
        <v>#NAME?</v>
      </c>
      <c r="H2054" s="3" t="e">
        <f ca="1">[1]!BexGetData("DP_1","003N8EMH8GTFRCSWKMPXRS42M","GSON125")</f>
        <v>#NAME?</v>
      </c>
      <c r="I2054" s="3" t="e">
        <f ca="1">[1]!BexGetData("DP_1","003N8EMH8GTFRCSWKMPXRSAE6","GSON125")</f>
        <v>#NAME?</v>
      </c>
      <c r="J2054" s="4" t="e">
        <f ca="1">[1]!BexGetData("DP_1","003N8EMH8GTFRCSWKMPXRSGPQ","GSON125")</f>
        <v>#NAME?</v>
      </c>
      <c r="K2054" s="3" t="e">
        <f ca="1">[1]!BexGetData("DP_1","003N8EMH8GTFRIVNUPY288VJH","GSON125")</f>
        <v>#NAME?</v>
      </c>
      <c r="L2054" s="3" t="e">
        <f ca="1">[1]!BexGetData("DP_1","003N8EMH8GTFRIVNUPY2891V1","GSON125")</f>
        <v>#NAME?</v>
      </c>
      <c r="M2054" s="8" t="e">
        <f ca="1">[1]!BexGetData("DP_1","003N8EMH8GTFRIVOG7KG9IQXA","GSON125")</f>
        <v>#NAME?</v>
      </c>
      <c r="N2054" s="3" t="e">
        <f ca="1">[1]!BexGetData("DP_1","003N8EMH8GTFRIVOG7KG9IX8U","GSON125")</f>
        <v>#NAME?</v>
      </c>
      <c r="O2054" s="8" t="e">
        <f ca="1">[1]!BexGetData("DP_1","003N8EMH8GTFRIVOG7KG9J3KE","GSON125")</f>
        <v>#NAME?</v>
      </c>
      <c r="P2054" s="3" t="e">
        <f ca="1">[1]!BexGetData("DP_1","003N8EMH8GTFRIVOG7KG9J9VY","GSON125")</f>
        <v>#NAME?</v>
      </c>
      <c r="Q2054" s="4" t="e">
        <f ca="1">[1]!BexGetData("DP_1","00O2TNJGODT0G5Z4TTKYMM5MT","GSON125")</f>
        <v>#NAME?</v>
      </c>
      <c r="R2054" s="3" t="e">
        <f ca="1">[1]!BexGetData("DP_1","00O2TNJGODT0G5Z4TTKYMMBYD","GSON125")</f>
        <v>#NAME?</v>
      </c>
      <c r="S2054" s="3" t="e">
        <f ca="1">[1]!BexGetData("DP_1","00O2TNJGODT0G5Z4TTKYMMI9X","GSON125")</f>
        <v>#NAME?</v>
      </c>
      <c r="T2054" s="8" t="e">
        <f ca="1">[1]!BexGetData("DP_1","00O2TNJGODT0G5Z4TTKYMMOLH","GSON125")</f>
        <v>#NAME?</v>
      </c>
      <c r="U2054" s="3" t="e">
        <f ca="1">[1]!BexGetData("DP_1","00O2TNJGODT0G5Z4TTKYMMUX1","GSON125")</f>
        <v>#NAME?</v>
      </c>
      <c r="V2054" s="8" t="e">
        <f ca="1">[1]!BexGetData("DP_1","00O2TNJGODT0G5Z4TTKYMN18L","GSON125")</f>
        <v>#NAME?</v>
      </c>
      <c r="W2054" s="3" t="e">
        <f ca="1">[1]!BexGetData("DP_1","00O2TNJGODT0G5Z4TTKYMN7K5","GSON125")</f>
        <v>#NAME?</v>
      </c>
    </row>
    <row r="2055" spans="1:23" x14ac:dyDescent="0.2">
      <c r="A2055" s="15" t="s">
        <v>341</v>
      </c>
      <c r="B2055" s="7" t="s">
        <v>342</v>
      </c>
      <c r="C2055" s="3" t="e">
        <f ca="1">[1]!BexGetData("DP_1","003N8EMH8GTFRCSWKMPXRR8GU","GSON1251")</f>
        <v>#NAME?</v>
      </c>
      <c r="D2055" s="8" t="e">
        <f ca="1">[1]!BexGetData("DP_1","003N8EMH8GTFRCSWKMPXRRESE","GSON1251")</f>
        <v>#NAME?</v>
      </c>
      <c r="E2055" s="3" t="e">
        <f ca="1">[1]!BexGetData("DP_1","003N8EMH8GTFRCSWKMPXRRL3Y","GSON1251")</f>
        <v>#NAME?</v>
      </c>
      <c r="F2055" s="3" t="e">
        <f ca="1">[1]!BexGetData("DP_1","003N8EMH8GTFRCSWKMPXRRRFI","GSON1251")</f>
        <v>#NAME?</v>
      </c>
      <c r="G2055" s="3" t="e">
        <f ca="1">[1]!BexGetData("DP_1","003N8EMH8GTFRCSWKMPXRRXR2","GSON1251")</f>
        <v>#NAME?</v>
      </c>
      <c r="H2055" s="3" t="e">
        <f ca="1">[1]!BexGetData("DP_1","003N8EMH8GTFRCSWKMPXRS42M","GSON1251")</f>
        <v>#NAME?</v>
      </c>
      <c r="I2055" s="3" t="e">
        <f ca="1">[1]!BexGetData("DP_1","003N8EMH8GTFRCSWKMPXRSAE6","GSON1251")</f>
        <v>#NAME?</v>
      </c>
      <c r="J2055" s="4" t="e">
        <f ca="1">[1]!BexGetData("DP_1","003N8EMH8GTFRCSWKMPXRSGPQ","GSON1251")</f>
        <v>#NAME?</v>
      </c>
      <c r="K2055" s="3" t="e">
        <f ca="1">[1]!BexGetData("DP_1","003N8EMH8GTFRIVNUPY288VJH","GSON1251")</f>
        <v>#NAME?</v>
      </c>
      <c r="L2055" s="3" t="e">
        <f ca="1">[1]!BexGetData("DP_1","003N8EMH8GTFRIVNUPY2891V1","GSON1251")</f>
        <v>#NAME?</v>
      </c>
      <c r="M2055" s="8" t="e">
        <f ca="1">[1]!BexGetData("DP_1","003N8EMH8GTFRIVOG7KG9IQXA","GSON1251")</f>
        <v>#NAME?</v>
      </c>
      <c r="N2055" s="3" t="e">
        <f ca="1">[1]!BexGetData("DP_1","003N8EMH8GTFRIVOG7KG9IX8U","GSON1251")</f>
        <v>#NAME?</v>
      </c>
      <c r="O2055" s="8" t="e">
        <f ca="1">[1]!BexGetData("DP_1","003N8EMH8GTFRIVOG7KG9J3KE","GSON1251")</f>
        <v>#NAME?</v>
      </c>
      <c r="P2055" s="3" t="e">
        <f ca="1">[1]!BexGetData("DP_1","003N8EMH8GTFRIVOG7KG9J9VY","GSON1251")</f>
        <v>#NAME?</v>
      </c>
      <c r="Q2055" s="4" t="e">
        <f ca="1">[1]!BexGetData("DP_1","00O2TNJGODT0G5Z4TTKYMM5MT","GSON1251")</f>
        <v>#NAME?</v>
      </c>
      <c r="R2055" s="3" t="e">
        <f ca="1">[1]!BexGetData("DP_1","00O2TNJGODT0G5Z4TTKYMMBYD","GSON1251")</f>
        <v>#NAME?</v>
      </c>
      <c r="S2055" s="3" t="e">
        <f ca="1">[1]!BexGetData("DP_1","00O2TNJGODT0G5Z4TTKYMMI9X","GSON1251")</f>
        <v>#NAME?</v>
      </c>
      <c r="T2055" s="8" t="e">
        <f ca="1">[1]!BexGetData("DP_1","00O2TNJGODT0G5Z4TTKYMMOLH","GSON1251")</f>
        <v>#NAME?</v>
      </c>
      <c r="U2055" s="3" t="e">
        <f ca="1">[1]!BexGetData("DP_1","00O2TNJGODT0G5Z4TTKYMMUX1","GSON1251")</f>
        <v>#NAME?</v>
      </c>
      <c r="V2055" s="8" t="e">
        <f ca="1">[1]!BexGetData("DP_1","00O2TNJGODT0G5Z4TTKYMN18L","GSON1251")</f>
        <v>#NAME?</v>
      </c>
      <c r="W2055" s="3" t="e">
        <f ca="1">[1]!BexGetData("DP_1","00O2TNJGODT0G5Z4TTKYMN7K5","GSON1251")</f>
        <v>#NAME?</v>
      </c>
    </row>
    <row r="2056" spans="1:23" x14ac:dyDescent="0.2">
      <c r="A2056" s="16" t="s">
        <v>1369</v>
      </c>
      <c r="B2056" s="7" t="s">
        <v>1370</v>
      </c>
      <c r="C2056" s="8" t="e">
        <f ca="1">[1]!BexGetData("DP_1","003N8EMH8GTFRCSWKMPXRR8GU","GSON1251159100")</f>
        <v>#NAME?</v>
      </c>
      <c r="D2056" s="8" t="e">
        <f ca="1">[1]!BexGetData("DP_1","003N8EMH8GTFRCSWKMPXRRESE","GSON1251159100")</f>
        <v>#NAME?</v>
      </c>
      <c r="E2056" s="3" t="e">
        <f ca="1">[1]!BexGetData("DP_1","003N8EMH8GTFRCSWKMPXRRL3Y","GSON1251159100")</f>
        <v>#NAME?</v>
      </c>
      <c r="F2056" s="3" t="e">
        <f ca="1">[1]!BexGetData("DP_1","003N8EMH8GTFRCSWKMPXRRRFI","GSON1251159100")</f>
        <v>#NAME?</v>
      </c>
      <c r="G2056" s="3" t="e">
        <f ca="1">[1]!BexGetData("DP_1","003N8EMH8GTFRCSWKMPXRRXR2","GSON1251159100")</f>
        <v>#NAME?</v>
      </c>
      <c r="H2056" s="3" t="e">
        <f ca="1">[1]!BexGetData("DP_1","003N8EMH8GTFRCSWKMPXRS42M","GSON1251159100")</f>
        <v>#NAME?</v>
      </c>
      <c r="I2056" s="3" t="e">
        <f ca="1">[1]!BexGetData("DP_1","003N8EMH8GTFRCSWKMPXRSAE6","GSON1251159100")</f>
        <v>#NAME?</v>
      </c>
      <c r="J2056" s="4" t="e">
        <f ca="1">[1]!BexGetData("DP_1","003N8EMH8GTFRCSWKMPXRSGPQ","GSON1251159100")</f>
        <v>#NAME?</v>
      </c>
      <c r="K2056" s="8" t="e">
        <f ca="1">[1]!BexGetData("DP_1","003N8EMH8GTFRIVNUPY288VJH","GSON1251159100")</f>
        <v>#NAME?</v>
      </c>
      <c r="L2056" s="8" t="e">
        <f ca="1">[1]!BexGetData("DP_1","003N8EMH8GTFRIVNUPY2891V1","GSON1251159100")</f>
        <v>#NAME?</v>
      </c>
      <c r="M2056" s="8" t="e">
        <f ca="1">[1]!BexGetData("DP_1","003N8EMH8GTFRIVOG7KG9IQXA","GSON1251159100")</f>
        <v>#NAME?</v>
      </c>
      <c r="N2056" s="8" t="e">
        <f ca="1">[1]!BexGetData("DP_1","003N8EMH8GTFRIVOG7KG9IX8U","GSON1251159100")</f>
        <v>#NAME?</v>
      </c>
      <c r="O2056" s="8" t="e">
        <f ca="1">[1]!BexGetData("DP_1","003N8EMH8GTFRIVOG7KG9J3KE","GSON1251159100")</f>
        <v>#NAME?</v>
      </c>
      <c r="P2056" s="8" t="e">
        <f ca="1">[1]!BexGetData("DP_1","003N8EMH8GTFRIVOG7KG9J9VY","GSON1251159100")</f>
        <v>#NAME?</v>
      </c>
      <c r="Q2056" s="4" t="e">
        <f ca="1">[1]!BexGetData("DP_1","00O2TNJGODT0G5Z4TTKYMM5MT","GSON1251159100")</f>
        <v>#NAME?</v>
      </c>
      <c r="R2056" s="3" t="e">
        <f ca="1">[1]!BexGetData("DP_1","00O2TNJGODT0G5Z4TTKYMMBYD","GSON1251159100")</f>
        <v>#NAME?</v>
      </c>
      <c r="S2056" s="3" t="e">
        <f ca="1">[1]!BexGetData("DP_1","00O2TNJGODT0G5Z4TTKYMMI9X","GSON1251159100")</f>
        <v>#NAME?</v>
      </c>
      <c r="T2056" s="8" t="e">
        <f ca="1">[1]!BexGetData("DP_1","00O2TNJGODT0G5Z4TTKYMMOLH","GSON1251159100")</f>
        <v>#NAME?</v>
      </c>
      <c r="U2056" s="3" t="e">
        <f ca="1">[1]!BexGetData("DP_1","00O2TNJGODT0G5Z4TTKYMMUX1","GSON1251159100")</f>
        <v>#NAME?</v>
      </c>
      <c r="V2056" s="8" t="e">
        <f ca="1">[1]!BexGetData("DP_1","00O2TNJGODT0G5Z4TTKYMN18L","GSON1251159100")</f>
        <v>#NAME?</v>
      </c>
      <c r="W2056" s="3" t="e">
        <f ca="1">[1]!BexGetData("DP_1","00O2TNJGODT0G5Z4TTKYMN7K5","GSON1251159100")</f>
        <v>#NAME?</v>
      </c>
    </row>
    <row r="2057" spans="1:23" x14ac:dyDescent="0.2">
      <c r="A2057" s="16" t="s">
        <v>343</v>
      </c>
      <c r="B2057" s="7" t="s">
        <v>344</v>
      </c>
      <c r="C2057" s="3" t="e">
        <f ca="1">[1]!BexGetData("DP_1","003N8EMH8GTFRCSWKMPXRR8GU","GSON1251159101")</f>
        <v>#NAME?</v>
      </c>
      <c r="D2057" s="8" t="e">
        <f ca="1">[1]!BexGetData("DP_1","003N8EMH8GTFRCSWKMPXRRESE","GSON1251159101")</f>
        <v>#NAME?</v>
      </c>
      <c r="E2057" s="3" t="e">
        <f ca="1">[1]!BexGetData("DP_1","003N8EMH8GTFRCSWKMPXRRL3Y","GSON1251159101")</f>
        <v>#NAME?</v>
      </c>
      <c r="F2057" s="3" t="e">
        <f ca="1">[1]!BexGetData("DP_1","003N8EMH8GTFRCSWKMPXRRRFI","GSON1251159101")</f>
        <v>#NAME?</v>
      </c>
      <c r="G2057" s="3" t="e">
        <f ca="1">[1]!BexGetData("DP_1","003N8EMH8GTFRCSWKMPXRRXR2","GSON1251159101")</f>
        <v>#NAME?</v>
      </c>
      <c r="H2057" s="8" t="e">
        <f ca="1">[1]!BexGetData("DP_1","003N8EMH8GTFRCSWKMPXRS42M","GSON1251159101")</f>
        <v>#NAME?</v>
      </c>
      <c r="I2057" s="3" t="e">
        <f ca="1">[1]!BexGetData("DP_1","003N8EMH8GTFRCSWKMPXRSAE6","GSON1251159101")</f>
        <v>#NAME?</v>
      </c>
      <c r="J2057" s="4" t="e">
        <f ca="1">[1]!BexGetData("DP_1","003N8EMH8GTFRCSWKMPXRSGPQ","GSON1251159101")</f>
        <v>#NAME?</v>
      </c>
      <c r="K2057" s="3" t="e">
        <f ca="1">[1]!BexGetData("DP_1","003N8EMH8GTFRIVNUPY288VJH","GSON1251159101")</f>
        <v>#NAME?</v>
      </c>
      <c r="L2057" s="3" t="e">
        <f ca="1">[1]!BexGetData("DP_1","003N8EMH8GTFRIVNUPY2891V1","GSON1251159101")</f>
        <v>#NAME?</v>
      </c>
      <c r="M2057" s="8" t="e">
        <f ca="1">[1]!BexGetData("DP_1","003N8EMH8GTFRIVOG7KG9IQXA","GSON1251159101")</f>
        <v>#NAME?</v>
      </c>
      <c r="N2057" s="3" t="e">
        <f ca="1">[1]!BexGetData("DP_1","003N8EMH8GTFRIVOG7KG9IX8U","GSON1251159101")</f>
        <v>#NAME?</v>
      </c>
      <c r="O2057" s="8" t="e">
        <f ca="1">[1]!BexGetData("DP_1","003N8EMH8GTFRIVOG7KG9J3KE","GSON1251159101")</f>
        <v>#NAME?</v>
      </c>
      <c r="P2057" s="3" t="e">
        <f ca="1">[1]!BexGetData("DP_1","003N8EMH8GTFRIVOG7KG9J9VY","GSON1251159101")</f>
        <v>#NAME?</v>
      </c>
      <c r="Q2057" s="4" t="e">
        <f ca="1">[1]!BexGetData("DP_1","00O2TNJGODT0G5Z4TTKYMM5MT","GSON1251159101")</f>
        <v>#NAME?</v>
      </c>
      <c r="R2057" s="3" t="e">
        <f ca="1">[1]!BexGetData("DP_1","00O2TNJGODT0G5Z4TTKYMMBYD","GSON1251159101")</f>
        <v>#NAME?</v>
      </c>
      <c r="S2057" s="3" t="e">
        <f ca="1">[1]!BexGetData("DP_1","00O2TNJGODT0G5Z4TTKYMMI9X","GSON1251159101")</f>
        <v>#NAME?</v>
      </c>
      <c r="T2057" s="8" t="e">
        <f ca="1">[1]!BexGetData("DP_1","00O2TNJGODT0G5Z4TTKYMMOLH","GSON1251159101")</f>
        <v>#NAME?</v>
      </c>
      <c r="U2057" s="3" t="e">
        <f ca="1">[1]!BexGetData("DP_1","00O2TNJGODT0G5Z4TTKYMMUX1","GSON1251159101")</f>
        <v>#NAME?</v>
      </c>
      <c r="V2057" s="8" t="e">
        <f ca="1">[1]!BexGetData("DP_1","00O2TNJGODT0G5Z4TTKYMN18L","GSON1251159101")</f>
        <v>#NAME?</v>
      </c>
      <c r="W2057" s="3" t="e">
        <f ca="1">[1]!BexGetData("DP_1","00O2TNJGODT0G5Z4TTKYMN7K5","GSON1251159101")</f>
        <v>#NAME?</v>
      </c>
    </row>
    <row r="2058" spans="1:23" x14ac:dyDescent="0.2">
      <c r="A2058" s="15" t="s">
        <v>1371</v>
      </c>
      <c r="B2058" s="7" t="s">
        <v>1372</v>
      </c>
      <c r="C2058" s="3" t="e">
        <f ca="1">[1]!BexGetData("DP_1","003N8EMH8GTFRCSWKMPXRR8GU","GSON1254")</f>
        <v>#NAME?</v>
      </c>
      <c r="D2058" s="3" t="e">
        <f ca="1">[1]!BexGetData("DP_1","003N8EMH8GTFRCSWKMPXRRESE","GSON1254")</f>
        <v>#NAME?</v>
      </c>
      <c r="E2058" s="3" t="e">
        <f ca="1">[1]!BexGetData("DP_1","003N8EMH8GTFRCSWKMPXRRL3Y","GSON1254")</f>
        <v>#NAME?</v>
      </c>
      <c r="F2058" s="3" t="e">
        <f ca="1">[1]!BexGetData("DP_1","003N8EMH8GTFRCSWKMPXRRRFI","GSON1254")</f>
        <v>#NAME?</v>
      </c>
      <c r="G2058" s="3" t="e">
        <f ca="1">[1]!BexGetData("DP_1","003N8EMH8GTFRCSWKMPXRRXR2","GSON1254")</f>
        <v>#NAME?</v>
      </c>
      <c r="H2058" s="8" t="e">
        <f ca="1">[1]!BexGetData("DP_1","003N8EMH8GTFRCSWKMPXRS42M","GSON1254")</f>
        <v>#NAME?</v>
      </c>
      <c r="I2058" s="3" t="e">
        <f ca="1">[1]!BexGetData("DP_1","003N8EMH8GTFRCSWKMPXRSAE6","GSON1254")</f>
        <v>#NAME?</v>
      </c>
      <c r="J2058" s="4" t="e">
        <f ca="1">[1]!BexGetData("DP_1","003N8EMH8GTFRCSWKMPXRSGPQ","GSON1254")</f>
        <v>#NAME?</v>
      </c>
      <c r="K2058" s="3" t="e">
        <f ca="1">[1]!BexGetData("DP_1","003N8EMH8GTFRIVNUPY288VJH","GSON1254")</f>
        <v>#NAME?</v>
      </c>
      <c r="L2058" s="3" t="e">
        <f ca="1">[1]!BexGetData("DP_1","003N8EMH8GTFRIVNUPY2891V1","GSON1254")</f>
        <v>#NAME?</v>
      </c>
      <c r="M2058" s="8" t="e">
        <f ca="1">[1]!BexGetData("DP_1","003N8EMH8GTFRIVOG7KG9IQXA","GSON1254")</f>
        <v>#NAME?</v>
      </c>
      <c r="N2058" s="3" t="e">
        <f ca="1">[1]!BexGetData("DP_1","003N8EMH8GTFRIVOG7KG9IX8U","GSON1254")</f>
        <v>#NAME?</v>
      </c>
      <c r="O2058" s="8" t="e">
        <f ca="1">[1]!BexGetData("DP_1","003N8EMH8GTFRIVOG7KG9J3KE","GSON1254")</f>
        <v>#NAME?</v>
      </c>
      <c r="P2058" s="3" t="e">
        <f ca="1">[1]!BexGetData("DP_1","003N8EMH8GTFRIVOG7KG9J9VY","GSON1254")</f>
        <v>#NAME?</v>
      </c>
      <c r="Q2058" s="4" t="e">
        <f ca="1">[1]!BexGetData("DP_1","00O2TNJGODT0G5Z4TTKYMM5MT","GSON1254")</f>
        <v>#NAME?</v>
      </c>
      <c r="R2058" s="3" t="e">
        <f ca="1">[1]!BexGetData("DP_1","00O2TNJGODT0G5Z4TTKYMMBYD","GSON1254")</f>
        <v>#NAME?</v>
      </c>
      <c r="S2058" s="3" t="e">
        <f ca="1">[1]!BexGetData("DP_1","00O2TNJGODT0G5Z4TTKYMMI9X","GSON1254")</f>
        <v>#NAME?</v>
      </c>
      <c r="T2058" s="8" t="e">
        <f ca="1">[1]!BexGetData("DP_1","00O2TNJGODT0G5Z4TTKYMMOLH","GSON1254")</f>
        <v>#NAME?</v>
      </c>
      <c r="U2058" s="3" t="e">
        <f ca="1">[1]!BexGetData("DP_1","00O2TNJGODT0G5Z4TTKYMMUX1","GSON1254")</f>
        <v>#NAME?</v>
      </c>
      <c r="V2058" s="8" t="e">
        <f ca="1">[1]!BexGetData("DP_1","00O2TNJGODT0G5Z4TTKYMN18L","GSON1254")</f>
        <v>#NAME?</v>
      </c>
      <c r="W2058" s="3" t="e">
        <f ca="1">[1]!BexGetData("DP_1","00O2TNJGODT0G5Z4TTKYMN7K5","GSON1254")</f>
        <v>#NAME?</v>
      </c>
    </row>
    <row r="2059" spans="1:23" x14ac:dyDescent="0.2">
      <c r="A2059" s="16" t="s">
        <v>1373</v>
      </c>
      <c r="B2059" s="7" t="s">
        <v>1374</v>
      </c>
      <c r="C2059" s="3" t="e">
        <f ca="1">[1]!BexGetData("DP_1","003N8EMH8GTFRCSWKMPXRR8GU","GSON12541")</f>
        <v>#NAME?</v>
      </c>
      <c r="D2059" s="3" t="e">
        <f ca="1">[1]!BexGetData("DP_1","003N8EMH8GTFRCSWKMPXRRESE","GSON12541")</f>
        <v>#NAME?</v>
      </c>
      <c r="E2059" s="3" t="e">
        <f ca="1">[1]!BexGetData("DP_1","003N8EMH8GTFRCSWKMPXRRL3Y","GSON12541")</f>
        <v>#NAME?</v>
      </c>
      <c r="F2059" s="3" t="e">
        <f ca="1">[1]!BexGetData("DP_1","003N8EMH8GTFRCSWKMPXRRRFI","GSON12541")</f>
        <v>#NAME?</v>
      </c>
      <c r="G2059" s="3" t="e">
        <f ca="1">[1]!BexGetData("DP_1","003N8EMH8GTFRCSWKMPXRRXR2","GSON12541")</f>
        <v>#NAME?</v>
      </c>
      <c r="H2059" s="8" t="e">
        <f ca="1">[1]!BexGetData("DP_1","003N8EMH8GTFRCSWKMPXRS42M","GSON12541")</f>
        <v>#NAME?</v>
      </c>
      <c r="I2059" s="3" t="e">
        <f ca="1">[1]!BexGetData("DP_1","003N8EMH8GTFRCSWKMPXRSAE6","GSON12541")</f>
        <v>#NAME?</v>
      </c>
      <c r="J2059" s="4" t="e">
        <f ca="1">[1]!BexGetData("DP_1","003N8EMH8GTFRCSWKMPXRSGPQ","GSON12541")</f>
        <v>#NAME?</v>
      </c>
      <c r="K2059" s="3" t="e">
        <f ca="1">[1]!BexGetData("DP_1","003N8EMH8GTFRIVNUPY288VJH","GSON12541")</f>
        <v>#NAME?</v>
      </c>
      <c r="L2059" s="3" t="e">
        <f ca="1">[1]!BexGetData("DP_1","003N8EMH8GTFRIVNUPY2891V1","GSON12541")</f>
        <v>#NAME?</v>
      </c>
      <c r="M2059" s="8" t="e">
        <f ca="1">[1]!BexGetData("DP_1","003N8EMH8GTFRIVOG7KG9IQXA","GSON12541")</f>
        <v>#NAME?</v>
      </c>
      <c r="N2059" s="3" t="e">
        <f ca="1">[1]!BexGetData("DP_1","003N8EMH8GTFRIVOG7KG9IX8U","GSON12541")</f>
        <v>#NAME?</v>
      </c>
      <c r="O2059" s="8" t="e">
        <f ca="1">[1]!BexGetData("DP_1","003N8EMH8GTFRIVOG7KG9J3KE","GSON12541")</f>
        <v>#NAME?</v>
      </c>
      <c r="P2059" s="3" t="e">
        <f ca="1">[1]!BexGetData("DP_1","003N8EMH8GTFRIVOG7KG9J9VY","GSON12541")</f>
        <v>#NAME?</v>
      </c>
      <c r="Q2059" s="4" t="e">
        <f ca="1">[1]!BexGetData("DP_1","00O2TNJGODT0G5Z4TTKYMM5MT","GSON12541")</f>
        <v>#NAME?</v>
      </c>
      <c r="R2059" s="3" t="e">
        <f ca="1">[1]!BexGetData("DP_1","00O2TNJGODT0G5Z4TTKYMMBYD","GSON12541")</f>
        <v>#NAME?</v>
      </c>
      <c r="S2059" s="3" t="e">
        <f ca="1">[1]!BexGetData("DP_1","00O2TNJGODT0G5Z4TTKYMMI9X","GSON12541")</f>
        <v>#NAME?</v>
      </c>
      <c r="T2059" s="8" t="e">
        <f ca="1">[1]!BexGetData("DP_1","00O2TNJGODT0G5Z4TTKYMMOLH","GSON12541")</f>
        <v>#NAME?</v>
      </c>
      <c r="U2059" s="3" t="e">
        <f ca="1">[1]!BexGetData("DP_1","00O2TNJGODT0G5Z4TTKYMMUX1","GSON12541")</f>
        <v>#NAME?</v>
      </c>
      <c r="V2059" s="8" t="e">
        <f ca="1">[1]!BexGetData("DP_1","00O2TNJGODT0G5Z4TTKYMN18L","GSON12541")</f>
        <v>#NAME?</v>
      </c>
      <c r="W2059" s="3" t="e">
        <f ca="1">[1]!BexGetData("DP_1","00O2TNJGODT0G5Z4TTKYMN7K5","GSON12541")</f>
        <v>#NAME?</v>
      </c>
    </row>
    <row r="2060" spans="1:23" x14ac:dyDescent="0.2">
      <c r="A2060" s="17" t="s">
        <v>1375</v>
      </c>
      <c r="B2060" s="7" t="s">
        <v>1376</v>
      </c>
      <c r="C2060" s="8" t="e">
        <f ca="1">[1]!BexGetData("DP_1","003N8EMH8GTFRCSWKMPXRR8GU","GSON1254159700")</f>
        <v>#NAME?</v>
      </c>
      <c r="D2060" s="8" t="e">
        <f ca="1">[1]!BexGetData("DP_1","003N8EMH8GTFRCSWKMPXRRESE","GSON1254159700")</f>
        <v>#NAME?</v>
      </c>
      <c r="E2060" s="3" t="e">
        <f ca="1">[1]!BexGetData("DP_1","003N8EMH8GTFRCSWKMPXRRL3Y","GSON1254159700")</f>
        <v>#NAME?</v>
      </c>
      <c r="F2060" s="3" t="e">
        <f ca="1">[1]!BexGetData("DP_1","003N8EMH8GTFRCSWKMPXRRRFI","GSON1254159700")</f>
        <v>#NAME?</v>
      </c>
      <c r="G2060" s="3" t="e">
        <f ca="1">[1]!BexGetData("DP_1","003N8EMH8GTFRCSWKMPXRRXR2","GSON1254159700")</f>
        <v>#NAME?</v>
      </c>
      <c r="H2060" s="8" t="e">
        <f ca="1">[1]!BexGetData("DP_1","003N8EMH8GTFRCSWKMPXRS42M","GSON1254159700")</f>
        <v>#NAME?</v>
      </c>
      <c r="I2060" s="3" t="e">
        <f ca="1">[1]!BexGetData("DP_1","003N8EMH8GTFRCSWKMPXRSAE6","GSON1254159700")</f>
        <v>#NAME?</v>
      </c>
      <c r="J2060" s="4" t="e">
        <f ca="1">[1]!BexGetData("DP_1","003N8EMH8GTFRCSWKMPXRSGPQ","GSON1254159700")</f>
        <v>#NAME?</v>
      </c>
      <c r="K2060" s="8" t="e">
        <f ca="1">[1]!BexGetData("DP_1","003N8EMH8GTFRIVNUPY288VJH","GSON1254159700")</f>
        <v>#NAME?</v>
      </c>
      <c r="L2060" s="8" t="e">
        <f ca="1">[1]!BexGetData("DP_1","003N8EMH8GTFRIVNUPY2891V1","GSON1254159700")</f>
        <v>#NAME?</v>
      </c>
      <c r="M2060" s="8" t="e">
        <f ca="1">[1]!BexGetData("DP_1","003N8EMH8GTFRIVOG7KG9IQXA","GSON1254159700")</f>
        <v>#NAME?</v>
      </c>
      <c r="N2060" s="8" t="e">
        <f ca="1">[1]!BexGetData("DP_1","003N8EMH8GTFRIVOG7KG9IX8U","GSON1254159700")</f>
        <v>#NAME?</v>
      </c>
      <c r="O2060" s="8" t="e">
        <f ca="1">[1]!BexGetData("DP_1","003N8EMH8GTFRIVOG7KG9J3KE","GSON1254159700")</f>
        <v>#NAME?</v>
      </c>
      <c r="P2060" s="8" t="e">
        <f ca="1">[1]!BexGetData("DP_1","003N8EMH8GTFRIVOG7KG9J9VY","GSON1254159700")</f>
        <v>#NAME?</v>
      </c>
      <c r="Q2060" s="4" t="e">
        <f ca="1">[1]!BexGetData("DP_1","00O2TNJGODT0G5Z4TTKYMM5MT","GSON1254159700")</f>
        <v>#NAME?</v>
      </c>
      <c r="R2060" s="3" t="e">
        <f ca="1">[1]!BexGetData("DP_1","00O2TNJGODT0G5Z4TTKYMMBYD","GSON1254159700")</f>
        <v>#NAME?</v>
      </c>
      <c r="S2060" s="3" t="e">
        <f ca="1">[1]!BexGetData("DP_1","00O2TNJGODT0G5Z4TTKYMMI9X","GSON1254159700")</f>
        <v>#NAME?</v>
      </c>
      <c r="T2060" s="8" t="e">
        <f ca="1">[1]!BexGetData("DP_1","00O2TNJGODT0G5Z4TTKYMMOLH","GSON1254159700")</f>
        <v>#NAME?</v>
      </c>
      <c r="U2060" s="3" t="e">
        <f ca="1">[1]!BexGetData("DP_1","00O2TNJGODT0G5Z4TTKYMMUX1","GSON1254159700")</f>
        <v>#NAME?</v>
      </c>
      <c r="V2060" s="8" t="e">
        <f ca="1">[1]!BexGetData("DP_1","00O2TNJGODT0G5Z4TTKYMN18L","GSON1254159700")</f>
        <v>#NAME?</v>
      </c>
      <c r="W2060" s="3" t="e">
        <f ca="1">[1]!BexGetData("DP_1","00O2TNJGODT0G5Z4TTKYMN7K5","GSON1254159700")</f>
        <v>#NAME?</v>
      </c>
    </row>
    <row r="2061" spans="1:23" x14ac:dyDescent="0.2">
      <c r="A2061" s="17" t="s">
        <v>4754</v>
      </c>
      <c r="B2061" s="7" t="s">
        <v>4755</v>
      </c>
      <c r="C2061" s="3" t="e">
        <f ca="1">[1]!BexGetData("DP_1","003N8EMH8GTFRCSWKMPXRR8GU","GSON1254159701")</f>
        <v>#NAME?</v>
      </c>
      <c r="D2061" s="3" t="e">
        <f ca="1">[1]!BexGetData("DP_1","003N8EMH8GTFRCSWKMPXRRESE","GSON1254159701")</f>
        <v>#NAME?</v>
      </c>
      <c r="E2061" s="3" t="e">
        <f ca="1">[1]!BexGetData("DP_1","003N8EMH8GTFRCSWKMPXRRL3Y","GSON1254159701")</f>
        <v>#NAME?</v>
      </c>
      <c r="F2061" s="4" t="e">
        <f ca="1">[1]!BexGetData("DP_1","003N8EMH8GTFRCSWKMPXRRRFI","GSON1254159701")</f>
        <v>#NAME?</v>
      </c>
      <c r="G2061" s="4" t="e">
        <f ca="1">[1]!BexGetData("DP_1","003N8EMH8GTFRCSWKMPXRRXR2","GSON1254159701")</f>
        <v>#NAME?</v>
      </c>
      <c r="H2061" s="4" t="e">
        <f ca="1">[1]!BexGetData("DP_1","003N8EMH8GTFRCSWKMPXRS42M","GSON1254159701")</f>
        <v>#NAME?</v>
      </c>
      <c r="I2061" s="4" t="e">
        <f ca="1">[1]!BexGetData("DP_1","003N8EMH8GTFRCSWKMPXRSAE6","GSON1254159701")</f>
        <v>#NAME?</v>
      </c>
      <c r="J2061" s="4" t="e">
        <f ca="1">[1]!BexGetData("DP_1","003N8EMH8GTFRCSWKMPXRSGPQ","GSON1254159701")</f>
        <v>#NAME?</v>
      </c>
      <c r="K2061" s="3" t="e">
        <f ca="1">[1]!BexGetData("DP_1","003N8EMH8GTFRIVNUPY288VJH","GSON1254159701")</f>
        <v>#NAME?</v>
      </c>
      <c r="L2061" s="3" t="e">
        <f ca="1">[1]!BexGetData("DP_1","003N8EMH8GTFRIVNUPY2891V1","GSON1254159701")</f>
        <v>#NAME?</v>
      </c>
      <c r="M2061" s="8" t="e">
        <f ca="1">[1]!BexGetData("DP_1","003N8EMH8GTFRIVOG7KG9IQXA","GSON1254159701")</f>
        <v>#NAME?</v>
      </c>
      <c r="N2061" s="3" t="e">
        <f ca="1">[1]!BexGetData("DP_1","003N8EMH8GTFRIVOG7KG9IX8U","GSON1254159701")</f>
        <v>#NAME?</v>
      </c>
      <c r="O2061" s="8" t="e">
        <f ca="1">[1]!BexGetData("DP_1","003N8EMH8GTFRIVOG7KG9J3KE","GSON1254159701")</f>
        <v>#NAME?</v>
      </c>
      <c r="P2061" s="3" t="e">
        <f ca="1">[1]!BexGetData("DP_1","003N8EMH8GTFRIVOG7KG9J9VY","GSON1254159701")</f>
        <v>#NAME?</v>
      </c>
      <c r="Q2061" s="4" t="e">
        <f ca="1">[1]!BexGetData("DP_1","00O2TNJGODT0G5Z4TTKYMM5MT","GSON1254159701")</f>
        <v>#NAME?</v>
      </c>
      <c r="R2061" s="4" t="e">
        <f ca="1">[1]!BexGetData("DP_1","00O2TNJGODT0G5Z4TTKYMMBYD","GSON1254159701")</f>
        <v>#NAME?</v>
      </c>
      <c r="S2061" s="4" t="e">
        <f ca="1">[1]!BexGetData("DP_1","00O2TNJGODT0G5Z4TTKYMMI9X","GSON1254159701")</f>
        <v>#NAME?</v>
      </c>
      <c r="T2061" s="4" t="e">
        <f ca="1">[1]!BexGetData("DP_1","00O2TNJGODT0G5Z4TTKYMMOLH","GSON1254159701")</f>
        <v>#NAME?</v>
      </c>
      <c r="U2061" s="4" t="e">
        <f ca="1">[1]!BexGetData("DP_1","00O2TNJGODT0G5Z4TTKYMMUX1","GSON1254159701")</f>
        <v>#NAME?</v>
      </c>
      <c r="V2061" s="4" t="e">
        <f ca="1">[1]!BexGetData("DP_1","00O2TNJGODT0G5Z4TTKYMN18L","GSON1254159701")</f>
        <v>#NAME?</v>
      </c>
      <c r="W2061" s="4" t="e">
        <f ca="1">[1]!BexGetData("DP_1","00O2TNJGODT0G5Z4TTKYMN7K5","GSON1254159701")</f>
        <v>#NAME?</v>
      </c>
    </row>
    <row r="2062" spans="1:23" x14ac:dyDescent="0.2">
      <c r="A2062" s="14" t="s">
        <v>467</v>
      </c>
      <c r="B2062" s="7" t="s">
        <v>468</v>
      </c>
      <c r="C2062" s="3" t="e">
        <f ca="1">[1]!BexGetData("DP_1","003N8EMH8GTFRCSWKMPXRR8GU","GSON126")</f>
        <v>#NAME?</v>
      </c>
      <c r="D2062" s="3" t="e">
        <f ca="1">[1]!BexGetData("DP_1","003N8EMH8GTFRCSWKMPXRRESE","GSON126")</f>
        <v>#NAME?</v>
      </c>
      <c r="E2062" s="3" t="e">
        <f ca="1">[1]!BexGetData("DP_1","003N8EMH8GTFRCSWKMPXRRL3Y","GSON126")</f>
        <v>#NAME?</v>
      </c>
      <c r="F2062" s="3" t="e">
        <f ca="1">[1]!BexGetData("DP_1","003N8EMH8GTFRCSWKMPXRRRFI","GSON126")</f>
        <v>#NAME?</v>
      </c>
      <c r="G2062" s="3" t="e">
        <f ca="1">[1]!BexGetData("DP_1","003N8EMH8GTFRCSWKMPXRRXR2","GSON126")</f>
        <v>#NAME?</v>
      </c>
      <c r="H2062" s="3" t="e">
        <f ca="1">[1]!BexGetData("DP_1","003N8EMH8GTFRCSWKMPXRS42M","GSON126")</f>
        <v>#NAME?</v>
      </c>
      <c r="I2062" s="3" t="e">
        <f ca="1">[1]!BexGetData("DP_1","003N8EMH8GTFRCSWKMPXRSAE6","GSON126")</f>
        <v>#NAME?</v>
      </c>
      <c r="J2062" s="4" t="e">
        <f ca="1">[1]!BexGetData("DP_1","003N8EMH8GTFRCSWKMPXRSGPQ","GSON126")</f>
        <v>#NAME?</v>
      </c>
      <c r="K2062" s="3" t="e">
        <f ca="1">[1]!BexGetData("DP_1","003N8EMH8GTFRIVNUPY288VJH","GSON126")</f>
        <v>#NAME?</v>
      </c>
      <c r="L2062" s="3" t="e">
        <f ca="1">[1]!BexGetData("DP_1","003N8EMH8GTFRIVNUPY2891V1","GSON126")</f>
        <v>#NAME?</v>
      </c>
      <c r="M2062" s="3" t="e">
        <f ca="1">[1]!BexGetData("DP_1","003N8EMH8GTFRIVOG7KG9IQXA","GSON126")</f>
        <v>#NAME?</v>
      </c>
      <c r="N2062" s="8" t="e">
        <f ca="1">[1]!BexGetData("DP_1","003N8EMH8GTFRIVOG7KG9IX8U","GSON126")</f>
        <v>#NAME?</v>
      </c>
      <c r="O2062" s="3" t="e">
        <f ca="1">[1]!BexGetData("DP_1","003N8EMH8GTFRIVOG7KG9J3KE","GSON126")</f>
        <v>#NAME?</v>
      </c>
      <c r="P2062" s="8" t="e">
        <f ca="1">[1]!BexGetData("DP_1","003N8EMH8GTFRIVOG7KG9J9VY","GSON126")</f>
        <v>#NAME?</v>
      </c>
      <c r="Q2062" s="4" t="e">
        <f ca="1">[1]!BexGetData("DP_1","00O2TNJGODT0G5Z4TTKYMM5MT","GSON126")</f>
        <v>#NAME?</v>
      </c>
      <c r="R2062" s="3" t="e">
        <f ca="1">[1]!BexGetData("DP_1","00O2TNJGODT0G5Z4TTKYMMBYD","GSON126")</f>
        <v>#NAME?</v>
      </c>
      <c r="S2062" s="3" t="e">
        <f ca="1">[1]!BexGetData("DP_1","00O2TNJGODT0G5Z4TTKYMMI9X","GSON126")</f>
        <v>#NAME?</v>
      </c>
      <c r="T2062" s="3" t="e">
        <f ca="1">[1]!BexGetData("DP_1","00O2TNJGODT0G5Z4TTKYMMOLH","GSON126")</f>
        <v>#NAME?</v>
      </c>
      <c r="U2062" s="8" t="e">
        <f ca="1">[1]!BexGetData("DP_1","00O2TNJGODT0G5Z4TTKYMMUX1","GSON126")</f>
        <v>#NAME?</v>
      </c>
      <c r="V2062" s="3" t="e">
        <f ca="1">[1]!BexGetData("DP_1","00O2TNJGODT0G5Z4TTKYMN18L","GSON126")</f>
        <v>#NAME?</v>
      </c>
      <c r="W2062" s="8" t="e">
        <f ca="1">[1]!BexGetData("DP_1","00O2TNJGODT0G5Z4TTKYMN7K5","GSON126")</f>
        <v>#NAME?</v>
      </c>
    </row>
    <row r="2063" spans="1:23" x14ac:dyDescent="0.2">
      <c r="A2063" s="15" t="s">
        <v>469</v>
      </c>
      <c r="B2063" s="7" t="s">
        <v>1377</v>
      </c>
      <c r="C2063" s="3" t="e">
        <f ca="1">[1]!BexGetData("DP_1","003N8EMH8GTFRCSWKMPXRR8GU","GSON1261")</f>
        <v>#NAME?</v>
      </c>
      <c r="D2063" s="3" t="e">
        <f ca="1">[1]!BexGetData("DP_1","003N8EMH8GTFRCSWKMPXRRESE","GSON1261")</f>
        <v>#NAME?</v>
      </c>
      <c r="E2063" s="3" t="e">
        <f ca="1">[1]!BexGetData("DP_1","003N8EMH8GTFRCSWKMPXRRL3Y","GSON1261")</f>
        <v>#NAME?</v>
      </c>
      <c r="F2063" s="3" t="e">
        <f ca="1">[1]!BexGetData("DP_1","003N8EMH8GTFRCSWKMPXRRRFI","GSON1261")</f>
        <v>#NAME?</v>
      </c>
      <c r="G2063" s="3" t="e">
        <f ca="1">[1]!BexGetData("DP_1","003N8EMH8GTFRCSWKMPXRRXR2","GSON1261")</f>
        <v>#NAME?</v>
      </c>
      <c r="H2063" s="3" t="e">
        <f ca="1">[1]!BexGetData("DP_1","003N8EMH8GTFRCSWKMPXRS42M","GSON1261")</f>
        <v>#NAME?</v>
      </c>
      <c r="I2063" s="3" t="e">
        <f ca="1">[1]!BexGetData("DP_1","003N8EMH8GTFRCSWKMPXRSAE6","GSON1261")</f>
        <v>#NAME?</v>
      </c>
      <c r="J2063" s="4" t="e">
        <f ca="1">[1]!BexGetData("DP_1","003N8EMH8GTFRCSWKMPXRSGPQ","GSON1261")</f>
        <v>#NAME?</v>
      </c>
      <c r="K2063" s="3" t="e">
        <f ca="1">[1]!BexGetData("DP_1","003N8EMH8GTFRIVNUPY288VJH","GSON1261")</f>
        <v>#NAME?</v>
      </c>
      <c r="L2063" s="3" t="e">
        <f ca="1">[1]!BexGetData("DP_1","003N8EMH8GTFRIVNUPY2891V1","GSON1261")</f>
        <v>#NAME?</v>
      </c>
      <c r="M2063" s="3" t="e">
        <f ca="1">[1]!BexGetData("DP_1","003N8EMH8GTFRIVOG7KG9IQXA","GSON1261")</f>
        <v>#NAME?</v>
      </c>
      <c r="N2063" s="8" t="e">
        <f ca="1">[1]!BexGetData("DP_1","003N8EMH8GTFRIVOG7KG9IX8U","GSON1261")</f>
        <v>#NAME?</v>
      </c>
      <c r="O2063" s="3" t="e">
        <f ca="1">[1]!BexGetData("DP_1","003N8EMH8GTFRIVOG7KG9J3KE","GSON1261")</f>
        <v>#NAME?</v>
      </c>
      <c r="P2063" s="8" t="e">
        <f ca="1">[1]!BexGetData("DP_1","003N8EMH8GTFRIVOG7KG9J9VY","GSON1261")</f>
        <v>#NAME?</v>
      </c>
      <c r="Q2063" s="4" t="e">
        <f ca="1">[1]!BexGetData("DP_1","00O2TNJGODT0G5Z4TTKYMM5MT","GSON1261")</f>
        <v>#NAME?</v>
      </c>
      <c r="R2063" s="3" t="e">
        <f ca="1">[1]!BexGetData("DP_1","00O2TNJGODT0G5Z4TTKYMMBYD","GSON1261")</f>
        <v>#NAME?</v>
      </c>
      <c r="S2063" s="3" t="e">
        <f ca="1">[1]!BexGetData("DP_1","00O2TNJGODT0G5Z4TTKYMMI9X","GSON1261")</f>
        <v>#NAME?</v>
      </c>
      <c r="T2063" s="3" t="e">
        <f ca="1">[1]!BexGetData("DP_1","00O2TNJGODT0G5Z4TTKYMMOLH","GSON1261")</f>
        <v>#NAME?</v>
      </c>
      <c r="U2063" s="8" t="e">
        <f ca="1">[1]!BexGetData("DP_1","00O2TNJGODT0G5Z4TTKYMMUX1","GSON1261")</f>
        <v>#NAME?</v>
      </c>
      <c r="V2063" s="3" t="e">
        <f ca="1">[1]!BexGetData("DP_1","00O2TNJGODT0G5Z4TTKYMN18L","GSON1261")</f>
        <v>#NAME?</v>
      </c>
      <c r="W2063" s="8" t="e">
        <f ca="1">[1]!BexGetData("DP_1","00O2TNJGODT0G5Z4TTKYMN7K5","GSON1261")</f>
        <v>#NAME?</v>
      </c>
    </row>
    <row r="2064" spans="1:23" x14ac:dyDescent="0.2">
      <c r="A2064" s="16" t="s">
        <v>1378</v>
      </c>
      <c r="B2064" s="7" t="s">
        <v>1379</v>
      </c>
      <c r="C2064" s="3" t="e">
        <f ca="1">[1]!BexGetData("DP_1","003N8EMH8GTFRCSWKMPXRR8GU","GSON1261100001")</f>
        <v>#NAME?</v>
      </c>
      <c r="D2064" s="3" t="e">
        <f ca="1">[1]!BexGetData("DP_1","003N8EMH8GTFRCSWKMPXRRESE","GSON1261100001")</f>
        <v>#NAME?</v>
      </c>
      <c r="E2064" s="3" t="e">
        <f ca="1">[1]!BexGetData("DP_1","003N8EMH8GTFRCSWKMPXRRL3Y","GSON1261100001")</f>
        <v>#NAME?</v>
      </c>
      <c r="F2064" s="3" t="e">
        <f ca="1">[1]!BexGetData("DP_1","003N8EMH8GTFRCSWKMPXRRRFI","GSON1261100001")</f>
        <v>#NAME?</v>
      </c>
      <c r="G2064" s="8" t="e">
        <f ca="1">[1]!BexGetData("DP_1","003N8EMH8GTFRCSWKMPXRRXR2","GSON1261100001")</f>
        <v>#NAME?</v>
      </c>
      <c r="H2064" s="3" t="e">
        <f ca="1">[1]!BexGetData("DP_1","003N8EMH8GTFRCSWKMPXRS42M","GSON1261100001")</f>
        <v>#NAME?</v>
      </c>
      <c r="I2064" s="3" t="e">
        <f ca="1">[1]!BexGetData("DP_1","003N8EMH8GTFRCSWKMPXRSAE6","GSON1261100001")</f>
        <v>#NAME?</v>
      </c>
      <c r="J2064" s="4" t="e">
        <f ca="1">[1]!BexGetData("DP_1","003N8EMH8GTFRCSWKMPXRSGPQ","GSON1261100001")</f>
        <v>#NAME?</v>
      </c>
      <c r="K2064" s="3" t="e">
        <f ca="1">[1]!BexGetData("DP_1","003N8EMH8GTFRIVNUPY288VJH","GSON1261100001")</f>
        <v>#NAME?</v>
      </c>
      <c r="L2064" s="3" t="e">
        <f ca="1">[1]!BexGetData("DP_1","003N8EMH8GTFRIVNUPY2891V1","GSON1261100001")</f>
        <v>#NAME?</v>
      </c>
      <c r="M2064" s="3" t="e">
        <f ca="1">[1]!BexGetData("DP_1","003N8EMH8GTFRIVOG7KG9IQXA","GSON1261100001")</f>
        <v>#NAME?</v>
      </c>
      <c r="N2064" s="8" t="e">
        <f ca="1">[1]!BexGetData("DP_1","003N8EMH8GTFRIVOG7KG9IX8U","GSON1261100001")</f>
        <v>#NAME?</v>
      </c>
      <c r="O2064" s="3" t="e">
        <f ca="1">[1]!BexGetData("DP_1","003N8EMH8GTFRIVOG7KG9J3KE","GSON1261100001")</f>
        <v>#NAME?</v>
      </c>
      <c r="P2064" s="8" t="e">
        <f ca="1">[1]!BexGetData("DP_1","003N8EMH8GTFRIVOG7KG9J9VY","GSON1261100001")</f>
        <v>#NAME?</v>
      </c>
      <c r="Q2064" s="4" t="e">
        <f ca="1">[1]!BexGetData("DP_1","00O2TNJGODT0G5Z4TTKYMM5MT","GSON1261100001")</f>
        <v>#NAME?</v>
      </c>
      <c r="R2064" s="3" t="e">
        <f ca="1">[1]!BexGetData("DP_1","00O2TNJGODT0G5Z4TTKYMMBYD","GSON1261100001")</f>
        <v>#NAME?</v>
      </c>
      <c r="S2064" s="3" t="e">
        <f ca="1">[1]!BexGetData("DP_1","00O2TNJGODT0G5Z4TTKYMMI9X","GSON1261100001")</f>
        <v>#NAME?</v>
      </c>
      <c r="T2064" s="3" t="e">
        <f ca="1">[1]!BexGetData("DP_1","00O2TNJGODT0G5Z4TTKYMMOLH","GSON1261100001")</f>
        <v>#NAME?</v>
      </c>
      <c r="U2064" s="8" t="e">
        <f ca="1">[1]!BexGetData("DP_1","00O2TNJGODT0G5Z4TTKYMMUX1","GSON1261100001")</f>
        <v>#NAME?</v>
      </c>
      <c r="V2064" s="3" t="e">
        <f ca="1">[1]!BexGetData("DP_1","00O2TNJGODT0G5Z4TTKYMN18L","GSON1261100001")</f>
        <v>#NAME?</v>
      </c>
      <c r="W2064" s="8" t="e">
        <f ca="1">[1]!BexGetData("DP_1","00O2TNJGODT0G5Z4TTKYMN7K5","GSON1261100001")</f>
        <v>#NAME?</v>
      </c>
    </row>
    <row r="2065" spans="1:23" x14ac:dyDescent="0.2">
      <c r="A2065" s="16" t="s">
        <v>4756</v>
      </c>
      <c r="B2065" s="7" t="s">
        <v>4757</v>
      </c>
      <c r="C2065" s="8" t="e">
        <f ca="1">[1]!BexGetData("DP_1","003N8EMH8GTFRCSWKMPXRR8GU","GSON1261200001")</f>
        <v>#NAME?</v>
      </c>
      <c r="D2065" s="8" t="e">
        <f ca="1">[1]!BexGetData("DP_1","003N8EMH8GTFRCSWKMPXRRESE","GSON1261200001")</f>
        <v>#NAME?</v>
      </c>
      <c r="E2065" s="8" t="e">
        <f ca="1">[1]!BexGetData("DP_1","003N8EMH8GTFRCSWKMPXRRL3Y","GSON1261200001")</f>
        <v>#NAME?</v>
      </c>
      <c r="F2065" s="8" t="e">
        <f ca="1">[1]!BexGetData("DP_1","003N8EMH8GTFRCSWKMPXRRRFI","GSON1261200001")</f>
        <v>#NAME?</v>
      </c>
      <c r="G2065" s="3" t="e">
        <f ca="1">[1]!BexGetData("DP_1","003N8EMH8GTFRCSWKMPXRRXR2","GSON1261200001")</f>
        <v>#NAME?</v>
      </c>
      <c r="H2065" s="3" t="e">
        <f ca="1">[1]!BexGetData("DP_1","003N8EMH8GTFRCSWKMPXRS42M","GSON1261200001")</f>
        <v>#NAME?</v>
      </c>
      <c r="I2065" s="8" t="e">
        <f ca="1">[1]!BexGetData("DP_1","003N8EMH8GTFRCSWKMPXRSAE6","GSON1261200001")</f>
        <v>#NAME?</v>
      </c>
      <c r="J2065" s="4" t="e">
        <f ca="1">[1]!BexGetData("DP_1","003N8EMH8GTFRCSWKMPXRSGPQ","GSON1261200001")</f>
        <v>#NAME?</v>
      </c>
      <c r="K2065" s="8" t="e">
        <f ca="1">[1]!BexGetData("DP_1","003N8EMH8GTFRIVNUPY288VJH","GSON1261200001")</f>
        <v>#NAME?</v>
      </c>
      <c r="L2065" s="8" t="e">
        <f ca="1">[1]!BexGetData("DP_1","003N8EMH8GTFRIVNUPY2891V1","GSON1261200001")</f>
        <v>#NAME?</v>
      </c>
      <c r="M2065" s="8" t="e">
        <f ca="1">[1]!BexGetData("DP_1","003N8EMH8GTFRIVOG7KG9IQXA","GSON1261200001")</f>
        <v>#NAME?</v>
      </c>
      <c r="N2065" s="8" t="e">
        <f ca="1">[1]!BexGetData("DP_1","003N8EMH8GTFRIVOG7KG9IX8U","GSON1261200001")</f>
        <v>#NAME?</v>
      </c>
      <c r="O2065" s="8" t="e">
        <f ca="1">[1]!BexGetData("DP_1","003N8EMH8GTFRIVOG7KG9J3KE","GSON1261200001")</f>
        <v>#NAME?</v>
      </c>
      <c r="P2065" s="8" t="e">
        <f ca="1">[1]!BexGetData("DP_1","003N8EMH8GTFRIVOG7KG9J9VY","GSON1261200001")</f>
        <v>#NAME?</v>
      </c>
      <c r="Q2065" s="4" t="e">
        <f ca="1">[1]!BexGetData("DP_1","00O2TNJGODT0G5Z4TTKYMM5MT","GSON1261200001")</f>
        <v>#NAME?</v>
      </c>
      <c r="R2065" s="8" t="e">
        <f ca="1">[1]!BexGetData("DP_1","00O2TNJGODT0G5Z4TTKYMMBYD","GSON1261200001")</f>
        <v>#NAME?</v>
      </c>
      <c r="S2065" s="8" t="e">
        <f ca="1">[1]!BexGetData("DP_1","00O2TNJGODT0G5Z4TTKYMMI9X","GSON1261200001")</f>
        <v>#NAME?</v>
      </c>
      <c r="T2065" s="8" t="e">
        <f ca="1">[1]!BexGetData("DP_1","00O2TNJGODT0G5Z4TTKYMMOLH","GSON1261200001")</f>
        <v>#NAME?</v>
      </c>
      <c r="U2065" s="8" t="e">
        <f ca="1">[1]!BexGetData("DP_1","00O2TNJGODT0G5Z4TTKYMMUX1","GSON1261200001")</f>
        <v>#NAME?</v>
      </c>
      <c r="V2065" s="8" t="e">
        <f ca="1">[1]!BexGetData("DP_1","00O2TNJGODT0G5Z4TTKYMN18L","GSON1261200001")</f>
        <v>#NAME?</v>
      </c>
      <c r="W2065" s="8" t="e">
        <f ca="1">[1]!BexGetData("DP_1","00O2TNJGODT0G5Z4TTKYMN7K5","GSON1261200001")</f>
        <v>#NAME?</v>
      </c>
    </row>
    <row r="2066" spans="1:23" x14ac:dyDescent="0.2">
      <c r="A2066" s="15" t="s">
        <v>469</v>
      </c>
      <c r="B2066" s="7" t="s">
        <v>1380</v>
      </c>
      <c r="C2066" s="8" t="e">
        <f ca="1">[1]!BexGetData("DP_1","003N8EMH8GTFRCSWKMPXRR8GU","GSON1262")</f>
        <v>#NAME?</v>
      </c>
      <c r="D2066" s="3" t="e">
        <f ca="1">[1]!BexGetData("DP_1","003N8EMH8GTFRCSWKMPXRRESE","GSON1262")</f>
        <v>#NAME?</v>
      </c>
      <c r="E2066" s="3" t="e">
        <f ca="1">[1]!BexGetData("DP_1","003N8EMH8GTFRCSWKMPXRRL3Y","GSON1262")</f>
        <v>#NAME?</v>
      </c>
      <c r="F2066" s="3" t="e">
        <f ca="1">[1]!BexGetData("DP_1","003N8EMH8GTFRCSWKMPXRRRFI","GSON1262")</f>
        <v>#NAME?</v>
      </c>
      <c r="G2066" s="8" t="e">
        <f ca="1">[1]!BexGetData("DP_1","003N8EMH8GTFRCSWKMPXRRXR2","GSON1262")</f>
        <v>#NAME?</v>
      </c>
      <c r="H2066" s="3" t="e">
        <f ca="1">[1]!BexGetData("DP_1","003N8EMH8GTFRCSWKMPXRS42M","GSON1262")</f>
        <v>#NAME?</v>
      </c>
      <c r="I2066" s="3" t="e">
        <f ca="1">[1]!BexGetData("DP_1","003N8EMH8GTFRCSWKMPXRSAE6","GSON1262")</f>
        <v>#NAME?</v>
      </c>
      <c r="J2066" s="4" t="e">
        <f ca="1">[1]!BexGetData("DP_1","003N8EMH8GTFRCSWKMPXRSGPQ","GSON1262")</f>
        <v>#NAME?</v>
      </c>
      <c r="K2066" s="3" t="e">
        <f ca="1">[1]!BexGetData("DP_1","003N8EMH8GTFRIVNUPY288VJH","GSON1262")</f>
        <v>#NAME?</v>
      </c>
      <c r="L2066" s="3" t="e">
        <f ca="1">[1]!BexGetData("DP_1","003N8EMH8GTFRIVNUPY2891V1","GSON1262")</f>
        <v>#NAME?</v>
      </c>
      <c r="M2066" s="3" t="e">
        <f ca="1">[1]!BexGetData("DP_1","003N8EMH8GTFRIVOG7KG9IQXA","GSON1262")</f>
        <v>#NAME?</v>
      </c>
      <c r="N2066" s="8" t="e">
        <f ca="1">[1]!BexGetData("DP_1","003N8EMH8GTFRIVOG7KG9IX8U","GSON1262")</f>
        <v>#NAME?</v>
      </c>
      <c r="O2066" s="3" t="e">
        <f ca="1">[1]!BexGetData("DP_1","003N8EMH8GTFRIVOG7KG9J3KE","GSON1262")</f>
        <v>#NAME?</v>
      </c>
      <c r="P2066" s="8" t="e">
        <f ca="1">[1]!BexGetData("DP_1","003N8EMH8GTFRIVOG7KG9J9VY","GSON1262")</f>
        <v>#NAME?</v>
      </c>
      <c r="Q2066" s="4" t="e">
        <f ca="1">[1]!BexGetData("DP_1","00O2TNJGODT0G5Z4TTKYMM5MT","GSON1262")</f>
        <v>#NAME?</v>
      </c>
      <c r="R2066" s="3" t="e">
        <f ca="1">[1]!BexGetData("DP_1","00O2TNJGODT0G5Z4TTKYMMBYD","GSON1262")</f>
        <v>#NAME?</v>
      </c>
      <c r="S2066" s="3" t="e">
        <f ca="1">[1]!BexGetData("DP_1","00O2TNJGODT0G5Z4TTKYMMI9X","GSON1262")</f>
        <v>#NAME?</v>
      </c>
      <c r="T2066" s="3" t="e">
        <f ca="1">[1]!BexGetData("DP_1","00O2TNJGODT0G5Z4TTKYMMOLH","GSON1262")</f>
        <v>#NAME?</v>
      </c>
      <c r="U2066" s="8" t="e">
        <f ca="1">[1]!BexGetData("DP_1","00O2TNJGODT0G5Z4TTKYMMUX1","GSON1262")</f>
        <v>#NAME?</v>
      </c>
      <c r="V2066" s="3" t="e">
        <f ca="1">[1]!BexGetData("DP_1","00O2TNJGODT0G5Z4TTKYMN18L","GSON1262")</f>
        <v>#NAME?</v>
      </c>
      <c r="W2066" s="8" t="e">
        <f ca="1">[1]!BexGetData("DP_1","00O2TNJGODT0G5Z4TTKYMN7K5","GSON1262")</f>
        <v>#NAME?</v>
      </c>
    </row>
    <row r="2067" spans="1:23" x14ac:dyDescent="0.2">
      <c r="A2067" s="16" t="s">
        <v>1381</v>
      </c>
      <c r="B2067" s="7" t="s">
        <v>1382</v>
      </c>
      <c r="C2067" s="8" t="e">
        <f ca="1">[1]!BexGetData("DP_1","003N8EMH8GTFRCSWKMPXRR8GU","GSON1262100001")</f>
        <v>#NAME?</v>
      </c>
      <c r="D2067" s="3" t="e">
        <f ca="1">[1]!BexGetData("DP_1","003N8EMH8GTFRCSWKMPXRRESE","GSON1262100001")</f>
        <v>#NAME?</v>
      </c>
      <c r="E2067" s="3" t="e">
        <f ca="1">[1]!BexGetData("DP_1","003N8EMH8GTFRCSWKMPXRRL3Y","GSON1262100001")</f>
        <v>#NAME?</v>
      </c>
      <c r="F2067" s="3" t="e">
        <f ca="1">[1]!BexGetData("DP_1","003N8EMH8GTFRCSWKMPXRRRFI","GSON1262100001")</f>
        <v>#NAME?</v>
      </c>
      <c r="G2067" s="8" t="e">
        <f ca="1">[1]!BexGetData("DP_1","003N8EMH8GTFRCSWKMPXRRXR2","GSON1262100001")</f>
        <v>#NAME?</v>
      </c>
      <c r="H2067" s="3" t="e">
        <f ca="1">[1]!BexGetData("DP_1","003N8EMH8GTFRCSWKMPXRS42M","GSON1262100001")</f>
        <v>#NAME?</v>
      </c>
      <c r="I2067" s="3" t="e">
        <f ca="1">[1]!BexGetData("DP_1","003N8EMH8GTFRCSWKMPXRSAE6","GSON1262100001")</f>
        <v>#NAME?</v>
      </c>
      <c r="J2067" s="4" t="e">
        <f ca="1">[1]!BexGetData("DP_1","003N8EMH8GTFRCSWKMPXRSGPQ","GSON1262100001")</f>
        <v>#NAME?</v>
      </c>
      <c r="K2067" s="3" t="e">
        <f ca="1">[1]!BexGetData("DP_1","003N8EMH8GTFRIVNUPY288VJH","GSON1262100001")</f>
        <v>#NAME?</v>
      </c>
      <c r="L2067" s="3" t="e">
        <f ca="1">[1]!BexGetData("DP_1","003N8EMH8GTFRIVNUPY2891V1","GSON1262100001")</f>
        <v>#NAME?</v>
      </c>
      <c r="M2067" s="3" t="e">
        <f ca="1">[1]!BexGetData("DP_1","003N8EMH8GTFRIVOG7KG9IQXA","GSON1262100001")</f>
        <v>#NAME?</v>
      </c>
      <c r="N2067" s="8" t="e">
        <f ca="1">[1]!BexGetData("DP_1","003N8EMH8GTFRIVOG7KG9IX8U","GSON1262100001")</f>
        <v>#NAME?</v>
      </c>
      <c r="O2067" s="3" t="e">
        <f ca="1">[1]!BexGetData("DP_1","003N8EMH8GTFRIVOG7KG9J3KE","GSON1262100001")</f>
        <v>#NAME?</v>
      </c>
      <c r="P2067" s="8" t="e">
        <f ca="1">[1]!BexGetData("DP_1","003N8EMH8GTFRIVOG7KG9J9VY","GSON1262100001")</f>
        <v>#NAME?</v>
      </c>
      <c r="Q2067" s="4" t="e">
        <f ca="1">[1]!BexGetData("DP_1","00O2TNJGODT0G5Z4TTKYMM5MT","GSON1262100001")</f>
        <v>#NAME?</v>
      </c>
      <c r="R2067" s="3" t="e">
        <f ca="1">[1]!BexGetData("DP_1","00O2TNJGODT0G5Z4TTKYMMBYD","GSON1262100001")</f>
        <v>#NAME?</v>
      </c>
      <c r="S2067" s="3" t="e">
        <f ca="1">[1]!BexGetData("DP_1","00O2TNJGODT0G5Z4TTKYMMI9X","GSON1262100001")</f>
        <v>#NAME?</v>
      </c>
      <c r="T2067" s="3" t="e">
        <f ca="1">[1]!BexGetData("DP_1","00O2TNJGODT0G5Z4TTKYMMOLH","GSON1262100001")</f>
        <v>#NAME?</v>
      </c>
      <c r="U2067" s="8" t="e">
        <f ca="1">[1]!BexGetData("DP_1","00O2TNJGODT0G5Z4TTKYMMUX1","GSON1262100001")</f>
        <v>#NAME?</v>
      </c>
      <c r="V2067" s="3" t="e">
        <f ca="1">[1]!BexGetData("DP_1","00O2TNJGODT0G5Z4TTKYMN18L","GSON1262100001")</f>
        <v>#NAME?</v>
      </c>
      <c r="W2067" s="8" t="e">
        <f ca="1">[1]!BexGetData("DP_1","00O2TNJGODT0G5Z4TTKYMN7K5","GSON1262100001")</f>
        <v>#NAME?</v>
      </c>
    </row>
    <row r="2068" spans="1:23" x14ac:dyDescent="0.2">
      <c r="A2068" s="15" t="s">
        <v>469</v>
      </c>
      <c r="B2068" s="7" t="s">
        <v>470</v>
      </c>
      <c r="C2068" s="3" t="e">
        <f ca="1">[1]!BexGetData("DP_1","003N8EMH8GTFRCSWKMPXRR8GU","GSON1263")</f>
        <v>#NAME?</v>
      </c>
      <c r="D2068" s="3" t="e">
        <f ca="1">[1]!BexGetData("DP_1","003N8EMH8GTFRCSWKMPXRRESE","GSON1263")</f>
        <v>#NAME?</v>
      </c>
      <c r="E2068" s="3" t="e">
        <f ca="1">[1]!BexGetData("DP_1","003N8EMH8GTFRCSWKMPXRRL3Y","GSON1263")</f>
        <v>#NAME?</v>
      </c>
      <c r="F2068" s="3" t="e">
        <f ca="1">[1]!BexGetData("DP_1","003N8EMH8GTFRCSWKMPXRRRFI","GSON1263")</f>
        <v>#NAME?</v>
      </c>
      <c r="G2068" s="3" t="e">
        <f ca="1">[1]!BexGetData("DP_1","003N8EMH8GTFRCSWKMPXRRXR2","GSON1263")</f>
        <v>#NAME?</v>
      </c>
      <c r="H2068" s="3" t="e">
        <f ca="1">[1]!BexGetData("DP_1","003N8EMH8GTFRCSWKMPXRS42M","GSON1263")</f>
        <v>#NAME?</v>
      </c>
      <c r="I2068" s="3" t="e">
        <f ca="1">[1]!BexGetData("DP_1","003N8EMH8GTFRCSWKMPXRSAE6","GSON1263")</f>
        <v>#NAME?</v>
      </c>
      <c r="J2068" s="4" t="e">
        <f ca="1">[1]!BexGetData("DP_1","003N8EMH8GTFRCSWKMPXRSGPQ","GSON1263")</f>
        <v>#NAME?</v>
      </c>
      <c r="K2068" s="3" t="e">
        <f ca="1">[1]!BexGetData("DP_1","003N8EMH8GTFRIVNUPY288VJH","GSON1263")</f>
        <v>#NAME?</v>
      </c>
      <c r="L2068" s="3" t="e">
        <f ca="1">[1]!BexGetData("DP_1","003N8EMH8GTFRIVNUPY2891V1","GSON1263")</f>
        <v>#NAME?</v>
      </c>
      <c r="M2068" s="3" t="e">
        <f ca="1">[1]!BexGetData("DP_1","003N8EMH8GTFRIVOG7KG9IQXA","GSON1263")</f>
        <v>#NAME?</v>
      </c>
      <c r="N2068" s="8" t="e">
        <f ca="1">[1]!BexGetData("DP_1","003N8EMH8GTFRIVOG7KG9IX8U","GSON1263")</f>
        <v>#NAME?</v>
      </c>
      <c r="O2068" s="3" t="e">
        <f ca="1">[1]!BexGetData("DP_1","003N8EMH8GTFRIVOG7KG9J3KE","GSON1263")</f>
        <v>#NAME?</v>
      </c>
      <c r="P2068" s="8" t="e">
        <f ca="1">[1]!BexGetData("DP_1","003N8EMH8GTFRIVOG7KG9J9VY","GSON1263")</f>
        <v>#NAME?</v>
      </c>
      <c r="Q2068" s="4" t="e">
        <f ca="1">[1]!BexGetData("DP_1","00O2TNJGODT0G5Z4TTKYMM5MT","GSON1263")</f>
        <v>#NAME?</v>
      </c>
      <c r="R2068" s="3" t="e">
        <f ca="1">[1]!BexGetData("DP_1","00O2TNJGODT0G5Z4TTKYMMBYD","GSON1263")</f>
        <v>#NAME?</v>
      </c>
      <c r="S2068" s="3" t="e">
        <f ca="1">[1]!BexGetData("DP_1","00O2TNJGODT0G5Z4TTKYMMI9X","GSON1263")</f>
        <v>#NAME?</v>
      </c>
      <c r="T2068" s="3" t="e">
        <f ca="1">[1]!BexGetData("DP_1","00O2TNJGODT0G5Z4TTKYMMOLH","GSON1263")</f>
        <v>#NAME?</v>
      </c>
      <c r="U2068" s="8" t="e">
        <f ca="1">[1]!BexGetData("DP_1","00O2TNJGODT0G5Z4TTKYMMUX1","GSON1263")</f>
        <v>#NAME?</v>
      </c>
      <c r="V2068" s="3" t="e">
        <f ca="1">[1]!BexGetData("DP_1","00O2TNJGODT0G5Z4TTKYMN18L","GSON1263")</f>
        <v>#NAME?</v>
      </c>
      <c r="W2068" s="8" t="e">
        <f ca="1">[1]!BexGetData("DP_1","00O2TNJGODT0G5Z4TTKYMN7K5","GSON1263")</f>
        <v>#NAME?</v>
      </c>
    </row>
    <row r="2069" spans="1:23" x14ac:dyDescent="0.2">
      <c r="A2069" s="16" t="s">
        <v>1383</v>
      </c>
      <c r="B2069" s="7" t="s">
        <v>471</v>
      </c>
      <c r="C2069" s="3" t="e">
        <f ca="1">[1]!BexGetData("DP_1","003N8EMH8GTFRCSWKMPXRR8GU","GSON1263100001")</f>
        <v>#NAME?</v>
      </c>
      <c r="D2069" s="3" t="e">
        <f ca="1">[1]!BexGetData("DP_1","003N8EMH8GTFRCSWKMPXRRESE","GSON1263100001")</f>
        <v>#NAME?</v>
      </c>
      <c r="E2069" s="3" t="e">
        <f ca="1">[1]!BexGetData("DP_1","003N8EMH8GTFRCSWKMPXRRL3Y","GSON1263100001")</f>
        <v>#NAME?</v>
      </c>
      <c r="F2069" s="3" t="e">
        <f ca="1">[1]!BexGetData("DP_1","003N8EMH8GTFRCSWKMPXRRRFI","GSON1263100001")</f>
        <v>#NAME?</v>
      </c>
      <c r="G2069" s="3" t="e">
        <f ca="1">[1]!BexGetData("DP_1","003N8EMH8GTFRCSWKMPXRRXR2","GSON1263100001")</f>
        <v>#NAME?</v>
      </c>
      <c r="H2069" s="3" t="e">
        <f ca="1">[1]!BexGetData("DP_1","003N8EMH8GTFRCSWKMPXRS42M","GSON1263100001")</f>
        <v>#NAME?</v>
      </c>
      <c r="I2069" s="3" t="e">
        <f ca="1">[1]!BexGetData("DP_1","003N8EMH8GTFRCSWKMPXRSAE6","GSON1263100001")</f>
        <v>#NAME?</v>
      </c>
      <c r="J2069" s="4" t="e">
        <f ca="1">[1]!BexGetData("DP_1","003N8EMH8GTFRCSWKMPXRSGPQ","GSON1263100001")</f>
        <v>#NAME?</v>
      </c>
      <c r="K2069" s="3" t="e">
        <f ca="1">[1]!BexGetData("DP_1","003N8EMH8GTFRIVNUPY288VJH","GSON1263100001")</f>
        <v>#NAME?</v>
      </c>
      <c r="L2069" s="3" t="e">
        <f ca="1">[1]!BexGetData("DP_1","003N8EMH8GTFRIVNUPY2891V1","GSON1263100001")</f>
        <v>#NAME?</v>
      </c>
      <c r="M2069" s="3" t="e">
        <f ca="1">[1]!BexGetData("DP_1","003N8EMH8GTFRIVOG7KG9IQXA","GSON1263100001")</f>
        <v>#NAME?</v>
      </c>
      <c r="N2069" s="8" t="e">
        <f ca="1">[1]!BexGetData("DP_1","003N8EMH8GTFRIVOG7KG9IX8U","GSON1263100001")</f>
        <v>#NAME?</v>
      </c>
      <c r="O2069" s="3" t="e">
        <f ca="1">[1]!BexGetData("DP_1","003N8EMH8GTFRIVOG7KG9J3KE","GSON1263100001")</f>
        <v>#NAME?</v>
      </c>
      <c r="P2069" s="8" t="e">
        <f ca="1">[1]!BexGetData("DP_1","003N8EMH8GTFRIVOG7KG9J9VY","GSON1263100001")</f>
        <v>#NAME?</v>
      </c>
      <c r="Q2069" s="4" t="e">
        <f ca="1">[1]!BexGetData("DP_1","00O2TNJGODT0G5Z4TTKYMM5MT","GSON1263100001")</f>
        <v>#NAME?</v>
      </c>
      <c r="R2069" s="3" t="e">
        <f ca="1">[1]!BexGetData("DP_1","00O2TNJGODT0G5Z4TTKYMMBYD","GSON1263100001")</f>
        <v>#NAME?</v>
      </c>
      <c r="S2069" s="3" t="e">
        <f ca="1">[1]!BexGetData("DP_1","00O2TNJGODT0G5Z4TTKYMMI9X","GSON1263100001")</f>
        <v>#NAME?</v>
      </c>
      <c r="T2069" s="3" t="e">
        <f ca="1">[1]!BexGetData("DP_1","00O2TNJGODT0G5Z4TTKYMMOLH","GSON1263100001")</f>
        <v>#NAME?</v>
      </c>
      <c r="U2069" s="8" t="e">
        <f ca="1">[1]!BexGetData("DP_1","00O2TNJGODT0G5Z4TTKYMMUX1","GSON1263100001")</f>
        <v>#NAME?</v>
      </c>
      <c r="V2069" s="3" t="e">
        <f ca="1">[1]!BexGetData("DP_1","00O2TNJGODT0G5Z4TTKYMN18L","GSON1263100001")</f>
        <v>#NAME?</v>
      </c>
      <c r="W2069" s="8" t="e">
        <f ca="1">[1]!BexGetData("DP_1","00O2TNJGODT0G5Z4TTKYMN7K5","GSON1263100001")</f>
        <v>#NAME?</v>
      </c>
    </row>
    <row r="2070" spans="1:23" x14ac:dyDescent="0.2">
      <c r="A2070" s="15" t="s">
        <v>1384</v>
      </c>
      <c r="B2070" s="7" t="s">
        <v>1385</v>
      </c>
      <c r="C2070" s="8" t="e">
        <f ca="1">[1]!BexGetData("DP_1","003N8EMH8GTFRCSWKMPXRR8GU","GSON1264")</f>
        <v>#NAME?</v>
      </c>
      <c r="D2070" s="8" t="e">
        <f ca="1">[1]!BexGetData("DP_1","003N8EMH8GTFRCSWKMPXRRESE","GSON1264")</f>
        <v>#NAME?</v>
      </c>
      <c r="E2070" s="3" t="e">
        <f ca="1">[1]!BexGetData("DP_1","003N8EMH8GTFRCSWKMPXRRL3Y","GSON1264")</f>
        <v>#NAME?</v>
      </c>
      <c r="F2070" s="3" t="e">
        <f ca="1">[1]!BexGetData("DP_1","003N8EMH8GTFRCSWKMPXRRRFI","GSON1264")</f>
        <v>#NAME?</v>
      </c>
      <c r="G2070" s="8" t="e">
        <f ca="1">[1]!BexGetData("DP_1","003N8EMH8GTFRCSWKMPXRRXR2","GSON1264")</f>
        <v>#NAME?</v>
      </c>
      <c r="H2070" s="3" t="e">
        <f ca="1">[1]!BexGetData("DP_1","003N8EMH8GTFRCSWKMPXRS42M","GSON1264")</f>
        <v>#NAME?</v>
      </c>
      <c r="I2070" s="3" t="e">
        <f ca="1">[1]!BexGetData("DP_1","003N8EMH8GTFRCSWKMPXRSAE6","GSON1264")</f>
        <v>#NAME?</v>
      </c>
      <c r="J2070" s="4" t="e">
        <f ca="1">[1]!BexGetData("DP_1","003N8EMH8GTFRCSWKMPXRSGPQ","GSON1264")</f>
        <v>#NAME?</v>
      </c>
      <c r="K2070" s="8" t="e">
        <f ca="1">[1]!BexGetData("DP_1","003N8EMH8GTFRIVNUPY288VJH","GSON1264")</f>
        <v>#NAME?</v>
      </c>
      <c r="L2070" s="8" t="e">
        <f ca="1">[1]!BexGetData("DP_1","003N8EMH8GTFRIVNUPY2891V1","GSON1264")</f>
        <v>#NAME?</v>
      </c>
      <c r="M2070" s="8" t="e">
        <f ca="1">[1]!BexGetData("DP_1","003N8EMH8GTFRIVOG7KG9IQXA","GSON1264")</f>
        <v>#NAME?</v>
      </c>
      <c r="N2070" s="8" t="e">
        <f ca="1">[1]!BexGetData("DP_1","003N8EMH8GTFRIVOG7KG9IX8U","GSON1264")</f>
        <v>#NAME?</v>
      </c>
      <c r="O2070" s="8" t="e">
        <f ca="1">[1]!BexGetData("DP_1","003N8EMH8GTFRIVOG7KG9J3KE","GSON1264")</f>
        <v>#NAME?</v>
      </c>
      <c r="P2070" s="8" t="e">
        <f ca="1">[1]!BexGetData("DP_1","003N8EMH8GTFRIVOG7KG9J9VY","GSON1264")</f>
        <v>#NAME?</v>
      </c>
      <c r="Q2070" s="4" t="e">
        <f ca="1">[1]!BexGetData("DP_1","00O2TNJGODT0G5Z4TTKYMM5MT","GSON1264")</f>
        <v>#NAME?</v>
      </c>
      <c r="R2070" s="3" t="e">
        <f ca="1">[1]!BexGetData("DP_1","00O2TNJGODT0G5Z4TTKYMMBYD","GSON1264")</f>
        <v>#NAME?</v>
      </c>
      <c r="S2070" s="3" t="e">
        <f ca="1">[1]!BexGetData("DP_1","00O2TNJGODT0G5Z4TTKYMMI9X","GSON1264")</f>
        <v>#NAME?</v>
      </c>
      <c r="T2070" s="3" t="e">
        <f ca="1">[1]!BexGetData("DP_1","00O2TNJGODT0G5Z4TTKYMMOLH","GSON1264")</f>
        <v>#NAME?</v>
      </c>
      <c r="U2070" s="8" t="e">
        <f ca="1">[1]!BexGetData("DP_1","00O2TNJGODT0G5Z4TTKYMMUX1","GSON1264")</f>
        <v>#NAME?</v>
      </c>
      <c r="V2070" s="3" t="e">
        <f ca="1">[1]!BexGetData("DP_1","00O2TNJGODT0G5Z4TTKYMN18L","GSON1264")</f>
        <v>#NAME?</v>
      </c>
      <c r="W2070" s="8" t="e">
        <f ca="1">[1]!BexGetData("DP_1","00O2TNJGODT0G5Z4TTKYMN7K5","GSON1264")</f>
        <v>#NAME?</v>
      </c>
    </row>
    <row r="2071" spans="1:23" x14ac:dyDescent="0.2">
      <c r="A2071" s="16" t="s">
        <v>1386</v>
      </c>
      <c r="B2071" s="7" t="s">
        <v>1387</v>
      </c>
      <c r="C2071" s="8" t="e">
        <f ca="1">[1]!BexGetData("DP_1","003N8EMH8GTFRCSWKMPXRR8GU","GSON1264100001")</f>
        <v>#NAME?</v>
      </c>
      <c r="D2071" s="8" t="e">
        <f ca="1">[1]!BexGetData("DP_1","003N8EMH8GTFRCSWKMPXRRESE","GSON1264100001")</f>
        <v>#NAME?</v>
      </c>
      <c r="E2071" s="3" t="e">
        <f ca="1">[1]!BexGetData("DP_1","003N8EMH8GTFRCSWKMPXRRL3Y","GSON1264100001")</f>
        <v>#NAME?</v>
      </c>
      <c r="F2071" s="3" t="e">
        <f ca="1">[1]!BexGetData("DP_1","003N8EMH8GTFRCSWKMPXRRRFI","GSON1264100001")</f>
        <v>#NAME?</v>
      </c>
      <c r="G2071" s="8" t="e">
        <f ca="1">[1]!BexGetData("DP_1","003N8EMH8GTFRCSWKMPXRRXR2","GSON1264100001")</f>
        <v>#NAME?</v>
      </c>
      <c r="H2071" s="3" t="e">
        <f ca="1">[1]!BexGetData("DP_1","003N8EMH8GTFRCSWKMPXRS42M","GSON1264100001")</f>
        <v>#NAME?</v>
      </c>
      <c r="I2071" s="3" t="e">
        <f ca="1">[1]!BexGetData("DP_1","003N8EMH8GTFRCSWKMPXRSAE6","GSON1264100001")</f>
        <v>#NAME?</v>
      </c>
      <c r="J2071" s="4" t="e">
        <f ca="1">[1]!BexGetData("DP_1","003N8EMH8GTFRCSWKMPXRSGPQ","GSON1264100001")</f>
        <v>#NAME?</v>
      </c>
      <c r="K2071" s="8" t="e">
        <f ca="1">[1]!BexGetData("DP_1","003N8EMH8GTFRIVNUPY288VJH","GSON1264100001")</f>
        <v>#NAME?</v>
      </c>
      <c r="L2071" s="8" t="e">
        <f ca="1">[1]!BexGetData("DP_1","003N8EMH8GTFRIVNUPY2891V1","GSON1264100001")</f>
        <v>#NAME?</v>
      </c>
      <c r="M2071" s="8" t="e">
        <f ca="1">[1]!BexGetData("DP_1","003N8EMH8GTFRIVOG7KG9IQXA","GSON1264100001")</f>
        <v>#NAME?</v>
      </c>
      <c r="N2071" s="8" t="e">
        <f ca="1">[1]!BexGetData("DP_1","003N8EMH8GTFRIVOG7KG9IX8U","GSON1264100001")</f>
        <v>#NAME?</v>
      </c>
      <c r="O2071" s="8" t="e">
        <f ca="1">[1]!BexGetData("DP_1","003N8EMH8GTFRIVOG7KG9J3KE","GSON1264100001")</f>
        <v>#NAME?</v>
      </c>
      <c r="P2071" s="8" t="e">
        <f ca="1">[1]!BexGetData("DP_1","003N8EMH8GTFRIVOG7KG9J9VY","GSON1264100001")</f>
        <v>#NAME?</v>
      </c>
      <c r="Q2071" s="4" t="e">
        <f ca="1">[1]!BexGetData("DP_1","00O2TNJGODT0G5Z4TTKYMM5MT","GSON1264100001")</f>
        <v>#NAME?</v>
      </c>
      <c r="R2071" s="3" t="e">
        <f ca="1">[1]!BexGetData("DP_1","00O2TNJGODT0G5Z4TTKYMMBYD","GSON1264100001")</f>
        <v>#NAME?</v>
      </c>
      <c r="S2071" s="3" t="e">
        <f ca="1">[1]!BexGetData("DP_1","00O2TNJGODT0G5Z4TTKYMMI9X","GSON1264100001")</f>
        <v>#NAME?</v>
      </c>
      <c r="T2071" s="3" t="e">
        <f ca="1">[1]!BexGetData("DP_1","00O2TNJGODT0G5Z4TTKYMMOLH","GSON1264100001")</f>
        <v>#NAME?</v>
      </c>
      <c r="U2071" s="8" t="e">
        <f ca="1">[1]!BexGetData("DP_1","00O2TNJGODT0G5Z4TTKYMMUX1","GSON1264100001")</f>
        <v>#NAME?</v>
      </c>
      <c r="V2071" s="3" t="e">
        <f ca="1">[1]!BexGetData("DP_1","00O2TNJGODT0G5Z4TTKYMN18L","GSON1264100001")</f>
        <v>#NAME?</v>
      </c>
      <c r="W2071" s="8" t="e">
        <f ca="1">[1]!BexGetData("DP_1","00O2TNJGODT0G5Z4TTKYMN7K5","GSON1264100001")</f>
        <v>#NAME?</v>
      </c>
    </row>
    <row r="2072" spans="1:23" x14ac:dyDescent="0.2">
      <c r="A2072" s="15" t="s">
        <v>1388</v>
      </c>
      <c r="B2072" s="7" t="s">
        <v>1389</v>
      </c>
      <c r="C2072" s="3" t="e">
        <f ca="1">[1]!BexGetData("DP_1","003N8EMH8GTFRCSWKMPXRR8GU","GSON1265")</f>
        <v>#NAME?</v>
      </c>
      <c r="D2072" s="3" t="e">
        <f ca="1">[1]!BexGetData("DP_1","003N8EMH8GTFRCSWKMPXRRESE","GSON1265")</f>
        <v>#NAME?</v>
      </c>
      <c r="E2072" s="3" t="e">
        <f ca="1">[1]!BexGetData("DP_1","003N8EMH8GTFRCSWKMPXRRL3Y","GSON1265")</f>
        <v>#NAME?</v>
      </c>
      <c r="F2072" s="3" t="e">
        <f ca="1">[1]!BexGetData("DP_1","003N8EMH8GTFRCSWKMPXRRRFI","GSON1265")</f>
        <v>#NAME?</v>
      </c>
      <c r="G2072" s="8" t="e">
        <f ca="1">[1]!BexGetData("DP_1","003N8EMH8GTFRCSWKMPXRRXR2","GSON1265")</f>
        <v>#NAME?</v>
      </c>
      <c r="H2072" s="3" t="e">
        <f ca="1">[1]!BexGetData("DP_1","003N8EMH8GTFRCSWKMPXRS42M","GSON1265")</f>
        <v>#NAME?</v>
      </c>
      <c r="I2072" s="3" t="e">
        <f ca="1">[1]!BexGetData("DP_1","003N8EMH8GTFRCSWKMPXRSAE6","GSON1265")</f>
        <v>#NAME?</v>
      </c>
      <c r="J2072" s="4" t="e">
        <f ca="1">[1]!BexGetData("DP_1","003N8EMH8GTFRCSWKMPXRSGPQ","GSON1265")</f>
        <v>#NAME?</v>
      </c>
      <c r="K2072" s="3" t="e">
        <f ca="1">[1]!BexGetData("DP_1","003N8EMH8GTFRIVNUPY288VJH","GSON1265")</f>
        <v>#NAME?</v>
      </c>
      <c r="L2072" s="3" t="e">
        <f ca="1">[1]!BexGetData("DP_1","003N8EMH8GTFRIVNUPY2891V1","GSON1265")</f>
        <v>#NAME?</v>
      </c>
      <c r="M2072" s="3" t="e">
        <f ca="1">[1]!BexGetData("DP_1","003N8EMH8GTFRIVOG7KG9IQXA","GSON1265")</f>
        <v>#NAME?</v>
      </c>
      <c r="N2072" s="8" t="e">
        <f ca="1">[1]!BexGetData("DP_1","003N8EMH8GTFRIVOG7KG9IX8U","GSON1265")</f>
        <v>#NAME?</v>
      </c>
      <c r="O2072" s="3" t="e">
        <f ca="1">[1]!BexGetData("DP_1","003N8EMH8GTFRIVOG7KG9J3KE","GSON1265")</f>
        <v>#NAME?</v>
      </c>
      <c r="P2072" s="8" t="e">
        <f ca="1">[1]!BexGetData("DP_1","003N8EMH8GTFRIVOG7KG9J9VY","GSON1265")</f>
        <v>#NAME?</v>
      </c>
      <c r="Q2072" s="4" t="e">
        <f ca="1">[1]!BexGetData("DP_1","00O2TNJGODT0G5Z4TTKYMM5MT","GSON1265")</f>
        <v>#NAME?</v>
      </c>
      <c r="R2072" s="3" t="e">
        <f ca="1">[1]!BexGetData("DP_1","00O2TNJGODT0G5Z4TTKYMMBYD","GSON1265")</f>
        <v>#NAME?</v>
      </c>
      <c r="S2072" s="3" t="e">
        <f ca="1">[1]!BexGetData("DP_1","00O2TNJGODT0G5Z4TTKYMMI9X","GSON1265")</f>
        <v>#NAME?</v>
      </c>
      <c r="T2072" s="3" t="e">
        <f ca="1">[1]!BexGetData("DP_1","00O2TNJGODT0G5Z4TTKYMMOLH","GSON1265")</f>
        <v>#NAME?</v>
      </c>
      <c r="U2072" s="8" t="e">
        <f ca="1">[1]!BexGetData("DP_1","00O2TNJGODT0G5Z4TTKYMMUX1","GSON1265")</f>
        <v>#NAME?</v>
      </c>
      <c r="V2072" s="3" t="e">
        <f ca="1">[1]!BexGetData("DP_1","00O2TNJGODT0G5Z4TTKYMN18L","GSON1265")</f>
        <v>#NAME?</v>
      </c>
      <c r="W2072" s="8" t="e">
        <f ca="1">[1]!BexGetData("DP_1","00O2TNJGODT0G5Z4TTKYMN7K5","GSON1265")</f>
        <v>#NAME?</v>
      </c>
    </row>
    <row r="2073" spans="1:23" x14ac:dyDescent="0.2">
      <c r="A2073" s="16" t="s">
        <v>1390</v>
      </c>
      <c r="B2073" s="7" t="s">
        <v>1391</v>
      </c>
      <c r="C2073" s="3" t="e">
        <f ca="1">[1]!BexGetData("DP_1","003N8EMH8GTFRCSWKMPXRR8GU","GSON1265100001")</f>
        <v>#NAME?</v>
      </c>
      <c r="D2073" s="3" t="e">
        <f ca="1">[1]!BexGetData("DP_1","003N8EMH8GTFRCSWKMPXRRESE","GSON1265100001")</f>
        <v>#NAME?</v>
      </c>
      <c r="E2073" s="3" t="e">
        <f ca="1">[1]!BexGetData("DP_1","003N8EMH8GTFRCSWKMPXRRL3Y","GSON1265100001")</f>
        <v>#NAME?</v>
      </c>
      <c r="F2073" s="3" t="e">
        <f ca="1">[1]!BexGetData("DP_1","003N8EMH8GTFRCSWKMPXRRRFI","GSON1265100001")</f>
        <v>#NAME?</v>
      </c>
      <c r="G2073" s="8" t="e">
        <f ca="1">[1]!BexGetData("DP_1","003N8EMH8GTFRCSWKMPXRRXR2","GSON1265100001")</f>
        <v>#NAME?</v>
      </c>
      <c r="H2073" s="3" t="e">
        <f ca="1">[1]!BexGetData("DP_1","003N8EMH8GTFRCSWKMPXRS42M","GSON1265100001")</f>
        <v>#NAME?</v>
      </c>
      <c r="I2073" s="3" t="e">
        <f ca="1">[1]!BexGetData("DP_1","003N8EMH8GTFRCSWKMPXRSAE6","GSON1265100001")</f>
        <v>#NAME?</v>
      </c>
      <c r="J2073" s="4" t="e">
        <f ca="1">[1]!BexGetData("DP_1","003N8EMH8GTFRCSWKMPXRSGPQ","GSON1265100001")</f>
        <v>#NAME?</v>
      </c>
      <c r="K2073" s="3" t="e">
        <f ca="1">[1]!BexGetData("DP_1","003N8EMH8GTFRIVNUPY288VJH","GSON1265100001")</f>
        <v>#NAME?</v>
      </c>
      <c r="L2073" s="3" t="e">
        <f ca="1">[1]!BexGetData("DP_1","003N8EMH8GTFRIVNUPY2891V1","GSON1265100001")</f>
        <v>#NAME?</v>
      </c>
      <c r="M2073" s="3" t="e">
        <f ca="1">[1]!BexGetData("DP_1","003N8EMH8GTFRIVOG7KG9IQXA","GSON1265100001")</f>
        <v>#NAME?</v>
      </c>
      <c r="N2073" s="8" t="e">
        <f ca="1">[1]!BexGetData("DP_1","003N8EMH8GTFRIVOG7KG9IX8U","GSON1265100001")</f>
        <v>#NAME?</v>
      </c>
      <c r="O2073" s="3" t="e">
        <f ca="1">[1]!BexGetData("DP_1","003N8EMH8GTFRIVOG7KG9J3KE","GSON1265100001")</f>
        <v>#NAME?</v>
      </c>
      <c r="P2073" s="8" t="e">
        <f ca="1">[1]!BexGetData("DP_1","003N8EMH8GTFRIVOG7KG9J9VY","GSON1265100001")</f>
        <v>#NAME?</v>
      </c>
      <c r="Q2073" s="4" t="e">
        <f ca="1">[1]!BexGetData("DP_1","00O2TNJGODT0G5Z4TTKYMM5MT","GSON1265100001")</f>
        <v>#NAME?</v>
      </c>
      <c r="R2073" s="3" t="e">
        <f ca="1">[1]!BexGetData("DP_1","00O2TNJGODT0G5Z4TTKYMMBYD","GSON1265100001")</f>
        <v>#NAME?</v>
      </c>
      <c r="S2073" s="3" t="e">
        <f ca="1">[1]!BexGetData("DP_1","00O2TNJGODT0G5Z4TTKYMMI9X","GSON1265100001")</f>
        <v>#NAME?</v>
      </c>
      <c r="T2073" s="3" t="e">
        <f ca="1">[1]!BexGetData("DP_1","00O2TNJGODT0G5Z4TTKYMMOLH","GSON1265100001")</f>
        <v>#NAME?</v>
      </c>
      <c r="U2073" s="8" t="e">
        <f ca="1">[1]!BexGetData("DP_1","00O2TNJGODT0G5Z4TTKYMMUX1","GSON1265100001")</f>
        <v>#NAME?</v>
      </c>
      <c r="V2073" s="3" t="e">
        <f ca="1">[1]!BexGetData("DP_1","00O2TNJGODT0G5Z4TTKYMN18L","GSON1265100001")</f>
        <v>#NAME?</v>
      </c>
      <c r="W2073" s="8" t="e">
        <f ca="1">[1]!BexGetData("DP_1","00O2TNJGODT0G5Z4TTKYMN7K5","GSON1265100001")</f>
        <v>#NAME?</v>
      </c>
    </row>
    <row r="2074" spans="1:23" x14ac:dyDescent="0.2">
      <c r="A2074" s="14" t="s">
        <v>10</v>
      </c>
      <c r="B2074" s="7" t="s">
        <v>1392</v>
      </c>
      <c r="C2074" s="8" t="e">
        <f ca="1">[1]!BexGetData("DP_1","003N8EMH8GTFRCSWKMPXRR8GU","GSON127")</f>
        <v>#NAME?</v>
      </c>
      <c r="D2074" s="8" t="e">
        <f ca="1">[1]!BexGetData("DP_1","003N8EMH8GTFRCSWKMPXRRESE","GSON127")</f>
        <v>#NAME?</v>
      </c>
      <c r="E2074" s="3" t="e">
        <f ca="1">[1]!BexGetData("DP_1","003N8EMH8GTFRCSWKMPXRRL3Y","GSON127")</f>
        <v>#NAME?</v>
      </c>
      <c r="F2074" s="3" t="e">
        <f ca="1">[1]!BexGetData("DP_1","003N8EMH8GTFRCSWKMPXRRRFI","GSON127")</f>
        <v>#NAME?</v>
      </c>
      <c r="G2074" s="3" t="e">
        <f ca="1">[1]!BexGetData("DP_1","003N8EMH8GTFRCSWKMPXRRXR2","GSON127")</f>
        <v>#NAME?</v>
      </c>
      <c r="H2074" s="8" t="e">
        <f ca="1">[1]!BexGetData("DP_1","003N8EMH8GTFRCSWKMPXRS42M","GSON127")</f>
        <v>#NAME?</v>
      </c>
      <c r="I2074" s="3" t="e">
        <f ca="1">[1]!BexGetData("DP_1","003N8EMH8GTFRCSWKMPXRSAE6","GSON127")</f>
        <v>#NAME?</v>
      </c>
      <c r="J2074" s="4" t="e">
        <f ca="1">[1]!BexGetData("DP_1","003N8EMH8GTFRCSWKMPXRSGPQ","GSON127")</f>
        <v>#NAME?</v>
      </c>
      <c r="K2074" s="8" t="e">
        <f ca="1">[1]!BexGetData("DP_1","003N8EMH8GTFRIVNUPY288VJH","GSON127")</f>
        <v>#NAME?</v>
      </c>
      <c r="L2074" s="8" t="e">
        <f ca="1">[1]!BexGetData("DP_1","003N8EMH8GTFRIVNUPY2891V1","GSON127")</f>
        <v>#NAME?</v>
      </c>
      <c r="M2074" s="8" t="e">
        <f ca="1">[1]!BexGetData("DP_1","003N8EMH8GTFRIVOG7KG9IQXA","GSON127")</f>
        <v>#NAME?</v>
      </c>
      <c r="N2074" s="8" t="e">
        <f ca="1">[1]!BexGetData("DP_1","003N8EMH8GTFRIVOG7KG9IX8U","GSON127")</f>
        <v>#NAME?</v>
      </c>
      <c r="O2074" s="8" t="e">
        <f ca="1">[1]!BexGetData("DP_1","003N8EMH8GTFRIVOG7KG9J3KE","GSON127")</f>
        <v>#NAME?</v>
      </c>
      <c r="P2074" s="8" t="e">
        <f ca="1">[1]!BexGetData("DP_1","003N8EMH8GTFRIVOG7KG9J9VY","GSON127")</f>
        <v>#NAME?</v>
      </c>
      <c r="Q2074" s="4" t="e">
        <f ca="1">[1]!BexGetData("DP_1","00O2TNJGODT0G5Z4TTKYMM5MT","GSON127")</f>
        <v>#NAME?</v>
      </c>
      <c r="R2074" s="3" t="e">
        <f ca="1">[1]!BexGetData("DP_1","00O2TNJGODT0G5Z4TTKYMMBYD","GSON127")</f>
        <v>#NAME?</v>
      </c>
      <c r="S2074" s="3" t="e">
        <f ca="1">[1]!BexGetData("DP_1","00O2TNJGODT0G5Z4TTKYMMI9X","GSON127")</f>
        <v>#NAME?</v>
      </c>
      <c r="T2074" s="8" t="e">
        <f ca="1">[1]!BexGetData("DP_1","00O2TNJGODT0G5Z4TTKYMMOLH","GSON127")</f>
        <v>#NAME?</v>
      </c>
      <c r="U2074" s="3" t="e">
        <f ca="1">[1]!BexGetData("DP_1","00O2TNJGODT0G5Z4TTKYMMUX1","GSON127")</f>
        <v>#NAME?</v>
      </c>
      <c r="V2074" s="8" t="e">
        <f ca="1">[1]!BexGetData("DP_1","00O2TNJGODT0G5Z4TTKYMN18L","GSON127")</f>
        <v>#NAME?</v>
      </c>
      <c r="W2074" s="3" t="e">
        <f ca="1">[1]!BexGetData("DP_1","00O2TNJGODT0G5Z4TTKYMN7K5","GSON127")</f>
        <v>#NAME?</v>
      </c>
    </row>
    <row r="2075" spans="1:23" x14ac:dyDescent="0.2">
      <c r="A2075" s="15" t="s">
        <v>1393</v>
      </c>
      <c r="B2075" s="7" t="s">
        <v>1394</v>
      </c>
      <c r="C2075" s="8" t="e">
        <f ca="1">[1]!BexGetData("DP_1","003N8EMH8GTFRCSWKMPXRR8GU","GSON1271")</f>
        <v>#NAME?</v>
      </c>
      <c r="D2075" s="8" t="e">
        <f ca="1">[1]!BexGetData("DP_1","003N8EMH8GTFRCSWKMPXRRESE","GSON1271")</f>
        <v>#NAME?</v>
      </c>
      <c r="E2075" s="3" t="e">
        <f ca="1">[1]!BexGetData("DP_1","003N8EMH8GTFRCSWKMPXRRL3Y","GSON1271")</f>
        <v>#NAME?</v>
      </c>
      <c r="F2075" s="3" t="e">
        <f ca="1">[1]!BexGetData("DP_1","003N8EMH8GTFRCSWKMPXRRRFI","GSON1271")</f>
        <v>#NAME?</v>
      </c>
      <c r="G2075" s="3" t="e">
        <f ca="1">[1]!BexGetData("DP_1","003N8EMH8GTFRCSWKMPXRRXR2","GSON1271")</f>
        <v>#NAME?</v>
      </c>
      <c r="H2075" s="8" t="e">
        <f ca="1">[1]!BexGetData("DP_1","003N8EMH8GTFRCSWKMPXRS42M","GSON1271")</f>
        <v>#NAME?</v>
      </c>
      <c r="I2075" s="3" t="e">
        <f ca="1">[1]!BexGetData("DP_1","003N8EMH8GTFRCSWKMPXRSAE6","GSON1271")</f>
        <v>#NAME?</v>
      </c>
      <c r="J2075" s="4" t="e">
        <f ca="1">[1]!BexGetData("DP_1","003N8EMH8GTFRCSWKMPXRSGPQ","GSON1271")</f>
        <v>#NAME?</v>
      </c>
      <c r="K2075" s="8" t="e">
        <f ca="1">[1]!BexGetData("DP_1","003N8EMH8GTFRIVNUPY288VJH","GSON1271")</f>
        <v>#NAME?</v>
      </c>
      <c r="L2075" s="8" t="e">
        <f ca="1">[1]!BexGetData("DP_1","003N8EMH8GTFRIVNUPY2891V1","GSON1271")</f>
        <v>#NAME?</v>
      </c>
      <c r="M2075" s="8" t="e">
        <f ca="1">[1]!BexGetData("DP_1","003N8EMH8GTFRIVOG7KG9IQXA","GSON1271")</f>
        <v>#NAME?</v>
      </c>
      <c r="N2075" s="8" t="e">
        <f ca="1">[1]!BexGetData("DP_1","003N8EMH8GTFRIVOG7KG9IX8U","GSON1271")</f>
        <v>#NAME?</v>
      </c>
      <c r="O2075" s="8" t="e">
        <f ca="1">[1]!BexGetData("DP_1","003N8EMH8GTFRIVOG7KG9J3KE","GSON1271")</f>
        <v>#NAME?</v>
      </c>
      <c r="P2075" s="8" t="e">
        <f ca="1">[1]!BexGetData("DP_1","003N8EMH8GTFRIVOG7KG9J9VY","GSON1271")</f>
        <v>#NAME?</v>
      </c>
      <c r="Q2075" s="4" t="e">
        <f ca="1">[1]!BexGetData("DP_1","00O2TNJGODT0G5Z4TTKYMM5MT","GSON1271")</f>
        <v>#NAME?</v>
      </c>
      <c r="R2075" s="3" t="e">
        <f ca="1">[1]!BexGetData("DP_1","00O2TNJGODT0G5Z4TTKYMMBYD","GSON1271")</f>
        <v>#NAME?</v>
      </c>
      <c r="S2075" s="3" t="e">
        <f ca="1">[1]!BexGetData("DP_1","00O2TNJGODT0G5Z4TTKYMMI9X","GSON1271")</f>
        <v>#NAME?</v>
      </c>
      <c r="T2075" s="8" t="e">
        <f ca="1">[1]!BexGetData("DP_1","00O2TNJGODT0G5Z4TTKYMMOLH","GSON1271")</f>
        <v>#NAME?</v>
      </c>
      <c r="U2075" s="3" t="e">
        <f ca="1">[1]!BexGetData("DP_1","00O2TNJGODT0G5Z4TTKYMMUX1","GSON1271")</f>
        <v>#NAME?</v>
      </c>
      <c r="V2075" s="8" t="e">
        <f ca="1">[1]!BexGetData("DP_1","00O2TNJGODT0G5Z4TTKYMN18L","GSON1271")</f>
        <v>#NAME?</v>
      </c>
      <c r="W2075" s="3" t="e">
        <f ca="1">[1]!BexGetData("DP_1","00O2TNJGODT0G5Z4TTKYMN7K5","GSON1271")</f>
        <v>#NAME?</v>
      </c>
    </row>
    <row r="2076" spans="1:23" x14ac:dyDescent="0.2">
      <c r="A2076" s="16" t="s">
        <v>1395</v>
      </c>
      <c r="B2076" s="7" t="s">
        <v>1396</v>
      </c>
      <c r="C2076" s="8" t="e">
        <f ca="1">[1]!BexGetData("DP_1","003N8EMH8GTFRCSWKMPXRR8GU","GSON1271163000")</f>
        <v>#NAME?</v>
      </c>
      <c r="D2076" s="8" t="e">
        <f ca="1">[1]!BexGetData("DP_1","003N8EMH8GTFRCSWKMPXRRESE","GSON1271163000")</f>
        <v>#NAME?</v>
      </c>
      <c r="E2076" s="3" t="e">
        <f ca="1">[1]!BexGetData("DP_1","003N8EMH8GTFRCSWKMPXRRL3Y","GSON1271163000")</f>
        <v>#NAME?</v>
      </c>
      <c r="F2076" s="3" t="e">
        <f ca="1">[1]!BexGetData("DP_1","003N8EMH8GTFRCSWKMPXRRRFI","GSON1271163000")</f>
        <v>#NAME?</v>
      </c>
      <c r="G2076" s="3" t="e">
        <f ca="1">[1]!BexGetData("DP_1","003N8EMH8GTFRCSWKMPXRRXR2","GSON1271163000")</f>
        <v>#NAME?</v>
      </c>
      <c r="H2076" s="8" t="e">
        <f ca="1">[1]!BexGetData("DP_1","003N8EMH8GTFRCSWKMPXRS42M","GSON1271163000")</f>
        <v>#NAME?</v>
      </c>
      <c r="I2076" s="3" t="e">
        <f ca="1">[1]!BexGetData("DP_1","003N8EMH8GTFRCSWKMPXRSAE6","GSON1271163000")</f>
        <v>#NAME?</v>
      </c>
      <c r="J2076" s="4" t="e">
        <f ca="1">[1]!BexGetData("DP_1","003N8EMH8GTFRCSWKMPXRSGPQ","GSON1271163000")</f>
        <v>#NAME?</v>
      </c>
      <c r="K2076" s="8" t="e">
        <f ca="1">[1]!BexGetData("DP_1","003N8EMH8GTFRIVNUPY288VJH","GSON1271163000")</f>
        <v>#NAME?</v>
      </c>
      <c r="L2076" s="8" t="e">
        <f ca="1">[1]!BexGetData("DP_1","003N8EMH8GTFRIVNUPY2891V1","GSON1271163000")</f>
        <v>#NAME?</v>
      </c>
      <c r="M2076" s="8" t="e">
        <f ca="1">[1]!BexGetData("DP_1","003N8EMH8GTFRIVOG7KG9IQXA","GSON1271163000")</f>
        <v>#NAME?</v>
      </c>
      <c r="N2076" s="8" t="e">
        <f ca="1">[1]!BexGetData("DP_1","003N8EMH8GTFRIVOG7KG9IX8U","GSON1271163000")</f>
        <v>#NAME?</v>
      </c>
      <c r="O2076" s="8" t="e">
        <f ca="1">[1]!BexGetData("DP_1","003N8EMH8GTFRIVOG7KG9J3KE","GSON1271163000")</f>
        <v>#NAME?</v>
      </c>
      <c r="P2076" s="8" t="e">
        <f ca="1">[1]!BexGetData("DP_1","003N8EMH8GTFRIVOG7KG9J9VY","GSON1271163000")</f>
        <v>#NAME?</v>
      </c>
      <c r="Q2076" s="4" t="e">
        <f ca="1">[1]!BexGetData("DP_1","00O2TNJGODT0G5Z4TTKYMM5MT","GSON1271163000")</f>
        <v>#NAME?</v>
      </c>
      <c r="R2076" s="3" t="e">
        <f ca="1">[1]!BexGetData("DP_1","00O2TNJGODT0G5Z4TTKYMMBYD","GSON1271163000")</f>
        <v>#NAME?</v>
      </c>
      <c r="S2076" s="3" t="e">
        <f ca="1">[1]!BexGetData("DP_1","00O2TNJGODT0G5Z4TTKYMMI9X","GSON1271163000")</f>
        <v>#NAME?</v>
      </c>
      <c r="T2076" s="8" t="e">
        <f ca="1">[1]!BexGetData("DP_1","00O2TNJGODT0G5Z4TTKYMMOLH","GSON1271163000")</f>
        <v>#NAME?</v>
      </c>
      <c r="U2076" s="3" t="e">
        <f ca="1">[1]!BexGetData("DP_1","00O2TNJGODT0G5Z4TTKYMMUX1","GSON1271163000")</f>
        <v>#NAME?</v>
      </c>
      <c r="V2076" s="8" t="e">
        <f ca="1">[1]!BexGetData("DP_1","00O2TNJGODT0G5Z4TTKYMN18L","GSON1271163000")</f>
        <v>#NAME?</v>
      </c>
      <c r="W2076" s="3" t="e">
        <f ca="1">[1]!BexGetData("DP_1","00O2TNJGODT0G5Z4TTKYMN7K5","GSON1271163000")</f>
        <v>#NAME?</v>
      </c>
    </row>
    <row r="2077" spans="1:23" x14ac:dyDescent="0.2">
      <c r="A2077" s="14" t="s">
        <v>87</v>
      </c>
      <c r="B2077" s="7" t="s">
        <v>88</v>
      </c>
      <c r="C2077" s="8" t="e">
        <f ca="1">[1]!BexGetData("DP_1","003N8EMH8GTFRCSWKMPXRR8GU","GSON129")</f>
        <v>#NAME?</v>
      </c>
      <c r="D2077" s="8" t="e">
        <f ca="1">[1]!BexGetData("DP_1","003N8EMH8GTFRCSWKMPXRRESE","GSON129")</f>
        <v>#NAME?</v>
      </c>
      <c r="E2077" s="3" t="e">
        <f ca="1">[1]!BexGetData("DP_1","003N8EMH8GTFRCSWKMPXRRL3Y","GSON129")</f>
        <v>#NAME?</v>
      </c>
      <c r="F2077" s="3" t="e">
        <f ca="1">[1]!BexGetData("DP_1","003N8EMH8GTFRCSWKMPXRRRFI","GSON129")</f>
        <v>#NAME?</v>
      </c>
      <c r="G2077" s="3" t="e">
        <f ca="1">[1]!BexGetData("DP_1","003N8EMH8GTFRCSWKMPXRRXR2","GSON129")</f>
        <v>#NAME?</v>
      </c>
      <c r="H2077" s="3" t="e">
        <f ca="1">[1]!BexGetData("DP_1","003N8EMH8GTFRCSWKMPXRS42M","GSON129")</f>
        <v>#NAME?</v>
      </c>
      <c r="I2077" s="3" t="e">
        <f ca="1">[1]!BexGetData("DP_1","003N8EMH8GTFRCSWKMPXRSAE6","GSON129")</f>
        <v>#NAME?</v>
      </c>
      <c r="J2077" s="4" t="e">
        <f ca="1">[1]!BexGetData("DP_1","003N8EMH8GTFRCSWKMPXRSGPQ","GSON129")</f>
        <v>#NAME?</v>
      </c>
      <c r="K2077" s="8" t="e">
        <f ca="1">[1]!BexGetData("DP_1","003N8EMH8GTFRIVNUPY288VJH","GSON129")</f>
        <v>#NAME?</v>
      </c>
      <c r="L2077" s="8" t="e">
        <f ca="1">[1]!BexGetData("DP_1","003N8EMH8GTFRIVNUPY2891V1","GSON129")</f>
        <v>#NAME?</v>
      </c>
      <c r="M2077" s="8" t="e">
        <f ca="1">[1]!BexGetData("DP_1","003N8EMH8GTFRIVOG7KG9IQXA","GSON129")</f>
        <v>#NAME?</v>
      </c>
      <c r="N2077" s="8" t="e">
        <f ca="1">[1]!BexGetData("DP_1","003N8EMH8GTFRIVOG7KG9IX8U","GSON129")</f>
        <v>#NAME?</v>
      </c>
      <c r="O2077" s="8" t="e">
        <f ca="1">[1]!BexGetData("DP_1","003N8EMH8GTFRIVOG7KG9J3KE","GSON129")</f>
        <v>#NAME?</v>
      </c>
      <c r="P2077" s="8" t="e">
        <f ca="1">[1]!BexGetData("DP_1","003N8EMH8GTFRIVOG7KG9J9VY","GSON129")</f>
        <v>#NAME?</v>
      </c>
      <c r="Q2077" s="4" t="e">
        <f ca="1">[1]!BexGetData("DP_1","00O2TNJGODT0G5Z4TTKYMM5MT","GSON129")</f>
        <v>#NAME?</v>
      </c>
      <c r="R2077" s="3" t="e">
        <f ca="1">[1]!BexGetData("DP_1","00O2TNJGODT0G5Z4TTKYMMBYD","GSON129")</f>
        <v>#NAME?</v>
      </c>
      <c r="S2077" s="3" t="e">
        <f ca="1">[1]!BexGetData("DP_1","00O2TNJGODT0G5Z4TTKYMMI9X","GSON129")</f>
        <v>#NAME?</v>
      </c>
      <c r="T2077" s="8" t="e">
        <f ca="1">[1]!BexGetData("DP_1","00O2TNJGODT0G5Z4TTKYMMOLH","GSON129")</f>
        <v>#NAME?</v>
      </c>
      <c r="U2077" s="3" t="e">
        <f ca="1">[1]!BexGetData("DP_1","00O2TNJGODT0G5Z4TTKYMMUX1","GSON129")</f>
        <v>#NAME?</v>
      </c>
      <c r="V2077" s="8" t="e">
        <f ca="1">[1]!BexGetData("DP_1","00O2TNJGODT0G5Z4TTKYMN18L","GSON129")</f>
        <v>#NAME?</v>
      </c>
      <c r="W2077" s="3" t="e">
        <f ca="1">[1]!BexGetData("DP_1","00O2TNJGODT0G5Z4TTKYMN7K5","GSON129")</f>
        <v>#NAME?</v>
      </c>
    </row>
    <row r="2078" spans="1:23" x14ac:dyDescent="0.2">
      <c r="A2078" s="15" t="s">
        <v>472</v>
      </c>
      <c r="B2078" s="7" t="s">
        <v>473</v>
      </c>
      <c r="C2078" s="8" t="e">
        <f ca="1">[1]!BexGetData("DP_1","003N8EMH8GTFRCSWKMPXRR8GU","GSON1293")</f>
        <v>#NAME?</v>
      </c>
      <c r="D2078" s="8" t="e">
        <f ca="1">[1]!BexGetData("DP_1","003N8EMH8GTFRCSWKMPXRRESE","GSON1293")</f>
        <v>#NAME?</v>
      </c>
      <c r="E2078" s="3" t="e">
        <f ca="1">[1]!BexGetData("DP_1","003N8EMH8GTFRCSWKMPXRRL3Y","GSON1293")</f>
        <v>#NAME?</v>
      </c>
      <c r="F2078" s="3" t="e">
        <f ca="1">[1]!BexGetData("DP_1","003N8EMH8GTFRCSWKMPXRRRFI","GSON1293")</f>
        <v>#NAME?</v>
      </c>
      <c r="G2078" s="3" t="e">
        <f ca="1">[1]!BexGetData("DP_1","003N8EMH8GTFRCSWKMPXRRXR2","GSON1293")</f>
        <v>#NAME?</v>
      </c>
      <c r="H2078" s="3" t="e">
        <f ca="1">[1]!BexGetData("DP_1","003N8EMH8GTFRCSWKMPXRS42M","GSON1293")</f>
        <v>#NAME?</v>
      </c>
      <c r="I2078" s="3" t="e">
        <f ca="1">[1]!BexGetData("DP_1","003N8EMH8GTFRCSWKMPXRSAE6","GSON1293")</f>
        <v>#NAME?</v>
      </c>
      <c r="J2078" s="4" t="e">
        <f ca="1">[1]!BexGetData("DP_1","003N8EMH8GTFRCSWKMPXRSGPQ","GSON1293")</f>
        <v>#NAME?</v>
      </c>
      <c r="K2078" s="8" t="e">
        <f ca="1">[1]!BexGetData("DP_1","003N8EMH8GTFRIVNUPY288VJH","GSON1293")</f>
        <v>#NAME?</v>
      </c>
      <c r="L2078" s="8" t="e">
        <f ca="1">[1]!BexGetData("DP_1","003N8EMH8GTFRIVNUPY2891V1","GSON1293")</f>
        <v>#NAME?</v>
      </c>
      <c r="M2078" s="8" t="e">
        <f ca="1">[1]!BexGetData("DP_1","003N8EMH8GTFRIVOG7KG9IQXA","GSON1293")</f>
        <v>#NAME?</v>
      </c>
      <c r="N2078" s="8" t="e">
        <f ca="1">[1]!BexGetData("DP_1","003N8EMH8GTFRIVOG7KG9IX8U","GSON1293")</f>
        <v>#NAME?</v>
      </c>
      <c r="O2078" s="8" t="e">
        <f ca="1">[1]!BexGetData("DP_1","003N8EMH8GTFRIVOG7KG9J3KE","GSON1293")</f>
        <v>#NAME?</v>
      </c>
      <c r="P2078" s="8" t="e">
        <f ca="1">[1]!BexGetData("DP_1","003N8EMH8GTFRIVOG7KG9J9VY","GSON1293")</f>
        <v>#NAME?</v>
      </c>
      <c r="Q2078" s="4" t="e">
        <f ca="1">[1]!BexGetData("DP_1","00O2TNJGODT0G5Z4TTKYMM5MT","GSON1293")</f>
        <v>#NAME?</v>
      </c>
      <c r="R2078" s="3" t="e">
        <f ca="1">[1]!BexGetData("DP_1","00O2TNJGODT0G5Z4TTKYMMBYD","GSON1293")</f>
        <v>#NAME?</v>
      </c>
      <c r="S2078" s="3" t="e">
        <f ca="1">[1]!BexGetData("DP_1","00O2TNJGODT0G5Z4TTKYMMI9X","GSON1293")</f>
        <v>#NAME?</v>
      </c>
      <c r="T2078" s="8" t="e">
        <f ca="1">[1]!BexGetData("DP_1","00O2TNJGODT0G5Z4TTKYMMOLH","GSON1293")</f>
        <v>#NAME?</v>
      </c>
      <c r="U2078" s="3" t="e">
        <f ca="1">[1]!BexGetData("DP_1","00O2TNJGODT0G5Z4TTKYMMUX1","GSON1293")</f>
        <v>#NAME?</v>
      </c>
      <c r="V2078" s="8" t="e">
        <f ca="1">[1]!BexGetData("DP_1","00O2TNJGODT0G5Z4TTKYMN18L","GSON1293")</f>
        <v>#NAME?</v>
      </c>
      <c r="W2078" s="3" t="e">
        <f ca="1">[1]!BexGetData("DP_1","00O2TNJGODT0G5Z4TTKYMN7K5","GSON1293")</f>
        <v>#NAME?</v>
      </c>
    </row>
    <row r="2079" spans="1:23" x14ac:dyDescent="0.2">
      <c r="A2079" s="16" t="s">
        <v>1397</v>
      </c>
      <c r="B2079" s="7" t="s">
        <v>474</v>
      </c>
      <c r="C2079" s="8" t="e">
        <f ca="1">[1]!BexGetData("DP_1","003N8EMH8GTFRCSWKMPXRR8GU","GSON1293100001")</f>
        <v>#NAME?</v>
      </c>
      <c r="D2079" s="8" t="e">
        <f ca="1">[1]!BexGetData("DP_1","003N8EMH8GTFRCSWKMPXRRESE","GSON1293100001")</f>
        <v>#NAME?</v>
      </c>
      <c r="E2079" s="3" t="e">
        <f ca="1">[1]!BexGetData("DP_1","003N8EMH8GTFRCSWKMPXRRL3Y","GSON1293100001")</f>
        <v>#NAME?</v>
      </c>
      <c r="F2079" s="3" t="e">
        <f ca="1">[1]!BexGetData("DP_1","003N8EMH8GTFRCSWKMPXRRRFI","GSON1293100001")</f>
        <v>#NAME?</v>
      </c>
      <c r="G2079" s="3" t="e">
        <f ca="1">[1]!BexGetData("DP_1","003N8EMH8GTFRCSWKMPXRRXR2","GSON1293100001")</f>
        <v>#NAME?</v>
      </c>
      <c r="H2079" s="8" t="e">
        <f ca="1">[1]!BexGetData("DP_1","003N8EMH8GTFRCSWKMPXRS42M","GSON1293100001")</f>
        <v>#NAME?</v>
      </c>
      <c r="I2079" s="3" t="e">
        <f ca="1">[1]!BexGetData("DP_1","003N8EMH8GTFRCSWKMPXRSAE6","GSON1293100001")</f>
        <v>#NAME?</v>
      </c>
      <c r="J2079" s="4" t="e">
        <f ca="1">[1]!BexGetData("DP_1","003N8EMH8GTFRCSWKMPXRSGPQ","GSON1293100001")</f>
        <v>#NAME?</v>
      </c>
      <c r="K2079" s="8" t="e">
        <f ca="1">[1]!BexGetData("DP_1","003N8EMH8GTFRIVNUPY288VJH","GSON1293100001")</f>
        <v>#NAME?</v>
      </c>
      <c r="L2079" s="8" t="e">
        <f ca="1">[1]!BexGetData("DP_1","003N8EMH8GTFRIVNUPY2891V1","GSON1293100001")</f>
        <v>#NAME?</v>
      </c>
      <c r="M2079" s="8" t="e">
        <f ca="1">[1]!BexGetData("DP_1","003N8EMH8GTFRIVOG7KG9IQXA","GSON1293100001")</f>
        <v>#NAME?</v>
      </c>
      <c r="N2079" s="8" t="e">
        <f ca="1">[1]!BexGetData("DP_1","003N8EMH8GTFRIVOG7KG9IX8U","GSON1293100001")</f>
        <v>#NAME?</v>
      </c>
      <c r="O2079" s="8" t="e">
        <f ca="1">[1]!BexGetData("DP_1","003N8EMH8GTFRIVOG7KG9J3KE","GSON1293100001")</f>
        <v>#NAME?</v>
      </c>
      <c r="P2079" s="8" t="e">
        <f ca="1">[1]!BexGetData("DP_1","003N8EMH8GTFRIVOG7KG9J9VY","GSON1293100001")</f>
        <v>#NAME?</v>
      </c>
      <c r="Q2079" s="4" t="e">
        <f ca="1">[1]!BexGetData("DP_1","00O2TNJGODT0G5Z4TTKYMM5MT","GSON1293100001")</f>
        <v>#NAME?</v>
      </c>
      <c r="R2079" s="3" t="e">
        <f ca="1">[1]!BexGetData("DP_1","00O2TNJGODT0G5Z4TTKYMMBYD","GSON1293100001")</f>
        <v>#NAME?</v>
      </c>
      <c r="S2079" s="3" t="e">
        <f ca="1">[1]!BexGetData("DP_1","00O2TNJGODT0G5Z4TTKYMMI9X","GSON1293100001")</f>
        <v>#NAME?</v>
      </c>
      <c r="T2079" s="8" t="e">
        <f ca="1">[1]!BexGetData("DP_1","00O2TNJGODT0G5Z4TTKYMMOLH","GSON1293100001")</f>
        <v>#NAME?</v>
      </c>
      <c r="U2079" s="3" t="e">
        <f ca="1">[1]!BexGetData("DP_1","00O2TNJGODT0G5Z4TTKYMMUX1","GSON1293100001")</f>
        <v>#NAME?</v>
      </c>
      <c r="V2079" s="8" t="e">
        <f ca="1">[1]!BexGetData("DP_1","00O2TNJGODT0G5Z4TTKYMN18L","GSON1293100001")</f>
        <v>#NAME?</v>
      </c>
      <c r="W2079" s="3" t="e">
        <f ca="1">[1]!BexGetData("DP_1","00O2TNJGODT0G5Z4TTKYMN7K5","GSON1293100001")</f>
        <v>#NAME?</v>
      </c>
    </row>
    <row r="2080" spans="1:23" x14ac:dyDescent="0.2">
      <c r="A2080" s="16" t="s">
        <v>4758</v>
      </c>
      <c r="B2080" s="7" t="s">
        <v>4759</v>
      </c>
      <c r="C2080" s="8" t="e">
        <f ca="1">[1]!BexGetData("DP_1","003N8EMH8GTFRCSWKMPXRR8GU","GSON1293200001")</f>
        <v>#NAME?</v>
      </c>
      <c r="D2080" s="8" t="e">
        <f ca="1">[1]!BexGetData("DP_1","003N8EMH8GTFRCSWKMPXRRESE","GSON1293200001")</f>
        <v>#NAME?</v>
      </c>
      <c r="E2080" s="8" t="e">
        <f ca="1">[1]!BexGetData("DP_1","003N8EMH8GTFRCSWKMPXRRL3Y","GSON1293200001")</f>
        <v>#NAME?</v>
      </c>
      <c r="F2080" s="8" t="e">
        <f ca="1">[1]!BexGetData("DP_1","003N8EMH8GTFRCSWKMPXRRRFI","GSON1293200001")</f>
        <v>#NAME?</v>
      </c>
      <c r="G2080" s="3" t="e">
        <f ca="1">[1]!BexGetData("DP_1","003N8EMH8GTFRCSWKMPXRRXR2","GSON1293200001")</f>
        <v>#NAME?</v>
      </c>
      <c r="H2080" s="3" t="e">
        <f ca="1">[1]!BexGetData("DP_1","003N8EMH8GTFRCSWKMPXRS42M","GSON1293200001")</f>
        <v>#NAME?</v>
      </c>
      <c r="I2080" s="8" t="e">
        <f ca="1">[1]!BexGetData("DP_1","003N8EMH8GTFRCSWKMPXRSAE6","GSON1293200001")</f>
        <v>#NAME?</v>
      </c>
      <c r="J2080" s="4" t="e">
        <f ca="1">[1]!BexGetData("DP_1","003N8EMH8GTFRCSWKMPXRSGPQ","GSON1293200001")</f>
        <v>#NAME?</v>
      </c>
      <c r="K2080" s="8" t="e">
        <f ca="1">[1]!BexGetData("DP_1","003N8EMH8GTFRIVNUPY288VJH","GSON1293200001")</f>
        <v>#NAME?</v>
      </c>
      <c r="L2080" s="8" t="e">
        <f ca="1">[1]!BexGetData("DP_1","003N8EMH8GTFRIVNUPY2891V1","GSON1293200001")</f>
        <v>#NAME?</v>
      </c>
      <c r="M2080" s="8" t="e">
        <f ca="1">[1]!BexGetData("DP_1","003N8EMH8GTFRIVOG7KG9IQXA","GSON1293200001")</f>
        <v>#NAME?</v>
      </c>
      <c r="N2080" s="8" t="e">
        <f ca="1">[1]!BexGetData("DP_1","003N8EMH8GTFRIVOG7KG9IX8U","GSON1293200001")</f>
        <v>#NAME?</v>
      </c>
      <c r="O2080" s="8" t="e">
        <f ca="1">[1]!BexGetData("DP_1","003N8EMH8GTFRIVOG7KG9J3KE","GSON1293200001")</f>
        <v>#NAME?</v>
      </c>
      <c r="P2080" s="8" t="e">
        <f ca="1">[1]!BexGetData("DP_1","003N8EMH8GTFRIVOG7KG9J9VY","GSON1293200001")</f>
        <v>#NAME?</v>
      </c>
      <c r="Q2080" s="4" t="e">
        <f ca="1">[1]!BexGetData("DP_1","00O2TNJGODT0G5Z4TTKYMM5MT","GSON1293200001")</f>
        <v>#NAME?</v>
      </c>
      <c r="R2080" s="8" t="e">
        <f ca="1">[1]!BexGetData("DP_1","00O2TNJGODT0G5Z4TTKYMMBYD","GSON1293200001")</f>
        <v>#NAME?</v>
      </c>
      <c r="S2080" s="8" t="e">
        <f ca="1">[1]!BexGetData("DP_1","00O2TNJGODT0G5Z4TTKYMMI9X","GSON1293200001")</f>
        <v>#NAME?</v>
      </c>
      <c r="T2080" s="8" t="e">
        <f ca="1">[1]!BexGetData("DP_1","00O2TNJGODT0G5Z4TTKYMMOLH","GSON1293200001")</f>
        <v>#NAME?</v>
      </c>
      <c r="U2080" s="8" t="e">
        <f ca="1">[1]!BexGetData("DP_1","00O2TNJGODT0G5Z4TTKYMMUX1","GSON1293200001")</f>
        <v>#NAME?</v>
      </c>
      <c r="V2080" s="8" t="e">
        <f ca="1">[1]!BexGetData("DP_1","00O2TNJGODT0G5Z4TTKYMN18L","GSON1293200001")</f>
        <v>#NAME?</v>
      </c>
      <c r="W2080" s="8" t="e">
        <f ca="1">[1]!BexGetData("DP_1","00O2TNJGODT0G5Z4TTKYMN7K5","GSON1293200001")</f>
        <v>#NAME?</v>
      </c>
    </row>
    <row r="2081" spans="1:23" x14ac:dyDescent="0.2">
      <c r="A2081" s="12" t="s">
        <v>89</v>
      </c>
      <c r="B2081" s="6" t="s">
        <v>90</v>
      </c>
      <c r="C2081" s="3" t="e">
        <f ca="1">[1]!BexGetData("DP_1","003N8EMH8GTFRCSWKMPXRR8GU","GSON2-3")</f>
        <v>#NAME?</v>
      </c>
      <c r="D2081" s="3" t="e">
        <f ca="1">[1]!BexGetData("DP_1","003N8EMH8GTFRCSWKMPXRRESE","GSON2-3")</f>
        <v>#NAME?</v>
      </c>
      <c r="E2081" s="3" t="e">
        <f ca="1">[1]!BexGetData("DP_1","003N8EMH8GTFRCSWKMPXRRL3Y","GSON2-3")</f>
        <v>#NAME?</v>
      </c>
      <c r="F2081" s="3" t="e">
        <f ca="1">[1]!BexGetData("DP_1","003N8EMH8GTFRCSWKMPXRRRFI","GSON2-3")</f>
        <v>#NAME?</v>
      </c>
      <c r="G2081" s="3" t="e">
        <f ca="1">[1]!BexGetData("DP_1","003N8EMH8GTFRCSWKMPXRRXR2","GSON2-3")</f>
        <v>#NAME?</v>
      </c>
      <c r="H2081" s="3" t="e">
        <f ca="1">[1]!BexGetData("DP_1","003N8EMH8GTFRCSWKMPXRS42M","GSON2-3")</f>
        <v>#NAME?</v>
      </c>
      <c r="I2081" s="3" t="e">
        <f ca="1">[1]!BexGetData("DP_1","003N8EMH8GTFRCSWKMPXRSAE6","GSON2-3")</f>
        <v>#NAME?</v>
      </c>
      <c r="J2081" s="4" t="e">
        <f ca="1">[1]!BexGetData("DP_1","003N8EMH8GTFRCSWKMPXRSGPQ","GSON2-3")</f>
        <v>#NAME?</v>
      </c>
      <c r="K2081" s="3" t="e">
        <f ca="1">[1]!BexGetData("DP_1","003N8EMH8GTFRIVNUPY288VJH","GSON2-3")</f>
        <v>#NAME?</v>
      </c>
      <c r="L2081" s="3" t="e">
        <f ca="1">[1]!BexGetData("DP_1","003N8EMH8GTFRIVNUPY2891V1","GSON2-3")</f>
        <v>#NAME?</v>
      </c>
      <c r="M2081" s="3" t="e">
        <f ca="1">[1]!BexGetData("DP_1","003N8EMH8GTFRIVOG7KG9IQXA","GSON2-3")</f>
        <v>#NAME?</v>
      </c>
      <c r="N2081" s="8" t="e">
        <f ca="1">[1]!BexGetData("DP_1","003N8EMH8GTFRIVOG7KG9IX8U","GSON2-3")</f>
        <v>#NAME?</v>
      </c>
      <c r="O2081" s="3" t="e">
        <f ca="1">[1]!BexGetData("DP_1","003N8EMH8GTFRIVOG7KG9J3KE","GSON2-3")</f>
        <v>#NAME?</v>
      </c>
      <c r="P2081" s="8" t="e">
        <f ca="1">[1]!BexGetData("DP_1","003N8EMH8GTFRIVOG7KG9J9VY","GSON2-3")</f>
        <v>#NAME?</v>
      </c>
      <c r="Q2081" s="4" t="e">
        <f ca="1">[1]!BexGetData("DP_1","00O2TNJGODT0G5Z4TTKYMM5MT","GSON2-3")</f>
        <v>#NAME?</v>
      </c>
      <c r="R2081" s="3" t="e">
        <f ca="1">[1]!BexGetData("DP_1","00O2TNJGODT0G5Z4TTKYMMBYD","GSON2-3")</f>
        <v>#NAME?</v>
      </c>
      <c r="S2081" s="3" t="e">
        <f ca="1">[1]!BexGetData("DP_1","00O2TNJGODT0G5Z4TTKYMMI9X","GSON2-3")</f>
        <v>#NAME?</v>
      </c>
      <c r="T2081" s="3" t="e">
        <f ca="1">[1]!BexGetData("DP_1","00O2TNJGODT0G5Z4TTKYMMOLH","GSON2-3")</f>
        <v>#NAME?</v>
      </c>
      <c r="U2081" s="8" t="e">
        <f ca="1">[1]!BexGetData("DP_1","00O2TNJGODT0G5Z4TTKYMMUX1","GSON2-3")</f>
        <v>#NAME?</v>
      </c>
      <c r="V2081" s="3" t="e">
        <f ca="1">[1]!BexGetData("DP_1","00O2TNJGODT0G5Z4TTKYMN18L","GSON2-3")</f>
        <v>#NAME?</v>
      </c>
      <c r="W2081" s="8" t="e">
        <f ca="1">[1]!BexGetData("DP_1","00O2TNJGODT0G5Z4TTKYMN7K5","GSON2-3")</f>
        <v>#NAME?</v>
      </c>
    </row>
    <row r="2082" spans="1:23" x14ac:dyDescent="0.2">
      <c r="A2082" s="13" t="s">
        <v>12</v>
      </c>
      <c r="B2082" s="7" t="s">
        <v>91</v>
      </c>
      <c r="C2082" s="3" t="e">
        <f ca="1">[1]!BexGetData("DP_1","003N8EMH8GTFRCSWKMPXRR8GU","GSON2")</f>
        <v>#NAME?</v>
      </c>
      <c r="D2082" s="3" t="e">
        <f ca="1">[1]!BexGetData("DP_1","003N8EMH8GTFRCSWKMPXRRESE","GSON2")</f>
        <v>#NAME?</v>
      </c>
      <c r="E2082" s="3" t="e">
        <f ca="1">[1]!BexGetData("DP_1","003N8EMH8GTFRCSWKMPXRRL3Y","GSON2")</f>
        <v>#NAME?</v>
      </c>
      <c r="F2082" s="3" t="e">
        <f ca="1">[1]!BexGetData("DP_1","003N8EMH8GTFRCSWKMPXRRRFI","GSON2")</f>
        <v>#NAME?</v>
      </c>
      <c r="G2082" s="3" t="e">
        <f ca="1">[1]!BexGetData("DP_1","003N8EMH8GTFRCSWKMPXRRXR2","GSON2")</f>
        <v>#NAME?</v>
      </c>
      <c r="H2082" s="3" t="e">
        <f ca="1">[1]!BexGetData("DP_1","003N8EMH8GTFRCSWKMPXRS42M","GSON2")</f>
        <v>#NAME?</v>
      </c>
      <c r="I2082" s="3" t="e">
        <f ca="1">[1]!BexGetData("DP_1","003N8EMH8GTFRCSWKMPXRSAE6","GSON2")</f>
        <v>#NAME?</v>
      </c>
      <c r="J2082" s="4" t="e">
        <f ca="1">[1]!BexGetData("DP_1","003N8EMH8GTFRCSWKMPXRSGPQ","GSON2")</f>
        <v>#NAME?</v>
      </c>
      <c r="K2082" s="3" t="e">
        <f ca="1">[1]!BexGetData("DP_1","003N8EMH8GTFRIVNUPY288VJH","GSON2")</f>
        <v>#NAME?</v>
      </c>
      <c r="L2082" s="3" t="e">
        <f ca="1">[1]!BexGetData("DP_1","003N8EMH8GTFRIVNUPY2891V1","GSON2")</f>
        <v>#NAME?</v>
      </c>
      <c r="M2082" s="3" t="e">
        <f ca="1">[1]!BexGetData("DP_1","003N8EMH8GTFRIVOG7KG9IQXA","GSON2")</f>
        <v>#NAME?</v>
      </c>
      <c r="N2082" s="8" t="e">
        <f ca="1">[1]!BexGetData("DP_1","003N8EMH8GTFRIVOG7KG9IX8U","GSON2")</f>
        <v>#NAME?</v>
      </c>
      <c r="O2082" s="3" t="e">
        <f ca="1">[1]!BexGetData("DP_1","003N8EMH8GTFRIVOG7KG9J3KE","GSON2")</f>
        <v>#NAME?</v>
      </c>
      <c r="P2082" s="8" t="e">
        <f ca="1">[1]!BexGetData("DP_1","003N8EMH8GTFRIVOG7KG9J9VY","GSON2")</f>
        <v>#NAME?</v>
      </c>
      <c r="Q2082" s="4" t="e">
        <f ca="1">[1]!BexGetData("DP_1","00O2TNJGODT0G5Z4TTKYMM5MT","GSON2")</f>
        <v>#NAME?</v>
      </c>
      <c r="R2082" s="3" t="e">
        <f ca="1">[1]!BexGetData("DP_1","00O2TNJGODT0G5Z4TTKYMMBYD","GSON2")</f>
        <v>#NAME?</v>
      </c>
      <c r="S2082" s="3" t="e">
        <f ca="1">[1]!BexGetData("DP_1","00O2TNJGODT0G5Z4TTKYMMI9X","GSON2")</f>
        <v>#NAME?</v>
      </c>
      <c r="T2082" s="3" t="e">
        <f ca="1">[1]!BexGetData("DP_1","00O2TNJGODT0G5Z4TTKYMMOLH","GSON2")</f>
        <v>#NAME?</v>
      </c>
      <c r="U2082" s="8" t="e">
        <f ca="1">[1]!BexGetData("DP_1","00O2TNJGODT0G5Z4TTKYMMUX1","GSON2")</f>
        <v>#NAME?</v>
      </c>
      <c r="V2082" s="3" t="e">
        <f ca="1">[1]!BexGetData("DP_1","00O2TNJGODT0G5Z4TTKYMN18L","GSON2")</f>
        <v>#NAME?</v>
      </c>
      <c r="W2082" s="8" t="e">
        <f ca="1">[1]!BexGetData("DP_1","00O2TNJGODT0G5Z4TTKYMN7K5","GSON2")</f>
        <v>#NAME?</v>
      </c>
    </row>
    <row r="2083" spans="1:23" x14ac:dyDescent="0.2">
      <c r="A2083" s="14" t="s">
        <v>13</v>
      </c>
      <c r="B2083" s="7" t="s">
        <v>92</v>
      </c>
      <c r="C2083" s="3" t="e">
        <f ca="1">[1]!BexGetData("DP_1","003N8EMH8GTFRCSWKMPXRR8GU","GSON21")</f>
        <v>#NAME?</v>
      </c>
      <c r="D2083" s="3" t="e">
        <f ca="1">[1]!BexGetData("DP_1","003N8EMH8GTFRCSWKMPXRRESE","GSON21")</f>
        <v>#NAME?</v>
      </c>
      <c r="E2083" s="3" t="e">
        <f ca="1">[1]!BexGetData("DP_1","003N8EMH8GTFRCSWKMPXRRL3Y","GSON21")</f>
        <v>#NAME?</v>
      </c>
      <c r="F2083" s="3" t="e">
        <f ca="1">[1]!BexGetData("DP_1","003N8EMH8GTFRCSWKMPXRRRFI","GSON21")</f>
        <v>#NAME?</v>
      </c>
      <c r="G2083" s="3" t="e">
        <f ca="1">[1]!BexGetData("DP_1","003N8EMH8GTFRCSWKMPXRRXR2","GSON21")</f>
        <v>#NAME?</v>
      </c>
      <c r="H2083" s="3" t="e">
        <f ca="1">[1]!BexGetData("DP_1","003N8EMH8GTFRCSWKMPXRS42M","GSON21")</f>
        <v>#NAME?</v>
      </c>
      <c r="I2083" s="3" t="e">
        <f ca="1">[1]!BexGetData("DP_1","003N8EMH8GTFRCSWKMPXRSAE6","GSON21")</f>
        <v>#NAME?</v>
      </c>
      <c r="J2083" s="4" t="e">
        <f ca="1">[1]!BexGetData("DP_1","003N8EMH8GTFRCSWKMPXRSGPQ","GSON21")</f>
        <v>#NAME?</v>
      </c>
      <c r="K2083" s="3" t="e">
        <f ca="1">[1]!BexGetData("DP_1","003N8EMH8GTFRIVNUPY288VJH","GSON21")</f>
        <v>#NAME?</v>
      </c>
      <c r="L2083" s="3" t="e">
        <f ca="1">[1]!BexGetData("DP_1","003N8EMH8GTFRIVNUPY2891V1","GSON21")</f>
        <v>#NAME?</v>
      </c>
      <c r="M2083" s="3" t="e">
        <f ca="1">[1]!BexGetData("DP_1","003N8EMH8GTFRIVOG7KG9IQXA","GSON21")</f>
        <v>#NAME?</v>
      </c>
      <c r="N2083" s="8" t="e">
        <f ca="1">[1]!BexGetData("DP_1","003N8EMH8GTFRIVOG7KG9IX8U","GSON21")</f>
        <v>#NAME?</v>
      </c>
      <c r="O2083" s="3" t="e">
        <f ca="1">[1]!BexGetData("DP_1","003N8EMH8GTFRIVOG7KG9J3KE","GSON21")</f>
        <v>#NAME?</v>
      </c>
      <c r="P2083" s="8" t="e">
        <f ca="1">[1]!BexGetData("DP_1","003N8EMH8GTFRIVOG7KG9J9VY","GSON21")</f>
        <v>#NAME?</v>
      </c>
      <c r="Q2083" s="4" t="e">
        <f ca="1">[1]!BexGetData("DP_1","00O2TNJGODT0G5Z4TTKYMM5MT","GSON21")</f>
        <v>#NAME?</v>
      </c>
      <c r="R2083" s="3" t="e">
        <f ca="1">[1]!BexGetData("DP_1","00O2TNJGODT0G5Z4TTKYMMBYD","GSON21")</f>
        <v>#NAME?</v>
      </c>
      <c r="S2083" s="3" t="e">
        <f ca="1">[1]!BexGetData("DP_1","00O2TNJGODT0G5Z4TTKYMMI9X","GSON21")</f>
        <v>#NAME?</v>
      </c>
      <c r="T2083" s="3" t="e">
        <f ca="1">[1]!BexGetData("DP_1","00O2TNJGODT0G5Z4TTKYMMOLH","GSON21")</f>
        <v>#NAME?</v>
      </c>
      <c r="U2083" s="8" t="e">
        <f ca="1">[1]!BexGetData("DP_1","00O2TNJGODT0G5Z4TTKYMMUX1","GSON21")</f>
        <v>#NAME?</v>
      </c>
      <c r="V2083" s="3" t="e">
        <f ca="1">[1]!BexGetData("DP_1","00O2TNJGODT0G5Z4TTKYMN18L","GSON21")</f>
        <v>#NAME?</v>
      </c>
      <c r="W2083" s="8" t="e">
        <f ca="1">[1]!BexGetData("DP_1","00O2TNJGODT0G5Z4TTKYMN7K5","GSON21")</f>
        <v>#NAME?</v>
      </c>
    </row>
    <row r="2084" spans="1:23" x14ac:dyDescent="0.2">
      <c r="A2084" s="15" t="s">
        <v>93</v>
      </c>
      <c r="B2084" s="7" t="s">
        <v>94</v>
      </c>
      <c r="C2084" s="3" t="e">
        <f ca="1">[1]!BexGetData("DP_1","003N8EMH8GTFRCSWKMPXRR8GU","GSON211")</f>
        <v>#NAME?</v>
      </c>
      <c r="D2084" s="3" t="e">
        <f ca="1">[1]!BexGetData("DP_1","003N8EMH8GTFRCSWKMPXRRESE","GSON211")</f>
        <v>#NAME?</v>
      </c>
      <c r="E2084" s="3" t="e">
        <f ca="1">[1]!BexGetData("DP_1","003N8EMH8GTFRCSWKMPXRRL3Y","GSON211")</f>
        <v>#NAME?</v>
      </c>
      <c r="F2084" s="3" t="e">
        <f ca="1">[1]!BexGetData("DP_1","003N8EMH8GTFRCSWKMPXRRRFI","GSON211")</f>
        <v>#NAME?</v>
      </c>
      <c r="G2084" s="3" t="e">
        <f ca="1">[1]!BexGetData("DP_1","003N8EMH8GTFRCSWKMPXRRXR2","GSON211")</f>
        <v>#NAME?</v>
      </c>
      <c r="H2084" s="3" t="e">
        <f ca="1">[1]!BexGetData("DP_1","003N8EMH8GTFRCSWKMPXRS42M","GSON211")</f>
        <v>#NAME?</v>
      </c>
      <c r="I2084" s="3" t="e">
        <f ca="1">[1]!BexGetData("DP_1","003N8EMH8GTFRCSWKMPXRSAE6","GSON211")</f>
        <v>#NAME?</v>
      </c>
      <c r="J2084" s="4" t="e">
        <f ca="1">[1]!BexGetData("DP_1","003N8EMH8GTFRCSWKMPXRSGPQ","GSON211")</f>
        <v>#NAME?</v>
      </c>
      <c r="K2084" s="3" t="e">
        <f ca="1">[1]!BexGetData("DP_1","003N8EMH8GTFRIVNUPY288VJH","GSON211")</f>
        <v>#NAME?</v>
      </c>
      <c r="L2084" s="3" t="e">
        <f ca="1">[1]!BexGetData("DP_1","003N8EMH8GTFRIVNUPY2891V1","GSON211")</f>
        <v>#NAME?</v>
      </c>
      <c r="M2084" s="3" t="e">
        <f ca="1">[1]!BexGetData("DP_1","003N8EMH8GTFRIVOG7KG9IQXA","GSON211")</f>
        <v>#NAME?</v>
      </c>
      <c r="N2084" s="8" t="e">
        <f ca="1">[1]!BexGetData("DP_1","003N8EMH8GTFRIVOG7KG9IX8U","GSON211")</f>
        <v>#NAME?</v>
      </c>
      <c r="O2084" s="3" t="e">
        <f ca="1">[1]!BexGetData("DP_1","003N8EMH8GTFRIVOG7KG9J3KE","GSON211")</f>
        <v>#NAME?</v>
      </c>
      <c r="P2084" s="8" t="e">
        <f ca="1">[1]!BexGetData("DP_1","003N8EMH8GTFRIVOG7KG9J9VY","GSON211")</f>
        <v>#NAME?</v>
      </c>
      <c r="Q2084" s="4" t="e">
        <f ca="1">[1]!BexGetData("DP_1","00O2TNJGODT0G5Z4TTKYMM5MT","GSON211")</f>
        <v>#NAME?</v>
      </c>
      <c r="R2084" s="3" t="e">
        <f ca="1">[1]!BexGetData("DP_1","00O2TNJGODT0G5Z4TTKYMMBYD","GSON211")</f>
        <v>#NAME?</v>
      </c>
      <c r="S2084" s="3" t="e">
        <f ca="1">[1]!BexGetData("DP_1","00O2TNJGODT0G5Z4TTKYMMI9X","GSON211")</f>
        <v>#NAME?</v>
      </c>
      <c r="T2084" s="3" t="e">
        <f ca="1">[1]!BexGetData("DP_1","00O2TNJGODT0G5Z4TTKYMMOLH","GSON211")</f>
        <v>#NAME?</v>
      </c>
      <c r="U2084" s="8" t="e">
        <f ca="1">[1]!BexGetData("DP_1","00O2TNJGODT0G5Z4TTKYMMUX1","GSON211")</f>
        <v>#NAME?</v>
      </c>
      <c r="V2084" s="3" t="e">
        <f ca="1">[1]!BexGetData("DP_1","00O2TNJGODT0G5Z4TTKYMN18L","GSON211")</f>
        <v>#NAME?</v>
      </c>
      <c r="W2084" s="8" t="e">
        <f ca="1">[1]!BexGetData("DP_1","00O2TNJGODT0G5Z4TTKYMN7K5","GSON211")</f>
        <v>#NAME?</v>
      </c>
    </row>
    <row r="2085" spans="1:23" x14ac:dyDescent="0.2">
      <c r="A2085" s="16" t="s">
        <v>475</v>
      </c>
      <c r="B2085" s="7" t="s">
        <v>476</v>
      </c>
      <c r="C2085" s="3" t="e">
        <f ca="1">[1]!BexGetData("DP_1","003N8EMH8GTFRCSWKMPXRR8GU","GSON2111")</f>
        <v>#NAME?</v>
      </c>
      <c r="D2085" s="3" t="e">
        <f ca="1">[1]!BexGetData("DP_1","003N8EMH8GTFRCSWKMPXRRESE","GSON2111")</f>
        <v>#NAME?</v>
      </c>
      <c r="E2085" s="3" t="e">
        <f ca="1">[1]!BexGetData("DP_1","003N8EMH8GTFRCSWKMPXRRL3Y","GSON2111")</f>
        <v>#NAME?</v>
      </c>
      <c r="F2085" s="3" t="e">
        <f ca="1">[1]!BexGetData("DP_1","003N8EMH8GTFRCSWKMPXRRRFI","GSON2111")</f>
        <v>#NAME?</v>
      </c>
      <c r="G2085" s="3" t="e">
        <f ca="1">[1]!BexGetData("DP_1","003N8EMH8GTFRCSWKMPXRRXR2","GSON2111")</f>
        <v>#NAME?</v>
      </c>
      <c r="H2085" s="3" t="e">
        <f ca="1">[1]!BexGetData("DP_1","003N8EMH8GTFRCSWKMPXRS42M","GSON2111")</f>
        <v>#NAME?</v>
      </c>
      <c r="I2085" s="3" t="e">
        <f ca="1">[1]!BexGetData("DP_1","003N8EMH8GTFRCSWKMPXRSAE6","GSON2111")</f>
        <v>#NAME?</v>
      </c>
      <c r="J2085" s="4" t="e">
        <f ca="1">[1]!BexGetData("DP_1","003N8EMH8GTFRCSWKMPXRSGPQ","GSON2111")</f>
        <v>#NAME?</v>
      </c>
      <c r="K2085" s="8" t="e">
        <f ca="1">[1]!BexGetData("DP_1","003N8EMH8GTFRIVNUPY288VJH","GSON2111")</f>
        <v>#NAME?</v>
      </c>
      <c r="L2085" s="8" t="e">
        <f ca="1">[1]!BexGetData("DP_1","003N8EMH8GTFRIVNUPY2891V1","GSON2111")</f>
        <v>#NAME?</v>
      </c>
      <c r="M2085" s="8" t="e">
        <f ca="1">[1]!BexGetData("DP_1","003N8EMH8GTFRIVOG7KG9IQXA","GSON2111")</f>
        <v>#NAME?</v>
      </c>
      <c r="N2085" s="8" t="e">
        <f ca="1">[1]!BexGetData("DP_1","003N8EMH8GTFRIVOG7KG9IX8U","GSON2111")</f>
        <v>#NAME?</v>
      </c>
      <c r="O2085" s="8" t="e">
        <f ca="1">[1]!BexGetData("DP_1","003N8EMH8GTFRIVOG7KG9J3KE","GSON2111")</f>
        <v>#NAME?</v>
      </c>
      <c r="P2085" s="8" t="e">
        <f ca="1">[1]!BexGetData("DP_1","003N8EMH8GTFRIVOG7KG9J9VY","GSON2111")</f>
        <v>#NAME?</v>
      </c>
      <c r="Q2085" s="4" t="e">
        <f ca="1">[1]!BexGetData("DP_1","00O2TNJGODT0G5Z4TTKYMM5MT","GSON2111")</f>
        <v>#NAME?</v>
      </c>
      <c r="R2085" s="3" t="e">
        <f ca="1">[1]!BexGetData("DP_1","00O2TNJGODT0G5Z4TTKYMMBYD","GSON2111")</f>
        <v>#NAME?</v>
      </c>
      <c r="S2085" s="3" t="e">
        <f ca="1">[1]!BexGetData("DP_1","00O2TNJGODT0G5Z4TTKYMMI9X","GSON2111")</f>
        <v>#NAME?</v>
      </c>
      <c r="T2085" s="3" t="e">
        <f ca="1">[1]!BexGetData("DP_1","00O2TNJGODT0G5Z4TTKYMMOLH","GSON2111")</f>
        <v>#NAME?</v>
      </c>
      <c r="U2085" s="8" t="e">
        <f ca="1">[1]!BexGetData("DP_1","00O2TNJGODT0G5Z4TTKYMMUX1","GSON2111")</f>
        <v>#NAME?</v>
      </c>
      <c r="V2085" s="3" t="e">
        <f ca="1">[1]!BexGetData("DP_1","00O2TNJGODT0G5Z4TTKYMN18L","GSON2111")</f>
        <v>#NAME?</v>
      </c>
      <c r="W2085" s="8" t="e">
        <f ca="1">[1]!BexGetData("DP_1","00O2TNJGODT0G5Z4TTKYMN7K5","GSON2111")</f>
        <v>#NAME?</v>
      </c>
    </row>
    <row r="2086" spans="1:23" x14ac:dyDescent="0.2">
      <c r="A2086" s="17" t="s">
        <v>1398</v>
      </c>
      <c r="B2086" s="7" t="s">
        <v>477</v>
      </c>
      <c r="C2086" s="3" t="e">
        <f ca="1">[1]!BexGetData("DP_1","003N8EMH8GTFRCSWKMPXRR8GU","GSON2111100001")</f>
        <v>#NAME?</v>
      </c>
      <c r="D2086" s="3" t="e">
        <f ca="1">[1]!BexGetData("DP_1","003N8EMH8GTFRCSWKMPXRRESE","GSON2111100001")</f>
        <v>#NAME?</v>
      </c>
      <c r="E2086" s="8" t="e">
        <f ca="1">[1]!BexGetData("DP_1","003N8EMH8GTFRCSWKMPXRRL3Y","GSON2111100001")</f>
        <v>#NAME?</v>
      </c>
      <c r="F2086" s="4" t="e">
        <f ca="1">[1]!BexGetData("DP_1","003N8EMH8GTFRCSWKMPXRRRFI","GSON2111100001")</f>
        <v>#NAME?</v>
      </c>
      <c r="G2086" s="4" t="e">
        <f ca="1">[1]!BexGetData("DP_1","003N8EMH8GTFRCSWKMPXRRXR2","GSON2111100001")</f>
        <v>#NAME?</v>
      </c>
      <c r="H2086" s="4" t="e">
        <f ca="1">[1]!BexGetData("DP_1","003N8EMH8GTFRCSWKMPXRS42M","GSON2111100001")</f>
        <v>#NAME?</v>
      </c>
      <c r="I2086" s="4" t="e">
        <f ca="1">[1]!BexGetData("DP_1","003N8EMH8GTFRCSWKMPXRSAE6","GSON2111100001")</f>
        <v>#NAME?</v>
      </c>
      <c r="J2086" s="4" t="e">
        <f ca="1">[1]!BexGetData("DP_1","003N8EMH8GTFRCSWKMPXRSGPQ","GSON2111100001")</f>
        <v>#NAME?</v>
      </c>
      <c r="K2086" s="8" t="e">
        <f ca="1">[1]!BexGetData("DP_1","003N8EMH8GTFRIVNUPY288VJH","GSON2111100001")</f>
        <v>#NAME?</v>
      </c>
      <c r="L2086" s="8" t="e">
        <f ca="1">[1]!BexGetData("DP_1","003N8EMH8GTFRIVNUPY2891V1","GSON2111100001")</f>
        <v>#NAME?</v>
      </c>
      <c r="M2086" s="8" t="e">
        <f ca="1">[1]!BexGetData("DP_1","003N8EMH8GTFRIVOG7KG9IQXA","GSON2111100001")</f>
        <v>#NAME?</v>
      </c>
      <c r="N2086" s="8" t="e">
        <f ca="1">[1]!BexGetData("DP_1","003N8EMH8GTFRIVOG7KG9IX8U","GSON2111100001")</f>
        <v>#NAME?</v>
      </c>
      <c r="O2086" s="8" t="e">
        <f ca="1">[1]!BexGetData("DP_1","003N8EMH8GTFRIVOG7KG9J3KE","GSON2111100001")</f>
        <v>#NAME?</v>
      </c>
      <c r="P2086" s="8" t="e">
        <f ca="1">[1]!BexGetData("DP_1","003N8EMH8GTFRIVOG7KG9J9VY","GSON2111100001")</f>
        <v>#NAME?</v>
      </c>
      <c r="Q2086" s="4" t="e">
        <f ca="1">[1]!BexGetData("DP_1","00O2TNJGODT0G5Z4TTKYMM5MT","GSON2111100001")</f>
        <v>#NAME?</v>
      </c>
      <c r="R2086" s="4" t="e">
        <f ca="1">[1]!BexGetData("DP_1","00O2TNJGODT0G5Z4TTKYMMBYD","GSON2111100001")</f>
        <v>#NAME?</v>
      </c>
      <c r="S2086" s="4" t="e">
        <f ca="1">[1]!BexGetData("DP_1","00O2TNJGODT0G5Z4TTKYMMI9X","GSON2111100001")</f>
        <v>#NAME?</v>
      </c>
      <c r="T2086" s="4" t="e">
        <f ca="1">[1]!BexGetData("DP_1","00O2TNJGODT0G5Z4TTKYMMOLH","GSON2111100001")</f>
        <v>#NAME?</v>
      </c>
      <c r="U2086" s="4" t="e">
        <f ca="1">[1]!BexGetData("DP_1","00O2TNJGODT0G5Z4TTKYMMUX1","GSON2111100001")</f>
        <v>#NAME?</v>
      </c>
      <c r="V2086" s="4" t="e">
        <f ca="1">[1]!BexGetData("DP_1","00O2TNJGODT0G5Z4TTKYMN18L","GSON2111100001")</f>
        <v>#NAME?</v>
      </c>
      <c r="W2086" s="4" t="e">
        <f ca="1">[1]!BexGetData("DP_1","00O2TNJGODT0G5Z4TTKYMN7K5","GSON2111100001")</f>
        <v>#NAME?</v>
      </c>
    </row>
    <row r="2087" spans="1:23" x14ac:dyDescent="0.2">
      <c r="A2087" s="17" t="s">
        <v>4760</v>
      </c>
      <c r="B2087" s="7" t="s">
        <v>4761</v>
      </c>
      <c r="C2087" s="3" t="e">
        <f ca="1">[1]!BexGetData("DP_1","003N8EMH8GTFRCSWKMPXRR8GU","GSON2111100003")</f>
        <v>#NAME?</v>
      </c>
      <c r="D2087" s="3" t="e">
        <f ca="1">[1]!BexGetData("DP_1","003N8EMH8GTFRCSWKMPXRRESE","GSON2111100003")</f>
        <v>#NAME?</v>
      </c>
      <c r="E2087" s="8" t="e">
        <f ca="1">[1]!BexGetData("DP_1","003N8EMH8GTFRCSWKMPXRRL3Y","GSON2111100003")</f>
        <v>#NAME?</v>
      </c>
      <c r="F2087" s="4" t="e">
        <f ca="1">[1]!BexGetData("DP_1","003N8EMH8GTFRCSWKMPXRRRFI","GSON2111100003")</f>
        <v>#NAME?</v>
      </c>
      <c r="G2087" s="4" t="e">
        <f ca="1">[1]!BexGetData("DP_1","003N8EMH8GTFRCSWKMPXRRXR2","GSON2111100003")</f>
        <v>#NAME?</v>
      </c>
      <c r="H2087" s="4" t="e">
        <f ca="1">[1]!BexGetData("DP_1","003N8EMH8GTFRCSWKMPXRS42M","GSON2111100003")</f>
        <v>#NAME?</v>
      </c>
      <c r="I2087" s="4" t="e">
        <f ca="1">[1]!BexGetData("DP_1","003N8EMH8GTFRCSWKMPXRSAE6","GSON2111100003")</f>
        <v>#NAME?</v>
      </c>
      <c r="J2087" s="4" t="e">
        <f ca="1">[1]!BexGetData("DP_1","003N8EMH8GTFRCSWKMPXRSGPQ","GSON2111100003")</f>
        <v>#NAME?</v>
      </c>
      <c r="K2087" s="8" t="e">
        <f ca="1">[1]!BexGetData("DP_1","003N8EMH8GTFRIVNUPY288VJH","GSON2111100003")</f>
        <v>#NAME?</v>
      </c>
      <c r="L2087" s="8" t="e">
        <f ca="1">[1]!BexGetData("DP_1","003N8EMH8GTFRIVNUPY2891V1","GSON2111100003")</f>
        <v>#NAME?</v>
      </c>
      <c r="M2087" s="8" t="e">
        <f ca="1">[1]!BexGetData("DP_1","003N8EMH8GTFRIVOG7KG9IQXA","GSON2111100003")</f>
        <v>#NAME?</v>
      </c>
      <c r="N2087" s="8" t="e">
        <f ca="1">[1]!BexGetData("DP_1","003N8EMH8GTFRIVOG7KG9IX8U","GSON2111100003")</f>
        <v>#NAME?</v>
      </c>
      <c r="O2087" s="8" t="e">
        <f ca="1">[1]!BexGetData("DP_1","003N8EMH8GTFRIVOG7KG9J3KE","GSON2111100003")</f>
        <v>#NAME?</v>
      </c>
      <c r="P2087" s="8" t="e">
        <f ca="1">[1]!BexGetData("DP_1","003N8EMH8GTFRIVOG7KG9J9VY","GSON2111100003")</f>
        <v>#NAME?</v>
      </c>
      <c r="Q2087" s="4" t="e">
        <f ca="1">[1]!BexGetData("DP_1","00O2TNJGODT0G5Z4TTKYMM5MT","GSON2111100003")</f>
        <v>#NAME?</v>
      </c>
      <c r="R2087" s="4" t="e">
        <f ca="1">[1]!BexGetData("DP_1","00O2TNJGODT0G5Z4TTKYMMBYD","GSON2111100003")</f>
        <v>#NAME?</v>
      </c>
      <c r="S2087" s="4" t="e">
        <f ca="1">[1]!BexGetData("DP_1","00O2TNJGODT0G5Z4TTKYMMI9X","GSON2111100003")</f>
        <v>#NAME?</v>
      </c>
      <c r="T2087" s="4" t="e">
        <f ca="1">[1]!BexGetData("DP_1","00O2TNJGODT0G5Z4TTKYMMOLH","GSON2111100003")</f>
        <v>#NAME?</v>
      </c>
      <c r="U2087" s="4" t="e">
        <f ca="1">[1]!BexGetData("DP_1","00O2TNJGODT0G5Z4TTKYMMUX1","GSON2111100003")</f>
        <v>#NAME?</v>
      </c>
      <c r="V2087" s="4" t="e">
        <f ca="1">[1]!BexGetData("DP_1","00O2TNJGODT0G5Z4TTKYMN18L","GSON2111100003")</f>
        <v>#NAME?</v>
      </c>
      <c r="W2087" s="4" t="e">
        <f ca="1">[1]!BexGetData("DP_1","00O2TNJGODT0G5Z4TTKYMN7K5","GSON2111100003")</f>
        <v>#NAME?</v>
      </c>
    </row>
    <row r="2088" spans="1:23" x14ac:dyDescent="0.2">
      <c r="A2088" s="17" t="s">
        <v>1399</v>
      </c>
      <c r="B2088" s="7" t="s">
        <v>1400</v>
      </c>
      <c r="C2088" s="8" t="e">
        <f ca="1">[1]!BexGetData("DP_1","003N8EMH8GTFRCSWKMPXRR8GU","GSON2111100004")</f>
        <v>#NAME?</v>
      </c>
      <c r="D2088" s="8" t="e">
        <f ca="1">[1]!BexGetData("DP_1","003N8EMH8GTFRCSWKMPXRRESE","GSON2111100004")</f>
        <v>#NAME?</v>
      </c>
      <c r="E2088" s="3" t="e">
        <f ca="1">[1]!BexGetData("DP_1","003N8EMH8GTFRCSWKMPXRRL3Y","GSON2111100004")</f>
        <v>#NAME?</v>
      </c>
      <c r="F2088" s="3" t="e">
        <f ca="1">[1]!BexGetData("DP_1","003N8EMH8GTFRCSWKMPXRRRFI","GSON2111100004")</f>
        <v>#NAME?</v>
      </c>
      <c r="G2088" s="3" t="e">
        <f ca="1">[1]!BexGetData("DP_1","003N8EMH8GTFRCSWKMPXRRXR2","GSON2111100004")</f>
        <v>#NAME?</v>
      </c>
      <c r="H2088" s="3" t="e">
        <f ca="1">[1]!BexGetData("DP_1","003N8EMH8GTFRCSWKMPXRS42M","GSON2111100004")</f>
        <v>#NAME?</v>
      </c>
      <c r="I2088" s="3" t="e">
        <f ca="1">[1]!BexGetData("DP_1","003N8EMH8GTFRCSWKMPXRSAE6","GSON2111100004")</f>
        <v>#NAME?</v>
      </c>
      <c r="J2088" s="4" t="e">
        <f ca="1">[1]!BexGetData("DP_1","003N8EMH8GTFRCSWKMPXRSGPQ","GSON2111100004")</f>
        <v>#NAME?</v>
      </c>
      <c r="K2088" s="8" t="e">
        <f ca="1">[1]!BexGetData("DP_1","003N8EMH8GTFRIVNUPY288VJH","GSON2111100004")</f>
        <v>#NAME?</v>
      </c>
      <c r="L2088" s="8" t="e">
        <f ca="1">[1]!BexGetData("DP_1","003N8EMH8GTFRIVNUPY2891V1","GSON2111100004")</f>
        <v>#NAME?</v>
      </c>
      <c r="M2088" s="8" t="e">
        <f ca="1">[1]!BexGetData("DP_1","003N8EMH8GTFRIVOG7KG9IQXA","GSON2111100004")</f>
        <v>#NAME?</v>
      </c>
      <c r="N2088" s="8" t="e">
        <f ca="1">[1]!BexGetData("DP_1","003N8EMH8GTFRIVOG7KG9IX8U","GSON2111100004")</f>
        <v>#NAME?</v>
      </c>
      <c r="O2088" s="8" t="e">
        <f ca="1">[1]!BexGetData("DP_1","003N8EMH8GTFRIVOG7KG9J3KE","GSON2111100004")</f>
        <v>#NAME?</v>
      </c>
      <c r="P2088" s="8" t="e">
        <f ca="1">[1]!BexGetData("DP_1","003N8EMH8GTFRIVOG7KG9J9VY","GSON2111100004")</f>
        <v>#NAME?</v>
      </c>
      <c r="Q2088" s="4" t="e">
        <f ca="1">[1]!BexGetData("DP_1","00O2TNJGODT0G5Z4TTKYMM5MT","GSON2111100004")</f>
        <v>#NAME?</v>
      </c>
      <c r="R2088" s="3" t="e">
        <f ca="1">[1]!BexGetData("DP_1","00O2TNJGODT0G5Z4TTKYMMBYD","GSON2111100004")</f>
        <v>#NAME?</v>
      </c>
      <c r="S2088" s="3" t="e">
        <f ca="1">[1]!BexGetData("DP_1","00O2TNJGODT0G5Z4TTKYMMI9X","GSON2111100004")</f>
        <v>#NAME?</v>
      </c>
      <c r="T2088" s="3" t="e">
        <f ca="1">[1]!BexGetData("DP_1","00O2TNJGODT0G5Z4TTKYMMOLH","GSON2111100004")</f>
        <v>#NAME?</v>
      </c>
      <c r="U2088" s="8" t="e">
        <f ca="1">[1]!BexGetData("DP_1","00O2TNJGODT0G5Z4TTKYMMUX1","GSON2111100004")</f>
        <v>#NAME?</v>
      </c>
      <c r="V2088" s="3" t="e">
        <f ca="1">[1]!BexGetData("DP_1","00O2TNJGODT0G5Z4TTKYMN18L","GSON2111100004")</f>
        <v>#NAME?</v>
      </c>
      <c r="W2088" s="8" t="e">
        <f ca="1">[1]!BexGetData("DP_1","00O2TNJGODT0G5Z4TTKYMN7K5","GSON2111100004")</f>
        <v>#NAME?</v>
      </c>
    </row>
    <row r="2089" spans="1:23" x14ac:dyDescent="0.2">
      <c r="A2089" s="16" t="s">
        <v>95</v>
      </c>
      <c r="B2089" s="7" t="s">
        <v>96</v>
      </c>
      <c r="C2089" s="3" t="e">
        <f ca="1">[1]!BexGetData("DP_1","003N8EMH8GTFRCSWKMPXRR8GU","GSON2112")</f>
        <v>#NAME?</v>
      </c>
      <c r="D2089" s="3" t="e">
        <f ca="1">[1]!BexGetData("DP_1","003N8EMH8GTFRCSWKMPXRRESE","GSON2112")</f>
        <v>#NAME?</v>
      </c>
      <c r="E2089" s="3" t="e">
        <f ca="1">[1]!BexGetData("DP_1","003N8EMH8GTFRCSWKMPXRRL3Y","GSON2112")</f>
        <v>#NAME?</v>
      </c>
      <c r="F2089" s="3" t="e">
        <f ca="1">[1]!BexGetData("DP_1","003N8EMH8GTFRCSWKMPXRRRFI","GSON2112")</f>
        <v>#NAME?</v>
      </c>
      <c r="G2089" s="3" t="e">
        <f ca="1">[1]!BexGetData("DP_1","003N8EMH8GTFRCSWKMPXRRXR2","GSON2112")</f>
        <v>#NAME?</v>
      </c>
      <c r="H2089" s="3" t="e">
        <f ca="1">[1]!BexGetData("DP_1","003N8EMH8GTFRCSWKMPXRS42M","GSON2112")</f>
        <v>#NAME?</v>
      </c>
      <c r="I2089" s="3" t="e">
        <f ca="1">[1]!BexGetData("DP_1","003N8EMH8GTFRCSWKMPXRSAE6","GSON2112")</f>
        <v>#NAME?</v>
      </c>
      <c r="J2089" s="4" t="e">
        <f ca="1">[1]!BexGetData("DP_1","003N8EMH8GTFRCSWKMPXRSGPQ","GSON2112")</f>
        <v>#NAME?</v>
      </c>
      <c r="K2089" s="3" t="e">
        <f ca="1">[1]!BexGetData("DP_1","003N8EMH8GTFRIVNUPY288VJH","GSON2112")</f>
        <v>#NAME?</v>
      </c>
      <c r="L2089" s="3" t="e">
        <f ca="1">[1]!BexGetData("DP_1","003N8EMH8GTFRIVNUPY2891V1","GSON2112")</f>
        <v>#NAME?</v>
      </c>
      <c r="M2089" s="3" t="e">
        <f ca="1">[1]!BexGetData("DP_1","003N8EMH8GTFRIVOG7KG9IQXA","GSON2112")</f>
        <v>#NAME?</v>
      </c>
      <c r="N2089" s="8" t="e">
        <f ca="1">[1]!BexGetData("DP_1","003N8EMH8GTFRIVOG7KG9IX8U","GSON2112")</f>
        <v>#NAME?</v>
      </c>
      <c r="O2089" s="3" t="e">
        <f ca="1">[1]!BexGetData("DP_1","003N8EMH8GTFRIVOG7KG9J3KE","GSON2112")</f>
        <v>#NAME?</v>
      </c>
      <c r="P2089" s="8" t="e">
        <f ca="1">[1]!BexGetData("DP_1","003N8EMH8GTFRIVOG7KG9J9VY","GSON2112")</f>
        <v>#NAME?</v>
      </c>
      <c r="Q2089" s="4" t="e">
        <f ca="1">[1]!BexGetData("DP_1","00O2TNJGODT0G5Z4TTKYMM5MT","GSON2112")</f>
        <v>#NAME?</v>
      </c>
      <c r="R2089" s="3" t="e">
        <f ca="1">[1]!BexGetData("DP_1","00O2TNJGODT0G5Z4TTKYMMBYD","GSON2112")</f>
        <v>#NAME?</v>
      </c>
      <c r="S2089" s="3" t="e">
        <f ca="1">[1]!BexGetData("DP_1","00O2TNJGODT0G5Z4TTKYMMI9X","GSON2112")</f>
        <v>#NAME?</v>
      </c>
      <c r="T2089" s="3" t="e">
        <f ca="1">[1]!BexGetData("DP_1","00O2TNJGODT0G5Z4TTKYMMOLH","GSON2112")</f>
        <v>#NAME?</v>
      </c>
      <c r="U2089" s="8" t="e">
        <f ca="1">[1]!BexGetData("DP_1","00O2TNJGODT0G5Z4TTKYMMUX1","GSON2112")</f>
        <v>#NAME?</v>
      </c>
      <c r="V2089" s="3" t="e">
        <f ca="1">[1]!BexGetData("DP_1","00O2TNJGODT0G5Z4TTKYMN18L","GSON2112")</f>
        <v>#NAME?</v>
      </c>
      <c r="W2089" s="8" t="e">
        <f ca="1">[1]!BexGetData("DP_1","00O2TNJGODT0G5Z4TTKYMN7K5","GSON2112")</f>
        <v>#NAME?</v>
      </c>
    </row>
    <row r="2090" spans="1:23" x14ac:dyDescent="0.2">
      <c r="A2090" s="17" t="s">
        <v>1401</v>
      </c>
      <c r="B2090" s="7" t="s">
        <v>345</v>
      </c>
      <c r="C2090" s="3" t="e">
        <f ca="1">[1]!BexGetData("DP_1","003N8EMH8GTFRCSWKMPXRR8GU","GSON2112100001")</f>
        <v>#NAME?</v>
      </c>
      <c r="D2090" s="3" t="e">
        <f ca="1">[1]!BexGetData("DP_1","003N8EMH8GTFRCSWKMPXRRESE","GSON2112100001")</f>
        <v>#NAME?</v>
      </c>
      <c r="E2090" s="3" t="e">
        <f ca="1">[1]!BexGetData("DP_1","003N8EMH8GTFRCSWKMPXRRL3Y","GSON2112100001")</f>
        <v>#NAME?</v>
      </c>
      <c r="F2090" s="4" t="e">
        <f ca="1">[1]!BexGetData("DP_1","003N8EMH8GTFRCSWKMPXRRRFI","GSON2112100001")</f>
        <v>#NAME?</v>
      </c>
      <c r="G2090" s="4" t="e">
        <f ca="1">[1]!BexGetData("DP_1","003N8EMH8GTFRCSWKMPXRRXR2","GSON2112100001")</f>
        <v>#NAME?</v>
      </c>
      <c r="H2090" s="4" t="e">
        <f ca="1">[1]!BexGetData("DP_1","003N8EMH8GTFRCSWKMPXRS42M","GSON2112100001")</f>
        <v>#NAME?</v>
      </c>
      <c r="I2090" s="4" t="e">
        <f ca="1">[1]!BexGetData("DP_1","003N8EMH8GTFRCSWKMPXRSAE6","GSON2112100001")</f>
        <v>#NAME?</v>
      </c>
      <c r="J2090" s="4" t="e">
        <f ca="1">[1]!BexGetData("DP_1","003N8EMH8GTFRCSWKMPXRSGPQ","GSON2112100001")</f>
        <v>#NAME?</v>
      </c>
      <c r="K2090" s="3" t="e">
        <f ca="1">[1]!BexGetData("DP_1","003N8EMH8GTFRIVNUPY288VJH","GSON2112100001")</f>
        <v>#NAME?</v>
      </c>
      <c r="L2090" s="3" t="e">
        <f ca="1">[1]!BexGetData("DP_1","003N8EMH8GTFRIVNUPY2891V1","GSON2112100001")</f>
        <v>#NAME?</v>
      </c>
      <c r="M2090" s="3" t="e">
        <f ca="1">[1]!BexGetData("DP_1","003N8EMH8GTFRIVOG7KG9IQXA","GSON2112100001")</f>
        <v>#NAME?</v>
      </c>
      <c r="N2090" s="8" t="e">
        <f ca="1">[1]!BexGetData("DP_1","003N8EMH8GTFRIVOG7KG9IX8U","GSON2112100001")</f>
        <v>#NAME?</v>
      </c>
      <c r="O2090" s="3" t="e">
        <f ca="1">[1]!BexGetData("DP_1","003N8EMH8GTFRIVOG7KG9J3KE","GSON2112100001")</f>
        <v>#NAME?</v>
      </c>
      <c r="P2090" s="8" t="e">
        <f ca="1">[1]!BexGetData("DP_1","003N8EMH8GTFRIVOG7KG9J9VY","GSON2112100001")</f>
        <v>#NAME?</v>
      </c>
      <c r="Q2090" s="4" t="e">
        <f ca="1">[1]!BexGetData("DP_1","00O2TNJGODT0G5Z4TTKYMM5MT","GSON2112100001")</f>
        <v>#NAME?</v>
      </c>
      <c r="R2090" s="4" t="e">
        <f ca="1">[1]!BexGetData("DP_1","00O2TNJGODT0G5Z4TTKYMMBYD","GSON2112100001")</f>
        <v>#NAME?</v>
      </c>
      <c r="S2090" s="4" t="e">
        <f ca="1">[1]!BexGetData("DP_1","00O2TNJGODT0G5Z4TTKYMMI9X","GSON2112100001")</f>
        <v>#NAME?</v>
      </c>
      <c r="T2090" s="4" t="e">
        <f ca="1">[1]!BexGetData("DP_1","00O2TNJGODT0G5Z4TTKYMMOLH","GSON2112100001")</f>
        <v>#NAME?</v>
      </c>
      <c r="U2090" s="4" t="e">
        <f ca="1">[1]!BexGetData("DP_1","00O2TNJGODT0G5Z4TTKYMMUX1","GSON2112100001")</f>
        <v>#NAME?</v>
      </c>
      <c r="V2090" s="4" t="e">
        <f ca="1">[1]!BexGetData("DP_1","00O2TNJGODT0G5Z4TTKYMN18L","GSON2112100001")</f>
        <v>#NAME?</v>
      </c>
      <c r="W2090" s="4" t="e">
        <f ca="1">[1]!BexGetData("DP_1","00O2TNJGODT0G5Z4TTKYMN7K5","GSON2112100001")</f>
        <v>#NAME?</v>
      </c>
    </row>
    <row r="2091" spans="1:23" x14ac:dyDescent="0.2">
      <c r="A2091" s="17" t="s">
        <v>1402</v>
      </c>
      <c r="B2091" s="7" t="s">
        <v>677</v>
      </c>
      <c r="C2091" s="3" t="e">
        <f ca="1">[1]!BexGetData("DP_1","003N8EMH8GTFRCSWKMPXRR8GU","GSON2112100002")</f>
        <v>#NAME?</v>
      </c>
      <c r="D2091" s="3" t="e">
        <f ca="1">[1]!BexGetData("DP_1","003N8EMH8GTFRCSWKMPXRRESE","GSON2112100002")</f>
        <v>#NAME?</v>
      </c>
      <c r="E2091" s="3" t="e">
        <f ca="1">[1]!BexGetData("DP_1","003N8EMH8GTFRCSWKMPXRRL3Y","GSON2112100002")</f>
        <v>#NAME?</v>
      </c>
      <c r="F2091" s="4" t="e">
        <f ca="1">[1]!BexGetData("DP_1","003N8EMH8GTFRCSWKMPXRRRFI","GSON2112100002")</f>
        <v>#NAME?</v>
      </c>
      <c r="G2091" s="4" t="e">
        <f ca="1">[1]!BexGetData("DP_1","003N8EMH8GTFRCSWKMPXRRXR2","GSON2112100002")</f>
        <v>#NAME?</v>
      </c>
      <c r="H2091" s="4" t="e">
        <f ca="1">[1]!BexGetData("DP_1","003N8EMH8GTFRCSWKMPXRS42M","GSON2112100002")</f>
        <v>#NAME?</v>
      </c>
      <c r="I2091" s="4" t="e">
        <f ca="1">[1]!BexGetData("DP_1","003N8EMH8GTFRCSWKMPXRSAE6","GSON2112100002")</f>
        <v>#NAME?</v>
      </c>
      <c r="J2091" s="4" t="e">
        <f ca="1">[1]!BexGetData("DP_1","003N8EMH8GTFRCSWKMPXRSGPQ","GSON2112100002")</f>
        <v>#NAME?</v>
      </c>
      <c r="K2091" s="3" t="e">
        <f ca="1">[1]!BexGetData("DP_1","003N8EMH8GTFRIVNUPY288VJH","GSON2112100002")</f>
        <v>#NAME?</v>
      </c>
      <c r="L2091" s="3" t="e">
        <f ca="1">[1]!BexGetData("DP_1","003N8EMH8GTFRIVNUPY2891V1","GSON2112100002")</f>
        <v>#NAME?</v>
      </c>
      <c r="M2091" s="3" t="e">
        <f ca="1">[1]!BexGetData("DP_1","003N8EMH8GTFRIVOG7KG9IQXA","GSON2112100002")</f>
        <v>#NAME?</v>
      </c>
      <c r="N2091" s="8" t="e">
        <f ca="1">[1]!BexGetData("DP_1","003N8EMH8GTFRIVOG7KG9IX8U","GSON2112100002")</f>
        <v>#NAME?</v>
      </c>
      <c r="O2091" s="3" t="e">
        <f ca="1">[1]!BexGetData("DP_1","003N8EMH8GTFRIVOG7KG9J3KE","GSON2112100002")</f>
        <v>#NAME?</v>
      </c>
      <c r="P2091" s="8" t="e">
        <f ca="1">[1]!BexGetData("DP_1","003N8EMH8GTFRIVOG7KG9J9VY","GSON2112100002")</f>
        <v>#NAME?</v>
      </c>
      <c r="Q2091" s="4" t="e">
        <f ca="1">[1]!BexGetData("DP_1","00O2TNJGODT0G5Z4TTKYMM5MT","GSON2112100002")</f>
        <v>#NAME?</v>
      </c>
      <c r="R2091" s="4" t="e">
        <f ca="1">[1]!BexGetData("DP_1","00O2TNJGODT0G5Z4TTKYMMBYD","GSON2112100002")</f>
        <v>#NAME?</v>
      </c>
      <c r="S2091" s="4" t="e">
        <f ca="1">[1]!BexGetData("DP_1","00O2TNJGODT0G5Z4TTKYMMI9X","GSON2112100002")</f>
        <v>#NAME?</v>
      </c>
      <c r="T2091" s="4" t="e">
        <f ca="1">[1]!BexGetData("DP_1","00O2TNJGODT0G5Z4TTKYMMOLH","GSON2112100002")</f>
        <v>#NAME?</v>
      </c>
      <c r="U2091" s="4" t="e">
        <f ca="1">[1]!BexGetData("DP_1","00O2TNJGODT0G5Z4TTKYMMUX1","GSON2112100002")</f>
        <v>#NAME?</v>
      </c>
      <c r="V2091" s="4" t="e">
        <f ca="1">[1]!BexGetData("DP_1","00O2TNJGODT0G5Z4TTKYMN18L","GSON2112100002")</f>
        <v>#NAME?</v>
      </c>
      <c r="W2091" s="4" t="e">
        <f ca="1">[1]!BexGetData("DP_1","00O2TNJGODT0G5Z4TTKYMN7K5","GSON2112100002")</f>
        <v>#NAME?</v>
      </c>
    </row>
    <row r="2092" spans="1:23" x14ac:dyDescent="0.2">
      <c r="A2092" s="17" t="s">
        <v>678</v>
      </c>
      <c r="B2092" s="7" t="s">
        <v>679</v>
      </c>
      <c r="C2092" s="3" t="e">
        <f ca="1">[1]!BexGetData("DP_1","003N8EMH8GTFRCSWKMPXRR8GU","GSON2112100003")</f>
        <v>#NAME?</v>
      </c>
      <c r="D2092" s="3" t="e">
        <f ca="1">[1]!BexGetData("DP_1","003N8EMH8GTFRCSWKMPXRRESE","GSON2112100003")</f>
        <v>#NAME?</v>
      </c>
      <c r="E2092" s="3" t="e">
        <f ca="1">[1]!BexGetData("DP_1","003N8EMH8GTFRCSWKMPXRRL3Y","GSON2112100003")</f>
        <v>#NAME?</v>
      </c>
      <c r="F2092" s="4" t="e">
        <f ca="1">[1]!BexGetData("DP_1","003N8EMH8GTFRCSWKMPXRRRFI","GSON2112100003")</f>
        <v>#NAME?</v>
      </c>
      <c r="G2092" s="4" t="e">
        <f ca="1">[1]!BexGetData("DP_1","003N8EMH8GTFRCSWKMPXRRXR2","GSON2112100003")</f>
        <v>#NAME?</v>
      </c>
      <c r="H2092" s="4" t="e">
        <f ca="1">[1]!BexGetData("DP_1","003N8EMH8GTFRCSWKMPXRS42M","GSON2112100003")</f>
        <v>#NAME?</v>
      </c>
      <c r="I2092" s="4" t="e">
        <f ca="1">[1]!BexGetData("DP_1","003N8EMH8GTFRCSWKMPXRSAE6","GSON2112100003")</f>
        <v>#NAME?</v>
      </c>
      <c r="J2092" s="4" t="e">
        <f ca="1">[1]!BexGetData("DP_1","003N8EMH8GTFRCSWKMPXRSGPQ","GSON2112100003")</f>
        <v>#NAME?</v>
      </c>
      <c r="K2092" s="3" t="e">
        <f ca="1">[1]!BexGetData("DP_1","003N8EMH8GTFRIVNUPY288VJH","GSON2112100003")</f>
        <v>#NAME?</v>
      </c>
      <c r="L2092" s="3" t="e">
        <f ca="1">[1]!BexGetData("DP_1","003N8EMH8GTFRIVNUPY2891V1","GSON2112100003")</f>
        <v>#NAME?</v>
      </c>
      <c r="M2092" s="3" t="e">
        <f ca="1">[1]!BexGetData("DP_1","003N8EMH8GTFRIVOG7KG9IQXA","GSON2112100003")</f>
        <v>#NAME?</v>
      </c>
      <c r="N2092" s="8" t="e">
        <f ca="1">[1]!BexGetData("DP_1","003N8EMH8GTFRIVOG7KG9IX8U","GSON2112100003")</f>
        <v>#NAME?</v>
      </c>
      <c r="O2092" s="3" t="e">
        <f ca="1">[1]!BexGetData("DP_1","003N8EMH8GTFRIVOG7KG9J3KE","GSON2112100003")</f>
        <v>#NAME?</v>
      </c>
      <c r="P2092" s="8" t="e">
        <f ca="1">[1]!BexGetData("DP_1","003N8EMH8GTFRIVOG7KG9J9VY","GSON2112100003")</f>
        <v>#NAME?</v>
      </c>
      <c r="Q2092" s="4" t="e">
        <f ca="1">[1]!BexGetData("DP_1","00O2TNJGODT0G5Z4TTKYMM5MT","GSON2112100003")</f>
        <v>#NAME?</v>
      </c>
      <c r="R2092" s="4" t="e">
        <f ca="1">[1]!BexGetData("DP_1","00O2TNJGODT0G5Z4TTKYMMBYD","GSON2112100003")</f>
        <v>#NAME?</v>
      </c>
      <c r="S2092" s="4" t="e">
        <f ca="1">[1]!BexGetData("DP_1","00O2TNJGODT0G5Z4TTKYMMI9X","GSON2112100003")</f>
        <v>#NAME?</v>
      </c>
      <c r="T2092" s="4" t="e">
        <f ca="1">[1]!BexGetData("DP_1","00O2TNJGODT0G5Z4TTKYMMOLH","GSON2112100003")</f>
        <v>#NAME?</v>
      </c>
      <c r="U2092" s="4" t="e">
        <f ca="1">[1]!BexGetData("DP_1","00O2TNJGODT0G5Z4TTKYMMUX1","GSON2112100003")</f>
        <v>#NAME?</v>
      </c>
      <c r="V2092" s="4" t="e">
        <f ca="1">[1]!BexGetData("DP_1","00O2TNJGODT0G5Z4TTKYMN18L","GSON2112100003")</f>
        <v>#NAME?</v>
      </c>
      <c r="W2092" s="4" t="e">
        <f ca="1">[1]!BexGetData("DP_1","00O2TNJGODT0G5Z4TTKYMN7K5","GSON2112100003")</f>
        <v>#NAME?</v>
      </c>
    </row>
    <row r="2093" spans="1:23" x14ac:dyDescent="0.2">
      <c r="A2093" s="17" t="s">
        <v>4762</v>
      </c>
      <c r="B2093" s="7" t="s">
        <v>4763</v>
      </c>
      <c r="C2093" s="3" t="e">
        <f ca="1">[1]!BexGetData("DP_1","003N8EMH8GTFRCSWKMPXRR8GU","GSON2112100004")</f>
        <v>#NAME?</v>
      </c>
      <c r="D2093" s="3" t="e">
        <f ca="1">[1]!BexGetData("DP_1","003N8EMH8GTFRCSWKMPXRRESE","GSON2112100004")</f>
        <v>#NAME?</v>
      </c>
      <c r="E2093" s="3" t="e">
        <f ca="1">[1]!BexGetData("DP_1","003N8EMH8GTFRCSWKMPXRRL3Y","GSON2112100004")</f>
        <v>#NAME?</v>
      </c>
      <c r="F2093" s="3" t="e">
        <f ca="1">[1]!BexGetData("DP_1","003N8EMH8GTFRCSWKMPXRRRFI","GSON2112100004")</f>
        <v>#NAME?</v>
      </c>
      <c r="G2093" s="3" t="e">
        <f ca="1">[1]!BexGetData("DP_1","003N8EMH8GTFRCSWKMPXRRXR2","GSON2112100004")</f>
        <v>#NAME?</v>
      </c>
      <c r="H2093" s="3" t="e">
        <f ca="1">[1]!BexGetData("DP_1","003N8EMH8GTFRCSWKMPXRS42M","GSON2112100004")</f>
        <v>#NAME?</v>
      </c>
      <c r="I2093" s="3" t="e">
        <f ca="1">[1]!BexGetData("DP_1","003N8EMH8GTFRCSWKMPXRSAE6","GSON2112100004")</f>
        <v>#NAME?</v>
      </c>
      <c r="J2093" s="4" t="e">
        <f ca="1">[1]!BexGetData("DP_1","003N8EMH8GTFRCSWKMPXRSGPQ","GSON2112100004")</f>
        <v>#NAME?</v>
      </c>
      <c r="K2093" s="3" t="e">
        <f ca="1">[1]!BexGetData("DP_1","003N8EMH8GTFRIVNUPY288VJH","GSON2112100004")</f>
        <v>#NAME?</v>
      </c>
      <c r="L2093" s="3" t="e">
        <f ca="1">[1]!BexGetData("DP_1","003N8EMH8GTFRIVNUPY2891V1","GSON2112100004")</f>
        <v>#NAME?</v>
      </c>
      <c r="M2093" s="8" t="e">
        <f ca="1">[1]!BexGetData("DP_1","003N8EMH8GTFRIVOG7KG9IQXA","GSON2112100004")</f>
        <v>#NAME?</v>
      </c>
      <c r="N2093" s="3" t="e">
        <f ca="1">[1]!BexGetData("DP_1","003N8EMH8GTFRIVOG7KG9IX8U","GSON2112100004")</f>
        <v>#NAME?</v>
      </c>
      <c r="O2093" s="8" t="e">
        <f ca="1">[1]!BexGetData("DP_1","003N8EMH8GTFRIVOG7KG9J3KE","GSON2112100004")</f>
        <v>#NAME?</v>
      </c>
      <c r="P2093" s="3" t="e">
        <f ca="1">[1]!BexGetData("DP_1","003N8EMH8GTFRIVOG7KG9J9VY","GSON2112100004")</f>
        <v>#NAME?</v>
      </c>
      <c r="Q2093" s="4" t="e">
        <f ca="1">[1]!BexGetData("DP_1","00O2TNJGODT0G5Z4TTKYMM5MT","GSON2112100004")</f>
        <v>#NAME?</v>
      </c>
      <c r="R2093" s="3" t="e">
        <f ca="1">[1]!BexGetData("DP_1","00O2TNJGODT0G5Z4TTKYMMBYD","GSON2112100004")</f>
        <v>#NAME?</v>
      </c>
      <c r="S2093" s="3" t="e">
        <f ca="1">[1]!BexGetData("DP_1","00O2TNJGODT0G5Z4TTKYMMI9X","GSON2112100004")</f>
        <v>#NAME?</v>
      </c>
      <c r="T2093" s="3" t="e">
        <f ca="1">[1]!BexGetData("DP_1","00O2TNJGODT0G5Z4TTKYMMOLH","GSON2112100004")</f>
        <v>#NAME?</v>
      </c>
      <c r="U2093" s="8" t="e">
        <f ca="1">[1]!BexGetData("DP_1","00O2TNJGODT0G5Z4TTKYMMUX1","GSON2112100004")</f>
        <v>#NAME?</v>
      </c>
      <c r="V2093" s="3" t="e">
        <f ca="1">[1]!BexGetData("DP_1","00O2TNJGODT0G5Z4TTKYMN18L","GSON2112100004")</f>
        <v>#NAME?</v>
      </c>
      <c r="W2093" s="8" t="e">
        <f ca="1">[1]!BexGetData("DP_1","00O2TNJGODT0G5Z4TTKYMN7K5","GSON2112100004")</f>
        <v>#NAME?</v>
      </c>
    </row>
    <row r="2094" spans="1:23" x14ac:dyDescent="0.2">
      <c r="A2094" s="17" t="s">
        <v>1403</v>
      </c>
      <c r="B2094" s="7" t="s">
        <v>1404</v>
      </c>
      <c r="C2094" s="3" t="e">
        <f ca="1">[1]!BexGetData("DP_1","003N8EMH8GTFRCSWKMPXRR8GU","GSON2113100002")</f>
        <v>#NAME?</v>
      </c>
      <c r="D2094" s="3" t="e">
        <f ca="1">[1]!BexGetData("DP_1","003N8EMH8GTFRCSWKMPXRRESE","GSON2113100002")</f>
        <v>#NAME?</v>
      </c>
      <c r="E2094" s="3" t="e">
        <f ca="1">[1]!BexGetData("DP_1","003N8EMH8GTFRCSWKMPXRRL3Y","GSON2113100002")</f>
        <v>#NAME?</v>
      </c>
      <c r="F2094" s="4" t="e">
        <f ca="1">[1]!BexGetData("DP_1","003N8EMH8GTFRCSWKMPXRRRFI","GSON2113100002")</f>
        <v>#NAME?</v>
      </c>
      <c r="G2094" s="4" t="e">
        <f ca="1">[1]!BexGetData("DP_1","003N8EMH8GTFRCSWKMPXRRXR2","GSON2113100002")</f>
        <v>#NAME?</v>
      </c>
      <c r="H2094" s="4" t="e">
        <f ca="1">[1]!BexGetData("DP_1","003N8EMH8GTFRCSWKMPXRS42M","GSON2113100002")</f>
        <v>#NAME?</v>
      </c>
      <c r="I2094" s="4" t="e">
        <f ca="1">[1]!BexGetData("DP_1","003N8EMH8GTFRCSWKMPXRSAE6","GSON2113100002")</f>
        <v>#NAME?</v>
      </c>
      <c r="J2094" s="4" t="e">
        <f ca="1">[1]!BexGetData("DP_1","003N8EMH8GTFRCSWKMPXRSGPQ","GSON2113100002")</f>
        <v>#NAME?</v>
      </c>
      <c r="K2094" s="3" t="e">
        <f ca="1">[1]!BexGetData("DP_1","003N8EMH8GTFRIVNUPY288VJH","GSON2113100002")</f>
        <v>#NAME?</v>
      </c>
      <c r="L2094" s="3" t="e">
        <f ca="1">[1]!BexGetData("DP_1","003N8EMH8GTFRIVNUPY2891V1","GSON2113100002")</f>
        <v>#NAME?</v>
      </c>
      <c r="M2094" s="3" t="e">
        <f ca="1">[1]!BexGetData("DP_1","003N8EMH8GTFRIVOG7KG9IQXA","GSON2113100002")</f>
        <v>#NAME?</v>
      </c>
      <c r="N2094" s="8" t="e">
        <f ca="1">[1]!BexGetData("DP_1","003N8EMH8GTFRIVOG7KG9IX8U","GSON2113100002")</f>
        <v>#NAME?</v>
      </c>
      <c r="O2094" s="3" t="e">
        <f ca="1">[1]!BexGetData("DP_1","003N8EMH8GTFRIVOG7KG9J3KE","GSON2113100002")</f>
        <v>#NAME?</v>
      </c>
      <c r="P2094" s="8" t="e">
        <f ca="1">[1]!BexGetData("DP_1","003N8EMH8GTFRIVOG7KG9J9VY","GSON2113100002")</f>
        <v>#NAME?</v>
      </c>
      <c r="Q2094" s="4" t="e">
        <f ca="1">[1]!BexGetData("DP_1","00O2TNJGODT0G5Z4TTKYMM5MT","GSON2113100002")</f>
        <v>#NAME?</v>
      </c>
      <c r="R2094" s="4" t="e">
        <f ca="1">[1]!BexGetData("DP_1","00O2TNJGODT0G5Z4TTKYMMBYD","GSON2113100002")</f>
        <v>#NAME?</v>
      </c>
      <c r="S2094" s="4" t="e">
        <f ca="1">[1]!BexGetData("DP_1","00O2TNJGODT0G5Z4TTKYMMI9X","GSON2113100002")</f>
        <v>#NAME?</v>
      </c>
      <c r="T2094" s="4" t="e">
        <f ca="1">[1]!BexGetData("DP_1","00O2TNJGODT0G5Z4TTKYMMOLH","GSON2113100002")</f>
        <v>#NAME?</v>
      </c>
      <c r="U2094" s="4" t="e">
        <f ca="1">[1]!BexGetData("DP_1","00O2TNJGODT0G5Z4TTKYMMUX1","GSON2113100002")</f>
        <v>#NAME?</v>
      </c>
      <c r="V2094" s="4" t="e">
        <f ca="1">[1]!BexGetData("DP_1","00O2TNJGODT0G5Z4TTKYMN18L","GSON2113100002")</f>
        <v>#NAME?</v>
      </c>
      <c r="W2094" s="4" t="e">
        <f ca="1">[1]!BexGetData("DP_1","00O2TNJGODT0G5Z4TTKYMN7K5","GSON2113100002")</f>
        <v>#NAME?</v>
      </c>
    </row>
    <row r="2095" spans="1:23" x14ac:dyDescent="0.2">
      <c r="A2095" s="16" t="s">
        <v>1405</v>
      </c>
      <c r="B2095" s="7" t="s">
        <v>1406</v>
      </c>
      <c r="C2095" s="3" t="e">
        <f ca="1">[1]!BexGetData("DP_1","003N8EMH8GTFRCSWKMPXRR8GU","GSON2113")</f>
        <v>#NAME?</v>
      </c>
      <c r="D2095" s="3" t="e">
        <f ca="1">[1]!BexGetData("DP_1","003N8EMH8GTFRCSWKMPXRRESE","GSON2113")</f>
        <v>#NAME?</v>
      </c>
      <c r="E2095" s="3" t="e">
        <f ca="1">[1]!BexGetData("DP_1","003N8EMH8GTFRCSWKMPXRRL3Y","GSON2113")</f>
        <v>#NAME?</v>
      </c>
      <c r="F2095" s="3" t="e">
        <f ca="1">[1]!BexGetData("DP_1","003N8EMH8GTFRCSWKMPXRRRFI","GSON2113")</f>
        <v>#NAME?</v>
      </c>
      <c r="G2095" s="3" t="e">
        <f ca="1">[1]!BexGetData("DP_1","003N8EMH8GTFRCSWKMPXRRXR2","GSON2113")</f>
        <v>#NAME?</v>
      </c>
      <c r="H2095" s="3" t="e">
        <f ca="1">[1]!BexGetData("DP_1","003N8EMH8GTFRCSWKMPXRS42M","GSON2113")</f>
        <v>#NAME?</v>
      </c>
      <c r="I2095" s="3" t="e">
        <f ca="1">[1]!BexGetData("DP_1","003N8EMH8GTFRCSWKMPXRSAE6","GSON2113")</f>
        <v>#NAME?</v>
      </c>
      <c r="J2095" s="4" t="e">
        <f ca="1">[1]!BexGetData("DP_1","003N8EMH8GTFRCSWKMPXRSGPQ","GSON2113")</f>
        <v>#NAME?</v>
      </c>
      <c r="K2095" s="3" t="e">
        <f ca="1">[1]!BexGetData("DP_1","003N8EMH8GTFRIVNUPY288VJH","GSON2113")</f>
        <v>#NAME?</v>
      </c>
      <c r="L2095" s="3" t="e">
        <f ca="1">[1]!BexGetData("DP_1","003N8EMH8GTFRIVNUPY2891V1","GSON2113")</f>
        <v>#NAME?</v>
      </c>
      <c r="M2095" s="3" t="e">
        <f ca="1">[1]!BexGetData("DP_1","003N8EMH8GTFRIVOG7KG9IQXA","GSON2113")</f>
        <v>#NAME?</v>
      </c>
      <c r="N2095" s="8" t="e">
        <f ca="1">[1]!BexGetData("DP_1","003N8EMH8GTFRIVOG7KG9IX8U","GSON2113")</f>
        <v>#NAME?</v>
      </c>
      <c r="O2095" s="3" t="e">
        <f ca="1">[1]!BexGetData("DP_1","003N8EMH8GTFRIVOG7KG9J3KE","GSON2113")</f>
        <v>#NAME?</v>
      </c>
      <c r="P2095" s="8" t="e">
        <f ca="1">[1]!BexGetData("DP_1","003N8EMH8GTFRIVOG7KG9J9VY","GSON2113")</f>
        <v>#NAME?</v>
      </c>
      <c r="Q2095" s="4" t="e">
        <f ca="1">[1]!BexGetData("DP_1","00O2TNJGODT0G5Z4TTKYMM5MT","GSON2113")</f>
        <v>#NAME?</v>
      </c>
      <c r="R2095" s="3" t="e">
        <f ca="1">[1]!BexGetData("DP_1","00O2TNJGODT0G5Z4TTKYMMBYD","GSON2113")</f>
        <v>#NAME?</v>
      </c>
      <c r="S2095" s="3" t="e">
        <f ca="1">[1]!BexGetData("DP_1","00O2TNJGODT0G5Z4TTKYMMI9X","GSON2113")</f>
        <v>#NAME?</v>
      </c>
      <c r="T2095" s="3" t="e">
        <f ca="1">[1]!BexGetData("DP_1","00O2TNJGODT0G5Z4TTKYMMOLH","GSON2113")</f>
        <v>#NAME?</v>
      </c>
      <c r="U2095" s="8" t="e">
        <f ca="1">[1]!BexGetData("DP_1","00O2TNJGODT0G5Z4TTKYMMUX1","GSON2113")</f>
        <v>#NAME?</v>
      </c>
      <c r="V2095" s="3" t="e">
        <f ca="1">[1]!BexGetData("DP_1","00O2TNJGODT0G5Z4TTKYMN18L","GSON2113")</f>
        <v>#NAME?</v>
      </c>
      <c r="W2095" s="8" t="e">
        <f ca="1">[1]!BexGetData("DP_1","00O2TNJGODT0G5Z4TTKYMN7K5","GSON2113")</f>
        <v>#NAME?</v>
      </c>
    </row>
    <row r="2096" spans="1:23" x14ac:dyDescent="0.2">
      <c r="A2096" s="17" t="s">
        <v>1407</v>
      </c>
      <c r="B2096" s="7" t="s">
        <v>1408</v>
      </c>
      <c r="C2096" s="3" t="e">
        <f ca="1">[1]!BexGetData("DP_1","003N8EMH8GTFRCSWKMPXRR8GU","GSON2113100001")</f>
        <v>#NAME?</v>
      </c>
      <c r="D2096" s="3" t="e">
        <f ca="1">[1]!BexGetData("DP_1","003N8EMH8GTFRCSWKMPXRRESE","GSON2113100001")</f>
        <v>#NAME?</v>
      </c>
      <c r="E2096" s="3" t="e">
        <f ca="1">[1]!BexGetData("DP_1","003N8EMH8GTFRCSWKMPXRRL3Y","GSON2113100001")</f>
        <v>#NAME?</v>
      </c>
      <c r="F2096" s="4" t="e">
        <f ca="1">[1]!BexGetData("DP_1","003N8EMH8GTFRCSWKMPXRRRFI","GSON2113100001")</f>
        <v>#NAME?</v>
      </c>
      <c r="G2096" s="4" t="e">
        <f ca="1">[1]!BexGetData("DP_1","003N8EMH8GTFRCSWKMPXRRXR2","GSON2113100001")</f>
        <v>#NAME?</v>
      </c>
      <c r="H2096" s="4" t="e">
        <f ca="1">[1]!BexGetData("DP_1","003N8EMH8GTFRCSWKMPXRS42M","GSON2113100001")</f>
        <v>#NAME?</v>
      </c>
      <c r="I2096" s="4" t="e">
        <f ca="1">[1]!BexGetData("DP_1","003N8EMH8GTFRCSWKMPXRSAE6","GSON2113100001")</f>
        <v>#NAME?</v>
      </c>
      <c r="J2096" s="4" t="e">
        <f ca="1">[1]!BexGetData("DP_1","003N8EMH8GTFRCSWKMPXRSGPQ","GSON2113100001")</f>
        <v>#NAME?</v>
      </c>
      <c r="K2096" s="3" t="e">
        <f ca="1">[1]!BexGetData("DP_1","003N8EMH8GTFRIVNUPY288VJH","GSON2113100001")</f>
        <v>#NAME?</v>
      </c>
      <c r="L2096" s="3" t="e">
        <f ca="1">[1]!BexGetData("DP_1","003N8EMH8GTFRIVNUPY2891V1","GSON2113100001")</f>
        <v>#NAME?</v>
      </c>
      <c r="M2096" s="3" t="e">
        <f ca="1">[1]!BexGetData("DP_1","003N8EMH8GTFRIVOG7KG9IQXA","GSON2113100001")</f>
        <v>#NAME?</v>
      </c>
      <c r="N2096" s="8" t="e">
        <f ca="1">[1]!BexGetData("DP_1","003N8EMH8GTFRIVOG7KG9IX8U","GSON2113100001")</f>
        <v>#NAME?</v>
      </c>
      <c r="O2096" s="3" t="e">
        <f ca="1">[1]!BexGetData("DP_1","003N8EMH8GTFRIVOG7KG9J3KE","GSON2113100001")</f>
        <v>#NAME?</v>
      </c>
      <c r="P2096" s="8" t="e">
        <f ca="1">[1]!BexGetData("DP_1","003N8EMH8GTFRIVOG7KG9J9VY","GSON2113100001")</f>
        <v>#NAME?</v>
      </c>
      <c r="Q2096" s="4" t="e">
        <f ca="1">[1]!BexGetData("DP_1","00O2TNJGODT0G5Z4TTKYMM5MT","GSON2113100001")</f>
        <v>#NAME?</v>
      </c>
      <c r="R2096" s="4" t="e">
        <f ca="1">[1]!BexGetData("DP_1","00O2TNJGODT0G5Z4TTKYMMBYD","GSON2113100001")</f>
        <v>#NAME?</v>
      </c>
      <c r="S2096" s="4" t="e">
        <f ca="1">[1]!BexGetData("DP_1","00O2TNJGODT0G5Z4TTKYMMI9X","GSON2113100001")</f>
        <v>#NAME?</v>
      </c>
      <c r="T2096" s="4" t="e">
        <f ca="1">[1]!BexGetData("DP_1","00O2TNJGODT0G5Z4TTKYMMOLH","GSON2113100001")</f>
        <v>#NAME?</v>
      </c>
      <c r="U2096" s="4" t="e">
        <f ca="1">[1]!BexGetData("DP_1","00O2TNJGODT0G5Z4TTKYMMUX1","GSON2113100001")</f>
        <v>#NAME?</v>
      </c>
      <c r="V2096" s="4" t="e">
        <f ca="1">[1]!BexGetData("DP_1","00O2TNJGODT0G5Z4TTKYMN18L","GSON2113100001")</f>
        <v>#NAME?</v>
      </c>
      <c r="W2096" s="4" t="e">
        <f ca="1">[1]!BexGetData("DP_1","00O2TNJGODT0G5Z4TTKYMN7K5","GSON2113100001")</f>
        <v>#NAME?</v>
      </c>
    </row>
    <row r="2097" spans="1:23" x14ac:dyDescent="0.2">
      <c r="A2097" s="17" t="s">
        <v>4764</v>
      </c>
      <c r="B2097" s="7" t="s">
        <v>4765</v>
      </c>
      <c r="C2097" s="3" t="e">
        <f ca="1">[1]!BexGetData("DP_1","003N8EMH8GTFRCSWKMPXRR8GU","GSON2113100003")</f>
        <v>#NAME?</v>
      </c>
      <c r="D2097" s="3" t="e">
        <f ca="1">[1]!BexGetData("DP_1","003N8EMH8GTFRCSWKMPXRRESE","GSON2113100003")</f>
        <v>#NAME?</v>
      </c>
      <c r="E2097" s="8" t="e">
        <f ca="1">[1]!BexGetData("DP_1","003N8EMH8GTFRCSWKMPXRRL3Y","GSON2113100003")</f>
        <v>#NAME?</v>
      </c>
      <c r="F2097" s="3" t="e">
        <f ca="1">[1]!BexGetData("DP_1","003N8EMH8GTFRCSWKMPXRRRFI","GSON2113100003")</f>
        <v>#NAME?</v>
      </c>
      <c r="G2097" s="3" t="e">
        <f ca="1">[1]!BexGetData("DP_1","003N8EMH8GTFRCSWKMPXRRXR2","GSON2113100003")</f>
        <v>#NAME?</v>
      </c>
      <c r="H2097" s="3" t="e">
        <f ca="1">[1]!BexGetData("DP_1","003N8EMH8GTFRCSWKMPXRS42M","GSON2113100003")</f>
        <v>#NAME?</v>
      </c>
      <c r="I2097" s="3" t="e">
        <f ca="1">[1]!BexGetData("DP_1","003N8EMH8GTFRCSWKMPXRSAE6","GSON2113100003")</f>
        <v>#NAME?</v>
      </c>
      <c r="J2097" s="4" t="e">
        <f ca="1">[1]!BexGetData("DP_1","003N8EMH8GTFRCSWKMPXRSGPQ","GSON2113100003")</f>
        <v>#NAME?</v>
      </c>
      <c r="K2097" s="3" t="e">
        <f ca="1">[1]!BexGetData("DP_1","003N8EMH8GTFRIVNUPY288VJH","GSON2113100003")</f>
        <v>#NAME?</v>
      </c>
      <c r="L2097" s="3" t="e">
        <f ca="1">[1]!BexGetData("DP_1","003N8EMH8GTFRIVNUPY2891V1","GSON2113100003")</f>
        <v>#NAME?</v>
      </c>
      <c r="M2097" s="8" t="e">
        <f ca="1">[1]!BexGetData("DP_1","003N8EMH8GTFRIVOG7KG9IQXA","GSON2113100003")</f>
        <v>#NAME?</v>
      </c>
      <c r="N2097" s="3" t="e">
        <f ca="1">[1]!BexGetData("DP_1","003N8EMH8GTFRIVOG7KG9IX8U","GSON2113100003")</f>
        <v>#NAME?</v>
      </c>
      <c r="O2097" s="8" t="e">
        <f ca="1">[1]!BexGetData("DP_1","003N8EMH8GTFRIVOG7KG9J3KE","GSON2113100003")</f>
        <v>#NAME?</v>
      </c>
      <c r="P2097" s="3" t="e">
        <f ca="1">[1]!BexGetData("DP_1","003N8EMH8GTFRIVOG7KG9J9VY","GSON2113100003")</f>
        <v>#NAME?</v>
      </c>
      <c r="Q2097" s="4" t="e">
        <f ca="1">[1]!BexGetData("DP_1","00O2TNJGODT0G5Z4TTKYMM5MT","GSON2113100003")</f>
        <v>#NAME?</v>
      </c>
      <c r="R2097" s="3" t="e">
        <f ca="1">[1]!BexGetData("DP_1","00O2TNJGODT0G5Z4TTKYMMBYD","GSON2113100003")</f>
        <v>#NAME?</v>
      </c>
      <c r="S2097" s="3" t="e">
        <f ca="1">[1]!BexGetData("DP_1","00O2TNJGODT0G5Z4TTKYMMI9X","GSON2113100003")</f>
        <v>#NAME?</v>
      </c>
      <c r="T2097" s="3" t="e">
        <f ca="1">[1]!BexGetData("DP_1","00O2TNJGODT0G5Z4TTKYMMOLH","GSON2113100003")</f>
        <v>#NAME?</v>
      </c>
      <c r="U2097" s="8" t="e">
        <f ca="1">[1]!BexGetData("DP_1","00O2TNJGODT0G5Z4TTKYMMUX1","GSON2113100003")</f>
        <v>#NAME?</v>
      </c>
      <c r="V2097" s="3" t="e">
        <f ca="1">[1]!BexGetData("DP_1","00O2TNJGODT0G5Z4TTKYMN18L","GSON2113100003")</f>
        <v>#NAME?</v>
      </c>
      <c r="W2097" s="8" t="e">
        <f ca="1">[1]!BexGetData("DP_1","00O2TNJGODT0G5Z4TTKYMN7K5","GSON2113100003")</f>
        <v>#NAME?</v>
      </c>
    </row>
    <row r="2098" spans="1:23" x14ac:dyDescent="0.2">
      <c r="A2098" s="16" t="s">
        <v>346</v>
      </c>
      <c r="B2098" s="7" t="s">
        <v>347</v>
      </c>
      <c r="C2098" s="3" t="e">
        <f ca="1">[1]!BexGetData("DP_1","003N8EMH8GTFRCSWKMPXRR8GU","GSON2114")</f>
        <v>#NAME?</v>
      </c>
      <c r="D2098" s="3" t="e">
        <f ca="1">[1]!BexGetData("DP_1","003N8EMH8GTFRCSWKMPXRRESE","GSON2114")</f>
        <v>#NAME?</v>
      </c>
      <c r="E2098" s="3" t="e">
        <f ca="1">[1]!BexGetData("DP_1","003N8EMH8GTFRCSWKMPXRRL3Y","GSON2114")</f>
        <v>#NAME?</v>
      </c>
      <c r="F2098" s="3" t="e">
        <f ca="1">[1]!BexGetData("DP_1","003N8EMH8GTFRCSWKMPXRRRFI","GSON2114")</f>
        <v>#NAME?</v>
      </c>
      <c r="G2098" s="3" t="e">
        <f ca="1">[1]!BexGetData("DP_1","003N8EMH8GTFRCSWKMPXRRXR2","GSON2114")</f>
        <v>#NAME?</v>
      </c>
      <c r="H2098" s="3" t="e">
        <f ca="1">[1]!BexGetData("DP_1","003N8EMH8GTFRCSWKMPXRS42M","GSON2114")</f>
        <v>#NAME?</v>
      </c>
      <c r="I2098" s="3" t="e">
        <f ca="1">[1]!BexGetData("DP_1","003N8EMH8GTFRCSWKMPXRSAE6","GSON2114")</f>
        <v>#NAME?</v>
      </c>
      <c r="J2098" s="4" t="e">
        <f ca="1">[1]!BexGetData("DP_1","003N8EMH8GTFRCSWKMPXRSGPQ","GSON2114")</f>
        <v>#NAME?</v>
      </c>
      <c r="K2098" s="3" t="e">
        <f ca="1">[1]!BexGetData("DP_1","003N8EMH8GTFRIVNUPY288VJH","GSON2114")</f>
        <v>#NAME?</v>
      </c>
      <c r="L2098" s="3" t="e">
        <f ca="1">[1]!BexGetData("DP_1","003N8EMH8GTFRIVNUPY2891V1","GSON2114")</f>
        <v>#NAME?</v>
      </c>
      <c r="M2098" s="8" t="e">
        <f ca="1">[1]!BexGetData("DP_1","003N8EMH8GTFRIVOG7KG9IQXA","GSON2114")</f>
        <v>#NAME?</v>
      </c>
      <c r="N2098" s="3" t="e">
        <f ca="1">[1]!BexGetData("DP_1","003N8EMH8GTFRIVOG7KG9IX8U","GSON2114")</f>
        <v>#NAME?</v>
      </c>
      <c r="O2098" s="8" t="e">
        <f ca="1">[1]!BexGetData("DP_1","003N8EMH8GTFRIVOG7KG9J3KE","GSON2114")</f>
        <v>#NAME?</v>
      </c>
      <c r="P2098" s="3" t="e">
        <f ca="1">[1]!BexGetData("DP_1","003N8EMH8GTFRIVOG7KG9J9VY","GSON2114")</f>
        <v>#NAME?</v>
      </c>
      <c r="Q2098" s="4" t="e">
        <f ca="1">[1]!BexGetData("DP_1","00O2TNJGODT0G5Z4TTKYMM5MT","GSON2114")</f>
        <v>#NAME?</v>
      </c>
      <c r="R2098" s="3" t="e">
        <f ca="1">[1]!BexGetData("DP_1","00O2TNJGODT0G5Z4TTKYMMBYD","GSON2114")</f>
        <v>#NAME?</v>
      </c>
      <c r="S2098" s="3" t="e">
        <f ca="1">[1]!BexGetData("DP_1","00O2TNJGODT0G5Z4TTKYMMI9X","GSON2114")</f>
        <v>#NAME?</v>
      </c>
      <c r="T2098" s="3" t="e">
        <f ca="1">[1]!BexGetData("DP_1","00O2TNJGODT0G5Z4TTKYMMOLH","GSON2114")</f>
        <v>#NAME?</v>
      </c>
      <c r="U2098" s="8" t="e">
        <f ca="1">[1]!BexGetData("DP_1","00O2TNJGODT0G5Z4TTKYMMUX1","GSON2114")</f>
        <v>#NAME?</v>
      </c>
      <c r="V2098" s="3" t="e">
        <f ca="1">[1]!BexGetData("DP_1","00O2TNJGODT0G5Z4TTKYMN18L","GSON2114")</f>
        <v>#NAME?</v>
      </c>
      <c r="W2098" s="8" t="e">
        <f ca="1">[1]!BexGetData("DP_1","00O2TNJGODT0G5Z4TTKYMN7K5","GSON2114")</f>
        <v>#NAME?</v>
      </c>
    </row>
    <row r="2099" spans="1:23" x14ac:dyDescent="0.2">
      <c r="A2099" s="17" t="s">
        <v>1409</v>
      </c>
      <c r="B2099" s="7" t="s">
        <v>348</v>
      </c>
      <c r="C2099" s="3" t="e">
        <f ca="1">[1]!BexGetData("DP_1","003N8EMH8GTFRCSWKMPXRR8GU","GSON2114100001")</f>
        <v>#NAME?</v>
      </c>
      <c r="D2099" s="3" t="e">
        <f ca="1">[1]!BexGetData("DP_1","003N8EMH8GTFRCSWKMPXRRESE","GSON2114100001")</f>
        <v>#NAME?</v>
      </c>
      <c r="E2099" s="3" t="e">
        <f ca="1">[1]!BexGetData("DP_1","003N8EMH8GTFRCSWKMPXRRL3Y","GSON2114100001")</f>
        <v>#NAME?</v>
      </c>
      <c r="F2099" s="4" t="e">
        <f ca="1">[1]!BexGetData("DP_1","003N8EMH8GTFRCSWKMPXRRRFI","GSON2114100001")</f>
        <v>#NAME?</v>
      </c>
      <c r="G2099" s="4" t="e">
        <f ca="1">[1]!BexGetData("DP_1","003N8EMH8GTFRCSWKMPXRRXR2","GSON2114100001")</f>
        <v>#NAME?</v>
      </c>
      <c r="H2099" s="4" t="e">
        <f ca="1">[1]!BexGetData("DP_1","003N8EMH8GTFRCSWKMPXRS42M","GSON2114100001")</f>
        <v>#NAME?</v>
      </c>
      <c r="I2099" s="4" t="e">
        <f ca="1">[1]!BexGetData("DP_1","003N8EMH8GTFRCSWKMPXRSAE6","GSON2114100001")</f>
        <v>#NAME?</v>
      </c>
      <c r="J2099" s="4" t="e">
        <f ca="1">[1]!BexGetData("DP_1","003N8EMH8GTFRCSWKMPXRSGPQ","GSON2114100001")</f>
        <v>#NAME?</v>
      </c>
      <c r="K2099" s="3" t="e">
        <f ca="1">[1]!BexGetData("DP_1","003N8EMH8GTFRIVNUPY288VJH","GSON2114100001")</f>
        <v>#NAME?</v>
      </c>
      <c r="L2099" s="3" t="e">
        <f ca="1">[1]!BexGetData("DP_1","003N8EMH8GTFRIVNUPY2891V1","GSON2114100001")</f>
        <v>#NAME?</v>
      </c>
      <c r="M2099" s="8" t="e">
        <f ca="1">[1]!BexGetData("DP_1","003N8EMH8GTFRIVOG7KG9IQXA","GSON2114100001")</f>
        <v>#NAME?</v>
      </c>
      <c r="N2099" s="3" t="e">
        <f ca="1">[1]!BexGetData("DP_1","003N8EMH8GTFRIVOG7KG9IX8U","GSON2114100001")</f>
        <v>#NAME?</v>
      </c>
      <c r="O2099" s="8" t="e">
        <f ca="1">[1]!BexGetData("DP_1","003N8EMH8GTFRIVOG7KG9J3KE","GSON2114100001")</f>
        <v>#NAME?</v>
      </c>
      <c r="P2099" s="3" t="e">
        <f ca="1">[1]!BexGetData("DP_1","003N8EMH8GTFRIVOG7KG9J9VY","GSON2114100001")</f>
        <v>#NAME?</v>
      </c>
      <c r="Q2099" s="4" t="e">
        <f ca="1">[1]!BexGetData("DP_1","00O2TNJGODT0G5Z4TTKYMM5MT","GSON2114100001")</f>
        <v>#NAME?</v>
      </c>
      <c r="R2099" s="4" t="e">
        <f ca="1">[1]!BexGetData("DP_1","00O2TNJGODT0G5Z4TTKYMMBYD","GSON2114100001")</f>
        <v>#NAME?</v>
      </c>
      <c r="S2099" s="4" t="e">
        <f ca="1">[1]!BexGetData("DP_1","00O2TNJGODT0G5Z4TTKYMMI9X","GSON2114100001")</f>
        <v>#NAME?</v>
      </c>
      <c r="T2099" s="4" t="e">
        <f ca="1">[1]!BexGetData("DP_1","00O2TNJGODT0G5Z4TTKYMMOLH","GSON2114100001")</f>
        <v>#NAME?</v>
      </c>
      <c r="U2099" s="4" t="e">
        <f ca="1">[1]!BexGetData("DP_1","00O2TNJGODT0G5Z4TTKYMMUX1","GSON2114100001")</f>
        <v>#NAME?</v>
      </c>
      <c r="V2099" s="4" t="e">
        <f ca="1">[1]!BexGetData("DP_1","00O2TNJGODT0G5Z4TTKYMN18L","GSON2114100001")</f>
        <v>#NAME?</v>
      </c>
      <c r="W2099" s="4" t="e">
        <f ca="1">[1]!BexGetData("DP_1","00O2TNJGODT0G5Z4TTKYMN7K5","GSON2114100001")</f>
        <v>#NAME?</v>
      </c>
    </row>
    <row r="2100" spans="1:23" x14ac:dyDescent="0.2">
      <c r="A2100" s="17" t="s">
        <v>4766</v>
      </c>
      <c r="B2100" s="7" t="s">
        <v>4767</v>
      </c>
      <c r="C2100" s="8" t="e">
        <f ca="1">[1]!BexGetData("DP_1","003N8EMH8GTFRCSWKMPXRR8GU","GSON2114100002")</f>
        <v>#NAME?</v>
      </c>
      <c r="D2100" s="8" t="e">
        <f ca="1">[1]!BexGetData("DP_1","003N8EMH8GTFRCSWKMPXRRESE","GSON2114100002")</f>
        <v>#NAME?</v>
      </c>
      <c r="E2100" s="3" t="e">
        <f ca="1">[1]!BexGetData("DP_1","003N8EMH8GTFRCSWKMPXRRL3Y","GSON2114100002")</f>
        <v>#NAME?</v>
      </c>
      <c r="F2100" s="3" t="e">
        <f ca="1">[1]!BexGetData("DP_1","003N8EMH8GTFRCSWKMPXRRRFI","GSON2114100002")</f>
        <v>#NAME?</v>
      </c>
      <c r="G2100" s="3" t="e">
        <f ca="1">[1]!BexGetData("DP_1","003N8EMH8GTFRCSWKMPXRRXR2","GSON2114100002")</f>
        <v>#NAME?</v>
      </c>
      <c r="H2100" s="3" t="e">
        <f ca="1">[1]!BexGetData("DP_1","003N8EMH8GTFRCSWKMPXRS42M","GSON2114100002")</f>
        <v>#NAME?</v>
      </c>
      <c r="I2100" s="3" t="e">
        <f ca="1">[1]!BexGetData("DP_1","003N8EMH8GTFRCSWKMPXRSAE6","GSON2114100002")</f>
        <v>#NAME?</v>
      </c>
      <c r="J2100" s="4" t="e">
        <f ca="1">[1]!BexGetData("DP_1","003N8EMH8GTFRCSWKMPXRSGPQ","GSON2114100002")</f>
        <v>#NAME?</v>
      </c>
      <c r="K2100" s="8" t="e">
        <f ca="1">[1]!BexGetData("DP_1","003N8EMH8GTFRIVNUPY288VJH","GSON2114100002")</f>
        <v>#NAME?</v>
      </c>
      <c r="L2100" s="8" t="e">
        <f ca="1">[1]!BexGetData("DP_1","003N8EMH8GTFRIVNUPY2891V1","GSON2114100002")</f>
        <v>#NAME?</v>
      </c>
      <c r="M2100" s="8" t="e">
        <f ca="1">[1]!BexGetData("DP_1","003N8EMH8GTFRIVOG7KG9IQXA","GSON2114100002")</f>
        <v>#NAME?</v>
      </c>
      <c r="N2100" s="8" t="e">
        <f ca="1">[1]!BexGetData("DP_1","003N8EMH8GTFRIVOG7KG9IX8U","GSON2114100002")</f>
        <v>#NAME?</v>
      </c>
      <c r="O2100" s="8" t="e">
        <f ca="1">[1]!BexGetData("DP_1","003N8EMH8GTFRIVOG7KG9J3KE","GSON2114100002")</f>
        <v>#NAME?</v>
      </c>
      <c r="P2100" s="8" t="e">
        <f ca="1">[1]!BexGetData("DP_1","003N8EMH8GTFRIVOG7KG9J9VY","GSON2114100002")</f>
        <v>#NAME?</v>
      </c>
      <c r="Q2100" s="4" t="e">
        <f ca="1">[1]!BexGetData("DP_1","00O2TNJGODT0G5Z4TTKYMM5MT","GSON2114100002")</f>
        <v>#NAME?</v>
      </c>
      <c r="R2100" s="3" t="e">
        <f ca="1">[1]!BexGetData("DP_1","00O2TNJGODT0G5Z4TTKYMMBYD","GSON2114100002")</f>
        <v>#NAME?</v>
      </c>
      <c r="S2100" s="3" t="e">
        <f ca="1">[1]!BexGetData("DP_1","00O2TNJGODT0G5Z4TTKYMMI9X","GSON2114100002")</f>
        <v>#NAME?</v>
      </c>
      <c r="T2100" s="3" t="e">
        <f ca="1">[1]!BexGetData("DP_1","00O2TNJGODT0G5Z4TTKYMMOLH","GSON2114100002")</f>
        <v>#NAME?</v>
      </c>
      <c r="U2100" s="8" t="e">
        <f ca="1">[1]!BexGetData("DP_1","00O2TNJGODT0G5Z4TTKYMMUX1","GSON2114100002")</f>
        <v>#NAME?</v>
      </c>
      <c r="V2100" s="3" t="e">
        <f ca="1">[1]!BexGetData("DP_1","00O2TNJGODT0G5Z4TTKYMN18L","GSON2114100002")</f>
        <v>#NAME?</v>
      </c>
      <c r="W2100" s="8" t="e">
        <f ca="1">[1]!BexGetData("DP_1","00O2TNJGODT0G5Z4TTKYMN7K5","GSON2114100002")</f>
        <v>#NAME?</v>
      </c>
    </row>
    <row r="2101" spans="1:23" x14ac:dyDescent="0.2">
      <c r="A2101" s="17" t="s">
        <v>4768</v>
      </c>
      <c r="B2101" s="7" t="s">
        <v>4769</v>
      </c>
      <c r="C2101" s="3" t="e">
        <f ca="1">[1]!BexGetData("DP_1","003N8EMH8GTFRCSWKMPXRR8GU","GSON2114100003")</f>
        <v>#NAME?</v>
      </c>
      <c r="D2101" s="3" t="e">
        <f ca="1">[1]!BexGetData("DP_1","003N8EMH8GTFRCSWKMPXRRESE","GSON2114100003")</f>
        <v>#NAME?</v>
      </c>
      <c r="E2101" s="8" t="e">
        <f ca="1">[1]!BexGetData("DP_1","003N8EMH8GTFRCSWKMPXRRL3Y","GSON2114100003")</f>
        <v>#NAME?</v>
      </c>
      <c r="F2101" s="4" t="e">
        <f ca="1">[1]!BexGetData("DP_1","003N8EMH8GTFRCSWKMPXRRRFI","GSON2114100003")</f>
        <v>#NAME?</v>
      </c>
      <c r="G2101" s="4" t="e">
        <f ca="1">[1]!BexGetData("DP_1","003N8EMH8GTFRCSWKMPXRRXR2","GSON2114100003")</f>
        <v>#NAME?</v>
      </c>
      <c r="H2101" s="4" t="e">
        <f ca="1">[1]!BexGetData("DP_1","003N8EMH8GTFRCSWKMPXRS42M","GSON2114100003")</f>
        <v>#NAME?</v>
      </c>
      <c r="I2101" s="4" t="e">
        <f ca="1">[1]!BexGetData("DP_1","003N8EMH8GTFRCSWKMPXRSAE6","GSON2114100003")</f>
        <v>#NAME?</v>
      </c>
      <c r="J2101" s="4" t="e">
        <f ca="1">[1]!BexGetData("DP_1","003N8EMH8GTFRCSWKMPXRSGPQ","GSON2114100003")</f>
        <v>#NAME?</v>
      </c>
      <c r="K2101" s="8" t="e">
        <f ca="1">[1]!BexGetData("DP_1","003N8EMH8GTFRIVNUPY288VJH","GSON2114100003")</f>
        <v>#NAME?</v>
      </c>
      <c r="L2101" s="8" t="e">
        <f ca="1">[1]!BexGetData("DP_1","003N8EMH8GTFRIVNUPY2891V1","GSON2114100003")</f>
        <v>#NAME?</v>
      </c>
      <c r="M2101" s="8" t="e">
        <f ca="1">[1]!BexGetData("DP_1","003N8EMH8GTFRIVOG7KG9IQXA","GSON2114100003")</f>
        <v>#NAME?</v>
      </c>
      <c r="N2101" s="8" t="e">
        <f ca="1">[1]!BexGetData("DP_1","003N8EMH8GTFRIVOG7KG9IX8U","GSON2114100003")</f>
        <v>#NAME?</v>
      </c>
      <c r="O2101" s="8" t="e">
        <f ca="1">[1]!BexGetData("DP_1","003N8EMH8GTFRIVOG7KG9J3KE","GSON2114100003")</f>
        <v>#NAME?</v>
      </c>
      <c r="P2101" s="8" t="e">
        <f ca="1">[1]!BexGetData("DP_1","003N8EMH8GTFRIVOG7KG9J9VY","GSON2114100003")</f>
        <v>#NAME?</v>
      </c>
      <c r="Q2101" s="4" t="e">
        <f ca="1">[1]!BexGetData("DP_1","00O2TNJGODT0G5Z4TTKYMM5MT","GSON2114100003")</f>
        <v>#NAME?</v>
      </c>
      <c r="R2101" s="4" t="e">
        <f ca="1">[1]!BexGetData("DP_1","00O2TNJGODT0G5Z4TTKYMMBYD","GSON2114100003")</f>
        <v>#NAME?</v>
      </c>
      <c r="S2101" s="4" t="e">
        <f ca="1">[1]!BexGetData("DP_1","00O2TNJGODT0G5Z4TTKYMMI9X","GSON2114100003")</f>
        <v>#NAME?</v>
      </c>
      <c r="T2101" s="4" t="e">
        <f ca="1">[1]!BexGetData("DP_1","00O2TNJGODT0G5Z4TTKYMMOLH","GSON2114100003")</f>
        <v>#NAME?</v>
      </c>
      <c r="U2101" s="4" t="e">
        <f ca="1">[1]!BexGetData("DP_1","00O2TNJGODT0G5Z4TTKYMMUX1","GSON2114100003")</f>
        <v>#NAME?</v>
      </c>
      <c r="V2101" s="4" t="e">
        <f ca="1">[1]!BexGetData("DP_1","00O2TNJGODT0G5Z4TTKYMN18L","GSON2114100003")</f>
        <v>#NAME?</v>
      </c>
      <c r="W2101" s="4" t="e">
        <f ca="1">[1]!BexGetData("DP_1","00O2TNJGODT0G5Z4TTKYMN7K5","GSON2114100003")</f>
        <v>#NAME?</v>
      </c>
    </row>
    <row r="2102" spans="1:23" x14ac:dyDescent="0.2">
      <c r="A2102" s="16" t="s">
        <v>4770</v>
      </c>
      <c r="B2102" s="7" t="s">
        <v>4771</v>
      </c>
      <c r="C2102" s="3" t="e">
        <f ca="1">[1]!BexGetData("DP_1","003N8EMH8GTFRCSWKMPXRR8GU","GSON2115")</f>
        <v>#NAME?</v>
      </c>
      <c r="D2102" s="3" t="e">
        <f ca="1">[1]!BexGetData("DP_1","003N8EMH8GTFRCSWKMPXRRESE","GSON2115")</f>
        <v>#NAME?</v>
      </c>
      <c r="E2102" s="3" t="e">
        <f ca="1">[1]!BexGetData("DP_1","003N8EMH8GTFRCSWKMPXRRL3Y","GSON2115")</f>
        <v>#NAME?</v>
      </c>
      <c r="F2102" s="3" t="e">
        <f ca="1">[1]!BexGetData("DP_1","003N8EMH8GTFRCSWKMPXRRRFI","GSON2115")</f>
        <v>#NAME?</v>
      </c>
      <c r="G2102" s="3" t="e">
        <f ca="1">[1]!BexGetData("DP_1","003N8EMH8GTFRCSWKMPXRRXR2","GSON2115")</f>
        <v>#NAME?</v>
      </c>
      <c r="H2102" s="3" t="e">
        <f ca="1">[1]!BexGetData("DP_1","003N8EMH8GTFRCSWKMPXRS42M","GSON2115")</f>
        <v>#NAME?</v>
      </c>
      <c r="I2102" s="3" t="e">
        <f ca="1">[1]!BexGetData("DP_1","003N8EMH8GTFRCSWKMPXRSAE6","GSON2115")</f>
        <v>#NAME?</v>
      </c>
      <c r="J2102" s="4" t="e">
        <f ca="1">[1]!BexGetData("DP_1","003N8EMH8GTFRCSWKMPXRSGPQ","GSON2115")</f>
        <v>#NAME?</v>
      </c>
      <c r="K2102" s="3" t="e">
        <f ca="1">[1]!BexGetData("DP_1","003N8EMH8GTFRIVNUPY288VJH","GSON2115")</f>
        <v>#NAME?</v>
      </c>
      <c r="L2102" s="3" t="e">
        <f ca="1">[1]!BexGetData("DP_1","003N8EMH8GTFRIVNUPY2891V1","GSON2115")</f>
        <v>#NAME?</v>
      </c>
      <c r="M2102" s="3" t="e">
        <f ca="1">[1]!BexGetData("DP_1","003N8EMH8GTFRIVOG7KG9IQXA","GSON2115")</f>
        <v>#NAME?</v>
      </c>
      <c r="N2102" s="8" t="e">
        <f ca="1">[1]!BexGetData("DP_1","003N8EMH8GTFRIVOG7KG9IX8U","GSON2115")</f>
        <v>#NAME?</v>
      </c>
      <c r="O2102" s="3" t="e">
        <f ca="1">[1]!BexGetData("DP_1","003N8EMH8GTFRIVOG7KG9J3KE","GSON2115")</f>
        <v>#NAME?</v>
      </c>
      <c r="P2102" s="8" t="e">
        <f ca="1">[1]!BexGetData("DP_1","003N8EMH8GTFRIVOG7KG9J9VY","GSON2115")</f>
        <v>#NAME?</v>
      </c>
      <c r="Q2102" s="4" t="e">
        <f ca="1">[1]!BexGetData("DP_1","00O2TNJGODT0G5Z4TTKYMM5MT","GSON2115")</f>
        <v>#NAME?</v>
      </c>
      <c r="R2102" s="3" t="e">
        <f ca="1">[1]!BexGetData("DP_1","00O2TNJGODT0G5Z4TTKYMMBYD","GSON2115")</f>
        <v>#NAME?</v>
      </c>
      <c r="S2102" s="3" t="e">
        <f ca="1">[1]!BexGetData("DP_1","00O2TNJGODT0G5Z4TTKYMMI9X","GSON2115")</f>
        <v>#NAME?</v>
      </c>
      <c r="T2102" s="3" t="e">
        <f ca="1">[1]!BexGetData("DP_1","00O2TNJGODT0G5Z4TTKYMMOLH","GSON2115")</f>
        <v>#NAME?</v>
      </c>
      <c r="U2102" s="8" t="e">
        <f ca="1">[1]!BexGetData("DP_1","00O2TNJGODT0G5Z4TTKYMMUX1","GSON2115")</f>
        <v>#NAME?</v>
      </c>
      <c r="V2102" s="3" t="e">
        <f ca="1">[1]!BexGetData("DP_1","00O2TNJGODT0G5Z4TTKYMN18L","GSON2115")</f>
        <v>#NAME?</v>
      </c>
      <c r="W2102" s="8" t="e">
        <f ca="1">[1]!BexGetData("DP_1","00O2TNJGODT0G5Z4TTKYMN7K5","GSON2115")</f>
        <v>#NAME?</v>
      </c>
    </row>
    <row r="2103" spans="1:23" x14ac:dyDescent="0.2">
      <c r="A2103" s="17" t="s">
        <v>4772</v>
      </c>
      <c r="B2103" s="7" t="s">
        <v>4773</v>
      </c>
      <c r="C2103" s="3" t="e">
        <f ca="1">[1]!BexGetData("DP_1","003N8EMH8GTFRCSWKMPXRR8GU","GSON2115100001")</f>
        <v>#NAME?</v>
      </c>
      <c r="D2103" s="3" t="e">
        <f ca="1">[1]!BexGetData("DP_1","003N8EMH8GTFRCSWKMPXRRESE","GSON2115100001")</f>
        <v>#NAME?</v>
      </c>
      <c r="E2103" s="3" t="e">
        <f ca="1">[1]!BexGetData("DP_1","003N8EMH8GTFRCSWKMPXRRL3Y","GSON2115100001")</f>
        <v>#NAME?</v>
      </c>
      <c r="F2103" s="4" t="e">
        <f ca="1">[1]!BexGetData("DP_1","003N8EMH8GTFRCSWKMPXRRRFI","GSON2115100001")</f>
        <v>#NAME?</v>
      </c>
      <c r="G2103" s="4" t="e">
        <f ca="1">[1]!BexGetData("DP_1","003N8EMH8GTFRCSWKMPXRRXR2","GSON2115100001")</f>
        <v>#NAME?</v>
      </c>
      <c r="H2103" s="4" t="e">
        <f ca="1">[1]!BexGetData("DP_1","003N8EMH8GTFRCSWKMPXRS42M","GSON2115100001")</f>
        <v>#NAME?</v>
      </c>
      <c r="I2103" s="4" t="e">
        <f ca="1">[1]!BexGetData("DP_1","003N8EMH8GTFRCSWKMPXRSAE6","GSON2115100001")</f>
        <v>#NAME?</v>
      </c>
      <c r="J2103" s="4" t="e">
        <f ca="1">[1]!BexGetData("DP_1","003N8EMH8GTFRCSWKMPXRSGPQ","GSON2115100001")</f>
        <v>#NAME?</v>
      </c>
      <c r="K2103" s="3" t="e">
        <f ca="1">[1]!BexGetData("DP_1","003N8EMH8GTFRIVNUPY288VJH","GSON2115100001")</f>
        <v>#NAME?</v>
      </c>
      <c r="L2103" s="3" t="e">
        <f ca="1">[1]!BexGetData("DP_1","003N8EMH8GTFRIVNUPY2891V1","GSON2115100001")</f>
        <v>#NAME?</v>
      </c>
      <c r="M2103" s="3" t="e">
        <f ca="1">[1]!BexGetData("DP_1","003N8EMH8GTFRIVOG7KG9IQXA","GSON2115100001")</f>
        <v>#NAME?</v>
      </c>
      <c r="N2103" s="8" t="e">
        <f ca="1">[1]!BexGetData("DP_1","003N8EMH8GTFRIVOG7KG9IX8U","GSON2115100001")</f>
        <v>#NAME?</v>
      </c>
      <c r="O2103" s="3" t="e">
        <f ca="1">[1]!BexGetData("DP_1","003N8EMH8GTFRIVOG7KG9J3KE","GSON2115100001")</f>
        <v>#NAME?</v>
      </c>
      <c r="P2103" s="8" t="e">
        <f ca="1">[1]!BexGetData("DP_1","003N8EMH8GTFRIVOG7KG9J9VY","GSON2115100001")</f>
        <v>#NAME?</v>
      </c>
      <c r="Q2103" s="4" t="e">
        <f ca="1">[1]!BexGetData("DP_1","00O2TNJGODT0G5Z4TTKYMM5MT","GSON2115100001")</f>
        <v>#NAME?</v>
      </c>
      <c r="R2103" s="4" t="e">
        <f ca="1">[1]!BexGetData("DP_1","00O2TNJGODT0G5Z4TTKYMMBYD","GSON2115100001")</f>
        <v>#NAME?</v>
      </c>
      <c r="S2103" s="4" t="e">
        <f ca="1">[1]!BexGetData("DP_1","00O2TNJGODT0G5Z4TTKYMMI9X","GSON2115100001")</f>
        <v>#NAME?</v>
      </c>
      <c r="T2103" s="4" t="e">
        <f ca="1">[1]!BexGetData("DP_1","00O2TNJGODT0G5Z4TTKYMMOLH","GSON2115100001")</f>
        <v>#NAME?</v>
      </c>
      <c r="U2103" s="4" t="e">
        <f ca="1">[1]!BexGetData("DP_1","00O2TNJGODT0G5Z4TTKYMMUX1","GSON2115100001")</f>
        <v>#NAME?</v>
      </c>
      <c r="V2103" s="4" t="e">
        <f ca="1">[1]!BexGetData("DP_1","00O2TNJGODT0G5Z4TTKYMN18L","GSON2115100001")</f>
        <v>#NAME?</v>
      </c>
      <c r="W2103" s="4" t="e">
        <f ca="1">[1]!BexGetData("DP_1","00O2TNJGODT0G5Z4TTKYMN7K5","GSON2115100001")</f>
        <v>#NAME?</v>
      </c>
    </row>
    <row r="2104" spans="1:23" x14ac:dyDescent="0.2">
      <c r="A2104" s="17" t="s">
        <v>4774</v>
      </c>
      <c r="B2104" s="7" t="s">
        <v>4775</v>
      </c>
      <c r="C2104" s="3" t="e">
        <f ca="1">[1]!BexGetData("DP_1","003N8EMH8GTFRCSWKMPXRR8GU","GSON2115100002")</f>
        <v>#NAME?</v>
      </c>
      <c r="D2104" s="3" t="e">
        <f ca="1">[1]!BexGetData("DP_1","003N8EMH8GTFRCSWKMPXRRESE","GSON2115100002")</f>
        <v>#NAME?</v>
      </c>
      <c r="E2104" s="3" t="e">
        <f ca="1">[1]!BexGetData("DP_1","003N8EMH8GTFRCSWKMPXRRL3Y","GSON2115100002")</f>
        <v>#NAME?</v>
      </c>
      <c r="F2104" s="4" t="e">
        <f ca="1">[1]!BexGetData("DP_1","003N8EMH8GTFRCSWKMPXRRRFI","GSON2115100002")</f>
        <v>#NAME?</v>
      </c>
      <c r="G2104" s="4" t="e">
        <f ca="1">[1]!BexGetData("DP_1","003N8EMH8GTFRCSWKMPXRRXR2","GSON2115100002")</f>
        <v>#NAME?</v>
      </c>
      <c r="H2104" s="4" t="e">
        <f ca="1">[1]!BexGetData("DP_1","003N8EMH8GTFRCSWKMPXRS42M","GSON2115100002")</f>
        <v>#NAME?</v>
      </c>
      <c r="I2104" s="4" t="e">
        <f ca="1">[1]!BexGetData("DP_1","003N8EMH8GTFRCSWKMPXRSAE6","GSON2115100002")</f>
        <v>#NAME?</v>
      </c>
      <c r="J2104" s="4" t="e">
        <f ca="1">[1]!BexGetData("DP_1","003N8EMH8GTFRCSWKMPXRSGPQ","GSON2115100002")</f>
        <v>#NAME?</v>
      </c>
      <c r="K2104" s="3" t="e">
        <f ca="1">[1]!BexGetData("DP_1","003N8EMH8GTFRIVNUPY288VJH","GSON2115100002")</f>
        <v>#NAME?</v>
      </c>
      <c r="L2104" s="3" t="e">
        <f ca="1">[1]!BexGetData("DP_1","003N8EMH8GTFRIVNUPY2891V1","GSON2115100002")</f>
        <v>#NAME?</v>
      </c>
      <c r="M2104" s="3" t="e">
        <f ca="1">[1]!BexGetData("DP_1","003N8EMH8GTFRIVOG7KG9IQXA","GSON2115100002")</f>
        <v>#NAME?</v>
      </c>
      <c r="N2104" s="8" t="e">
        <f ca="1">[1]!BexGetData("DP_1","003N8EMH8GTFRIVOG7KG9IX8U","GSON2115100002")</f>
        <v>#NAME?</v>
      </c>
      <c r="O2104" s="3" t="e">
        <f ca="1">[1]!BexGetData("DP_1","003N8EMH8GTFRIVOG7KG9J3KE","GSON2115100002")</f>
        <v>#NAME?</v>
      </c>
      <c r="P2104" s="8" t="e">
        <f ca="1">[1]!BexGetData("DP_1","003N8EMH8GTFRIVOG7KG9J9VY","GSON2115100002")</f>
        <v>#NAME?</v>
      </c>
      <c r="Q2104" s="4" t="e">
        <f ca="1">[1]!BexGetData("DP_1","00O2TNJGODT0G5Z4TTKYMM5MT","GSON2115100002")</f>
        <v>#NAME?</v>
      </c>
      <c r="R2104" s="4" t="e">
        <f ca="1">[1]!BexGetData("DP_1","00O2TNJGODT0G5Z4TTKYMMBYD","GSON2115100002")</f>
        <v>#NAME?</v>
      </c>
      <c r="S2104" s="4" t="e">
        <f ca="1">[1]!BexGetData("DP_1","00O2TNJGODT0G5Z4TTKYMMI9X","GSON2115100002")</f>
        <v>#NAME?</v>
      </c>
      <c r="T2104" s="4" t="e">
        <f ca="1">[1]!BexGetData("DP_1","00O2TNJGODT0G5Z4TTKYMMOLH","GSON2115100002")</f>
        <v>#NAME?</v>
      </c>
      <c r="U2104" s="4" t="e">
        <f ca="1">[1]!BexGetData("DP_1","00O2TNJGODT0G5Z4TTKYMMUX1","GSON2115100002")</f>
        <v>#NAME?</v>
      </c>
      <c r="V2104" s="4" t="e">
        <f ca="1">[1]!BexGetData("DP_1","00O2TNJGODT0G5Z4TTKYMN18L","GSON2115100002")</f>
        <v>#NAME?</v>
      </c>
      <c r="W2104" s="4" t="e">
        <f ca="1">[1]!BexGetData("DP_1","00O2TNJGODT0G5Z4TTKYMN7K5","GSON2115100002")</f>
        <v>#NAME?</v>
      </c>
    </row>
    <row r="2105" spans="1:23" x14ac:dyDescent="0.2">
      <c r="A2105" s="17" t="s">
        <v>4776</v>
      </c>
      <c r="B2105" s="7" t="s">
        <v>4777</v>
      </c>
      <c r="C2105" s="3" t="e">
        <f ca="1">[1]!BexGetData("DP_1","003N8EMH8GTFRCSWKMPXRR8GU","GSON2115100003")</f>
        <v>#NAME?</v>
      </c>
      <c r="D2105" s="3" t="e">
        <f ca="1">[1]!BexGetData("DP_1","003N8EMH8GTFRCSWKMPXRRESE","GSON2115100003")</f>
        <v>#NAME?</v>
      </c>
      <c r="E2105" s="3" t="e">
        <f ca="1">[1]!BexGetData("DP_1","003N8EMH8GTFRCSWKMPXRRL3Y","GSON2115100003")</f>
        <v>#NAME?</v>
      </c>
      <c r="F2105" s="3" t="e">
        <f ca="1">[1]!BexGetData("DP_1","003N8EMH8GTFRCSWKMPXRRRFI","GSON2115100003")</f>
        <v>#NAME?</v>
      </c>
      <c r="G2105" s="3" t="e">
        <f ca="1">[1]!BexGetData("DP_1","003N8EMH8GTFRCSWKMPXRRXR2","GSON2115100003")</f>
        <v>#NAME?</v>
      </c>
      <c r="H2105" s="3" t="e">
        <f ca="1">[1]!BexGetData("DP_1","003N8EMH8GTFRCSWKMPXRS42M","GSON2115100003")</f>
        <v>#NAME?</v>
      </c>
      <c r="I2105" s="3" t="e">
        <f ca="1">[1]!BexGetData("DP_1","003N8EMH8GTFRCSWKMPXRSAE6","GSON2115100003")</f>
        <v>#NAME?</v>
      </c>
      <c r="J2105" s="4" t="e">
        <f ca="1">[1]!BexGetData("DP_1","003N8EMH8GTFRCSWKMPXRSGPQ","GSON2115100003")</f>
        <v>#NAME?</v>
      </c>
      <c r="K2105" s="3" t="e">
        <f ca="1">[1]!BexGetData("DP_1","003N8EMH8GTFRIVNUPY288VJH","GSON2115100003")</f>
        <v>#NAME?</v>
      </c>
      <c r="L2105" s="3" t="e">
        <f ca="1">[1]!BexGetData("DP_1","003N8EMH8GTFRIVNUPY2891V1","GSON2115100003")</f>
        <v>#NAME?</v>
      </c>
      <c r="M2105" s="8" t="e">
        <f ca="1">[1]!BexGetData("DP_1","003N8EMH8GTFRIVOG7KG9IQXA","GSON2115100003")</f>
        <v>#NAME?</v>
      </c>
      <c r="N2105" s="3" t="e">
        <f ca="1">[1]!BexGetData("DP_1","003N8EMH8GTFRIVOG7KG9IX8U","GSON2115100003")</f>
        <v>#NAME?</v>
      </c>
      <c r="O2105" s="8" t="e">
        <f ca="1">[1]!BexGetData("DP_1","003N8EMH8GTFRIVOG7KG9J3KE","GSON2115100003")</f>
        <v>#NAME?</v>
      </c>
      <c r="P2105" s="3" t="e">
        <f ca="1">[1]!BexGetData("DP_1","003N8EMH8GTFRIVOG7KG9J9VY","GSON2115100003")</f>
        <v>#NAME?</v>
      </c>
      <c r="Q2105" s="4" t="e">
        <f ca="1">[1]!BexGetData("DP_1","00O2TNJGODT0G5Z4TTKYMM5MT","GSON2115100003")</f>
        <v>#NAME?</v>
      </c>
      <c r="R2105" s="3" t="e">
        <f ca="1">[1]!BexGetData("DP_1","00O2TNJGODT0G5Z4TTKYMMBYD","GSON2115100003")</f>
        <v>#NAME?</v>
      </c>
      <c r="S2105" s="3" t="e">
        <f ca="1">[1]!BexGetData("DP_1","00O2TNJGODT0G5Z4TTKYMMI9X","GSON2115100003")</f>
        <v>#NAME?</v>
      </c>
      <c r="T2105" s="3" t="e">
        <f ca="1">[1]!BexGetData("DP_1","00O2TNJGODT0G5Z4TTKYMMOLH","GSON2115100003")</f>
        <v>#NAME?</v>
      </c>
      <c r="U2105" s="8" t="e">
        <f ca="1">[1]!BexGetData("DP_1","00O2TNJGODT0G5Z4TTKYMMUX1","GSON2115100003")</f>
        <v>#NAME?</v>
      </c>
      <c r="V2105" s="3" t="e">
        <f ca="1">[1]!BexGetData("DP_1","00O2TNJGODT0G5Z4TTKYMN18L","GSON2115100003")</f>
        <v>#NAME?</v>
      </c>
      <c r="W2105" s="8" t="e">
        <f ca="1">[1]!BexGetData("DP_1","00O2TNJGODT0G5Z4TTKYMN7K5","GSON2115100003")</f>
        <v>#NAME?</v>
      </c>
    </row>
    <row r="2106" spans="1:23" x14ac:dyDescent="0.2">
      <c r="A2106" s="16" t="s">
        <v>478</v>
      </c>
      <c r="B2106" s="7" t="s">
        <v>479</v>
      </c>
      <c r="C2106" s="3" t="e">
        <f ca="1">[1]!BexGetData("DP_1","003N8EMH8GTFRCSWKMPXRR8GU","GSON2116")</f>
        <v>#NAME?</v>
      </c>
      <c r="D2106" s="3" t="e">
        <f ca="1">[1]!BexGetData("DP_1","003N8EMH8GTFRCSWKMPXRRESE","GSON2116")</f>
        <v>#NAME?</v>
      </c>
      <c r="E2106" s="3" t="e">
        <f ca="1">[1]!BexGetData("DP_1","003N8EMH8GTFRCSWKMPXRRL3Y","GSON2116")</f>
        <v>#NAME?</v>
      </c>
      <c r="F2106" s="4" t="e">
        <f ca="1">[1]!BexGetData("DP_1","003N8EMH8GTFRCSWKMPXRRRFI","GSON2116")</f>
        <v>#NAME?</v>
      </c>
      <c r="G2106" s="4" t="e">
        <f ca="1">[1]!BexGetData("DP_1","003N8EMH8GTFRCSWKMPXRRXR2","GSON2116")</f>
        <v>#NAME?</v>
      </c>
      <c r="H2106" s="4" t="e">
        <f ca="1">[1]!BexGetData("DP_1","003N8EMH8GTFRCSWKMPXRS42M","GSON2116")</f>
        <v>#NAME?</v>
      </c>
      <c r="I2106" s="4" t="e">
        <f ca="1">[1]!BexGetData("DP_1","003N8EMH8GTFRCSWKMPXRSAE6","GSON2116")</f>
        <v>#NAME?</v>
      </c>
      <c r="J2106" s="4" t="e">
        <f ca="1">[1]!BexGetData("DP_1","003N8EMH8GTFRCSWKMPXRSGPQ","GSON2116")</f>
        <v>#NAME?</v>
      </c>
      <c r="K2106" s="3" t="e">
        <f ca="1">[1]!BexGetData("DP_1","003N8EMH8GTFRIVNUPY288VJH","GSON2116")</f>
        <v>#NAME?</v>
      </c>
      <c r="L2106" s="3" t="e">
        <f ca="1">[1]!BexGetData("DP_1","003N8EMH8GTFRIVNUPY2891V1","GSON2116")</f>
        <v>#NAME?</v>
      </c>
      <c r="M2106" s="3" t="e">
        <f ca="1">[1]!BexGetData("DP_1","003N8EMH8GTFRIVOG7KG9IQXA","GSON2116")</f>
        <v>#NAME?</v>
      </c>
      <c r="N2106" s="8" t="e">
        <f ca="1">[1]!BexGetData("DP_1","003N8EMH8GTFRIVOG7KG9IX8U","GSON2116")</f>
        <v>#NAME?</v>
      </c>
      <c r="O2106" s="3" t="e">
        <f ca="1">[1]!BexGetData("DP_1","003N8EMH8GTFRIVOG7KG9J3KE","GSON2116")</f>
        <v>#NAME?</v>
      </c>
      <c r="P2106" s="8" t="e">
        <f ca="1">[1]!BexGetData("DP_1","003N8EMH8GTFRIVOG7KG9J9VY","GSON2116")</f>
        <v>#NAME?</v>
      </c>
      <c r="Q2106" s="4" t="e">
        <f ca="1">[1]!BexGetData("DP_1","00O2TNJGODT0G5Z4TTKYMM5MT","GSON2116")</f>
        <v>#NAME?</v>
      </c>
      <c r="R2106" s="4" t="e">
        <f ca="1">[1]!BexGetData("DP_1","00O2TNJGODT0G5Z4TTKYMMBYD","GSON2116")</f>
        <v>#NAME?</v>
      </c>
      <c r="S2106" s="4" t="e">
        <f ca="1">[1]!BexGetData("DP_1","00O2TNJGODT0G5Z4TTKYMMI9X","GSON2116")</f>
        <v>#NAME?</v>
      </c>
      <c r="T2106" s="4" t="e">
        <f ca="1">[1]!BexGetData("DP_1","00O2TNJGODT0G5Z4TTKYMMOLH","GSON2116")</f>
        <v>#NAME?</v>
      </c>
      <c r="U2106" s="4" t="e">
        <f ca="1">[1]!BexGetData("DP_1","00O2TNJGODT0G5Z4TTKYMMUX1","GSON2116")</f>
        <v>#NAME?</v>
      </c>
      <c r="V2106" s="4" t="e">
        <f ca="1">[1]!BexGetData("DP_1","00O2TNJGODT0G5Z4TTKYMN18L","GSON2116")</f>
        <v>#NAME?</v>
      </c>
      <c r="W2106" s="4" t="e">
        <f ca="1">[1]!BexGetData("DP_1","00O2TNJGODT0G5Z4TTKYMN7K5","GSON2116")</f>
        <v>#NAME?</v>
      </c>
    </row>
    <row r="2107" spans="1:23" x14ac:dyDescent="0.2">
      <c r="A2107" s="17" t="s">
        <v>1410</v>
      </c>
      <c r="B2107" s="7" t="s">
        <v>480</v>
      </c>
      <c r="C2107" s="3" t="e">
        <f ca="1">[1]!BexGetData("DP_1","003N8EMH8GTFRCSWKMPXRR8GU","GSON2116100001")</f>
        <v>#NAME?</v>
      </c>
      <c r="D2107" s="3" t="e">
        <f ca="1">[1]!BexGetData("DP_1","003N8EMH8GTFRCSWKMPXRRESE","GSON2116100001")</f>
        <v>#NAME?</v>
      </c>
      <c r="E2107" s="8" t="e">
        <f ca="1">[1]!BexGetData("DP_1","003N8EMH8GTFRCSWKMPXRRL3Y","GSON2116100001")</f>
        <v>#NAME?</v>
      </c>
      <c r="F2107" s="4" t="e">
        <f ca="1">[1]!BexGetData("DP_1","003N8EMH8GTFRCSWKMPXRRRFI","GSON2116100001")</f>
        <v>#NAME?</v>
      </c>
      <c r="G2107" s="4" t="e">
        <f ca="1">[1]!BexGetData("DP_1","003N8EMH8GTFRCSWKMPXRRXR2","GSON2116100001")</f>
        <v>#NAME?</v>
      </c>
      <c r="H2107" s="4" t="e">
        <f ca="1">[1]!BexGetData("DP_1","003N8EMH8GTFRCSWKMPXRS42M","GSON2116100001")</f>
        <v>#NAME?</v>
      </c>
      <c r="I2107" s="4" t="e">
        <f ca="1">[1]!BexGetData("DP_1","003N8EMH8GTFRCSWKMPXRSAE6","GSON2116100001")</f>
        <v>#NAME?</v>
      </c>
      <c r="J2107" s="4" t="e">
        <f ca="1">[1]!BexGetData("DP_1","003N8EMH8GTFRCSWKMPXRSGPQ","GSON2116100001")</f>
        <v>#NAME?</v>
      </c>
      <c r="K2107" s="8" t="e">
        <f ca="1">[1]!BexGetData("DP_1","003N8EMH8GTFRIVNUPY288VJH","GSON2116100001")</f>
        <v>#NAME?</v>
      </c>
      <c r="L2107" s="8" t="e">
        <f ca="1">[1]!BexGetData("DP_1","003N8EMH8GTFRIVNUPY2891V1","GSON2116100001")</f>
        <v>#NAME?</v>
      </c>
      <c r="M2107" s="8" t="e">
        <f ca="1">[1]!BexGetData("DP_1","003N8EMH8GTFRIVOG7KG9IQXA","GSON2116100001")</f>
        <v>#NAME?</v>
      </c>
      <c r="N2107" s="8" t="e">
        <f ca="1">[1]!BexGetData("DP_1","003N8EMH8GTFRIVOG7KG9IX8U","GSON2116100001")</f>
        <v>#NAME?</v>
      </c>
      <c r="O2107" s="8" t="e">
        <f ca="1">[1]!BexGetData("DP_1","003N8EMH8GTFRIVOG7KG9J3KE","GSON2116100001")</f>
        <v>#NAME?</v>
      </c>
      <c r="P2107" s="8" t="e">
        <f ca="1">[1]!BexGetData("DP_1","003N8EMH8GTFRIVOG7KG9J9VY","GSON2116100001")</f>
        <v>#NAME?</v>
      </c>
      <c r="Q2107" s="4" t="e">
        <f ca="1">[1]!BexGetData("DP_1","00O2TNJGODT0G5Z4TTKYMM5MT","GSON2116100001")</f>
        <v>#NAME?</v>
      </c>
      <c r="R2107" s="4" t="e">
        <f ca="1">[1]!BexGetData("DP_1","00O2TNJGODT0G5Z4TTKYMMBYD","GSON2116100001")</f>
        <v>#NAME?</v>
      </c>
      <c r="S2107" s="4" t="e">
        <f ca="1">[1]!BexGetData("DP_1","00O2TNJGODT0G5Z4TTKYMMI9X","GSON2116100001")</f>
        <v>#NAME?</v>
      </c>
      <c r="T2107" s="4" t="e">
        <f ca="1">[1]!BexGetData("DP_1","00O2TNJGODT0G5Z4TTKYMMOLH","GSON2116100001")</f>
        <v>#NAME?</v>
      </c>
      <c r="U2107" s="4" t="e">
        <f ca="1">[1]!BexGetData("DP_1","00O2TNJGODT0G5Z4TTKYMMUX1","GSON2116100001")</f>
        <v>#NAME?</v>
      </c>
      <c r="V2107" s="4" t="e">
        <f ca="1">[1]!BexGetData("DP_1","00O2TNJGODT0G5Z4TTKYMN18L","GSON2116100001")</f>
        <v>#NAME?</v>
      </c>
      <c r="W2107" s="4" t="e">
        <f ca="1">[1]!BexGetData("DP_1","00O2TNJGODT0G5Z4TTKYMN7K5","GSON2116100001")</f>
        <v>#NAME?</v>
      </c>
    </row>
    <row r="2108" spans="1:23" x14ac:dyDescent="0.2">
      <c r="A2108" s="17" t="s">
        <v>4778</v>
      </c>
      <c r="B2108" s="7" t="s">
        <v>4779</v>
      </c>
      <c r="C2108" s="3" t="e">
        <f ca="1">[1]!BexGetData("DP_1","003N8EMH8GTFRCSWKMPXRR8GU","GSON2116100003")</f>
        <v>#NAME?</v>
      </c>
      <c r="D2108" s="3" t="e">
        <f ca="1">[1]!BexGetData("DP_1","003N8EMH8GTFRCSWKMPXRRESE","GSON2116100003")</f>
        <v>#NAME?</v>
      </c>
      <c r="E2108" s="3" t="e">
        <f ca="1">[1]!BexGetData("DP_1","003N8EMH8GTFRCSWKMPXRRL3Y","GSON2116100003")</f>
        <v>#NAME?</v>
      </c>
      <c r="F2108" s="4" t="e">
        <f ca="1">[1]!BexGetData("DP_1","003N8EMH8GTFRCSWKMPXRRRFI","GSON2116100003")</f>
        <v>#NAME?</v>
      </c>
      <c r="G2108" s="4" t="e">
        <f ca="1">[1]!BexGetData("DP_1","003N8EMH8GTFRCSWKMPXRRXR2","GSON2116100003")</f>
        <v>#NAME?</v>
      </c>
      <c r="H2108" s="4" t="e">
        <f ca="1">[1]!BexGetData("DP_1","003N8EMH8GTFRCSWKMPXRS42M","GSON2116100003")</f>
        <v>#NAME?</v>
      </c>
      <c r="I2108" s="4" t="e">
        <f ca="1">[1]!BexGetData("DP_1","003N8EMH8GTFRCSWKMPXRSAE6","GSON2116100003")</f>
        <v>#NAME?</v>
      </c>
      <c r="J2108" s="4" t="e">
        <f ca="1">[1]!BexGetData("DP_1","003N8EMH8GTFRCSWKMPXRSGPQ","GSON2116100003")</f>
        <v>#NAME?</v>
      </c>
      <c r="K2108" s="3" t="e">
        <f ca="1">[1]!BexGetData("DP_1","003N8EMH8GTFRIVNUPY288VJH","GSON2116100003")</f>
        <v>#NAME?</v>
      </c>
      <c r="L2108" s="3" t="e">
        <f ca="1">[1]!BexGetData("DP_1","003N8EMH8GTFRIVNUPY2891V1","GSON2116100003")</f>
        <v>#NAME?</v>
      </c>
      <c r="M2108" s="3" t="e">
        <f ca="1">[1]!BexGetData("DP_1","003N8EMH8GTFRIVOG7KG9IQXA","GSON2116100003")</f>
        <v>#NAME?</v>
      </c>
      <c r="N2108" s="8" t="e">
        <f ca="1">[1]!BexGetData("DP_1","003N8EMH8GTFRIVOG7KG9IX8U","GSON2116100003")</f>
        <v>#NAME?</v>
      </c>
      <c r="O2108" s="3" t="e">
        <f ca="1">[1]!BexGetData("DP_1","003N8EMH8GTFRIVOG7KG9J3KE","GSON2116100003")</f>
        <v>#NAME?</v>
      </c>
      <c r="P2108" s="8" t="e">
        <f ca="1">[1]!BexGetData("DP_1","003N8EMH8GTFRIVOG7KG9J9VY","GSON2116100003")</f>
        <v>#NAME?</v>
      </c>
      <c r="Q2108" s="4" t="e">
        <f ca="1">[1]!BexGetData("DP_1","00O2TNJGODT0G5Z4TTKYMM5MT","GSON2116100003")</f>
        <v>#NAME?</v>
      </c>
      <c r="R2108" s="4" t="e">
        <f ca="1">[1]!BexGetData("DP_1","00O2TNJGODT0G5Z4TTKYMMBYD","GSON2116100003")</f>
        <v>#NAME?</v>
      </c>
      <c r="S2108" s="4" t="e">
        <f ca="1">[1]!BexGetData("DP_1","00O2TNJGODT0G5Z4TTKYMMI9X","GSON2116100003")</f>
        <v>#NAME?</v>
      </c>
      <c r="T2108" s="4" t="e">
        <f ca="1">[1]!BexGetData("DP_1","00O2TNJGODT0G5Z4TTKYMMOLH","GSON2116100003")</f>
        <v>#NAME?</v>
      </c>
      <c r="U2108" s="4" t="e">
        <f ca="1">[1]!BexGetData("DP_1","00O2TNJGODT0G5Z4TTKYMMUX1","GSON2116100003")</f>
        <v>#NAME?</v>
      </c>
      <c r="V2108" s="4" t="e">
        <f ca="1">[1]!BexGetData("DP_1","00O2TNJGODT0G5Z4TTKYMN18L","GSON2116100003")</f>
        <v>#NAME?</v>
      </c>
      <c r="W2108" s="4" t="e">
        <f ca="1">[1]!BexGetData("DP_1","00O2TNJGODT0G5Z4TTKYMN7K5","GSON2116100003")</f>
        <v>#NAME?</v>
      </c>
    </row>
    <row r="2109" spans="1:23" x14ac:dyDescent="0.2">
      <c r="A2109" s="16" t="s">
        <v>97</v>
      </c>
      <c r="B2109" s="7" t="s">
        <v>98</v>
      </c>
      <c r="C2109" s="3" t="e">
        <f ca="1">[1]!BexGetData("DP_1","003N8EMH8GTFRCSWKMPXRR8GU","GSON2117")</f>
        <v>#NAME?</v>
      </c>
      <c r="D2109" s="3" t="e">
        <f ca="1">[1]!BexGetData("DP_1","003N8EMH8GTFRCSWKMPXRRESE","GSON2117")</f>
        <v>#NAME?</v>
      </c>
      <c r="E2109" s="3" t="e">
        <f ca="1">[1]!BexGetData("DP_1","003N8EMH8GTFRCSWKMPXRRL3Y","GSON2117")</f>
        <v>#NAME?</v>
      </c>
      <c r="F2109" s="3" t="e">
        <f ca="1">[1]!BexGetData("DP_1","003N8EMH8GTFRCSWKMPXRRRFI","GSON2117")</f>
        <v>#NAME?</v>
      </c>
      <c r="G2109" s="3" t="e">
        <f ca="1">[1]!BexGetData("DP_1","003N8EMH8GTFRCSWKMPXRRXR2","GSON2117")</f>
        <v>#NAME?</v>
      </c>
      <c r="H2109" s="3" t="e">
        <f ca="1">[1]!BexGetData("DP_1","003N8EMH8GTFRCSWKMPXRS42M","GSON2117")</f>
        <v>#NAME?</v>
      </c>
      <c r="I2109" s="3" t="e">
        <f ca="1">[1]!BexGetData("DP_1","003N8EMH8GTFRCSWKMPXRSAE6","GSON2117")</f>
        <v>#NAME?</v>
      </c>
      <c r="J2109" s="4" t="e">
        <f ca="1">[1]!BexGetData("DP_1","003N8EMH8GTFRCSWKMPXRSGPQ","GSON2117")</f>
        <v>#NAME?</v>
      </c>
      <c r="K2109" s="3" t="e">
        <f ca="1">[1]!BexGetData("DP_1","003N8EMH8GTFRIVNUPY288VJH","GSON2117")</f>
        <v>#NAME?</v>
      </c>
      <c r="L2109" s="3" t="e">
        <f ca="1">[1]!BexGetData("DP_1","003N8EMH8GTFRIVNUPY2891V1","GSON2117")</f>
        <v>#NAME?</v>
      </c>
      <c r="M2109" s="3" t="e">
        <f ca="1">[1]!BexGetData("DP_1","003N8EMH8GTFRIVOG7KG9IQXA","GSON2117")</f>
        <v>#NAME?</v>
      </c>
      <c r="N2109" s="8" t="e">
        <f ca="1">[1]!BexGetData("DP_1","003N8EMH8GTFRIVOG7KG9IX8U","GSON2117")</f>
        <v>#NAME?</v>
      </c>
      <c r="O2109" s="3" t="e">
        <f ca="1">[1]!BexGetData("DP_1","003N8EMH8GTFRIVOG7KG9J3KE","GSON2117")</f>
        <v>#NAME?</v>
      </c>
      <c r="P2109" s="8" t="e">
        <f ca="1">[1]!BexGetData("DP_1","003N8EMH8GTFRIVOG7KG9J9VY","GSON2117")</f>
        <v>#NAME?</v>
      </c>
      <c r="Q2109" s="4" t="e">
        <f ca="1">[1]!BexGetData("DP_1","00O2TNJGODT0G5Z4TTKYMM5MT","GSON2117")</f>
        <v>#NAME?</v>
      </c>
      <c r="R2109" s="3" t="e">
        <f ca="1">[1]!BexGetData("DP_1","00O2TNJGODT0G5Z4TTKYMMBYD","GSON2117")</f>
        <v>#NAME?</v>
      </c>
      <c r="S2109" s="3" t="e">
        <f ca="1">[1]!BexGetData("DP_1","00O2TNJGODT0G5Z4TTKYMMI9X","GSON2117")</f>
        <v>#NAME?</v>
      </c>
      <c r="T2109" s="3" t="e">
        <f ca="1">[1]!BexGetData("DP_1","00O2TNJGODT0G5Z4TTKYMMOLH","GSON2117")</f>
        <v>#NAME?</v>
      </c>
      <c r="U2109" s="8" t="e">
        <f ca="1">[1]!BexGetData("DP_1","00O2TNJGODT0G5Z4TTKYMMUX1","GSON2117")</f>
        <v>#NAME?</v>
      </c>
      <c r="V2109" s="3" t="e">
        <f ca="1">[1]!BexGetData("DP_1","00O2TNJGODT0G5Z4TTKYMN18L","GSON2117")</f>
        <v>#NAME?</v>
      </c>
      <c r="W2109" s="8" t="e">
        <f ca="1">[1]!BexGetData("DP_1","00O2TNJGODT0G5Z4TTKYMN7K5","GSON2117")</f>
        <v>#NAME?</v>
      </c>
    </row>
    <row r="2110" spans="1:23" x14ac:dyDescent="0.2">
      <c r="A2110" s="17" t="s">
        <v>349</v>
      </c>
      <c r="B2110" s="7" t="s">
        <v>350</v>
      </c>
      <c r="C2110" s="3" t="e">
        <f ca="1">[1]!BexGetData("DP_1","003N8EMH8GTFRCSWKMPXRR8GU","GSON2117110001")</f>
        <v>#NAME?</v>
      </c>
      <c r="D2110" s="3" t="e">
        <f ca="1">[1]!BexGetData("DP_1","003N8EMH8GTFRCSWKMPXRRESE","GSON2117110001")</f>
        <v>#NAME?</v>
      </c>
      <c r="E2110" s="3" t="e">
        <f ca="1">[1]!BexGetData("DP_1","003N8EMH8GTFRCSWKMPXRRL3Y","GSON2117110001")</f>
        <v>#NAME?</v>
      </c>
      <c r="F2110" s="4" t="e">
        <f ca="1">[1]!BexGetData("DP_1","003N8EMH8GTFRCSWKMPXRRRFI","GSON2117110001")</f>
        <v>#NAME?</v>
      </c>
      <c r="G2110" s="4" t="e">
        <f ca="1">[1]!BexGetData("DP_1","003N8EMH8GTFRCSWKMPXRRXR2","GSON2117110001")</f>
        <v>#NAME?</v>
      </c>
      <c r="H2110" s="4" t="e">
        <f ca="1">[1]!BexGetData("DP_1","003N8EMH8GTFRCSWKMPXRS42M","GSON2117110001")</f>
        <v>#NAME?</v>
      </c>
      <c r="I2110" s="4" t="e">
        <f ca="1">[1]!BexGetData("DP_1","003N8EMH8GTFRCSWKMPXRSAE6","GSON2117110001")</f>
        <v>#NAME?</v>
      </c>
      <c r="J2110" s="4" t="e">
        <f ca="1">[1]!BexGetData("DP_1","003N8EMH8GTFRCSWKMPXRSGPQ","GSON2117110001")</f>
        <v>#NAME?</v>
      </c>
      <c r="K2110" s="3" t="e">
        <f ca="1">[1]!BexGetData("DP_1","003N8EMH8GTFRIVNUPY288VJH","GSON2117110001")</f>
        <v>#NAME?</v>
      </c>
      <c r="L2110" s="3" t="e">
        <f ca="1">[1]!BexGetData("DP_1","003N8EMH8GTFRIVNUPY2891V1","GSON2117110001")</f>
        <v>#NAME?</v>
      </c>
      <c r="M2110" s="3" t="e">
        <f ca="1">[1]!BexGetData("DP_1","003N8EMH8GTFRIVOG7KG9IQXA","GSON2117110001")</f>
        <v>#NAME?</v>
      </c>
      <c r="N2110" s="8" t="e">
        <f ca="1">[1]!BexGetData("DP_1","003N8EMH8GTFRIVOG7KG9IX8U","GSON2117110001")</f>
        <v>#NAME?</v>
      </c>
      <c r="O2110" s="3" t="e">
        <f ca="1">[1]!BexGetData("DP_1","003N8EMH8GTFRIVOG7KG9J3KE","GSON2117110001")</f>
        <v>#NAME?</v>
      </c>
      <c r="P2110" s="8" t="e">
        <f ca="1">[1]!BexGetData("DP_1","003N8EMH8GTFRIVOG7KG9J9VY","GSON2117110001")</f>
        <v>#NAME?</v>
      </c>
      <c r="Q2110" s="4" t="e">
        <f ca="1">[1]!BexGetData("DP_1","00O2TNJGODT0G5Z4TTKYMM5MT","GSON2117110001")</f>
        <v>#NAME?</v>
      </c>
      <c r="R2110" s="4" t="e">
        <f ca="1">[1]!BexGetData("DP_1","00O2TNJGODT0G5Z4TTKYMMBYD","GSON2117110001")</f>
        <v>#NAME?</v>
      </c>
      <c r="S2110" s="4" t="e">
        <f ca="1">[1]!BexGetData("DP_1","00O2TNJGODT0G5Z4TTKYMMI9X","GSON2117110001")</f>
        <v>#NAME?</v>
      </c>
      <c r="T2110" s="4" t="e">
        <f ca="1">[1]!BexGetData("DP_1","00O2TNJGODT0G5Z4TTKYMMOLH","GSON2117110001")</f>
        <v>#NAME?</v>
      </c>
      <c r="U2110" s="4" t="e">
        <f ca="1">[1]!BexGetData("DP_1","00O2TNJGODT0G5Z4TTKYMMUX1","GSON2117110001")</f>
        <v>#NAME?</v>
      </c>
      <c r="V2110" s="4" t="e">
        <f ca="1">[1]!BexGetData("DP_1","00O2TNJGODT0G5Z4TTKYMN18L","GSON2117110001")</f>
        <v>#NAME?</v>
      </c>
      <c r="W2110" s="4" t="e">
        <f ca="1">[1]!BexGetData("DP_1","00O2TNJGODT0G5Z4TTKYMN7K5","GSON2117110001")</f>
        <v>#NAME?</v>
      </c>
    </row>
    <row r="2111" spans="1:23" x14ac:dyDescent="0.2">
      <c r="A2111" s="17" t="s">
        <v>1411</v>
      </c>
      <c r="B2111" s="7" t="s">
        <v>351</v>
      </c>
      <c r="C2111" s="3" t="e">
        <f ca="1">[1]!BexGetData("DP_1","003N8EMH8GTFRCSWKMPXRR8GU","GSON2117110002")</f>
        <v>#NAME?</v>
      </c>
      <c r="D2111" s="3" t="e">
        <f ca="1">[1]!BexGetData("DP_1","003N8EMH8GTFRCSWKMPXRRESE","GSON2117110002")</f>
        <v>#NAME?</v>
      </c>
      <c r="E2111" s="3" t="e">
        <f ca="1">[1]!BexGetData("DP_1","003N8EMH8GTFRCSWKMPXRRL3Y","GSON2117110002")</f>
        <v>#NAME?</v>
      </c>
      <c r="F2111" s="4" t="e">
        <f ca="1">[1]!BexGetData("DP_1","003N8EMH8GTFRCSWKMPXRRRFI","GSON2117110002")</f>
        <v>#NAME?</v>
      </c>
      <c r="G2111" s="4" t="e">
        <f ca="1">[1]!BexGetData("DP_1","003N8EMH8GTFRCSWKMPXRRXR2","GSON2117110002")</f>
        <v>#NAME?</v>
      </c>
      <c r="H2111" s="4" t="e">
        <f ca="1">[1]!BexGetData("DP_1","003N8EMH8GTFRCSWKMPXRS42M","GSON2117110002")</f>
        <v>#NAME?</v>
      </c>
      <c r="I2111" s="4" t="e">
        <f ca="1">[1]!BexGetData("DP_1","003N8EMH8GTFRCSWKMPXRSAE6","GSON2117110002")</f>
        <v>#NAME?</v>
      </c>
      <c r="J2111" s="4" t="e">
        <f ca="1">[1]!BexGetData("DP_1","003N8EMH8GTFRCSWKMPXRSGPQ","GSON2117110002")</f>
        <v>#NAME?</v>
      </c>
      <c r="K2111" s="3" t="e">
        <f ca="1">[1]!BexGetData("DP_1","003N8EMH8GTFRIVNUPY288VJH","GSON2117110002")</f>
        <v>#NAME?</v>
      </c>
      <c r="L2111" s="3" t="e">
        <f ca="1">[1]!BexGetData("DP_1","003N8EMH8GTFRIVNUPY2891V1","GSON2117110002")</f>
        <v>#NAME?</v>
      </c>
      <c r="M2111" s="3" t="e">
        <f ca="1">[1]!BexGetData("DP_1","003N8EMH8GTFRIVOG7KG9IQXA","GSON2117110002")</f>
        <v>#NAME?</v>
      </c>
      <c r="N2111" s="8" t="e">
        <f ca="1">[1]!BexGetData("DP_1","003N8EMH8GTFRIVOG7KG9IX8U","GSON2117110002")</f>
        <v>#NAME?</v>
      </c>
      <c r="O2111" s="3" t="e">
        <f ca="1">[1]!BexGetData("DP_1","003N8EMH8GTFRIVOG7KG9J3KE","GSON2117110002")</f>
        <v>#NAME?</v>
      </c>
      <c r="P2111" s="8" t="e">
        <f ca="1">[1]!BexGetData("DP_1","003N8EMH8GTFRIVOG7KG9J9VY","GSON2117110002")</f>
        <v>#NAME?</v>
      </c>
      <c r="Q2111" s="4" t="e">
        <f ca="1">[1]!BexGetData("DP_1","00O2TNJGODT0G5Z4TTKYMM5MT","GSON2117110002")</f>
        <v>#NAME?</v>
      </c>
      <c r="R2111" s="4" t="e">
        <f ca="1">[1]!BexGetData("DP_1","00O2TNJGODT0G5Z4TTKYMMBYD","GSON2117110002")</f>
        <v>#NAME?</v>
      </c>
      <c r="S2111" s="4" t="e">
        <f ca="1">[1]!BexGetData("DP_1","00O2TNJGODT0G5Z4TTKYMMI9X","GSON2117110002")</f>
        <v>#NAME?</v>
      </c>
      <c r="T2111" s="4" t="e">
        <f ca="1">[1]!BexGetData("DP_1","00O2TNJGODT0G5Z4TTKYMMOLH","GSON2117110002")</f>
        <v>#NAME?</v>
      </c>
      <c r="U2111" s="4" t="e">
        <f ca="1">[1]!BexGetData("DP_1","00O2TNJGODT0G5Z4TTKYMMUX1","GSON2117110002")</f>
        <v>#NAME?</v>
      </c>
      <c r="V2111" s="4" t="e">
        <f ca="1">[1]!BexGetData("DP_1","00O2TNJGODT0G5Z4TTKYMN18L","GSON2117110002")</f>
        <v>#NAME?</v>
      </c>
      <c r="W2111" s="4" t="e">
        <f ca="1">[1]!BexGetData("DP_1","00O2TNJGODT0G5Z4TTKYMN7K5","GSON2117110002")</f>
        <v>#NAME?</v>
      </c>
    </row>
    <row r="2112" spans="1:23" x14ac:dyDescent="0.2">
      <c r="A2112" s="17" t="s">
        <v>4780</v>
      </c>
      <c r="B2112" s="7" t="s">
        <v>4781</v>
      </c>
      <c r="C2112" s="3" t="e">
        <f ca="1">[1]!BexGetData("DP_1","003N8EMH8GTFRCSWKMPXRR8GU","GSON2117110003")</f>
        <v>#NAME?</v>
      </c>
      <c r="D2112" s="3" t="e">
        <f ca="1">[1]!BexGetData("DP_1","003N8EMH8GTFRCSWKMPXRRESE","GSON2117110003")</f>
        <v>#NAME?</v>
      </c>
      <c r="E2112" s="8" t="e">
        <f ca="1">[1]!BexGetData("DP_1","003N8EMH8GTFRCSWKMPXRRL3Y","GSON2117110003")</f>
        <v>#NAME?</v>
      </c>
      <c r="F2112" s="4" t="e">
        <f ca="1">[1]!BexGetData("DP_1","003N8EMH8GTFRCSWKMPXRRRFI","GSON2117110003")</f>
        <v>#NAME?</v>
      </c>
      <c r="G2112" s="4" t="e">
        <f ca="1">[1]!BexGetData("DP_1","003N8EMH8GTFRCSWKMPXRRXR2","GSON2117110003")</f>
        <v>#NAME?</v>
      </c>
      <c r="H2112" s="4" t="e">
        <f ca="1">[1]!BexGetData("DP_1","003N8EMH8GTFRCSWKMPXRS42M","GSON2117110003")</f>
        <v>#NAME?</v>
      </c>
      <c r="I2112" s="4" t="e">
        <f ca="1">[1]!BexGetData("DP_1","003N8EMH8GTFRCSWKMPXRSAE6","GSON2117110003")</f>
        <v>#NAME?</v>
      </c>
      <c r="J2112" s="4" t="e">
        <f ca="1">[1]!BexGetData("DP_1","003N8EMH8GTFRCSWKMPXRSGPQ","GSON2117110003")</f>
        <v>#NAME?</v>
      </c>
      <c r="K2112" s="8" t="e">
        <f ca="1">[1]!BexGetData("DP_1","003N8EMH8GTFRIVNUPY288VJH","GSON2117110003")</f>
        <v>#NAME?</v>
      </c>
      <c r="L2112" s="8" t="e">
        <f ca="1">[1]!BexGetData("DP_1","003N8EMH8GTFRIVNUPY2891V1","GSON2117110003")</f>
        <v>#NAME?</v>
      </c>
      <c r="M2112" s="8" t="e">
        <f ca="1">[1]!BexGetData("DP_1","003N8EMH8GTFRIVOG7KG9IQXA","GSON2117110003")</f>
        <v>#NAME?</v>
      </c>
      <c r="N2112" s="8" t="e">
        <f ca="1">[1]!BexGetData("DP_1","003N8EMH8GTFRIVOG7KG9IX8U","GSON2117110003")</f>
        <v>#NAME?</v>
      </c>
      <c r="O2112" s="8" t="e">
        <f ca="1">[1]!BexGetData("DP_1","003N8EMH8GTFRIVOG7KG9J3KE","GSON2117110003")</f>
        <v>#NAME?</v>
      </c>
      <c r="P2112" s="8" t="e">
        <f ca="1">[1]!BexGetData("DP_1","003N8EMH8GTFRIVOG7KG9J9VY","GSON2117110003")</f>
        <v>#NAME?</v>
      </c>
      <c r="Q2112" s="4" t="e">
        <f ca="1">[1]!BexGetData("DP_1","00O2TNJGODT0G5Z4TTKYMM5MT","GSON2117110003")</f>
        <v>#NAME?</v>
      </c>
      <c r="R2112" s="4" t="e">
        <f ca="1">[1]!BexGetData("DP_1","00O2TNJGODT0G5Z4TTKYMMBYD","GSON2117110003")</f>
        <v>#NAME?</v>
      </c>
      <c r="S2112" s="4" t="e">
        <f ca="1">[1]!BexGetData("DP_1","00O2TNJGODT0G5Z4TTKYMMI9X","GSON2117110003")</f>
        <v>#NAME?</v>
      </c>
      <c r="T2112" s="4" t="e">
        <f ca="1">[1]!BexGetData("DP_1","00O2TNJGODT0G5Z4TTKYMMOLH","GSON2117110003")</f>
        <v>#NAME?</v>
      </c>
      <c r="U2112" s="4" t="e">
        <f ca="1">[1]!BexGetData("DP_1","00O2TNJGODT0G5Z4TTKYMMUX1","GSON2117110003")</f>
        <v>#NAME?</v>
      </c>
      <c r="V2112" s="4" t="e">
        <f ca="1">[1]!BexGetData("DP_1","00O2TNJGODT0G5Z4TTKYMN18L","GSON2117110003")</f>
        <v>#NAME?</v>
      </c>
      <c r="W2112" s="4" t="e">
        <f ca="1">[1]!BexGetData("DP_1","00O2TNJGODT0G5Z4TTKYMN7K5","GSON2117110003")</f>
        <v>#NAME?</v>
      </c>
    </row>
    <row r="2113" spans="1:23" x14ac:dyDescent="0.2">
      <c r="A2113" s="17" t="s">
        <v>352</v>
      </c>
      <c r="B2113" s="7" t="s">
        <v>353</v>
      </c>
      <c r="C2113" s="3" t="e">
        <f ca="1">[1]!BexGetData("DP_1","003N8EMH8GTFRCSWKMPXRR8GU","GSON2117110004")</f>
        <v>#NAME?</v>
      </c>
      <c r="D2113" s="3" t="e">
        <f ca="1">[1]!BexGetData("DP_1","003N8EMH8GTFRCSWKMPXRRESE","GSON2117110004")</f>
        <v>#NAME?</v>
      </c>
      <c r="E2113" s="3" t="e">
        <f ca="1">[1]!BexGetData("DP_1","003N8EMH8GTFRCSWKMPXRRL3Y","GSON2117110004")</f>
        <v>#NAME?</v>
      </c>
      <c r="F2113" s="4" t="e">
        <f ca="1">[1]!BexGetData("DP_1","003N8EMH8GTFRCSWKMPXRRRFI","GSON2117110004")</f>
        <v>#NAME?</v>
      </c>
      <c r="G2113" s="4" t="e">
        <f ca="1">[1]!BexGetData("DP_1","003N8EMH8GTFRCSWKMPXRRXR2","GSON2117110004")</f>
        <v>#NAME?</v>
      </c>
      <c r="H2113" s="4" t="e">
        <f ca="1">[1]!BexGetData("DP_1","003N8EMH8GTFRCSWKMPXRS42M","GSON2117110004")</f>
        <v>#NAME?</v>
      </c>
      <c r="I2113" s="4" t="e">
        <f ca="1">[1]!BexGetData("DP_1","003N8EMH8GTFRCSWKMPXRSAE6","GSON2117110004")</f>
        <v>#NAME?</v>
      </c>
      <c r="J2113" s="4" t="e">
        <f ca="1">[1]!BexGetData("DP_1","003N8EMH8GTFRCSWKMPXRSGPQ","GSON2117110004")</f>
        <v>#NAME?</v>
      </c>
      <c r="K2113" s="3" t="e">
        <f ca="1">[1]!BexGetData("DP_1","003N8EMH8GTFRIVNUPY288VJH","GSON2117110004")</f>
        <v>#NAME?</v>
      </c>
      <c r="L2113" s="3" t="e">
        <f ca="1">[1]!BexGetData("DP_1","003N8EMH8GTFRIVNUPY2891V1","GSON2117110004")</f>
        <v>#NAME?</v>
      </c>
      <c r="M2113" s="3" t="e">
        <f ca="1">[1]!BexGetData("DP_1","003N8EMH8GTFRIVOG7KG9IQXA","GSON2117110004")</f>
        <v>#NAME?</v>
      </c>
      <c r="N2113" s="8" t="e">
        <f ca="1">[1]!BexGetData("DP_1","003N8EMH8GTFRIVOG7KG9IX8U","GSON2117110004")</f>
        <v>#NAME?</v>
      </c>
      <c r="O2113" s="3" t="e">
        <f ca="1">[1]!BexGetData("DP_1","003N8EMH8GTFRIVOG7KG9J3KE","GSON2117110004")</f>
        <v>#NAME?</v>
      </c>
      <c r="P2113" s="8" t="e">
        <f ca="1">[1]!BexGetData("DP_1","003N8EMH8GTFRIVOG7KG9J9VY","GSON2117110004")</f>
        <v>#NAME?</v>
      </c>
      <c r="Q2113" s="4" t="e">
        <f ca="1">[1]!BexGetData("DP_1","00O2TNJGODT0G5Z4TTKYMM5MT","GSON2117110004")</f>
        <v>#NAME?</v>
      </c>
      <c r="R2113" s="4" t="e">
        <f ca="1">[1]!BexGetData("DP_1","00O2TNJGODT0G5Z4TTKYMMBYD","GSON2117110004")</f>
        <v>#NAME?</v>
      </c>
      <c r="S2113" s="4" t="e">
        <f ca="1">[1]!BexGetData("DP_1","00O2TNJGODT0G5Z4TTKYMMI9X","GSON2117110004")</f>
        <v>#NAME?</v>
      </c>
      <c r="T2113" s="4" t="e">
        <f ca="1">[1]!BexGetData("DP_1","00O2TNJGODT0G5Z4TTKYMMOLH","GSON2117110004")</f>
        <v>#NAME?</v>
      </c>
      <c r="U2113" s="4" t="e">
        <f ca="1">[1]!BexGetData("DP_1","00O2TNJGODT0G5Z4TTKYMMUX1","GSON2117110004")</f>
        <v>#NAME?</v>
      </c>
      <c r="V2113" s="4" t="e">
        <f ca="1">[1]!BexGetData("DP_1","00O2TNJGODT0G5Z4TTKYMN18L","GSON2117110004")</f>
        <v>#NAME?</v>
      </c>
      <c r="W2113" s="4" t="e">
        <f ca="1">[1]!BexGetData("DP_1","00O2TNJGODT0G5Z4TTKYMN7K5","GSON2117110004")</f>
        <v>#NAME?</v>
      </c>
    </row>
    <row r="2114" spans="1:23" x14ac:dyDescent="0.2">
      <c r="A2114" s="17" t="s">
        <v>481</v>
      </c>
      <c r="B2114" s="7" t="s">
        <v>482</v>
      </c>
      <c r="C2114" s="3" t="e">
        <f ca="1">[1]!BexGetData("DP_1","003N8EMH8GTFRCSWKMPXRR8GU","GSON2117110005")</f>
        <v>#NAME?</v>
      </c>
      <c r="D2114" s="3" t="e">
        <f ca="1">[1]!BexGetData("DP_1","003N8EMH8GTFRCSWKMPXRRESE","GSON2117110005")</f>
        <v>#NAME?</v>
      </c>
      <c r="E2114" s="3" t="e">
        <f ca="1">[1]!BexGetData("DP_1","003N8EMH8GTFRCSWKMPXRRL3Y","GSON2117110005")</f>
        <v>#NAME?</v>
      </c>
      <c r="F2114" s="4" t="e">
        <f ca="1">[1]!BexGetData("DP_1","003N8EMH8GTFRCSWKMPXRRRFI","GSON2117110005")</f>
        <v>#NAME?</v>
      </c>
      <c r="G2114" s="4" t="e">
        <f ca="1">[1]!BexGetData("DP_1","003N8EMH8GTFRCSWKMPXRRXR2","GSON2117110005")</f>
        <v>#NAME?</v>
      </c>
      <c r="H2114" s="4" t="e">
        <f ca="1">[1]!BexGetData("DP_1","003N8EMH8GTFRCSWKMPXRS42M","GSON2117110005")</f>
        <v>#NAME?</v>
      </c>
      <c r="I2114" s="4" t="e">
        <f ca="1">[1]!BexGetData("DP_1","003N8EMH8GTFRCSWKMPXRSAE6","GSON2117110005")</f>
        <v>#NAME?</v>
      </c>
      <c r="J2114" s="4" t="e">
        <f ca="1">[1]!BexGetData("DP_1","003N8EMH8GTFRCSWKMPXRSGPQ","GSON2117110005")</f>
        <v>#NAME?</v>
      </c>
      <c r="K2114" s="3" t="e">
        <f ca="1">[1]!BexGetData("DP_1","003N8EMH8GTFRIVNUPY288VJH","GSON2117110005")</f>
        <v>#NAME?</v>
      </c>
      <c r="L2114" s="3" t="e">
        <f ca="1">[1]!BexGetData("DP_1","003N8EMH8GTFRIVNUPY2891V1","GSON2117110005")</f>
        <v>#NAME?</v>
      </c>
      <c r="M2114" s="3" t="e">
        <f ca="1">[1]!BexGetData("DP_1","003N8EMH8GTFRIVOG7KG9IQXA","GSON2117110005")</f>
        <v>#NAME?</v>
      </c>
      <c r="N2114" s="8" t="e">
        <f ca="1">[1]!BexGetData("DP_1","003N8EMH8GTFRIVOG7KG9IX8U","GSON2117110005")</f>
        <v>#NAME?</v>
      </c>
      <c r="O2114" s="3" t="e">
        <f ca="1">[1]!BexGetData("DP_1","003N8EMH8GTFRIVOG7KG9J3KE","GSON2117110005")</f>
        <v>#NAME?</v>
      </c>
      <c r="P2114" s="8" t="e">
        <f ca="1">[1]!BexGetData("DP_1","003N8EMH8GTFRIVOG7KG9J9VY","GSON2117110005")</f>
        <v>#NAME?</v>
      </c>
      <c r="Q2114" s="4" t="e">
        <f ca="1">[1]!BexGetData("DP_1","00O2TNJGODT0G5Z4TTKYMM5MT","GSON2117110005")</f>
        <v>#NAME?</v>
      </c>
      <c r="R2114" s="4" t="e">
        <f ca="1">[1]!BexGetData("DP_1","00O2TNJGODT0G5Z4TTKYMMBYD","GSON2117110005")</f>
        <v>#NAME?</v>
      </c>
      <c r="S2114" s="4" t="e">
        <f ca="1">[1]!BexGetData("DP_1","00O2TNJGODT0G5Z4TTKYMMI9X","GSON2117110005")</f>
        <v>#NAME?</v>
      </c>
      <c r="T2114" s="4" t="e">
        <f ca="1">[1]!BexGetData("DP_1","00O2TNJGODT0G5Z4TTKYMMOLH","GSON2117110005")</f>
        <v>#NAME?</v>
      </c>
      <c r="U2114" s="4" t="e">
        <f ca="1">[1]!BexGetData("DP_1","00O2TNJGODT0G5Z4TTKYMMUX1","GSON2117110005")</f>
        <v>#NAME?</v>
      </c>
      <c r="V2114" s="4" t="e">
        <f ca="1">[1]!BexGetData("DP_1","00O2TNJGODT0G5Z4TTKYMN18L","GSON2117110005")</f>
        <v>#NAME?</v>
      </c>
      <c r="W2114" s="4" t="e">
        <f ca="1">[1]!BexGetData("DP_1","00O2TNJGODT0G5Z4TTKYMN7K5","GSON2117110005")</f>
        <v>#NAME?</v>
      </c>
    </row>
    <row r="2115" spans="1:23" x14ac:dyDescent="0.2">
      <c r="A2115" s="17" t="s">
        <v>4782</v>
      </c>
      <c r="B2115" s="7" t="s">
        <v>4783</v>
      </c>
      <c r="C2115" s="3" t="e">
        <f ca="1">[1]!BexGetData("DP_1","003N8EMH8GTFRCSWKMPXRR8GU","GSON2117110006")</f>
        <v>#NAME?</v>
      </c>
      <c r="D2115" s="3" t="e">
        <f ca="1">[1]!BexGetData("DP_1","003N8EMH8GTFRCSWKMPXRRESE","GSON2117110006")</f>
        <v>#NAME?</v>
      </c>
      <c r="E2115" s="3" t="e">
        <f ca="1">[1]!BexGetData("DP_1","003N8EMH8GTFRCSWKMPXRRL3Y","GSON2117110006")</f>
        <v>#NAME?</v>
      </c>
      <c r="F2115" s="4" t="e">
        <f ca="1">[1]!BexGetData("DP_1","003N8EMH8GTFRCSWKMPXRRRFI","GSON2117110006")</f>
        <v>#NAME?</v>
      </c>
      <c r="G2115" s="4" t="e">
        <f ca="1">[1]!BexGetData("DP_1","003N8EMH8GTFRCSWKMPXRRXR2","GSON2117110006")</f>
        <v>#NAME?</v>
      </c>
      <c r="H2115" s="4" t="e">
        <f ca="1">[1]!BexGetData("DP_1","003N8EMH8GTFRCSWKMPXRS42M","GSON2117110006")</f>
        <v>#NAME?</v>
      </c>
      <c r="I2115" s="4" t="e">
        <f ca="1">[1]!BexGetData("DP_1","003N8EMH8GTFRCSWKMPXRSAE6","GSON2117110006")</f>
        <v>#NAME?</v>
      </c>
      <c r="J2115" s="4" t="e">
        <f ca="1">[1]!BexGetData("DP_1","003N8EMH8GTFRCSWKMPXRSGPQ","GSON2117110006")</f>
        <v>#NAME?</v>
      </c>
      <c r="K2115" s="3" t="e">
        <f ca="1">[1]!BexGetData("DP_1","003N8EMH8GTFRIVNUPY288VJH","GSON2117110006")</f>
        <v>#NAME?</v>
      </c>
      <c r="L2115" s="3" t="e">
        <f ca="1">[1]!BexGetData("DP_1","003N8EMH8GTFRIVNUPY2891V1","GSON2117110006")</f>
        <v>#NAME?</v>
      </c>
      <c r="M2115" s="3" t="e">
        <f ca="1">[1]!BexGetData("DP_1","003N8EMH8GTFRIVOG7KG9IQXA","GSON2117110006")</f>
        <v>#NAME?</v>
      </c>
      <c r="N2115" s="8" t="e">
        <f ca="1">[1]!BexGetData("DP_1","003N8EMH8GTFRIVOG7KG9IX8U","GSON2117110006")</f>
        <v>#NAME?</v>
      </c>
      <c r="O2115" s="3" t="e">
        <f ca="1">[1]!BexGetData("DP_1","003N8EMH8GTFRIVOG7KG9J3KE","GSON2117110006")</f>
        <v>#NAME?</v>
      </c>
      <c r="P2115" s="8" t="e">
        <f ca="1">[1]!BexGetData("DP_1","003N8EMH8GTFRIVOG7KG9J9VY","GSON2117110006")</f>
        <v>#NAME?</v>
      </c>
      <c r="Q2115" s="4" t="e">
        <f ca="1">[1]!BexGetData("DP_1","00O2TNJGODT0G5Z4TTKYMM5MT","GSON2117110006")</f>
        <v>#NAME?</v>
      </c>
      <c r="R2115" s="4" t="e">
        <f ca="1">[1]!BexGetData("DP_1","00O2TNJGODT0G5Z4TTKYMMBYD","GSON2117110006")</f>
        <v>#NAME?</v>
      </c>
      <c r="S2115" s="4" t="e">
        <f ca="1">[1]!BexGetData("DP_1","00O2TNJGODT0G5Z4TTKYMMI9X","GSON2117110006")</f>
        <v>#NAME?</v>
      </c>
      <c r="T2115" s="4" t="e">
        <f ca="1">[1]!BexGetData("DP_1","00O2TNJGODT0G5Z4TTKYMMOLH","GSON2117110006")</f>
        <v>#NAME?</v>
      </c>
      <c r="U2115" s="4" t="e">
        <f ca="1">[1]!BexGetData("DP_1","00O2TNJGODT0G5Z4TTKYMMUX1","GSON2117110006")</f>
        <v>#NAME?</v>
      </c>
      <c r="V2115" s="4" t="e">
        <f ca="1">[1]!BexGetData("DP_1","00O2TNJGODT0G5Z4TTKYMN18L","GSON2117110006")</f>
        <v>#NAME?</v>
      </c>
      <c r="W2115" s="4" t="e">
        <f ca="1">[1]!BexGetData("DP_1","00O2TNJGODT0G5Z4TTKYMN7K5","GSON2117110006")</f>
        <v>#NAME?</v>
      </c>
    </row>
    <row r="2116" spans="1:23" x14ac:dyDescent="0.2">
      <c r="A2116" s="17" t="s">
        <v>4784</v>
      </c>
      <c r="B2116" s="7" t="s">
        <v>4785</v>
      </c>
      <c r="C2116" s="3" t="e">
        <f ca="1">[1]!BexGetData("DP_1","003N8EMH8GTFRCSWKMPXRR8GU","GSON2117110007")</f>
        <v>#NAME?</v>
      </c>
      <c r="D2116" s="3" t="e">
        <f ca="1">[1]!BexGetData("DP_1","003N8EMH8GTFRCSWKMPXRRESE","GSON2117110007")</f>
        <v>#NAME?</v>
      </c>
      <c r="E2116" s="3" t="e">
        <f ca="1">[1]!BexGetData("DP_1","003N8EMH8GTFRCSWKMPXRRL3Y","GSON2117110007")</f>
        <v>#NAME?</v>
      </c>
      <c r="F2116" s="3" t="e">
        <f ca="1">[1]!BexGetData("DP_1","003N8EMH8GTFRCSWKMPXRRRFI","GSON2117110007")</f>
        <v>#NAME?</v>
      </c>
      <c r="G2116" s="3" t="e">
        <f ca="1">[1]!BexGetData("DP_1","003N8EMH8GTFRCSWKMPXRRXR2","GSON2117110007")</f>
        <v>#NAME?</v>
      </c>
      <c r="H2116" s="3" t="e">
        <f ca="1">[1]!BexGetData("DP_1","003N8EMH8GTFRCSWKMPXRS42M","GSON2117110007")</f>
        <v>#NAME?</v>
      </c>
      <c r="I2116" s="3" t="e">
        <f ca="1">[1]!BexGetData("DP_1","003N8EMH8GTFRCSWKMPXRSAE6","GSON2117110007")</f>
        <v>#NAME?</v>
      </c>
      <c r="J2116" s="4" t="e">
        <f ca="1">[1]!BexGetData("DP_1","003N8EMH8GTFRCSWKMPXRSGPQ","GSON2117110007")</f>
        <v>#NAME?</v>
      </c>
      <c r="K2116" s="3" t="e">
        <f ca="1">[1]!BexGetData("DP_1","003N8EMH8GTFRIVNUPY288VJH","GSON2117110007")</f>
        <v>#NAME?</v>
      </c>
      <c r="L2116" s="3" t="e">
        <f ca="1">[1]!BexGetData("DP_1","003N8EMH8GTFRIVNUPY2891V1","GSON2117110007")</f>
        <v>#NAME?</v>
      </c>
      <c r="M2116" s="8" t="e">
        <f ca="1">[1]!BexGetData("DP_1","003N8EMH8GTFRIVOG7KG9IQXA","GSON2117110007")</f>
        <v>#NAME?</v>
      </c>
      <c r="N2116" s="3" t="e">
        <f ca="1">[1]!BexGetData("DP_1","003N8EMH8GTFRIVOG7KG9IX8U","GSON2117110007")</f>
        <v>#NAME?</v>
      </c>
      <c r="O2116" s="8" t="e">
        <f ca="1">[1]!BexGetData("DP_1","003N8EMH8GTFRIVOG7KG9J3KE","GSON2117110007")</f>
        <v>#NAME?</v>
      </c>
      <c r="P2116" s="3" t="e">
        <f ca="1">[1]!BexGetData("DP_1","003N8EMH8GTFRIVOG7KG9J9VY","GSON2117110007")</f>
        <v>#NAME?</v>
      </c>
      <c r="Q2116" s="4" t="e">
        <f ca="1">[1]!BexGetData("DP_1","00O2TNJGODT0G5Z4TTKYMM5MT","GSON2117110007")</f>
        <v>#NAME?</v>
      </c>
      <c r="R2116" s="3" t="e">
        <f ca="1">[1]!BexGetData("DP_1","00O2TNJGODT0G5Z4TTKYMMBYD","GSON2117110007")</f>
        <v>#NAME?</v>
      </c>
      <c r="S2116" s="3" t="e">
        <f ca="1">[1]!BexGetData("DP_1","00O2TNJGODT0G5Z4TTKYMMI9X","GSON2117110007")</f>
        <v>#NAME?</v>
      </c>
      <c r="T2116" s="3" t="e">
        <f ca="1">[1]!BexGetData("DP_1","00O2TNJGODT0G5Z4TTKYMMOLH","GSON2117110007")</f>
        <v>#NAME?</v>
      </c>
      <c r="U2116" s="8" t="e">
        <f ca="1">[1]!BexGetData("DP_1","00O2TNJGODT0G5Z4TTKYMMUX1","GSON2117110007")</f>
        <v>#NAME?</v>
      </c>
      <c r="V2116" s="3" t="e">
        <f ca="1">[1]!BexGetData("DP_1","00O2TNJGODT0G5Z4TTKYMN18L","GSON2117110007")</f>
        <v>#NAME?</v>
      </c>
      <c r="W2116" s="8" t="e">
        <f ca="1">[1]!BexGetData("DP_1","00O2TNJGODT0G5Z4TTKYMN7K5","GSON2117110007")</f>
        <v>#NAME?</v>
      </c>
    </row>
    <row r="2117" spans="1:23" x14ac:dyDescent="0.2">
      <c r="A2117" s="17" t="s">
        <v>1412</v>
      </c>
      <c r="B2117" s="7" t="s">
        <v>483</v>
      </c>
      <c r="C2117" s="3" t="e">
        <f ca="1">[1]!BexGetData("DP_1","003N8EMH8GTFRCSWKMPXRR8GU","GSON2117310001")</f>
        <v>#NAME?</v>
      </c>
      <c r="D2117" s="3" t="e">
        <f ca="1">[1]!BexGetData("DP_1","003N8EMH8GTFRCSWKMPXRRESE","GSON2117310001")</f>
        <v>#NAME?</v>
      </c>
      <c r="E2117" s="3" t="e">
        <f ca="1">[1]!BexGetData("DP_1","003N8EMH8GTFRCSWKMPXRRL3Y","GSON2117310001")</f>
        <v>#NAME?</v>
      </c>
      <c r="F2117" s="4" t="e">
        <f ca="1">[1]!BexGetData("DP_1","003N8EMH8GTFRCSWKMPXRRRFI","GSON2117310001")</f>
        <v>#NAME?</v>
      </c>
      <c r="G2117" s="4" t="e">
        <f ca="1">[1]!BexGetData("DP_1","003N8EMH8GTFRCSWKMPXRRXR2","GSON2117310001")</f>
        <v>#NAME?</v>
      </c>
      <c r="H2117" s="4" t="e">
        <f ca="1">[1]!BexGetData("DP_1","003N8EMH8GTFRCSWKMPXRS42M","GSON2117310001")</f>
        <v>#NAME?</v>
      </c>
      <c r="I2117" s="4" t="e">
        <f ca="1">[1]!BexGetData("DP_1","003N8EMH8GTFRCSWKMPXRSAE6","GSON2117310001")</f>
        <v>#NAME?</v>
      </c>
      <c r="J2117" s="4" t="e">
        <f ca="1">[1]!BexGetData("DP_1","003N8EMH8GTFRCSWKMPXRSGPQ","GSON2117310001")</f>
        <v>#NAME?</v>
      </c>
      <c r="K2117" s="3" t="e">
        <f ca="1">[1]!BexGetData("DP_1","003N8EMH8GTFRIVNUPY288VJH","GSON2117310001")</f>
        <v>#NAME?</v>
      </c>
      <c r="L2117" s="3" t="e">
        <f ca="1">[1]!BexGetData("DP_1","003N8EMH8GTFRIVNUPY2891V1","GSON2117310001")</f>
        <v>#NAME?</v>
      </c>
      <c r="M2117" s="3" t="e">
        <f ca="1">[1]!BexGetData("DP_1","003N8EMH8GTFRIVOG7KG9IQXA","GSON2117310001")</f>
        <v>#NAME?</v>
      </c>
      <c r="N2117" s="8" t="e">
        <f ca="1">[1]!BexGetData("DP_1","003N8EMH8GTFRIVOG7KG9IX8U","GSON2117310001")</f>
        <v>#NAME?</v>
      </c>
      <c r="O2117" s="3" t="e">
        <f ca="1">[1]!BexGetData("DP_1","003N8EMH8GTFRIVOG7KG9J3KE","GSON2117310001")</f>
        <v>#NAME?</v>
      </c>
      <c r="P2117" s="8" t="e">
        <f ca="1">[1]!BexGetData("DP_1","003N8EMH8GTFRIVOG7KG9J9VY","GSON2117310001")</f>
        <v>#NAME?</v>
      </c>
      <c r="Q2117" s="4" t="e">
        <f ca="1">[1]!BexGetData("DP_1","00O2TNJGODT0G5Z4TTKYMM5MT","GSON2117310001")</f>
        <v>#NAME?</v>
      </c>
      <c r="R2117" s="4" t="e">
        <f ca="1">[1]!BexGetData("DP_1","00O2TNJGODT0G5Z4TTKYMMBYD","GSON2117310001")</f>
        <v>#NAME?</v>
      </c>
      <c r="S2117" s="4" t="e">
        <f ca="1">[1]!BexGetData("DP_1","00O2TNJGODT0G5Z4TTKYMMI9X","GSON2117310001")</f>
        <v>#NAME?</v>
      </c>
      <c r="T2117" s="4" t="e">
        <f ca="1">[1]!BexGetData("DP_1","00O2TNJGODT0G5Z4TTKYMMOLH","GSON2117310001")</f>
        <v>#NAME?</v>
      </c>
      <c r="U2117" s="4" t="e">
        <f ca="1">[1]!BexGetData("DP_1","00O2TNJGODT0G5Z4TTKYMMUX1","GSON2117310001")</f>
        <v>#NAME?</v>
      </c>
      <c r="V2117" s="4" t="e">
        <f ca="1">[1]!BexGetData("DP_1","00O2TNJGODT0G5Z4TTKYMN18L","GSON2117310001")</f>
        <v>#NAME?</v>
      </c>
      <c r="W2117" s="4" t="e">
        <f ca="1">[1]!BexGetData("DP_1","00O2TNJGODT0G5Z4TTKYMN7K5","GSON2117310001")</f>
        <v>#NAME?</v>
      </c>
    </row>
    <row r="2118" spans="1:23" x14ac:dyDescent="0.2">
      <c r="A2118" s="17" t="s">
        <v>484</v>
      </c>
      <c r="B2118" s="7" t="s">
        <v>485</v>
      </c>
      <c r="C2118" s="3" t="e">
        <f ca="1">[1]!BexGetData("DP_1","003N8EMH8GTFRCSWKMPXRR8GU","GSON2117310002")</f>
        <v>#NAME?</v>
      </c>
      <c r="D2118" s="3" t="e">
        <f ca="1">[1]!BexGetData("DP_1","003N8EMH8GTFRCSWKMPXRRESE","GSON2117310002")</f>
        <v>#NAME?</v>
      </c>
      <c r="E2118" s="3" t="e">
        <f ca="1">[1]!BexGetData("DP_1","003N8EMH8GTFRCSWKMPXRRL3Y","GSON2117310002")</f>
        <v>#NAME?</v>
      </c>
      <c r="F2118" s="4" t="e">
        <f ca="1">[1]!BexGetData("DP_1","003N8EMH8GTFRCSWKMPXRRRFI","GSON2117310002")</f>
        <v>#NAME?</v>
      </c>
      <c r="G2118" s="4" t="e">
        <f ca="1">[1]!BexGetData("DP_1","003N8EMH8GTFRCSWKMPXRRXR2","GSON2117310002")</f>
        <v>#NAME?</v>
      </c>
      <c r="H2118" s="4" t="e">
        <f ca="1">[1]!BexGetData("DP_1","003N8EMH8GTFRCSWKMPXRS42M","GSON2117310002")</f>
        <v>#NAME?</v>
      </c>
      <c r="I2118" s="4" t="e">
        <f ca="1">[1]!BexGetData("DP_1","003N8EMH8GTFRCSWKMPXRSAE6","GSON2117310002")</f>
        <v>#NAME?</v>
      </c>
      <c r="J2118" s="4" t="e">
        <f ca="1">[1]!BexGetData("DP_1","003N8EMH8GTFRCSWKMPXRSGPQ","GSON2117310002")</f>
        <v>#NAME?</v>
      </c>
      <c r="K2118" s="3" t="e">
        <f ca="1">[1]!BexGetData("DP_1","003N8EMH8GTFRIVNUPY288VJH","GSON2117310002")</f>
        <v>#NAME?</v>
      </c>
      <c r="L2118" s="3" t="e">
        <f ca="1">[1]!BexGetData("DP_1","003N8EMH8GTFRIVNUPY2891V1","GSON2117310002")</f>
        <v>#NAME?</v>
      </c>
      <c r="M2118" s="3" t="e">
        <f ca="1">[1]!BexGetData("DP_1","003N8EMH8GTFRIVOG7KG9IQXA","GSON2117310002")</f>
        <v>#NAME?</v>
      </c>
      <c r="N2118" s="8" t="e">
        <f ca="1">[1]!BexGetData("DP_1","003N8EMH8GTFRIVOG7KG9IX8U","GSON2117310002")</f>
        <v>#NAME?</v>
      </c>
      <c r="O2118" s="3" t="e">
        <f ca="1">[1]!BexGetData("DP_1","003N8EMH8GTFRIVOG7KG9J3KE","GSON2117310002")</f>
        <v>#NAME?</v>
      </c>
      <c r="P2118" s="8" t="e">
        <f ca="1">[1]!BexGetData("DP_1","003N8EMH8GTFRIVOG7KG9J9VY","GSON2117310002")</f>
        <v>#NAME?</v>
      </c>
      <c r="Q2118" s="4" t="e">
        <f ca="1">[1]!BexGetData("DP_1","00O2TNJGODT0G5Z4TTKYMM5MT","GSON2117310002")</f>
        <v>#NAME?</v>
      </c>
      <c r="R2118" s="4" t="e">
        <f ca="1">[1]!BexGetData("DP_1","00O2TNJGODT0G5Z4TTKYMMBYD","GSON2117310002")</f>
        <v>#NAME?</v>
      </c>
      <c r="S2118" s="4" t="e">
        <f ca="1">[1]!BexGetData("DP_1","00O2TNJGODT0G5Z4TTKYMMI9X","GSON2117310002")</f>
        <v>#NAME?</v>
      </c>
      <c r="T2118" s="4" t="e">
        <f ca="1">[1]!BexGetData("DP_1","00O2TNJGODT0G5Z4TTKYMMOLH","GSON2117310002")</f>
        <v>#NAME?</v>
      </c>
      <c r="U2118" s="4" t="e">
        <f ca="1">[1]!BexGetData("DP_1","00O2TNJGODT0G5Z4TTKYMMUX1","GSON2117310002")</f>
        <v>#NAME?</v>
      </c>
      <c r="V2118" s="4" t="e">
        <f ca="1">[1]!BexGetData("DP_1","00O2TNJGODT0G5Z4TTKYMN18L","GSON2117310002")</f>
        <v>#NAME?</v>
      </c>
      <c r="W2118" s="4" t="e">
        <f ca="1">[1]!BexGetData("DP_1","00O2TNJGODT0G5Z4TTKYMN7K5","GSON2117310002")</f>
        <v>#NAME?</v>
      </c>
    </row>
    <row r="2119" spans="1:23" x14ac:dyDescent="0.2">
      <c r="A2119" s="17" t="s">
        <v>1413</v>
      </c>
      <c r="B2119" s="7" t="s">
        <v>1414</v>
      </c>
      <c r="C2119" s="3" t="e">
        <f ca="1">[1]!BexGetData("DP_1","003N8EMH8GTFRCSWKMPXRR8GU","GSON2117310003")</f>
        <v>#NAME?</v>
      </c>
      <c r="D2119" s="3" t="e">
        <f ca="1">[1]!BexGetData("DP_1","003N8EMH8GTFRCSWKMPXRRESE","GSON2117310003")</f>
        <v>#NAME?</v>
      </c>
      <c r="E2119" s="3" t="e">
        <f ca="1">[1]!BexGetData("DP_1","003N8EMH8GTFRCSWKMPXRRL3Y","GSON2117310003")</f>
        <v>#NAME?</v>
      </c>
      <c r="F2119" s="4" t="e">
        <f ca="1">[1]!BexGetData("DP_1","003N8EMH8GTFRCSWKMPXRRRFI","GSON2117310003")</f>
        <v>#NAME?</v>
      </c>
      <c r="G2119" s="4" t="e">
        <f ca="1">[1]!BexGetData("DP_1","003N8EMH8GTFRCSWKMPXRRXR2","GSON2117310003")</f>
        <v>#NAME?</v>
      </c>
      <c r="H2119" s="4" t="e">
        <f ca="1">[1]!BexGetData("DP_1","003N8EMH8GTFRCSWKMPXRS42M","GSON2117310003")</f>
        <v>#NAME?</v>
      </c>
      <c r="I2119" s="4" t="e">
        <f ca="1">[1]!BexGetData("DP_1","003N8EMH8GTFRCSWKMPXRSAE6","GSON2117310003")</f>
        <v>#NAME?</v>
      </c>
      <c r="J2119" s="4" t="e">
        <f ca="1">[1]!BexGetData("DP_1","003N8EMH8GTFRCSWKMPXRSGPQ","GSON2117310003")</f>
        <v>#NAME?</v>
      </c>
      <c r="K2119" s="3" t="e">
        <f ca="1">[1]!BexGetData("DP_1","003N8EMH8GTFRIVNUPY288VJH","GSON2117310003")</f>
        <v>#NAME?</v>
      </c>
      <c r="L2119" s="3" t="e">
        <f ca="1">[1]!BexGetData("DP_1","003N8EMH8GTFRIVNUPY2891V1","GSON2117310003")</f>
        <v>#NAME?</v>
      </c>
      <c r="M2119" s="3" t="e">
        <f ca="1">[1]!BexGetData("DP_1","003N8EMH8GTFRIVOG7KG9IQXA","GSON2117310003")</f>
        <v>#NAME?</v>
      </c>
      <c r="N2119" s="8" t="e">
        <f ca="1">[1]!BexGetData("DP_1","003N8EMH8GTFRIVOG7KG9IX8U","GSON2117310003")</f>
        <v>#NAME?</v>
      </c>
      <c r="O2119" s="3" t="e">
        <f ca="1">[1]!BexGetData("DP_1","003N8EMH8GTFRIVOG7KG9J3KE","GSON2117310003")</f>
        <v>#NAME?</v>
      </c>
      <c r="P2119" s="8" t="e">
        <f ca="1">[1]!BexGetData("DP_1","003N8EMH8GTFRIVOG7KG9J9VY","GSON2117310003")</f>
        <v>#NAME?</v>
      </c>
      <c r="Q2119" s="4" t="e">
        <f ca="1">[1]!BexGetData("DP_1","00O2TNJGODT0G5Z4TTKYMM5MT","GSON2117310003")</f>
        <v>#NAME?</v>
      </c>
      <c r="R2119" s="4" t="e">
        <f ca="1">[1]!BexGetData("DP_1","00O2TNJGODT0G5Z4TTKYMMBYD","GSON2117310003")</f>
        <v>#NAME?</v>
      </c>
      <c r="S2119" s="4" t="e">
        <f ca="1">[1]!BexGetData("DP_1","00O2TNJGODT0G5Z4TTKYMMI9X","GSON2117310003")</f>
        <v>#NAME?</v>
      </c>
      <c r="T2119" s="4" t="e">
        <f ca="1">[1]!BexGetData("DP_1","00O2TNJGODT0G5Z4TTKYMMOLH","GSON2117310003")</f>
        <v>#NAME?</v>
      </c>
      <c r="U2119" s="4" t="e">
        <f ca="1">[1]!BexGetData("DP_1","00O2TNJGODT0G5Z4TTKYMMUX1","GSON2117310003")</f>
        <v>#NAME?</v>
      </c>
      <c r="V2119" s="4" t="e">
        <f ca="1">[1]!BexGetData("DP_1","00O2TNJGODT0G5Z4TTKYMN18L","GSON2117310003")</f>
        <v>#NAME?</v>
      </c>
      <c r="W2119" s="4" t="e">
        <f ca="1">[1]!BexGetData("DP_1","00O2TNJGODT0G5Z4TTKYMN7K5","GSON2117310003")</f>
        <v>#NAME?</v>
      </c>
    </row>
    <row r="2120" spans="1:23" x14ac:dyDescent="0.2">
      <c r="A2120" s="17" t="s">
        <v>4786</v>
      </c>
      <c r="B2120" s="7" t="s">
        <v>4787</v>
      </c>
      <c r="C2120" s="3" t="e">
        <f ca="1">[1]!BexGetData("DP_1","003N8EMH8GTFRCSWKMPXRR8GU","GSON2117310004")</f>
        <v>#NAME?</v>
      </c>
      <c r="D2120" s="3" t="e">
        <f ca="1">[1]!BexGetData("DP_1","003N8EMH8GTFRCSWKMPXRRESE","GSON2117310004")</f>
        <v>#NAME?</v>
      </c>
      <c r="E2120" s="3" t="e">
        <f ca="1">[1]!BexGetData("DP_1","003N8EMH8GTFRCSWKMPXRRL3Y","GSON2117310004")</f>
        <v>#NAME?</v>
      </c>
      <c r="F2120" s="4" t="e">
        <f ca="1">[1]!BexGetData("DP_1","003N8EMH8GTFRCSWKMPXRRRFI","GSON2117310004")</f>
        <v>#NAME?</v>
      </c>
      <c r="G2120" s="4" t="e">
        <f ca="1">[1]!BexGetData("DP_1","003N8EMH8GTFRCSWKMPXRRXR2","GSON2117310004")</f>
        <v>#NAME?</v>
      </c>
      <c r="H2120" s="4" t="e">
        <f ca="1">[1]!BexGetData("DP_1","003N8EMH8GTFRCSWKMPXRS42M","GSON2117310004")</f>
        <v>#NAME?</v>
      </c>
      <c r="I2120" s="4" t="e">
        <f ca="1">[1]!BexGetData("DP_1","003N8EMH8GTFRCSWKMPXRSAE6","GSON2117310004")</f>
        <v>#NAME?</v>
      </c>
      <c r="J2120" s="4" t="e">
        <f ca="1">[1]!BexGetData("DP_1","003N8EMH8GTFRCSWKMPXRSGPQ","GSON2117310004")</f>
        <v>#NAME?</v>
      </c>
      <c r="K2120" s="3" t="e">
        <f ca="1">[1]!BexGetData("DP_1","003N8EMH8GTFRIVNUPY288VJH","GSON2117310004")</f>
        <v>#NAME?</v>
      </c>
      <c r="L2120" s="3" t="e">
        <f ca="1">[1]!BexGetData("DP_1","003N8EMH8GTFRIVNUPY2891V1","GSON2117310004")</f>
        <v>#NAME?</v>
      </c>
      <c r="M2120" s="3" t="e">
        <f ca="1">[1]!BexGetData("DP_1","003N8EMH8GTFRIVOG7KG9IQXA","GSON2117310004")</f>
        <v>#NAME?</v>
      </c>
      <c r="N2120" s="8" t="e">
        <f ca="1">[1]!BexGetData("DP_1","003N8EMH8GTFRIVOG7KG9IX8U","GSON2117310004")</f>
        <v>#NAME?</v>
      </c>
      <c r="O2120" s="3" t="e">
        <f ca="1">[1]!BexGetData("DP_1","003N8EMH8GTFRIVOG7KG9J3KE","GSON2117310004")</f>
        <v>#NAME?</v>
      </c>
      <c r="P2120" s="8" t="e">
        <f ca="1">[1]!BexGetData("DP_1","003N8EMH8GTFRIVOG7KG9J9VY","GSON2117310004")</f>
        <v>#NAME?</v>
      </c>
      <c r="Q2120" s="4" t="e">
        <f ca="1">[1]!BexGetData("DP_1","00O2TNJGODT0G5Z4TTKYMM5MT","GSON2117310004")</f>
        <v>#NAME?</v>
      </c>
      <c r="R2120" s="4" t="e">
        <f ca="1">[1]!BexGetData("DP_1","00O2TNJGODT0G5Z4TTKYMMBYD","GSON2117310004")</f>
        <v>#NAME?</v>
      </c>
      <c r="S2120" s="4" t="e">
        <f ca="1">[1]!BexGetData("DP_1","00O2TNJGODT0G5Z4TTKYMMI9X","GSON2117310004")</f>
        <v>#NAME?</v>
      </c>
      <c r="T2120" s="4" t="e">
        <f ca="1">[1]!BexGetData("DP_1","00O2TNJGODT0G5Z4TTKYMMOLH","GSON2117310004")</f>
        <v>#NAME?</v>
      </c>
      <c r="U2120" s="4" t="e">
        <f ca="1">[1]!BexGetData("DP_1","00O2TNJGODT0G5Z4TTKYMMUX1","GSON2117310004")</f>
        <v>#NAME?</v>
      </c>
      <c r="V2120" s="4" t="e">
        <f ca="1">[1]!BexGetData("DP_1","00O2TNJGODT0G5Z4TTKYMN18L","GSON2117310004")</f>
        <v>#NAME?</v>
      </c>
      <c r="W2120" s="4" t="e">
        <f ca="1">[1]!BexGetData("DP_1","00O2TNJGODT0G5Z4TTKYMN7K5","GSON2117310004")</f>
        <v>#NAME?</v>
      </c>
    </row>
    <row r="2121" spans="1:23" x14ac:dyDescent="0.2">
      <c r="A2121" s="17" t="s">
        <v>4788</v>
      </c>
      <c r="B2121" s="7" t="s">
        <v>4789</v>
      </c>
      <c r="C2121" s="3" t="e">
        <f ca="1">[1]!BexGetData("DP_1","003N8EMH8GTFRCSWKMPXRR8GU","GSON2117310005")</f>
        <v>#NAME?</v>
      </c>
      <c r="D2121" s="8" t="e">
        <f ca="1">[1]!BexGetData("DP_1","003N8EMH8GTFRCSWKMPXRRESE","GSON2117310005")</f>
        <v>#NAME?</v>
      </c>
      <c r="E2121" s="3" t="e">
        <f ca="1">[1]!BexGetData("DP_1","003N8EMH8GTFRCSWKMPXRRL3Y","GSON2117310005")</f>
        <v>#NAME?</v>
      </c>
      <c r="F2121" s="3" t="e">
        <f ca="1">[1]!BexGetData("DP_1","003N8EMH8GTFRCSWKMPXRRRFI","GSON2117310005")</f>
        <v>#NAME?</v>
      </c>
      <c r="G2121" s="3" t="e">
        <f ca="1">[1]!BexGetData("DP_1","003N8EMH8GTFRCSWKMPXRRXR2","GSON2117310005")</f>
        <v>#NAME?</v>
      </c>
      <c r="H2121" s="3" t="e">
        <f ca="1">[1]!BexGetData("DP_1","003N8EMH8GTFRCSWKMPXRS42M","GSON2117310005")</f>
        <v>#NAME?</v>
      </c>
      <c r="I2121" s="3" t="e">
        <f ca="1">[1]!BexGetData("DP_1","003N8EMH8GTFRCSWKMPXRSAE6","GSON2117310005")</f>
        <v>#NAME?</v>
      </c>
      <c r="J2121" s="4" t="e">
        <f ca="1">[1]!BexGetData("DP_1","003N8EMH8GTFRCSWKMPXRSGPQ","GSON2117310005")</f>
        <v>#NAME?</v>
      </c>
      <c r="K2121" s="3" t="e">
        <f ca="1">[1]!BexGetData("DP_1","003N8EMH8GTFRIVNUPY288VJH","GSON2117310005")</f>
        <v>#NAME?</v>
      </c>
      <c r="L2121" s="3" t="e">
        <f ca="1">[1]!BexGetData("DP_1","003N8EMH8GTFRIVNUPY2891V1","GSON2117310005")</f>
        <v>#NAME?</v>
      </c>
      <c r="M2121" s="8" t="e">
        <f ca="1">[1]!BexGetData("DP_1","003N8EMH8GTFRIVOG7KG9IQXA","GSON2117310005")</f>
        <v>#NAME?</v>
      </c>
      <c r="N2121" s="3" t="e">
        <f ca="1">[1]!BexGetData("DP_1","003N8EMH8GTFRIVOG7KG9IX8U","GSON2117310005")</f>
        <v>#NAME?</v>
      </c>
      <c r="O2121" s="8" t="e">
        <f ca="1">[1]!BexGetData("DP_1","003N8EMH8GTFRIVOG7KG9J3KE","GSON2117310005")</f>
        <v>#NAME?</v>
      </c>
      <c r="P2121" s="3" t="e">
        <f ca="1">[1]!BexGetData("DP_1","003N8EMH8GTFRIVOG7KG9J9VY","GSON2117310005")</f>
        <v>#NAME?</v>
      </c>
      <c r="Q2121" s="4" t="e">
        <f ca="1">[1]!BexGetData("DP_1","00O2TNJGODT0G5Z4TTKYMM5MT","GSON2117310005")</f>
        <v>#NAME?</v>
      </c>
      <c r="R2121" s="3" t="e">
        <f ca="1">[1]!BexGetData("DP_1","00O2TNJGODT0G5Z4TTKYMMBYD","GSON2117310005")</f>
        <v>#NAME?</v>
      </c>
      <c r="S2121" s="3" t="e">
        <f ca="1">[1]!BexGetData("DP_1","00O2TNJGODT0G5Z4TTKYMMI9X","GSON2117310005")</f>
        <v>#NAME?</v>
      </c>
      <c r="T2121" s="3" t="e">
        <f ca="1">[1]!BexGetData("DP_1","00O2TNJGODT0G5Z4TTKYMMOLH","GSON2117310005")</f>
        <v>#NAME?</v>
      </c>
      <c r="U2121" s="8" t="e">
        <f ca="1">[1]!BexGetData("DP_1","00O2TNJGODT0G5Z4TTKYMMUX1","GSON2117310005")</f>
        <v>#NAME?</v>
      </c>
      <c r="V2121" s="3" t="e">
        <f ca="1">[1]!BexGetData("DP_1","00O2TNJGODT0G5Z4TTKYMN18L","GSON2117310005")</f>
        <v>#NAME?</v>
      </c>
      <c r="W2121" s="8" t="e">
        <f ca="1">[1]!BexGetData("DP_1","00O2TNJGODT0G5Z4TTKYMN7K5","GSON2117310005")</f>
        <v>#NAME?</v>
      </c>
    </row>
    <row r="2122" spans="1:23" x14ac:dyDescent="0.2">
      <c r="A2122" s="17" t="s">
        <v>1415</v>
      </c>
      <c r="B2122" s="7" t="s">
        <v>1416</v>
      </c>
      <c r="C2122" s="3" t="e">
        <f ca="1">[1]!BexGetData("DP_1","003N8EMH8GTFRCSWKMPXRR8GU","GSON2117320001")</f>
        <v>#NAME?</v>
      </c>
      <c r="D2122" s="3" t="e">
        <f ca="1">[1]!BexGetData("DP_1","003N8EMH8GTFRCSWKMPXRRESE","GSON2117320001")</f>
        <v>#NAME?</v>
      </c>
      <c r="E2122" s="3" t="e">
        <f ca="1">[1]!BexGetData("DP_1","003N8EMH8GTFRCSWKMPXRRL3Y","GSON2117320001")</f>
        <v>#NAME?</v>
      </c>
      <c r="F2122" s="4" t="e">
        <f ca="1">[1]!BexGetData("DP_1","003N8EMH8GTFRCSWKMPXRRRFI","GSON2117320001")</f>
        <v>#NAME?</v>
      </c>
      <c r="G2122" s="4" t="e">
        <f ca="1">[1]!BexGetData("DP_1","003N8EMH8GTFRCSWKMPXRRXR2","GSON2117320001")</f>
        <v>#NAME?</v>
      </c>
      <c r="H2122" s="4" t="e">
        <f ca="1">[1]!BexGetData("DP_1","003N8EMH8GTFRCSWKMPXRS42M","GSON2117320001")</f>
        <v>#NAME?</v>
      </c>
      <c r="I2122" s="4" t="e">
        <f ca="1">[1]!BexGetData("DP_1","003N8EMH8GTFRCSWKMPXRSAE6","GSON2117320001")</f>
        <v>#NAME?</v>
      </c>
      <c r="J2122" s="4" t="e">
        <f ca="1">[1]!BexGetData("DP_1","003N8EMH8GTFRCSWKMPXRSGPQ","GSON2117320001")</f>
        <v>#NAME?</v>
      </c>
      <c r="K2122" s="3" t="e">
        <f ca="1">[1]!BexGetData("DP_1","003N8EMH8GTFRIVNUPY288VJH","GSON2117320001")</f>
        <v>#NAME?</v>
      </c>
      <c r="L2122" s="3" t="e">
        <f ca="1">[1]!BexGetData("DP_1","003N8EMH8GTFRIVNUPY2891V1","GSON2117320001")</f>
        <v>#NAME?</v>
      </c>
      <c r="M2122" s="3" t="e">
        <f ca="1">[1]!BexGetData("DP_1","003N8EMH8GTFRIVOG7KG9IQXA","GSON2117320001")</f>
        <v>#NAME?</v>
      </c>
      <c r="N2122" s="8" t="e">
        <f ca="1">[1]!BexGetData("DP_1","003N8EMH8GTFRIVOG7KG9IX8U","GSON2117320001")</f>
        <v>#NAME?</v>
      </c>
      <c r="O2122" s="3" t="e">
        <f ca="1">[1]!BexGetData("DP_1","003N8EMH8GTFRIVOG7KG9J3KE","GSON2117320001")</f>
        <v>#NAME?</v>
      </c>
      <c r="P2122" s="8" t="e">
        <f ca="1">[1]!BexGetData("DP_1","003N8EMH8GTFRIVOG7KG9J9VY","GSON2117320001")</f>
        <v>#NAME?</v>
      </c>
      <c r="Q2122" s="4" t="e">
        <f ca="1">[1]!BexGetData("DP_1","00O2TNJGODT0G5Z4TTKYMM5MT","GSON2117320001")</f>
        <v>#NAME?</v>
      </c>
      <c r="R2122" s="4" t="e">
        <f ca="1">[1]!BexGetData("DP_1","00O2TNJGODT0G5Z4TTKYMMBYD","GSON2117320001")</f>
        <v>#NAME?</v>
      </c>
      <c r="S2122" s="4" t="e">
        <f ca="1">[1]!BexGetData("DP_1","00O2TNJGODT0G5Z4TTKYMMI9X","GSON2117320001")</f>
        <v>#NAME?</v>
      </c>
      <c r="T2122" s="4" t="e">
        <f ca="1">[1]!BexGetData("DP_1","00O2TNJGODT0G5Z4TTKYMMOLH","GSON2117320001")</f>
        <v>#NAME?</v>
      </c>
      <c r="U2122" s="4" t="e">
        <f ca="1">[1]!BexGetData("DP_1","00O2TNJGODT0G5Z4TTKYMMUX1","GSON2117320001")</f>
        <v>#NAME?</v>
      </c>
      <c r="V2122" s="4" t="e">
        <f ca="1">[1]!BexGetData("DP_1","00O2TNJGODT0G5Z4TTKYMN18L","GSON2117320001")</f>
        <v>#NAME?</v>
      </c>
      <c r="W2122" s="4" t="e">
        <f ca="1">[1]!BexGetData("DP_1","00O2TNJGODT0G5Z4TTKYMN7K5","GSON2117320001")</f>
        <v>#NAME?</v>
      </c>
    </row>
    <row r="2123" spans="1:23" x14ac:dyDescent="0.2">
      <c r="A2123" s="17" t="s">
        <v>1417</v>
      </c>
      <c r="B2123" s="7" t="s">
        <v>1418</v>
      </c>
      <c r="C2123" s="3" t="e">
        <f ca="1">[1]!BexGetData("DP_1","003N8EMH8GTFRCSWKMPXRR8GU","GSON2117320002")</f>
        <v>#NAME?</v>
      </c>
      <c r="D2123" s="3" t="e">
        <f ca="1">[1]!BexGetData("DP_1","003N8EMH8GTFRCSWKMPXRRESE","GSON2117320002")</f>
        <v>#NAME?</v>
      </c>
      <c r="E2123" s="3" t="e">
        <f ca="1">[1]!BexGetData("DP_1","003N8EMH8GTFRCSWKMPXRRL3Y","GSON2117320002")</f>
        <v>#NAME?</v>
      </c>
      <c r="F2123" s="4" t="e">
        <f ca="1">[1]!BexGetData("DP_1","003N8EMH8GTFRCSWKMPXRRRFI","GSON2117320002")</f>
        <v>#NAME?</v>
      </c>
      <c r="G2123" s="4" t="e">
        <f ca="1">[1]!BexGetData("DP_1","003N8EMH8GTFRCSWKMPXRRXR2","GSON2117320002")</f>
        <v>#NAME?</v>
      </c>
      <c r="H2123" s="4" t="e">
        <f ca="1">[1]!BexGetData("DP_1","003N8EMH8GTFRCSWKMPXRS42M","GSON2117320002")</f>
        <v>#NAME?</v>
      </c>
      <c r="I2123" s="4" t="e">
        <f ca="1">[1]!BexGetData("DP_1","003N8EMH8GTFRCSWKMPXRSAE6","GSON2117320002")</f>
        <v>#NAME?</v>
      </c>
      <c r="J2123" s="4" t="e">
        <f ca="1">[1]!BexGetData("DP_1","003N8EMH8GTFRCSWKMPXRSGPQ","GSON2117320002")</f>
        <v>#NAME?</v>
      </c>
      <c r="K2123" s="3" t="e">
        <f ca="1">[1]!BexGetData("DP_1","003N8EMH8GTFRIVNUPY288VJH","GSON2117320002")</f>
        <v>#NAME?</v>
      </c>
      <c r="L2123" s="3" t="e">
        <f ca="1">[1]!BexGetData("DP_1","003N8EMH8GTFRIVNUPY2891V1","GSON2117320002")</f>
        <v>#NAME?</v>
      </c>
      <c r="M2123" s="3" t="e">
        <f ca="1">[1]!BexGetData("DP_1","003N8EMH8GTFRIVOG7KG9IQXA","GSON2117320002")</f>
        <v>#NAME?</v>
      </c>
      <c r="N2123" s="8" t="e">
        <f ca="1">[1]!BexGetData("DP_1","003N8EMH8GTFRIVOG7KG9IX8U","GSON2117320002")</f>
        <v>#NAME?</v>
      </c>
      <c r="O2123" s="3" t="e">
        <f ca="1">[1]!BexGetData("DP_1","003N8EMH8GTFRIVOG7KG9J3KE","GSON2117320002")</f>
        <v>#NAME?</v>
      </c>
      <c r="P2123" s="8" t="e">
        <f ca="1">[1]!BexGetData("DP_1","003N8EMH8GTFRIVOG7KG9J9VY","GSON2117320002")</f>
        <v>#NAME?</v>
      </c>
      <c r="Q2123" s="4" t="e">
        <f ca="1">[1]!BexGetData("DP_1","00O2TNJGODT0G5Z4TTKYMM5MT","GSON2117320002")</f>
        <v>#NAME?</v>
      </c>
      <c r="R2123" s="4" t="e">
        <f ca="1">[1]!BexGetData("DP_1","00O2TNJGODT0G5Z4TTKYMMBYD","GSON2117320002")</f>
        <v>#NAME?</v>
      </c>
      <c r="S2123" s="4" t="e">
        <f ca="1">[1]!BexGetData("DP_1","00O2TNJGODT0G5Z4TTKYMMI9X","GSON2117320002")</f>
        <v>#NAME?</v>
      </c>
      <c r="T2123" s="4" t="e">
        <f ca="1">[1]!BexGetData("DP_1","00O2TNJGODT0G5Z4TTKYMMOLH","GSON2117320002")</f>
        <v>#NAME?</v>
      </c>
      <c r="U2123" s="4" t="e">
        <f ca="1">[1]!BexGetData("DP_1","00O2TNJGODT0G5Z4TTKYMMUX1","GSON2117320002")</f>
        <v>#NAME?</v>
      </c>
      <c r="V2123" s="4" t="e">
        <f ca="1">[1]!BexGetData("DP_1","00O2TNJGODT0G5Z4TTKYMN18L","GSON2117320002")</f>
        <v>#NAME?</v>
      </c>
      <c r="W2123" s="4" t="e">
        <f ca="1">[1]!BexGetData("DP_1","00O2TNJGODT0G5Z4TTKYMN7K5","GSON2117320002")</f>
        <v>#NAME?</v>
      </c>
    </row>
    <row r="2124" spans="1:23" x14ac:dyDescent="0.2">
      <c r="A2124" s="17" t="s">
        <v>4790</v>
      </c>
      <c r="B2124" s="7" t="s">
        <v>4791</v>
      </c>
      <c r="C2124" s="3" t="e">
        <f ca="1">[1]!BexGetData("DP_1","003N8EMH8GTFRCSWKMPXRR8GU","GSON2117320003")</f>
        <v>#NAME?</v>
      </c>
      <c r="D2124" s="3" t="e">
        <f ca="1">[1]!BexGetData("DP_1","003N8EMH8GTFRCSWKMPXRRESE","GSON2117320003")</f>
        <v>#NAME?</v>
      </c>
      <c r="E2124" s="3" t="e">
        <f ca="1">[1]!BexGetData("DP_1","003N8EMH8GTFRCSWKMPXRRL3Y","GSON2117320003")</f>
        <v>#NAME?</v>
      </c>
      <c r="F2124" s="4" t="e">
        <f ca="1">[1]!BexGetData("DP_1","003N8EMH8GTFRCSWKMPXRRRFI","GSON2117320003")</f>
        <v>#NAME?</v>
      </c>
      <c r="G2124" s="4" t="e">
        <f ca="1">[1]!BexGetData("DP_1","003N8EMH8GTFRCSWKMPXRRXR2","GSON2117320003")</f>
        <v>#NAME?</v>
      </c>
      <c r="H2124" s="4" t="e">
        <f ca="1">[1]!BexGetData("DP_1","003N8EMH8GTFRCSWKMPXRS42M","GSON2117320003")</f>
        <v>#NAME?</v>
      </c>
      <c r="I2124" s="4" t="e">
        <f ca="1">[1]!BexGetData("DP_1","003N8EMH8GTFRCSWKMPXRSAE6","GSON2117320003")</f>
        <v>#NAME?</v>
      </c>
      <c r="J2124" s="4" t="e">
        <f ca="1">[1]!BexGetData("DP_1","003N8EMH8GTFRCSWKMPXRSGPQ","GSON2117320003")</f>
        <v>#NAME?</v>
      </c>
      <c r="K2124" s="3" t="e">
        <f ca="1">[1]!BexGetData("DP_1","003N8EMH8GTFRIVNUPY288VJH","GSON2117320003")</f>
        <v>#NAME?</v>
      </c>
      <c r="L2124" s="3" t="e">
        <f ca="1">[1]!BexGetData("DP_1","003N8EMH8GTFRIVNUPY2891V1","GSON2117320003")</f>
        <v>#NAME?</v>
      </c>
      <c r="M2124" s="3" t="e">
        <f ca="1">[1]!BexGetData("DP_1","003N8EMH8GTFRIVOG7KG9IQXA","GSON2117320003")</f>
        <v>#NAME?</v>
      </c>
      <c r="N2124" s="8" t="e">
        <f ca="1">[1]!BexGetData("DP_1","003N8EMH8GTFRIVOG7KG9IX8U","GSON2117320003")</f>
        <v>#NAME?</v>
      </c>
      <c r="O2124" s="3" t="e">
        <f ca="1">[1]!BexGetData("DP_1","003N8EMH8GTFRIVOG7KG9J3KE","GSON2117320003")</f>
        <v>#NAME?</v>
      </c>
      <c r="P2124" s="8" t="e">
        <f ca="1">[1]!BexGetData("DP_1","003N8EMH8GTFRIVOG7KG9J9VY","GSON2117320003")</f>
        <v>#NAME?</v>
      </c>
      <c r="Q2124" s="4" t="e">
        <f ca="1">[1]!BexGetData("DP_1","00O2TNJGODT0G5Z4TTKYMM5MT","GSON2117320003")</f>
        <v>#NAME?</v>
      </c>
      <c r="R2124" s="4" t="e">
        <f ca="1">[1]!BexGetData("DP_1","00O2TNJGODT0G5Z4TTKYMMBYD","GSON2117320003")</f>
        <v>#NAME?</v>
      </c>
      <c r="S2124" s="4" t="e">
        <f ca="1">[1]!BexGetData("DP_1","00O2TNJGODT0G5Z4TTKYMMI9X","GSON2117320003")</f>
        <v>#NAME?</v>
      </c>
      <c r="T2124" s="4" t="e">
        <f ca="1">[1]!BexGetData("DP_1","00O2TNJGODT0G5Z4TTKYMMOLH","GSON2117320003")</f>
        <v>#NAME?</v>
      </c>
      <c r="U2124" s="4" t="e">
        <f ca="1">[1]!BexGetData("DP_1","00O2TNJGODT0G5Z4TTKYMMUX1","GSON2117320003")</f>
        <v>#NAME?</v>
      </c>
      <c r="V2124" s="4" t="e">
        <f ca="1">[1]!BexGetData("DP_1","00O2TNJGODT0G5Z4TTKYMN18L","GSON2117320003")</f>
        <v>#NAME?</v>
      </c>
      <c r="W2124" s="4" t="e">
        <f ca="1">[1]!BexGetData("DP_1","00O2TNJGODT0G5Z4TTKYMN7K5","GSON2117320003")</f>
        <v>#NAME?</v>
      </c>
    </row>
    <row r="2125" spans="1:23" x14ac:dyDescent="0.2">
      <c r="A2125" s="17" t="s">
        <v>1419</v>
      </c>
      <c r="B2125" s="7" t="s">
        <v>1420</v>
      </c>
      <c r="C2125" s="3" t="e">
        <f ca="1">[1]!BexGetData("DP_1","003N8EMH8GTFRCSWKMPXRR8GU","GSON2117320004")</f>
        <v>#NAME?</v>
      </c>
      <c r="D2125" s="3" t="e">
        <f ca="1">[1]!BexGetData("DP_1","003N8EMH8GTFRCSWKMPXRRESE","GSON2117320004")</f>
        <v>#NAME?</v>
      </c>
      <c r="E2125" s="3" t="e">
        <f ca="1">[1]!BexGetData("DP_1","003N8EMH8GTFRCSWKMPXRRL3Y","GSON2117320004")</f>
        <v>#NAME?</v>
      </c>
      <c r="F2125" s="4" t="e">
        <f ca="1">[1]!BexGetData("DP_1","003N8EMH8GTFRCSWKMPXRRRFI","GSON2117320004")</f>
        <v>#NAME?</v>
      </c>
      <c r="G2125" s="4" t="e">
        <f ca="1">[1]!BexGetData("DP_1","003N8EMH8GTFRCSWKMPXRRXR2","GSON2117320004")</f>
        <v>#NAME?</v>
      </c>
      <c r="H2125" s="4" t="e">
        <f ca="1">[1]!BexGetData("DP_1","003N8EMH8GTFRCSWKMPXRS42M","GSON2117320004")</f>
        <v>#NAME?</v>
      </c>
      <c r="I2125" s="4" t="e">
        <f ca="1">[1]!BexGetData("DP_1","003N8EMH8GTFRCSWKMPXRSAE6","GSON2117320004")</f>
        <v>#NAME?</v>
      </c>
      <c r="J2125" s="4" t="e">
        <f ca="1">[1]!BexGetData("DP_1","003N8EMH8GTFRCSWKMPXRSGPQ","GSON2117320004")</f>
        <v>#NAME?</v>
      </c>
      <c r="K2125" s="3" t="e">
        <f ca="1">[1]!BexGetData("DP_1","003N8EMH8GTFRIVNUPY288VJH","GSON2117320004")</f>
        <v>#NAME?</v>
      </c>
      <c r="L2125" s="3" t="e">
        <f ca="1">[1]!BexGetData("DP_1","003N8EMH8GTFRIVNUPY2891V1","GSON2117320004")</f>
        <v>#NAME?</v>
      </c>
      <c r="M2125" s="3" t="e">
        <f ca="1">[1]!BexGetData("DP_1","003N8EMH8GTFRIVOG7KG9IQXA","GSON2117320004")</f>
        <v>#NAME?</v>
      </c>
      <c r="N2125" s="8" t="e">
        <f ca="1">[1]!BexGetData("DP_1","003N8EMH8GTFRIVOG7KG9IX8U","GSON2117320004")</f>
        <v>#NAME?</v>
      </c>
      <c r="O2125" s="3" t="e">
        <f ca="1">[1]!BexGetData("DP_1","003N8EMH8GTFRIVOG7KG9J3KE","GSON2117320004")</f>
        <v>#NAME?</v>
      </c>
      <c r="P2125" s="8" t="e">
        <f ca="1">[1]!BexGetData("DP_1","003N8EMH8GTFRIVOG7KG9J9VY","GSON2117320004")</f>
        <v>#NAME?</v>
      </c>
      <c r="Q2125" s="4" t="e">
        <f ca="1">[1]!BexGetData("DP_1","00O2TNJGODT0G5Z4TTKYMM5MT","GSON2117320004")</f>
        <v>#NAME?</v>
      </c>
      <c r="R2125" s="4" t="e">
        <f ca="1">[1]!BexGetData("DP_1","00O2TNJGODT0G5Z4TTKYMMBYD","GSON2117320004")</f>
        <v>#NAME?</v>
      </c>
      <c r="S2125" s="4" t="e">
        <f ca="1">[1]!BexGetData("DP_1","00O2TNJGODT0G5Z4TTKYMMI9X","GSON2117320004")</f>
        <v>#NAME?</v>
      </c>
      <c r="T2125" s="4" t="e">
        <f ca="1">[1]!BexGetData("DP_1","00O2TNJGODT0G5Z4TTKYMMOLH","GSON2117320004")</f>
        <v>#NAME?</v>
      </c>
      <c r="U2125" s="4" t="e">
        <f ca="1">[1]!BexGetData("DP_1","00O2TNJGODT0G5Z4TTKYMMUX1","GSON2117320004")</f>
        <v>#NAME?</v>
      </c>
      <c r="V2125" s="4" t="e">
        <f ca="1">[1]!BexGetData("DP_1","00O2TNJGODT0G5Z4TTKYMN18L","GSON2117320004")</f>
        <v>#NAME?</v>
      </c>
      <c r="W2125" s="4" t="e">
        <f ca="1">[1]!BexGetData("DP_1","00O2TNJGODT0G5Z4TTKYMN7K5","GSON2117320004")</f>
        <v>#NAME?</v>
      </c>
    </row>
    <row r="2126" spans="1:23" x14ac:dyDescent="0.2">
      <c r="A2126" s="17" t="s">
        <v>4792</v>
      </c>
      <c r="B2126" s="7" t="s">
        <v>4793</v>
      </c>
      <c r="C2126" s="3" t="e">
        <f ca="1">[1]!BexGetData("DP_1","003N8EMH8GTFRCSWKMPXRR8GU","GSON2117320005")</f>
        <v>#NAME?</v>
      </c>
      <c r="D2126" s="3" t="e">
        <f ca="1">[1]!BexGetData("DP_1","003N8EMH8GTFRCSWKMPXRRESE","GSON2117320005")</f>
        <v>#NAME?</v>
      </c>
      <c r="E2126" s="3" t="e">
        <f ca="1">[1]!BexGetData("DP_1","003N8EMH8GTFRCSWKMPXRRL3Y","GSON2117320005")</f>
        <v>#NAME?</v>
      </c>
      <c r="F2126" s="4" t="e">
        <f ca="1">[1]!BexGetData("DP_1","003N8EMH8GTFRCSWKMPXRRRFI","GSON2117320005")</f>
        <v>#NAME?</v>
      </c>
      <c r="G2126" s="4" t="e">
        <f ca="1">[1]!BexGetData("DP_1","003N8EMH8GTFRCSWKMPXRRXR2","GSON2117320005")</f>
        <v>#NAME?</v>
      </c>
      <c r="H2126" s="4" t="e">
        <f ca="1">[1]!BexGetData("DP_1","003N8EMH8GTFRCSWKMPXRS42M","GSON2117320005")</f>
        <v>#NAME?</v>
      </c>
      <c r="I2126" s="4" t="e">
        <f ca="1">[1]!BexGetData("DP_1","003N8EMH8GTFRCSWKMPXRSAE6","GSON2117320005")</f>
        <v>#NAME?</v>
      </c>
      <c r="J2126" s="4" t="e">
        <f ca="1">[1]!BexGetData("DP_1","003N8EMH8GTFRCSWKMPXRSGPQ","GSON2117320005")</f>
        <v>#NAME?</v>
      </c>
      <c r="K2126" s="3" t="e">
        <f ca="1">[1]!BexGetData("DP_1","003N8EMH8GTFRIVNUPY288VJH","GSON2117320005")</f>
        <v>#NAME?</v>
      </c>
      <c r="L2126" s="3" t="e">
        <f ca="1">[1]!BexGetData("DP_1","003N8EMH8GTFRIVNUPY2891V1","GSON2117320005")</f>
        <v>#NAME?</v>
      </c>
      <c r="M2126" s="3" t="e">
        <f ca="1">[1]!BexGetData("DP_1","003N8EMH8GTFRIVOG7KG9IQXA","GSON2117320005")</f>
        <v>#NAME?</v>
      </c>
      <c r="N2126" s="8" t="e">
        <f ca="1">[1]!BexGetData("DP_1","003N8EMH8GTFRIVOG7KG9IX8U","GSON2117320005")</f>
        <v>#NAME?</v>
      </c>
      <c r="O2126" s="3" t="e">
        <f ca="1">[1]!BexGetData("DP_1","003N8EMH8GTFRIVOG7KG9J3KE","GSON2117320005")</f>
        <v>#NAME?</v>
      </c>
      <c r="P2126" s="8" t="e">
        <f ca="1">[1]!BexGetData("DP_1","003N8EMH8GTFRIVOG7KG9J9VY","GSON2117320005")</f>
        <v>#NAME?</v>
      </c>
      <c r="Q2126" s="4" t="e">
        <f ca="1">[1]!BexGetData("DP_1","00O2TNJGODT0G5Z4TTKYMM5MT","GSON2117320005")</f>
        <v>#NAME?</v>
      </c>
      <c r="R2126" s="4" t="e">
        <f ca="1">[1]!BexGetData("DP_1","00O2TNJGODT0G5Z4TTKYMMBYD","GSON2117320005")</f>
        <v>#NAME?</v>
      </c>
      <c r="S2126" s="4" t="e">
        <f ca="1">[1]!BexGetData("DP_1","00O2TNJGODT0G5Z4TTKYMMI9X","GSON2117320005")</f>
        <v>#NAME?</v>
      </c>
      <c r="T2126" s="4" t="e">
        <f ca="1">[1]!BexGetData("DP_1","00O2TNJGODT0G5Z4TTKYMMOLH","GSON2117320005")</f>
        <v>#NAME?</v>
      </c>
      <c r="U2126" s="4" t="e">
        <f ca="1">[1]!BexGetData("DP_1","00O2TNJGODT0G5Z4TTKYMMUX1","GSON2117320005")</f>
        <v>#NAME?</v>
      </c>
      <c r="V2126" s="4" t="e">
        <f ca="1">[1]!BexGetData("DP_1","00O2TNJGODT0G5Z4TTKYMN18L","GSON2117320005")</f>
        <v>#NAME?</v>
      </c>
      <c r="W2126" s="4" t="e">
        <f ca="1">[1]!BexGetData("DP_1","00O2TNJGODT0G5Z4TTKYMN7K5","GSON2117320005")</f>
        <v>#NAME?</v>
      </c>
    </row>
    <row r="2127" spans="1:23" x14ac:dyDescent="0.2">
      <c r="A2127" s="17" t="s">
        <v>4794</v>
      </c>
      <c r="B2127" s="7" t="s">
        <v>4795</v>
      </c>
      <c r="C2127" s="3" t="e">
        <f ca="1">[1]!BexGetData("DP_1","003N8EMH8GTFRCSWKMPXRR8GU","GSON2117320006")</f>
        <v>#NAME?</v>
      </c>
      <c r="D2127" s="3" t="e">
        <f ca="1">[1]!BexGetData("DP_1","003N8EMH8GTFRCSWKMPXRRESE","GSON2117320006")</f>
        <v>#NAME?</v>
      </c>
      <c r="E2127" s="3" t="e">
        <f ca="1">[1]!BexGetData("DP_1","003N8EMH8GTFRCSWKMPXRRL3Y","GSON2117320006")</f>
        <v>#NAME?</v>
      </c>
      <c r="F2127" s="4" t="e">
        <f ca="1">[1]!BexGetData("DP_1","003N8EMH8GTFRCSWKMPXRRRFI","GSON2117320006")</f>
        <v>#NAME?</v>
      </c>
      <c r="G2127" s="4" t="e">
        <f ca="1">[1]!BexGetData("DP_1","003N8EMH8GTFRCSWKMPXRRXR2","GSON2117320006")</f>
        <v>#NAME?</v>
      </c>
      <c r="H2127" s="4" t="e">
        <f ca="1">[1]!BexGetData("DP_1","003N8EMH8GTFRCSWKMPXRS42M","GSON2117320006")</f>
        <v>#NAME?</v>
      </c>
      <c r="I2127" s="4" t="e">
        <f ca="1">[1]!BexGetData("DP_1","003N8EMH8GTFRCSWKMPXRSAE6","GSON2117320006")</f>
        <v>#NAME?</v>
      </c>
      <c r="J2127" s="4" t="e">
        <f ca="1">[1]!BexGetData("DP_1","003N8EMH8GTFRCSWKMPXRSGPQ","GSON2117320006")</f>
        <v>#NAME?</v>
      </c>
      <c r="K2127" s="3" t="e">
        <f ca="1">[1]!BexGetData("DP_1","003N8EMH8GTFRIVNUPY288VJH","GSON2117320006")</f>
        <v>#NAME?</v>
      </c>
      <c r="L2127" s="3" t="e">
        <f ca="1">[1]!BexGetData("DP_1","003N8EMH8GTFRIVNUPY2891V1","GSON2117320006")</f>
        <v>#NAME?</v>
      </c>
      <c r="M2127" s="3" t="e">
        <f ca="1">[1]!BexGetData("DP_1","003N8EMH8GTFRIVOG7KG9IQXA","GSON2117320006")</f>
        <v>#NAME?</v>
      </c>
      <c r="N2127" s="8" t="e">
        <f ca="1">[1]!BexGetData("DP_1","003N8EMH8GTFRIVOG7KG9IX8U","GSON2117320006")</f>
        <v>#NAME?</v>
      </c>
      <c r="O2127" s="3" t="e">
        <f ca="1">[1]!BexGetData("DP_1","003N8EMH8GTFRIVOG7KG9J3KE","GSON2117320006")</f>
        <v>#NAME?</v>
      </c>
      <c r="P2127" s="8" t="e">
        <f ca="1">[1]!BexGetData("DP_1","003N8EMH8GTFRIVOG7KG9J9VY","GSON2117320006")</f>
        <v>#NAME?</v>
      </c>
      <c r="Q2127" s="4" t="e">
        <f ca="1">[1]!BexGetData("DP_1","00O2TNJGODT0G5Z4TTKYMM5MT","GSON2117320006")</f>
        <v>#NAME?</v>
      </c>
      <c r="R2127" s="4" t="e">
        <f ca="1">[1]!BexGetData("DP_1","00O2TNJGODT0G5Z4TTKYMMBYD","GSON2117320006")</f>
        <v>#NAME?</v>
      </c>
      <c r="S2127" s="4" t="e">
        <f ca="1">[1]!BexGetData("DP_1","00O2TNJGODT0G5Z4TTKYMMI9X","GSON2117320006")</f>
        <v>#NAME?</v>
      </c>
      <c r="T2127" s="4" t="e">
        <f ca="1">[1]!BexGetData("DP_1","00O2TNJGODT0G5Z4TTKYMMOLH","GSON2117320006")</f>
        <v>#NAME?</v>
      </c>
      <c r="U2127" s="4" t="e">
        <f ca="1">[1]!BexGetData("DP_1","00O2TNJGODT0G5Z4TTKYMMUX1","GSON2117320006")</f>
        <v>#NAME?</v>
      </c>
      <c r="V2127" s="4" t="e">
        <f ca="1">[1]!BexGetData("DP_1","00O2TNJGODT0G5Z4TTKYMN18L","GSON2117320006")</f>
        <v>#NAME?</v>
      </c>
      <c r="W2127" s="4" t="e">
        <f ca="1">[1]!BexGetData("DP_1","00O2TNJGODT0G5Z4TTKYMN7K5","GSON2117320006")</f>
        <v>#NAME?</v>
      </c>
    </row>
    <row r="2128" spans="1:23" x14ac:dyDescent="0.2">
      <c r="A2128" s="17" t="s">
        <v>486</v>
      </c>
      <c r="B2128" s="7" t="s">
        <v>1421</v>
      </c>
      <c r="C2128" s="3" t="e">
        <f ca="1">[1]!BexGetData("DP_1","003N8EMH8GTFRCSWKMPXRR8GU","GSON2117320007")</f>
        <v>#NAME?</v>
      </c>
      <c r="D2128" s="3" t="e">
        <f ca="1">[1]!BexGetData("DP_1","003N8EMH8GTFRCSWKMPXRRESE","GSON2117320007")</f>
        <v>#NAME?</v>
      </c>
      <c r="E2128" s="8" t="e">
        <f ca="1">[1]!BexGetData("DP_1","003N8EMH8GTFRCSWKMPXRRL3Y","GSON2117320007")</f>
        <v>#NAME?</v>
      </c>
      <c r="F2128" s="4" t="e">
        <f ca="1">[1]!BexGetData("DP_1","003N8EMH8GTFRCSWKMPXRRRFI","GSON2117320007")</f>
        <v>#NAME?</v>
      </c>
      <c r="G2128" s="4" t="e">
        <f ca="1">[1]!BexGetData("DP_1","003N8EMH8GTFRCSWKMPXRRXR2","GSON2117320007")</f>
        <v>#NAME?</v>
      </c>
      <c r="H2128" s="4" t="e">
        <f ca="1">[1]!BexGetData("DP_1","003N8EMH8GTFRCSWKMPXRS42M","GSON2117320007")</f>
        <v>#NAME?</v>
      </c>
      <c r="I2128" s="4" t="e">
        <f ca="1">[1]!BexGetData("DP_1","003N8EMH8GTFRCSWKMPXRSAE6","GSON2117320007")</f>
        <v>#NAME?</v>
      </c>
      <c r="J2128" s="4" t="e">
        <f ca="1">[1]!BexGetData("DP_1","003N8EMH8GTFRCSWKMPXRSGPQ","GSON2117320007")</f>
        <v>#NAME?</v>
      </c>
      <c r="K2128" s="8" t="e">
        <f ca="1">[1]!BexGetData("DP_1","003N8EMH8GTFRIVNUPY288VJH","GSON2117320007")</f>
        <v>#NAME?</v>
      </c>
      <c r="L2128" s="8" t="e">
        <f ca="1">[1]!BexGetData("DP_1","003N8EMH8GTFRIVNUPY2891V1","GSON2117320007")</f>
        <v>#NAME?</v>
      </c>
      <c r="M2128" s="8" t="e">
        <f ca="1">[1]!BexGetData("DP_1","003N8EMH8GTFRIVOG7KG9IQXA","GSON2117320007")</f>
        <v>#NAME?</v>
      </c>
      <c r="N2128" s="8" t="e">
        <f ca="1">[1]!BexGetData("DP_1","003N8EMH8GTFRIVOG7KG9IX8U","GSON2117320007")</f>
        <v>#NAME?</v>
      </c>
      <c r="O2128" s="8" t="e">
        <f ca="1">[1]!BexGetData("DP_1","003N8EMH8GTFRIVOG7KG9J3KE","GSON2117320007")</f>
        <v>#NAME?</v>
      </c>
      <c r="P2128" s="8" t="e">
        <f ca="1">[1]!BexGetData("DP_1","003N8EMH8GTFRIVOG7KG9J9VY","GSON2117320007")</f>
        <v>#NAME?</v>
      </c>
      <c r="Q2128" s="4" t="e">
        <f ca="1">[1]!BexGetData("DP_1","00O2TNJGODT0G5Z4TTKYMM5MT","GSON2117320007")</f>
        <v>#NAME?</v>
      </c>
      <c r="R2128" s="4" t="e">
        <f ca="1">[1]!BexGetData("DP_1","00O2TNJGODT0G5Z4TTKYMMBYD","GSON2117320007")</f>
        <v>#NAME?</v>
      </c>
      <c r="S2128" s="4" t="e">
        <f ca="1">[1]!BexGetData("DP_1","00O2TNJGODT0G5Z4TTKYMMI9X","GSON2117320007")</f>
        <v>#NAME?</v>
      </c>
      <c r="T2128" s="4" t="e">
        <f ca="1">[1]!BexGetData("DP_1","00O2TNJGODT0G5Z4TTKYMMOLH","GSON2117320007")</f>
        <v>#NAME?</v>
      </c>
      <c r="U2128" s="4" t="e">
        <f ca="1">[1]!BexGetData("DP_1","00O2TNJGODT0G5Z4TTKYMMUX1","GSON2117320007")</f>
        <v>#NAME?</v>
      </c>
      <c r="V2128" s="4" t="e">
        <f ca="1">[1]!BexGetData("DP_1","00O2TNJGODT0G5Z4TTKYMN18L","GSON2117320007")</f>
        <v>#NAME?</v>
      </c>
      <c r="W2128" s="4" t="e">
        <f ca="1">[1]!BexGetData("DP_1","00O2TNJGODT0G5Z4TTKYMN7K5","GSON2117320007")</f>
        <v>#NAME?</v>
      </c>
    </row>
    <row r="2129" spans="1:23" x14ac:dyDescent="0.2">
      <c r="A2129" s="17" t="s">
        <v>4796</v>
      </c>
      <c r="B2129" s="7" t="s">
        <v>4797</v>
      </c>
      <c r="C2129" s="3" t="e">
        <f ca="1">[1]!BexGetData("DP_1","003N8EMH8GTFRCSWKMPXRR8GU","GSON2117320008")</f>
        <v>#NAME?</v>
      </c>
      <c r="D2129" s="3" t="e">
        <f ca="1">[1]!BexGetData("DP_1","003N8EMH8GTFRCSWKMPXRRESE","GSON2117320008")</f>
        <v>#NAME?</v>
      </c>
      <c r="E2129" s="3" t="e">
        <f ca="1">[1]!BexGetData("DP_1","003N8EMH8GTFRCSWKMPXRRL3Y","GSON2117320008")</f>
        <v>#NAME?</v>
      </c>
      <c r="F2129" s="3" t="e">
        <f ca="1">[1]!BexGetData("DP_1","003N8EMH8GTFRCSWKMPXRRRFI","GSON2117320008")</f>
        <v>#NAME?</v>
      </c>
      <c r="G2129" s="3" t="e">
        <f ca="1">[1]!BexGetData("DP_1","003N8EMH8GTFRCSWKMPXRRXR2","GSON2117320008")</f>
        <v>#NAME?</v>
      </c>
      <c r="H2129" s="3" t="e">
        <f ca="1">[1]!BexGetData("DP_1","003N8EMH8GTFRCSWKMPXRS42M","GSON2117320008")</f>
        <v>#NAME?</v>
      </c>
      <c r="I2129" s="3" t="e">
        <f ca="1">[1]!BexGetData("DP_1","003N8EMH8GTFRCSWKMPXRSAE6","GSON2117320008")</f>
        <v>#NAME?</v>
      </c>
      <c r="J2129" s="4" t="e">
        <f ca="1">[1]!BexGetData("DP_1","003N8EMH8GTFRCSWKMPXRSGPQ","GSON2117320008")</f>
        <v>#NAME?</v>
      </c>
      <c r="K2129" s="3" t="e">
        <f ca="1">[1]!BexGetData("DP_1","003N8EMH8GTFRIVNUPY288VJH","GSON2117320008")</f>
        <v>#NAME?</v>
      </c>
      <c r="L2129" s="3" t="e">
        <f ca="1">[1]!BexGetData("DP_1","003N8EMH8GTFRIVNUPY2891V1","GSON2117320008")</f>
        <v>#NAME?</v>
      </c>
      <c r="M2129" s="8" t="e">
        <f ca="1">[1]!BexGetData("DP_1","003N8EMH8GTFRIVOG7KG9IQXA","GSON2117320008")</f>
        <v>#NAME?</v>
      </c>
      <c r="N2129" s="3" t="e">
        <f ca="1">[1]!BexGetData("DP_1","003N8EMH8GTFRIVOG7KG9IX8U","GSON2117320008")</f>
        <v>#NAME?</v>
      </c>
      <c r="O2129" s="8" t="e">
        <f ca="1">[1]!BexGetData("DP_1","003N8EMH8GTFRIVOG7KG9J3KE","GSON2117320008")</f>
        <v>#NAME?</v>
      </c>
      <c r="P2129" s="3" t="e">
        <f ca="1">[1]!BexGetData("DP_1","003N8EMH8GTFRIVOG7KG9J9VY","GSON2117320008")</f>
        <v>#NAME?</v>
      </c>
      <c r="Q2129" s="4" t="e">
        <f ca="1">[1]!BexGetData("DP_1","00O2TNJGODT0G5Z4TTKYMM5MT","GSON2117320008")</f>
        <v>#NAME?</v>
      </c>
      <c r="R2129" s="3" t="e">
        <f ca="1">[1]!BexGetData("DP_1","00O2TNJGODT0G5Z4TTKYMMBYD","GSON2117320008")</f>
        <v>#NAME?</v>
      </c>
      <c r="S2129" s="3" t="e">
        <f ca="1">[1]!BexGetData("DP_1","00O2TNJGODT0G5Z4TTKYMMI9X","GSON2117320008")</f>
        <v>#NAME?</v>
      </c>
      <c r="T2129" s="3" t="e">
        <f ca="1">[1]!BexGetData("DP_1","00O2TNJGODT0G5Z4TTKYMMOLH","GSON2117320008")</f>
        <v>#NAME?</v>
      </c>
      <c r="U2129" s="8" t="e">
        <f ca="1">[1]!BexGetData("DP_1","00O2TNJGODT0G5Z4TTKYMMUX1","GSON2117320008")</f>
        <v>#NAME?</v>
      </c>
      <c r="V2129" s="3" t="e">
        <f ca="1">[1]!BexGetData("DP_1","00O2TNJGODT0G5Z4TTKYMN18L","GSON2117320008")</f>
        <v>#NAME?</v>
      </c>
      <c r="W2129" s="8" t="e">
        <f ca="1">[1]!BexGetData("DP_1","00O2TNJGODT0G5Z4TTKYMN7K5","GSON2117320008")</f>
        <v>#NAME?</v>
      </c>
    </row>
    <row r="2130" spans="1:23" x14ac:dyDescent="0.2">
      <c r="A2130" s="17" t="s">
        <v>4798</v>
      </c>
      <c r="B2130" s="7" t="s">
        <v>4799</v>
      </c>
      <c r="C2130" s="3" t="e">
        <f ca="1">[1]!BexGetData("DP_1","003N8EMH8GTFRCSWKMPXRR8GU","GSON2117320009")</f>
        <v>#NAME?</v>
      </c>
      <c r="D2130" s="3" t="e">
        <f ca="1">[1]!BexGetData("DP_1","003N8EMH8GTFRCSWKMPXRRESE","GSON2117320009")</f>
        <v>#NAME?</v>
      </c>
      <c r="E2130" s="3" t="e">
        <f ca="1">[1]!BexGetData("DP_1","003N8EMH8GTFRCSWKMPXRRL3Y","GSON2117320009")</f>
        <v>#NAME?</v>
      </c>
      <c r="F2130" s="3" t="e">
        <f ca="1">[1]!BexGetData("DP_1","003N8EMH8GTFRCSWKMPXRRRFI","GSON2117320009")</f>
        <v>#NAME?</v>
      </c>
      <c r="G2130" s="8" t="e">
        <f ca="1">[1]!BexGetData("DP_1","003N8EMH8GTFRCSWKMPXRRXR2","GSON2117320009")</f>
        <v>#NAME?</v>
      </c>
      <c r="H2130" s="3" t="e">
        <f ca="1">[1]!BexGetData("DP_1","003N8EMH8GTFRCSWKMPXRS42M","GSON2117320009")</f>
        <v>#NAME?</v>
      </c>
      <c r="I2130" s="3" t="e">
        <f ca="1">[1]!BexGetData("DP_1","003N8EMH8GTFRCSWKMPXRSAE6","GSON2117320009")</f>
        <v>#NAME?</v>
      </c>
      <c r="J2130" s="4" t="e">
        <f ca="1">[1]!BexGetData("DP_1","003N8EMH8GTFRCSWKMPXRSGPQ","GSON2117320009")</f>
        <v>#NAME?</v>
      </c>
      <c r="K2130" s="3" t="e">
        <f ca="1">[1]!BexGetData("DP_1","003N8EMH8GTFRIVNUPY288VJH","GSON2117320009")</f>
        <v>#NAME?</v>
      </c>
      <c r="L2130" s="3" t="e">
        <f ca="1">[1]!BexGetData("DP_1","003N8EMH8GTFRIVNUPY2891V1","GSON2117320009")</f>
        <v>#NAME?</v>
      </c>
      <c r="M2130" s="8" t="e">
        <f ca="1">[1]!BexGetData("DP_1","003N8EMH8GTFRIVOG7KG9IQXA","GSON2117320009")</f>
        <v>#NAME?</v>
      </c>
      <c r="N2130" s="3" t="e">
        <f ca="1">[1]!BexGetData("DP_1","003N8EMH8GTFRIVOG7KG9IX8U","GSON2117320009")</f>
        <v>#NAME?</v>
      </c>
      <c r="O2130" s="8" t="e">
        <f ca="1">[1]!BexGetData("DP_1","003N8EMH8GTFRIVOG7KG9J3KE","GSON2117320009")</f>
        <v>#NAME?</v>
      </c>
      <c r="P2130" s="3" t="e">
        <f ca="1">[1]!BexGetData("DP_1","003N8EMH8GTFRIVOG7KG9J9VY","GSON2117320009")</f>
        <v>#NAME?</v>
      </c>
      <c r="Q2130" s="4" t="e">
        <f ca="1">[1]!BexGetData("DP_1","00O2TNJGODT0G5Z4TTKYMM5MT","GSON2117320009")</f>
        <v>#NAME?</v>
      </c>
      <c r="R2130" s="3" t="e">
        <f ca="1">[1]!BexGetData("DP_1","00O2TNJGODT0G5Z4TTKYMMBYD","GSON2117320009")</f>
        <v>#NAME?</v>
      </c>
      <c r="S2130" s="3" t="e">
        <f ca="1">[1]!BexGetData("DP_1","00O2TNJGODT0G5Z4TTKYMMI9X","GSON2117320009")</f>
        <v>#NAME?</v>
      </c>
      <c r="T2130" s="3" t="e">
        <f ca="1">[1]!BexGetData("DP_1","00O2TNJGODT0G5Z4TTKYMMOLH","GSON2117320009")</f>
        <v>#NAME?</v>
      </c>
      <c r="U2130" s="8" t="e">
        <f ca="1">[1]!BexGetData("DP_1","00O2TNJGODT0G5Z4TTKYMMUX1","GSON2117320009")</f>
        <v>#NAME?</v>
      </c>
      <c r="V2130" s="3" t="e">
        <f ca="1">[1]!BexGetData("DP_1","00O2TNJGODT0G5Z4TTKYMN18L","GSON2117320009")</f>
        <v>#NAME?</v>
      </c>
      <c r="W2130" s="8" t="e">
        <f ca="1">[1]!BexGetData("DP_1","00O2TNJGODT0G5Z4TTKYMN7K5","GSON2117320009")</f>
        <v>#NAME?</v>
      </c>
    </row>
    <row r="2131" spans="1:23" x14ac:dyDescent="0.2">
      <c r="A2131" s="17" t="s">
        <v>4800</v>
      </c>
      <c r="B2131" s="7" t="s">
        <v>4801</v>
      </c>
      <c r="C2131" s="3" t="e">
        <f ca="1">[1]!BexGetData("DP_1","003N8EMH8GTFRCSWKMPXRR8GU","GSON2117320010")</f>
        <v>#NAME?</v>
      </c>
      <c r="D2131" s="3" t="e">
        <f ca="1">[1]!BexGetData("DP_1","003N8EMH8GTFRCSWKMPXRRESE","GSON2117320010")</f>
        <v>#NAME?</v>
      </c>
      <c r="E2131" s="8" t="e">
        <f ca="1">[1]!BexGetData("DP_1","003N8EMH8GTFRCSWKMPXRRL3Y","GSON2117320010")</f>
        <v>#NAME?</v>
      </c>
      <c r="F2131" s="3" t="e">
        <f ca="1">[1]!BexGetData("DP_1","003N8EMH8GTFRCSWKMPXRRRFI","GSON2117320010")</f>
        <v>#NAME?</v>
      </c>
      <c r="G2131" s="3" t="e">
        <f ca="1">[1]!BexGetData("DP_1","003N8EMH8GTFRCSWKMPXRRXR2","GSON2117320010")</f>
        <v>#NAME?</v>
      </c>
      <c r="H2131" s="3" t="e">
        <f ca="1">[1]!BexGetData("DP_1","003N8EMH8GTFRCSWKMPXRS42M","GSON2117320010")</f>
        <v>#NAME?</v>
      </c>
      <c r="I2131" s="3" t="e">
        <f ca="1">[1]!BexGetData("DP_1","003N8EMH8GTFRCSWKMPXRSAE6","GSON2117320010")</f>
        <v>#NAME?</v>
      </c>
      <c r="J2131" s="4" t="e">
        <f ca="1">[1]!BexGetData("DP_1","003N8EMH8GTFRCSWKMPXRSGPQ","GSON2117320010")</f>
        <v>#NAME?</v>
      </c>
      <c r="K2131" s="3" t="e">
        <f ca="1">[1]!BexGetData("DP_1","003N8EMH8GTFRIVNUPY288VJH","GSON2117320010")</f>
        <v>#NAME?</v>
      </c>
      <c r="L2131" s="3" t="e">
        <f ca="1">[1]!BexGetData("DP_1","003N8EMH8GTFRIVNUPY2891V1","GSON2117320010")</f>
        <v>#NAME?</v>
      </c>
      <c r="M2131" s="8" t="e">
        <f ca="1">[1]!BexGetData("DP_1","003N8EMH8GTFRIVOG7KG9IQXA","GSON2117320010")</f>
        <v>#NAME?</v>
      </c>
      <c r="N2131" s="3" t="e">
        <f ca="1">[1]!BexGetData("DP_1","003N8EMH8GTFRIVOG7KG9IX8U","GSON2117320010")</f>
        <v>#NAME?</v>
      </c>
      <c r="O2131" s="8" t="e">
        <f ca="1">[1]!BexGetData("DP_1","003N8EMH8GTFRIVOG7KG9J3KE","GSON2117320010")</f>
        <v>#NAME?</v>
      </c>
      <c r="P2131" s="3" t="e">
        <f ca="1">[1]!BexGetData("DP_1","003N8EMH8GTFRIVOG7KG9J9VY","GSON2117320010")</f>
        <v>#NAME?</v>
      </c>
      <c r="Q2131" s="4" t="e">
        <f ca="1">[1]!BexGetData("DP_1","00O2TNJGODT0G5Z4TTKYMM5MT","GSON2117320010")</f>
        <v>#NAME?</v>
      </c>
      <c r="R2131" s="3" t="e">
        <f ca="1">[1]!BexGetData("DP_1","00O2TNJGODT0G5Z4TTKYMMBYD","GSON2117320010")</f>
        <v>#NAME?</v>
      </c>
      <c r="S2131" s="3" t="e">
        <f ca="1">[1]!BexGetData("DP_1","00O2TNJGODT0G5Z4TTKYMMI9X","GSON2117320010")</f>
        <v>#NAME?</v>
      </c>
      <c r="T2131" s="3" t="e">
        <f ca="1">[1]!BexGetData("DP_1","00O2TNJGODT0G5Z4TTKYMMOLH","GSON2117320010")</f>
        <v>#NAME?</v>
      </c>
      <c r="U2131" s="8" t="e">
        <f ca="1">[1]!BexGetData("DP_1","00O2TNJGODT0G5Z4TTKYMMUX1","GSON2117320010")</f>
        <v>#NAME?</v>
      </c>
      <c r="V2131" s="3" t="e">
        <f ca="1">[1]!BexGetData("DP_1","00O2TNJGODT0G5Z4TTKYMN18L","GSON2117320010")</f>
        <v>#NAME?</v>
      </c>
      <c r="W2131" s="8" t="e">
        <f ca="1">[1]!BexGetData("DP_1","00O2TNJGODT0G5Z4TTKYMN7K5","GSON2117320010")</f>
        <v>#NAME?</v>
      </c>
    </row>
    <row r="2132" spans="1:23" x14ac:dyDescent="0.2">
      <c r="A2132" s="17" t="s">
        <v>354</v>
      </c>
      <c r="B2132" s="7" t="s">
        <v>355</v>
      </c>
      <c r="C2132" s="3" t="e">
        <f ca="1">[1]!BexGetData("DP_1","003N8EMH8GTFRCSWKMPXRR8GU","GSON2117410001")</f>
        <v>#NAME?</v>
      </c>
      <c r="D2132" s="3" t="e">
        <f ca="1">[1]!BexGetData("DP_1","003N8EMH8GTFRCSWKMPXRRESE","GSON2117410001")</f>
        <v>#NAME?</v>
      </c>
      <c r="E2132" s="3" t="e">
        <f ca="1">[1]!BexGetData("DP_1","003N8EMH8GTFRCSWKMPXRRL3Y","GSON2117410001")</f>
        <v>#NAME?</v>
      </c>
      <c r="F2132" s="4" t="e">
        <f ca="1">[1]!BexGetData("DP_1","003N8EMH8GTFRCSWKMPXRRRFI","GSON2117410001")</f>
        <v>#NAME?</v>
      </c>
      <c r="G2132" s="4" t="e">
        <f ca="1">[1]!BexGetData("DP_1","003N8EMH8GTFRCSWKMPXRRXR2","GSON2117410001")</f>
        <v>#NAME?</v>
      </c>
      <c r="H2132" s="4" t="e">
        <f ca="1">[1]!BexGetData("DP_1","003N8EMH8GTFRCSWKMPXRS42M","GSON2117410001")</f>
        <v>#NAME?</v>
      </c>
      <c r="I2132" s="4" t="e">
        <f ca="1">[1]!BexGetData("DP_1","003N8EMH8GTFRCSWKMPXRSAE6","GSON2117410001")</f>
        <v>#NAME?</v>
      </c>
      <c r="J2132" s="4" t="e">
        <f ca="1">[1]!BexGetData("DP_1","003N8EMH8GTFRCSWKMPXRSGPQ","GSON2117410001")</f>
        <v>#NAME?</v>
      </c>
      <c r="K2132" s="3" t="e">
        <f ca="1">[1]!BexGetData("DP_1","003N8EMH8GTFRIVNUPY288VJH","GSON2117410001")</f>
        <v>#NAME?</v>
      </c>
      <c r="L2132" s="3" t="e">
        <f ca="1">[1]!BexGetData("DP_1","003N8EMH8GTFRIVNUPY2891V1","GSON2117410001")</f>
        <v>#NAME?</v>
      </c>
      <c r="M2132" s="3" t="e">
        <f ca="1">[1]!BexGetData("DP_1","003N8EMH8GTFRIVOG7KG9IQXA","GSON2117410001")</f>
        <v>#NAME?</v>
      </c>
      <c r="N2132" s="8" t="e">
        <f ca="1">[1]!BexGetData("DP_1","003N8EMH8GTFRIVOG7KG9IX8U","GSON2117410001")</f>
        <v>#NAME?</v>
      </c>
      <c r="O2132" s="3" t="e">
        <f ca="1">[1]!BexGetData("DP_1","003N8EMH8GTFRIVOG7KG9J3KE","GSON2117410001")</f>
        <v>#NAME?</v>
      </c>
      <c r="P2132" s="8" t="e">
        <f ca="1">[1]!BexGetData("DP_1","003N8EMH8GTFRIVOG7KG9J9VY","GSON2117410001")</f>
        <v>#NAME?</v>
      </c>
      <c r="Q2132" s="4" t="e">
        <f ca="1">[1]!BexGetData("DP_1","00O2TNJGODT0G5Z4TTKYMM5MT","GSON2117410001")</f>
        <v>#NAME?</v>
      </c>
      <c r="R2132" s="4" t="e">
        <f ca="1">[1]!BexGetData("DP_1","00O2TNJGODT0G5Z4TTKYMMBYD","GSON2117410001")</f>
        <v>#NAME?</v>
      </c>
      <c r="S2132" s="4" t="e">
        <f ca="1">[1]!BexGetData("DP_1","00O2TNJGODT0G5Z4TTKYMMI9X","GSON2117410001")</f>
        <v>#NAME?</v>
      </c>
      <c r="T2132" s="4" t="e">
        <f ca="1">[1]!BexGetData("DP_1","00O2TNJGODT0G5Z4TTKYMMOLH","GSON2117410001")</f>
        <v>#NAME?</v>
      </c>
      <c r="U2132" s="4" t="e">
        <f ca="1">[1]!BexGetData("DP_1","00O2TNJGODT0G5Z4TTKYMMUX1","GSON2117410001")</f>
        <v>#NAME?</v>
      </c>
      <c r="V2132" s="4" t="e">
        <f ca="1">[1]!BexGetData("DP_1","00O2TNJGODT0G5Z4TTKYMN18L","GSON2117410001")</f>
        <v>#NAME?</v>
      </c>
      <c r="W2132" s="4" t="e">
        <f ca="1">[1]!BexGetData("DP_1","00O2TNJGODT0G5Z4TTKYMN7K5","GSON2117410001")</f>
        <v>#NAME?</v>
      </c>
    </row>
    <row r="2133" spans="1:23" x14ac:dyDescent="0.2">
      <c r="A2133" s="17" t="s">
        <v>356</v>
      </c>
      <c r="B2133" s="7" t="s">
        <v>357</v>
      </c>
      <c r="C2133" s="3" t="e">
        <f ca="1">[1]!BexGetData("DP_1","003N8EMH8GTFRCSWKMPXRR8GU","GSON2117410002")</f>
        <v>#NAME?</v>
      </c>
      <c r="D2133" s="3" t="e">
        <f ca="1">[1]!BexGetData("DP_1","003N8EMH8GTFRCSWKMPXRRESE","GSON2117410002")</f>
        <v>#NAME?</v>
      </c>
      <c r="E2133" s="3" t="e">
        <f ca="1">[1]!BexGetData("DP_1","003N8EMH8GTFRCSWKMPXRRL3Y","GSON2117410002")</f>
        <v>#NAME?</v>
      </c>
      <c r="F2133" s="4" t="e">
        <f ca="1">[1]!BexGetData("DP_1","003N8EMH8GTFRCSWKMPXRRRFI","GSON2117410002")</f>
        <v>#NAME?</v>
      </c>
      <c r="G2133" s="4" t="e">
        <f ca="1">[1]!BexGetData("DP_1","003N8EMH8GTFRCSWKMPXRRXR2","GSON2117410002")</f>
        <v>#NAME?</v>
      </c>
      <c r="H2133" s="4" t="e">
        <f ca="1">[1]!BexGetData("DP_1","003N8EMH8GTFRCSWKMPXRS42M","GSON2117410002")</f>
        <v>#NAME?</v>
      </c>
      <c r="I2133" s="4" t="e">
        <f ca="1">[1]!BexGetData("DP_1","003N8EMH8GTFRCSWKMPXRSAE6","GSON2117410002")</f>
        <v>#NAME?</v>
      </c>
      <c r="J2133" s="4" t="e">
        <f ca="1">[1]!BexGetData("DP_1","003N8EMH8GTFRCSWKMPXRSGPQ","GSON2117410002")</f>
        <v>#NAME?</v>
      </c>
      <c r="K2133" s="3" t="e">
        <f ca="1">[1]!BexGetData("DP_1","003N8EMH8GTFRIVNUPY288VJH","GSON2117410002")</f>
        <v>#NAME?</v>
      </c>
      <c r="L2133" s="3" t="e">
        <f ca="1">[1]!BexGetData("DP_1","003N8EMH8GTFRIVNUPY2891V1","GSON2117410002")</f>
        <v>#NAME?</v>
      </c>
      <c r="M2133" s="3" t="e">
        <f ca="1">[1]!BexGetData("DP_1","003N8EMH8GTFRIVOG7KG9IQXA","GSON2117410002")</f>
        <v>#NAME?</v>
      </c>
      <c r="N2133" s="8" t="e">
        <f ca="1">[1]!BexGetData("DP_1","003N8EMH8GTFRIVOG7KG9IX8U","GSON2117410002")</f>
        <v>#NAME?</v>
      </c>
      <c r="O2133" s="3" t="e">
        <f ca="1">[1]!BexGetData("DP_1","003N8EMH8GTFRIVOG7KG9J3KE","GSON2117410002")</f>
        <v>#NAME?</v>
      </c>
      <c r="P2133" s="8" t="e">
        <f ca="1">[1]!BexGetData("DP_1","003N8EMH8GTFRIVOG7KG9J9VY","GSON2117410002")</f>
        <v>#NAME?</v>
      </c>
      <c r="Q2133" s="4" t="e">
        <f ca="1">[1]!BexGetData("DP_1","00O2TNJGODT0G5Z4TTKYMM5MT","GSON2117410002")</f>
        <v>#NAME?</v>
      </c>
      <c r="R2133" s="4" t="e">
        <f ca="1">[1]!BexGetData("DP_1","00O2TNJGODT0G5Z4TTKYMMBYD","GSON2117410002")</f>
        <v>#NAME?</v>
      </c>
      <c r="S2133" s="4" t="e">
        <f ca="1">[1]!BexGetData("DP_1","00O2TNJGODT0G5Z4TTKYMMI9X","GSON2117410002")</f>
        <v>#NAME?</v>
      </c>
      <c r="T2133" s="4" t="e">
        <f ca="1">[1]!BexGetData("DP_1","00O2TNJGODT0G5Z4TTKYMMOLH","GSON2117410002")</f>
        <v>#NAME?</v>
      </c>
      <c r="U2133" s="4" t="e">
        <f ca="1">[1]!BexGetData("DP_1","00O2TNJGODT0G5Z4TTKYMMUX1","GSON2117410002")</f>
        <v>#NAME?</v>
      </c>
      <c r="V2133" s="4" t="e">
        <f ca="1">[1]!BexGetData("DP_1","00O2TNJGODT0G5Z4TTKYMN18L","GSON2117410002")</f>
        <v>#NAME?</v>
      </c>
      <c r="W2133" s="4" t="e">
        <f ca="1">[1]!BexGetData("DP_1","00O2TNJGODT0G5Z4TTKYMN7K5","GSON2117410002")</f>
        <v>#NAME?</v>
      </c>
    </row>
    <row r="2134" spans="1:23" x14ac:dyDescent="0.2">
      <c r="A2134" s="17" t="s">
        <v>4802</v>
      </c>
      <c r="B2134" s="7" t="s">
        <v>4803</v>
      </c>
      <c r="C2134" s="3" t="e">
        <f ca="1">[1]!BexGetData("DP_1","003N8EMH8GTFRCSWKMPXRR8GU","GSON2117410004")</f>
        <v>#NAME?</v>
      </c>
      <c r="D2134" s="3" t="e">
        <f ca="1">[1]!BexGetData("DP_1","003N8EMH8GTFRCSWKMPXRRESE","GSON2117410004")</f>
        <v>#NAME?</v>
      </c>
      <c r="E2134" s="3" t="e">
        <f ca="1">[1]!BexGetData("DP_1","003N8EMH8GTFRCSWKMPXRRL3Y","GSON2117410004")</f>
        <v>#NAME?</v>
      </c>
      <c r="F2134" s="4" t="e">
        <f ca="1">[1]!BexGetData("DP_1","003N8EMH8GTFRCSWKMPXRRRFI","GSON2117410004")</f>
        <v>#NAME?</v>
      </c>
      <c r="G2134" s="4" t="e">
        <f ca="1">[1]!BexGetData("DP_1","003N8EMH8GTFRCSWKMPXRRXR2","GSON2117410004")</f>
        <v>#NAME?</v>
      </c>
      <c r="H2134" s="4" t="e">
        <f ca="1">[1]!BexGetData("DP_1","003N8EMH8GTFRCSWKMPXRS42M","GSON2117410004")</f>
        <v>#NAME?</v>
      </c>
      <c r="I2134" s="4" t="e">
        <f ca="1">[1]!BexGetData("DP_1","003N8EMH8GTFRCSWKMPXRSAE6","GSON2117410004")</f>
        <v>#NAME?</v>
      </c>
      <c r="J2134" s="4" t="e">
        <f ca="1">[1]!BexGetData("DP_1","003N8EMH8GTFRCSWKMPXRSGPQ","GSON2117410004")</f>
        <v>#NAME?</v>
      </c>
      <c r="K2134" s="3" t="e">
        <f ca="1">[1]!BexGetData("DP_1","003N8EMH8GTFRIVNUPY288VJH","GSON2117410004")</f>
        <v>#NAME?</v>
      </c>
      <c r="L2134" s="3" t="e">
        <f ca="1">[1]!BexGetData("DP_1","003N8EMH8GTFRIVNUPY2891V1","GSON2117410004")</f>
        <v>#NAME?</v>
      </c>
      <c r="M2134" s="3" t="e">
        <f ca="1">[1]!BexGetData("DP_1","003N8EMH8GTFRIVOG7KG9IQXA","GSON2117410004")</f>
        <v>#NAME?</v>
      </c>
      <c r="N2134" s="8" t="e">
        <f ca="1">[1]!BexGetData("DP_1","003N8EMH8GTFRIVOG7KG9IX8U","GSON2117410004")</f>
        <v>#NAME?</v>
      </c>
      <c r="O2134" s="3" t="e">
        <f ca="1">[1]!BexGetData("DP_1","003N8EMH8GTFRIVOG7KG9J3KE","GSON2117410004")</f>
        <v>#NAME?</v>
      </c>
      <c r="P2134" s="8" t="e">
        <f ca="1">[1]!BexGetData("DP_1","003N8EMH8GTFRIVOG7KG9J9VY","GSON2117410004")</f>
        <v>#NAME?</v>
      </c>
      <c r="Q2134" s="4" t="e">
        <f ca="1">[1]!BexGetData("DP_1","00O2TNJGODT0G5Z4TTKYMM5MT","GSON2117410004")</f>
        <v>#NAME?</v>
      </c>
      <c r="R2134" s="4" t="e">
        <f ca="1">[1]!BexGetData("DP_1","00O2TNJGODT0G5Z4TTKYMMBYD","GSON2117410004")</f>
        <v>#NAME?</v>
      </c>
      <c r="S2134" s="4" t="e">
        <f ca="1">[1]!BexGetData("DP_1","00O2TNJGODT0G5Z4TTKYMMI9X","GSON2117410004")</f>
        <v>#NAME?</v>
      </c>
      <c r="T2134" s="4" t="e">
        <f ca="1">[1]!BexGetData("DP_1","00O2TNJGODT0G5Z4TTKYMMOLH","GSON2117410004")</f>
        <v>#NAME?</v>
      </c>
      <c r="U2134" s="4" t="e">
        <f ca="1">[1]!BexGetData("DP_1","00O2TNJGODT0G5Z4TTKYMMUX1","GSON2117410004")</f>
        <v>#NAME?</v>
      </c>
      <c r="V2134" s="4" t="e">
        <f ca="1">[1]!BexGetData("DP_1","00O2TNJGODT0G5Z4TTKYMN18L","GSON2117410004")</f>
        <v>#NAME?</v>
      </c>
      <c r="W2134" s="4" t="e">
        <f ca="1">[1]!BexGetData("DP_1","00O2TNJGODT0G5Z4TTKYMN7K5","GSON2117410004")</f>
        <v>#NAME?</v>
      </c>
    </row>
    <row r="2135" spans="1:23" x14ac:dyDescent="0.2">
      <c r="A2135" s="17" t="s">
        <v>358</v>
      </c>
      <c r="B2135" s="7" t="s">
        <v>359</v>
      </c>
      <c r="C2135" s="3" t="e">
        <f ca="1">[1]!BexGetData("DP_1","003N8EMH8GTFRCSWKMPXRR8GU","GSON2117420001")</f>
        <v>#NAME?</v>
      </c>
      <c r="D2135" s="3" t="e">
        <f ca="1">[1]!BexGetData("DP_1","003N8EMH8GTFRCSWKMPXRRESE","GSON2117420001")</f>
        <v>#NAME?</v>
      </c>
      <c r="E2135" s="8" t="e">
        <f ca="1">[1]!BexGetData("DP_1","003N8EMH8GTFRCSWKMPXRRL3Y","GSON2117420001")</f>
        <v>#NAME?</v>
      </c>
      <c r="F2135" s="4" t="e">
        <f ca="1">[1]!BexGetData("DP_1","003N8EMH8GTFRCSWKMPXRRRFI","GSON2117420001")</f>
        <v>#NAME?</v>
      </c>
      <c r="G2135" s="4" t="e">
        <f ca="1">[1]!BexGetData("DP_1","003N8EMH8GTFRCSWKMPXRRXR2","GSON2117420001")</f>
        <v>#NAME?</v>
      </c>
      <c r="H2135" s="4" t="e">
        <f ca="1">[1]!BexGetData("DP_1","003N8EMH8GTFRCSWKMPXRS42M","GSON2117420001")</f>
        <v>#NAME?</v>
      </c>
      <c r="I2135" s="4" t="e">
        <f ca="1">[1]!BexGetData("DP_1","003N8EMH8GTFRCSWKMPXRSAE6","GSON2117420001")</f>
        <v>#NAME?</v>
      </c>
      <c r="J2135" s="4" t="e">
        <f ca="1">[1]!BexGetData("DP_1","003N8EMH8GTFRCSWKMPXRSGPQ","GSON2117420001")</f>
        <v>#NAME?</v>
      </c>
      <c r="K2135" s="8" t="e">
        <f ca="1">[1]!BexGetData("DP_1","003N8EMH8GTFRIVNUPY288VJH","GSON2117420001")</f>
        <v>#NAME?</v>
      </c>
      <c r="L2135" s="8" t="e">
        <f ca="1">[1]!BexGetData("DP_1","003N8EMH8GTFRIVNUPY2891V1","GSON2117420001")</f>
        <v>#NAME?</v>
      </c>
      <c r="M2135" s="8" t="e">
        <f ca="1">[1]!BexGetData("DP_1","003N8EMH8GTFRIVOG7KG9IQXA","GSON2117420001")</f>
        <v>#NAME?</v>
      </c>
      <c r="N2135" s="8" t="e">
        <f ca="1">[1]!BexGetData("DP_1","003N8EMH8GTFRIVOG7KG9IX8U","GSON2117420001")</f>
        <v>#NAME?</v>
      </c>
      <c r="O2135" s="8" t="e">
        <f ca="1">[1]!BexGetData("DP_1","003N8EMH8GTFRIVOG7KG9J3KE","GSON2117420001")</f>
        <v>#NAME?</v>
      </c>
      <c r="P2135" s="8" t="e">
        <f ca="1">[1]!BexGetData("DP_1","003N8EMH8GTFRIVOG7KG9J9VY","GSON2117420001")</f>
        <v>#NAME?</v>
      </c>
      <c r="Q2135" s="4" t="e">
        <f ca="1">[1]!BexGetData("DP_1","00O2TNJGODT0G5Z4TTKYMM5MT","GSON2117420001")</f>
        <v>#NAME?</v>
      </c>
      <c r="R2135" s="4" t="e">
        <f ca="1">[1]!BexGetData("DP_1","00O2TNJGODT0G5Z4TTKYMMBYD","GSON2117420001")</f>
        <v>#NAME?</v>
      </c>
      <c r="S2135" s="4" t="e">
        <f ca="1">[1]!BexGetData("DP_1","00O2TNJGODT0G5Z4TTKYMMI9X","GSON2117420001")</f>
        <v>#NAME?</v>
      </c>
      <c r="T2135" s="4" t="e">
        <f ca="1">[1]!BexGetData("DP_1","00O2TNJGODT0G5Z4TTKYMMOLH","GSON2117420001")</f>
        <v>#NAME?</v>
      </c>
      <c r="U2135" s="4" t="e">
        <f ca="1">[1]!BexGetData("DP_1","00O2TNJGODT0G5Z4TTKYMMUX1","GSON2117420001")</f>
        <v>#NAME?</v>
      </c>
      <c r="V2135" s="4" t="e">
        <f ca="1">[1]!BexGetData("DP_1","00O2TNJGODT0G5Z4TTKYMN18L","GSON2117420001")</f>
        <v>#NAME?</v>
      </c>
      <c r="W2135" s="4" t="e">
        <f ca="1">[1]!BexGetData("DP_1","00O2TNJGODT0G5Z4TTKYMN7K5","GSON2117420001")</f>
        <v>#NAME?</v>
      </c>
    </row>
    <row r="2136" spans="1:23" x14ac:dyDescent="0.2">
      <c r="A2136" s="17" t="s">
        <v>1422</v>
      </c>
      <c r="B2136" s="7" t="s">
        <v>360</v>
      </c>
      <c r="C2136" s="3" t="e">
        <f ca="1">[1]!BexGetData("DP_1","003N8EMH8GTFRCSWKMPXRR8GU","GSON2117420002")</f>
        <v>#NAME?</v>
      </c>
      <c r="D2136" s="3" t="e">
        <f ca="1">[1]!BexGetData("DP_1","003N8EMH8GTFRCSWKMPXRRESE","GSON2117420002")</f>
        <v>#NAME?</v>
      </c>
      <c r="E2136" s="3" t="e">
        <f ca="1">[1]!BexGetData("DP_1","003N8EMH8GTFRCSWKMPXRRL3Y","GSON2117420002")</f>
        <v>#NAME?</v>
      </c>
      <c r="F2136" s="4" t="e">
        <f ca="1">[1]!BexGetData("DP_1","003N8EMH8GTFRCSWKMPXRRRFI","GSON2117420002")</f>
        <v>#NAME?</v>
      </c>
      <c r="G2136" s="4" t="e">
        <f ca="1">[1]!BexGetData("DP_1","003N8EMH8GTFRCSWKMPXRRXR2","GSON2117420002")</f>
        <v>#NAME?</v>
      </c>
      <c r="H2136" s="4" t="e">
        <f ca="1">[1]!BexGetData("DP_1","003N8EMH8GTFRCSWKMPXRS42M","GSON2117420002")</f>
        <v>#NAME?</v>
      </c>
      <c r="I2136" s="4" t="e">
        <f ca="1">[1]!BexGetData("DP_1","003N8EMH8GTFRCSWKMPXRSAE6","GSON2117420002")</f>
        <v>#NAME?</v>
      </c>
      <c r="J2136" s="4" t="e">
        <f ca="1">[1]!BexGetData("DP_1","003N8EMH8GTFRCSWKMPXRSGPQ","GSON2117420002")</f>
        <v>#NAME?</v>
      </c>
      <c r="K2136" s="3" t="e">
        <f ca="1">[1]!BexGetData("DP_1","003N8EMH8GTFRIVNUPY288VJH","GSON2117420002")</f>
        <v>#NAME?</v>
      </c>
      <c r="L2136" s="3" t="e">
        <f ca="1">[1]!BexGetData("DP_1","003N8EMH8GTFRIVNUPY2891V1","GSON2117420002")</f>
        <v>#NAME?</v>
      </c>
      <c r="M2136" s="3" t="e">
        <f ca="1">[1]!BexGetData("DP_1","003N8EMH8GTFRIVOG7KG9IQXA","GSON2117420002")</f>
        <v>#NAME?</v>
      </c>
      <c r="N2136" s="8" t="e">
        <f ca="1">[1]!BexGetData("DP_1","003N8EMH8GTFRIVOG7KG9IX8U","GSON2117420002")</f>
        <v>#NAME?</v>
      </c>
      <c r="O2136" s="3" t="e">
        <f ca="1">[1]!BexGetData("DP_1","003N8EMH8GTFRIVOG7KG9J3KE","GSON2117420002")</f>
        <v>#NAME?</v>
      </c>
      <c r="P2136" s="8" t="e">
        <f ca="1">[1]!BexGetData("DP_1","003N8EMH8GTFRIVOG7KG9J9VY","GSON2117420002")</f>
        <v>#NAME?</v>
      </c>
      <c r="Q2136" s="4" t="e">
        <f ca="1">[1]!BexGetData("DP_1","00O2TNJGODT0G5Z4TTKYMM5MT","GSON2117420002")</f>
        <v>#NAME?</v>
      </c>
      <c r="R2136" s="4" t="e">
        <f ca="1">[1]!BexGetData("DP_1","00O2TNJGODT0G5Z4TTKYMMBYD","GSON2117420002")</f>
        <v>#NAME?</v>
      </c>
      <c r="S2136" s="4" t="e">
        <f ca="1">[1]!BexGetData("DP_1","00O2TNJGODT0G5Z4TTKYMMI9X","GSON2117420002")</f>
        <v>#NAME?</v>
      </c>
      <c r="T2136" s="4" t="e">
        <f ca="1">[1]!BexGetData("DP_1","00O2TNJGODT0G5Z4TTKYMMOLH","GSON2117420002")</f>
        <v>#NAME?</v>
      </c>
      <c r="U2136" s="4" t="e">
        <f ca="1">[1]!BexGetData("DP_1","00O2TNJGODT0G5Z4TTKYMMUX1","GSON2117420002")</f>
        <v>#NAME?</v>
      </c>
      <c r="V2136" s="4" t="e">
        <f ca="1">[1]!BexGetData("DP_1","00O2TNJGODT0G5Z4TTKYMN18L","GSON2117420002")</f>
        <v>#NAME?</v>
      </c>
      <c r="W2136" s="4" t="e">
        <f ca="1">[1]!BexGetData("DP_1","00O2TNJGODT0G5Z4TTKYMN7K5","GSON2117420002")</f>
        <v>#NAME?</v>
      </c>
    </row>
    <row r="2137" spans="1:23" x14ac:dyDescent="0.2">
      <c r="A2137" s="17" t="s">
        <v>361</v>
      </c>
      <c r="B2137" s="7" t="s">
        <v>362</v>
      </c>
      <c r="C2137" s="3" t="e">
        <f ca="1">[1]!BexGetData("DP_1","003N8EMH8GTFRCSWKMPXRR8GU","GSON2117420003")</f>
        <v>#NAME?</v>
      </c>
      <c r="D2137" s="3" t="e">
        <f ca="1">[1]!BexGetData("DP_1","003N8EMH8GTFRCSWKMPXRRESE","GSON2117420003")</f>
        <v>#NAME?</v>
      </c>
      <c r="E2137" s="3" t="e">
        <f ca="1">[1]!BexGetData("DP_1","003N8EMH8GTFRCSWKMPXRRL3Y","GSON2117420003")</f>
        <v>#NAME?</v>
      </c>
      <c r="F2137" s="4" t="e">
        <f ca="1">[1]!BexGetData("DP_1","003N8EMH8GTFRCSWKMPXRRRFI","GSON2117420003")</f>
        <v>#NAME?</v>
      </c>
      <c r="G2137" s="4" t="e">
        <f ca="1">[1]!BexGetData("DP_1","003N8EMH8GTFRCSWKMPXRRXR2","GSON2117420003")</f>
        <v>#NAME?</v>
      </c>
      <c r="H2137" s="4" t="e">
        <f ca="1">[1]!BexGetData("DP_1","003N8EMH8GTFRCSWKMPXRS42M","GSON2117420003")</f>
        <v>#NAME?</v>
      </c>
      <c r="I2137" s="4" t="e">
        <f ca="1">[1]!BexGetData("DP_1","003N8EMH8GTFRCSWKMPXRSAE6","GSON2117420003")</f>
        <v>#NAME?</v>
      </c>
      <c r="J2137" s="4" t="e">
        <f ca="1">[1]!BexGetData("DP_1","003N8EMH8GTFRCSWKMPXRSGPQ","GSON2117420003")</f>
        <v>#NAME?</v>
      </c>
      <c r="K2137" s="3" t="e">
        <f ca="1">[1]!BexGetData("DP_1","003N8EMH8GTFRIVNUPY288VJH","GSON2117420003")</f>
        <v>#NAME?</v>
      </c>
      <c r="L2137" s="3" t="e">
        <f ca="1">[1]!BexGetData("DP_1","003N8EMH8GTFRIVNUPY2891V1","GSON2117420003")</f>
        <v>#NAME?</v>
      </c>
      <c r="M2137" s="3" t="e">
        <f ca="1">[1]!BexGetData("DP_1","003N8EMH8GTFRIVOG7KG9IQXA","GSON2117420003")</f>
        <v>#NAME?</v>
      </c>
      <c r="N2137" s="8" t="e">
        <f ca="1">[1]!BexGetData("DP_1","003N8EMH8GTFRIVOG7KG9IX8U","GSON2117420003")</f>
        <v>#NAME?</v>
      </c>
      <c r="O2137" s="3" t="e">
        <f ca="1">[1]!BexGetData("DP_1","003N8EMH8GTFRIVOG7KG9J3KE","GSON2117420003")</f>
        <v>#NAME?</v>
      </c>
      <c r="P2137" s="8" t="e">
        <f ca="1">[1]!BexGetData("DP_1","003N8EMH8GTFRIVOG7KG9J9VY","GSON2117420003")</f>
        <v>#NAME?</v>
      </c>
      <c r="Q2137" s="4" t="e">
        <f ca="1">[1]!BexGetData("DP_1","00O2TNJGODT0G5Z4TTKYMM5MT","GSON2117420003")</f>
        <v>#NAME?</v>
      </c>
      <c r="R2137" s="4" t="e">
        <f ca="1">[1]!BexGetData("DP_1","00O2TNJGODT0G5Z4TTKYMMBYD","GSON2117420003")</f>
        <v>#NAME?</v>
      </c>
      <c r="S2137" s="4" t="e">
        <f ca="1">[1]!BexGetData("DP_1","00O2TNJGODT0G5Z4TTKYMMI9X","GSON2117420003")</f>
        <v>#NAME?</v>
      </c>
      <c r="T2137" s="4" t="e">
        <f ca="1">[1]!BexGetData("DP_1","00O2TNJGODT0G5Z4TTKYMMOLH","GSON2117420003")</f>
        <v>#NAME?</v>
      </c>
      <c r="U2137" s="4" t="e">
        <f ca="1">[1]!BexGetData("DP_1","00O2TNJGODT0G5Z4TTKYMMUX1","GSON2117420003")</f>
        <v>#NAME?</v>
      </c>
      <c r="V2137" s="4" t="e">
        <f ca="1">[1]!BexGetData("DP_1","00O2TNJGODT0G5Z4TTKYMN18L","GSON2117420003")</f>
        <v>#NAME?</v>
      </c>
      <c r="W2137" s="4" t="e">
        <f ca="1">[1]!BexGetData("DP_1","00O2TNJGODT0G5Z4TTKYMN7K5","GSON2117420003")</f>
        <v>#NAME?</v>
      </c>
    </row>
    <row r="2138" spans="1:23" x14ac:dyDescent="0.2">
      <c r="A2138" s="17" t="s">
        <v>363</v>
      </c>
      <c r="B2138" s="7" t="s">
        <v>364</v>
      </c>
      <c r="C2138" s="3" t="e">
        <f ca="1">[1]!BexGetData("DP_1","003N8EMH8GTFRCSWKMPXRR8GU","GSON2117420004")</f>
        <v>#NAME?</v>
      </c>
      <c r="D2138" s="3" t="e">
        <f ca="1">[1]!BexGetData("DP_1","003N8EMH8GTFRCSWKMPXRRESE","GSON2117420004")</f>
        <v>#NAME?</v>
      </c>
      <c r="E2138" s="3" t="e">
        <f ca="1">[1]!BexGetData("DP_1","003N8EMH8GTFRCSWKMPXRRL3Y","GSON2117420004")</f>
        <v>#NAME?</v>
      </c>
      <c r="F2138" s="4" t="e">
        <f ca="1">[1]!BexGetData("DP_1","003N8EMH8GTFRCSWKMPXRRRFI","GSON2117420004")</f>
        <v>#NAME?</v>
      </c>
      <c r="G2138" s="4" t="e">
        <f ca="1">[1]!BexGetData("DP_1","003N8EMH8GTFRCSWKMPXRRXR2","GSON2117420004")</f>
        <v>#NAME?</v>
      </c>
      <c r="H2138" s="4" t="e">
        <f ca="1">[1]!BexGetData("DP_1","003N8EMH8GTFRCSWKMPXRS42M","GSON2117420004")</f>
        <v>#NAME?</v>
      </c>
      <c r="I2138" s="4" t="e">
        <f ca="1">[1]!BexGetData("DP_1","003N8EMH8GTFRCSWKMPXRSAE6","GSON2117420004")</f>
        <v>#NAME?</v>
      </c>
      <c r="J2138" s="4" t="e">
        <f ca="1">[1]!BexGetData("DP_1","003N8EMH8GTFRCSWKMPXRSGPQ","GSON2117420004")</f>
        <v>#NAME?</v>
      </c>
      <c r="K2138" s="3" t="e">
        <f ca="1">[1]!BexGetData("DP_1","003N8EMH8GTFRIVNUPY288VJH","GSON2117420004")</f>
        <v>#NAME?</v>
      </c>
      <c r="L2138" s="3" t="e">
        <f ca="1">[1]!BexGetData("DP_1","003N8EMH8GTFRIVNUPY2891V1","GSON2117420004")</f>
        <v>#NAME?</v>
      </c>
      <c r="M2138" s="3" t="e">
        <f ca="1">[1]!BexGetData("DP_1","003N8EMH8GTFRIVOG7KG9IQXA","GSON2117420004")</f>
        <v>#NAME?</v>
      </c>
      <c r="N2138" s="8" t="e">
        <f ca="1">[1]!BexGetData("DP_1","003N8EMH8GTFRIVOG7KG9IX8U","GSON2117420004")</f>
        <v>#NAME?</v>
      </c>
      <c r="O2138" s="3" t="e">
        <f ca="1">[1]!BexGetData("DP_1","003N8EMH8GTFRIVOG7KG9J3KE","GSON2117420004")</f>
        <v>#NAME?</v>
      </c>
      <c r="P2138" s="8" t="e">
        <f ca="1">[1]!BexGetData("DP_1","003N8EMH8GTFRIVOG7KG9J9VY","GSON2117420004")</f>
        <v>#NAME?</v>
      </c>
      <c r="Q2138" s="4" t="e">
        <f ca="1">[1]!BexGetData("DP_1","00O2TNJGODT0G5Z4TTKYMM5MT","GSON2117420004")</f>
        <v>#NAME?</v>
      </c>
      <c r="R2138" s="4" t="e">
        <f ca="1">[1]!BexGetData("DP_1","00O2TNJGODT0G5Z4TTKYMMBYD","GSON2117420004")</f>
        <v>#NAME?</v>
      </c>
      <c r="S2138" s="4" t="e">
        <f ca="1">[1]!BexGetData("DP_1","00O2TNJGODT0G5Z4TTKYMMI9X","GSON2117420004")</f>
        <v>#NAME?</v>
      </c>
      <c r="T2138" s="4" t="e">
        <f ca="1">[1]!BexGetData("DP_1","00O2TNJGODT0G5Z4TTKYMMOLH","GSON2117420004")</f>
        <v>#NAME?</v>
      </c>
      <c r="U2138" s="4" t="e">
        <f ca="1">[1]!BexGetData("DP_1","00O2TNJGODT0G5Z4TTKYMMUX1","GSON2117420004")</f>
        <v>#NAME?</v>
      </c>
      <c r="V2138" s="4" t="e">
        <f ca="1">[1]!BexGetData("DP_1","00O2TNJGODT0G5Z4TTKYMN18L","GSON2117420004")</f>
        <v>#NAME?</v>
      </c>
      <c r="W2138" s="4" t="e">
        <f ca="1">[1]!BexGetData("DP_1","00O2TNJGODT0G5Z4TTKYMN7K5","GSON2117420004")</f>
        <v>#NAME?</v>
      </c>
    </row>
    <row r="2139" spans="1:23" x14ac:dyDescent="0.2">
      <c r="A2139" s="17" t="s">
        <v>4804</v>
      </c>
      <c r="B2139" s="7" t="s">
        <v>4805</v>
      </c>
      <c r="C2139" s="3" t="e">
        <f ca="1">[1]!BexGetData("DP_1","003N8EMH8GTFRCSWKMPXRR8GU","GSON2117420006")</f>
        <v>#NAME?</v>
      </c>
      <c r="D2139" s="3" t="e">
        <f ca="1">[1]!BexGetData("DP_1","003N8EMH8GTFRCSWKMPXRRESE","GSON2117420006")</f>
        <v>#NAME?</v>
      </c>
      <c r="E2139" s="3" t="e">
        <f ca="1">[1]!BexGetData("DP_1","003N8EMH8GTFRCSWKMPXRRL3Y","GSON2117420006")</f>
        <v>#NAME?</v>
      </c>
      <c r="F2139" s="4" t="e">
        <f ca="1">[1]!BexGetData("DP_1","003N8EMH8GTFRCSWKMPXRRRFI","GSON2117420006")</f>
        <v>#NAME?</v>
      </c>
      <c r="G2139" s="4" t="e">
        <f ca="1">[1]!BexGetData("DP_1","003N8EMH8GTFRCSWKMPXRRXR2","GSON2117420006")</f>
        <v>#NAME?</v>
      </c>
      <c r="H2139" s="4" t="e">
        <f ca="1">[1]!BexGetData("DP_1","003N8EMH8GTFRCSWKMPXRS42M","GSON2117420006")</f>
        <v>#NAME?</v>
      </c>
      <c r="I2139" s="4" t="e">
        <f ca="1">[1]!BexGetData("DP_1","003N8EMH8GTFRCSWKMPXRSAE6","GSON2117420006")</f>
        <v>#NAME?</v>
      </c>
      <c r="J2139" s="4" t="e">
        <f ca="1">[1]!BexGetData("DP_1","003N8EMH8GTFRCSWKMPXRSGPQ","GSON2117420006")</f>
        <v>#NAME?</v>
      </c>
      <c r="K2139" s="3" t="e">
        <f ca="1">[1]!BexGetData("DP_1","003N8EMH8GTFRIVNUPY288VJH","GSON2117420006")</f>
        <v>#NAME?</v>
      </c>
      <c r="L2139" s="3" t="e">
        <f ca="1">[1]!BexGetData("DP_1","003N8EMH8GTFRIVNUPY2891V1","GSON2117420006")</f>
        <v>#NAME?</v>
      </c>
      <c r="M2139" s="3" t="e">
        <f ca="1">[1]!BexGetData("DP_1","003N8EMH8GTFRIVOG7KG9IQXA","GSON2117420006")</f>
        <v>#NAME?</v>
      </c>
      <c r="N2139" s="8" t="e">
        <f ca="1">[1]!BexGetData("DP_1","003N8EMH8GTFRIVOG7KG9IX8U","GSON2117420006")</f>
        <v>#NAME?</v>
      </c>
      <c r="O2139" s="3" t="e">
        <f ca="1">[1]!BexGetData("DP_1","003N8EMH8GTFRIVOG7KG9J3KE","GSON2117420006")</f>
        <v>#NAME?</v>
      </c>
      <c r="P2139" s="8" t="e">
        <f ca="1">[1]!BexGetData("DP_1","003N8EMH8GTFRIVOG7KG9J9VY","GSON2117420006")</f>
        <v>#NAME?</v>
      </c>
      <c r="Q2139" s="4" t="e">
        <f ca="1">[1]!BexGetData("DP_1","00O2TNJGODT0G5Z4TTKYMM5MT","GSON2117420006")</f>
        <v>#NAME?</v>
      </c>
      <c r="R2139" s="4" t="e">
        <f ca="1">[1]!BexGetData("DP_1","00O2TNJGODT0G5Z4TTKYMMBYD","GSON2117420006")</f>
        <v>#NAME?</v>
      </c>
      <c r="S2139" s="4" t="e">
        <f ca="1">[1]!BexGetData("DP_1","00O2TNJGODT0G5Z4TTKYMMI9X","GSON2117420006")</f>
        <v>#NAME?</v>
      </c>
      <c r="T2139" s="4" t="e">
        <f ca="1">[1]!BexGetData("DP_1","00O2TNJGODT0G5Z4TTKYMMOLH","GSON2117420006")</f>
        <v>#NAME?</v>
      </c>
      <c r="U2139" s="4" t="e">
        <f ca="1">[1]!BexGetData("DP_1","00O2TNJGODT0G5Z4TTKYMMUX1","GSON2117420006")</f>
        <v>#NAME?</v>
      </c>
      <c r="V2139" s="4" t="e">
        <f ca="1">[1]!BexGetData("DP_1","00O2TNJGODT0G5Z4TTKYMN18L","GSON2117420006")</f>
        <v>#NAME?</v>
      </c>
      <c r="W2139" s="4" t="e">
        <f ca="1">[1]!BexGetData("DP_1","00O2TNJGODT0G5Z4TTKYMN7K5","GSON2117420006")</f>
        <v>#NAME?</v>
      </c>
    </row>
    <row r="2140" spans="1:23" x14ac:dyDescent="0.2">
      <c r="A2140" s="17" t="s">
        <v>4806</v>
      </c>
      <c r="B2140" s="7" t="s">
        <v>4807</v>
      </c>
      <c r="C2140" s="3" t="e">
        <f ca="1">[1]!BexGetData("DP_1","003N8EMH8GTFRCSWKMPXRR8GU","GSON2117420007")</f>
        <v>#NAME?</v>
      </c>
      <c r="D2140" s="3" t="e">
        <f ca="1">[1]!BexGetData("DP_1","003N8EMH8GTFRCSWKMPXRRESE","GSON2117420007")</f>
        <v>#NAME?</v>
      </c>
      <c r="E2140" s="3" t="e">
        <f ca="1">[1]!BexGetData("DP_1","003N8EMH8GTFRCSWKMPXRRL3Y","GSON2117420007")</f>
        <v>#NAME?</v>
      </c>
      <c r="F2140" s="3" t="e">
        <f ca="1">[1]!BexGetData("DP_1","003N8EMH8GTFRCSWKMPXRRRFI","GSON2117420007")</f>
        <v>#NAME?</v>
      </c>
      <c r="G2140" s="3" t="e">
        <f ca="1">[1]!BexGetData("DP_1","003N8EMH8GTFRCSWKMPXRRXR2","GSON2117420007")</f>
        <v>#NAME?</v>
      </c>
      <c r="H2140" s="3" t="e">
        <f ca="1">[1]!BexGetData("DP_1","003N8EMH8GTFRCSWKMPXRS42M","GSON2117420007")</f>
        <v>#NAME?</v>
      </c>
      <c r="I2140" s="3" t="e">
        <f ca="1">[1]!BexGetData("DP_1","003N8EMH8GTFRCSWKMPXRSAE6","GSON2117420007")</f>
        <v>#NAME?</v>
      </c>
      <c r="J2140" s="4" t="e">
        <f ca="1">[1]!BexGetData("DP_1","003N8EMH8GTFRCSWKMPXRSGPQ","GSON2117420007")</f>
        <v>#NAME?</v>
      </c>
      <c r="K2140" s="3" t="e">
        <f ca="1">[1]!BexGetData("DP_1","003N8EMH8GTFRIVNUPY288VJH","GSON2117420007")</f>
        <v>#NAME?</v>
      </c>
      <c r="L2140" s="3" t="e">
        <f ca="1">[1]!BexGetData("DP_1","003N8EMH8GTFRIVNUPY2891V1","GSON2117420007")</f>
        <v>#NAME?</v>
      </c>
      <c r="M2140" s="8" t="e">
        <f ca="1">[1]!BexGetData("DP_1","003N8EMH8GTFRIVOG7KG9IQXA","GSON2117420007")</f>
        <v>#NAME?</v>
      </c>
      <c r="N2140" s="3" t="e">
        <f ca="1">[1]!BexGetData("DP_1","003N8EMH8GTFRIVOG7KG9IX8U","GSON2117420007")</f>
        <v>#NAME?</v>
      </c>
      <c r="O2140" s="8" t="e">
        <f ca="1">[1]!BexGetData("DP_1","003N8EMH8GTFRIVOG7KG9J3KE","GSON2117420007")</f>
        <v>#NAME?</v>
      </c>
      <c r="P2140" s="3" t="e">
        <f ca="1">[1]!BexGetData("DP_1","003N8EMH8GTFRIVOG7KG9J9VY","GSON2117420007")</f>
        <v>#NAME?</v>
      </c>
      <c r="Q2140" s="4" t="e">
        <f ca="1">[1]!BexGetData("DP_1","00O2TNJGODT0G5Z4TTKYMM5MT","GSON2117420007")</f>
        <v>#NAME?</v>
      </c>
      <c r="R2140" s="3" t="e">
        <f ca="1">[1]!BexGetData("DP_1","00O2TNJGODT0G5Z4TTKYMMBYD","GSON2117420007")</f>
        <v>#NAME?</v>
      </c>
      <c r="S2140" s="3" t="e">
        <f ca="1">[1]!BexGetData("DP_1","00O2TNJGODT0G5Z4TTKYMMI9X","GSON2117420007")</f>
        <v>#NAME?</v>
      </c>
      <c r="T2140" s="3" t="e">
        <f ca="1">[1]!BexGetData("DP_1","00O2TNJGODT0G5Z4TTKYMMOLH","GSON2117420007")</f>
        <v>#NAME?</v>
      </c>
      <c r="U2140" s="8" t="e">
        <f ca="1">[1]!BexGetData("DP_1","00O2TNJGODT0G5Z4TTKYMMUX1","GSON2117420007")</f>
        <v>#NAME?</v>
      </c>
      <c r="V2140" s="3" t="e">
        <f ca="1">[1]!BexGetData("DP_1","00O2TNJGODT0G5Z4TTKYMN18L","GSON2117420007")</f>
        <v>#NAME?</v>
      </c>
      <c r="W2140" s="8" t="e">
        <f ca="1">[1]!BexGetData("DP_1","00O2TNJGODT0G5Z4TTKYMN7K5","GSON2117420007")</f>
        <v>#NAME?</v>
      </c>
    </row>
    <row r="2141" spans="1:23" x14ac:dyDescent="0.2">
      <c r="A2141" s="17" t="s">
        <v>1423</v>
      </c>
      <c r="B2141" s="7" t="s">
        <v>1424</v>
      </c>
      <c r="C2141" s="8" t="e">
        <f ca="1">[1]!BexGetData("DP_1","003N8EMH8GTFRCSWKMPXRR8GU","GSON2117420008")</f>
        <v>#NAME?</v>
      </c>
      <c r="D2141" s="3" t="e">
        <f ca="1">[1]!BexGetData("DP_1","003N8EMH8GTFRCSWKMPXRRESE","GSON2117420008")</f>
        <v>#NAME?</v>
      </c>
      <c r="E2141" s="3" t="e">
        <f ca="1">[1]!BexGetData("DP_1","003N8EMH8GTFRCSWKMPXRRL3Y","GSON2117420008")</f>
        <v>#NAME?</v>
      </c>
      <c r="F2141" s="4" t="e">
        <f ca="1">[1]!BexGetData("DP_1","003N8EMH8GTFRCSWKMPXRRRFI","GSON2117420008")</f>
        <v>#NAME?</v>
      </c>
      <c r="G2141" s="4" t="e">
        <f ca="1">[1]!BexGetData("DP_1","003N8EMH8GTFRCSWKMPXRRXR2","GSON2117420008")</f>
        <v>#NAME?</v>
      </c>
      <c r="H2141" s="4" t="e">
        <f ca="1">[1]!BexGetData("DP_1","003N8EMH8GTFRCSWKMPXRS42M","GSON2117420008")</f>
        <v>#NAME?</v>
      </c>
      <c r="I2141" s="4" t="e">
        <f ca="1">[1]!BexGetData("DP_1","003N8EMH8GTFRCSWKMPXRSAE6","GSON2117420008")</f>
        <v>#NAME?</v>
      </c>
      <c r="J2141" s="4" t="e">
        <f ca="1">[1]!BexGetData("DP_1","003N8EMH8GTFRCSWKMPXRSGPQ","GSON2117420008")</f>
        <v>#NAME?</v>
      </c>
      <c r="K2141" s="3" t="e">
        <f ca="1">[1]!BexGetData("DP_1","003N8EMH8GTFRIVNUPY288VJH","GSON2117420008")</f>
        <v>#NAME?</v>
      </c>
      <c r="L2141" s="3" t="e">
        <f ca="1">[1]!BexGetData("DP_1","003N8EMH8GTFRIVNUPY2891V1","GSON2117420008")</f>
        <v>#NAME?</v>
      </c>
      <c r="M2141" s="3" t="e">
        <f ca="1">[1]!BexGetData("DP_1","003N8EMH8GTFRIVOG7KG9IQXA","GSON2117420008")</f>
        <v>#NAME?</v>
      </c>
      <c r="N2141" s="8" t="e">
        <f ca="1">[1]!BexGetData("DP_1","003N8EMH8GTFRIVOG7KG9IX8U","GSON2117420008")</f>
        <v>#NAME?</v>
      </c>
      <c r="O2141" s="3" t="e">
        <f ca="1">[1]!BexGetData("DP_1","003N8EMH8GTFRIVOG7KG9J3KE","GSON2117420008")</f>
        <v>#NAME?</v>
      </c>
      <c r="P2141" s="8" t="e">
        <f ca="1">[1]!BexGetData("DP_1","003N8EMH8GTFRIVOG7KG9J9VY","GSON2117420008")</f>
        <v>#NAME?</v>
      </c>
      <c r="Q2141" s="4" t="e">
        <f ca="1">[1]!BexGetData("DP_1","00O2TNJGODT0G5Z4TTKYMM5MT","GSON2117420008")</f>
        <v>#NAME?</v>
      </c>
      <c r="R2141" s="4" t="e">
        <f ca="1">[1]!BexGetData("DP_1","00O2TNJGODT0G5Z4TTKYMMBYD","GSON2117420008")</f>
        <v>#NAME?</v>
      </c>
      <c r="S2141" s="4" t="e">
        <f ca="1">[1]!BexGetData("DP_1","00O2TNJGODT0G5Z4TTKYMMI9X","GSON2117420008")</f>
        <v>#NAME?</v>
      </c>
      <c r="T2141" s="4" t="e">
        <f ca="1">[1]!BexGetData("DP_1","00O2TNJGODT0G5Z4TTKYMMOLH","GSON2117420008")</f>
        <v>#NAME?</v>
      </c>
      <c r="U2141" s="4" t="e">
        <f ca="1">[1]!BexGetData("DP_1","00O2TNJGODT0G5Z4TTKYMMUX1","GSON2117420008")</f>
        <v>#NAME?</v>
      </c>
      <c r="V2141" s="4" t="e">
        <f ca="1">[1]!BexGetData("DP_1","00O2TNJGODT0G5Z4TTKYMN18L","GSON2117420008")</f>
        <v>#NAME?</v>
      </c>
      <c r="W2141" s="4" t="e">
        <f ca="1">[1]!BexGetData("DP_1","00O2TNJGODT0G5Z4TTKYMN7K5","GSON2117420008")</f>
        <v>#NAME?</v>
      </c>
    </row>
    <row r="2142" spans="1:23" x14ac:dyDescent="0.2">
      <c r="A2142" s="16" t="s">
        <v>1425</v>
      </c>
      <c r="B2142" s="7" t="s">
        <v>1426</v>
      </c>
      <c r="C2142" s="3" t="e">
        <f ca="1">[1]!BexGetData("DP_1","003N8EMH8GTFRCSWKMPXRR8GU","GSON2118")</f>
        <v>#NAME?</v>
      </c>
      <c r="D2142" s="3" t="e">
        <f ca="1">[1]!BexGetData("DP_1","003N8EMH8GTFRCSWKMPXRRESE","GSON2118")</f>
        <v>#NAME?</v>
      </c>
      <c r="E2142" s="3" t="e">
        <f ca="1">[1]!BexGetData("DP_1","003N8EMH8GTFRCSWKMPXRRL3Y","GSON2118")</f>
        <v>#NAME?</v>
      </c>
      <c r="F2142" s="3" t="e">
        <f ca="1">[1]!BexGetData("DP_1","003N8EMH8GTFRCSWKMPXRRRFI","GSON2118")</f>
        <v>#NAME?</v>
      </c>
      <c r="G2142" s="3" t="e">
        <f ca="1">[1]!BexGetData("DP_1","003N8EMH8GTFRCSWKMPXRRXR2","GSON2118")</f>
        <v>#NAME?</v>
      </c>
      <c r="H2142" s="3" t="e">
        <f ca="1">[1]!BexGetData("DP_1","003N8EMH8GTFRCSWKMPXRS42M","GSON2118")</f>
        <v>#NAME?</v>
      </c>
      <c r="I2142" s="3" t="e">
        <f ca="1">[1]!BexGetData("DP_1","003N8EMH8GTFRCSWKMPXRSAE6","GSON2118")</f>
        <v>#NAME?</v>
      </c>
      <c r="J2142" s="4" t="e">
        <f ca="1">[1]!BexGetData("DP_1","003N8EMH8GTFRCSWKMPXRSGPQ","GSON2118")</f>
        <v>#NAME?</v>
      </c>
      <c r="K2142" s="3" t="e">
        <f ca="1">[1]!BexGetData("DP_1","003N8EMH8GTFRIVNUPY288VJH","GSON2118")</f>
        <v>#NAME?</v>
      </c>
      <c r="L2142" s="3" t="e">
        <f ca="1">[1]!BexGetData("DP_1","003N8EMH8GTFRIVNUPY2891V1","GSON2118")</f>
        <v>#NAME?</v>
      </c>
      <c r="M2142" s="8" t="e">
        <f ca="1">[1]!BexGetData("DP_1","003N8EMH8GTFRIVOG7KG9IQXA","GSON2118")</f>
        <v>#NAME?</v>
      </c>
      <c r="N2142" s="3" t="e">
        <f ca="1">[1]!BexGetData("DP_1","003N8EMH8GTFRIVOG7KG9IX8U","GSON2118")</f>
        <v>#NAME?</v>
      </c>
      <c r="O2142" s="8" t="e">
        <f ca="1">[1]!BexGetData("DP_1","003N8EMH8GTFRIVOG7KG9J3KE","GSON2118")</f>
        <v>#NAME?</v>
      </c>
      <c r="P2142" s="3" t="e">
        <f ca="1">[1]!BexGetData("DP_1","003N8EMH8GTFRIVOG7KG9J9VY","GSON2118")</f>
        <v>#NAME?</v>
      </c>
      <c r="Q2142" s="4" t="e">
        <f ca="1">[1]!BexGetData("DP_1","00O2TNJGODT0G5Z4TTKYMM5MT","GSON2118")</f>
        <v>#NAME?</v>
      </c>
      <c r="R2142" s="3" t="e">
        <f ca="1">[1]!BexGetData("DP_1","00O2TNJGODT0G5Z4TTKYMMBYD","GSON2118")</f>
        <v>#NAME?</v>
      </c>
      <c r="S2142" s="3" t="e">
        <f ca="1">[1]!BexGetData("DP_1","00O2TNJGODT0G5Z4TTKYMMI9X","GSON2118")</f>
        <v>#NAME?</v>
      </c>
      <c r="T2142" s="3" t="e">
        <f ca="1">[1]!BexGetData("DP_1","00O2TNJGODT0G5Z4TTKYMMOLH","GSON2118")</f>
        <v>#NAME?</v>
      </c>
      <c r="U2142" s="8" t="e">
        <f ca="1">[1]!BexGetData("DP_1","00O2TNJGODT0G5Z4TTKYMMUX1","GSON2118")</f>
        <v>#NAME?</v>
      </c>
      <c r="V2142" s="3" t="e">
        <f ca="1">[1]!BexGetData("DP_1","00O2TNJGODT0G5Z4TTKYMN18L","GSON2118")</f>
        <v>#NAME?</v>
      </c>
      <c r="W2142" s="8" t="e">
        <f ca="1">[1]!BexGetData("DP_1","00O2TNJGODT0G5Z4TTKYMN7K5","GSON2118")</f>
        <v>#NAME?</v>
      </c>
    </row>
    <row r="2143" spans="1:23" x14ac:dyDescent="0.2">
      <c r="A2143" s="17" t="s">
        <v>4808</v>
      </c>
      <c r="B2143" s="7" t="s">
        <v>4809</v>
      </c>
      <c r="C2143" s="3" t="e">
        <f ca="1">[1]!BexGetData("DP_1","003N8EMH8GTFRCSWKMPXRR8GU","GSON2118100001")</f>
        <v>#NAME?</v>
      </c>
      <c r="D2143" s="3" t="e">
        <f ca="1">[1]!BexGetData("DP_1","003N8EMH8GTFRCSWKMPXRRESE","GSON2118100001")</f>
        <v>#NAME?</v>
      </c>
      <c r="E2143" s="3" t="e">
        <f ca="1">[1]!BexGetData("DP_1","003N8EMH8GTFRCSWKMPXRRL3Y","GSON2118100001")</f>
        <v>#NAME?</v>
      </c>
      <c r="F2143" s="4" t="e">
        <f ca="1">[1]!BexGetData("DP_1","003N8EMH8GTFRCSWKMPXRRRFI","GSON2118100001")</f>
        <v>#NAME?</v>
      </c>
      <c r="G2143" s="4" t="e">
        <f ca="1">[1]!BexGetData("DP_1","003N8EMH8GTFRCSWKMPXRRXR2","GSON2118100001")</f>
        <v>#NAME?</v>
      </c>
      <c r="H2143" s="4" t="e">
        <f ca="1">[1]!BexGetData("DP_1","003N8EMH8GTFRCSWKMPXRS42M","GSON2118100001")</f>
        <v>#NAME?</v>
      </c>
      <c r="I2143" s="4" t="e">
        <f ca="1">[1]!BexGetData("DP_1","003N8EMH8GTFRCSWKMPXRSAE6","GSON2118100001")</f>
        <v>#NAME?</v>
      </c>
      <c r="J2143" s="4" t="e">
        <f ca="1">[1]!BexGetData("DP_1","003N8EMH8GTFRCSWKMPXRSGPQ","GSON2118100001")</f>
        <v>#NAME?</v>
      </c>
      <c r="K2143" s="3" t="e">
        <f ca="1">[1]!BexGetData("DP_1","003N8EMH8GTFRIVNUPY288VJH","GSON2118100001")</f>
        <v>#NAME?</v>
      </c>
      <c r="L2143" s="3" t="e">
        <f ca="1">[1]!BexGetData("DP_1","003N8EMH8GTFRIVNUPY2891V1","GSON2118100001")</f>
        <v>#NAME?</v>
      </c>
      <c r="M2143" s="8" t="e">
        <f ca="1">[1]!BexGetData("DP_1","003N8EMH8GTFRIVOG7KG9IQXA","GSON2118100001")</f>
        <v>#NAME?</v>
      </c>
      <c r="N2143" s="3" t="e">
        <f ca="1">[1]!BexGetData("DP_1","003N8EMH8GTFRIVOG7KG9IX8U","GSON2118100001")</f>
        <v>#NAME?</v>
      </c>
      <c r="O2143" s="8" t="e">
        <f ca="1">[1]!BexGetData("DP_1","003N8EMH8GTFRIVOG7KG9J3KE","GSON2118100001")</f>
        <v>#NAME?</v>
      </c>
      <c r="P2143" s="3" t="e">
        <f ca="1">[1]!BexGetData("DP_1","003N8EMH8GTFRIVOG7KG9J9VY","GSON2118100001")</f>
        <v>#NAME?</v>
      </c>
      <c r="Q2143" s="4" t="e">
        <f ca="1">[1]!BexGetData("DP_1","00O2TNJGODT0G5Z4TTKYMM5MT","GSON2118100001")</f>
        <v>#NAME?</v>
      </c>
      <c r="R2143" s="4" t="e">
        <f ca="1">[1]!BexGetData("DP_1","00O2TNJGODT0G5Z4TTKYMMBYD","GSON2118100001")</f>
        <v>#NAME?</v>
      </c>
      <c r="S2143" s="4" t="e">
        <f ca="1">[1]!BexGetData("DP_1","00O2TNJGODT0G5Z4TTKYMMI9X","GSON2118100001")</f>
        <v>#NAME?</v>
      </c>
      <c r="T2143" s="4" t="e">
        <f ca="1">[1]!BexGetData("DP_1","00O2TNJGODT0G5Z4TTKYMMOLH","GSON2118100001")</f>
        <v>#NAME?</v>
      </c>
      <c r="U2143" s="4" t="e">
        <f ca="1">[1]!BexGetData("DP_1","00O2TNJGODT0G5Z4TTKYMMUX1","GSON2118100001")</f>
        <v>#NAME?</v>
      </c>
      <c r="V2143" s="4" t="e">
        <f ca="1">[1]!BexGetData("DP_1","00O2TNJGODT0G5Z4TTKYMN18L","GSON2118100001")</f>
        <v>#NAME?</v>
      </c>
      <c r="W2143" s="4" t="e">
        <f ca="1">[1]!BexGetData("DP_1","00O2TNJGODT0G5Z4TTKYMN7K5","GSON2118100001")</f>
        <v>#NAME?</v>
      </c>
    </row>
    <row r="2144" spans="1:23" x14ac:dyDescent="0.2">
      <c r="A2144" s="17" t="s">
        <v>4810</v>
      </c>
      <c r="B2144" s="7" t="s">
        <v>4811</v>
      </c>
      <c r="C2144" s="8" t="e">
        <f ca="1">[1]!BexGetData("DP_1","003N8EMH8GTFRCSWKMPXRR8GU","GSON2118100002")</f>
        <v>#NAME?</v>
      </c>
      <c r="D2144" s="8" t="e">
        <f ca="1">[1]!BexGetData("DP_1","003N8EMH8GTFRCSWKMPXRRESE","GSON2118100002")</f>
        <v>#NAME?</v>
      </c>
      <c r="E2144" s="3" t="e">
        <f ca="1">[1]!BexGetData("DP_1","003N8EMH8GTFRCSWKMPXRRL3Y","GSON2118100002")</f>
        <v>#NAME?</v>
      </c>
      <c r="F2144" s="3" t="e">
        <f ca="1">[1]!BexGetData("DP_1","003N8EMH8GTFRCSWKMPXRRRFI","GSON2118100002")</f>
        <v>#NAME?</v>
      </c>
      <c r="G2144" s="3" t="e">
        <f ca="1">[1]!BexGetData("DP_1","003N8EMH8GTFRCSWKMPXRRXR2","GSON2118100002")</f>
        <v>#NAME?</v>
      </c>
      <c r="H2144" s="3" t="e">
        <f ca="1">[1]!BexGetData("DP_1","003N8EMH8GTFRCSWKMPXRS42M","GSON2118100002")</f>
        <v>#NAME?</v>
      </c>
      <c r="I2144" s="3" t="e">
        <f ca="1">[1]!BexGetData("DP_1","003N8EMH8GTFRCSWKMPXRSAE6","GSON2118100002")</f>
        <v>#NAME?</v>
      </c>
      <c r="J2144" s="4" t="e">
        <f ca="1">[1]!BexGetData("DP_1","003N8EMH8GTFRCSWKMPXRSGPQ","GSON2118100002")</f>
        <v>#NAME?</v>
      </c>
      <c r="K2144" s="8" t="e">
        <f ca="1">[1]!BexGetData("DP_1","003N8EMH8GTFRIVNUPY288VJH","GSON2118100002")</f>
        <v>#NAME?</v>
      </c>
      <c r="L2144" s="8" t="e">
        <f ca="1">[1]!BexGetData("DP_1","003N8EMH8GTFRIVNUPY2891V1","GSON2118100002")</f>
        <v>#NAME?</v>
      </c>
      <c r="M2144" s="8" t="e">
        <f ca="1">[1]!BexGetData("DP_1","003N8EMH8GTFRIVOG7KG9IQXA","GSON2118100002")</f>
        <v>#NAME?</v>
      </c>
      <c r="N2144" s="8" t="e">
        <f ca="1">[1]!BexGetData("DP_1","003N8EMH8GTFRIVOG7KG9IX8U","GSON2118100002")</f>
        <v>#NAME?</v>
      </c>
      <c r="O2144" s="8" t="e">
        <f ca="1">[1]!BexGetData("DP_1","003N8EMH8GTFRIVOG7KG9J3KE","GSON2118100002")</f>
        <v>#NAME?</v>
      </c>
      <c r="P2144" s="8" t="e">
        <f ca="1">[1]!BexGetData("DP_1","003N8EMH8GTFRIVOG7KG9J9VY","GSON2118100002")</f>
        <v>#NAME?</v>
      </c>
      <c r="Q2144" s="4" t="e">
        <f ca="1">[1]!BexGetData("DP_1","00O2TNJGODT0G5Z4TTKYMM5MT","GSON2118100002")</f>
        <v>#NAME?</v>
      </c>
      <c r="R2144" s="3" t="e">
        <f ca="1">[1]!BexGetData("DP_1","00O2TNJGODT0G5Z4TTKYMMBYD","GSON2118100002")</f>
        <v>#NAME?</v>
      </c>
      <c r="S2144" s="3" t="e">
        <f ca="1">[1]!BexGetData("DP_1","00O2TNJGODT0G5Z4TTKYMMI9X","GSON2118100002")</f>
        <v>#NAME?</v>
      </c>
      <c r="T2144" s="3" t="e">
        <f ca="1">[1]!BexGetData("DP_1","00O2TNJGODT0G5Z4TTKYMMOLH","GSON2118100002")</f>
        <v>#NAME?</v>
      </c>
      <c r="U2144" s="8" t="e">
        <f ca="1">[1]!BexGetData("DP_1","00O2TNJGODT0G5Z4TTKYMMUX1","GSON2118100002")</f>
        <v>#NAME?</v>
      </c>
      <c r="V2144" s="3" t="e">
        <f ca="1">[1]!BexGetData("DP_1","00O2TNJGODT0G5Z4TTKYMN18L","GSON2118100002")</f>
        <v>#NAME?</v>
      </c>
      <c r="W2144" s="8" t="e">
        <f ca="1">[1]!BexGetData("DP_1","00O2TNJGODT0G5Z4TTKYMN7K5","GSON2118100002")</f>
        <v>#NAME?</v>
      </c>
    </row>
    <row r="2145" spans="1:23" x14ac:dyDescent="0.2">
      <c r="A2145" s="17" t="s">
        <v>1427</v>
      </c>
      <c r="B2145" s="7" t="s">
        <v>1428</v>
      </c>
      <c r="C2145" s="3" t="e">
        <f ca="1">[1]!BexGetData("DP_1","003N8EMH8GTFRCSWKMPXRR8GU","GSON2118100003")</f>
        <v>#NAME?</v>
      </c>
      <c r="D2145" s="3" t="e">
        <f ca="1">[1]!BexGetData("DP_1","003N8EMH8GTFRCSWKMPXRRESE","GSON2118100003")</f>
        <v>#NAME?</v>
      </c>
      <c r="E2145" s="3" t="e">
        <f ca="1">[1]!BexGetData("DP_1","003N8EMH8GTFRCSWKMPXRRL3Y","GSON2118100003")</f>
        <v>#NAME?</v>
      </c>
      <c r="F2145" s="4" t="e">
        <f ca="1">[1]!BexGetData("DP_1","003N8EMH8GTFRCSWKMPXRRRFI","GSON2118100003")</f>
        <v>#NAME?</v>
      </c>
      <c r="G2145" s="4" t="e">
        <f ca="1">[1]!BexGetData("DP_1","003N8EMH8GTFRCSWKMPXRRXR2","GSON2118100003")</f>
        <v>#NAME?</v>
      </c>
      <c r="H2145" s="4" t="e">
        <f ca="1">[1]!BexGetData("DP_1","003N8EMH8GTFRCSWKMPXRS42M","GSON2118100003")</f>
        <v>#NAME?</v>
      </c>
      <c r="I2145" s="4" t="e">
        <f ca="1">[1]!BexGetData("DP_1","003N8EMH8GTFRCSWKMPXRSAE6","GSON2118100003")</f>
        <v>#NAME?</v>
      </c>
      <c r="J2145" s="4" t="e">
        <f ca="1">[1]!BexGetData("DP_1","003N8EMH8GTFRCSWKMPXRSGPQ","GSON2118100003")</f>
        <v>#NAME?</v>
      </c>
      <c r="K2145" s="3" t="e">
        <f ca="1">[1]!BexGetData("DP_1","003N8EMH8GTFRIVNUPY288VJH","GSON2118100003")</f>
        <v>#NAME?</v>
      </c>
      <c r="L2145" s="3" t="e">
        <f ca="1">[1]!BexGetData("DP_1","003N8EMH8GTFRIVNUPY2891V1","GSON2118100003")</f>
        <v>#NAME?</v>
      </c>
      <c r="M2145" s="3" t="e">
        <f ca="1">[1]!BexGetData("DP_1","003N8EMH8GTFRIVOG7KG9IQXA","GSON2118100003")</f>
        <v>#NAME?</v>
      </c>
      <c r="N2145" s="8" t="e">
        <f ca="1">[1]!BexGetData("DP_1","003N8EMH8GTFRIVOG7KG9IX8U","GSON2118100003")</f>
        <v>#NAME?</v>
      </c>
      <c r="O2145" s="3" t="e">
        <f ca="1">[1]!BexGetData("DP_1","003N8EMH8GTFRIVOG7KG9J3KE","GSON2118100003")</f>
        <v>#NAME?</v>
      </c>
      <c r="P2145" s="8" t="e">
        <f ca="1">[1]!BexGetData("DP_1","003N8EMH8GTFRIVOG7KG9J9VY","GSON2118100003")</f>
        <v>#NAME?</v>
      </c>
      <c r="Q2145" s="4" t="e">
        <f ca="1">[1]!BexGetData("DP_1","00O2TNJGODT0G5Z4TTKYMM5MT","GSON2118100003")</f>
        <v>#NAME?</v>
      </c>
      <c r="R2145" s="4" t="e">
        <f ca="1">[1]!BexGetData("DP_1","00O2TNJGODT0G5Z4TTKYMMBYD","GSON2118100003")</f>
        <v>#NAME?</v>
      </c>
      <c r="S2145" s="4" t="e">
        <f ca="1">[1]!BexGetData("DP_1","00O2TNJGODT0G5Z4TTKYMMI9X","GSON2118100003")</f>
        <v>#NAME?</v>
      </c>
      <c r="T2145" s="4" t="e">
        <f ca="1">[1]!BexGetData("DP_1","00O2TNJGODT0G5Z4TTKYMMOLH","GSON2118100003")</f>
        <v>#NAME?</v>
      </c>
      <c r="U2145" s="4" t="e">
        <f ca="1">[1]!BexGetData("DP_1","00O2TNJGODT0G5Z4TTKYMMUX1","GSON2118100003")</f>
        <v>#NAME?</v>
      </c>
      <c r="V2145" s="4" t="e">
        <f ca="1">[1]!BexGetData("DP_1","00O2TNJGODT0G5Z4TTKYMN18L","GSON2118100003")</f>
        <v>#NAME?</v>
      </c>
      <c r="W2145" s="4" t="e">
        <f ca="1">[1]!BexGetData("DP_1","00O2TNJGODT0G5Z4TTKYMN7K5","GSON2118100003")</f>
        <v>#NAME?</v>
      </c>
    </row>
    <row r="2146" spans="1:23" x14ac:dyDescent="0.2">
      <c r="A2146" s="17" t="s">
        <v>4812</v>
      </c>
      <c r="B2146" s="7" t="s">
        <v>1702</v>
      </c>
      <c r="C2146" s="3" t="e">
        <f ca="1">[1]!BexGetData("DP_1","003N8EMH8GTFRCSWKMPXRR8GU","GSON2118100004")</f>
        <v>#NAME?</v>
      </c>
      <c r="D2146" s="3" t="e">
        <f ca="1">[1]!BexGetData("DP_1","003N8EMH8GTFRCSWKMPXRRESE","GSON2118100004")</f>
        <v>#NAME?</v>
      </c>
      <c r="E2146" s="3" t="e">
        <f ca="1">[1]!BexGetData("DP_1","003N8EMH8GTFRCSWKMPXRRL3Y","GSON2118100004")</f>
        <v>#NAME?</v>
      </c>
      <c r="F2146" s="4" t="e">
        <f ca="1">[1]!BexGetData("DP_1","003N8EMH8GTFRCSWKMPXRRRFI","GSON2118100004")</f>
        <v>#NAME?</v>
      </c>
      <c r="G2146" s="4" t="e">
        <f ca="1">[1]!BexGetData("DP_1","003N8EMH8GTFRCSWKMPXRRXR2","GSON2118100004")</f>
        <v>#NAME?</v>
      </c>
      <c r="H2146" s="4" t="e">
        <f ca="1">[1]!BexGetData("DP_1","003N8EMH8GTFRCSWKMPXRS42M","GSON2118100004")</f>
        <v>#NAME?</v>
      </c>
      <c r="I2146" s="4" t="e">
        <f ca="1">[1]!BexGetData("DP_1","003N8EMH8GTFRCSWKMPXRSAE6","GSON2118100004")</f>
        <v>#NAME?</v>
      </c>
      <c r="J2146" s="4" t="e">
        <f ca="1">[1]!BexGetData("DP_1","003N8EMH8GTFRCSWKMPXRSGPQ","GSON2118100004")</f>
        <v>#NAME?</v>
      </c>
      <c r="K2146" s="3" t="e">
        <f ca="1">[1]!BexGetData("DP_1","003N8EMH8GTFRIVNUPY288VJH","GSON2118100004")</f>
        <v>#NAME?</v>
      </c>
      <c r="L2146" s="3" t="e">
        <f ca="1">[1]!BexGetData("DP_1","003N8EMH8GTFRIVNUPY2891V1","GSON2118100004")</f>
        <v>#NAME?</v>
      </c>
      <c r="M2146" s="3" t="e">
        <f ca="1">[1]!BexGetData("DP_1","003N8EMH8GTFRIVOG7KG9IQXA","GSON2118100004")</f>
        <v>#NAME?</v>
      </c>
      <c r="N2146" s="8" t="e">
        <f ca="1">[1]!BexGetData("DP_1","003N8EMH8GTFRIVOG7KG9IX8U","GSON2118100004")</f>
        <v>#NAME?</v>
      </c>
      <c r="O2146" s="3" t="e">
        <f ca="1">[1]!BexGetData("DP_1","003N8EMH8GTFRIVOG7KG9J3KE","GSON2118100004")</f>
        <v>#NAME?</v>
      </c>
      <c r="P2146" s="8" t="e">
        <f ca="1">[1]!BexGetData("DP_1","003N8EMH8GTFRIVOG7KG9J9VY","GSON2118100004")</f>
        <v>#NAME?</v>
      </c>
      <c r="Q2146" s="4" t="e">
        <f ca="1">[1]!BexGetData("DP_1","00O2TNJGODT0G5Z4TTKYMM5MT","GSON2118100004")</f>
        <v>#NAME?</v>
      </c>
      <c r="R2146" s="4" t="e">
        <f ca="1">[1]!BexGetData("DP_1","00O2TNJGODT0G5Z4TTKYMMBYD","GSON2118100004")</f>
        <v>#NAME?</v>
      </c>
      <c r="S2146" s="4" t="e">
        <f ca="1">[1]!BexGetData("DP_1","00O2TNJGODT0G5Z4TTKYMMI9X","GSON2118100004")</f>
        <v>#NAME?</v>
      </c>
      <c r="T2146" s="4" t="e">
        <f ca="1">[1]!BexGetData("DP_1","00O2TNJGODT0G5Z4TTKYMMOLH","GSON2118100004")</f>
        <v>#NAME?</v>
      </c>
      <c r="U2146" s="4" t="e">
        <f ca="1">[1]!BexGetData("DP_1","00O2TNJGODT0G5Z4TTKYMMUX1","GSON2118100004")</f>
        <v>#NAME?</v>
      </c>
      <c r="V2146" s="4" t="e">
        <f ca="1">[1]!BexGetData("DP_1","00O2TNJGODT0G5Z4TTKYMN18L","GSON2118100004")</f>
        <v>#NAME?</v>
      </c>
      <c r="W2146" s="4" t="e">
        <f ca="1">[1]!BexGetData("DP_1","00O2TNJGODT0G5Z4TTKYMN7K5","GSON2118100004")</f>
        <v>#NAME?</v>
      </c>
    </row>
    <row r="2147" spans="1:23" x14ac:dyDescent="0.2">
      <c r="A2147" s="16" t="s">
        <v>1429</v>
      </c>
      <c r="B2147" s="7" t="s">
        <v>1430</v>
      </c>
      <c r="C2147" s="3" t="e">
        <f ca="1">[1]!BexGetData("DP_1","003N8EMH8GTFRCSWKMPXRR8GU","GSON2119")</f>
        <v>#NAME?</v>
      </c>
      <c r="D2147" s="3" t="e">
        <f ca="1">[1]!BexGetData("DP_1","003N8EMH8GTFRCSWKMPXRRESE","GSON2119")</f>
        <v>#NAME?</v>
      </c>
      <c r="E2147" s="3" t="e">
        <f ca="1">[1]!BexGetData("DP_1","003N8EMH8GTFRCSWKMPXRRL3Y","GSON2119")</f>
        <v>#NAME?</v>
      </c>
      <c r="F2147" s="3" t="e">
        <f ca="1">[1]!BexGetData("DP_1","003N8EMH8GTFRCSWKMPXRRRFI","GSON2119")</f>
        <v>#NAME?</v>
      </c>
      <c r="G2147" s="3" t="e">
        <f ca="1">[1]!BexGetData("DP_1","003N8EMH8GTFRCSWKMPXRRXR2","GSON2119")</f>
        <v>#NAME?</v>
      </c>
      <c r="H2147" s="3" t="e">
        <f ca="1">[1]!BexGetData("DP_1","003N8EMH8GTFRCSWKMPXRS42M","GSON2119")</f>
        <v>#NAME?</v>
      </c>
      <c r="I2147" s="3" t="e">
        <f ca="1">[1]!BexGetData("DP_1","003N8EMH8GTFRCSWKMPXRSAE6","GSON2119")</f>
        <v>#NAME?</v>
      </c>
      <c r="J2147" s="4" t="e">
        <f ca="1">[1]!BexGetData("DP_1","003N8EMH8GTFRCSWKMPXRSGPQ","GSON2119")</f>
        <v>#NAME?</v>
      </c>
      <c r="K2147" s="3" t="e">
        <f ca="1">[1]!BexGetData("DP_1","003N8EMH8GTFRIVNUPY288VJH","GSON2119")</f>
        <v>#NAME?</v>
      </c>
      <c r="L2147" s="3" t="e">
        <f ca="1">[1]!BexGetData("DP_1","003N8EMH8GTFRIVNUPY2891V1","GSON2119")</f>
        <v>#NAME?</v>
      </c>
      <c r="M2147" s="8" t="e">
        <f ca="1">[1]!BexGetData("DP_1","003N8EMH8GTFRIVOG7KG9IQXA","GSON2119")</f>
        <v>#NAME?</v>
      </c>
      <c r="N2147" s="3" t="e">
        <f ca="1">[1]!BexGetData("DP_1","003N8EMH8GTFRIVOG7KG9IX8U","GSON2119")</f>
        <v>#NAME?</v>
      </c>
      <c r="O2147" s="8" t="e">
        <f ca="1">[1]!BexGetData("DP_1","003N8EMH8GTFRIVOG7KG9J3KE","GSON2119")</f>
        <v>#NAME?</v>
      </c>
      <c r="P2147" s="3" t="e">
        <f ca="1">[1]!BexGetData("DP_1","003N8EMH8GTFRIVOG7KG9J9VY","GSON2119")</f>
        <v>#NAME?</v>
      </c>
      <c r="Q2147" s="4" t="e">
        <f ca="1">[1]!BexGetData("DP_1","00O2TNJGODT0G5Z4TTKYMM5MT","GSON2119")</f>
        <v>#NAME?</v>
      </c>
      <c r="R2147" s="3" t="e">
        <f ca="1">[1]!BexGetData("DP_1","00O2TNJGODT0G5Z4TTKYMMBYD","GSON2119")</f>
        <v>#NAME?</v>
      </c>
      <c r="S2147" s="3" t="e">
        <f ca="1">[1]!BexGetData("DP_1","00O2TNJGODT0G5Z4TTKYMMI9X","GSON2119")</f>
        <v>#NAME?</v>
      </c>
      <c r="T2147" s="3" t="e">
        <f ca="1">[1]!BexGetData("DP_1","00O2TNJGODT0G5Z4TTKYMMOLH","GSON2119")</f>
        <v>#NAME?</v>
      </c>
      <c r="U2147" s="8" t="e">
        <f ca="1">[1]!BexGetData("DP_1","00O2TNJGODT0G5Z4TTKYMMUX1","GSON2119")</f>
        <v>#NAME?</v>
      </c>
      <c r="V2147" s="3" t="e">
        <f ca="1">[1]!BexGetData("DP_1","00O2TNJGODT0G5Z4TTKYMN18L","GSON2119")</f>
        <v>#NAME?</v>
      </c>
      <c r="W2147" s="8" t="e">
        <f ca="1">[1]!BexGetData("DP_1","00O2TNJGODT0G5Z4TTKYMN7K5","GSON2119")</f>
        <v>#NAME?</v>
      </c>
    </row>
    <row r="2148" spans="1:23" x14ac:dyDescent="0.2">
      <c r="A2148" s="17" t="s">
        <v>4813</v>
      </c>
      <c r="B2148" s="7" t="s">
        <v>4814</v>
      </c>
      <c r="C2148" s="3" t="e">
        <f ca="1">[1]!BexGetData("DP_1","003N8EMH8GTFRCSWKMPXRR8GU","GSON2119410001")</f>
        <v>#NAME?</v>
      </c>
      <c r="D2148" s="3" t="e">
        <f ca="1">[1]!BexGetData("DP_1","003N8EMH8GTFRCSWKMPXRRESE","GSON2119410001")</f>
        <v>#NAME?</v>
      </c>
      <c r="E2148" s="3" t="e">
        <f ca="1">[1]!BexGetData("DP_1","003N8EMH8GTFRCSWKMPXRRL3Y","GSON2119410001")</f>
        <v>#NAME?</v>
      </c>
      <c r="F2148" s="4" t="e">
        <f ca="1">[1]!BexGetData("DP_1","003N8EMH8GTFRCSWKMPXRRRFI","GSON2119410001")</f>
        <v>#NAME?</v>
      </c>
      <c r="G2148" s="4" t="e">
        <f ca="1">[1]!BexGetData("DP_1","003N8EMH8GTFRCSWKMPXRRXR2","GSON2119410001")</f>
        <v>#NAME?</v>
      </c>
      <c r="H2148" s="4" t="e">
        <f ca="1">[1]!BexGetData("DP_1","003N8EMH8GTFRCSWKMPXRS42M","GSON2119410001")</f>
        <v>#NAME?</v>
      </c>
      <c r="I2148" s="4" t="e">
        <f ca="1">[1]!BexGetData("DP_1","003N8EMH8GTFRCSWKMPXRSAE6","GSON2119410001")</f>
        <v>#NAME?</v>
      </c>
      <c r="J2148" s="4" t="e">
        <f ca="1">[1]!BexGetData("DP_1","003N8EMH8GTFRCSWKMPXRSGPQ","GSON2119410001")</f>
        <v>#NAME?</v>
      </c>
      <c r="K2148" s="3" t="e">
        <f ca="1">[1]!BexGetData("DP_1","003N8EMH8GTFRIVNUPY288VJH","GSON2119410001")</f>
        <v>#NAME?</v>
      </c>
      <c r="L2148" s="3" t="e">
        <f ca="1">[1]!BexGetData("DP_1","003N8EMH8GTFRIVNUPY2891V1","GSON2119410001")</f>
        <v>#NAME?</v>
      </c>
      <c r="M2148" s="3" t="e">
        <f ca="1">[1]!BexGetData("DP_1","003N8EMH8GTFRIVOG7KG9IQXA","GSON2119410001")</f>
        <v>#NAME?</v>
      </c>
      <c r="N2148" s="8" t="e">
        <f ca="1">[1]!BexGetData("DP_1","003N8EMH8GTFRIVOG7KG9IX8U","GSON2119410001")</f>
        <v>#NAME?</v>
      </c>
      <c r="O2148" s="3" t="e">
        <f ca="1">[1]!BexGetData("DP_1","003N8EMH8GTFRIVOG7KG9J3KE","GSON2119410001")</f>
        <v>#NAME?</v>
      </c>
      <c r="P2148" s="8" t="e">
        <f ca="1">[1]!BexGetData("DP_1","003N8EMH8GTFRIVOG7KG9J9VY","GSON2119410001")</f>
        <v>#NAME?</v>
      </c>
      <c r="Q2148" s="4" t="e">
        <f ca="1">[1]!BexGetData("DP_1","00O2TNJGODT0G5Z4TTKYMM5MT","GSON2119410001")</f>
        <v>#NAME?</v>
      </c>
      <c r="R2148" s="4" t="e">
        <f ca="1">[1]!BexGetData("DP_1","00O2TNJGODT0G5Z4TTKYMMBYD","GSON2119410001")</f>
        <v>#NAME?</v>
      </c>
      <c r="S2148" s="4" t="e">
        <f ca="1">[1]!BexGetData("DP_1","00O2TNJGODT0G5Z4TTKYMMI9X","GSON2119410001")</f>
        <v>#NAME?</v>
      </c>
      <c r="T2148" s="4" t="e">
        <f ca="1">[1]!BexGetData("DP_1","00O2TNJGODT0G5Z4TTKYMMOLH","GSON2119410001")</f>
        <v>#NAME?</v>
      </c>
      <c r="U2148" s="4" t="e">
        <f ca="1">[1]!BexGetData("DP_1","00O2TNJGODT0G5Z4TTKYMMUX1","GSON2119410001")</f>
        <v>#NAME?</v>
      </c>
      <c r="V2148" s="4" t="e">
        <f ca="1">[1]!BexGetData("DP_1","00O2TNJGODT0G5Z4TTKYMN18L","GSON2119410001")</f>
        <v>#NAME?</v>
      </c>
      <c r="W2148" s="4" t="e">
        <f ca="1">[1]!BexGetData("DP_1","00O2TNJGODT0G5Z4TTKYMN7K5","GSON2119410001")</f>
        <v>#NAME?</v>
      </c>
    </row>
    <row r="2149" spans="1:23" x14ac:dyDescent="0.2">
      <c r="A2149" s="17" t="s">
        <v>4815</v>
      </c>
      <c r="B2149" s="7" t="s">
        <v>4816</v>
      </c>
      <c r="C2149" s="3" t="e">
        <f ca="1">[1]!BexGetData("DP_1","003N8EMH8GTFRCSWKMPXRR8GU","GSON2119410002")</f>
        <v>#NAME?</v>
      </c>
      <c r="D2149" s="3" t="e">
        <f ca="1">[1]!BexGetData("DP_1","003N8EMH8GTFRCSWKMPXRRESE","GSON2119410002")</f>
        <v>#NAME?</v>
      </c>
      <c r="E2149" s="8" t="e">
        <f ca="1">[1]!BexGetData("DP_1","003N8EMH8GTFRCSWKMPXRRL3Y","GSON2119410002")</f>
        <v>#NAME?</v>
      </c>
      <c r="F2149" s="4" t="e">
        <f ca="1">[1]!BexGetData("DP_1","003N8EMH8GTFRCSWKMPXRRRFI","GSON2119410002")</f>
        <v>#NAME?</v>
      </c>
      <c r="G2149" s="4" t="e">
        <f ca="1">[1]!BexGetData("DP_1","003N8EMH8GTFRCSWKMPXRRXR2","GSON2119410002")</f>
        <v>#NAME?</v>
      </c>
      <c r="H2149" s="4" t="e">
        <f ca="1">[1]!BexGetData("DP_1","003N8EMH8GTFRCSWKMPXRS42M","GSON2119410002")</f>
        <v>#NAME?</v>
      </c>
      <c r="I2149" s="4" t="e">
        <f ca="1">[1]!BexGetData("DP_1","003N8EMH8GTFRCSWKMPXRSAE6","GSON2119410002")</f>
        <v>#NAME?</v>
      </c>
      <c r="J2149" s="4" t="e">
        <f ca="1">[1]!BexGetData("DP_1","003N8EMH8GTFRCSWKMPXRSGPQ","GSON2119410002")</f>
        <v>#NAME?</v>
      </c>
      <c r="K2149" s="8" t="e">
        <f ca="1">[1]!BexGetData("DP_1","003N8EMH8GTFRIVNUPY288VJH","GSON2119410002")</f>
        <v>#NAME?</v>
      </c>
      <c r="L2149" s="8" t="e">
        <f ca="1">[1]!BexGetData("DP_1","003N8EMH8GTFRIVNUPY2891V1","GSON2119410002")</f>
        <v>#NAME?</v>
      </c>
      <c r="M2149" s="8" t="e">
        <f ca="1">[1]!BexGetData("DP_1","003N8EMH8GTFRIVOG7KG9IQXA","GSON2119410002")</f>
        <v>#NAME?</v>
      </c>
      <c r="N2149" s="8" t="e">
        <f ca="1">[1]!BexGetData("DP_1","003N8EMH8GTFRIVOG7KG9IX8U","GSON2119410002")</f>
        <v>#NAME?</v>
      </c>
      <c r="O2149" s="8" t="e">
        <f ca="1">[1]!BexGetData("DP_1","003N8EMH8GTFRIVOG7KG9J3KE","GSON2119410002")</f>
        <v>#NAME?</v>
      </c>
      <c r="P2149" s="8" t="e">
        <f ca="1">[1]!BexGetData("DP_1","003N8EMH8GTFRIVOG7KG9J9VY","GSON2119410002")</f>
        <v>#NAME?</v>
      </c>
      <c r="Q2149" s="4" t="e">
        <f ca="1">[1]!BexGetData("DP_1","00O2TNJGODT0G5Z4TTKYMM5MT","GSON2119410002")</f>
        <v>#NAME?</v>
      </c>
      <c r="R2149" s="4" t="e">
        <f ca="1">[1]!BexGetData("DP_1","00O2TNJGODT0G5Z4TTKYMMBYD","GSON2119410002")</f>
        <v>#NAME?</v>
      </c>
      <c r="S2149" s="4" t="e">
        <f ca="1">[1]!BexGetData("DP_1","00O2TNJGODT0G5Z4TTKYMMI9X","GSON2119410002")</f>
        <v>#NAME?</v>
      </c>
      <c r="T2149" s="4" t="e">
        <f ca="1">[1]!BexGetData("DP_1","00O2TNJGODT0G5Z4TTKYMMOLH","GSON2119410002")</f>
        <v>#NAME?</v>
      </c>
      <c r="U2149" s="4" t="e">
        <f ca="1">[1]!BexGetData("DP_1","00O2TNJGODT0G5Z4TTKYMMUX1","GSON2119410002")</f>
        <v>#NAME?</v>
      </c>
      <c r="V2149" s="4" t="e">
        <f ca="1">[1]!BexGetData("DP_1","00O2TNJGODT0G5Z4TTKYMN18L","GSON2119410002")</f>
        <v>#NAME?</v>
      </c>
      <c r="W2149" s="4" t="e">
        <f ca="1">[1]!BexGetData("DP_1","00O2TNJGODT0G5Z4TTKYMN7K5","GSON2119410002")</f>
        <v>#NAME?</v>
      </c>
    </row>
    <row r="2150" spans="1:23" x14ac:dyDescent="0.2">
      <c r="A2150" s="17" t="s">
        <v>4817</v>
      </c>
      <c r="B2150" s="7" t="s">
        <v>4818</v>
      </c>
      <c r="C2150" s="3" t="e">
        <f ca="1">[1]!BexGetData("DP_1","003N8EMH8GTFRCSWKMPXRR8GU","GSON2119410020")</f>
        <v>#NAME?</v>
      </c>
      <c r="D2150" s="3" t="e">
        <f ca="1">[1]!BexGetData("DP_1","003N8EMH8GTFRCSWKMPXRRESE","GSON2119410020")</f>
        <v>#NAME?</v>
      </c>
      <c r="E2150" s="3" t="e">
        <f ca="1">[1]!BexGetData("DP_1","003N8EMH8GTFRCSWKMPXRRL3Y","GSON2119410020")</f>
        <v>#NAME?</v>
      </c>
      <c r="F2150" s="3" t="e">
        <f ca="1">[1]!BexGetData("DP_1","003N8EMH8GTFRCSWKMPXRRRFI","GSON2119410020")</f>
        <v>#NAME?</v>
      </c>
      <c r="G2150" s="3" t="e">
        <f ca="1">[1]!BexGetData("DP_1","003N8EMH8GTFRCSWKMPXRRXR2","GSON2119410020")</f>
        <v>#NAME?</v>
      </c>
      <c r="H2150" s="3" t="e">
        <f ca="1">[1]!BexGetData("DP_1","003N8EMH8GTFRCSWKMPXRS42M","GSON2119410020")</f>
        <v>#NAME?</v>
      </c>
      <c r="I2150" s="3" t="e">
        <f ca="1">[1]!BexGetData("DP_1","003N8EMH8GTFRCSWKMPXRSAE6","GSON2119410020")</f>
        <v>#NAME?</v>
      </c>
      <c r="J2150" s="4" t="e">
        <f ca="1">[1]!BexGetData("DP_1","003N8EMH8GTFRCSWKMPXRSGPQ","GSON2119410020")</f>
        <v>#NAME?</v>
      </c>
      <c r="K2150" s="3" t="e">
        <f ca="1">[1]!BexGetData("DP_1","003N8EMH8GTFRIVNUPY288VJH","GSON2119410020")</f>
        <v>#NAME?</v>
      </c>
      <c r="L2150" s="3" t="e">
        <f ca="1">[1]!BexGetData("DP_1","003N8EMH8GTFRIVNUPY2891V1","GSON2119410020")</f>
        <v>#NAME?</v>
      </c>
      <c r="M2150" s="8" t="e">
        <f ca="1">[1]!BexGetData("DP_1","003N8EMH8GTFRIVOG7KG9IQXA","GSON2119410020")</f>
        <v>#NAME?</v>
      </c>
      <c r="N2150" s="3" t="e">
        <f ca="1">[1]!BexGetData("DP_1","003N8EMH8GTFRIVOG7KG9IX8U","GSON2119410020")</f>
        <v>#NAME?</v>
      </c>
      <c r="O2150" s="8" t="e">
        <f ca="1">[1]!BexGetData("DP_1","003N8EMH8GTFRIVOG7KG9J3KE","GSON2119410020")</f>
        <v>#NAME?</v>
      </c>
      <c r="P2150" s="3" t="e">
        <f ca="1">[1]!BexGetData("DP_1","003N8EMH8GTFRIVOG7KG9J9VY","GSON2119410020")</f>
        <v>#NAME?</v>
      </c>
      <c r="Q2150" s="4" t="e">
        <f ca="1">[1]!BexGetData("DP_1","00O2TNJGODT0G5Z4TTKYMM5MT","GSON2119410020")</f>
        <v>#NAME?</v>
      </c>
      <c r="R2150" s="3" t="e">
        <f ca="1">[1]!BexGetData("DP_1","00O2TNJGODT0G5Z4TTKYMMBYD","GSON2119410020")</f>
        <v>#NAME?</v>
      </c>
      <c r="S2150" s="3" t="e">
        <f ca="1">[1]!BexGetData("DP_1","00O2TNJGODT0G5Z4TTKYMMI9X","GSON2119410020")</f>
        <v>#NAME?</v>
      </c>
      <c r="T2150" s="3" t="e">
        <f ca="1">[1]!BexGetData("DP_1","00O2TNJGODT0G5Z4TTKYMMOLH","GSON2119410020")</f>
        <v>#NAME?</v>
      </c>
      <c r="U2150" s="8" t="e">
        <f ca="1">[1]!BexGetData("DP_1","00O2TNJGODT0G5Z4TTKYMMUX1","GSON2119410020")</f>
        <v>#NAME?</v>
      </c>
      <c r="V2150" s="3" t="e">
        <f ca="1">[1]!BexGetData("DP_1","00O2TNJGODT0G5Z4TTKYMN18L","GSON2119410020")</f>
        <v>#NAME?</v>
      </c>
      <c r="W2150" s="8" t="e">
        <f ca="1">[1]!BexGetData("DP_1","00O2TNJGODT0G5Z4TTKYMN7K5","GSON2119410020")</f>
        <v>#NAME?</v>
      </c>
    </row>
    <row r="2151" spans="1:23" x14ac:dyDescent="0.2">
      <c r="A2151" s="17" t="s">
        <v>4819</v>
      </c>
      <c r="B2151" s="7" t="s">
        <v>4820</v>
      </c>
      <c r="C2151" s="3" t="e">
        <f ca="1">[1]!BexGetData("DP_1","003N8EMH8GTFRCSWKMPXRR8GU","GSON2119900001")</f>
        <v>#NAME?</v>
      </c>
      <c r="D2151" s="3" t="e">
        <f ca="1">[1]!BexGetData("DP_1","003N8EMH8GTFRCSWKMPXRRESE","GSON2119900001")</f>
        <v>#NAME?</v>
      </c>
      <c r="E2151" s="3" t="e">
        <f ca="1">[1]!BexGetData("DP_1","003N8EMH8GTFRCSWKMPXRRL3Y","GSON2119900001")</f>
        <v>#NAME?</v>
      </c>
      <c r="F2151" s="4" t="e">
        <f ca="1">[1]!BexGetData("DP_1","003N8EMH8GTFRCSWKMPXRRRFI","GSON2119900001")</f>
        <v>#NAME?</v>
      </c>
      <c r="G2151" s="4" t="e">
        <f ca="1">[1]!BexGetData("DP_1","003N8EMH8GTFRCSWKMPXRRXR2","GSON2119900001")</f>
        <v>#NAME?</v>
      </c>
      <c r="H2151" s="4" t="e">
        <f ca="1">[1]!BexGetData("DP_1","003N8EMH8GTFRCSWKMPXRS42M","GSON2119900001")</f>
        <v>#NAME?</v>
      </c>
      <c r="I2151" s="4" t="e">
        <f ca="1">[1]!BexGetData("DP_1","003N8EMH8GTFRCSWKMPXRSAE6","GSON2119900001")</f>
        <v>#NAME?</v>
      </c>
      <c r="J2151" s="4" t="e">
        <f ca="1">[1]!BexGetData("DP_1","003N8EMH8GTFRCSWKMPXRSGPQ","GSON2119900001")</f>
        <v>#NAME?</v>
      </c>
      <c r="K2151" s="3" t="e">
        <f ca="1">[1]!BexGetData("DP_1","003N8EMH8GTFRIVNUPY288VJH","GSON2119900001")</f>
        <v>#NAME?</v>
      </c>
      <c r="L2151" s="3" t="e">
        <f ca="1">[1]!BexGetData("DP_1","003N8EMH8GTFRIVNUPY2891V1","GSON2119900001")</f>
        <v>#NAME?</v>
      </c>
      <c r="M2151" s="3" t="e">
        <f ca="1">[1]!BexGetData("DP_1","003N8EMH8GTFRIVOG7KG9IQXA","GSON2119900001")</f>
        <v>#NAME?</v>
      </c>
      <c r="N2151" s="8" t="e">
        <f ca="1">[1]!BexGetData("DP_1","003N8EMH8GTFRIVOG7KG9IX8U","GSON2119900001")</f>
        <v>#NAME?</v>
      </c>
      <c r="O2151" s="3" t="e">
        <f ca="1">[1]!BexGetData("DP_1","003N8EMH8GTFRIVOG7KG9J3KE","GSON2119900001")</f>
        <v>#NAME?</v>
      </c>
      <c r="P2151" s="8" t="e">
        <f ca="1">[1]!BexGetData("DP_1","003N8EMH8GTFRIVOG7KG9J9VY","GSON2119900001")</f>
        <v>#NAME?</v>
      </c>
      <c r="Q2151" s="4" t="e">
        <f ca="1">[1]!BexGetData("DP_1","00O2TNJGODT0G5Z4TTKYMM5MT","GSON2119900001")</f>
        <v>#NAME?</v>
      </c>
      <c r="R2151" s="4" t="e">
        <f ca="1">[1]!BexGetData("DP_1","00O2TNJGODT0G5Z4TTKYMMBYD","GSON2119900001")</f>
        <v>#NAME?</v>
      </c>
      <c r="S2151" s="4" t="e">
        <f ca="1">[1]!BexGetData("DP_1","00O2TNJGODT0G5Z4TTKYMMI9X","GSON2119900001")</f>
        <v>#NAME?</v>
      </c>
      <c r="T2151" s="4" t="e">
        <f ca="1">[1]!BexGetData("DP_1","00O2TNJGODT0G5Z4TTKYMMOLH","GSON2119900001")</f>
        <v>#NAME?</v>
      </c>
      <c r="U2151" s="4" t="e">
        <f ca="1">[1]!BexGetData("DP_1","00O2TNJGODT0G5Z4TTKYMMUX1","GSON2119900001")</f>
        <v>#NAME?</v>
      </c>
      <c r="V2151" s="4" t="e">
        <f ca="1">[1]!BexGetData("DP_1","00O2TNJGODT0G5Z4TTKYMN18L","GSON2119900001")</f>
        <v>#NAME?</v>
      </c>
      <c r="W2151" s="4" t="e">
        <f ca="1">[1]!BexGetData("DP_1","00O2TNJGODT0G5Z4TTKYMN7K5","GSON2119900001")</f>
        <v>#NAME?</v>
      </c>
    </row>
    <row r="2152" spans="1:23" x14ac:dyDescent="0.2">
      <c r="A2152" s="17" t="s">
        <v>4821</v>
      </c>
      <c r="B2152" s="7" t="s">
        <v>4822</v>
      </c>
      <c r="C2152" s="3" t="e">
        <f ca="1">[1]!BexGetData("DP_1","003N8EMH8GTFRCSWKMPXRR8GU","GSON2119900005")</f>
        <v>#NAME?</v>
      </c>
      <c r="D2152" s="3" t="e">
        <f ca="1">[1]!BexGetData("DP_1","003N8EMH8GTFRCSWKMPXRRESE","GSON2119900005")</f>
        <v>#NAME?</v>
      </c>
      <c r="E2152" s="3" t="e">
        <f ca="1">[1]!BexGetData("DP_1","003N8EMH8GTFRCSWKMPXRRL3Y","GSON2119900005")</f>
        <v>#NAME?</v>
      </c>
      <c r="F2152" s="3" t="e">
        <f ca="1">[1]!BexGetData("DP_1","003N8EMH8GTFRCSWKMPXRRRFI","GSON2119900005")</f>
        <v>#NAME?</v>
      </c>
      <c r="G2152" s="3" t="e">
        <f ca="1">[1]!BexGetData("DP_1","003N8EMH8GTFRCSWKMPXRRXR2","GSON2119900005")</f>
        <v>#NAME?</v>
      </c>
      <c r="H2152" s="3" t="e">
        <f ca="1">[1]!BexGetData("DP_1","003N8EMH8GTFRCSWKMPXRS42M","GSON2119900005")</f>
        <v>#NAME?</v>
      </c>
      <c r="I2152" s="3" t="e">
        <f ca="1">[1]!BexGetData("DP_1","003N8EMH8GTFRCSWKMPXRSAE6","GSON2119900005")</f>
        <v>#NAME?</v>
      </c>
      <c r="J2152" s="4" t="e">
        <f ca="1">[1]!BexGetData("DP_1","003N8EMH8GTFRCSWKMPXRSGPQ","GSON2119900005")</f>
        <v>#NAME?</v>
      </c>
      <c r="K2152" s="3" t="e">
        <f ca="1">[1]!BexGetData("DP_1","003N8EMH8GTFRIVNUPY288VJH","GSON2119900005")</f>
        <v>#NAME?</v>
      </c>
      <c r="L2152" s="3" t="e">
        <f ca="1">[1]!BexGetData("DP_1","003N8EMH8GTFRIVNUPY2891V1","GSON2119900005")</f>
        <v>#NAME?</v>
      </c>
      <c r="M2152" s="8" t="e">
        <f ca="1">[1]!BexGetData("DP_1","003N8EMH8GTFRIVOG7KG9IQXA","GSON2119900005")</f>
        <v>#NAME?</v>
      </c>
      <c r="N2152" s="3" t="e">
        <f ca="1">[1]!BexGetData("DP_1","003N8EMH8GTFRIVOG7KG9IX8U","GSON2119900005")</f>
        <v>#NAME?</v>
      </c>
      <c r="O2152" s="8" t="e">
        <f ca="1">[1]!BexGetData("DP_1","003N8EMH8GTFRIVOG7KG9J3KE","GSON2119900005")</f>
        <v>#NAME?</v>
      </c>
      <c r="P2152" s="3" t="e">
        <f ca="1">[1]!BexGetData("DP_1","003N8EMH8GTFRIVOG7KG9J9VY","GSON2119900005")</f>
        <v>#NAME?</v>
      </c>
      <c r="Q2152" s="4" t="e">
        <f ca="1">[1]!BexGetData("DP_1","00O2TNJGODT0G5Z4TTKYMM5MT","GSON2119900005")</f>
        <v>#NAME?</v>
      </c>
      <c r="R2152" s="3" t="e">
        <f ca="1">[1]!BexGetData("DP_1","00O2TNJGODT0G5Z4TTKYMMBYD","GSON2119900005")</f>
        <v>#NAME?</v>
      </c>
      <c r="S2152" s="3" t="e">
        <f ca="1">[1]!BexGetData("DP_1","00O2TNJGODT0G5Z4TTKYMMI9X","GSON2119900005")</f>
        <v>#NAME?</v>
      </c>
      <c r="T2152" s="3" t="e">
        <f ca="1">[1]!BexGetData("DP_1","00O2TNJGODT0G5Z4TTKYMMOLH","GSON2119900005")</f>
        <v>#NAME?</v>
      </c>
      <c r="U2152" s="8" t="e">
        <f ca="1">[1]!BexGetData("DP_1","00O2TNJGODT0G5Z4TTKYMMUX1","GSON2119900005")</f>
        <v>#NAME?</v>
      </c>
      <c r="V2152" s="3" t="e">
        <f ca="1">[1]!BexGetData("DP_1","00O2TNJGODT0G5Z4TTKYMN18L","GSON2119900005")</f>
        <v>#NAME?</v>
      </c>
      <c r="W2152" s="8" t="e">
        <f ca="1">[1]!BexGetData("DP_1","00O2TNJGODT0G5Z4TTKYMN7K5","GSON2119900005")</f>
        <v>#NAME?</v>
      </c>
    </row>
    <row r="2153" spans="1:23" x14ac:dyDescent="0.2">
      <c r="A2153" s="17" t="s">
        <v>1431</v>
      </c>
      <c r="B2153" s="7" t="s">
        <v>1432</v>
      </c>
      <c r="C2153" s="3" t="e">
        <f ca="1">[1]!BexGetData("DP_1","003N8EMH8GTFRCSWKMPXRR8GU","GSON2119900008")</f>
        <v>#NAME?</v>
      </c>
      <c r="D2153" s="3" t="e">
        <f ca="1">[1]!BexGetData("DP_1","003N8EMH8GTFRCSWKMPXRRESE","GSON2119900008")</f>
        <v>#NAME?</v>
      </c>
      <c r="E2153" s="3" t="e">
        <f ca="1">[1]!BexGetData("DP_1","003N8EMH8GTFRCSWKMPXRRL3Y","GSON2119900008")</f>
        <v>#NAME?</v>
      </c>
      <c r="F2153" s="4" t="e">
        <f ca="1">[1]!BexGetData("DP_1","003N8EMH8GTFRCSWKMPXRRRFI","GSON2119900008")</f>
        <v>#NAME?</v>
      </c>
      <c r="G2153" s="4" t="e">
        <f ca="1">[1]!BexGetData("DP_1","003N8EMH8GTFRCSWKMPXRRXR2","GSON2119900008")</f>
        <v>#NAME?</v>
      </c>
      <c r="H2153" s="4" t="e">
        <f ca="1">[1]!BexGetData("DP_1","003N8EMH8GTFRCSWKMPXRS42M","GSON2119900008")</f>
        <v>#NAME?</v>
      </c>
      <c r="I2153" s="4" t="e">
        <f ca="1">[1]!BexGetData("DP_1","003N8EMH8GTFRCSWKMPXRSAE6","GSON2119900008")</f>
        <v>#NAME?</v>
      </c>
      <c r="J2153" s="4" t="e">
        <f ca="1">[1]!BexGetData("DP_1","003N8EMH8GTFRCSWKMPXRSGPQ","GSON2119900008")</f>
        <v>#NAME?</v>
      </c>
      <c r="K2153" s="3" t="e">
        <f ca="1">[1]!BexGetData("DP_1","003N8EMH8GTFRIVNUPY288VJH","GSON2119900008")</f>
        <v>#NAME?</v>
      </c>
      <c r="L2153" s="3" t="e">
        <f ca="1">[1]!BexGetData("DP_1","003N8EMH8GTFRIVNUPY2891V1","GSON2119900008")</f>
        <v>#NAME?</v>
      </c>
      <c r="M2153" s="3" t="e">
        <f ca="1">[1]!BexGetData("DP_1","003N8EMH8GTFRIVOG7KG9IQXA","GSON2119900008")</f>
        <v>#NAME?</v>
      </c>
      <c r="N2153" s="8" t="e">
        <f ca="1">[1]!BexGetData("DP_1","003N8EMH8GTFRIVOG7KG9IX8U","GSON2119900008")</f>
        <v>#NAME?</v>
      </c>
      <c r="O2153" s="3" t="e">
        <f ca="1">[1]!BexGetData("DP_1","003N8EMH8GTFRIVOG7KG9J3KE","GSON2119900008")</f>
        <v>#NAME?</v>
      </c>
      <c r="P2153" s="8" t="e">
        <f ca="1">[1]!BexGetData("DP_1","003N8EMH8GTFRIVOG7KG9J9VY","GSON2119900008")</f>
        <v>#NAME?</v>
      </c>
      <c r="Q2153" s="4" t="e">
        <f ca="1">[1]!BexGetData("DP_1","00O2TNJGODT0G5Z4TTKYMM5MT","GSON2119900008")</f>
        <v>#NAME?</v>
      </c>
      <c r="R2153" s="4" t="e">
        <f ca="1">[1]!BexGetData("DP_1","00O2TNJGODT0G5Z4TTKYMMBYD","GSON2119900008")</f>
        <v>#NAME?</v>
      </c>
      <c r="S2153" s="4" t="e">
        <f ca="1">[1]!BexGetData("DP_1","00O2TNJGODT0G5Z4TTKYMMI9X","GSON2119900008")</f>
        <v>#NAME?</v>
      </c>
      <c r="T2153" s="4" t="e">
        <f ca="1">[1]!BexGetData("DP_1","00O2TNJGODT0G5Z4TTKYMMOLH","GSON2119900008")</f>
        <v>#NAME?</v>
      </c>
      <c r="U2153" s="4" t="e">
        <f ca="1">[1]!BexGetData("DP_1","00O2TNJGODT0G5Z4TTKYMMUX1","GSON2119900008")</f>
        <v>#NAME?</v>
      </c>
      <c r="V2153" s="4" t="e">
        <f ca="1">[1]!BexGetData("DP_1","00O2TNJGODT0G5Z4TTKYMN18L","GSON2119900008")</f>
        <v>#NAME?</v>
      </c>
      <c r="W2153" s="4" t="e">
        <f ca="1">[1]!BexGetData("DP_1","00O2TNJGODT0G5Z4TTKYMN7K5","GSON2119900008")</f>
        <v>#NAME?</v>
      </c>
    </row>
    <row r="2154" spans="1:23" x14ac:dyDescent="0.2">
      <c r="A2154" s="17" t="s">
        <v>1433</v>
      </c>
      <c r="B2154" s="7" t="s">
        <v>1434</v>
      </c>
      <c r="C2154" s="3" t="e">
        <f ca="1">[1]!BexGetData("DP_1","003N8EMH8GTFRCSWKMPXRR8GU","GSON2119900009")</f>
        <v>#NAME?</v>
      </c>
      <c r="D2154" s="3" t="e">
        <f ca="1">[1]!BexGetData("DP_1","003N8EMH8GTFRCSWKMPXRRESE","GSON2119900009")</f>
        <v>#NAME?</v>
      </c>
      <c r="E2154" s="3" t="e">
        <f ca="1">[1]!BexGetData("DP_1","003N8EMH8GTFRCSWKMPXRRL3Y","GSON2119900009")</f>
        <v>#NAME?</v>
      </c>
      <c r="F2154" s="4" t="e">
        <f ca="1">[1]!BexGetData("DP_1","003N8EMH8GTFRCSWKMPXRRRFI","GSON2119900009")</f>
        <v>#NAME?</v>
      </c>
      <c r="G2154" s="4" t="e">
        <f ca="1">[1]!BexGetData("DP_1","003N8EMH8GTFRCSWKMPXRRXR2","GSON2119900009")</f>
        <v>#NAME?</v>
      </c>
      <c r="H2154" s="4" t="e">
        <f ca="1">[1]!BexGetData("DP_1","003N8EMH8GTFRCSWKMPXRS42M","GSON2119900009")</f>
        <v>#NAME?</v>
      </c>
      <c r="I2154" s="4" t="e">
        <f ca="1">[1]!BexGetData("DP_1","003N8EMH8GTFRCSWKMPXRSAE6","GSON2119900009")</f>
        <v>#NAME?</v>
      </c>
      <c r="J2154" s="4" t="e">
        <f ca="1">[1]!BexGetData("DP_1","003N8EMH8GTFRCSWKMPXRSGPQ","GSON2119900009")</f>
        <v>#NAME?</v>
      </c>
      <c r="K2154" s="3" t="e">
        <f ca="1">[1]!BexGetData("DP_1","003N8EMH8GTFRIVNUPY288VJH","GSON2119900009")</f>
        <v>#NAME?</v>
      </c>
      <c r="L2154" s="3" t="e">
        <f ca="1">[1]!BexGetData("DP_1","003N8EMH8GTFRIVNUPY2891V1","GSON2119900009")</f>
        <v>#NAME?</v>
      </c>
      <c r="M2154" s="3" t="e">
        <f ca="1">[1]!BexGetData("DP_1","003N8EMH8GTFRIVOG7KG9IQXA","GSON2119900009")</f>
        <v>#NAME?</v>
      </c>
      <c r="N2154" s="8" t="e">
        <f ca="1">[1]!BexGetData("DP_1","003N8EMH8GTFRIVOG7KG9IX8U","GSON2119900009")</f>
        <v>#NAME?</v>
      </c>
      <c r="O2154" s="3" t="e">
        <f ca="1">[1]!BexGetData("DP_1","003N8EMH8GTFRIVOG7KG9J3KE","GSON2119900009")</f>
        <v>#NAME?</v>
      </c>
      <c r="P2154" s="8" t="e">
        <f ca="1">[1]!BexGetData("DP_1","003N8EMH8GTFRIVOG7KG9J9VY","GSON2119900009")</f>
        <v>#NAME?</v>
      </c>
      <c r="Q2154" s="4" t="e">
        <f ca="1">[1]!BexGetData("DP_1","00O2TNJGODT0G5Z4TTKYMM5MT","GSON2119900009")</f>
        <v>#NAME?</v>
      </c>
      <c r="R2154" s="4" t="e">
        <f ca="1">[1]!BexGetData("DP_1","00O2TNJGODT0G5Z4TTKYMMBYD","GSON2119900009")</f>
        <v>#NAME?</v>
      </c>
      <c r="S2154" s="4" t="e">
        <f ca="1">[1]!BexGetData("DP_1","00O2TNJGODT0G5Z4TTKYMMI9X","GSON2119900009")</f>
        <v>#NAME?</v>
      </c>
      <c r="T2154" s="4" t="e">
        <f ca="1">[1]!BexGetData("DP_1","00O2TNJGODT0G5Z4TTKYMMOLH","GSON2119900009")</f>
        <v>#NAME?</v>
      </c>
      <c r="U2154" s="4" t="e">
        <f ca="1">[1]!BexGetData("DP_1","00O2TNJGODT0G5Z4TTKYMMUX1","GSON2119900009")</f>
        <v>#NAME?</v>
      </c>
      <c r="V2154" s="4" t="e">
        <f ca="1">[1]!BexGetData("DP_1","00O2TNJGODT0G5Z4TTKYMN18L","GSON2119900009")</f>
        <v>#NAME?</v>
      </c>
      <c r="W2154" s="4" t="e">
        <f ca="1">[1]!BexGetData("DP_1","00O2TNJGODT0G5Z4TTKYMN7K5","GSON2119900009")</f>
        <v>#NAME?</v>
      </c>
    </row>
    <row r="2155" spans="1:23" x14ac:dyDescent="0.2">
      <c r="A2155" s="17" t="s">
        <v>4823</v>
      </c>
      <c r="B2155" s="7" t="s">
        <v>4824</v>
      </c>
      <c r="C2155" s="3" t="e">
        <f ca="1">[1]!BexGetData("DP_1","003N8EMH8GTFRCSWKMPXRR8GU","GSON2119900010")</f>
        <v>#NAME?</v>
      </c>
      <c r="D2155" s="3" t="e">
        <f ca="1">[1]!BexGetData("DP_1","003N8EMH8GTFRCSWKMPXRRESE","GSON2119900010")</f>
        <v>#NAME?</v>
      </c>
      <c r="E2155" s="3" t="e">
        <f ca="1">[1]!BexGetData("DP_1","003N8EMH8GTFRCSWKMPXRRL3Y","GSON2119900010")</f>
        <v>#NAME?</v>
      </c>
      <c r="F2155" s="4" t="e">
        <f ca="1">[1]!BexGetData("DP_1","003N8EMH8GTFRCSWKMPXRRRFI","GSON2119900010")</f>
        <v>#NAME?</v>
      </c>
      <c r="G2155" s="4" t="e">
        <f ca="1">[1]!BexGetData("DP_1","003N8EMH8GTFRCSWKMPXRRXR2","GSON2119900010")</f>
        <v>#NAME?</v>
      </c>
      <c r="H2155" s="4" t="e">
        <f ca="1">[1]!BexGetData("DP_1","003N8EMH8GTFRCSWKMPXRS42M","GSON2119900010")</f>
        <v>#NAME?</v>
      </c>
      <c r="I2155" s="4" t="e">
        <f ca="1">[1]!BexGetData("DP_1","003N8EMH8GTFRCSWKMPXRSAE6","GSON2119900010")</f>
        <v>#NAME?</v>
      </c>
      <c r="J2155" s="4" t="e">
        <f ca="1">[1]!BexGetData("DP_1","003N8EMH8GTFRCSWKMPXRSGPQ","GSON2119900010")</f>
        <v>#NAME?</v>
      </c>
      <c r="K2155" s="3" t="e">
        <f ca="1">[1]!BexGetData("DP_1","003N8EMH8GTFRIVNUPY288VJH","GSON2119900010")</f>
        <v>#NAME?</v>
      </c>
      <c r="L2155" s="3" t="e">
        <f ca="1">[1]!BexGetData("DP_1","003N8EMH8GTFRIVNUPY2891V1","GSON2119900010")</f>
        <v>#NAME?</v>
      </c>
      <c r="M2155" s="3" t="e">
        <f ca="1">[1]!BexGetData("DP_1","003N8EMH8GTFRIVOG7KG9IQXA","GSON2119900010")</f>
        <v>#NAME?</v>
      </c>
      <c r="N2155" s="8" t="e">
        <f ca="1">[1]!BexGetData("DP_1","003N8EMH8GTFRIVOG7KG9IX8U","GSON2119900010")</f>
        <v>#NAME?</v>
      </c>
      <c r="O2155" s="3" t="e">
        <f ca="1">[1]!BexGetData("DP_1","003N8EMH8GTFRIVOG7KG9J3KE","GSON2119900010")</f>
        <v>#NAME?</v>
      </c>
      <c r="P2155" s="8" t="e">
        <f ca="1">[1]!BexGetData("DP_1","003N8EMH8GTFRIVOG7KG9J9VY","GSON2119900010")</f>
        <v>#NAME?</v>
      </c>
      <c r="Q2155" s="4" t="e">
        <f ca="1">[1]!BexGetData("DP_1","00O2TNJGODT0G5Z4TTKYMM5MT","GSON2119900010")</f>
        <v>#NAME?</v>
      </c>
      <c r="R2155" s="4" t="e">
        <f ca="1">[1]!BexGetData("DP_1","00O2TNJGODT0G5Z4TTKYMMBYD","GSON2119900010")</f>
        <v>#NAME?</v>
      </c>
      <c r="S2155" s="4" t="e">
        <f ca="1">[1]!BexGetData("DP_1","00O2TNJGODT0G5Z4TTKYMMI9X","GSON2119900010")</f>
        <v>#NAME?</v>
      </c>
      <c r="T2155" s="4" t="e">
        <f ca="1">[1]!BexGetData("DP_1","00O2TNJGODT0G5Z4TTKYMMOLH","GSON2119900010")</f>
        <v>#NAME?</v>
      </c>
      <c r="U2155" s="4" t="e">
        <f ca="1">[1]!BexGetData("DP_1","00O2TNJGODT0G5Z4TTKYMMUX1","GSON2119900010")</f>
        <v>#NAME?</v>
      </c>
      <c r="V2155" s="4" t="e">
        <f ca="1">[1]!BexGetData("DP_1","00O2TNJGODT0G5Z4TTKYMN18L","GSON2119900010")</f>
        <v>#NAME?</v>
      </c>
      <c r="W2155" s="4" t="e">
        <f ca="1">[1]!BexGetData("DP_1","00O2TNJGODT0G5Z4TTKYMN7K5","GSON2119900010")</f>
        <v>#NAME?</v>
      </c>
    </row>
    <row r="2156" spans="1:23" x14ac:dyDescent="0.2">
      <c r="A2156" s="17" t="s">
        <v>4825</v>
      </c>
      <c r="B2156" s="7" t="s">
        <v>4826</v>
      </c>
      <c r="C2156" s="3" t="e">
        <f ca="1">[1]!BexGetData("DP_1","003N8EMH8GTFRCSWKMPXRR8GU","GSON2119900011")</f>
        <v>#NAME?</v>
      </c>
      <c r="D2156" s="3" t="e">
        <f ca="1">[1]!BexGetData("DP_1","003N8EMH8GTFRCSWKMPXRRESE","GSON2119900011")</f>
        <v>#NAME?</v>
      </c>
      <c r="E2156" s="3" t="e">
        <f ca="1">[1]!BexGetData("DP_1","003N8EMH8GTFRCSWKMPXRRL3Y","GSON2119900011")</f>
        <v>#NAME?</v>
      </c>
      <c r="F2156" s="4" t="e">
        <f ca="1">[1]!BexGetData("DP_1","003N8EMH8GTFRCSWKMPXRRRFI","GSON2119900011")</f>
        <v>#NAME?</v>
      </c>
      <c r="G2156" s="4" t="e">
        <f ca="1">[1]!BexGetData("DP_1","003N8EMH8GTFRCSWKMPXRRXR2","GSON2119900011")</f>
        <v>#NAME?</v>
      </c>
      <c r="H2156" s="4" t="e">
        <f ca="1">[1]!BexGetData("DP_1","003N8EMH8GTFRCSWKMPXRS42M","GSON2119900011")</f>
        <v>#NAME?</v>
      </c>
      <c r="I2156" s="4" t="e">
        <f ca="1">[1]!BexGetData("DP_1","003N8EMH8GTFRCSWKMPXRSAE6","GSON2119900011")</f>
        <v>#NAME?</v>
      </c>
      <c r="J2156" s="4" t="e">
        <f ca="1">[1]!BexGetData("DP_1","003N8EMH8GTFRCSWKMPXRSGPQ","GSON2119900011")</f>
        <v>#NAME?</v>
      </c>
      <c r="K2156" s="3" t="e">
        <f ca="1">[1]!BexGetData("DP_1","003N8EMH8GTFRIVNUPY288VJH","GSON2119900011")</f>
        <v>#NAME?</v>
      </c>
      <c r="L2156" s="3" t="e">
        <f ca="1">[1]!BexGetData("DP_1","003N8EMH8GTFRIVNUPY2891V1","GSON2119900011")</f>
        <v>#NAME?</v>
      </c>
      <c r="M2156" s="3" t="e">
        <f ca="1">[1]!BexGetData("DP_1","003N8EMH8GTFRIVOG7KG9IQXA","GSON2119900011")</f>
        <v>#NAME?</v>
      </c>
      <c r="N2156" s="8" t="e">
        <f ca="1">[1]!BexGetData("DP_1","003N8EMH8GTFRIVOG7KG9IX8U","GSON2119900011")</f>
        <v>#NAME?</v>
      </c>
      <c r="O2156" s="3" t="e">
        <f ca="1">[1]!BexGetData("DP_1","003N8EMH8GTFRIVOG7KG9J3KE","GSON2119900011")</f>
        <v>#NAME?</v>
      </c>
      <c r="P2156" s="8" t="e">
        <f ca="1">[1]!BexGetData("DP_1","003N8EMH8GTFRIVOG7KG9J9VY","GSON2119900011")</f>
        <v>#NAME?</v>
      </c>
      <c r="Q2156" s="4" t="e">
        <f ca="1">[1]!BexGetData("DP_1","00O2TNJGODT0G5Z4TTKYMM5MT","GSON2119900011")</f>
        <v>#NAME?</v>
      </c>
      <c r="R2156" s="4" t="e">
        <f ca="1">[1]!BexGetData("DP_1","00O2TNJGODT0G5Z4TTKYMMBYD","GSON2119900011")</f>
        <v>#NAME?</v>
      </c>
      <c r="S2156" s="4" t="e">
        <f ca="1">[1]!BexGetData("DP_1","00O2TNJGODT0G5Z4TTKYMMI9X","GSON2119900011")</f>
        <v>#NAME?</v>
      </c>
      <c r="T2156" s="4" t="e">
        <f ca="1">[1]!BexGetData("DP_1","00O2TNJGODT0G5Z4TTKYMMOLH","GSON2119900011")</f>
        <v>#NAME?</v>
      </c>
      <c r="U2156" s="4" t="e">
        <f ca="1">[1]!BexGetData("DP_1","00O2TNJGODT0G5Z4TTKYMMUX1","GSON2119900011")</f>
        <v>#NAME?</v>
      </c>
      <c r="V2156" s="4" t="e">
        <f ca="1">[1]!BexGetData("DP_1","00O2TNJGODT0G5Z4TTKYMN18L","GSON2119900011")</f>
        <v>#NAME?</v>
      </c>
      <c r="W2156" s="4" t="e">
        <f ca="1">[1]!BexGetData("DP_1","00O2TNJGODT0G5Z4TTKYMN7K5","GSON2119900011")</f>
        <v>#NAME?</v>
      </c>
    </row>
    <row r="2157" spans="1:23" x14ac:dyDescent="0.2">
      <c r="A2157" s="17" t="s">
        <v>4827</v>
      </c>
      <c r="B2157" s="7" t="s">
        <v>4828</v>
      </c>
      <c r="C2157" s="3" t="e">
        <f ca="1">[1]!BexGetData("DP_1","003N8EMH8GTFRCSWKMPXRR8GU","GSON2119900012")</f>
        <v>#NAME?</v>
      </c>
      <c r="D2157" s="3" t="e">
        <f ca="1">[1]!BexGetData("DP_1","003N8EMH8GTFRCSWKMPXRRESE","GSON2119900012")</f>
        <v>#NAME?</v>
      </c>
      <c r="E2157" s="3" t="e">
        <f ca="1">[1]!BexGetData("DP_1","003N8EMH8GTFRCSWKMPXRRL3Y","GSON2119900012")</f>
        <v>#NAME?</v>
      </c>
      <c r="F2157" s="4" t="e">
        <f ca="1">[1]!BexGetData("DP_1","003N8EMH8GTFRCSWKMPXRRRFI","GSON2119900012")</f>
        <v>#NAME?</v>
      </c>
      <c r="G2157" s="4" t="e">
        <f ca="1">[1]!BexGetData("DP_1","003N8EMH8GTFRCSWKMPXRRXR2","GSON2119900012")</f>
        <v>#NAME?</v>
      </c>
      <c r="H2157" s="4" t="e">
        <f ca="1">[1]!BexGetData("DP_1","003N8EMH8GTFRCSWKMPXRS42M","GSON2119900012")</f>
        <v>#NAME?</v>
      </c>
      <c r="I2157" s="4" t="e">
        <f ca="1">[1]!BexGetData("DP_1","003N8EMH8GTFRCSWKMPXRSAE6","GSON2119900012")</f>
        <v>#NAME?</v>
      </c>
      <c r="J2157" s="4" t="e">
        <f ca="1">[1]!BexGetData("DP_1","003N8EMH8GTFRCSWKMPXRSGPQ","GSON2119900012")</f>
        <v>#NAME?</v>
      </c>
      <c r="K2157" s="3" t="e">
        <f ca="1">[1]!BexGetData("DP_1","003N8EMH8GTFRIVNUPY288VJH","GSON2119900012")</f>
        <v>#NAME?</v>
      </c>
      <c r="L2157" s="3" t="e">
        <f ca="1">[1]!BexGetData("DP_1","003N8EMH8GTFRIVNUPY2891V1","GSON2119900012")</f>
        <v>#NAME?</v>
      </c>
      <c r="M2157" s="3" t="e">
        <f ca="1">[1]!BexGetData("DP_1","003N8EMH8GTFRIVOG7KG9IQXA","GSON2119900012")</f>
        <v>#NAME?</v>
      </c>
      <c r="N2157" s="8" t="e">
        <f ca="1">[1]!BexGetData("DP_1","003N8EMH8GTFRIVOG7KG9IX8U","GSON2119900012")</f>
        <v>#NAME?</v>
      </c>
      <c r="O2157" s="3" t="e">
        <f ca="1">[1]!BexGetData("DP_1","003N8EMH8GTFRIVOG7KG9J3KE","GSON2119900012")</f>
        <v>#NAME?</v>
      </c>
      <c r="P2157" s="8" t="e">
        <f ca="1">[1]!BexGetData("DP_1","003N8EMH8GTFRIVOG7KG9J9VY","GSON2119900012")</f>
        <v>#NAME?</v>
      </c>
      <c r="Q2157" s="4" t="e">
        <f ca="1">[1]!BexGetData("DP_1","00O2TNJGODT0G5Z4TTKYMM5MT","GSON2119900012")</f>
        <v>#NAME?</v>
      </c>
      <c r="R2157" s="4" t="e">
        <f ca="1">[1]!BexGetData("DP_1","00O2TNJGODT0G5Z4TTKYMMBYD","GSON2119900012")</f>
        <v>#NAME?</v>
      </c>
      <c r="S2157" s="4" t="e">
        <f ca="1">[1]!BexGetData("DP_1","00O2TNJGODT0G5Z4TTKYMMI9X","GSON2119900012")</f>
        <v>#NAME?</v>
      </c>
      <c r="T2157" s="4" t="e">
        <f ca="1">[1]!BexGetData("DP_1","00O2TNJGODT0G5Z4TTKYMMOLH","GSON2119900012")</f>
        <v>#NAME?</v>
      </c>
      <c r="U2157" s="4" t="e">
        <f ca="1">[1]!BexGetData("DP_1","00O2TNJGODT0G5Z4TTKYMMUX1","GSON2119900012")</f>
        <v>#NAME?</v>
      </c>
      <c r="V2157" s="4" t="e">
        <f ca="1">[1]!BexGetData("DP_1","00O2TNJGODT0G5Z4TTKYMN18L","GSON2119900012")</f>
        <v>#NAME?</v>
      </c>
      <c r="W2157" s="4" t="e">
        <f ca="1">[1]!BexGetData("DP_1","00O2TNJGODT0G5Z4TTKYMN7K5","GSON2119900012")</f>
        <v>#NAME?</v>
      </c>
    </row>
    <row r="2158" spans="1:23" x14ac:dyDescent="0.2">
      <c r="A2158" s="17" t="s">
        <v>4829</v>
      </c>
      <c r="B2158" s="7" t="s">
        <v>4830</v>
      </c>
      <c r="C2158" s="3" t="e">
        <f ca="1">[1]!BexGetData("DP_1","003N8EMH8GTFRCSWKMPXRR8GU","GSON2119900014")</f>
        <v>#NAME?</v>
      </c>
      <c r="D2158" s="3" t="e">
        <f ca="1">[1]!BexGetData("DP_1","003N8EMH8GTFRCSWKMPXRRESE","GSON2119900014")</f>
        <v>#NAME?</v>
      </c>
      <c r="E2158" s="3" t="e">
        <f ca="1">[1]!BexGetData("DP_1","003N8EMH8GTFRCSWKMPXRRL3Y","GSON2119900014")</f>
        <v>#NAME?</v>
      </c>
      <c r="F2158" s="4" t="e">
        <f ca="1">[1]!BexGetData("DP_1","003N8EMH8GTFRCSWKMPXRRRFI","GSON2119900014")</f>
        <v>#NAME?</v>
      </c>
      <c r="G2158" s="4" t="e">
        <f ca="1">[1]!BexGetData("DP_1","003N8EMH8GTFRCSWKMPXRRXR2","GSON2119900014")</f>
        <v>#NAME?</v>
      </c>
      <c r="H2158" s="4" t="e">
        <f ca="1">[1]!BexGetData("DP_1","003N8EMH8GTFRCSWKMPXRS42M","GSON2119900014")</f>
        <v>#NAME?</v>
      </c>
      <c r="I2158" s="4" t="e">
        <f ca="1">[1]!BexGetData("DP_1","003N8EMH8GTFRCSWKMPXRSAE6","GSON2119900014")</f>
        <v>#NAME?</v>
      </c>
      <c r="J2158" s="4" t="e">
        <f ca="1">[1]!BexGetData("DP_1","003N8EMH8GTFRCSWKMPXRSGPQ","GSON2119900014")</f>
        <v>#NAME?</v>
      </c>
      <c r="K2158" s="3" t="e">
        <f ca="1">[1]!BexGetData("DP_1","003N8EMH8GTFRIVNUPY288VJH","GSON2119900014")</f>
        <v>#NAME?</v>
      </c>
      <c r="L2158" s="3" t="e">
        <f ca="1">[1]!BexGetData("DP_1","003N8EMH8GTFRIVNUPY2891V1","GSON2119900014")</f>
        <v>#NAME?</v>
      </c>
      <c r="M2158" s="3" t="e">
        <f ca="1">[1]!BexGetData("DP_1","003N8EMH8GTFRIVOG7KG9IQXA","GSON2119900014")</f>
        <v>#NAME?</v>
      </c>
      <c r="N2158" s="8" t="e">
        <f ca="1">[1]!BexGetData("DP_1","003N8EMH8GTFRIVOG7KG9IX8U","GSON2119900014")</f>
        <v>#NAME?</v>
      </c>
      <c r="O2158" s="3" t="e">
        <f ca="1">[1]!BexGetData("DP_1","003N8EMH8GTFRIVOG7KG9J3KE","GSON2119900014")</f>
        <v>#NAME?</v>
      </c>
      <c r="P2158" s="8" t="e">
        <f ca="1">[1]!BexGetData("DP_1","003N8EMH8GTFRIVOG7KG9J9VY","GSON2119900014")</f>
        <v>#NAME?</v>
      </c>
      <c r="Q2158" s="4" t="e">
        <f ca="1">[1]!BexGetData("DP_1","00O2TNJGODT0G5Z4TTKYMM5MT","GSON2119900014")</f>
        <v>#NAME?</v>
      </c>
      <c r="R2158" s="4" t="e">
        <f ca="1">[1]!BexGetData("DP_1","00O2TNJGODT0G5Z4TTKYMMBYD","GSON2119900014")</f>
        <v>#NAME?</v>
      </c>
      <c r="S2158" s="4" t="e">
        <f ca="1">[1]!BexGetData("DP_1","00O2TNJGODT0G5Z4TTKYMMI9X","GSON2119900014")</f>
        <v>#NAME?</v>
      </c>
      <c r="T2158" s="4" t="e">
        <f ca="1">[1]!BexGetData("DP_1","00O2TNJGODT0G5Z4TTKYMMOLH","GSON2119900014")</f>
        <v>#NAME?</v>
      </c>
      <c r="U2158" s="4" t="e">
        <f ca="1">[1]!BexGetData("DP_1","00O2TNJGODT0G5Z4TTKYMMUX1","GSON2119900014")</f>
        <v>#NAME?</v>
      </c>
      <c r="V2158" s="4" t="e">
        <f ca="1">[1]!BexGetData("DP_1","00O2TNJGODT0G5Z4TTKYMN18L","GSON2119900014")</f>
        <v>#NAME?</v>
      </c>
      <c r="W2158" s="4" t="e">
        <f ca="1">[1]!BexGetData("DP_1","00O2TNJGODT0G5Z4TTKYMN7K5","GSON2119900014")</f>
        <v>#NAME?</v>
      </c>
    </row>
    <row r="2159" spans="1:23" x14ac:dyDescent="0.2">
      <c r="A2159" s="17" t="s">
        <v>4831</v>
      </c>
      <c r="B2159" s="7" t="s">
        <v>4832</v>
      </c>
      <c r="C2159" s="3" t="e">
        <f ca="1">[1]!BexGetData("DP_1","003N8EMH8GTFRCSWKMPXRR8GU","GSON2119900015")</f>
        <v>#NAME?</v>
      </c>
      <c r="D2159" s="3" t="e">
        <f ca="1">[1]!BexGetData("DP_1","003N8EMH8GTFRCSWKMPXRRESE","GSON2119900015")</f>
        <v>#NAME?</v>
      </c>
      <c r="E2159" s="3" t="e">
        <f ca="1">[1]!BexGetData("DP_1","003N8EMH8GTFRCSWKMPXRRL3Y","GSON2119900015")</f>
        <v>#NAME?</v>
      </c>
      <c r="F2159" s="4" t="e">
        <f ca="1">[1]!BexGetData("DP_1","003N8EMH8GTFRCSWKMPXRRRFI","GSON2119900015")</f>
        <v>#NAME?</v>
      </c>
      <c r="G2159" s="4" t="e">
        <f ca="1">[1]!BexGetData("DP_1","003N8EMH8GTFRCSWKMPXRRXR2","GSON2119900015")</f>
        <v>#NAME?</v>
      </c>
      <c r="H2159" s="4" t="e">
        <f ca="1">[1]!BexGetData("DP_1","003N8EMH8GTFRCSWKMPXRS42M","GSON2119900015")</f>
        <v>#NAME?</v>
      </c>
      <c r="I2159" s="4" t="e">
        <f ca="1">[1]!BexGetData("DP_1","003N8EMH8GTFRCSWKMPXRSAE6","GSON2119900015")</f>
        <v>#NAME?</v>
      </c>
      <c r="J2159" s="4" t="e">
        <f ca="1">[1]!BexGetData("DP_1","003N8EMH8GTFRCSWKMPXRSGPQ","GSON2119900015")</f>
        <v>#NAME?</v>
      </c>
      <c r="K2159" s="3" t="e">
        <f ca="1">[1]!BexGetData("DP_1","003N8EMH8GTFRIVNUPY288VJH","GSON2119900015")</f>
        <v>#NAME?</v>
      </c>
      <c r="L2159" s="3" t="e">
        <f ca="1">[1]!BexGetData("DP_1","003N8EMH8GTFRIVNUPY2891V1","GSON2119900015")</f>
        <v>#NAME?</v>
      </c>
      <c r="M2159" s="3" t="e">
        <f ca="1">[1]!BexGetData("DP_1","003N8EMH8GTFRIVOG7KG9IQXA","GSON2119900015")</f>
        <v>#NAME?</v>
      </c>
      <c r="N2159" s="8" t="e">
        <f ca="1">[1]!BexGetData("DP_1","003N8EMH8GTFRIVOG7KG9IX8U","GSON2119900015")</f>
        <v>#NAME?</v>
      </c>
      <c r="O2159" s="3" t="e">
        <f ca="1">[1]!BexGetData("DP_1","003N8EMH8GTFRIVOG7KG9J3KE","GSON2119900015")</f>
        <v>#NAME?</v>
      </c>
      <c r="P2159" s="8" t="e">
        <f ca="1">[1]!BexGetData("DP_1","003N8EMH8GTFRIVOG7KG9J9VY","GSON2119900015")</f>
        <v>#NAME?</v>
      </c>
      <c r="Q2159" s="4" t="e">
        <f ca="1">[1]!BexGetData("DP_1","00O2TNJGODT0G5Z4TTKYMM5MT","GSON2119900015")</f>
        <v>#NAME?</v>
      </c>
      <c r="R2159" s="4" t="e">
        <f ca="1">[1]!BexGetData("DP_1","00O2TNJGODT0G5Z4TTKYMMBYD","GSON2119900015")</f>
        <v>#NAME?</v>
      </c>
      <c r="S2159" s="4" t="e">
        <f ca="1">[1]!BexGetData("DP_1","00O2TNJGODT0G5Z4TTKYMMI9X","GSON2119900015")</f>
        <v>#NAME?</v>
      </c>
      <c r="T2159" s="4" t="e">
        <f ca="1">[1]!BexGetData("DP_1","00O2TNJGODT0G5Z4TTKYMMOLH","GSON2119900015")</f>
        <v>#NAME?</v>
      </c>
      <c r="U2159" s="4" t="e">
        <f ca="1">[1]!BexGetData("DP_1","00O2TNJGODT0G5Z4TTKYMMUX1","GSON2119900015")</f>
        <v>#NAME?</v>
      </c>
      <c r="V2159" s="4" t="e">
        <f ca="1">[1]!BexGetData("DP_1","00O2TNJGODT0G5Z4TTKYMN18L","GSON2119900015")</f>
        <v>#NAME?</v>
      </c>
      <c r="W2159" s="4" t="e">
        <f ca="1">[1]!BexGetData("DP_1","00O2TNJGODT0G5Z4TTKYMN7K5","GSON2119900015")</f>
        <v>#NAME?</v>
      </c>
    </row>
    <row r="2160" spans="1:23" x14ac:dyDescent="0.2">
      <c r="A2160" s="17" t="s">
        <v>4833</v>
      </c>
      <c r="B2160" s="7" t="s">
        <v>4834</v>
      </c>
      <c r="C2160" s="3" t="e">
        <f ca="1">[1]!BexGetData("DP_1","003N8EMH8GTFRCSWKMPXRR8GU","GSON2119900016")</f>
        <v>#NAME?</v>
      </c>
      <c r="D2160" s="3" t="e">
        <f ca="1">[1]!BexGetData("DP_1","003N8EMH8GTFRCSWKMPXRRESE","GSON2119900016")</f>
        <v>#NAME?</v>
      </c>
      <c r="E2160" s="8" t="e">
        <f ca="1">[1]!BexGetData("DP_1","003N8EMH8GTFRCSWKMPXRRL3Y","GSON2119900016")</f>
        <v>#NAME?</v>
      </c>
      <c r="F2160" s="4" t="e">
        <f ca="1">[1]!BexGetData("DP_1","003N8EMH8GTFRCSWKMPXRRRFI","GSON2119900016")</f>
        <v>#NAME?</v>
      </c>
      <c r="G2160" s="4" t="e">
        <f ca="1">[1]!BexGetData("DP_1","003N8EMH8GTFRCSWKMPXRRXR2","GSON2119900016")</f>
        <v>#NAME?</v>
      </c>
      <c r="H2160" s="4" t="e">
        <f ca="1">[1]!BexGetData("DP_1","003N8EMH8GTFRCSWKMPXRS42M","GSON2119900016")</f>
        <v>#NAME?</v>
      </c>
      <c r="I2160" s="4" t="e">
        <f ca="1">[1]!BexGetData("DP_1","003N8EMH8GTFRCSWKMPXRSAE6","GSON2119900016")</f>
        <v>#NAME?</v>
      </c>
      <c r="J2160" s="4" t="e">
        <f ca="1">[1]!BexGetData("DP_1","003N8EMH8GTFRCSWKMPXRSGPQ","GSON2119900016")</f>
        <v>#NAME?</v>
      </c>
      <c r="K2160" s="8" t="e">
        <f ca="1">[1]!BexGetData("DP_1","003N8EMH8GTFRIVNUPY288VJH","GSON2119900016")</f>
        <v>#NAME?</v>
      </c>
      <c r="L2160" s="8" t="e">
        <f ca="1">[1]!BexGetData("DP_1","003N8EMH8GTFRIVNUPY2891V1","GSON2119900016")</f>
        <v>#NAME?</v>
      </c>
      <c r="M2160" s="8" t="e">
        <f ca="1">[1]!BexGetData("DP_1","003N8EMH8GTFRIVOG7KG9IQXA","GSON2119900016")</f>
        <v>#NAME?</v>
      </c>
      <c r="N2160" s="8" t="e">
        <f ca="1">[1]!BexGetData("DP_1","003N8EMH8GTFRIVOG7KG9IX8U","GSON2119900016")</f>
        <v>#NAME?</v>
      </c>
      <c r="O2160" s="8" t="e">
        <f ca="1">[1]!BexGetData("DP_1","003N8EMH8GTFRIVOG7KG9J3KE","GSON2119900016")</f>
        <v>#NAME?</v>
      </c>
      <c r="P2160" s="8" t="e">
        <f ca="1">[1]!BexGetData("DP_1","003N8EMH8GTFRIVOG7KG9J9VY","GSON2119900016")</f>
        <v>#NAME?</v>
      </c>
      <c r="Q2160" s="4" t="e">
        <f ca="1">[1]!BexGetData("DP_1","00O2TNJGODT0G5Z4TTKYMM5MT","GSON2119900016")</f>
        <v>#NAME?</v>
      </c>
      <c r="R2160" s="4" t="e">
        <f ca="1">[1]!BexGetData("DP_1","00O2TNJGODT0G5Z4TTKYMMBYD","GSON2119900016")</f>
        <v>#NAME?</v>
      </c>
      <c r="S2160" s="4" t="e">
        <f ca="1">[1]!BexGetData("DP_1","00O2TNJGODT0G5Z4TTKYMMI9X","GSON2119900016")</f>
        <v>#NAME?</v>
      </c>
      <c r="T2160" s="4" t="e">
        <f ca="1">[1]!BexGetData("DP_1","00O2TNJGODT0G5Z4TTKYMMOLH","GSON2119900016")</f>
        <v>#NAME?</v>
      </c>
      <c r="U2160" s="4" t="e">
        <f ca="1">[1]!BexGetData("DP_1","00O2TNJGODT0G5Z4TTKYMMUX1","GSON2119900016")</f>
        <v>#NAME?</v>
      </c>
      <c r="V2160" s="4" t="e">
        <f ca="1">[1]!BexGetData("DP_1","00O2TNJGODT0G5Z4TTKYMN18L","GSON2119900016")</f>
        <v>#NAME?</v>
      </c>
      <c r="W2160" s="4" t="e">
        <f ca="1">[1]!BexGetData("DP_1","00O2TNJGODT0G5Z4TTKYMN7K5","GSON2119900016")</f>
        <v>#NAME?</v>
      </c>
    </row>
    <row r="2161" spans="1:23" x14ac:dyDescent="0.2">
      <c r="A2161" s="17" t="s">
        <v>4835</v>
      </c>
      <c r="B2161" s="7" t="s">
        <v>4836</v>
      </c>
      <c r="C2161" s="3" t="e">
        <f ca="1">[1]!BexGetData("DP_1","003N8EMH8GTFRCSWKMPXRR8GU","GSON2119900017")</f>
        <v>#NAME?</v>
      </c>
      <c r="D2161" s="3" t="e">
        <f ca="1">[1]!BexGetData("DP_1","003N8EMH8GTFRCSWKMPXRRESE","GSON2119900017")</f>
        <v>#NAME?</v>
      </c>
      <c r="E2161" s="3" t="e">
        <f ca="1">[1]!BexGetData("DP_1","003N8EMH8GTFRCSWKMPXRRL3Y","GSON2119900017")</f>
        <v>#NAME?</v>
      </c>
      <c r="F2161" s="3" t="e">
        <f ca="1">[1]!BexGetData("DP_1","003N8EMH8GTFRCSWKMPXRRRFI","GSON2119900017")</f>
        <v>#NAME?</v>
      </c>
      <c r="G2161" s="8" t="e">
        <f ca="1">[1]!BexGetData("DP_1","003N8EMH8GTFRCSWKMPXRRXR2","GSON2119900017")</f>
        <v>#NAME?</v>
      </c>
      <c r="H2161" s="3" t="e">
        <f ca="1">[1]!BexGetData("DP_1","003N8EMH8GTFRCSWKMPXRS42M","GSON2119900017")</f>
        <v>#NAME?</v>
      </c>
      <c r="I2161" s="3" t="e">
        <f ca="1">[1]!BexGetData("DP_1","003N8EMH8GTFRCSWKMPXRSAE6","GSON2119900017")</f>
        <v>#NAME?</v>
      </c>
      <c r="J2161" s="4" t="e">
        <f ca="1">[1]!BexGetData("DP_1","003N8EMH8GTFRCSWKMPXRSGPQ","GSON2119900017")</f>
        <v>#NAME?</v>
      </c>
      <c r="K2161" s="3" t="e">
        <f ca="1">[1]!BexGetData("DP_1","003N8EMH8GTFRIVNUPY288VJH","GSON2119900017")</f>
        <v>#NAME?</v>
      </c>
      <c r="L2161" s="3" t="e">
        <f ca="1">[1]!BexGetData("DP_1","003N8EMH8GTFRIVNUPY2891V1","GSON2119900017")</f>
        <v>#NAME?</v>
      </c>
      <c r="M2161" s="8" t="e">
        <f ca="1">[1]!BexGetData("DP_1","003N8EMH8GTFRIVOG7KG9IQXA","GSON2119900017")</f>
        <v>#NAME?</v>
      </c>
      <c r="N2161" s="3" t="e">
        <f ca="1">[1]!BexGetData("DP_1","003N8EMH8GTFRIVOG7KG9IX8U","GSON2119900017")</f>
        <v>#NAME?</v>
      </c>
      <c r="O2161" s="8" t="e">
        <f ca="1">[1]!BexGetData("DP_1","003N8EMH8GTFRIVOG7KG9J3KE","GSON2119900017")</f>
        <v>#NAME?</v>
      </c>
      <c r="P2161" s="3" t="e">
        <f ca="1">[1]!BexGetData("DP_1","003N8EMH8GTFRIVOG7KG9J9VY","GSON2119900017")</f>
        <v>#NAME?</v>
      </c>
      <c r="Q2161" s="4" t="e">
        <f ca="1">[1]!BexGetData("DP_1","00O2TNJGODT0G5Z4TTKYMM5MT","GSON2119900017")</f>
        <v>#NAME?</v>
      </c>
      <c r="R2161" s="3" t="e">
        <f ca="1">[1]!BexGetData("DP_1","00O2TNJGODT0G5Z4TTKYMMBYD","GSON2119900017")</f>
        <v>#NAME?</v>
      </c>
      <c r="S2161" s="3" t="e">
        <f ca="1">[1]!BexGetData("DP_1","00O2TNJGODT0G5Z4TTKYMMI9X","GSON2119900017")</f>
        <v>#NAME?</v>
      </c>
      <c r="T2161" s="3" t="e">
        <f ca="1">[1]!BexGetData("DP_1","00O2TNJGODT0G5Z4TTKYMMOLH","GSON2119900017")</f>
        <v>#NAME?</v>
      </c>
      <c r="U2161" s="8" t="e">
        <f ca="1">[1]!BexGetData("DP_1","00O2TNJGODT0G5Z4TTKYMMUX1","GSON2119900017")</f>
        <v>#NAME?</v>
      </c>
      <c r="V2161" s="3" t="e">
        <f ca="1">[1]!BexGetData("DP_1","00O2TNJGODT0G5Z4TTKYMN18L","GSON2119900017")</f>
        <v>#NAME?</v>
      </c>
      <c r="W2161" s="8" t="e">
        <f ca="1">[1]!BexGetData("DP_1","00O2TNJGODT0G5Z4TTKYMN7K5","GSON2119900017")</f>
        <v>#NAME?</v>
      </c>
    </row>
    <row r="2162" spans="1:23" x14ac:dyDescent="0.2">
      <c r="A2162" s="17" t="s">
        <v>4837</v>
      </c>
      <c r="B2162" s="7" t="s">
        <v>4838</v>
      </c>
      <c r="C2162" s="8" t="e">
        <f ca="1">[1]!BexGetData("DP_1","003N8EMH8GTFRCSWKMPXRR8GU","GSON2119900018")</f>
        <v>#NAME?</v>
      </c>
      <c r="D2162" s="8" t="e">
        <f ca="1">[1]!BexGetData("DP_1","003N8EMH8GTFRCSWKMPXRRESE","GSON2119900018")</f>
        <v>#NAME?</v>
      </c>
      <c r="E2162" s="3" t="e">
        <f ca="1">[1]!BexGetData("DP_1","003N8EMH8GTFRCSWKMPXRRL3Y","GSON2119900018")</f>
        <v>#NAME?</v>
      </c>
      <c r="F2162" s="3" t="e">
        <f ca="1">[1]!BexGetData("DP_1","003N8EMH8GTFRCSWKMPXRRRFI","GSON2119900018")</f>
        <v>#NAME?</v>
      </c>
      <c r="G2162" s="3" t="e">
        <f ca="1">[1]!BexGetData("DP_1","003N8EMH8GTFRCSWKMPXRRXR2","GSON2119900018")</f>
        <v>#NAME?</v>
      </c>
      <c r="H2162" s="3" t="e">
        <f ca="1">[1]!BexGetData("DP_1","003N8EMH8GTFRCSWKMPXRS42M","GSON2119900018")</f>
        <v>#NAME?</v>
      </c>
      <c r="I2162" s="3" t="e">
        <f ca="1">[1]!BexGetData("DP_1","003N8EMH8GTFRCSWKMPXRSAE6","GSON2119900018")</f>
        <v>#NAME?</v>
      </c>
      <c r="J2162" s="4" t="e">
        <f ca="1">[1]!BexGetData("DP_1","003N8EMH8GTFRCSWKMPXRSGPQ","GSON2119900018")</f>
        <v>#NAME?</v>
      </c>
      <c r="K2162" s="8" t="e">
        <f ca="1">[1]!BexGetData("DP_1","003N8EMH8GTFRIVNUPY288VJH","GSON2119900018")</f>
        <v>#NAME?</v>
      </c>
      <c r="L2162" s="8" t="e">
        <f ca="1">[1]!BexGetData("DP_1","003N8EMH8GTFRIVNUPY2891V1","GSON2119900018")</f>
        <v>#NAME?</v>
      </c>
      <c r="M2162" s="8" t="e">
        <f ca="1">[1]!BexGetData("DP_1","003N8EMH8GTFRIVOG7KG9IQXA","GSON2119900018")</f>
        <v>#NAME?</v>
      </c>
      <c r="N2162" s="8" t="e">
        <f ca="1">[1]!BexGetData("DP_1","003N8EMH8GTFRIVOG7KG9IX8U","GSON2119900018")</f>
        <v>#NAME?</v>
      </c>
      <c r="O2162" s="8" t="e">
        <f ca="1">[1]!BexGetData("DP_1","003N8EMH8GTFRIVOG7KG9J3KE","GSON2119900018")</f>
        <v>#NAME?</v>
      </c>
      <c r="P2162" s="8" t="e">
        <f ca="1">[1]!BexGetData("DP_1","003N8EMH8GTFRIVOG7KG9J9VY","GSON2119900018")</f>
        <v>#NAME?</v>
      </c>
      <c r="Q2162" s="4" t="e">
        <f ca="1">[1]!BexGetData("DP_1","00O2TNJGODT0G5Z4TTKYMM5MT","GSON2119900018")</f>
        <v>#NAME?</v>
      </c>
      <c r="R2162" s="3" t="e">
        <f ca="1">[1]!BexGetData("DP_1","00O2TNJGODT0G5Z4TTKYMMBYD","GSON2119900018")</f>
        <v>#NAME?</v>
      </c>
      <c r="S2162" s="3" t="e">
        <f ca="1">[1]!BexGetData("DP_1","00O2TNJGODT0G5Z4TTKYMMI9X","GSON2119900018")</f>
        <v>#NAME?</v>
      </c>
      <c r="T2162" s="8" t="e">
        <f ca="1">[1]!BexGetData("DP_1","00O2TNJGODT0G5Z4TTKYMMOLH","GSON2119900018")</f>
        <v>#NAME?</v>
      </c>
      <c r="U2162" s="3" t="e">
        <f ca="1">[1]!BexGetData("DP_1","00O2TNJGODT0G5Z4TTKYMMUX1","GSON2119900018")</f>
        <v>#NAME?</v>
      </c>
      <c r="V2162" s="8" t="e">
        <f ca="1">[1]!BexGetData("DP_1","00O2TNJGODT0G5Z4TTKYMN18L","GSON2119900018")</f>
        <v>#NAME?</v>
      </c>
      <c r="W2162" s="3" t="e">
        <f ca="1">[1]!BexGetData("DP_1","00O2TNJGODT0G5Z4TTKYMN7K5","GSON2119900018")</f>
        <v>#NAME?</v>
      </c>
    </row>
    <row r="2163" spans="1:23" x14ac:dyDescent="0.2">
      <c r="A2163" s="17" t="s">
        <v>4839</v>
      </c>
      <c r="B2163" s="7" t="s">
        <v>4840</v>
      </c>
      <c r="C2163" s="3" t="e">
        <f ca="1">[1]!BexGetData("DP_1","003N8EMH8GTFRCSWKMPXRR8GU","GSON2119900020")</f>
        <v>#NAME?</v>
      </c>
      <c r="D2163" s="3" t="e">
        <f ca="1">[1]!BexGetData("DP_1","003N8EMH8GTFRCSWKMPXRRESE","GSON2119900020")</f>
        <v>#NAME?</v>
      </c>
      <c r="E2163" s="3" t="e">
        <f ca="1">[1]!BexGetData("DP_1","003N8EMH8GTFRCSWKMPXRRL3Y","GSON2119900020")</f>
        <v>#NAME?</v>
      </c>
      <c r="F2163" s="4" t="e">
        <f ca="1">[1]!BexGetData("DP_1","003N8EMH8GTFRCSWKMPXRRRFI","GSON2119900020")</f>
        <v>#NAME?</v>
      </c>
      <c r="G2163" s="4" t="e">
        <f ca="1">[1]!BexGetData("DP_1","003N8EMH8GTFRCSWKMPXRRXR2","GSON2119900020")</f>
        <v>#NAME?</v>
      </c>
      <c r="H2163" s="4" t="e">
        <f ca="1">[1]!BexGetData("DP_1","003N8EMH8GTFRCSWKMPXRS42M","GSON2119900020")</f>
        <v>#NAME?</v>
      </c>
      <c r="I2163" s="4" t="e">
        <f ca="1">[1]!BexGetData("DP_1","003N8EMH8GTFRCSWKMPXRSAE6","GSON2119900020")</f>
        <v>#NAME?</v>
      </c>
      <c r="J2163" s="4" t="e">
        <f ca="1">[1]!BexGetData("DP_1","003N8EMH8GTFRCSWKMPXRSGPQ","GSON2119900020")</f>
        <v>#NAME?</v>
      </c>
      <c r="K2163" s="3" t="e">
        <f ca="1">[1]!BexGetData("DP_1","003N8EMH8GTFRIVNUPY288VJH","GSON2119900020")</f>
        <v>#NAME?</v>
      </c>
      <c r="L2163" s="3" t="e">
        <f ca="1">[1]!BexGetData("DP_1","003N8EMH8GTFRIVNUPY2891V1","GSON2119900020")</f>
        <v>#NAME?</v>
      </c>
      <c r="M2163" s="3" t="e">
        <f ca="1">[1]!BexGetData("DP_1","003N8EMH8GTFRIVOG7KG9IQXA","GSON2119900020")</f>
        <v>#NAME?</v>
      </c>
      <c r="N2163" s="8" t="e">
        <f ca="1">[1]!BexGetData("DP_1","003N8EMH8GTFRIVOG7KG9IX8U","GSON2119900020")</f>
        <v>#NAME?</v>
      </c>
      <c r="O2163" s="3" t="e">
        <f ca="1">[1]!BexGetData("DP_1","003N8EMH8GTFRIVOG7KG9J3KE","GSON2119900020")</f>
        <v>#NAME?</v>
      </c>
      <c r="P2163" s="8" t="e">
        <f ca="1">[1]!BexGetData("DP_1","003N8EMH8GTFRIVOG7KG9J9VY","GSON2119900020")</f>
        <v>#NAME?</v>
      </c>
      <c r="Q2163" s="4" t="e">
        <f ca="1">[1]!BexGetData("DP_1","00O2TNJGODT0G5Z4TTKYMM5MT","GSON2119900020")</f>
        <v>#NAME?</v>
      </c>
      <c r="R2163" s="4" t="e">
        <f ca="1">[1]!BexGetData("DP_1","00O2TNJGODT0G5Z4TTKYMMBYD","GSON2119900020")</f>
        <v>#NAME?</v>
      </c>
      <c r="S2163" s="4" t="e">
        <f ca="1">[1]!BexGetData("DP_1","00O2TNJGODT0G5Z4TTKYMMI9X","GSON2119900020")</f>
        <v>#NAME?</v>
      </c>
      <c r="T2163" s="4" t="e">
        <f ca="1">[1]!BexGetData("DP_1","00O2TNJGODT0G5Z4TTKYMMOLH","GSON2119900020")</f>
        <v>#NAME?</v>
      </c>
      <c r="U2163" s="4" t="e">
        <f ca="1">[1]!BexGetData("DP_1","00O2TNJGODT0G5Z4TTKYMMUX1","GSON2119900020")</f>
        <v>#NAME?</v>
      </c>
      <c r="V2163" s="4" t="e">
        <f ca="1">[1]!BexGetData("DP_1","00O2TNJGODT0G5Z4TTKYMN18L","GSON2119900020")</f>
        <v>#NAME?</v>
      </c>
      <c r="W2163" s="4" t="e">
        <f ca="1">[1]!BexGetData("DP_1","00O2TNJGODT0G5Z4TTKYMN7K5","GSON2119900020")</f>
        <v>#NAME?</v>
      </c>
    </row>
    <row r="2164" spans="1:23" x14ac:dyDescent="0.2">
      <c r="A2164" s="17" t="s">
        <v>4841</v>
      </c>
      <c r="B2164" s="7" t="s">
        <v>4842</v>
      </c>
      <c r="C2164" s="3" t="e">
        <f ca="1">[1]!BexGetData("DP_1","003N8EMH8GTFRCSWKMPXRR8GU","GSON2119900021")</f>
        <v>#NAME?</v>
      </c>
      <c r="D2164" s="3" t="e">
        <f ca="1">[1]!BexGetData("DP_1","003N8EMH8GTFRCSWKMPXRRESE","GSON2119900021")</f>
        <v>#NAME?</v>
      </c>
      <c r="E2164" s="3" t="e">
        <f ca="1">[1]!BexGetData("DP_1","003N8EMH8GTFRCSWKMPXRRL3Y","GSON2119900021")</f>
        <v>#NAME?</v>
      </c>
      <c r="F2164" s="4" t="e">
        <f ca="1">[1]!BexGetData("DP_1","003N8EMH8GTFRCSWKMPXRRRFI","GSON2119900021")</f>
        <v>#NAME?</v>
      </c>
      <c r="G2164" s="4" t="e">
        <f ca="1">[1]!BexGetData("DP_1","003N8EMH8GTFRCSWKMPXRRXR2","GSON2119900021")</f>
        <v>#NAME?</v>
      </c>
      <c r="H2164" s="4" t="e">
        <f ca="1">[1]!BexGetData("DP_1","003N8EMH8GTFRCSWKMPXRS42M","GSON2119900021")</f>
        <v>#NAME?</v>
      </c>
      <c r="I2164" s="4" t="e">
        <f ca="1">[1]!BexGetData("DP_1","003N8EMH8GTFRCSWKMPXRSAE6","GSON2119900021")</f>
        <v>#NAME?</v>
      </c>
      <c r="J2164" s="4" t="e">
        <f ca="1">[1]!BexGetData("DP_1","003N8EMH8GTFRCSWKMPXRSGPQ","GSON2119900021")</f>
        <v>#NAME?</v>
      </c>
      <c r="K2164" s="3" t="e">
        <f ca="1">[1]!BexGetData("DP_1","003N8EMH8GTFRIVNUPY288VJH","GSON2119900021")</f>
        <v>#NAME?</v>
      </c>
      <c r="L2164" s="3" t="e">
        <f ca="1">[1]!BexGetData("DP_1","003N8EMH8GTFRIVNUPY2891V1","GSON2119900021")</f>
        <v>#NAME?</v>
      </c>
      <c r="M2164" s="3" t="e">
        <f ca="1">[1]!BexGetData("DP_1","003N8EMH8GTFRIVOG7KG9IQXA","GSON2119900021")</f>
        <v>#NAME?</v>
      </c>
      <c r="N2164" s="8" t="e">
        <f ca="1">[1]!BexGetData("DP_1","003N8EMH8GTFRIVOG7KG9IX8U","GSON2119900021")</f>
        <v>#NAME?</v>
      </c>
      <c r="O2164" s="3" t="e">
        <f ca="1">[1]!BexGetData("DP_1","003N8EMH8GTFRIVOG7KG9J3KE","GSON2119900021")</f>
        <v>#NAME?</v>
      </c>
      <c r="P2164" s="8" t="e">
        <f ca="1">[1]!BexGetData("DP_1","003N8EMH8GTFRIVOG7KG9J9VY","GSON2119900021")</f>
        <v>#NAME?</v>
      </c>
      <c r="Q2164" s="4" t="e">
        <f ca="1">[1]!BexGetData("DP_1","00O2TNJGODT0G5Z4TTKYMM5MT","GSON2119900021")</f>
        <v>#NAME?</v>
      </c>
      <c r="R2164" s="4" t="e">
        <f ca="1">[1]!BexGetData("DP_1","00O2TNJGODT0G5Z4TTKYMMBYD","GSON2119900021")</f>
        <v>#NAME?</v>
      </c>
      <c r="S2164" s="4" t="e">
        <f ca="1">[1]!BexGetData("DP_1","00O2TNJGODT0G5Z4TTKYMMI9X","GSON2119900021")</f>
        <v>#NAME?</v>
      </c>
      <c r="T2164" s="4" t="e">
        <f ca="1">[1]!BexGetData("DP_1","00O2TNJGODT0G5Z4TTKYMMOLH","GSON2119900021")</f>
        <v>#NAME?</v>
      </c>
      <c r="U2164" s="4" t="e">
        <f ca="1">[1]!BexGetData("DP_1","00O2TNJGODT0G5Z4TTKYMMUX1","GSON2119900021")</f>
        <v>#NAME?</v>
      </c>
      <c r="V2164" s="4" t="e">
        <f ca="1">[1]!BexGetData("DP_1","00O2TNJGODT0G5Z4TTKYMN18L","GSON2119900021")</f>
        <v>#NAME?</v>
      </c>
      <c r="W2164" s="4" t="e">
        <f ca="1">[1]!BexGetData("DP_1","00O2TNJGODT0G5Z4TTKYMN7K5","GSON2119900021")</f>
        <v>#NAME?</v>
      </c>
    </row>
    <row r="2165" spans="1:23" x14ac:dyDescent="0.2">
      <c r="A2165" s="17" t="s">
        <v>1435</v>
      </c>
      <c r="B2165" s="7" t="s">
        <v>1436</v>
      </c>
      <c r="C2165" s="3" t="e">
        <f ca="1">[1]!BexGetData("DP_1","003N8EMH8GTFRCSWKMPXRR8GU","GSON2119900022")</f>
        <v>#NAME?</v>
      </c>
      <c r="D2165" s="3" t="e">
        <f ca="1">[1]!BexGetData("DP_1","003N8EMH8GTFRCSWKMPXRRESE","GSON2119900022")</f>
        <v>#NAME?</v>
      </c>
      <c r="E2165" s="3" t="e">
        <f ca="1">[1]!BexGetData("DP_1","003N8EMH8GTFRCSWKMPXRRL3Y","GSON2119900022")</f>
        <v>#NAME?</v>
      </c>
      <c r="F2165" s="4" t="e">
        <f ca="1">[1]!BexGetData("DP_1","003N8EMH8GTFRCSWKMPXRRRFI","GSON2119900022")</f>
        <v>#NAME?</v>
      </c>
      <c r="G2165" s="4" t="e">
        <f ca="1">[1]!BexGetData("DP_1","003N8EMH8GTFRCSWKMPXRRXR2","GSON2119900022")</f>
        <v>#NAME?</v>
      </c>
      <c r="H2165" s="4" t="e">
        <f ca="1">[1]!BexGetData("DP_1","003N8EMH8GTFRCSWKMPXRS42M","GSON2119900022")</f>
        <v>#NAME?</v>
      </c>
      <c r="I2165" s="4" t="e">
        <f ca="1">[1]!BexGetData("DP_1","003N8EMH8GTFRCSWKMPXRSAE6","GSON2119900022")</f>
        <v>#NAME?</v>
      </c>
      <c r="J2165" s="4" t="e">
        <f ca="1">[1]!BexGetData("DP_1","003N8EMH8GTFRCSWKMPXRSGPQ","GSON2119900022")</f>
        <v>#NAME?</v>
      </c>
      <c r="K2165" s="3" t="e">
        <f ca="1">[1]!BexGetData("DP_1","003N8EMH8GTFRIVNUPY288VJH","GSON2119900022")</f>
        <v>#NAME?</v>
      </c>
      <c r="L2165" s="3" t="e">
        <f ca="1">[1]!BexGetData("DP_1","003N8EMH8GTFRIVNUPY2891V1","GSON2119900022")</f>
        <v>#NAME?</v>
      </c>
      <c r="M2165" s="3" t="e">
        <f ca="1">[1]!BexGetData("DP_1","003N8EMH8GTFRIVOG7KG9IQXA","GSON2119900022")</f>
        <v>#NAME?</v>
      </c>
      <c r="N2165" s="8" t="e">
        <f ca="1">[1]!BexGetData("DP_1","003N8EMH8GTFRIVOG7KG9IX8U","GSON2119900022")</f>
        <v>#NAME?</v>
      </c>
      <c r="O2165" s="3" t="e">
        <f ca="1">[1]!BexGetData("DP_1","003N8EMH8GTFRIVOG7KG9J3KE","GSON2119900022")</f>
        <v>#NAME?</v>
      </c>
      <c r="P2165" s="8" t="e">
        <f ca="1">[1]!BexGetData("DP_1","003N8EMH8GTFRIVOG7KG9J9VY","GSON2119900022")</f>
        <v>#NAME?</v>
      </c>
      <c r="Q2165" s="4" t="e">
        <f ca="1">[1]!BexGetData("DP_1","00O2TNJGODT0G5Z4TTKYMM5MT","GSON2119900022")</f>
        <v>#NAME?</v>
      </c>
      <c r="R2165" s="4" t="e">
        <f ca="1">[1]!BexGetData("DP_1","00O2TNJGODT0G5Z4TTKYMMBYD","GSON2119900022")</f>
        <v>#NAME?</v>
      </c>
      <c r="S2165" s="4" t="e">
        <f ca="1">[1]!BexGetData("DP_1","00O2TNJGODT0G5Z4TTKYMMI9X","GSON2119900022")</f>
        <v>#NAME?</v>
      </c>
      <c r="T2165" s="4" t="e">
        <f ca="1">[1]!BexGetData("DP_1","00O2TNJGODT0G5Z4TTKYMMOLH","GSON2119900022")</f>
        <v>#NAME?</v>
      </c>
      <c r="U2165" s="4" t="e">
        <f ca="1">[1]!BexGetData("DP_1","00O2TNJGODT0G5Z4TTKYMMUX1","GSON2119900022")</f>
        <v>#NAME?</v>
      </c>
      <c r="V2165" s="4" t="e">
        <f ca="1">[1]!BexGetData("DP_1","00O2TNJGODT0G5Z4TTKYMN18L","GSON2119900022")</f>
        <v>#NAME?</v>
      </c>
      <c r="W2165" s="4" t="e">
        <f ca="1">[1]!BexGetData("DP_1","00O2TNJGODT0G5Z4TTKYMN7K5","GSON2119900022")</f>
        <v>#NAME?</v>
      </c>
    </row>
    <row r="2166" spans="1:23" x14ac:dyDescent="0.2">
      <c r="A2166" s="17" t="s">
        <v>4843</v>
      </c>
      <c r="B2166" s="7" t="s">
        <v>4844</v>
      </c>
      <c r="C2166" s="3" t="e">
        <f ca="1">[1]!BexGetData("DP_1","003N8EMH8GTFRCSWKMPXRR8GU","GSON2119900023")</f>
        <v>#NAME?</v>
      </c>
      <c r="D2166" s="3" t="e">
        <f ca="1">[1]!BexGetData("DP_1","003N8EMH8GTFRCSWKMPXRRESE","GSON2119900023")</f>
        <v>#NAME?</v>
      </c>
      <c r="E2166" s="3" t="e">
        <f ca="1">[1]!BexGetData("DP_1","003N8EMH8GTFRCSWKMPXRRL3Y","GSON2119900023")</f>
        <v>#NAME?</v>
      </c>
      <c r="F2166" s="4" t="e">
        <f ca="1">[1]!BexGetData("DP_1","003N8EMH8GTFRCSWKMPXRRRFI","GSON2119900023")</f>
        <v>#NAME?</v>
      </c>
      <c r="G2166" s="4" t="e">
        <f ca="1">[1]!BexGetData("DP_1","003N8EMH8GTFRCSWKMPXRRXR2","GSON2119900023")</f>
        <v>#NAME?</v>
      </c>
      <c r="H2166" s="4" t="e">
        <f ca="1">[1]!BexGetData("DP_1","003N8EMH8GTFRCSWKMPXRS42M","GSON2119900023")</f>
        <v>#NAME?</v>
      </c>
      <c r="I2166" s="4" t="e">
        <f ca="1">[1]!BexGetData("DP_1","003N8EMH8GTFRCSWKMPXRSAE6","GSON2119900023")</f>
        <v>#NAME?</v>
      </c>
      <c r="J2166" s="4" t="e">
        <f ca="1">[1]!BexGetData("DP_1","003N8EMH8GTFRCSWKMPXRSGPQ","GSON2119900023")</f>
        <v>#NAME?</v>
      </c>
      <c r="K2166" s="3" t="e">
        <f ca="1">[1]!BexGetData("DP_1","003N8EMH8GTFRIVNUPY288VJH","GSON2119900023")</f>
        <v>#NAME?</v>
      </c>
      <c r="L2166" s="3" t="e">
        <f ca="1">[1]!BexGetData("DP_1","003N8EMH8GTFRIVNUPY2891V1","GSON2119900023")</f>
        <v>#NAME?</v>
      </c>
      <c r="M2166" s="3" t="e">
        <f ca="1">[1]!BexGetData("DP_1","003N8EMH8GTFRIVOG7KG9IQXA","GSON2119900023")</f>
        <v>#NAME?</v>
      </c>
      <c r="N2166" s="8" t="e">
        <f ca="1">[1]!BexGetData("DP_1","003N8EMH8GTFRIVOG7KG9IX8U","GSON2119900023")</f>
        <v>#NAME?</v>
      </c>
      <c r="O2166" s="3" t="e">
        <f ca="1">[1]!BexGetData("DP_1","003N8EMH8GTFRIVOG7KG9J3KE","GSON2119900023")</f>
        <v>#NAME?</v>
      </c>
      <c r="P2166" s="8" t="e">
        <f ca="1">[1]!BexGetData("DP_1","003N8EMH8GTFRIVOG7KG9J9VY","GSON2119900023")</f>
        <v>#NAME?</v>
      </c>
      <c r="Q2166" s="4" t="e">
        <f ca="1">[1]!BexGetData("DP_1","00O2TNJGODT0G5Z4TTKYMM5MT","GSON2119900023")</f>
        <v>#NAME?</v>
      </c>
      <c r="R2166" s="4" t="e">
        <f ca="1">[1]!BexGetData("DP_1","00O2TNJGODT0G5Z4TTKYMMBYD","GSON2119900023")</f>
        <v>#NAME?</v>
      </c>
      <c r="S2166" s="4" t="e">
        <f ca="1">[1]!BexGetData("DP_1","00O2TNJGODT0G5Z4TTKYMMI9X","GSON2119900023")</f>
        <v>#NAME?</v>
      </c>
      <c r="T2166" s="4" t="e">
        <f ca="1">[1]!BexGetData("DP_1","00O2TNJGODT0G5Z4TTKYMMOLH","GSON2119900023")</f>
        <v>#NAME?</v>
      </c>
      <c r="U2166" s="4" t="e">
        <f ca="1">[1]!BexGetData("DP_1","00O2TNJGODT0G5Z4TTKYMMUX1","GSON2119900023")</f>
        <v>#NAME?</v>
      </c>
      <c r="V2166" s="4" t="e">
        <f ca="1">[1]!BexGetData("DP_1","00O2TNJGODT0G5Z4TTKYMN18L","GSON2119900023")</f>
        <v>#NAME?</v>
      </c>
      <c r="W2166" s="4" t="e">
        <f ca="1">[1]!BexGetData("DP_1","00O2TNJGODT0G5Z4TTKYMN7K5","GSON2119900023")</f>
        <v>#NAME?</v>
      </c>
    </row>
    <row r="2167" spans="1:23" x14ac:dyDescent="0.2">
      <c r="A2167" s="17" t="s">
        <v>4845</v>
      </c>
      <c r="B2167" s="7" t="s">
        <v>4846</v>
      </c>
      <c r="C2167" s="3" t="e">
        <f ca="1">[1]!BexGetData("DP_1","003N8EMH8GTFRCSWKMPXRR8GU","GSON2119900024")</f>
        <v>#NAME?</v>
      </c>
      <c r="D2167" s="8" t="e">
        <f ca="1">[1]!BexGetData("DP_1","003N8EMH8GTFRCSWKMPXRRESE","GSON2119900024")</f>
        <v>#NAME?</v>
      </c>
      <c r="E2167" s="3" t="e">
        <f ca="1">[1]!BexGetData("DP_1","003N8EMH8GTFRCSWKMPXRRL3Y","GSON2119900024")</f>
        <v>#NAME?</v>
      </c>
      <c r="F2167" s="3" t="e">
        <f ca="1">[1]!BexGetData("DP_1","003N8EMH8GTFRCSWKMPXRRRFI","GSON2119900024")</f>
        <v>#NAME?</v>
      </c>
      <c r="G2167" s="3" t="e">
        <f ca="1">[1]!BexGetData("DP_1","003N8EMH8GTFRCSWKMPXRRXR2","GSON2119900024")</f>
        <v>#NAME?</v>
      </c>
      <c r="H2167" s="3" t="e">
        <f ca="1">[1]!BexGetData("DP_1","003N8EMH8GTFRCSWKMPXRS42M","GSON2119900024")</f>
        <v>#NAME?</v>
      </c>
      <c r="I2167" s="3" t="e">
        <f ca="1">[1]!BexGetData("DP_1","003N8EMH8GTFRCSWKMPXRSAE6","GSON2119900024")</f>
        <v>#NAME?</v>
      </c>
      <c r="J2167" s="4" t="e">
        <f ca="1">[1]!BexGetData("DP_1","003N8EMH8GTFRCSWKMPXRSGPQ","GSON2119900024")</f>
        <v>#NAME?</v>
      </c>
      <c r="K2167" s="3" t="e">
        <f ca="1">[1]!BexGetData("DP_1","003N8EMH8GTFRIVNUPY288VJH","GSON2119900024")</f>
        <v>#NAME?</v>
      </c>
      <c r="L2167" s="3" t="e">
        <f ca="1">[1]!BexGetData("DP_1","003N8EMH8GTFRIVNUPY2891V1","GSON2119900024")</f>
        <v>#NAME?</v>
      </c>
      <c r="M2167" s="8" t="e">
        <f ca="1">[1]!BexGetData("DP_1","003N8EMH8GTFRIVOG7KG9IQXA","GSON2119900024")</f>
        <v>#NAME?</v>
      </c>
      <c r="N2167" s="3" t="e">
        <f ca="1">[1]!BexGetData("DP_1","003N8EMH8GTFRIVOG7KG9IX8U","GSON2119900024")</f>
        <v>#NAME?</v>
      </c>
      <c r="O2167" s="8" t="e">
        <f ca="1">[1]!BexGetData("DP_1","003N8EMH8GTFRIVOG7KG9J3KE","GSON2119900024")</f>
        <v>#NAME?</v>
      </c>
      <c r="P2167" s="3" t="e">
        <f ca="1">[1]!BexGetData("DP_1","003N8EMH8GTFRIVOG7KG9J9VY","GSON2119900024")</f>
        <v>#NAME?</v>
      </c>
      <c r="Q2167" s="4" t="e">
        <f ca="1">[1]!BexGetData("DP_1","00O2TNJGODT0G5Z4TTKYMM5MT","GSON2119900024")</f>
        <v>#NAME?</v>
      </c>
      <c r="R2167" s="3" t="e">
        <f ca="1">[1]!BexGetData("DP_1","00O2TNJGODT0G5Z4TTKYMMBYD","GSON2119900024")</f>
        <v>#NAME?</v>
      </c>
      <c r="S2167" s="3" t="e">
        <f ca="1">[1]!BexGetData("DP_1","00O2TNJGODT0G5Z4TTKYMMI9X","GSON2119900024")</f>
        <v>#NAME?</v>
      </c>
      <c r="T2167" s="3" t="e">
        <f ca="1">[1]!BexGetData("DP_1","00O2TNJGODT0G5Z4TTKYMMOLH","GSON2119900024")</f>
        <v>#NAME?</v>
      </c>
      <c r="U2167" s="8" t="e">
        <f ca="1">[1]!BexGetData("DP_1","00O2TNJGODT0G5Z4TTKYMMUX1","GSON2119900024")</f>
        <v>#NAME?</v>
      </c>
      <c r="V2167" s="3" t="e">
        <f ca="1">[1]!BexGetData("DP_1","00O2TNJGODT0G5Z4TTKYMN18L","GSON2119900024")</f>
        <v>#NAME?</v>
      </c>
      <c r="W2167" s="8" t="e">
        <f ca="1">[1]!BexGetData("DP_1","00O2TNJGODT0G5Z4TTKYMN7K5","GSON2119900024")</f>
        <v>#NAME?</v>
      </c>
    </row>
    <row r="2168" spans="1:23" x14ac:dyDescent="0.2">
      <c r="A2168" s="17" t="s">
        <v>4847</v>
      </c>
      <c r="B2168" s="7" t="s">
        <v>4848</v>
      </c>
      <c r="C2168" s="3" t="e">
        <f ca="1">[1]!BexGetData("DP_1","003N8EMH8GTFRCSWKMPXRR8GU","GSON2119900025")</f>
        <v>#NAME?</v>
      </c>
      <c r="D2168" s="3" t="e">
        <f ca="1">[1]!BexGetData("DP_1","003N8EMH8GTFRCSWKMPXRRESE","GSON2119900025")</f>
        <v>#NAME?</v>
      </c>
      <c r="E2168" s="3" t="e">
        <f ca="1">[1]!BexGetData("DP_1","003N8EMH8GTFRCSWKMPXRRL3Y","GSON2119900025")</f>
        <v>#NAME?</v>
      </c>
      <c r="F2168" s="3" t="e">
        <f ca="1">[1]!BexGetData("DP_1","003N8EMH8GTFRCSWKMPXRRRFI","GSON2119900025")</f>
        <v>#NAME?</v>
      </c>
      <c r="G2168" s="3" t="e">
        <f ca="1">[1]!BexGetData("DP_1","003N8EMH8GTFRCSWKMPXRRXR2","GSON2119900025")</f>
        <v>#NAME?</v>
      </c>
      <c r="H2168" s="3" t="e">
        <f ca="1">[1]!BexGetData("DP_1","003N8EMH8GTFRCSWKMPXRS42M","GSON2119900025")</f>
        <v>#NAME?</v>
      </c>
      <c r="I2168" s="3" t="e">
        <f ca="1">[1]!BexGetData("DP_1","003N8EMH8GTFRCSWKMPXRSAE6","GSON2119900025")</f>
        <v>#NAME?</v>
      </c>
      <c r="J2168" s="4" t="e">
        <f ca="1">[1]!BexGetData("DP_1","003N8EMH8GTFRCSWKMPXRSGPQ","GSON2119900025")</f>
        <v>#NAME?</v>
      </c>
      <c r="K2168" s="3" t="e">
        <f ca="1">[1]!BexGetData("DP_1","003N8EMH8GTFRIVNUPY288VJH","GSON2119900025")</f>
        <v>#NAME?</v>
      </c>
      <c r="L2168" s="3" t="e">
        <f ca="1">[1]!BexGetData("DP_1","003N8EMH8GTFRIVNUPY2891V1","GSON2119900025")</f>
        <v>#NAME?</v>
      </c>
      <c r="M2168" s="8" t="e">
        <f ca="1">[1]!BexGetData("DP_1","003N8EMH8GTFRIVOG7KG9IQXA","GSON2119900025")</f>
        <v>#NAME?</v>
      </c>
      <c r="N2168" s="3" t="e">
        <f ca="1">[1]!BexGetData("DP_1","003N8EMH8GTFRIVOG7KG9IX8U","GSON2119900025")</f>
        <v>#NAME?</v>
      </c>
      <c r="O2168" s="8" t="e">
        <f ca="1">[1]!BexGetData("DP_1","003N8EMH8GTFRIVOG7KG9J3KE","GSON2119900025")</f>
        <v>#NAME?</v>
      </c>
      <c r="P2168" s="3" t="e">
        <f ca="1">[1]!BexGetData("DP_1","003N8EMH8GTFRIVOG7KG9J9VY","GSON2119900025")</f>
        <v>#NAME?</v>
      </c>
      <c r="Q2168" s="4" t="e">
        <f ca="1">[1]!BexGetData("DP_1","00O2TNJGODT0G5Z4TTKYMM5MT","GSON2119900025")</f>
        <v>#NAME?</v>
      </c>
      <c r="R2168" s="3" t="e">
        <f ca="1">[1]!BexGetData("DP_1","00O2TNJGODT0G5Z4TTKYMMBYD","GSON2119900025")</f>
        <v>#NAME?</v>
      </c>
      <c r="S2168" s="3" t="e">
        <f ca="1">[1]!BexGetData("DP_1","00O2TNJGODT0G5Z4TTKYMMI9X","GSON2119900025")</f>
        <v>#NAME?</v>
      </c>
      <c r="T2168" s="3" t="e">
        <f ca="1">[1]!BexGetData("DP_1","00O2TNJGODT0G5Z4TTKYMMOLH","GSON2119900025")</f>
        <v>#NAME?</v>
      </c>
      <c r="U2168" s="8" t="e">
        <f ca="1">[1]!BexGetData("DP_1","00O2TNJGODT0G5Z4TTKYMMUX1","GSON2119900025")</f>
        <v>#NAME?</v>
      </c>
      <c r="V2168" s="3" t="e">
        <f ca="1">[1]!BexGetData("DP_1","00O2TNJGODT0G5Z4TTKYMN18L","GSON2119900025")</f>
        <v>#NAME?</v>
      </c>
      <c r="W2168" s="8" t="e">
        <f ca="1">[1]!BexGetData("DP_1","00O2TNJGODT0G5Z4TTKYMN7K5","GSON2119900025")</f>
        <v>#NAME?</v>
      </c>
    </row>
    <row r="2169" spans="1:23" x14ac:dyDescent="0.2">
      <c r="A2169" s="17" t="s">
        <v>4849</v>
      </c>
      <c r="B2169" s="7" t="s">
        <v>4850</v>
      </c>
      <c r="C2169" s="3" t="e">
        <f ca="1">[1]!BexGetData("DP_1","003N8EMH8GTFRCSWKMPXRR8GU","GSON2119900026")</f>
        <v>#NAME?</v>
      </c>
      <c r="D2169" s="3" t="e">
        <f ca="1">[1]!BexGetData("DP_1","003N8EMH8GTFRCSWKMPXRRESE","GSON2119900026")</f>
        <v>#NAME?</v>
      </c>
      <c r="E2169" s="3" t="e">
        <f ca="1">[1]!BexGetData("DP_1","003N8EMH8GTFRCSWKMPXRRL3Y","GSON2119900026")</f>
        <v>#NAME?</v>
      </c>
      <c r="F2169" s="4" t="e">
        <f ca="1">[1]!BexGetData("DP_1","003N8EMH8GTFRCSWKMPXRRRFI","GSON2119900026")</f>
        <v>#NAME?</v>
      </c>
      <c r="G2169" s="4" t="e">
        <f ca="1">[1]!BexGetData("DP_1","003N8EMH8GTFRCSWKMPXRRXR2","GSON2119900026")</f>
        <v>#NAME?</v>
      </c>
      <c r="H2169" s="4" t="e">
        <f ca="1">[1]!BexGetData("DP_1","003N8EMH8GTFRCSWKMPXRS42M","GSON2119900026")</f>
        <v>#NAME?</v>
      </c>
      <c r="I2169" s="4" t="e">
        <f ca="1">[1]!BexGetData("DP_1","003N8EMH8GTFRCSWKMPXRSAE6","GSON2119900026")</f>
        <v>#NAME?</v>
      </c>
      <c r="J2169" s="4" t="e">
        <f ca="1">[1]!BexGetData("DP_1","003N8EMH8GTFRCSWKMPXRSGPQ","GSON2119900026")</f>
        <v>#NAME?</v>
      </c>
      <c r="K2169" s="3" t="e">
        <f ca="1">[1]!BexGetData("DP_1","003N8EMH8GTFRIVNUPY288VJH","GSON2119900026")</f>
        <v>#NAME?</v>
      </c>
      <c r="L2169" s="3" t="e">
        <f ca="1">[1]!BexGetData("DP_1","003N8EMH8GTFRIVNUPY2891V1","GSON2119900026")</f>
        <v>#NAME?</v>
      </c>
      <c r="M2169" s="3" t="e">
        <f ca="1">[1]!BexGetData("DP_1","003N8EMH8GTFRIVOG7KG9IQXA","GSON2119900026")</f>
        <v>#NAME?</v>
      </c>
      <c r="N2169" s="8" t="e">
        <f ca="1">[1]!BexGetData("DP_1","003N8EMH8GTFRIVOG7KG9IX8U","GSON2119900026")</f>
        <v>#NAME?</v>
      </c>
      <c r="O2169" s="3" t="e">
        <f ca="1">[1]!BexGetData("DP_1","003N8EMH8GTFRIVOG7KG9J3KE","GSON2119900026")</f>
        <v>#NAME?</v>
      </c>
      <c r="P2169" s="8" t="e">
        <f ca="1">[1]!BexGetData("DP_1","003N8EMH8GTFRIVOG7KG9J9VY","GSON2119900026")</f>
        <v>#NAME?</v>
      </c>
      <c r="Q2169" s="4" t="e">
        <f ca="1">[1]!BexGetData("DP_1","00O2TNJGODT0G5Z4TTKYMM5MT","GSON2119900026")</f>
        <v>#NAME?</v>
      </c>
      <c r="R2169" s="4" t="e">
        <f ca="1">[1]!BexGetData("DP_1","00O2TNJGODT0G5Z4TTKYMMBYD","GSON2119900026")</f>
        <v>#NAME?</v>
      </c>
      <c r="S2169" s="4" t="e">
        <f ca="1">[1]!BexGetData("DP_1","00O2TNJGODT0G5Z4TTKYMMI9X","GSON2119900026")</f>
        <v>#NAME?</v>
      </c>
      <c r="T2169" s="4" t="e">
        <f ca="1">[1]!BexGetData("DP_1","00O2TNJGODT0G5Z4TTKYMMOLH","GSON2119900026")</f>
        <v>#NAME?</v>
      </c>
      <c r="U2169" s="4" t="e">
        <f ca="1">[1]!BexGetData("DP_1","00O2TNJGODT0G5Z4TTKYMMUX1","GSON2119900026")</f>
        <v>#NAME?</v>
      </c>
      <c r="V2169" s="4" t="e">
        <f ca="1">[1]!BexGetData("DP_1","00O2TNJGODT0G5Z4TTKYMN18L","GSON2119900026")</f>
        <v>#NAME?</v>
      </c>
      <c r="W2169" s="4" t="e">
        <f ca="1">[1]!BexGetData("DP_1","00O2TNJGODT0G5Z4TTKYMN7K5","GSON2119900026")</f>
        <v>#NAME?</v>
      </c>
    </row>
    <row r="2170" spans="1:23" x14ac:dyDescent="0.2">
      <c r="A2170" s="15" t="s">
        <v>365</v>
      </c>
      <c r="B2170" s="7" t="s">
        <v>366</v>
      </c>
      <c r="C2170" s="3" t="e">
        <f ca="1">[1]!BexGetData("DP_1","003N8EMH8GTFRCSWKMPXRR8GU","GSON212")</f>
        <v>#NAME?</v>
      </c>
      <c r="D2170" s="3" t="e">
        <f ca="1">[1]!BexGetData("DP_1","003N8EMH8GTFRCSWKMPXRRESE","GSON212")</f>
        <v>#NAME?</v>
      </c>
      <c r="E2170" s="3" t="e">
        <f ca="1">[1]!BexGetData("DP_1","003N8EMH8GTFRCSWKMPXRRL3Y","GSON212")</f>
        <v>#NAME?</v>
      </c>
      <c r="F2170" s="3" t="e">
        <f ca="1">[1]!BexGetData("DP_1","003N8EMH8GTFRCSWKMPXRRRFI","GSON212")</f>
        <v>#NAME?</v>
      </c>
      <c r="G2170" s="3" t="e">
        <f ca="1">[1]!BexGetData("DP_1","003N8EMH8GTFRCSWKMPXRRXR2","GSON212")</f>
        <v>#NAME?</v>
      </c>
      <c r="H2170" s="3" t="e">
        <f ca="1">[1]!BexGetData("DP_1","003N8EMH8GTFRCSWKMPXRS42M","GSON212")</f>
        <v>#NAME?</v>
      </c>
      <c r="I2170" s="3" t="e">
        <f ca="1">[1]!BexGetData("DP_1","003N8EMH8GTFRCSWKMPXRSAE6","GSON212")</f>
        <v>#NAME?</v>
      </c>
      <c r="J2170" s="4" t="e">
        <f ca="1">[1]!BexGetData("DP_1","003N8EMH8GTFRCSWKMPXRSGPQ","GSON212")</f>
        <v>#NAME?</v>
      </c>
      <c r="K2170" s="3" t="e">
        <f ca="1">[1]!BexGetData("DP_1","003N8EMH8GTFRIVNUPY288VJH","GSON212")</f>
        <v>#NAME?</v>
      </c>
      <c r="L2170" s="3" t="e">
        <f ca="1">[1]!BexGetData("DP_1","003N8EMH8GTFRIVNUPY2891V1","GSON212")</f>
        <v>#NAME?</v>
      </c>
      <c r="M2170" s="3" t="e">
        <f ca="1">[1]!BexGetData("DP_1","003N8EMH8GTFRIVOG7KG9IQXA","GSON212")</f>
        <v>#NAME?</v>
      </c>
      <c r="N2170" s="8" t="e">
        <f ca="1">[1]!BexGetData("DP_1","003N8EMH8GTFRIVOG7KG9IX8U","GSON212")</f>
        <v>#NAME?</v>
      </c>
      <c r="O2170" s="3" t="e">
        <f ca="1">[1]!BexGetData("DP_1","003N8EMH8GTFRIVOG7KG9J3KE","GSON212")</f>
        <v>#NAME?</v>
      </c>
      <c r="P2170" s="8" t="e">
        <f ca="1">[1]!BexGetData("DP_1","003N8EMH8GTFRIVOG7KG9J9VY","GSON212")</f>
        <v>#NAME?</v>
      </c>
      <c r="Q2170" s="4" t="e">
        <f ca="1">[1]!BexGetData("DP_1","00O2TNJGODT0G5Z4TTKYMM5MT","GSON212")</f>
        <v>#NAME?</v>
      </c>
      <c r="R2170" s="3" t="e">
        <f ca="1">[1]!BexGetData("DP_1","00O2TNJGODT0G5Z4TTKYMMBYD","GSON212")</f>
        <v>#NAME?</v>
      </c>
      <c r="S2170" s="3" t="e">
        <f ca="1">[1]!BexGetData("DP_1","00O2TNJGODT0G5Z4TTKYMMI9X","GSON212")</f>
        <v>#NAME?</v>
      </c>
      <c r="T2170" s="3" t="e">
        <f ca="1">[1]!BexGetData("DP_1","00O2TNJGODT0G5Z4TTKYMMOLH","GSON212")</f>
        <v>#NAME?</v>
      </c>
      <c r="U2170" s="8" t="e">
        <f ca="1">[1]!BexGetData("DP_1","00O2TNJGODT0G5Z4TTKYMMUX1","GSON212")</f>
        <v>#NAME?</v>
      </c>
      <c r="V2170" s="3" t="e">
        <f ca="1">[1]!BexGetData("DP_1","00O2TNJGODT0G5Z4TTKYMN18L","GSON212")</f>
        <v>#NAME?</v>
      </c>
      <c r="W2170" s="8" t="e">
        <f ca="1">[1]!BexGetData("DP_1","00O2TNJGODT0G5Z4TTKYMN7K5","GSON212")</f>
        <v>#NAME?</v>
      </c>
    </row>
    <row r="2171" spans="1:23" x14ac:dyDescent="0.2">
      <c r="A2171" s="16" t="s">
        <v>367</v>
      </c>
      <c r="B2171" s="7" t="s">
        <v>368</v>
      </c>
      <c r="C2171" s="3" t="e">
        <f ca="1">[1]!BexGetData("DP_1","003N8EMH8GTFRCSWKMPXRR8GU","GSON2121")</f>
        <v>#NAME?</v>
      </c>
      <c r="D2171" s="3" t="e">
        <f ca="1">[1]!BexGetData("DP_1","003N8EMH8GTFRCSWKMPXRRESE","GSON2121")</f>
        <v>#NAME?</v>
      </c>
      <c r="E2171" s="3" t="e">
        <f ca="1">[1]!BexGetData("DP_1","003N8EMH8GTFRCSWKMPXRRL3Y","GSON2121")</f>
        <v>#NAME?</v>
      </c>
      <c r="F2171" s="3" t="e">
        <f ca="1">[1]!BexGetData("DP_1","003N8EMH8GTFRCSWKMPXRRRFI","GSON2121")</f>
        <v>#NAME?</v>
      </c>
      <c r="G2171" s="3" t="e">
        <f ca="1">[1]!BexGetData("DP_1","003N8EMH8GTFRCSWKMPXRRXR2","GSON2121")</f>
        <v>#NAME?</v>
      </c>
      <c r="H2171" s="3" t="e">
        <f ca="1">[1]!BexGetData("DP_1","003N8EMH8GTFRCSWKMPXRS42M","GSON2121")</f>
        <v>#NAME?</v>
      </c>
      <c r="I2171" s="3" t="e">
        <f ca="1">[1]!BexGetData("DP_1","003N8EMH8GTFRCSWKMPXRSAE6","GSON2121")</f>
        <v>#NAME?</v>
      </c>
      <c r="J2171" s="4" t="e">
        <f ca="1">[1]!BexGetData("DP_1","003N8EMH8GTFRCSWKMPXRSGPQ","GSON2121")</f>
        <v>#NAME?</v>
      </c>
      <c r="K2171" s="3" t="e">
        <f ca="1">[1]!BexGetData("DP_1","003N8EMH8GTFRIVNUPY288VJH","GSON2121")</f>
        <v>#NAME?</v>
      </c>
      <c r="L2171" s="3" t="e">
        <f ca="1">[1]!BexGetData("DP_1","003N8EMH8GTFRIVNUPY2891V1","GSON2121")</f>
        <v>#NAME?</v>
      </c>
      <c r="M2171" s="3" t="e">
        <f ca="1">[1]!BexGetData("DP_1","003N8EMH8GTFRIVOG7KG9IQXA","GSON2121")</f>
        <v>#NAME?</v>
      </c>
      <c r="N2171" s="8" t="e">
        <f ca="1">[1]!BexGetData("DP_1","003N8EMH8GTFRIVOG7KG9IX8U","GSON2121")</f>
        <v>#NAME?</v>
      </c>
      <c r="O2171" s="3" t="e">
        <f ca="1">[1]!BexGetData("DP_1","003N8EMH8GTFRIVOG7KG9J3KE","GSON2121")</f>
        <v>#NAME?</v>
      </c>
      <c r="P2171" s="8" t="e">
        <f ca="1">[1]!BexGetData("DP_1","003N8EMH8GTFRIVOG7KG9J9VY","GSON2121")</f>
        <v>#NAME?</v>
      </c>
      <c r="Q2171" s="4" t="e">
        <f ca="1">[1]!BexGetData("DP_1","00O2TNJGODT0G5Z4TTKYMM5MT","GSON2121")</f>
        <v>#NAME?</v>
      </c>
      <c r="R2171" s="3" t="e">
        <f ca="1">[1]!BexGetData("DP_1","00O2TNJGODT0G5Z4TTKYMMBYD","GSON2121")</f>
        <v>#NAME?</v>
      </c>
      <c r="S2171" s="3" t="e">
        <f ca="1">[1]!BexGetData("DP_1","00O2TNJGODT0G5Z4TTKYMMI9X","GSON2121")</f>
        <v>#NAME?</v>
      </c>
      <c r="T2171" s="3" t="e">
        <f ca="1">[1]!BexGetData("DP_1","00O2TNJGODT0G5Z4TTKYMMOLH","GSON2121")</f>
        <v>#NAME?</v>
      </c>
      <c r="U2171" s="8" t="e">
        <f ca="1">[1]!BexGetData("DP_1","00O2TNJGODT0G5Z4TTKYMMUX1","GSON2121")</f>
        <v>#NAME?</v>
      </c>
      <c r="V2171" s="3" t="e">
        <f ca="1">[1]!BexGetData("DP_1","00O2TNJGODT0G5Z4TTKYMN18L","GSON2121")</f>
        <v>#NAME?</v>
      </c>
      <c r="W2171" s="8" t="e">
        <f ca="1">[1]!BexGetData("DP_1","00O2TNJGODT0G5Z4TTKYMN7K5","GSON2121")</f>
        <v>#NAME?</v>
      </c>
    </row>
    <row r="2172" spans="1:23" x14ac:dyDescent="0.2">
      <c r="A2172" s="17" t="s">
        <v>1437</v>
      </c>
      <c r="B2172" s="7" t="s">
        <v>369</v>
      </c>
      <c r="C2172" s="3" t="e">
        <f ca="1">[1]!BexGetData("DP_1","003N8EMH8GTFRCSWKMPXRR8GU","GSON2121100001")</f>
        <v>#NAME?</v>
      </c>
      <c r="D2172" s="3" t="e">
        <f ca="1">[1]!BexGetData("DP_1","003N8EMH8GTFRCSWKMPXRRESE","GSON2121100001")</f>
        <v>#NAME?</v>
      </c>
      <c r="E2172" s="8" t="e">
        <f ca="1">[1]!BexGetData("DP_1","003N8EMH8GTFRCSWKMPXRRL3Y","GSON2121100001")</f>
        <v>#NAME?</v>
      </c>
      <c r="F2172" s="4" t="e">
        <f ca="1">[1]!BexGetData("DP_1","003N8EMH8GTFRCSWKMPXRRRFI","GSON2121100001")</f>
        <v>#NAME?</v>
      </c>
      <c r="G2172" s="4" t="e">
        <f ca="1">[1]!BexGetData("DP_1","003N8EMH8GTFRCSWKMPXRRXR2","GSON2121100001")</f>
        <v>#NAME?</v>
      </c>
      <c r="H2172" s="4" t="e">
        <f ca="1">[1]!BexGetData("DP_1","003N8EMH8GTFRCSWKMPXRS42M","GSON2121100001")</f>
        <v>#NAME?</v>
      </c>
      <c r="I2172" s="4" t="e">
        <f ca="1">[1]!BexGetData("DP_1","003N8EMH8GTFRCSWKMPXRSAE6","GSON2121100001")</f>
        <v>#NAME?</v>
      </c>
      <c r="J2172" s="4" t="e">
        <f ca="1">[1]!BexGetData("DP_1","003N8EMH8GTFRCSWKMPXRSGPQ","GSON2121100001")</f>
        <v>#NAME?</v>
      </c>
      <c r="K2172" s="8" t="e">
        <f ca="1">[1]!BexGetData("DP_1","003N8EMH8GTFRIVNUPY288VJH","GSON2121100001")</f>
        <v>#NAME?</v>
      </c>
      <c r="L2172" s="8" t="e">
        <f ca="1">[1]!BexGetData("DP_1","003N8EMH8GTFRIVNUPY2891V1","GSON2121100001")</f>
        <v>#NAME?</v>
      </c>
      <c r="M2172" s="8" t="e">
        <f ca="1">[1]!BexGetData("DP_1","003N8EMH8GTFRIVOG7KG9IQXA","GSON2121100001")</f>
        <v>#NAME?</v>
      </c>
      <c r="N2172" s="8" t="e">
        <f ca="1">[1]!BexGetData("DP_1","003N8EMH8GTFRIVOG7KG9IX8U","GSON2121100001")</f>
        <v>#NAME?</v>
      </c>
      <c r="O2172" s="8" t="e">
        <f ca="1">[1]!BexGetData("DP_1","003N8EMH8GTFRIVOG7KG9J3KE","GSON2121100001")</f>
        <v>#NAME?</v>
      </c>
      <c r="P2172" s="8" t="e">
        <f ca="1">[1]!BexGetData("DP_1","003N8EMH8GTFRIVOG7KG9J9VY","GSON2121100001")</f>
        <v>#NAME?</v>
      </c>
      <c r="Q2172" s="4" t="e">
        <f ca="1">[1]!BexGetData("DP_1","00O2TNJGODT0G5Z4TTKYMM5MT","GSON2121100001")</f>
        <v>#NAME?</v>
      </c>
      <c r="R2172" s="4" t="e">
        <f ca="1">[1]!BexGetData("DP_1","00O2TNJGODT0G5Z4TTKYMMBYD","GSON2121100001")</f>
        <v>#NAME?</v>
      </c>
      <c r="S2172" s="4" t="e">
        <f ca="1">[1]!BexGetData("DP_1","00O2TNJGODT0G5Z4TTKYMMI9X","GSON2121100001")</f>
        <v>#NAME?</v>
      </c>
      <c r="T2172" s="4" t="e">
        <f ca="1">[1]!BexGetData("DP_1","00O2TNJGODT0G5Z4TTKYMMOLH","GSON2121100001")</f>
        <v>#NAME?</v>
      </c>
      <c r="U2172" s="4" t="e">
        <f ca="1">[1]!BexGetData("DP_1","00O2TNJGODT0G5Z4TTKYMMUX1","GSON2121100001")</f>
        <v>#NAME?</v>
      </c>
      <c r="V2172" s="4" t="e">
        <f ca="1">[1]!BexGetData("DP_1","00O2TNJGODT0G5Z4TTKYMN18L","GSON2121100001")</f>
        <v>#NAME?</v>
      </c>
      <c r="W2172" s="4" t="e">
        <f ca="1">[1]!BexGetData("DP_1","00O2TNJGODT0G5Z4TTKYMN7K5","GSON2121100001")</f>
        <v>#NAME?</v>
      </c>
    </row>
    <row r="2173" spans="1:23" x14ac:dyDescent="0.2">
      <c r="A2173" s="17" t="s">
        <v>1437</v>
      </c>
      <c r="B2173" s="7" t="s">
        <v>487</v>
      </c>
      <c r="C2173" s="3" t="e">
        <f ca="1">[1]!BexGetData("DP_1","003N8EMH8GTFRCSWKMPXRR8GU","GSON2121100002")</f>
        <v>#NAME?</v>
      </c>
      <c r="D2173" s="3" t="e">
        <f ca="1">[1]!BexGetData("DP_1","003N8EMH8GTFRCSWKMPXRRESE","GSON2121100002")</f>
        <v>#NAME?</v>
      </c>
      <c r="E2173" s="3" t="e">
        <f ca="1">[1]!BexGetData("DP_1","003N8EMH8GTFRCSWKMPXRRL3Y","GSON2121100002")</f>
        <v>#NAME?</v>
      </c>
      <c r="F2173" s="3" t="e">
        <f ca="1">[1]!BexGetData("DP_1","003N8EMH8GTFRCSWKMPXRRRFI","GSON2121100002")</f>
        <v>#NAME?</v>
      </c>
      <c r="G2173" s="3" t="e">
        <f ca="1">[1]!BexGetData("DP_1","003N8EMH8GTFRCSWKMPXRRXR2","GSON2121100002")</f>
        <v>#NAME?</v>
      </c>
      <c r="H2173" s="3" t="e">
        <f ca="1">[1]!BexGetData("DP_1","003N8EMH8GTFRCSWKMPXRS42M","GSON2121100002")</f>
        <v>#NAME?</v>
      </c>
      <c r="I2173" s="3" t="e">
        <f ca="1">[1]!BexGetData("DP_1","003N8EMH8GTFRCSWKMPXRSAE6","GSON2121100002")</f>
        <v>#NAME?</v>
      </c>
      <c r="J2173" s="4" t="e">
        <f ca="1">[1]!BexGetData("DP_1","003N8EMH8GTFRCSWKMPXRSGPQ","GSON2121100002")</f>
        <v>#NAME?</v>
      </c>
      <c r="K2173" s="3" t="e">
        <f ca="1">[1]!BexGetData("DP_1","003N8EMH8GTFRIVNUPY288VJH","GSON2121100002")</f>
        <v>#NAME?</v>
      </c>
      <c r="L2173" s="3" t="e">
        <f ca="1">[1]!BexGetData("DP_1","003N8EMH8GTFRIVNUPY2891V1","GSON2121100002")</f>
        <v>#NAME?</v>
      </c>
      <c r="M2173" s="3" t="e">
        <f ca="1">[1]!BexGetData("DP_1","003N8EMH8GTFRIVOG7KG9IQXA","GSON2121100002")</f>
        <v>#NAME?</v>
      </c>
      <c r="N2173" s="8" t="e">
        <f ca="1">[1]!BexGetData("DP_1","003N8EMH8GTFRIVOG7KG9IX8U","GSON2121100002")</f>
        <v>#NAME?</v>
      </c>
      <c r="O2173" s="3" t="e">
        <f ca="1">[1]!BexGetData("DP_1","003N8EMH8GTFRIVOG7KG9J3KE","GSON2121100002")</f>
        <v>#NAME?</v>
      </c>
      <c r="P2173" s="8" t="e">
        <f ca="1">[1]!BexGetData("DP_1","003N8EMH8GTFRIVOG7KG9J9VY","GSON2121100002")</f>
        <v>#NAME?</v>
      </c>
      <c r="Q2173" s="4" t="e">
        <f ca="1">[1]!BexGetData("DP_1","00O2TNJGODT0G5Z4TTKYMM5MT","GSON2121100002")</f>
        <v>#NAME?</v>
      </c>
      <c r="R2173" s="3" t="e">
        <f ca="1">[1]!BexGetData("DP_1","00O2TNJGODT0G5Z4TTKYMMBYD","GSON2121100002")</f>
        <v>#NAME?</v>
      </c>
      <c r="S2173" s="3" t="e">
        <f ca="1">[1]!BexGetData("DP_1","00O2TNJGODT0G5Z4TTKYMMI9X","GSON2121100002")</f>
        <v>#NAME?</v>
      </c>
      <c r="T2173" s="3" t="e">
        <f ca="1">[1]!BexGetData("DP_1","00O2TNJGODT0G5Z4TTKYMMOLH","GSON2121100002")</f>
        <v>#NAME?</v>
      </c>
      <c r="U2173" s="8" t="e">
        <f ca="1">[1]!BexGetData("DP_1","00O2TNJGODT0G5Z4TTKYMMUX1","GSON2121100002")</f>
        <v>#NAME?</v>
      </c>
      <c r="V2173" s="3" t="e">
        <f ca="1">[1]!BexGetData("DP_1","00O2TNJGODT0G5Z4TTKYMN18L","GSON2121100002")</f>
        <v>#NAME?</v>
      </c>
      <c r="W2173" s="8" t="e">
        <f ca="1">[1]!BexGetData("DP_1","00O2TNJGODT0G5Z4TTKYMN7K5","GSON2121100002")</f>
        <v>#NAME?</v>
      </c>
    </row>
    <row r="2174" spans="1:23" x14ac:dyDescent="0.2">
      <c r="A2174" s="17" t="s">
        <v>490</v>
      </c>
      <c r="B2174" s="7" t="s">
        <v>1438</v>
      </c>
      <c r="C2174" s="3" t="e">
        <f ca="1">[1]!BexGetData("DP_1","003N8EMH8GTFRCSWKMPXRR8GU","GSON2121100004")</f>
        <v>#NAME?</v>
      </c>
      <c r="D2174" s="3" t="e">
        <f ca="1">[1]!BexGetData("DP_1","003N8EMH8GTFRCSWKMPXRRESE","GSON2121100004")</f>
        <v>#NAME?</v>
      </c>
      <c r="E2174" s="8" t="e">
        <f ca="1">[1]!BexGetData("DP_1","003N8EMH8GTFRCSWKMPXRRL3Y","GSON2121100004")</f>
        <v>#NAME?</v>
      </c>
      <c r="F2174" s="4" t="e">
        <f ca="1">[1]!BexGetData("DP_1","003N8EMH8GTFRCSWKMPXRRRFI","GSON2121100004")</f>
        <v>#NAME?</v>
      </c>
      <c r="G2174" s="4" t="e">
        <f ca="1">[1]!BexGetData("DP_1","003N8EMH8GTFRCSWKMPXRRXR2","GSON2121100004")</f>
        <v>#NAME?</v>
      </c>
      <c r="H2174" s="4" t="e">
        <f ca="1">[1]!BexGetData("DP_1","003N8EMH8GTFRCSWKMPXRS42M","GSON2121100004")</f>
        <v>#NAME?</v>
      </c>
      <c r="I2174" s="4" t="e">
        <f ca="1">[1]!BexGetData("DP_1","003N8EMH8GTFRCSWKMPXRSAE6","GSON2121100004")</f>
        <v>#NAME?</v>
      </c>
      <c r="J2174" s="4" t="e">
        <f ca="1">[1]!BexGetData("DP_1","003N8EMH8GTFRCSWKMPXRSGPQ","GSON2121100004")</f>
        <v>#NAME?</v>
      </c>
      <c r="K2174" s="8" t="e">
        <f ca="1">[1]!BexGetData("DP_1","003N8EMH8GTFRIVNUPY288VJH","GSON2121100004")</f>
        <v>#NAME?</v>
      </c>
      <c r="L2174" s="8" t="e">
        <f ca="1">[1]!BexGetData("DP_1","003N8EMH8GTFRIVNUPY2891V1","GSON2121100004")</f>
        <v>#NAME?</v>
      </c>
      <c r="M2174" s="8" t="e">
        <f ca="1">[1]!BexGetData("DP_1","003N8EMH8GTFRIVOG7KG9IQXA","GSON2121100004")</f>
        <v>#NAME?</v>
      </c>
      <c r="N2174" s="8" t="e">
        <f ca="1">[1]!BexGetData("DP_1","003N8EMH8GTFRIVOG7KG9IX8U","GSON2121100004")</f>
        <v>#NAME?</v>
      </c>
      <c r="O2174" s="8" t="e">
        <f ca="1">[1]!BexGetData("DP_1","003N8EMH8GTFRIVOG7KG9J3KE","GSON2121100004")</f>
        <v>#NAME?</v>
      </c>
      <c r="P2174" s="8" t="e">
        <f ca="1">[1]!BexGetData("DP_1","003N8EMH8GTFRIVOG7KG9J9VY","GSON2121100004")</f>
        <v>#NAME?</v>
      </c>
      <c r="Q2174" s="4" t="e">
        <f ca="1">[1]!BexGetData("DP_1","00O2TNJGODT0G5Z4TTKYMM5MT","GSON2121100004")</f>
        <v>#NAME?</v>
      </c>
      <c r="R2174" s="4" t="e">
        <f ca="1">[1]!BexGetData("DP_1","00O2TNJGODT0G5Z4TTKYMMBYD","GSON2121100004")</f>
        <v>#NAME?</v>
      </c>
      <c r="S2174" s="4" t="e">
        <f ca="1">[1]!BexGetData("DP_1","00O2TNJGODT0G5Z4TTKYMMI9X","GSON2121100004")</f>
        <v>#NAME?</v>
      </c>
      <c r="T2174" s="4" t="e">
        <f ca="1">[1]!BexGetData("DP_1","00O2TNJGODT0G5Z4TTKYMMOLH","GSON2121100004")</f>
        <v>#NAME?</v>
      </c>
      <c r="U2174" s="4" t="e">
        <f ca="1">[1]!BexGetData("DP_1","00O2TNJGODT0G5Z4TTKYMMUX1","GSON2121100004")</f>
        <v>#NAME?</v>
      </c>
      <c r="V2174" s="4" t="e">
        <f ca="1">[1]!BexGetData("DP_1","00O2TNJGODT0G5Z4TTKYMN18L","GSON2121100004")</f>
        <v>#NAME?</v>
      </c>
      <c r="W2174" s="4" t="e">
        <f ca="1">[1]!BexGetData("DP_1","00O2TNJGODT0G5Z4TTKYMN7K5","GSON2121100004")</f>
        <v>#NAME?</v>
      </c>
    </row>
    <row r="2175" spans="1:23" x14ac:dyDescent="0.2">
      <c r="A2175" s="16" t="s">
        <v>488</v>
      </c>
      <c r="B2175" s="7" t="s">
        <v>489</v>
      </c>
      <c r="C2175" s="3" t="e">
        <f ca="1">[1]!BexGetData("DP_1","003N8EMH8GTFRCSWKMPXRR8GU","GSON2129")</f>
        <v>#NAME?</v>
      </c>
      <c r="D2175" s="3" t="e">
        <f ca="1">[1]!BexGetData("DP_1","003N8EMH8GTFRCSWKMPXRRESE","GSON2129")</f>
        <v>#NAME?</v>
      </c>
      <c r="E2175" s="3" t="e">
        <f ca="1">[1]!BexGetData("DP_1","003N8EMH8GTFRCSWKMPXRRL3Y","GSON2129")</f>
        <v>#NAME?</v>
      </c>
      <c r="F2175" s="3" t="e">
        <f ca="1">[1]!BexGetData("DP_1","003N8EMH8GTFRCSWKMPXRRRFI","GSON2129")</f>
        <v>#NAME?</v>
      </c>
      <c r="G2175" s="3" t="e">
        <f ca="1">[1]!BexGetData("DP_1","003N8EMH8GTFRCSWKMPXRRXR2","GSON2129")</f>
        <v>#NAME?</v>
      </c>
      <c r="H2175" s="3" t="e">
        <f ca="1">[1]!BexGetData("DP_1","003N8EMH8GTFRCSWKMPXRS42M","GSON2129")</f>
        <v>#NAME?</v>
      </c>
      <c r="I2175" s="3" t="e">
        <f ca="1">[1]!BexGetData("DP_1","003N8EMH8GTFRCSWKMPXRSAE6","GSON2129")</f>
        <v>#NAME?</v>
      </c>
      <c r="J2175" s="4" t="e">
        <f ca="1">[1]!BexGetData("DP_1","003N8EMH8GTFRCSWKMPXRSGPQ","GSON2129")</f>
        <v>#NAME?</v>
      </c>
      <c r="K2175" s="3" t="e">
        <f ca="1">[1]!BexGetData("DP_1","003N8EMH8GTFRIVNUPY288VJH","GSON2129")</f>
        <v>#NAME?</v>
      </c>
      <c r="L2175" s="3" t="e">
        <f ca="1">[1]!BexGetData("DP_1","003N8EMH8GTFRIVNUPY2891V1","GSON2129")</f>
        <v>#NAME?</v>
      </c>
      <c r="M2175" s="8" t="e">
        <f ca="1">[1]!BexGetData("DP_1","003N8EMH8GTFRIVOG7KG9IQXA","GSON2129")</f>
        <v>#NAME?</v>
      </c>
      <c r="N2175" s="3" t="e">
        <f ca="1">[1]!BexGetData("DP_1","003N8EMH8GTFRIVOG7KG9IX8U","GSON2129")</f>
        <v>#NAME?</v>
      </c>
      <c r="O2175" s="8" t="e">
        <f ca="1">[1]!BexGetData("DP_1","003N8EMH8GTFRIVOG7KG9J3KE","GSON2129")</f>
        <v>#NAME?</v>
      </c>
      <c r="P2175" s="3" t="e">
        <f ca="1">[1]!BexGetData("DP_1","003N8EMH8GTFRIVOG7KG9J9VY","GSON2129")</f>
        <v>#NAME?</v>
      </c>
      <c r="Q2175" s="4" t="e">
        <f ca="1">[1]!BexGetData("DP_1","00O2TNJGODT0G5Z4TTKYMM5MT","GSON2129")</f>
        <v>#NAME?</v>
      </c>
      <c r="R2175" s="3" t="e">
        <f ca="1">[1]!BexGetData("DP_1","00O2TNJGODT0G5Z4TTKYMMBYD","GSON2129")</f>
        <v>#NAME?</v>
      </c>
      <c r="S2175" s="3" t="e">
        <f ca="1">[1]!BexGetData("DP_1","00O2TNJGODT0G5Z4TTKYMMI9X","GSON2129")</f>
        <v>#NAME?</v>
      </c>
      <c r="T2175" s="3" t="e">
        <f ca="1">[1]!BexGetData("DP_1","00O2TNJGODT0G5Z4TTKYMMOLH","GSON2129")</f>
        <v>#NAME?</v>
      </c>
      <c r="U2175" s="8" t="e">
        <f ca="1">[1]!BexGetData("DP_1","00O2TNJGODT0G5Z4TTKYMMUX1","GSON2129")</f>
        <v>#NAME?</v>
      </c>
      <c r="V2175" s="3" t="e">
        <f ca="1">[1]!BexGetData("DP_1","00O2TNJGODT0G5Z4TTKYMN18L","GSON2129")</f>
        <v>#NAME?</v>
      </c>
      <c r="W2175" s="8" t="e">
        <f ca="1">[1]!BexGetData("DP_1","00O2TNJGODT0G5Z4TTKYMN7K5","GSON2129")</f>
        <v>#NAME?</v>
      </c>
    </row>
    <row r="2176" spans="1:23" x14ac:dyDescent="0.2">
      <c r="A2176" s="17" t="s">
        <v>4851</v>
      </c>
      <c r="B2176" s="7" t="s">
        <v>4852</v>
      </c>
      <c r="C2176" s="3" t="e">
        <f ca="1">[1]!BexGetData("DP_1","003N8EMH8GTFRCSWKMPXRR8GU","GSON2129100001")</f>
        <v>#NAME?</v>
      </c>
      <c r="D2176" s="3" t="e">
        <f ca="1">[1]!BexGetData("DP_1","003N8EMH8GTFRCSWKMPXRRESE","GSON2129100001")</f>
        <v>#NAME?</v>
      </c>
      <c r="E2176" s="3" t="e">
        <f ca="1">[1]!BexGetData("DP_1","003N8EMH8GTFRCSWKMPXRRL3Y","GSON2129100001")</f>
        <v>#NAME?</v>
      </c>
      <c r="F2176" s="3" t="e">
        <f ca="1">[1]!BexGetData("DP_1","003N8EMH8GTFRCSWKMPXRRRFI","GSON2129100001")</f>
        <v>#NAME?</v>
      </c>
      <c r="G2176" s="3" t="e">
        <f ca="1">[1]!BexGetData("DP_1","003N8EMH8GTFRCSWKMPXRRXR2","GSON2129100001")</f>
        <v>#NAME?</v>
      </c>
      <c r="H2176" s="3" t="e">
        <f ca="1">[1]!BexGetData("DP_1","003N8EMH8GTFRCSWKMPXRS42M","GSON2129100001")</f>
        <v>#NAME?</v>
      </c>
      <c r="I2176" s="3" t="e">
        <f ca="1">[1]!BexGetData("DP_1","003N8EMH8GTFRCSWKMPXRSAE6","GSON2129100001")</f>
        <v>#NAME?</v>
      </c>
      <c r="J2176" s="4" t="e">
        <f ca="1">[1]!BexGetData("DP_1","003N8EMH8GTFRCSWKMPXRSGPQ","GSON2129100001")</f>
        <v>#NAME?</v>
      </c>
      <c r="K2176" s="3" t="e">
        <f ca="1">[1]!BexGetData("DP_1","003N8EMH8GTFRIVNUPY288VJH","GSON2129100001")</f>
        <v>#NAME?</v>
      </c>
      <c r="L2176" s="3" t="e">
        <f ca="1">[1]!BexGetData("DP_1","003N8EMH8GTFRIVNUPY2891V1","GSON2129100001")</f>
        <v>#NAME?</v>
      </c>
      <c r="M2176" s="8" t="e">
        <f ca="1">[1]!BexGetData("DP_1","003N8EMH8GTFRIVOG7KG9IQXA","GSON2129100001")</f>
        <v>#NAME?</v>
      </c>
      <c r="N2176" s="3" t="e">
        <f ca="1">[1]!BexGetData("DP_1","003N8EMH8GTFRIVOG7KG9IX8U","GSON2129100001")</f>
        <v>#NAME?</v>
      </c>
      <c r="O2176" s="8" t="e">
        <f ca="1">[1]!BexGetData("DP_1","003N8EMH8GTFRIVOG7KG9J3KE","GSON2129100001")</f>
        <v>#NAME?</v>
      </c>
      <c r="P2176" s="3" t="e">
        <f ca="1">[1]!BexGetData("DP_1","003N8EMH8GTFRIVOG7KG9J9VY","GSON2129100001")</f>
        <v>#NAME?</v>
      </c>
      <c r="Q2176" s="4" t="e">
        <f ca="1">[1]!BexGetData("DP_1","00O2TNJGODT0G5Z4TTKYMM5MT","GSON2129100001")</f>
        <v>#NAME?</v>
      </c>
      <c r="R2176" s="3" t="e">
        <f ca="1">[1]!BexGetData("DP_1","00O2TNJGODT0G5Z4TTKYMMBYD","GSON2129100001")</f>
        <v>#NAME?</v>
      </c>
      <c r="S2176" s="3" t="e">
        <f ca="1">[1]!BexGetData("DP_1","00O2TNJGODT0G5Z4TTKYMMI9X","GSON2129100001")</f>
        <v>#NAME?</v>
      </c>
      <c r="T2176" s="3" t="e">
        <f ca="1">[1]!BexGetData("DP_1","00O2TNJGODT0G5Z4TTKYMMOLH","GSON2129100001")</f>
        <v>#NAME?</v>
      </c>
      <c r="U2176" s="8" t="e">
        <f ca="1">[1]!BexGetData("DP_1","00O2TNJGODT0G5Z4TTKYMMUX1","GSON2129100001")</f>
        <v>#NAME?</v>
      </c>
      <c r="V2176" s="3" t="e">
        <f ca="1">[1]!BexGetData("DP_1","00O2TNJGODT0G5Z4TTKYMN18L","GSON2129100001")</f>
        <v>#NAME?</v>
      </c>
      <c r="W2176" s="8" t="e">
        <f ca="1">[1]!BexGetData("DP_1","00O2TNJGODT0G5Z4TTKYMN7K5","GSON2129100001")</f>
        <v>#NAME?</v>
      </c>
    </row>
    <row r="2177" spans="1:23" x14ac:dyDescent="0.2">
      <c r="A2177" s="15" t="s">
        <v>491</v>
      </c>
      <c r="B2177" s="7" t="s">
        <v>492</v>
      </c>
      <c r="C2177" s="3" t="e">
        <f ca="1">[1]!BexGetData("DP_1","003N8EMH8GTFRCSWKMPXRR8GU","GSON213")</f>
        <v>#NAME?</v>
      </c>
      <c r="D2177" s="3" t="e">
        <f ca="1">[1]!BexGetData("DP_1","003N8EMH8GTFRCSWKMPXRRESE","GSON213")</f>
        <v>#NAME?</v>
      </c>
      <c r="E2177" s="3" t="e">
        <f ca="1">[1]!BexGetData("DP_1","003N8EMH8GTFRCSWKMPXRRL3Y","GSON213")</f>
        <v>#NAME?</v>
      </c>
      <c r="F2177" s="3" t="e">
        <f ca="1">[1]!BexGetData("DP_1","003N8EMH8GTFRCSWKMPXRRRFI","GSON213")</f>
        <v>#NAME?</v>
      </c>
      <c r="G2177" s="8" t="e">
        <f ca="1">[1]!BexGetData("DP_1","003N8EMH8GTFRCSWKMPXRRXR2","GSON213")</f>
        <v>#NAME?</v>
      </c>
      <c r="H2177" s="3" t="e">
        <f ca="1">[1]!BexGetData("DP_1","003N8EMH8GTFRCSWKMPXRS42M","GSON213")</f>
        <v>#NAME?</v>
      </c>
      <c r="I2177" s="3" t="e">
        <f ca="1">[1]!BexGetData("DP_1","003N8EMH8GTFRCSWKMPXRSAE6","GSON213")</f>
        <v>#NAME?</v>
      </c>
      <c r="J2177" s="4" t="e">
        <f ca="1">[1]!BexGetData("DP_1","003N8EMH8GTFRCSWKMPXRSGPQ","GSON213")</f>
        <v>#NAME?</v>
      </c>
      <c r="K2177" s="3" t="e">
        <f ca="1">[1]!BexGetData("DP_1","003N8EMH8GTFRIVNUPY288VJH","GSON213")</f>
        <v>#NAME?</v>
      </c>
      <c r="L2177" s="3" t="e">
        <f ca="1">[1]!BexGetData("DP_1","003N8EMH8GTFRIVNUPY2891V1","GSON213")</f>
        <v>#NAME?</v>
      </c>
      <c r="M2177" s="3" t="e">
        <f ca="1">[1]!BexGetData("DP_1","003N8EMH8GTFRIVOG7KG9IQXA","GSON213")</f>
        <v>#NAME?</v>
      </c>
      <c r="N2177" s="8" t="e">
        <f ca="1">[1]!BexGetData("DP_1","003N8EMH8GTFRIVOG7KG9IX8U","GSON213")</f>
        <v>#NAME?</v>
      </c>
      <c r="O2177" s="3" t="e">
        <f ca="1">[1]!BexGetData("DP_1","003N8EMH8GTFRIVOG7KG9J3KE","GSON213")</f>
        <v>#NAME?</v>
      </c>
      <c r="P2177" s="8" t="e">
        <f ca="1">[1]!BexGetData("DP_1","003N8EMH8GTFRIVOG7KG9J9VY","GSON213")</f>
        <v>#NAME?</v>
      </c>
      <c r="Q2177" s="4" t="e">
        <f ca="1">[1]!BexGetData("DP_1","00O2TNJGODT0G5Z4TTKYMM5MT","GSON213")</f>
        <v>#NAME?</v>
      </c>
      <c r="R2177" s="3" t="e">
        <f ca="1">[1]!BexGetData("DP_1","00O2TNJGODT0G5Z4TTKYMMBYD","GSON213")</f>
        <v>#NAME?</v>
      </c>
      <c r="S2177" s="3" t="e">
        <f ca="1">[1]!BexGetData("DP_1","00O2TNJGODT0G5Z4TTKYMMI9X","GSON213")</f>
        <v>#NAME?</v>
      </c>
      <c r="T2177" s="3" t="e">
        <f ca="1">[1]!BexGetData("DP_1","00O2TNJGODT0G5Z4TTKYMMOLH","GSON213")</f>
        <v>#NAME?</v>
      </c>
      <c r="U2177" s="8" t="e">
        <f ca="1">[1]!BexGetData("DP_1","00O2TNJGODT0G5Z4TTKYMMUX1","GSON213")</f>
        <v>#NAME?</v>
      </c>
      <c r="V2177" s="3" t="e">
        <f ca="1">[1]!BexGetData("DP_1","00O2TNJGODT0G5Z4TTKYMN18L","GSON213")</f>
        <v>#NAME?</v>
      </c>
      <c r="W2177" s="8" t="e">
        <f ca="1">[1]!BexGetData("DP_1","00O2TNJGODT0G5Z4TTKYMN7K5","GSON213")</f>
        <v>#NAME?</v>
      </c>
    </row>
    <row r="2178" spans="1:23" x14ac:dyDescent="0.2">
      <c r="A2178" s="16" t="s">
        <v>493</v>
      </c>
      <c r="B2178" s="7" t="s">
        <v>494</v>
      </c>
      <c r="C2178" s="3" t="e">
        <f ca="1">[1]!BexGetData("DP_1","003N8EMH8GTFRCSWKMPXRR8GU","GSON2131")</f>
        <v>#NAME?</v>
      </c>
      <c r="D2178" s="3" t="e">
        <f ca="1">[1]!BexGetData("DP_1","003N8EMH8GTFRCSWKMPXRRESE","GSON2131")</f>
        <v>#NAME?</v>
      </c>
      <c r="E2178" s="3" t="e">
        <f ca="1">[1]!BexGetData("DP_1","003N8EMH8GTFRCSWKMPXRRL3Y","GSON2131")</f>
        <v>#NAME?</v>
      </c>
      <c r="F2178" s="3" t="e">
        <f ca="1">[1]!BexGetData("DP_1","003N8EMH8GTFRCSWKMPXRRRFI","GSON2131")</f>
        <v>#NAME?</v>
      </c>
      <c r="G2178" s="8" t="e">
        <f ca="1">[1]!BexGetData("DP_1","003N8EMH8GTFRCSWKMPXRRXR2","GSON2131")</f>
        <v>#NAME?</v>
      </c>
      <c r="H2178" s="3" t="e">
        <f ca="1">[1]!BexGetData("DP_1","003N8EMH8GTFRCSWKMPXRS42M","GSON2131")</f>
        <v>#NAME?</v>
      </c>
      <c r="I2178" s="3" t="e">
        <f ca="1">[1]!BexGetData("DP_1","003N8EMH8GTFRCSWKMPXRSAE6","GSON2131")</f>
        <v>#NAME?</v>
      </c>
      <c r="J2178" s="4" t="e">
        <f ca="1">[1]!BexGetData("DP_1","003N8EMH8GTFRCSWKMPXRSGPQ","GSON2131")</f>
        <v>#NAME?</v>
      </c>
      <c r="K2178" s="3" t="e">
        <f ca="1">[1]!BexGetData("DP_1","003N8EMH8GTFRIVNUPY288VJH","GSON2131")</f>
        <v>#NAME?</v>
      </c>
      <c r="L2178" s="3" t="e">
        <f ca="1">[1]!BexGetData("DP_1","003N8EMH8GTFRIVNUPY2891V1","GSON2131")</f>
        <v>#NAME?</v>
      </c>
      <c r="M2178" s="3" t="e">
        <f ca="1">[1]!BexGetData("DP_1","003N8EMH8GTFRIVOG7KG9IQXA","GSON2131")</f>
        <v>#NAME?</v>
      </c>
      <c r="N2178" s="8" t="e">
        <f ca="1">[1]!BexGetData("DP_1","003N8EMH8GTFRIVOG7KG9IX8U","GSON2131")</f>
        <v>#NAME?</v>
      </c>
      <c r="O2178" s="3" t="e">
        <f ca="1">[1]!BexGetData("DP_1","003N8EMH8GTFRIVOG7KG9J3KE","GSON2131")</f>
        <v>#NAME?</v>
      </c>
      <c r="P2178" s="8" t="e">
        <f ca="1">[1]!BexGetData("DP_1","003N8EMH8GTFRIVOG7KG9J9VY","GSON2131")</f>
        <v>#NAME?</v>
      </c>
      <c r="Q2178" s="4" t="e">
        <f ca="1">[1]!BexGetData("DP_1","00O2TNJGODT0G5Z4TTKYMM5MT","GSON2131")</f>
        <v>#NAME?</v>
      </c>
      <c r="R2178" s="3" t="e">
        <f ca="1">[1]!BexGetData("DP_1","00O2TNJGODT0G5Z4TTKYMMBYD","GSON2131")</f>
        <v>#NAME?</v>
      </c>
      <c r="S2178" s="3" t="e">
        <f ca="1">[1]!BexGetData("DP_1","00O2TNJGODT0G5Z4TTKYMMI9X","GSON2131")</f>
        <v>#NAME?</v>
      </c>
      <c r="T2178" s="3" t="e">
        <f ca="1">[1]!BexGetData("DP_1","00O2TNJGODT0G5Z4TTKYMMOLH","GSON2131")</f>
        <v>#NAME?</v>
      </c>
      <c r="U2178" s="8" t="e">
        <f ca="1">[1]!BexGetData("DP_1","00O2TNJGODT0G5Z4TTKYMMUX1","GSON2131")</f>
        <v>#NAME?</v>
      </c>
      <c r="V2178" s="3" t="e">
        <f ca="1">[1]!BexGetData("DP_1","00O2TNJGODT0G5Z4TTKYMN18L","GSON2131")</f>
        <v>#NAME?</v>
      </c>
      <c r="W2178" s="8" t="e">
        <f ca="1">[1]!BexGetData("DP_1","00O2TNJGODT0G5Z4TTKYMN7K5","GSON2131")</f>
        <v>#NAME?</v>
      </c>
    </row>
    <row r="2179" spans="1:23" x14ac:dyDescent="0.2">
      <c r="A2179" s="17" t="s">
        <v>495</v>
      </c>
      <c r="B2179" s="7" t="s">
        <v>496</v>
      </c>
      <c r="C2179" s="3" t="e">
        <f ca="1">[1]!BexGetData("DP_1","003N8EMH8GTFRCSWKMPXRR8GU","GSON21311")</f>
        <v>#NAME?</v>
      </c>
      <c r="D2179" s="3" t="e">
        <f ca="1">[1]!BexGetData("DP_1","003N8EMH8GTFRCSWKMPXRRESE","GSON21311")</f>
        <v>#NAME?</v>
      </c>
      <c r="E2179" s="3" t="e">
        <f ca="1">[1]!BexGetData("DP_1","003N8EMH8GTFRCSWKMPXRRL3Y","GSON21311")</f>
        <v>#NAME?</v>
      </c>
      <c r="F2179" s="3" t="e">
        <f ca="1">[1]!BexGetData("DP_1","003N8EMH8GTFRCSWKMPXRRRFI","GSON21311")</f>
        <v>#NAME?</v>
      </c>
      <c r="G2179" s="8" t="e">
        <f ca="1">[1]!BexGetData("DP_1","003N8EMH8GTFRCSWKMPXRRXR2","GSON21311")</f>
        <v>#NAME?</v>
      </c>
      <c r="H2179" s="3" t="e">
        <f ca="1">[1]!BexGetData("DP_1","003N8EMH8GTFRCSWKMPXRS42M","GSON21311")</f>
        <v>#NAME?</v>
      </c>
      <c r="I2179" s="3" t="e">
        <f ca="1">[1]!BexGetData("DP_1","003N8EMH8GTFRCSWKMPXRSAE6","GSON21311")</f>
        <v>#NAME?</v>
      </c>
      <c r="J2179" s="4" t="e">
        <f ca="1">[1]!BexGetData("DP_1","003N8EMH8GTFRCSWKMPXRSGPQ","GSON21311")</f>
        <v>#NAME?</v>
      </c>
      <c r="K2179" s="3" t="e">
        <f ca="1">[1]!BexGetData("DP_1","003N8EMH8GTFRIVNUPY288VJH","GSON21311")</f>
        <v>#NAME?</v>
      </c>
      <c r="L2179" s="3" t="e">
        <f ca="1">[1]!BexGetData("DP_1","003N8EMH8GTFRIVNUPY2891V1","GSON21311")</f>
        <v>#NAME?</v>
      </c>
      <c r="M2179" s="3" t="e">
        <f ca="1">[1]!BexGetData("DP_1","003N8EMH8GTFRIVOG7KG9IQXA","GSON21311")</f>
        <v>#NAME?</v>
      </c>
      <c r="N2179" s="8" t="e">
        <f ca="1">[1]!BexGetData("DP_1","003N8EMH8GTFRIVOG7KG9IX8U","GSON21311")</f>
        <v>#NAME?</v>
      </c>
      <c r="O2179" s="3" t="e">
        <f ca="1">[1]!BexGetData("DP_1","003N8EMH8GTFRIVOG7KG9J3KE","GSON21311")</f>
        <v>#NAME?</v>
      </c>
      <c r="P2179" s="8" t="e">
        <f ca="1">[1]!BexGetData("DP_1","003N8EMH8GTFRIVOG7KG9J9VY","GSON21311")</f>
        <v>#NAME?</v>
      </c>
      <c r="Q2179" s="4" t="e">
        <f ca="1">[1]!BexGetData("DP_1","00O2TNJGODT0G5Z4TTKYMM5MT","GSON21311")</f>
        <v>#NAME?</v>
      </c>
      <c r="R2179" s="3" t="e">
        <f ca="1">[1]!BexGetData("DP_1","00O2TNJGODT0G5Z4TTKYMMBYD","GSON21311")</f>
        <v>#NAME?</v>
      </c>
      <c r="S2179" s="3" t="e">
        <f ca="1">[1]!BexGetData("DP_1","00O2TNJGODT0G5Z4TTKYMMI9X","GSON21311")</f>
        <v>#NAME?</v>
      </c>
      <c r="T2179" s="3" t="e">
        <f ca="1">[1]!BexGetData("DP_1","00O2TNJGODT0G5Z4TTKYMMOLH","GSON21311")</f>
        <v>#NAME?</v>
      </c>
      <c r="U2179" s="8" t="e">
        <f ca="1">[1]!BexGetData("DP_1","00O2TNJGODT0G5Z4TTKYMMUX1","GSON21311")</f>
        <v>#NAME?</v>
      </c>
      <c r="V2179" s="3" t="e">
        <f ca="1">[1]!BexGetData("DP_1","00O2TNJGODT0G5Z4TTKYMN18L","GSON21311")</f>
        <v>#NAME?</v>
      </c>
      <c r="W2179" s="8" t="e">
        <f ca="1">[1]!BexGetData("DP_1","00O2TNJGODT0G5Z4TTKYMN7K5","GSON21311")</f>
        <v>#NAME?</v>
      </c>
    </row>
    <row r="2180" spans="1:23" x14ac:dyDescent="0.2">
      <c r="A2180" s="23" t="s">
        <v>1439</v>
      </c>
      <c r="B2180" s="7" t="s">
        <v>497</v>
      </c>
      <c r="C2180" s="3" t="e">
        <f ca="1">[1]!BexGetData("DP_1","003N8EMH8GTFRCSWKMPXRR8GU","GSON2131100001")</f>
        <v>#NAME?</v>
      </c>
      <c r="D2180" s="3" t="e">
        <f ca="1">[1]!BexGetData("DP_1","003N8EMH8GTFRCSWKMPXRRESE","GSON2131100001")</f>
        <v>#NAME?</v>
      </c>
      <c r="E2180" s="3" t="e">
        <f ca="1">[1]!BexGetData("DP_1","003N8EMH8GTFRCSWKMPXRRL3Y","GSON2131100001")</f>
        <v>#NAME?</v>
      </c>
      <c r="F2180" s="3" t="e">
        <f ca="1">[1]!BexGetData("DP_1","003N8EMH8GTFRCSWKMPXRRRFI","GSON2131100001")</f>
        <v>#NAME?</v>
      </c>
      <c r="G2180" s="8" t="e">
        <f ca="1">[1]!BexGetData("DP_1","003N8EMH8GTFRCSWKMPXRRXR2","GSON2131100001")</f>
        <v>#NAME?</v>
      </c>
      <c r="H2180" s="3" t="e">
        <f ca="1">[1]!BexGetData("DP_1","003N8EMH8GTFRCSWKMPXRS42M","GSON2131100001")</f>
        <v>#NAME?</v>
      </c>
      <c r="I2180" s="3" t="e">
        <f ca="1">[1]!BexGetData("DP_1","003N8EMH8GTFRCSWKMPXRSAE6","GSON2131100001")</f>
        <v>#NAME?</v>
      </c>
      <c r="J2180" s="4" t="e">
        <f ca="1">[1]!BexGetData("DP_1","003N8EMH8GTFRCSWKMPXRSGPQ","GSON2131100001")</f>
        <v>#NAME?</v>
      </c>
      <c r="K2180" s="3" t="e">
        <f ca="1">[1]!BexGetData("DP_1","003N8EMH8GTFRIVNUPY288VJH","GSON2131100001")</f>
        <v>#NAME?</v>
      </c>
      <c r="L2180" s="3" t="e">
        <f ca="1">[1]!BexGetData("DP_1","003N8EMH8GTFRIVNUPY2891V1","GSON2131100001")</f>
        <v>#NAME?</v>
      </c>
      <c r="M2180" s="3" t="e">
        <f ca="1">[1]!BexGetData("DP_1","003N8EMH8GTFRIVOG7KG9IQXA","GSON2131100001")</f>
        <v>#NAME?</v>
      </c>
      <c r="N2180" s="8" t="e">
        <f ca="1">[1]!BexGetData("DP_1","003N8EMH8GTFRIVOG7KG9IX8U","GSON2131100001")</f>
        <v>#NAME?</v>
      </c>
      <c r="O2180" s="3" t="e">
        <f ca="1">[1]!BexGetData("DP_1","003N8EMH8GTFRIVOG7KG9J3KE","GSON2131100001")</f>
        <v>#NAME?</v>
      </c>
      <c r="P2180" s="8" t="e">
        <f ca="1">[1]!BexGetData("DP_1","003N8EMH8GTFRIVOG7KG9J9VY","GSON2131100001")</f>
        <v>#NAME?</v>
      </c>
      <c r="Q2180" s="4" t="e">
        <f ca="1">[1]!BexGetData("DP_1","00O2TNJGODT0G5Z4TTKYMM5MT","GSON2131100001")</f>
        <v>#NAME?</v>
      </c>
      <c r="R2180" s="3" t="e">
        <f ca="1">[1]!BexGetData("DP_1","00O2TNJGODT0G5Z4TTKYMMBYD","GSON2131100001")</f>
        <v>#NAME?</v>
      </c>
      <c r="S2180" s="3" t="e">
        <f ca="1">[1]!BexGetData("DP_1","00O2TNJGODT0G5Z4TTKYMMI9X","GSON2131100001")</f>
        <v>#NAME?</v>
      </c>
      <c r="T2180" s="3" t="e">
        <f ca="1">[1]!BexGetData("DP_1","00O2TNJGODT0G5Z4TTKYMMOLH","GSON2131100001")</f>
        <v>#NAME?</v>
      </c>
      <c r="U2180" s="8" t="e">
        <f ca="1">[1]!BexGetData("DP_1","00O2TNJGODT0G5Z4TTKYMMUX1","GSON2131100001")</f>
        <v>#NAME?</v>
      </c>
      <c r="V2180" s="3" t="e">
        <f ca="1">[1]!BexGetData("DP_1","00O2TNJGODT0G5Z4TTKYMN18L","GSON2131100001")</f>
        <v>#NAME?</v>
      </c>
      <c r="W2180" s="8" t="e">
        <f ca="1">[1]!BexGetData("DP_1","00O2TNJGODT0G5Z4TTKYMN7K5","GSON2131100001")</f>
        <v>#NAME?</v>
      </c>
    </row>
    <row r="2181" spans="1:23" x14ac:dyDescent="0.2">
      <c r="A2181" s="23" t="s">
        <v>1440</v>
      </c>
      <c r="B2181" s="7" t="s">
        <v>498</v>
      </c>
      <c r="C2181" s="3" t="e">
        <f ca="1">[1]!BexGetData("DP_1","003N8EMH8GTFRCSWKMPXRR8GU","GSON2131100002")</f>
        <v>#NAME?</v>
      </c>
      <c r="D2181" s="3" t="e">
        <f ca="1">[1]!BexGetData("DP_1","003N8EMH8GTFRCSWKMPXRRESE","GSON2131100002")</f>
        <v>#NAME?</v>
      </c>
      <c r="E2181" s="3" t="e">
        <f ca="1">[1]!BexGetData("DP_1","003N8EMH8GTFRCSWKMPXRRL3Y","GSON2131100002")</f>
        <v>#NAME?</v>
      </c>
      <c r="F2181" s="4" t="e">
        <f ca="1">[1]!BexGetData("DP_1","003N8EMH8GTFRCSWKMPXRRRFI","GSON2131100002")</f>
        <v>#NAME?</v>
      </c>
      <c r="G2181" s="4" t="e">
        <f ca="1">[1]!BexGetData("DP_1","003N8EMH8GTFRCSWKMPXRRXR2","GSON2131100002")</f>
        <v>#NAME?</v>
      </c>
      <c r="H2181" s="4" t="e">
        <f ca="1">[1]!BexGetData("DP_1","003N8EMH8GTFRCSWKMPXRS42M","GSON2131100002")</f>
        <v>#NAME?</v>
      </c>
      <c r="I2181" s="4" t="e">
        <f ca="1">[1]!BexGetData("DP_1","003N8EMH8GTFRCSWKMPXRSAE6","GSON2131100002")</f>
        <v>#NAME?</v>
      </c>
      <c r="J2181" s="4" t="e">
        <f ca="1">[1]!BexGetData("DP_1","003N8EMH8GTFRCSWKMPXRSGPQ","GSON2131100002")</f>
        <v>#NAME?</v>
      </c>
      <c r="K2181" s="3" t="e">
        <f ca="1">[1]!BexGetData("DP_1","003N8EMH8GTFRIVNUPY288VJH","GSON2131100002")</f>
        <v>#NAME?</v>
      </c>
      <c r="L2181" s="3" t="e">
        <f ca="1">[1]!BexGetData("DP_1","003N8EMH8GTFRIVNUPY2891V1","GSON2131100002")</f>
        <v>#NAME?</v>
      </c>
      <c r="M2181" s="3" t="e">
        <f ca="1">[1]!BexGetData("DP_1","003N8EMH8GTFRIVOG7KG9IQXA","GSON2131100002")</f>
        <v>#NAME?</v>
      </c>
      <c r="N2181" s="8" t="e">
        <f ca="1">[1]!BexGetData("DP_1","003N8EMH8GTFRIVOG7KG9IX8U","GSON2131100002")</f>
        <v>#NAME?</v>
      </c>
      <c r="O2181" s="3" t="e">
        <f ca="1">[1]!BexGetData("DP_1","003N8EMH8GTFRIVOG7KG9J3KE","GSON2131100002")</f>
        <v>#NAME?</v>
      </c>
      <c r="P2181" s="8" t="e">
        <f ca="1">[1]!BexGetData("DP_1","003N8EMH8GTFRIVOG7KG9J9VY","GSON2131100002")</f>
        <v>#NAME?</v>
      </c>
      <c r="Q2181" s="4" t="e">
        <f ca="1">[1]!BexGetData("DP_1","00O2TNJGODT0G5Z4TTKYMM5MT","GSON2131100002")</f>
        <v>#NAME?</v>
      </c>
      <c r="R2181" s="4" t="e">
        <f ca="1">[1]!BexGetData("DP_1","00O2TNJGODT0G5Z4TTKYMMBYD","GSON2131100002")</f>
        <v>#NAME?</v>
      </c>
      <c r="S2181" s="4" t="e">
        <f ca="1">[1]!BexGetData("DP_1","00O2TNJGODT0G5Z4TTKYMMI9X","GSON2131100002")</f>
        <v>#NAME?</v>
      </c>
      <c r="T2181" s="4" t="e">
        <f ca="1">[1]!BexGetData("DP_1","00O2TNJGODT0G5Z4TTKYMMOLH","GSON2131100002")</f>
        <v>#NAME?</v>
      </c>
      <c r="U2181" s="4" t="e">
        <f ca="1">[1]!BexGetData("DP_1","00O2TNJGODT0G5Z4TTKYMMUX1","GSON2131100002")</f>
        <v>#NAME?</v>
      </c>
      <c r="V2181" s="4" t="e">
        <f ca="1">[1]!BexGetData("DP_1","00O2TNJGODT0G5Z4TTKYMN18L","GSON2131100002")</f>
        <v>#NAME?</v>
      </c>
      <c r="W2181" s="4" t="e">
        <f ca="1">[1]!BexGetData("DP_1","00O2TNJGODT0G5Z4TTKYMN7K5","GSON2131100002")</f>
        <v>#NAME?</v>
      </c>
    </row>
    <row r="2182" spans="1:23" x14ac:dyDescent="0.2">
      <c r="A2182" s="15" t="s">
        <v>4853</v>
      </c>
      <c r="B2182" s="7" t="s">
        <v>4854</v>
      </c>
      <c r="C2182" s="3" t="e">
        <f ca="1">[1]!BexGetData("DP_1","003N8EMH8GTFRCSWKMPXRR8GU","GSON215")</f>
        <v>#NAME?</v>
      </c>
      <c r="D2182" s="3" t="e">
        <f ca="1">[1]!BexGetData("DP_1","003N8EMH8GTFRCSWKMPXRRESE","GSON215")</f>
        <v>#NAME?</v>
      </c>
      <c r="E2182" s="3" t="e">
        <f ca="1">[1]!BexGetData("DP_1","003N8EMH8GTFRCSWKMPXRRL3Y","GSON215")</f>
        <v>#NAME?</v>
      </c>
      <c r="F2182" s="3" t="e">
        <f ca="1">[1]!BexGetData("DP_1","003N8EMH8GTFRCSWKMPXRRRFI","GSON215")</f>
        <v>#NAME?</v>
      </c>
      <c r="G2182" s="3" t="e">
        <f ca="1">[1]!BexGetData("DP_1","003N8EMH8GTFRCSWKMPXRRXR2","GSON215")</f>
        <v>#NAME?</v>
      </c>
      <c r="H2182" s="3" t="e">
        <f ca="1">[1]!BexGetData("DP_1","003N8EMH8GTFRCSWKMPXRS42M","GSON215")</f>
        <v>#NAME?</v>
      </c>
      <c r="I2182" s="3" t="e">
        <f ca="1">[1]!BexGetData("DP_1","003N8EMH8GTFRCSWKMPXRSAE6","GSON215")</f>
        <v>#NAME?</v>
      </c>
      <c r="J2182" s="4" t="e">
        <f ca="1">[1]!BexGetData("DP_1","003N8EMH8GTFRCSWKMPXRSGPQ","GSON215")</f>
        <v>#NAME?</v>
      </c>
      <c r="K2182" s="3" t="e">
        <f ca="1">[1]!BexGetData("DP_1","003N8EMH8GTFRIVNUPY288VJH","GSON215")</f>
        <v>#NAME?</v>
      </c>
      <c r="L2182" s="3" t="e">
        <f ca="1">[1]!BexGetData("DP_1","003N8EMH8GTFRIVNUPY2891V1","GSON215")</f>
        <v>#NAME?</v>
      </c>
      <c r="M2182" s="3" t="e">
        <f ca="1">[1]!BexGetData("DP_1","003N8EMH8GTFRIVOG7KG9IQXA","GSON215")</f>
        <v>#NAME?</v>
      </c>
      <c r="N2182" s="8" t="e">
        <f ca="1">[1]!BexGetData("DP_1","003N8EMH8GTFRIVOG7KG9IX8U","GSON215")</f>
        <v>#NAME?</v>
      </c>
      <c r="O2182" s="3" t="e">
        <f ca="1">[1]!BexGetData("DP_1","003N8EMH8GTFRIVOG7KG9J3KE","GSON215")</f>
        <v>#NAME?</v>
      </c>
      <c r="P2182" s="8" t="e">
        <f ca="1">[1]!BexGetData("DP_1","003N8EMH8GTFRIVOG7KG9J9VY","GSON215")</f>
        <v>#NAME?</v>
      </c>
      <c r="Q2182" s="4" t="e">
        <f ca="1">[1]!BexGetData("DP_1","00O2TNJGODT0G5Z4TTKYMM5MT","GSON215")</f>
        <v>#NAME?</v>
      </c>
      <c r="R2182" s="3" t="e">
        <f ca="1">[1]!BexGetData("DP_1","00O2TNJGODT0G5Z4TTKYMMBYD","GSON215")</f>
        <v>#NAME?</v>
      </c>
      <c r="S2182" s="3" t="e">
        <f ca="1">[1]!BexGetData("DP_1","00O2TNJGODT0G5Z4TTKYMMI9X","GSON215")</f>
        <v>#NAME?</v>
      </c>
      <c r="T2182" s="3" t="e">
        <f ca="1">[1]!BexGetData("DP_1","00O2TNJGODT0G5Z4TTKYMMOLH","GSON215")</f>
        <v>#NAME?</v>
      </c>
      <c r="U2182" s="8" t="e">
        <f ca="1">[1]!BexGetData("DP_1","00O2TNJGODT0G5Z4TTKYMMUX1","GSON215")</f>
        <v>#NAME?</v>
      </c>
      <c r="V2182" s="3" t="e">
        <f ca="1">[1]!BexGetData("DP_1","00O2TNJGODT0G5Z4TTKYMN18L","GSON215")</f>
        <v>#NAME?</v>
      </c>
      <c r="W2182" s="8" t="e">
        <f ca="1">[1]!BexGetData("DP_1","00O2TNJGODT0G5Z4TTKYMN7K5","GSON215")</f>
        <v>#NAME?</v>
      </c>
    </row>
    <row r="2183" spans="1:23" x14ac:dyDescent="0.2">
      <c r="A2183" s="16" t="s">
        <v>4855</v>
      </c>
      <c r="B2183" s="7" t="s">
        <v>4856</v>
      </c>
      <c r="C2183" s="3" t="e">
        <f ca="1">[1]!BexGetData("DP_1","003N8EMH8GTFRCSWKMPXRR8GU","GSON2159")</f>
        <v>#NAME?</v>
      </c>
      <c r="D2183" s="3" t="e">
        <f ca="1">[1]!BexGetData("DP_1","003N8EMH8GTFRCSWKMPXRRESE","GSON2159")</f>
        <v>#NAME?</v>
      </c>
      <c r="E2183" s="3" t="e">
        <f ca="1">[1]!BexGetData("DP_1","003N8EMH8GTFRCSWKMPXRRL3Y","GSON2159")</f>
        <v>#NAME?</v>
      </c>
      <c r="F2183" s="3" t="e">
        <f ca="1">[1]!BexGetData("DP_1","003N8EMH8GTFRCSWKMPXRRRFI","GSON2159")</f>
        <v>#NAME?</v>
      </c>
      <c r="G2183" s="3" t="e">
        <f ca="1">[1]!BexGetData("DP_1","003N8EMH8GTFRCSWKMPXRRXR2","GSON2159")</f>
        <v>#NAME?</v>
      </c>
      <c r="H2183" s="3" t="e">
        <f ca="1">[1]!BexGetData("DP_1","003N8EMH8GTFRCSWKMPXRS42M","GSON2159")</f>
        <v>#NAME?</v>
      </c>
      <c r="I2183" s="3" t="e">
        <f ca="1">[1]!BexGetData("DP_1","003N8EMH8GTFRCSWKMPXRSAE6","GSON2159")</f>
        <v>#NAME?</v>
      </c>
      <c r="J2183" s="4" t="e">
        <f ca="1">[1]!BexGetData("DP_1","003N8EMH8GTFRCSWKMPXRSGPQ","GSON2159")</f>
        <v>#NAME?</v>
      </c>
      <c r="K2183" s="3" t="e">
        <f ca="1">[1]!BexGetData("DP_1","003N8EMH8GTFRIVNUPY288VJH","GSON2159")</f>
        <v>#NAME?</v>
      </c>
      <c r="L2183" s="3" t="e">
        <f ca="1">[1]!BexGetData("DP_1","003N8EMH8GTFRIVNUPY2891V1","GSON2159")</f>
        <v>#NAME?</v>
      </c>
      <c r="M2183" s="3" t="e">
        <f ca="1">[1]!BexGetData("DP_1","003N8EMH8GTFRIVOG7KG9IQXA","GSON2159")</f>
        <v>#NAME?</v>
      </c>
      <c r="N2183" s="8" t="e">
        <f ca="1">[1]!BexGetData("DP_1","003N8EMH8GTFRIVOG7KG9IX8U","GSON2159")</f>
        <v>#NAME?</v>
      </c>
      <c r="O2183" s="3" t="e">
        <f ca="1">[1]!BexGetData("DP_1","003N8EMH8GTFRIVOG7KG9J3KE","GSON2159")</f>
        <v>#NAME?</v>
      </c>
      <c r="P2183" s="8" t="e">
        <f ca="1">[1]!BexGetData("DP_1","003N8EMH8GTFRIVOG7KG9J9VY","GSON2159")</f>
        <v>#NAME?</v>
      </c>
      <c r="Q2183" s="4" t="e">
        <f ca="1">[1]!BexGetData("DP_1","00O2TNJGODT0G5Z4TTKYMM5MT","GSON2159")</f>
        <v>#NAME?</v>
      </c>
      <c r="R2183" s="3" t="e">
        <f ca="1">[1]!BexGetData("DP_1","00O2TNJGODT0G5Z4TTKYMMBYD","GSON2159")</f>
        <v>#NAME?</v>
      </c>
      <c r="S2183" s="3" t="e">
        <f ca="1">[1]!BexGetData("DP_1","00O2TNJGODT0G5Z4TTKYMMI9X","GSON2159")</f>
        <v>#NAME?</v>
      </c>
      <c r="T2183" s="3" t="e">
        <f ca="1">[1]!BexGetData("DP_1","00O2TNJGODT0G5Z4TTKYMMOLH","GSON2159")</f>
        <v>#NAME?</v>
      </c>
      <c r="U2183" s="8" t="e">
        <f ca="1">[1]!BexGetData("DP_1","00O2TNJGODT0G5Z4TTKYMMUX1","GSON2159")</f>
        <v>#NAME?</v>
      </c>
      <c r="V2183" s="3" t="e">
        <f ca="1">[1]!BexGetData("DP_1","00O2TNJGODT0G5Z4TTKYMN18L","GSON2159")</f>
        <v>#NAME?</v>
      </c>
      <c r="W2183" s="8" t="e">
        <f ca="1">[1]!BexGetData("DP_1","00O2TNJGODT0G5Z4TTKYMN7K5","GSON2159")</f>
        <v>#NAME?</v>
      </c>
    </row>
    <row r="2184" spans="1:23" x14ac:dyDescent="0.2">
      <c r="A2184" s="17" t="s">
        <v>4857</v>
      </c>
      <c r="B2184" s="7" t="s">
        <v>4858</v>
      </c>
      <c r="C2184" s="3" t="e">
        <f ca="1">[1]!BexGetData("DP_1","003N8EMH8GTFRCSWKMPXRR8GU","GSON2159100001")</f>
        <v>#NAME?</v>
      </c>
      <c r="D2184" s="3" t="e">
        <f ca="1">[1]!BexGetData("DP_1","003N8EMH8GTFRCSWKMPXRRESE","GSON2159100001")</f>
        <v>#NAME?</v>
      </c>
      <c r="E2184" s="3" t="e">
        <f ca="1">[1]!BexGetData("DP_1","003N8EMH8GTFRCSWKMPXRRL3Y","GSON2159100001")</f>
        <v>#NAME?</v>
      </c>
      <c r="F2184" s="3" t="e">
        <f ca="1">[1]!BexGetData("DP_1","003N8EMH8GTFRCSWKMPXRRRFI","GSON2159100001")</f>
        <v>#NAME?</v>
      </c>
      <c r="G2184" s="3" t="e">
        <f ca="1">[1]!BexGetData("DP_1","003N8EMH8GTFRCSWKMPXRRXR2","GSON2159100001")</f>
        <v>#NAME?</v>
      </c>
      <c r="H2184" s="3" t="e">
        <f ca="1">[1]!BexGetData("DP_1","003N8EMH8GTFRCSWKMPXRS42M","GSON2159100001")</f>
        <v>#NAME?</v>
      </c>
      <c r="I2184" s="3" t="e">
        <f ca="1">[1]!BexGetData("DP_1","003N8EMH8GTFRCSWKMPXRSAE6","GSON2159100001")</f>
        <v>#NAME?</v>
      </c>
      <c r="J2184" s="4" t="e">
        <f ca="1">[1]!BexGetData("DP_1","003N8EMH8GTFRCSWKMPXRSGPQ","GSON2159100001")</f>
        <v>#NAME?</v>
      </c>
      <c r="K2184" s="3" t="e">
        <f ca="1">[1]!BexGetData("DP_1","003N8EMH8GTFRIVNUPY288VJH","GSON2159100001")</f>
        <v>#NAME?</v>
      </c>
      <c r="L2184" s="3" t="e">
        <f ca="1">[1]!BexGetData("DP_1","003N8EMH8GTFRIVNUPY2891V1","GSON2159100001")</f>
        <v>#NAME?</v>
      </c>
      <c r="M2184" s="3" t="e">
        <f ca="1">[1]!BexGetData("DP_1","003N8EMH8GTFRIVOG7KG9IQXA","GSON2159100001")</f>
        <v>#NAME?</v>
      </c>
      <c r="N2184" s="8" t="e">
        <f ca="1">[1]!BexGetData("DP_1","003N8EMH8GTFRIVOG7KG9IX8U","GSON2159100001")</f>
        <v>#NAME?</v>
      </c>
      <c r="O2184" s="3" t="e">
        <f ca="1">[1]!BexGetData("DP_1","003N8EMH8GTFRIVOG7KG9J3KE","GSON2159100001")</f>
        <v>#NAME?</v>
      </c>
      <c r="P2184" s="8" t="e">
        <f ca="1">[1]!BexGetData("DP_1","003N8EMH8GTFRIVOG7KG9J9VY","GSON2159100001")</f>
        <v>#NAME?</v>
      </c>
      <c r="Q2184" s="4" t="e">
        <f ca="1">[1]!BexGetData("DP_1","00O2TNJGODT0G5Z4TTKYMM5MT","GSON2159100001")</f>
        <v>#NAME?</v>
      </c>
      <c r="R2184" s="3" t="e">
        <f ca="1">[1]!BexGetData("DP_1","00O2TNJGODT0G5Z4TTKYMMBYD","GSON2159100001")</f>
        <v>#NAME?</v>
      </c>
      <c r="S2184" s="3" t="e">
        <f ca="1">[1]!BexGetData("DP_1","00O2TNJGODT0G5Z4TTKYMMI9X","GSON2159100001")</f>
        <v>#NAME?</v>
      </c>
      <c r="T2184" s="3" t="e">
        <f ca="1">[1]!BexGetData("DP_1","00O2TNJGODT0G5Z4TTKYMMOLH","GSON2159100001")</f>
        <v>#NAME?</v>
      </c>
      <c r="U2184" s="8" t="e">
        <f ca="1">[1]!BexGetData("DP_1","00O2TNJGODT0G5Z4TTKYMMUX1","GSON2159100001")</f>
        <v>#NAME?</v>
      </c>
      <c r="V2184" s="3" t="e">
        <f ca="1">[1]!BexGetData("DP_1","00O2TNJGODT0G5Z4TTKYMN18L","GSON2159100001")</f>
        <v>#NAME?</v>
      </c>
      <c r="W2184" s="8" t="e">
        <f ca="1">[1]!BexGetData("DP_1","00O2TNJGODT0G5Z4TTKYMN7K5","GSON2159100001")</f>
        <v>#NAME?</v>
      </c>
    </row>
    <row r="2185" spans="1:23" x14ac:dyDescent="0.2">
      <c r="A2185" s="17" t="s">
        <v>4859</v>
      </c>
      <c r="B2185" s="7" t="s">
        <v>4860</v>
      </c>
      <c r="C2185" s="3" t="e">
        <f ca="1">[1]!BexGetData("DP_1","003N8EMH8GTFRCSWKMPXRR8GU","GSON2159100002")</f>
        <v>#NAME?</v>
      </c>
      <c r="D2185" s="3" t="e">
        <f ca="1">[1]!BexGetData("DP_1","003N8EMH8GTFRCSWKMPXRRESE","GSON2159100002")</f>
        <v>#NAME?</v>
      </c>
      <c r="E2185" s="3" t="e">
        <f ca="1">[1]!BexGetData("DP_1","003N8EMH8GTFRCSWKMPXRRL3Y","GSON2159100002")</f>
        <v>#NAME?</v>
      </c>
      <c r="F2185" s="3" t="e">
        <f ca="1">[1]!BexGetData("DP_1","003N8EMH8GTFRCSWKMPXRRRFI","GSON2159100002")</f>
        <v>#NAME?</v>
      </c>
      <c r="G2185" s="8" t="e">
        <f ca="1">[1]!BexGetData("DP_1","003N8EMH8GTFRCSWKMPXRRXR2","GSON2159100002")</f>
        <v>#NAME?</v>
      </c>
      <c r="H2185" s="3" t="e">
        <f ca="1">[1]!BexGetData("DP_1","003N8EMH8GTFRCSWKMPXRS42M","GSON2159100002")</f>
        <v>#NAME?</v>
      </c>
      <c r="I2185" s="3" t="e">
        <f ca="1">[1]!BexGetData("DP_1","003N8EMH8GTFRCSWKMPXRSAE6","GSON2159100002")</f>
        <v>#NAME?</v>
      </c>
      <c r="J2185" s="4" t="e">
        <f ca="1">[1]!BexGetData("DP_1","003N8EMH8GTFRCSWKMPXRSGPQ","GSON2159100002")</f>
        <v>#NAME?</v>
      </c>
      <c r="K2185" s="3" t="e">
        <f ca="1">[1]!BexGetData("DP_1","003N8EMH8GTFRIVNUPY288VJH","GSON2159100002")</f>
        <v>#NAME?</v>
      </c>
      <c r="L2185" s="3" t="e">
        <f ca="1">[1]!BexGetData("DP_1","003N8EMH8GTFRIVNUPY2891V1","GSON2159100002")</f>
        <v>#NAME?</v>
      </c>
      <c r="M2185" s="3" t="e">
        <f ca="1">[1]!BexGetData("DP_1","003N8EMH8GTFRIVOG7KG9IQXA","GSON2159100002")</f>
        <v>#NAME?</v>
      </c>
      <c r="N2185" s="8" t="e">
        <f ca="1">[1]!BexGetData("DP_1","003N8EMH8GTFRIVOG7KG9IX8U","GSON2159100002")</f>
        <v>#NAME?</v>
      </c>
      <c r="O2185" s="3" t="e">
        <f ca="1">[1]!BexGetData("DP_1","003N8EMH8GTFRIVOG7KG9J3KE","GSON2159100002")</f>
        <v>#NAME?</v>
      </c>
      <c r="P2185" s="8" t="e">
        <f ca="1">[1]!BexGetData("DP_1","003N8EMH8GTFRIVOG7KG9J9VY","GSON2159100002")</f>
        <v>#NAME?</v>
      </c>
      <c r="Q2185" s="4" t="e">
        <f ca="1">[1]!BexGetData("DP_1","00O2TNJGODT0G5Z4TTKYMM5MT","GSON2159100002")</f>
        <v>#NAME?</v>
      </c>
      <c r="R2185" s="3" t="e">
        <f ca="1">[1]!BexGetData("DP_1","00O2TNJGODT0G5Z4TTKYMMBYD","GSON2159100002")</f>
        <v>#NAME?</v>
      </c>
      <c r="S2185" s="3" t="e">
        <f ca="1">[1]!BexGetData("DP_1","00O2TNJGODT0G5Z4TTKYMMI9X","GSON2159100002")</f>
        <v>#NAME?</v>
      </c>
      <c r="T2185" s="3" t="e">
        <f ca="1">[1]!BexGetData("DP_1","00O2TNJGODT0G5Z4TTKYMMOLH","GSON2159100002")</f>
        <v>#NAME?</v>
      </c>
      <c r="U2185" s="8" t="e">
        <f ca="1">[1]!BexGetData("DP_1","00O2TNJGODT0G5Z4TTKYMMUX1","GSON2159100002")</f>
        <v>#NAME?</v>
      </c>
      <c r="V2185" s="3" t="e">
        <f ca="1">[1]!BexGetData("DP_1","00O2TNJGODT0G5Z4TTKYMN18L","GSON2159100002")</f>
        <v>#NAME?</v>
      </c>
      <c r="W2185" s="8" t="e">
        <f ca="1">[1]!BexGetData("DP_1","00O2TNJGODT0G5Z4TTKYMN7K5","GSON2159100002")</f>
        <v>#NAME?</v>
      </c>
    </row>
    <row r="2186" spans="1:23" x14ac:dyDescent="0.2">
      <c r="A2186" s="15" t="s">
        <v>370</v>
      </c>
      <c r="B2186" s="7" t="s">
        <v>371</v>
      </c>
      <c r="C2186" s="3" t="e">
        <f ca="1">[1]!BexGetData("DP_1","003N8EMH8GTFRCSWKMPXRR8GU","GSON216")</f>
        <v>#NAME?</v>
      </c>
      <c r="D2186" s="3" t="e">
        <f ca="1">[1]!BexGetData("DP_1","003N8EMH8GTFRCSWKMPXRRESE","GSON216")</f>
        <v>#NAME?</v>
      </c>
      <c r="E2186" s="3" t="e">
        <f ca="1">[1]!BexGetData("DP_1","003N8EMH8GTFRCSWKMPXRRL3Y","GSON216")</f>
        <v>#NAME?</v>
      </c>
      <c r="F2186" s="3" t="e">
        <f ca="1">[1]!BexGetData("DP_1","003N8EMH8GTFRCSWKMPXRRRFI","GSON216")</f>
        <v>#NAME?</v>
      </c>
      <c r="G2186" s="3" t="e">
        <f ca="1">[1]!BexGetData("DP_1","003N8EMH8GTFRCSWKMPXRRXR2","GSON216")</f>
        <v>#NAME?</v>
      </c>
      <c r="H2186" s="3" t="e">
        <f ca="1">[1]!BexGetData("DP_1","003N8EMH8GTFRCSWKMPXRS42M","GSON216")</f>
        <v>#NAME?</v>
      </c>
      <c r="I2186" s="3" t="e">
        <f ca="1">[1]!BexGetData("DP_1","003N8EMH8GTFRCSWKMPXRSAE6","GSON216")</f>
        <v>#NAME?</v>
      </c>
      <c r="J2186" s="4" t="e">
        <f ca="1">[1]!BexGetData("DP_1","003N8EMH8GTFRCSWKMPXRSGPQ","GSON216")</f>
        <v>#NAME?</v>
      </c>
      <c r="K2186" s="3" t="e">
        <f ca="1">[1]!BexGetData("DP_1","003N8EMH8GTFRIVNUPY288VJH","GSON216")</f>
        <v>#NAME?</v>
      </c>
      <c r="L2186" s="3" t="e">
        <f ca="1">[1]!BexGetData("DP_1","003N8EMH8GTFRIVNUPY2891V1","GSON216")</f>
        <v>#NAME?</v>
      </c>
      <c r="M2186" s="8" t="e">
        <f ca="1">[1]!BexGetData("DP_1","003N8EMH8GTFRIVOG7KG9IQXA","GSON216")</f>
        <v>#NAME?</v>
      </c>
      <c r="N2186" s="3" t="e">
        <f ca="1">[1]!BexGetData("DP_1","003N8EMH8GTFRIVOG7KG9IX8U","GSON216")</f>
        <v>#NAME?</v>
      </c>
      <c r="O2186" s="8" t="e">
        <f ca="1">[1]!BexGetData("DP_1","003N8EMH8GTFRIVOG7KG9J3KE","GSON216")</f>
        <v>#NAME?</v>
      </c>
      <c r="P2186" s="3" t="e">
        <f ca="1">[1]!BexGetData("DP_1","003N8EMH8GTFRIVOG7KG9J9VY","GSON216")</f>
        <v>#NAME?</v>
      </c>
      <c r="Q2186" s="4" t="e">
        <f ca="1">[1]!BexGetData("DP_1","00O2TNJGODT0G5Z4TTKYMM5MT","GSON216")</f>
        <v>#NAME?</v>
      </c>
      <c r="R2186" s="3" t="e">
        <f ca="1">[1]!BexGetData("DP_1","00O2TNJGODT0G5Z4TTKYMMBYD","GSON216")</f>
        <v>#NAME?</v>
      </c>
      <c r="S2186" s="3" t="e">
        <f ca="1">[1]!BexGetData("DP_1","00O2TNJGODT0G5Z4TTKYMMI9X","GSON216")</f>
        <v>#NAME?</v>
      </c>
      <c r="T2186" s="3" t="e">
        <f ca="1">[1]!BexGetData("DP_1","00O2TNJGODT0G5Z4TTKYMMOLH","GSON216")</f>
        <v>#NAME?</v>
      </c>
      <c r="U2186" s="8" t="e">
        <f ca="1">[1]!BexGetData("DP_1","00O2TNJGODT0G5Z4TTKYMMUX1","GSON216")</f>
        <v>#NAME?</v>
      </c>
      <c r="V2186" s="3" t="e">
        <f ca="1">[1]!BexGetData("DP_1","00O2TNJGODT0G5Z4TTKYMN18L","GSON216")</f>
        <v>#NAME?</v>
      </c>
      <c r="W2186" s="8" t="e">
        <f ca="1">[1]!BexGetData("DP_1","00O2TNJGODT0G5Z4TTKYMN7K5","GSON216")</f>
        <v>#NAME?</v>
      </c>
    </row>
    <row r="2187" spans="1:23" x14ac:dyDescent="0.2">
      <c r="A2187" s="16" t="s">
        <v>4861</v>
      </c>
      <c r="B2187" s="7" t="s">
        <v>4862</v>
      </c>
      <c r="C2187" s="3" t="e">
        <f ca="1">[1]!BexGetData("DP_1","003N8EMH8GTFRCSWKMPXRR8GU","GSON2161")</f>
        <v>#NAME?</v>
      </c>
      <c r="D2187" s="3" t="e">
        <f ca="1">[1]!BexGetData("DP_1","003N8EMH8GTFRCSWKMPXRRESE","GSON2161")</f>
        <v>#NAME?</v>
      </c>
      <c r="E2187" s="3" t="e">
        <f ca="1">[1]!BexGetData("DP_1","003N8EMH8GTFRCSWKMPXRRL3Y","GSON2161")</f>
        <v>#NAME?</v>
      </c>
      <c r="F2187" s="4" t="e">
        <f ca="1">[1]!BexGetData("DP_1","003N8EMH8GTFRCSWKMPXRRRFI","GSON2161")</f>
        <v>#NAME?</v>
      </c>
      <c r="G2187" s="4" t="e">
        <f ca="1">[1]!BexGetData("DP_1","003N8EMH8GTFRCSWKMPXRRXR2","GSON2161")</f>
        <v>#NAME?</v>
      </c>
      <c r="H2187" s="4" t="e">
        <f ca="1">[1]!BexGetData("DP_1","003N8EMH8GTFRCSWKMPXRS42M","GSON2161")</f>
        <v>#NAME?</v>
      </c>
      <c r="I2187" s="4" t="e">
        <f ca="1">[1]!BexGetData("DP_1","003N8EMH8GTFRCSWKMPXRSAE6","GSON2161")</f>
        <v>#NAME?</v>
      </c>
      <c r="J2187" s="4" t="e">
        <f ca="1">[1]!BexGetData("DP_1","003N8EMH8GTFRCSWKMPXRSGPQ","GSON2161")</f>
        <v>#NAME?</v>
      </c>
      <c r="K2187" s="3" t="e">
        <f ca="1">[1]!BexGetData("DP_1","003N8EMH8GTFRIVNUPY288VJH","GSON2161")</f>
        <v>#NAME?</v>
      </c>
      <c r="L2187" s="3" t="e">
        <f ca="1">[1]!BexGetData("DP_1","003N8EMH8GTFRIVNUPY2891V1","GSON2161")</f>
        <v>#NAME?</v>
      </c>
      <c r="M2187" s="3" t="e">
        <f ca="1">[1]!BexGetData("DP_1","003N8EMH8GTFRIVOG7KG9IQXA","GSON2161")</f>
        <v>#NAME?</v>
      </c>
      <c r="N2187" s="8" t="e">
        <f ca="1">[1]!BexGetData("DP_1","003N8EMH8GTFRIVOG7KG9IX8U","GSON2161")</f>
        <v>#NAME?</v>
      </c>
      <c r="O2187" s="3" t="e">
        <f ca="1">[1]!BexGetData("DP_1","003N8EMH8GTFRIVOG7KG9J3KE","GSON2161")</f>
        <v>#NAME?</v>
      </c>
      <c r="P2187" s="8" t="e">
        <f ca="1">[1]!BexGetData("DP_1","003N8EMH8GTFRIVOG7KG9J9VY","GSON2161")</f>
        <v>#NAME?</v>
      </c>
      <c r="Q2187" s="4" t="e">
        <f ca="1">[1]!BexGetData("DP_1","00O2TNJGODT0G5Z4TTKYMM5MT","GSON2161")</f>
        <v>#NAME?</v>
      </c>
      <c r="R2187" s="4" t="e">
        <f ca="1">[1]!BexGetData("DP_1","00O2TNJGODT0G5Z4TTKYMMBYD","GSON2161")</f>
        <v>#NAME?</v>
      </c>
      <c r="S2187" s="4" t="e">
        <f ca="1">[1]!BexGetData("DP_1","00O2TNJGODT0G5Z4TTKYMMI9X","GSON2161")</f>
        <v>#NAME?</v>
      </c>
      <c r="T2187" s="4" t="e">
        <f ca="1">[1]!BexGetData("DP_1","00O2TNJGODT0G5Z4TTKYMMOLH","GSON2161")</f>
        <v>#NAME?</v>
      </c>
      <c r="U2187" s="4" t="e">
        <f ca="1">[1]!BexGetData("DP_1","00O2TNJGODT0G5Z4TTKYMMUX1","GSON2161")</f>
        <v>#NAME?</v>
      </c>
      <c r="V2187" s="4" t="e">
        <f ca="1">[1]!BexGetData("DP_1","00O2TNJGODT0G5Z4TTKYMN18L","GSON2161")</f>
        <v>#NAME?</v>
      </c>
      <c r="W2187" s="4" t="e">
        <f ca="1">[1]!BexGetData("DP_1","00O2TNJGODT0G5Z4TTKYMN7K5","GSON2161")</f>
        <v>#NAME?</v>
      </c>
    </row>
    <row r="2188" spans="1:23" x14ac:dyDescent="0.2">
      <c r="A2188" s="17" t="s">
        <v>4863</v>
      </c>
      <c r="B2188" s="7" t="s">
        <v>4864</v>
      </c>
      <c r="C2188" s="3" t="e">
        <f ca="1">[1]!BexGetData("DP_1","003N8EMH8GTFRCSWKMPXRR8GU","GSON2161100001")</f>
        <v>#NAME?</v>
      </c>
      <c r="D2188" s="3" t="e">
        <f ca="1">[1]!BexGetData("DP_1","003N8EMH8GTFRCSWKMPXRRESE","GSON2161100001")</f>
        <v>#NAME?</v>
      </c>
      <c r="E2188" s="3" t="e">
        <f ca="1">[1]!BexGetData("DP_1","003N8EMH8GTFRCSWKMPXRRL3Y","GSON2161100001")</f>
        <v>#NAME?</v>
      </c>
      <c r="F2188" s="4" t="e">
        <f ca="1">[1]!BexGetData("DP_1","003N8EMH8GTFRCSWKMPXRRRFI","GSON2161100001")</f>
        <v>#NAME?</v>
      </c>
      <c r="G2188" s="4" t="e">
        <f ca="1">[1]!BexGetData("DP_1","003N8EMH8GTFRCSWKMPXRRXR2","GSON2161100001")</f>
        <v>#NAME?</v>
      </c>
      <c r="H2188" s="4" t="e">
        <f ca="1">[1]!BexGetData("DP_1","003N8EMH8GTFRCSWKMPXRS42M","GSON2161100001")</f>
        <v>#NAME?</v>
      </c>
      <c r="I2188" s="4" t="e">
        <f ca="1">[1]!BexGetData("DP_1","003N8EMH8GTFRCSWKMPXRSAE6","GSON2161100001")</f>
        <v>#NAME?</v>
      </c>
      <c r="J2188" s="4" t="e">
        <f ca="1">[1]!BexGetData("DP_1","003N8EMH8GTFRCSWKMPXRSGPQ","GSON2161100001")</f>
        <v>#NAME?</v>
      </c>
      <c r="K2188" s="3" t="e">
        <f ca="1">[1]!BexGetData("DP_1","003N8EMH8GTFRIVNUPY288VJH","GSON2161100001")</f>
        <v>#NAME?</v>
      </c>
      <c r="L2188" s="3" t="e">
        <f ca="1">[1]!BexGetData("DP_1","003N8EMH8GTFRIVNUPY2891V1","GSON2161100001")</f>
        <v>#NAME?</v>
      </c>
      <c r="M2188" s="3" t="e">
        <f ca="1">[1]!BexGetData("DP_1","003N8EMH8GTFRIVOG7KG9IQXA","GSON2161100001")</f>
        <v>#NAME?</v>
      </c>
      <c r="N2188" s="8" t="e">
        <f ca="1">[1]!BexGetData("DP_1","003N8EMH8GTFRIVOG7KG9IX8U","GSON2161100001")</f>
        <v>#NAME?</v>
      </c>
      <c r="O2188" s="3" t="e">
        <f ca="1">[1]!BexGetData("DP_1","003N8EMH8GTFRIVOG7KG9J3KE","GSON2161100001")</f>
        <v>#NAME?</v>
      </c>
      <c r="P2188" s="8" t="e">
        <f ca="1">[1]!BexGetData("DP_1","003N8EMH8GTFRIVOG7KG9J9VY","GSON2161100001")</f>
        <v>#NAME?</v>
      </c>
      <c r="Q2188" s="4" t="e">
        <f ca="1">[1]!BexGetData("DP_1","00O2TNJGODT0G5Z4TTKYMM5MT","GSON2161100001")</f>
        <v>#NAME?</v>
      </c>
      <c r="R2188" s="4" t="e">
        <f ca="1">[1]!BexGetData("DP_1","00O2TNJGODT0G5Z4TTKYMMBYD","GSON2161100001")</f>
        <v>#NAME?</v>
      </c>
      <c r="S2188" s="4" t="e">
        <f ca="1">[1]!BexGetData("DP_1","00O2TNJGODT0G5Z4TTKYMMI9X","GSON2161100001")</f>
        <v>#NAME?</v>
      </c>
      <c r="T2188" s="4" t="e">
        <f ca="1">[1]!BexGetData("DP_1","00O2TNJGODT0G5Z4TTKYMMOLH","GSON2161100001")</f>
        <v>#NAME?</v>
      </c>
      <c r="U2188" s="4" t="e">
        <f ca="1">[1]!BexGetData("DP_1","00O2TNJGODT0G5Z4TTKYMMUX1","GSON2161100001")</f>
        <v>#NAME?</v>
      </c>
      <c r="V2188" s="4" t="e">
        <f ca="1">[1]!BexGetData("DP_1","00O2TNJGODT0G5Z4TTKYMN18L","GSON2161100001")</f>
        <v>#NAME?</v>
      </c>
      <c r="W2188" s="4" t="e">
        <f ca="1">[1]!BexGetData("DP_1","00O2TNJGODT0G5Z4TTKYMN7K5","GSON2161100001")</f>
        <v>#NAME?</v>
      </c>
    </row>
    <row r="2189" spans="1:23" x14ac:dyDescent="0.2">
      <c r="A2189" s="16" t="s">
        <v>372</v>
      </c>
      <c r="B2189" s="7" t="s">
        <v>373</v>
      </c>
      <c r="C2189" s="3" t="e">
        <f ca="1">[1]!BexGetData("DP_1","003N8EMH8GTFRCSWKMPXRR8GU","GSON2162")</f>
        <v>#NAME?</v>
      </c>
      <c r="D2189" s="3" t="e">
        <f ca="1">[1]!BexGetData("DP_1","003N8EMH8GTFRCSWKMPXRRESE","GSON2162")</f>
        <v>#NAME?</v>
      </c>
      <c r="E2189" s="3" t="e">
        <f ca="1">[1]!BexGetData("DP_1","003N8EMH8GTFRCSWKMPXRRL3Y","GSON2162")</f>
        <v>#NAME?</v>
      </c>
      <c r="F2189" s="3" t="e">
        <f ca="1">[1]!BexGetData("DP_1","003N8EMH8GTFRCSWKMPXRRRFI","GSON2162")</f>
        <v>#NAME?</v>
      </c>
      <c r="G2189" s="3" t="e">
        <f ca="1">[1]!BexGetData("DP_1","003N8EMH8GTFRCSWKMPXRRXR2","GSON2162")</f>
        <v>#NAME?</v>
      </c>
      <c r="H2189" s="3" t="e">
        <f ca="1">[1]!BexGetData("DP_1","003N8EMH8GTFRCSWKMPXRS42M","GSON2162")</f>
        <v>#NAME?</v>
      </c>
      <c r="I2189" s="3" t="e">
        <f ca="1">[1]!BexGetData("DP_1","003N8EMH8GTFRCSWKMPXRSAE6","GSON2162")</f>
        <v>#NAME?</v>
      </c>
      <c r="J2189" s="4" t="e">
        <f ca="1">[1]!BexGetData("DP_1","003N8EMH8GTFRCSWKMPXRSGPQ","GSON2162")</f>
        <v>#NAME?</v>
      </c>
      <c r="K2189" s="3" t="e">
        <f ca="1">[1]!BexGetData("DP_1","003N8EMH8GTFRIVNUPY288VJH","GSON2162")</f>
        <v>#NAME?</v>
      </c>
      <c r="L2189" s="3" t="e">
        <f ca="1">[1]!BexGetData("DP_1","003N8EMH8GTFRIVNUPY2891V1","GSON2162")</f>
        <v>#NAME?</v>
      </c>
      <c r="M2189" s="8" t="e">
        <f ca="1">[1]!BexGetData("DP_1","003N8EMH8GTFRIVOG7KG9IQXA","GSON2162")</f>
        <v>#NAME?</v>
      </c>
      <c r="N2189" s="3" t="e">
        <f ca="1">[1]!BexGetData("DP_1","003N8EMH8GTFRIVOG7KG9IX8U","GSON2162")</f>
        <v>#NAME?</v>
      </c>
      <c r="O2189" s="8" t="e">
        <f ca="1">[1]!BexGetData("DP_1","003N8EMH8GTFRIVOG7KG9J3KE","GSON2162")</f>
        <v>#NAME?</v>
      </c>
      <c r="P2189" s="3" t="e">
        <f ca="1">[1]!BexGetData("DP_1","003N8EMH8GTFRIVOG7KG9J9VY","GSON2162")</f>
        <v>#NAME?</v>
      </c>
      <c r="Q2189" s="4" t="e">
        <f ca="1">[1]!BexGetData("DP_1","00O2TNJGODT0G5Z4TTKYMM5MT","GSON2162")</f>
        <v>#NAME?</v>
      </c>
      <c r="R2189" s="3" t="e">
        <f ca="1">[1]!BexGetData("DP_1","00O2TNJGODT0G5Z4TTKYMMBYD","GSON2162")</f>
        <v>#NAME?</v>
      </c>
      <c r="S2189" s="3" t="e">
        <f ca="1">[1]!BexGetData("DP_1","00O2TNJGODT0G5Z4TTKYMMI9X","GSON2162")</f>
        <v>#NAME?</v>
      </c>
      <c r="T2189" s="3" t="e">
        <f ca="1">[1]!BexGetData("DP_1","00O2TNJGODT0G5Z4TTKYMMOLH","GSON2162")</f>
        <v>#NAME?</v>
      </c>
      <c r="U2189" s="8" t="e">
        <f ca="1">[1]!BexGetData("DP_1","00O2TNJGODT0G5Z4TTKYMMUX1","GSON2162")</f>
        <v>#NAME?</v>
      </c>
      <c r="V2189" s="3" t="e">
        <f ca="1">[1]!BexGetData("DP_1","00O2TNJGODT0G5Z4TTKYMN18L","GSON2162")</f>
        <v>#NAME?</v>
      </c>
      <c r="W2189" s="8" t="e">
        <f ca="1">[1]!BexGetData("DP_1","00O2TNJGODT0G5Z4TTKYMN7K5","GSON2162")</f>
        <v>#NAME?</v>
      </c>
    </row>
    <row r="2190" spans="1:23" x14ac:dyDescent="0.2">
      <c r="A2190" s="17" t="s">
        <v>4865</v>
      </c>
      <c r="B2190" s="7" t="s">
        <v>4866</v>
      </c>
      <c r="C2190" s="3" t="e">
        <f ca="1">[1]!BexGetData("DP_1","003N8EMH8GTFRCSWKMPXRR8GU","GSON2162100002")</f>
        <v>#NAME?</v>
      </c>
      <c r="D2190" s="3" t="e">
        <f ca="1">[1]!BexGetData("DP_1","003N8EMH8GTFRCSWKMPXRRESE","GSON2162100002")</f>
        <v>#NAME?</v>
      </c>
      <c r="E2190" s="3" t="e">
        <f ca="1">[1]!BexGetData("DP_1","003N8EMH8GTFRCSWKMPXRRL3Y","GSON2162100002")</f>
        <v>#NAME?</v>
      </c>
      <c r="F2190" s="4" t="e">
        <f ca="1">[1]!BexGetData("DP_1","003N8EMH8GTFRCSWKMPXRRRFI","GSON2162100002")</f>
        <v>#NAME?</v>
      </c>
      <c r="G2190" s="4" t="e">
        <f ca="1">[1]!BexGetData("DP_1","003N8EMH8GTFRCSWKMPXRRXR2","GSON2162100002")</f>
        <v>#NAME?</v>
      </c>
      <c r="H2190" s="4" t="e">
        <f ca="1">[1]!BexGetData("DP_1","003N8EMH8GTFRCSWKMPXRS42M","GSON2162100002")</f>
        <v>#NAME?</v>
      </c>
      <c r="I2190" s="4" t="e">
        <f ca="1">[1]!BexGetData("DP_1","003N8EMH8GTFRCSWKMPXRSAE6","GSON2162100002")</f>
        <v>#NAME?</v>
      </c>
      <c r="J2190" s="4" t="e">
        <f ca="1">[1]!BexGetData("DP_1","003N8EMH8GTFRCSWKMPXRSGPQ","GSON2162100002")</f>
        <v>#NAME?</v>
      </c>
      <c r="K2190" s="3" t="e">
        <f ca="1">[1]!BexGetData("DP_1","003N8EMH8GTFRIVNUPY288VJH","GSON2162100002")</f>
        <v>#NAME?</v>
      </c>
      <c r="L2190" s="3" t="e">
        <f ca="1">[1]!BexGetData("DP_1","003N8EMH8GTFRIVNUPY2891V1","GSON2162100002")</f>
        <v>#NAME?</v>
      </c>
      <c r="M2190" s="3" t="e">
        <f ca="1">[1]!BexGetData("DP_1","003N8EMH8GTFRIVOG7KG9IQXA","GSON2162100002")</f>
        <v>#NAME?</v>
      </c>
      <c r="N2190" s="8" t="e">
        <f ca="1">[1]!BexGetData("DP_1","003N8EMH8GTFRIVOG7KG9IX8U","GSON2162100002")</f>
        <v>#NAME?</v>
      </c>
      <c r="O2190" s="3" t="e">
        <f ca="1">[1]!BexGetData("DP_1","003N8EMH8GTFRIVOG7KG9J3KE","GSON2162100002")</f>
        <v>#NAME?</v>
      </c>
      <c r="P2190" s="8" t="e">
        <f ca="1">[1]!BexGetData("DP_1","003N8EMH8GTFRIVOG7KG9J9VY","GSON2162100002")</f>
        <v>#NAME?</v>
      </c>
      <c r="Q2190" s="4" t="e">
        <f ca="1">[1]!BexGetData("DP_1","00O2TNJGODT0G5Z4TTKYMM5MT","GSON2162100002")</f>
        <v>#NAME?</v>
      </c>
      <c r="R2190" s="4" t="e">
        <f ca="1">[1]!BexGetData("DP_1","00O2TNJGODT0G5Z4TTKYMMBYD","GSON2162100002")</f>
        <v>#NAME?</v>
      </c>
      <c r="S2190" s="4" t="e">
        <f ca="1">[1]!BexGetData("DP_1","00O2TNJGODT0G5Z4TTKYMMI9X","GSON2162100002")</f>
        <v>#NAME?</v>
      </c>
      <c r="T2190" s="4" t="e">
        <f ca="1">[1]!BexGetData("DP_1","00O2TNJGODT0G5Z4TTKYMMOLH","GSON2162100002")</f>
        <v>#NAME?</v>
      </c>
      <c r="U2190" s="4" t="e">
        <f ca="1">[1]!BexGetData("DP_1","00O2TNJGODT0G5Z4TTKYMMUX1","GSON2162100002")</f>
        <v>#NAME?</v>
      </c>
      <c r="V2190" s="4" t="e">
        <f ca="1">[1]!BexGetData("DP_1","00O2TNJGODT0G5Z4TTKYMN18L","GSON2162100002")</f>
        <v>#NAME?</v>
      </c>
      <c r="W2190" s="4" t="e">
        <f ca="1">[1]!BexGetData("DP_1","00O2TNJGODT0G5Z4TTKYMN7K5","GSON2162100002")</f>
        <v>#NAME?</v>
      </c>
    </row>
    <row r="2191" spans="1:23" x14ac:dyDescent="0.2">
      <c r="A2191" s="17" t="s">
        <v>4867</v>
      </c>
      <c r="B2191" s="7" t="s">
        <v>4868</v>
      </c>
      <c r="C2191" s="3" t="e">
        <f ca="1">[1]!BexGetData("DP_1","003N8EMH8GTFRCSWKMPXRR8GU","GSON2162100005")</f>
        <v>#NAME?</v>
      </c>
      <c r="D2191" s="3" t="e">
        <f ca="1">[1]!BexGetData("DP_1","003N8EMH8GTFRCSWKMPXRRESE","GSON2162100005")</f>
        <v>#NAME?</v>
      </c>
      <c r="E2191" s="3" t="e">
        <f ca="1">[1]!BexGetData("DP_1","003N8EMH8GTFRCSWKMPXRRL3Y","GSON2162100005")</f>
        <v>#NAME?</v>
      </c>
      <c r="F2191" s="4" t="e">
        <f ca="1">[1]!BexGetData("DP_1","003N8EMH8GTFRCSWKMPXRRRFI","GSON2162100005")</f>
        <v>#NAME?</v>
      </c>
      <c r="G2191" s="4" t="e">
        <f ca="1">[1]!BexGetData("DP_1","003N8EMH8GTFRCSWKMPXRRXR2","GSON2162100005")</f>
        <v>#NAME?</v>
      </c>
      <c r="H2191" s="4" t="e">
        <f ca="1">[1]!BexGetData("DP_1","003N8EMH8GTFRCSWKMPXRS42M","GSON2162100005")</f>
        <v>#NAME?</v>
      </c>
      <c r="I2191" s="4" t="e">
        <f ca="1">[1]!BexGetData("DP_1","003N8EMH8GTFRCSWKMPXRSAE6","GSON2162100005")</f>
        <v>#NAME?</v>
      </c>
      <c r="J2191" s="4" t="e">
        <f ca="1">[1]!BexGetData("DP_1","003N8EMH8GTFRCSWKMPXRSGPQ","GSON2162100005")</f>
        <v>#NAME?</v>
      </c>
      <c r="K2191" s="3" t="e">
        <f ca="1">[1]!BexGetData("DP_1","003N8EMH8GTFRIVNUPY288VJH","GSON2162100005")</f>
        <v>#NAME?</v>
      </c>
      <c r="L2191" s="3" t="e">
        <f ca="1">[1]!BexGetData("DP_1","003N8EMH8GTFRIVNUPY2891V1","GSON2162100005")</f>
        <v>#NAME?</v>
      </c>
      <c r="M2191" s="3" t="e">
        <f ca="1">[1]!BexGetData("DP_1","003N8EMH8GTFRIVOG7KG9IQXA","GSON2162100005")</f>
        <v>#NAME?</v>
      </c>
      <c r="N2191" s="8" t="e">
        <f ca="1">[1]!BexGetData("DP_1","003N8EMH8GTFRIVOG7KG9IX8U","GSON2162100005")</f>
        <v>#NAME?</v>
      </c>
      <c r="O2191" s="3" t="e">
        <f ca="1">[1]!BexGetData("DP_1","003N8EMH8GTFRIVOG7KG9J3KE","GSON2162100005")</f>
        <v>#NAME?</v>
      </c>
      <c r="P2191" s="8" t="e">
        <f ca="1">[1]!BexGetData("DP_1","003N8EMH8GTFRIVOG7KG9J9VY","GSON2162100005")</f>
        <v>#NAME?</v>
      </c>
      <c r="Q2191" s="4" t="e">
        <f ca="1">[1]!BexGetData("DP_1","00O2TNJGODT0G5Z4TTKYMM5MT","GSON2162100005")</f>
        <v>#NAME?</v>
      </c>
      <c r="R2191" s="4" t="e">
        <f ca="1">[1]!BexGetData("DP_1","00O2TNJGODT0G5Z4TTKYMMBYD","GSON2162100005")</f>
        <v>#NAME?</v>
      </c>
      <c r="S2191" s="4" t="e">
        <f ca="1">[1]!BexGetData("DP_1","00O2TNJGODT0G5Z4TTKYMMI9X","GSON2162100005")</f>
        <v>#NAME?</v>
      </c>
      <c r="T2191" s="4" t="e">
        <f ca="1">[1]!BexGetData("DP_1","00O2TNJGODT0G5Z4TTKYMMOLH","GSON2162100005")</f>
        <v>#NAME?</v>
      </c>
      <c r="U2191" s="4" t="e">
        <f ca="1">[1]!BexGetData("DP_1","00O2TNJGODT0G5Z4TTKYMMUX1","GSON2162100005")</f>
        <v>#NAME?</v>
      </c>
      <c r="V2191" s="4" t="e">
        <f ca="1">[1]!BexGetData("DP_1","00O2TNJGODT0G5Z4TTKYMN18L","GSON2162100005")</f>
        <v>#NAME?</v>
      </c>
      <c r="W2191" s="4" t="e">
        <f ca="1">[1]!BexGetData("DP_1","00O2TNJGODT0G5Z4TTKYMN7K5","GSON2162100005")</f>
        <v>#NAME?</v>
      </c>
    </row>
    <row r="2192" spans="1:23" x14ac:dyDescent="0.2">
      <c r="A2192" s="17" t="s">
        <v>4869</v>
      </c>
      <c r="B2192" s="7" t="s">
        <v>4870</v>
      </c>
      <c r="C2192" s="3" t="e">
        <f ca="1">[1]!BexGetData("DP_1","003N8EMH8GTFRCSWKMPXRR8GU","GSON2162100006")</f>
        <v>#NAME?</v>
      </c>
      <c r="D2192" s="3" t="e">
        <f ca="1">[1]!BexGetData("DP_1","003N8EMH8GTFRCSWKMPXRRESE","GSON2162100006")</f>
        <v>#NAME?</v>
      </c>
      <c r="E2192" s="3" t="e">
        <f ca="1">[1]!BexGetData("DP_1","003N8EMH8GTFRCSWKMPXRRL3Y","GSON2162100006")</f>
        <v>#NAME?</v>
      </c>
      <c r="F2192" s="4" t="e">
        <f ca="1">[1]!BexGetData("DP_1","003N8EMH8GTFRCSWKMPXRRRFI","GSON2162100006")</f>
        <v>#NAME?</v>
      </c>
      <c r="G2192" s="4" t="e">
        <f ca="1">[1]!BexGetData("DP_1","003N8EMH8GTFRCSWKMPXRRXR2","GSON2162100006")</f>
        <v>#NAME?</v>
      </c>
      <c r="H2192" s="4" t="e">
        <f ca="1">[1]!BexGetData("DP_1","003N8EMH8GTFRCSWKMPXRS42M","GSON2162100006")</f>
        <v>#NAME?</v>
      </c>
      <c r="I2192" s="4" t="e">
        <f ca="1">[1]!BexGetData("DP_1","003N8EMH8GTFRCSWKMPXRSAE6","GSON2162100006")</f>
        <v>#NAME?</v>
      </c>
      <c r="J2192" s="4" t="e">
        <f ca="1">[1]!BexGetData("DP_1","003N8EMH8GTFRCSWKMPXRSGPQ","GSON2162100006")</f>
        <v>#NAME?</v>
      </c>
      <c r="K2192" s="3" t="e">
        <f ca="1">[1]!BexGetData("DP_1","003N8EMH8GTFRIVNUPY288VJH","GSON2162100006")</f>
        <v>#NAME?</v>
      </c>
      <c r="L2192" s="3" t="e">
        <f ca="1">[1]!BexGetData("DP_1","003N8EMH8GTFRIVNUPY2891V1","GSON2162100006")</f>
        <v>#NAME?</v>
      </c>
      <c r="M2192" s="3" t="e">
        <f ca="1">[1]!BexGetData("DP_1","003N8EMH8GTFRIVOG7KG9IQXA","GSON2162100006")</f>
        <v>#NAME?</v>
      </c>
      <c r="N2192" s="8" t="e">
        <f ca="1">[1]!BexGetData("DP_1","003N8EMH8GTFRIVOG7KG9IX8U","GSON2162100006")</f>
        <v>#NAME?</v>
      </c>
      <c r="O2192" s="3" t="e">
        <f ca="1">[1]!BexGetData("DP_1","003N8EMH8GTFRIVOG7KG9J3KE","GSON2162100006")</f>
        <v>#NAME?</v>
      </c>
      <c r="P2192" s="8" t="e">
        <f ca="1">[1]!BexGetData("DP_1","003N8EMH8GTFRIVOG7KG9J9VY","GSON2162100006")</f>
        <v>#NAME?</v>
      </c>
      <c r="Q2192" s="4" t="e">
        <f ca="1">[1]!BexGetData("DP_1","00O2TNJGODT0G5Z4TTKYMM5MT","GSON2162100006")</f>
        <v>#NAME?</v>
      </c>
      <c r="R2192" s="4" t="e">
        <f ca="1">[1]!BexGetData("DP_1","00O2TNJGODT0G5Z4TTKYMMBYD","GSON2162100006")</f>
        <v>#NAME?</v>
      </c>
      <c r="S2192" s="4" t="e">
        <f ca="1">[1]!BexGetData("DP_1","00O2TNJGODT0G5Z4TTKYMMI9X","GSON2162100006")</f>
        <v>#NAME?</v>
      </c>
      <c r="T2192" s="4" t="e">
        <f ca="1">[1]!BexGetData("DP_1","00O2TNJGODT0G5Z4TTKYMMOLH","GSON2162100006")</f>
        <v>#NAME?</v>
      </c>
      <c r="U2192" s="4" t="e">
        <f ca="1">[1]!BexGetData("DP_1","00O2TNJGODT0G5Z4TTKYMMUX1","GSON2162100006")</f>
        <v>#NAME?</v>
      </c>
      <c r="V2192" s="4" t="e">
        <f ca="1">[1]!BexGetData("DP_1","00O2TNJGODT0G5Z4TTKYMN18L","GSON2162100006")</f>
        <v>#NAME?</v>
      </c>
      <c r="W2192" s="4" t="e">
        <f ca="1">[1]!BexGetData("DP_1","00O2TNJGODT0G5Z4TTKYMN7K5","GSON2162100006")</f>
        <v>#NAME?</v>
      </c>
    </row>
    <row r="2193" spans="1:23" x14ac:dyDescent="0.2">
      <c r="A2193" s="17" t="s">
        <v>1441</v>
      </c>
      <c r="B2193" s="7" t="s">
        <v>374</v>
      </c>
      <c r="C2193" s="3" t="e">
        <f ca="1">[1]!BexGetData("DP_1","003N8EMH8GTFRCSWKMPXRR8GU","GSON2162100008")</f>
        <v>#NAME?</v>
      </c>
      <c r="D2193" s="3" t="e">
        <f ca="1">[1]!BexGetData("DP_1","003N8EMH8GTFRCSWKMPXRRESE","GSON2162100008")</f>
        <v>#NAME?</v>
      </c>
      <c r="E2193" s="3" t="e">
        <f ca="1">[1]!BexGetData("DP_1","003N8EMH8GTFRCSWKMPXRRL3Y","GSON2162100008")</f>
        <v>#NAME?</v>
      </c>
      <c r="F2193" s="4" t="e">
        <f ca="1">[1]!BexGetData("DP_1","003N8EMH8GTFRCSWKMPXRRRFI","GSON2162100008")</f>
        <v>#NAME?</v>
      </c>
      <c r="G2193" s="4" t="e">
        <f ca="1">[1]!BexGetData("DP_1","003N8EMH8GTFRCSWKMPXRRXR2","GSON2162100008")</f>
        <v>#NAME?</v>
      </c>
      <c r="H2193" s="4" t="e">
        <f ca="1">[1]!BexGetData("DP_1","003N8EMH8GTFRCSWKMPXRS42M","GSON2162100008")</f>
        <v>#NAME?</v>
      </c>
      <c r="I2193" s="4" t="e">
        <f ca="1">[1]!BexGetData("DP_1","003N8EMH8GTFRCSWKMPXRSAE6","GSON2162100008")</f>
        <v>#NAME?</v>
      </c>
      <c r="J2193" s="4" t="e">
        <f ca="1">[1]!BexGetData("DP_1","003N8EMH8GTFRCSWKMPXRSGPQ","GSON2162100008")</f>
        <v>#NAME?</v>
      </c>
      <c r="K2193" s="3" t="e">
        <f ca="1">[1]!BexGetData("DP_1","003N8EMH8GTFRIVNUPY288VJH","GSON2162100008")</f>
        <v>#NAME?</v>
      </c>
      <c r="L2193" s="3" t="e">
        <f ca="1">[1]!BexGetData("DP_1","003N8EMH8GTFRIVNUPY2891V1","GSON2162100008")</f>
        <v>#NAME?</v>
      </c>
      <c r="M2193" s="3" t="e">
        <f ca="1">[1]!BexGetData("DP_1","003N8EMH8GTFRIVOG7KG9IQXA","GSON2162100008")</f>
        <v>#NAME?</v>
      </c>
      <c r="N2193" s="8" t="e">
        <f ca="1">[1]!BexGetData("DP_1","003N8EMH8GTFRIVOG7KG9IX8U","GSON2162100008")</f>
        <v>#NAME?</v>
      </c>
      <c r="O2193" s="3" t="e">
        <f ca="1">[1]!BexGetData("DP_1","003N8EMH8GTFRIVOG7KG9J3KE","GSON2162100008")</f>
        <v>#NAME?</v>
      </c>
      <c r="P2193" s="8" t="e">
        <f ca="1">[1]!BexGetData("DP_1","003N8EMH8GTFRIVOG7KG9J9VY","GSON2162100008")</f>
        <v>#NAME?</v>
      </c>
      <c r="Q2193" s="4" t="e">
        <f ca="1">[1]!BexGetData("DP_1","00O2TNJGODT0G5Z4TTKYMM5MT","GSON2162100008")</f>
        <v>#NAME?</v>
      </c>
      <c r="R2193" s="4" t="e">
        <f ca="1">[1]!BexGetData("DP_1","00O2TNJGODT0G5Z4TTKYMMBYD","GSON2162100008")</f>
        <v>#NAME?</v>
      </c>
      <c r="S2193" s="4" t="e">
        <f ca="1">[1]!BexGetData("DP_1","00O2TNJGODT0G5Z4TTKYMMI9X","GSON2162100008")</f>
        <v>#NAME?</v>
      </c>
      <c r="T2193" s="4" t="e">
        <f ca="1">[1]!BexGetData("DP_1","00O2TNJGODT0G5Z4TTKYMMOLH","GSON2162100008")</f>
        <v>#NAME?</v>
      </c>
      <c r="U2193" s="4" t="e">
        <f ca="1">[1]!BexGetData("DP_1","00O2TNJGODT0G5Z4TTKYMMUX1","GSON2162100008")</f>
        <v>#NAME?</v>
      </c>
      <c r="V2193" s="4" t="e">
        <f ca="1">[1]!BexGetData("DP_1","00O2TNJGODT0G5Z4TTKYMN18L","GSON2162100008")</f>
        <v>#NAME?</v>
      </c>
      <c r="W2193" s="4" t="e">
        <f ca="1">[1]!BexGetData("DP_1","00O2TNJGODT0G5Z4TTKYMN7K5","GSON2162100008")</f>
        <v>#NAME?</v>
      </c>
    </row>
    <row r="2194" spans="1:23" x14ac:dyDescent="0.2">
      <c r="A2194" s="17" t="s">
        <v>4871</v>
      </c>
      <c r="B2194" s="7" t="s">
        <v>4872</v>
      </c>
      <c r="C2194" s="3" t="e">
        <f ca="1">[1]!BexGetData("DP_1","003N8EMH8GTFRCSWKMPXRR8GU","GSON2162100010")</f>
        <v>#NAME?</v>
      </c>
      <c r="D2194" s="3" t="e">
        <f ca="1">[1]!BexGetData("DP_1","003N8EMH8GTFRCSWKMPXRRESE","GSON2162100010")</f>
        <v>#NAME?</v>
      </c>
      <c r="E2194" s="8" t="e">
        <f ca="1">[1]!BexGetData("DP_1","003N8EMH8GTFRCSWKMPXRRL3Y","GSON2162100010")</f>
        <v>#NAME?</v>
      </c>
      <c r="F2194" s="4" t="e">
        <f ca="1">[1]!BexGetData("DP_1","003N8EMH8GTFRCSWKMPXRRRFI","GSON2162100010")</f>
        <v>#NAME?</v>
      </c>
      <c r="G2194" s="4" t="e">
        <f ca="1">[1]!BexGetData("DP_1","003N8EMH8GTFRCSWKMPXRRXR2","GSON2162100010")</f>
        <v>#NAME?</v>
      </c>
      <c r="H2194" s="4" t="e">
        <f ca="1">[1]!BexGetData("DP_1","003N8EMH8GTFRCSWKMPXRS42M","GSON2162100010")</f>
        <v>#NAME?</v>
      </c>
      <c r="I2194" s="4" t="e">
        <f ca="1">[1]!BexGetData("DP_1","003N8EMH8GTFRCSWKMPXRSAE6","GSON2162100010")</f>
        <v>#NAME?</v>
      </c>
      <c r="J2194" s="4" t="e">
        <f ca="1">[1]!BexGetData("DP_1","003N8EMH8GTFRCSWKMPXRSGPQ","GSON2162100010")</f>
        <v>#NAME?</v>
      </c>
      <c r="K2194" s="8" t="e">
        <f ca="1">[1]!BexGetData("DP_1","003N8EMH8GTFRIVNUPY288VJH","GSON2162100010")</f>
        <v>#NAME?</v>
      </c>
      <c r="L2194" s="8" t="e">
        <f ca="1">[1]!BexGetData("DP_1","003N8EMH8GTFRIVNUPY2891V1","GSON2162100010")</f>
        <v>#NAME?</v>
      </c>
      <c r="M2194" s="8" t="e">
        <f ca="1">[1]!BexGetData("DP_1","003N8EMH8GTFRIVOG7KG9IQXA","GSON2162100010")</f>
        <v>#NAME?</v>
      </c>
      <c r="N2194" s="8" t="e">
        <f ca="1">[1]!BexGetData("DP_1","003N8EMH8GTFRIVOG7KG9IX8U","GSON2162100010")</f>
        <v>#NAME?</v>
      </c>
      <c r="O2194" s="8" t="e">
        <f ca="1">[1]!BexGetData("DP_1","003N8EMH8GTFRIVOG7KG9J3KE","GSON2162100010")</f>
        <v>#NAME?</v>
      </c>
      <c r="P2194" s="8" t="e">
        <f ca="1">[1]!BexGetData("DP_1","003N8EMH8GTFRIVOG7KG9J9VY","GSON2162100010")</f>
        <v>#NAME?</v>
      </c>
      <c r="Q2194" s="4" t="e">
        <f ca="1">[1]!BexGetData("DP_1","00O2TNJGODT0G5Z4TTKYMM5MT","GSON2162100010")</f>
        <v>#NAME?</v>
      </c>
      <c r="R2194" s="4" t="e">
        <f ca="1">[1]!BexGetData("DP_1","00O2TNJGODT0G5Z4TTKYMMBYD","GSON2162100010")</f>
        <v>#NAME?</v>
      </c>
      <c r="S2194" s="4" t="e">
        <f ca="1">[1]!BexGetData("DP_1","00O2TNJGODT0G5Z4TTKYMMI9X","GSON2162100010")</f>
        <v>#NAME?</v>
      </c>
      <c r="T2194" s="4" t="e">
        <f ca="1">[1]!BexGetData("DP_1","00O2TNJGODT0G5Z4TTKYMMOLH","GSON2162100010")</f>
        <v>#NAME?</v>
      </c>
      <c r="U2194" s="4" t="e">
        <f ca="1">[1]!BexGetData("DP_1","00O2TNJGODT0G5Z4TTKYMMUX1","GSON2162100010")</f>
        <v>#NAME?</v>
      </c>
      <c r="V2194" s="4" t="e">
        <f ca="1">[1]!BexGetData("DP_1","00O2TNJGODT0G5Z4TTKYMN18L","GSON2162100010")</f>
        <v>#NAME?</v>
      </c>
      <c r="W2194" s="4" t="e">
        <f ca="1">[1]!BexGetData("DP_1","00O2TNJGODT0G5Z4TTKYMN7K5","GSON2162100010")</f>
        <v>#NAME?</v>
      </c>
    </row>
    <row r="2195" spans="1:23" x14ac:dyDescent="0.2">
      <c r="A2195" s="17" t="s">
        <v>4873</v>
      </c>
      <c r="B2195" s="7" t="s">
        <v>4874</v>
      </c>
      <c r="C2195" s="3" t="e">
        <f ca="1">[1]!BexGetData("DP_1","003N8EMH8GTFRCSWKMPXRR8GU","GSON2162100012")</f>
        <v>#NAME?</v>
      </c>
      <c r="D2195" s="3" t="e">
        <f ca="1">[1]!BexGetData("DP_1","003N8EMH8GTFRCSWKMPXRRESE","GSON2162100012")</f>
        <v>#NAME?</v>
      </c>
      <c r="E2195" s="8" t="e">
        <f ca="1">[1]!BexGetData("DP_1","003N8EMH8GTFRCSWKMPXRRL3Y","GSON2162100012")</f>
        <v>#NAME?</v>
      </c>
      <c r="F2195" s="4" t="e">
        <f ca="1">[1]!BexGetData("DP_1","003N8EMH8GTFRCSWKMPXRRRFI","GSON2162100012")</f>
        <v>#NAME?</v>
      </c>
      <c r="G2195" s="4" t="e">
        <f ca="1">[1]!BexGetData("DP_1","003N8EMH8GTFRCSWKMPXRRXR2","GSON2162100012")</f>
        <v>#NAME?</v>
      </c>
      <c r="H2195" s="4" t="e">
        <f ca="1">[1]!BexGetData("DP_1","003N8EMH8GTFRCSWKMPXRS42M","GSON2162100012")</f>
        <v>#NAME?</v>
      </c>
      <c r="I2195" s="4" t="e">
        <f ca="1">[1]!BexGetData("DP_1","003N8EMH8GTFRCSWKMPXRSAE6","GSON2162100012")</f>
        <v>#NAME?</v>
      </c>
      <c r="J2195" s="4" t="e">
        <f ca="1">[1]!BexGetData("DP_1","003N8EMH8GTFRCSWKMPXRSGPQ","GSON2162100012")</f>
        <v>#NAME?</v>
      </c>
      <c r="K2195" s="8" t="e">
        <f ca="1">[1]!BexGetData("DP_1","003N8EMH8GTFRIVNUPY288VJH","GSON2162100012")</f>
        <v>#NAME?</v>
      </c>
      <c r="L2195" s="8" t="e">
        <f ca="1">[1]!BexGetData("DP_1","003N8EMH8GTFRIVNUPY2891V1","GSON2162100012")</f>
        <v>#NAME?</v>
      </c>
      <c r="M2195" s="8" t="e">
        <f ca="1">[1]!BexGetData("DP_1","003N8EMH8GTFRIVOG7KG9IQXA","GSON2162100012")</f>
        <v>#NAME?</v>
      </c>
      <c r="N2195" s="8" t="e">
        <f ca="1">[1]!BexGetData("DP_1","003N8EMH8GTFRIVOG7KG9IX8U","GSON2162100012")</f>
        <v>#NAME?</v>
      </c>
      <c r="O2195" s="8" t="e">
        <f ca="1">[1]!BexGetData("DP_1","003N8EMH8GTFRIVOG7KG9J3KE","GSON2162100012")</f>
        <v>#NAME?</v>
      </c>
      <c r="P2195" s="8" t="e">
        <f ca="1">[1]!BexGetData("DP_1","003N8EMH8GTFRIVOG7KG9J9VY","GSON2162100012")</f>
        <v>#NAME?</v>
      </c>
      <c r="Q2195" s="4" t="e">
        <f ca="1">[1]!BexGetData("DP_1","00O2TNJGODT0G5Z4TTKYMM5MT","GSON2162100012")</f>
        <v>#NAME?</v>
      </c>
      <c r="R2195" s="4" t="e">
        <f ca="1">[1]!BexGetData("DP_1","00O2TNJGODT0G5Z4TTKYMMBYD","GSON2162100012")</f>
        <v>#NAME?</v>
      </c>
      <c r="S2195" s="4" t="e">
        <f ca="1">[1]!BexGetData("DP_1","00O2TNJGODT0G5Z4TTKYMMI9X","GSON2162100012")</f>
        <v>#NAME?</v>
      </c>
      <c r="T2195" s="4" t="e">
        <f ca="1">[1]!BexGetData("DP_1","00O2TNJGODT0G5Z4TTKYMMOLH","GSON2162100012")</f>
        <v>#NAME?</v>
      </c>
      <c r="U2195" s="4" t="e">
        <f ca="1">[1]!BexGetData("DP_1","00O2TNJGODT0G5Z4TTKYMMUX1","GSON2162100012")</f>
        <v>#NAME?</v>
      </c>
      <c r="V2195" s="4" t="e">
        <f ca="1">[1]!BexGetData("DP_1","00O2TNJGODT0G5Z4TTKYMN18L","GSON2162100012")</f>
        <v>#NAME?</v>
      </c>
      <c r="W2195" s="4" t="e">
        <f ca="1">[1]!BexGetData("DP_1","00O2TNJGODT0G5Z4TTKYMN7K5","GSON2162100012")</f>
        <v>#NAME?</v>
      </c>
    </row>
    <row r="2196" spans="1:23" x14ac:dyDescent="0.2">
      <c r="A2196" s="17" t="s">
        <v>4875</v>
      </c>
      <c r="B2196" s="7" t="s">
        <v>4876</v>
      </c>
      <c r="C2196" s="3" t="e">
        <f ca="1">[1]!BexGetData("DP_1","003N8EMH8GTFRCSWKMPXRR8GU","GSON2162200002")</f>
        <v>#NAME?</v>
      </c>
      <c r="D2196" s="3" t="e">
        <f ca="1">[1]!BexGetData("DP_1","003N8EMH8GTFRCSWKMPXRRESE","GSON2162200002")</f>
        <v>#NAME?</v>
      </c>
      <c r="E2196" s="3" t="e">
        <f ca="1">[1]!BexGetData("DP_1","003N8EMH8GTFRCSWKMPXRRL3Y","GSON2162200002")</f>
        <v>#NAME?</v>
      </c>
      <c r="F2196" s="4" t="e">
        <f ca="1">[1]!BexGetData("DP_1","003N8EMH8GTFRCSWKMPXRRRFI","GSON2162200002")</f>
        <v>#NAME?</v>
      </c>
      <c r="G2196" s="4" t="e">
        <f ca="1">[1]!BexGetData("DP_1","003N8EMH8GTFRCSWKMPXRRXR2","GSON2162200002")</f>
        <v>#NAME?</v>
      </c>
      <c r="H2196" s="4" t="e">
        <f ca="1">[1]!BexGetData("DP_1","003N8EMH8GTFRCSWKMPXRS42M","GSON2162200002")</f>
        <v>#NAME?</v>
      </c>
      <c r="I2196" s="4" t="e">
        <f ca="1">[1]!BexGetData("DP_1","003N8EMH8GTFRCSWKMPXRSAE6","GSON2162200002")</f>
        <v>#NAME?</v>
      </c>
      <c r="J2196" s="4" t="e">
        <f ca="1">[1]!BexGetData("DP_1","003N8EMH8GTFRCSWKMPXRSGPQ","GSON2162200002")</f>
        <v>#NAME?</v>
      </c>
      <c r="K2196" s="3" t="e">
        <f ca="1">[1]!BexGetData("DP_1","003N8EMH8GTFRIVNUPY288VJH","GSON2162200002")</f>
        <v>#NAME?</v>
      </c>
      <c r="L2196" s="3" t="e">
        <f ca="1">[1]!BexGetData("DP_1","003N8EMH8GTFRIVNUPY2891V1","GSON2162200002")</f>
        <v>#NAME?</v>
      </c>
      <c r="M2196" s="3" t="e">
        <f ca="1">[1]!BexGetData("DP_1","003N8EMH8GTFRIVOG7KG9IQXA","GSON2162200002")</f>
        <v>#NAME?</v>
      </c>
      <c r="N2196" s="8" t="e">
        <f ca="1">[1]!BexGetData("DP_1","003N8EMH8GTFRIVOG7KG9IX8U","GSON2162200002")</f>
        <v>#NAME?</v>
      </c>
      <c r="O2196" s="3" t="e">
        <f ca="1">[1]!BexGetData("DP_1","003N8EMH8GTFRIVOG7KG9J3KE","GSON2162200002")</f>
        <v>#NAME?</v>
      </c>
      <c r="P2196" s="8" t="e">
        <f ca="1">[1]!BexGetData("DP_1","003N8EMH8GTFRIVOG7KG9J9VY","GSON2162200002")</f>
        <v>#NAME?</v>
      </c>
      <c r="Q2196" s="4" t="e">
        <f ca="1">[1]!BexGetData("DP_1","00O2TNJGODT0G5Z4TTKYMM5MT","GSON2162200002")</f>
        <v>#NAME?</v>
      </c>
      <c r="R2196" s="4" t="e">
        <f ca="1">[1]!BexGetData("DP_1","00O2TNJGODT0G5Z4TTKYMMBYD","GSON2162200002")</f>
        <v>#NAME?</v>
      </c>
      <c r="S2196" s="4" t="e">
        <f ca="1">[1]!BexGetData("DP_1","00O2TNJGODT0G5Z4TTKYMMI9X","GSON2162200002")</f>
        <v>#NAME?</v>
      </c>
      <c r="T2196" s="4" t="e">
        <f ca="1">[1]!BexGetData("DP_1","00O2TNJGODT0G5Z4TTKYMMOLH","GSON2162200002")</f>
        <v>#NAME?</v>
      </c>
      <c r="U2196" s="4" t="e">
        <f ca="1">[1]!BexGetData("DP_1","00O2TNJGODT0G5Z4TTKYMMUX1","GSON2162200002")</f>
        <v>#NAME?</v>
      </c>
      <c r="V2196" s="4" t="e">
        <f ca="1">[1]!BexGetData("DP_1","00O2TNJGODT0G5Z4TTKYMN18L","GSON2162200002")</f>
        <v>#NAME?</v>
      </c>
      <c r="W2196" s="4" t="e">
        <f ca="1">[1]!BexGetData("DP_1","00O2TNJGODT0G5Z4TTKYMN7K5","GSON2162200002")</f>
        <v>#NAME?</v>
      </c>
    </row>
    <row r="2197" spans="1:23" x14ac:dyDescent="0.2">
      <c r="A2197" s="17" t="s">
        <v>4877</v>
      </c>
      <c r="B2197" s="7" t="s">
        <v>4878</v>
      </c>
      <c r="C2197" s="3" t="e">
        <f ca="1">[1]!BexGetData("DP_1","003N8EMH8GTFRCSWKMPXRR8GU","GSON2162200003")</f>
        <v>#NAME?</v>
      </c>
      <c r="D2197" s="3" t="e">
        <f ca="1">[1]!BexGetData("DP_1","003N8EMH8GTFRCSWKMPXRRESE","GSON2162200003")</f>
        <v>#NAME?</v>
      </c>
      <c r="E2197" s="3" t="e">
        <f ca="1">[1]!BexGetData("DP_1","003N8EMH8GTFRCSWKMPXRRL3Y","GSON2162200003")</f>
        <v>#NAME?</v>
      </c>
      <c r="F2197" s="4" t="e">
        <f ca="1">[1]!BexGetData("DP_1","003N8EMH8GTFRCSWKMPXRRRFI","GSON2162200003")</f>
        <v>#NAME?</v>
      </c>
      <c r="G2197" s="4" t="e">
        <f ca="1">[1]!BexGetData("DP_1","003N8EMH8GTFRCSWKMPXRRXR2","GSON2162200003")</f>
        <v>#NAME?</v>
      </c>
      <c r="H2197" s="4" t="e">
        <f ca="1">[1]!BexGetData("DP_1","003N8EMH8GTFRCSWKMPXRS42M","GSON2162200003")</f>
        <v>#NAME?</v>
      </c>
      <c r="I2197" s="4" t="e">
        <f ca="1">[1]!BexGetData("DP_1","003N8EMH8GTFRCSWKMPXRSAE6","GSON2162200003")</f>
        <v>#NAME?</v>
      </c>
      <c r="J2197" s="4" t="e">
        <f ca="1">[1]!BexGetData("DP_1","003N8EMH8GTFRCSWKMPXRSGPQ","GSON2162200003")</f>
        <v>#NAME?</v>
      </c>
      <c r="K2197" s="3" t="e">
        <f ca="1">[1]!BexGetData("DP_1","003N8EMH8GTFRIVNUPY288VJH","GSON2162200003")</f>
        <v>#NAME?</v>
      </c>
      <c r="L2197" s="3" t="e">
        <f ca="1">[1]!BexGetData("DP_1","003N8EMH8GTFRIVNUPY2891V1","GSON2162200003")</f>
        <v>#NAME?</v>
      </c>
      <c r="M2197" s="3" t="e">
        <f ca="1">[1]!BexGetData("DP_1","003N8EMH8GTFRIVOG7KG9IQXA","GSON2162200003")</f>
        <v>#NAME?</v>
      </c>
      <c r="N2197" s="8" t="e">
        <f ca="1">[1]!BexGetData("DP_1","003N8EMH8GTFRIVOG7KG9IX8U","GSON2162200003")</f>
        <v>#NAME?</v>
      </c>
      <c r="O2197" s="3" t="e">
        <f ca="1">[1]!BexGetData("DP_1","003N8EMH8GTFRIVOG7KG9J3KE","GSON2162200003")</f>
        <v>#NAME?</v>
      </c>
      <c r="P2197" s="8" t="e">
        <f ca="1">[1]!BexGetData("DP_1","003N8EMH8GTFRIVOG7KG9J9VY","GSON2162200003")</f>
        <v>#NAME?</v>
      </c>
      <c r="Q2197" s="4" t="e">
        <f ca="1">[1]!BexGetData("DP_1","00O2TNJGODT0G5Z4TTKYMM5MT","GSON2162200003")</f>
        <v>#NAME?</v>
      </c>
      <c r="R2197" s="4" t="e">
        <f ca="1">[1]!BexGetData("DP_1","00O2TNJGODT0G5Z4TTKYMMBYD","GSON2162200003")</f>
        <v>#NAME?</v>
      </c>
      <c r="S2197" s="4" t="e">
        <f ca="1">[1]!BexGetData("DP_1","00O2TNJGODT0G5Z4TTKYMMI9X","GSON2162200003")</f>
        <v>#NAME?</v>
      </c>
      <c r="T2197" s="4" t="e">
        <f ca="1">[1]!BexGetData("DP_1","00O2TNJGODT0G5Z4TTKYMMOLH","GSON2162200003")</f>
        <v>#NAME?</v>
      </c>
      <c r="U2197" s="4" t="e">
        <f ca="1">[1]!BexGetData("DP_1","00O2TNJGODT0G5Z4TTKYMMUX1","GSON2162200003")</f>
        <v>#NAME?</v>
      </c>
      <c r="V2197" s="4" t="e">
        <f ca="1">[1]!BexGetData("DP_1","00O2TNJGODT0G5Z4TTKYMN18L","GSON2162200003")</f>
        <v>#NAME?</v>
      </c>
      <c r="W2197" s="4" t="e">
        <f ca="1">[1]!BexGetData("DP_1","00O2TNJGODT0G5Z4TTKYMN7K5","GSON2162200003")</f>
        <v>#NAME?</v>
      </c>
    </row>
    <row r="2198" spans="1:23" x14ac:dyDescent="0.2">
      <c r="A2198" s="17" t="s">
        <v>4879</v>
      </c>
      <c r="B2198" s="7" t="s">
        <v>4880</v>
      </c>
      <c r="C2198" s="3" t="e">
        <f ca="1">[1]!BexGetData("DP_1","003N8EMH8GTFRCSWKMPXRR8GU","GSON2162200004")</f>
        <v>#NAME?</v>
      </c>
      <c r="D2198" s="3" t="e">
        <f ca="1">[1]!BexGetData("DP_1","003N8EMH8GTFRCSWKMPXRRESE","GSON2162200004")</f>
        <v>#NAME?</v>
      </c>
      <c r="E2198" s="3" t="e">
        <f ca="1">[1]!BexGetData("DP_1","003N8EMH8GTFRCSWKMPXRRL3Y","GSON2162200004")</f>
        <v>#NAME?</v>
      </c>
      <c r="F2198" s="4" t="e">
        <f ca="1">[1]!BexGetData("DP_1","003N8EMH8GTFRCSWKMPXRRRFI","GSON2162200004")</f>
        <v>#NAME?</v>
      </c>
      <c r="G2198" s="4" t="e">
        <f ca="1">[1]!BexGetData("DP_1","003N8EMH8GTFRCSWKMPXRRXR2","GSON2162200004")</f>
        <v>#NAME?</v>
      </c>
      <c r="H2198" s="4" t="e">
        <f ca="1">[1]!BexGetData("DP_1","003N8EMH8GTFRCSWKMPXRS42M","GSON2162200004")</f>
        <v>#NAME?</v>
      </c>
      <c r="I2198" s="4" t="e">
        <f ca="1">[1]!BexGetData("DP_1","003N8EMH8GTFRCSWKMPXRSAE6","GSON2162200004")</f>
        <v>#NAME?</v>
      </c>
      <c r="J2198" s="4" t="e">
        <f ca="1">[1]!BexGetData("DP_1","003N8EMH8GTFRCSWKMPXRSGPQ","GSON2162200004")</f>
        <v>#NAME?</v>
      </c>
      <c r="K2198" s="3" t="e">
        <f ca="1">[1]!BexGetData("DP_1","003N8EMH8GTFRIVNUPY288VJH","GSON2162200004")</f>
        <v>#NAME?</v>
      </c>
      <c r="L2198" s="3" t="e">
        <f ca="1">[1]!BexGetData("DP_1","003N8EMH8GTFRIVNUPY2891V1","GSON2162200004")</f>
        <v>#NAME?</v>
      </c>
      <c r="M2198" s="3" t="e">
        <f ca="1">[1]!BexGetData("DP_1","003N8EMH8GTFRIVOG7KG9IQXA","GSON2162200004")</f>
        <v>#NAME?</v>
      </c>
      <c r="N2198" s="8" t="e">
        <f ca="1">[1]!BexGetData("DP_1","003N8EMH8GTFRIVOG7KG9IX8U","GSON2162200004")</f>
        <v>#NAME?</v>
      </c>
      <c r="O2198" s="3" t="e">
        <f ca="1">[1]!BexGetData("DP_1","003N8EMH8GTFRIVOG7KG9J3KE","GSON2162200004")</f>
        <v>#NAME?</v>
      </c>
      <c r="P2198" s="8" t="e">
        <f ca="1">[1]!BexGetData("DP_1","003N8EMH8GTFRIVOG7KG9J9VY","GSON2162200004")</f>
        <v>#NAME?</v>
      </c>
      <c r="Q2198" s="4" t="e">
        <f ca="1">[1]!BexGetData("DP_1","00O2TNJGODT0G5Z4TTKYMM5MT","GSON2162200004")</f>
        <v>#NAME?</v>
      </c>
      <c r="R2198" s="4" t="e">
        <f ca="1">[1]!BexGetData("DP_1","00O2TNJGODT0G5Z4TTKYMMBYD","GSON2162200004")</f>
        <v>#NAME?</v>
      </c>
      <c r="S2198" s="4" t="e">
        <f ca="1">[1]!BexGetData("DP_1","00O2TNJGODT0G5Z4TTKYMMI9X","GSON2162200004")</f>
        <v>#NAME?</v>
      </c>
      <c r="T2198" s="4" t="e">
        <f ca="1">[1]!BexGetData("DP_1","00O2TNJGODT0G5Z4TTKYMMOLH","GSON2162200004")</f>
        <v>#NAME?</v>
      </c>
      <c r="U2198" s="4" t="e">
        <f ca="1">[1]!BexGetData("DP_1","00O2TNJGODT0G5Z4TTKYMMUX1","GSON2162200004")</f>
        <v>#NAME?</v>
      </c>
      <c r="V2198" s="4" t="e">
        <f ca="1">[1]!BexGetData("DP_1","00O2TNJGODT0G5Z4TTKYMN18L","GSON2162200004")</f>
        <v>#NAME?</v>
      </c>
      <c r="W2198" s="4" t="e">
        <f ca="1">[1]!BexGetData("DP_1","00O2TNJGODT0G5Z4TTKYMN7K5","GSON2162200004")</f>
        <v>#NAME?</v>
      </c>
    </row>
    <row r="2199" spans="1:23" x14ac:dyDescent="0.2">
      <c r="A2199" s="17" t="s">
        <v>4881</v>
      </c>
      <c r="B2199" s="7" t="s">
        <v>4882</v>
      </c>
      <c r="C2199" s="3" t="e">
        <f ca="1">[1]!BexGetData("DP_1","003N8EMH8GTFRCSWKMPXRR8GU","GSON2162200005")</f>
        <v>#NAME?</v>
      </c>
      <c r="D2199" s="3" t="e">
        <f ca="1">[1]!BexGetData("DP_1","003N8EMH8GTFRCSWKMPXRRESE","GSON2162200005")</f>
        <v>#NAME?</v>
      </c>
      <c r="E2199" s="3" t="e">
        <f ca="1">[1]!BexGetData("DP_1","003N8EMH8GTFRCSWKMPXRRL3Y","GSON2162200005")</f>
        <v>#NAME?</v>
      </c>
      <c r="F2199" s="4" t="e">
        <f ca="1">[1]!BexGetData("DP_1","003N8EMH8GTFRCSWKMPXRRRFI","GSON2162200005")</f>
        <v>#NAME?</v>
      </c>
      <c r="G2199" s="4" t="e">
        <f ca="1">[1]!BexGetData("DP_1","003N8EMH8GTFRCSWKMPXRRXR2","GSON2162200005")</f>
        <v>#NAME?</v>
      </c>
      <c r="H2199" s="4" t="e">
        <f ca="1">[1]!BexGetData("DP_1","003N8EMH8GTFRCSWKMPXRS42M","GSON2162200005")</f>
        <v>#NAME?</v>
      </c>
      <c r="I2199" s="4" t="e">
        <f ca="1">[1]!BexGetData("DP_1","003N8EMH8GTFRCSWKMPXRSAE6","GSON2162200005")</f>
        <v>#NAME?</v>
      </c>
      <c r="J2199" s="4" t="e">
        <f ca="1">[1]!BexGetData("DP_1","003N8EMH8GTFRCSWKMPXRSGPQ","GSON2162200005")</f>
        <v>#NAME?</v>
      </c>
      <c r="K2199" s="3" t="e">
        <f ca="1">[1]!BexGetData("DP_1","003N8EMH8GTFRIVNUPY288VJH","GSON2162200005")</f>
        <v>#NAME?</v>
      </c>
      <c r="L2199" s="3" t="e">
        <f ca="1">[1]!BexGetData("DP_1","003N8EMH8GTFRIVNUPY2891V1","GSON2162200005")</f>
        <v>#NAME?</v>
      </c>
      <c r="M2199" s="8" t="e">
        <f ca="1">[1]!BexGetData("DP_1","003N8EMH8GTFRIVOG7KG9IQXA","GSON2162200005")</f>
        <v>#NAME?</v>
      </c>
      <c r="N2199" s="3" t="e">
        <f ca="1">[1]!BexGetData("DP_1","003N8EMH8GTFRIVOG7KG9IX8U","GSON2162200005")</f>
        <v>#NAME?</v>
      </c>
      <c r="O2199" s="8" t="e">
        <f ca="1">[1]!BexGetData("DP_1","003N8EMH8GTFRIVOG7KG9J3KE","GSON2162200005")</f>
        <v>#NAME?</v>
      </c>
      <c r="P2199" s="3" t="e">
        <f ca="1">[1]!BexGetData("DP_1","003N8EMH8GTFRIVOG7KG9J9VY","GSON2162200005")</f>
        <v>#NAME?</v>
      </c>
      <c r="Q2199" s="4" t="e">
        <f ca="1">[1]!BexGetData("DP_1","00O2TNJGODT0G5Z4TTKYMM5MT","GSON2162200005")</f>
        <v>#NAME?</v>
      </c>
      <c r="R2199" s="4" t="e">
        <f ca="1">[1]!BexGetData("DP_1","00O2TNJGODT0G5Z4TTKYMMBYD","GSON2162200005")</f>
        <v>#NAME?</v>
      </c>
      <c r="S2199" s="4" t="e">
        <f ca="1">[1]!BexGetData("DP_1","00O2TNJGODT0G5Z4TTKYMMI9X","GSON2162200005")</f>
        <v>#NAME?</v>
      </c>
      <c r="T2199" s="4" t="e">
        <f ca="1">[1]!BexGetData("DP_1","00O2TNJGODT0G5Z4TTKYMMOLH","GSON2162200005")</f>
        <v>#NAME?</v>
      </c>
      <c r="U2199" s="4" t="e">
        <f ca="1">[1]!BexGetData("DP_1","00O2TNJGODT0G5Z4TTKYMMUX1","GSON2162200005")</f>
        <v>#NAME?</v>
      </c>
      <c r="V2199" s="4" t="e">
        <f ca="1">[1]!BexGetData("DP_1","00O2TNJGODT0G5Z4TTKYMN18L","GSON2162200005")</f>
        <v>#NAME?</v>
      </c>
      <c r="W2199" s="4" t="e">
        <f ca="1">[1]!BexGetData("DP_1","00O2TNJGODT0G5Z4TTKYMN7K5","GSON2162200005")</f>
        <v>#NAME?</v>
      </c>
    </row>
    <row r="2200" spans="1:23" x14ac:dyDescent="0.2">
      <c r="A2200" s="17" t="s">
        <v>1442</v>
      </c>
      <c r="B2200" s="7" t="s">
        <v>680</v>
      </c>
      <c r="C2200" s="3" t="e">
        <f ca="1">[1]!BexGetData("DP_1","003N8EMH8GTFRCSWKMPXRR8GU","GSON2162200006")</f>
        <v>#NAME?</v>
      </c>
      <c r="D2200" s="3" t="e">
        <f ca="1">[1]!BexGetData("DP_1","003N8EMH8GTFRCSWKMPXRRESE","GSON2162200006")</f>
        <v>#NAME?</v>
      </c>
      <c r="E2200" s="3" t="e">
        <f ca="1">[1]!BexGetData("DP_1","003N8EMH8GTFRCSWKMPXRRL3Y","GSON2162200006")</f>
        <v>#NAME?</v>
      </c>
      <c r="F2200" s="4" t="e">
        <f ca="1">[1]!BexGetData("DP_1","003N8EMH8GTFRCSWKMPXRRRFI","GSON2162200006")</f>
        <v>#NAME?</v>
      </c>
      <c r="G2200" s="4" t="e">
        <f ca="1">[1]!BexGetData("DP_1","003N8EMH8GTFRCSWKMPXRRXR2","GSON2162200006")</f>
        <v>#NAME?</v>
      </c>
      <c r="H2200" s="4" t="e">
        <f ca="1">[1]!BexGetData("DP_1","003N8EMH8GTFRCSWKMPXRS42M","GSON2162200006")</f>
        <v>#NAME?</v>
      </c>
      <c r="I2200" s="4" t="e">
        <f ca="1">[1]!BexGetData("DP_1","003N8EMH8GTFRCSWKMPXRSAE6","GSON2162200006")</f>
        <v>#NAME?</v>
      </c>
      <c r="J2200" s="4" t="e">
        <f ca="1">[1]!BexGetData("DP_1","003N8EMH8GTFRCSWKMPXRSGPQ","GSON2162200006")</f>
        <v>#NAME?</v>
      </c>
      <c r="K2200" s="3" t="e">
        <f ca="1">[1]!BexGetData("DP_1","003N8EMH8GTFRIVNUPY288VJH","GSON2162200006")</f>
        <v>#NAME?</v>
      </c>
      <c r="L2200" s="3" t="e">
        <f ca="1">[1]!BexGetData("DP_1","003N8EMH8GTFRIVNUPY2891V1","GSON2162200006")</f>
        <v>#NAME?</v>
      </c>
      <c r="M2200" s="3" t="e">
        <f ca="1">[1]!BexGetData("DP_1","003N8EMH8GTFRIVOG7KG9IQXA","GSON2162200006")</f>
        <v>#NAME?</v>
      </c>
      <c r="N2200" s="8" t="e">
        <f ca="1">[1]!BexGetData("DP_1","003N8EMH8GTFRIVOG7KG9IX8U","GSON2162200006")</f>
        <v>#NAME?</v>
      </c>
      <c r="O2200" s="3" t="e">
        <f ca="1">[1]!BexGetData("DP_1","003N8EMH8GTFRIVOG7KG9J3KE","GSON2162200006")</f>
        <v>#NAME?</v>
      </c>
      <c r="P2200" s="8" t="e">
        <f ca="1">[1]!BexGetData("DP_1","003N8EMH8GTFRIVOG7KG9J9VY","GSON2162200006")</f>
        <v>#NAME?</v>
      </c>
      <c r="Q2200" s="4" t="e">
        <f ca="1">[1]!BexGetData("DP_1","00O2TNJGODT0G5Z4TTKYMM5MT","GSON2162200006")</f>
        <v>#NAME?</v>
      </c>
      <c r="R2200" s="4" t="e">
        <f ca="1">[1]!BexGetData("DP_1","00O2TNJGODT0G5Z4TTKYMMBYD","GSON2162200006")</f>
        <v>#NAME?</v>
      </c>
      <c r="S2200" s="4" t="e">
        <f ca="1">[1]!BexGetData("DP_1","00O2TNJGODT0G5Z4TTKYMMI9X","GSON2162200006")</f>
        <v>#NAME?</v>
      </c>
      <c r="T2200" s="4" t="e">
        <f ca="1">[1]!BexGetData("DP_1","00O2TNJGODT0G5Z4TTKYMMOLH","GSON2162200006")</f>
        <v>#NAME?</v>
      </c>
      <c r="U2200" s="4" t="e">
        <f ca="1">[1]!BexGetData("DP_1","00O2TNJGODT0G5Z4TTKYMMUX1","GSON2162200006")</f>
        <v>#NAME?</v>
      </c>
      <c r="V2200" s="4" t="e">
        <f ca="1">[1]!BexGetData("DP_1","00O2TNJGODT0G5Z4TTKYMN18L","GSON2162200006")</f>
        <v>#NAME?</v>
      </c>
      <c r="W2200" s="4" t="e">
        <f ca="1">[1]!BexGetData("DP_1","00O2TNJGODT0G5Z4TTKYMN7K5","GSON2162200006")</f>
        <v>#NAME?</v>
      </c>
    </row>
    <row r="2201" spans="1:23" x14ac:dyDescent="0.2">
      <c r="A2201" s="17" t="s">
        <v>1443</v>
      </c>
      <c r="B2201" s="7" t="s">
        <v>681</v>
      </c>
      <c r="C2201" s="3" t="e">
        <f ca="1">[1]!BexGetData("DP_1","003N8EMH8GTFRCSWKMPXRR8GU","GSON2162200007")</f>
        <v>#NAME?</v>
      </c>
      <c r="D2201" s="3" t="e">
        <f ca="1">[1]!BexGetData("DP_1","003N8EMH8GTFRCSWKMPXRRESE","GSON2162200007")</f>
        <v>#NAME?</v>
      </c>
      <c r="E2201" s="3" t="e">
        <f ca="1">[1]!BexGetData("DP_1","003N8EMH8GTFRCSWKMPXRRL3Y","GSON2162200007")</f>
        <v>#NAME?</v>
      </c>
      <c r="F2201" s="4" t="e">
        <f ca="1">[1]!BexGetData("DP_1","003N8EMH8GTFRCSWKMPXRRRFI","GSON2162200007")</f>
        <v>#NAME?</v>
      </c>
      <c r="G2201" s="4" t="e">
        <f ca="1">[1]!BexGetData("DP_1","003N8EMH8GTFRCSWKMPXRRXR2","GSON2162200007")</f>
        <v>#NAME?</v>
      </c>
      <c r="H2201" s="4" t="e">
        <f ca="1">[1]!BexGetData("DP_1","003N8EMH8GTFRCSWKMPXRS42M","GSON2162200007")</f>
        <v>#NAME?</v>
      </c>
      <c r="I2201" s="4" t="e">
        <f ca="1">[1]!BexGetData("DP_1","003N8EMH8GTFRCSWKMPXRSAE6","GSON2162200007")</f>
        <v>#NAME?</v>
      </c>
      <c r="J2201" s="4" t="e">
        <f ca="1">[1]!BexGetData("DP_1","003N8EMH8GTFRCSWKMPXRSGPQ","GSON2162200007")</f>
        <v>#NAME?</v>
      </c>
      <c r="K2201" s="3" t="e">
        <f ca="1">[1]!BexGetData("DP_1","003N8EMH8GTFRIVNUPY288VJH","GSON2162200007")</f>
        <v>#NAME?</v>
      </c>
      <c r="L2201" s="3" t="e">
        <f ca="1">[1]!BexGetData("DP_1","003N8EMH8GTFRIVNUPY2891V1","GSON2162200007")</f>
        <v>#NAME?</v>
      </c>
      <c r="M2201" s="3" t="e">
        <f ca="1">[1]!BexGetData("DP_1","003N8EMH8GTFRIVOG7KG9IQXA","GSON2162200007")</f>
        <v>#NAME?</v>
      </c>
      <c r="N2201" s="8" t="e">
        <f ca="1">[1]!BexGetData("DP_1","003N8EMH8GTFRIVOG7KG9IX8U","GSON2162200007")</f>
        <v>#NAME?</v>
      </c>
      <c r="O2201" s="3" t="e">
        <f ca="1">[1]!BexGetData("DP_1","003N8EMH8GTFRIVOG7KG9J3KE","GSON2162200007")</f>
        <v>#NAME?</v>
      </c>
      <c r="P2201" s="8" t="e">
        <f ca="1">[1]!BexGetData("DP_1","003N8EMH8GTFRIVOG7KG9J9VY","GSON2162200007")</f>
        <v>#NAME?</v>
      </c>
      <c r="Q2201" s="4" t="e">
        <f ca="1">[1]!BexGetData("DP_1","00O2TNJGODT0G5Z4TTKYMM5MT","GSON2162200007")</f>
        <v>#NAME?</v>
      </c>
      <c r="R2201" s="4" t="e">
        <f ca="1">[1]!BexGetData("DP_1","00O2TNJGODT0G5Z4TTKYMMBYD","GSON2162200007")</f>
        <v>#NAME?</v>
      </c>
      <c r="S2201" s="4" t="e">
        <f ca="1">[1]!BexGetData("DP_1","00O2TNJGODT0G5Z4TTKYMMI9X","GSON2162200007")</f>
        <v>#NAME?</v>
      </c>
      <c r="T2201" s="4" t="e">
        <f ca="1">[1]!BexGetData("DP_1","00O2TNJGODT0G5Z4TTKYMMOLH","GSON2162200007")</f>
        <v>#NAME?</v>
      </c>
      <c r="U2201" s="4" t="e">
        <f ca="1">[1]!BexGetData("DP_1","00O2TNJGODT0G5Z4TTKYMMUX1","GSON2162200007")</f>
        <v>#NAME?</v>
      </c>
      <c r="V2201" s="4" t="e">
        <f ca="1">[1]!BexGetData("DP_1","00O2TNJGODT0G5Z4TTKYMN18L","GSON2162200007")</f>
        <v>#NAME?</v>
      </c>
      <c r="W2201" s="4" t="e">
        <f ca="1">[1]!BexGetData("DP_1","00O2TNJGODT0G5Z4TTKYMN7K5","GSON2162200007")</f>
        <v>#NAME?</v>
      </c>
    </row>
    <row r="2202" spans="1:23" x14ac:dyDescent="0.2">
      <c r="A2202" s="17" t="s">
        <v>1444</v>
      </c>
      <c r="B2202" s="7" t="s">
        <v>682</v>
      </c>
      <c r="C2202" s="3" t="e">
        <f ca="1">[1]!BexGetData("DP_1","003N8EMH8GTFRCSWKMPXRR8GU","GSON2162200008")</f>
        <v>#NAME?</v>
      </c>
      <c r="D2202" s="3" t="e">
        <f ca="1">[1]!BexGetData("DP_1","003N8EMH8GTFRCSWKMPXRRESE","GSON2162200008")</f>
        <v>#NAME?</v>
      </c>
      <c r="E2202" s="3" t="e">
        <f ca="1">[1]!BexGetData("DP_1","003N8EMH8GTFRCSWKMPXRRL3Y","GSON2162200008")</f>
        <v>#NAME?</v>
      </c>
      <c r="F2202" s="4" t="e">
        <f ca="1">[1]!BexGetData("DP_1","003N8EMH8GTFRCSWKMPXRRRFI","GSON2162200008")</f>
        <v>#NAME?</v>
      </c>
      <c r="G2202" s="4" t="e">
        <f ca="1">[1]!BexGetData("DP_1","003N8EMH8GTFRCSWKMPXRRXR2","GSON2162200008")</f>
        <v>#NAME?</v>
      </c>
      <c r="H2202" s="4" t="e">
        <f ca="1">[1]!BexGetData("DP_1","003N8EMH8GTFRCSWKMPXRS42M","GSON2162200008")</f>
        <v>#NAME?</v>
      </c>
      <c r="I2202" s="4" t="e">
        <f ca="1">[1]!BexGetData("DP_1","003N8EMH8GTFRCSWKMPXRSAE6","GSON2162200008")</f>
        <v>#NAME?</v>
      </c>
      <c r="J2202" s="4" t="e">
        <f ca="1">[1]!BexGetData("DP_1","003N8EMH8GTFRCSWKMPXRSGPQ","GSON2162200008")</f>
        <v>#NAME?</v>
      </c>
      <c r="K2202" s="3" t="e">
        <f ca="1">[1]!BexGetData("DP_1","003N8EMH8GTFRIVNUPY288VJH","GSON2162200008")</f>
        <v>#NAME?</v>
      </c>
      <c r="L2202" s="3" t="e">
        <f ca="1">[1]!BexGetData("DP_1","003N8EMH8GTFRIVNUPY2891V1","GSON2162200008")</f>
        <v>#NAME?</v>
      </c>
      <c r="M2202" s="3" t="e">
        <f ca="1">[1]!BexGetData("DP_1","003N8EMH8GTFRIVOG7KG9IQXA","GSON2162200008")</f>
        <v>#NAME?</v>
      </c>
      <c r="N2202" s="8" t="e">
        <f ca="1">[1]!BexGetData("DP_1","003N8EMH8GTFRIVOG7KG9IX8U","GSON2162200008")</f>
        <v>#NAME?</v>
      </c>
      <c r="O2202" s="3" t="e">
        <f ca="1">[1]!BexGetData("DP_1","003N8EMH8GTFRIVOG7KG9J3KE","GSON2162200008")</f>
        <v>#NAME?</v>
      </c>
      <c r="P2202" s="8" t="e">
        <f ca="1">[1]!BexGetData("DP_1","003N8EMH8GTFRIVOG7KG9J9VY","GSON2162200008")</f>
        <v>#NAME?</v>
      </c>
      <c r="Q2202" s="4" t="e">
        <f ca="1">[1]!BexGetData("DP_1","00O2TNJGODT0G5Z4TTKYMM5MT","GSON2162200008")</f>
        <v>#NAME?</v>
      </c>
      <c r="R2202" s="4" t="e">
        <f ca="1">[1]!BexGetData("DP_1","00O2TNJGODT0G5Z4TTKYMMBYD","GSON2162200008")</f>
        <v>#NAME?</v>
      </c>
      <c r="S2202" s="4" t="e">
        <f ca="1">[1]!BexGetData("DP_1","00O2TNJGODT0G5Z4TTKYMMI9X","GSON2162200008")</f>
        <v>#NAME?</v>
      </c>
      <c r="T2202" s="4" t="e">
        <f ca="1">[1]!BexGetData("DP_1","00O2TNJGODT0G5Z4TTKYMMOLH","GSON2162200008")</f>
        <v>#NAME?</v>
      </c>
      <c r="U2202" s="4" t="e">
        <f ca="1">[1]!BexGetData("DP_1","00O2TNJGODT0G5Z4TTKYMMUX1","GSON2162200008")</f>
        <v>#NAME?</v>
      </c>
      <c r="V2202" s="4" t="e">
        <f ca="1">[1]!BexGetData("DP_1","00O2TNJGODT0G5Z4TTKYMN18L","GSON2162200008")</f>
        <v>#NAME?</v>
      </c>
      <c r="W2202" s="4" t="e">
        <f ca="1">[1]!BexGetData("DP_1","00O2TNJGODT0G5Z4TTKYMN7K5","GSON2162200008")</f>
        <v>#NAME?</v>
      </c>
    </row>
    <row r="2203" spans="1:23" x14ac:dyDescent="0.2">
      <c r="A2203" s="17" t="s">
        <v>1445</v>
      </c>
      <c r="B2203" s="7" t="s">
        <v>683</v>
      </c>
      <c r="C2203" s="3" t="e">
        <f ca="1">[1]!BexGetData("DP_1","003N8EMH8GTFRCSWKMPXRR8GU","GSON2162200009")</f>
        <v>#NAME?</v>
      </c>
      <c r="D2203" s="3" t="e">
        <f ca="1">[1]!BexGetData("DP_1","003N8EMH8GTFRCSWKMPXRRESE","GSON2162200009")</f>
        <v>#NAME?</v>
      </c>
      <c r="E2203" s="3" t="e">
        <f ca="1">[1]!BexGetData("DP_1","003N8EMH8GTFRCSWKMPXRRL3Y","GSON2162200009")</f>
        <v>#NAME?</v>
      </c>
      <c r="F2203" s="4" t="e">
        <f ca="1">[1]!BexGetData("DP_1","003N8EMH8GTFRCSWKMPXRRRFI","GSON2162200009")</f>
        <v>#NAME?</v>
      </c>
      <c r="G2203" s="4" t="e">
        <f ca="1">[1]!BexGetData("DP_1","003N8EMH8GTFRCSWKMPXRRXR2","GSON2162200009")</f>
        <v>#NAME?</v>
      </c>
      <c r="H2203" s="4" t="e">
        <f ca="1">[1]!BexGetData("DP_1","003N8EMH8GTFRCSWKMPXRS42M","GSON2162200009")</f>
        <v>#NAME?</v>
      </c>
      <c r="I2203" s="4" t="e">
        <f ca="1">[1]!BexGetData("DP_1","003N8EMH8GTFRCSWKMPXRSAE6","GSON2162200009")</f>
        <v>#NAME?</v>
      </c>
      <c r="J2203" s="4" t="e">
        <f ca="1">[1]!BexGetData("DP_1","003N8EMH8GTFRCSWKMPXRSGPQ","GSON2162200009")</f>
        <v>#NAME?</v>
      </c>
      <c r="K2203" s="3" t="e">
        <f ca="1">[1]!BexGetData("DP_1","003N8EMH8GTFRIVNUPY288VJH","GSON2162200009")</f>
        <v>#NAME?</v>
      </c>
      <c r="L2203" s="3" t="e">
        <f ca="1">[1]!BexGetData("DP_1","003N8EMH8GTFRIVNUPY2891V1","GSON2162200009")</f>
        <v>#NAME?</v>
      </c>
      <c r="M2203" s="3" t="e">
        <f ca="1">[1]!BexGetData("DP_1","003N8EMH8GTFRIVOG7KG9IQXA","GSON2162200009")</f>
        <v>#NAME?</v>
      </c>
      <c r="N2203" s="8" t="e">
        <f ca="1">[1]!BexGetData("DP_1","003N8EMH8GTFRIVOG7KG9IX8U","GSON2162200009")</f>
        <v>#NAME?</v>
      </c>
      <c r="O2203" s="3" t="e">
        <f ca="1">[1]!BexGetData("DP_1","003N8EMH8GTFRIVOG7KG9J3KE","GSON2162200009")</f>
        <v>#NAME?</v>
      </c>
      <c r="P2203" s="8" t="e">
        <f ca="1">[1]!BexGetData("DP_1","003N8EMH8GTFRIVOG7KG9J9VY","GSON2162200009")</f>
        <v>#NAME?</v>
      </c>
      <c r="Q2203" s="4" t="e">
        <f ca="1">[1]!BexGetData("DP_1","00O2TNJGODT0G5Z4TTKYMM5MT","GSON2162200009")</f>
        <v>#NAME?</v>
      </c>
      <c r="R2203" s="4" t="e">
        <f ca="1">[1]!BexGetData("DP_1","00O2TNJGODT0G5Z4TTKYMMBYD","GSON2162200009")</f>
        <v>#NAME?</v>
      </c>
      <c r="S2203" s="4" t="e">
        <f ca="1">[1]!BexGetData("DP_1","00O2TNJGODT0G5Z4TTKYMMI9X","GSON2162200009")</f>
        <v>#NAME?</v>
      </c>
      <c r="T2203" s="4" t="e">
        <f ca="1">[1]!BexGetData("DP_1","00O2TNJGODT0G5Z4TTKYMMOLH","GSON2162200009")</f>
        <v>#NAME?</v>
      </c>
      <c r="U2203" s="4" t="e">
        <f ca="1">[1]!BexGetData("DP_1","00O2TNJGODT0G5Z4TTKYMMUX1","GSON2162200009")</f>
        <v>#NAME?</v>
      </c>
      <c r="V2203" s="4" t="e">
        <f ca="1">[1]!BexGetData("DP_1","00O2TNJGODT0G5Z4TTKYMN18L","GSON2162200009")</f>
        <v>#NAME?</v>
      </c>
      <c r="W2203" s="4" t="e">
        <f ca="1">[1]!BexGetData("DP_1","00O2TNJGODT0G5Z4TTKYMN7K5","GSON2162200009")</f>
        <v>#NAME?</v>
      </c>
    </row>
    <row r="2204" spans="1:23" x14ac:dyDescent="0.2">
      <c r="A2204" s="17" t="s">
        <v>4883</v>
      </c>
      <c r="B2204" s="7" t="s">
        <v>4884</v>
      </c>
      <c r="C2204" s="3" t="e">
        <f ca="1">[1]!BexGetData("DP_1","003N8EMH8GTFRCSWKMPXRR8GU","GSON2162200010")</f>
        <v>#NAME?</v>
      </c>
      <c r="D2204" s="3" t="e">
        <f ca="1">[1]!BexGetData("DP_1","003N8EMH8GTFRCSWKMPXRRESE","GSON2162200010")</f>
        <v>#NAME?</v>
      </c>
      <c r="E2204" s="3" t="e">
        <f ca="1">[1]!BexGetData("DP_1","003N8EMH8GTFRCSWKMPXRRL3Y","GSON2162200010")</f>
        <v>#NAME?</v>
      </c>
      <c r="F2204" s="4" t="e">
        <f ca="1">[1]!BexGetData("DP_1","003N8EMH8GTFRCSWKMPXRRRFI","GSON2162200010")</f>
        <v>#NAME?</v>
      </c>
      <c r="G2204" s="4" t="e">
        <f ca="1">[1]!BexGetData("DP_1","003N8EMH8GTFRCSWKMPXRRXR2","GSON2162200010")</f>
        <v>#NAME?</v>
      </c>
      <c r="H2204" s="4" t="e">
        <f ca="1">[1]!BexGetData("DP_1","003N8EMH8GTFRCSWKMPXRS42M","GSON2162200010")</f>
        <v>#NAME?</v>
      </c>
      <c r="I2204" s="4" t="e">
        <f ca="1">[1]!BexGetData("DP_1","003N8EMH8GTFRCSWKMPXRSAE6","GSON2162200010")</f>
        <v>#NAME?</v>
      </c>
      <c r="J2204" s="4" t="e">
        <f ca="1">[1]!BexGetData("DP_1","003N8EMH8GTFRCSWKMPXRSGPQ","GSON2162200010")</f>
        <v>#NAME?</v>
      </c>
      <c r="K2204" s="3" t="e">
        <f ca="1">[1]!BexGetData("DP_1","003N8EMH8GTFRIVNUPY288VJH","GSON2162200010")</f>
        <v>#NAME?</v>
      </c>
      <c r="L2204" s="3" t="e">
        <f ca="1">[1]!BexGetData("DP_1","003N8EMH8GTFRIVNUPY2891V1","GSON2162200010")</f>
        <v>#NAME?</v>
      </c>
      <c r="M2204" s="3" t="e">
        <f ca="1">[1]!BexGetData("DP_1","003N8EMH8GTFRIVOG7KG9IQXA","GSON2162200010")</f>
        <v>#NAME?</v>
      </c>
      <c r="N2204" s="8" t="e">
        <f ca="1">[1]!BexGetData("DP_1","003N8EMH8GTFRIVOG7KG9IX8U","GSON2162200010")</f>
        <v>#NAME?</v>
      </c>
      <c r="O2204" s="3" t="e">
        <f ca="1">[1]!BexGetData("DP_1","003N8EMH8GTFRIVOG7KG9J3KE","GSON2162200010")</f>
        <v>#NAME?</v>
      </c>
      <c r="P2204" s="8" t="e">
        <f ca="1">[1]!BexGetData("DP_1","003N8EMH8GTFRIVOG7KG9J9VY","GSON2162200010")</f>
        <v>#NAME?</v>
      </c>
      <c r="Q2204" s="4" t="e">
        <f ca="1">[1]!BexGetData("DP_1","00O2TNJGODT0G5Z4TTKYMM5MT","GSON2162200010")</f>
        <v>#NAME?</v>
      </c>
      <c r="R2204" s="4" t="e">
        <f ca="1">[1]!BexGetData("DP_1","00O2TNJGODT0G5Z4TTKYMMBYD","GSON2162200010")</f>
        <v>#NAME?</v>
      </c>
      <c r="S2204" s="4" t="e">
        <f ca="1">[1]!BexGetData("DP_1","00O2TNJGODT0G5Z4TTKYMMI9X","GSON2162200010")</f>
        <v>#NAME?</v>
      </c>
      <c r="T2204" s="4" t="e">
        <f ca="1">[1]!BexGetData("DP_1","00O2TNJGODT0G5Z4TTKYMMOLH","GSON2162200010")</f>
        <v>#NAME?</v>
      </c>
      <c r="U2204" s="4" t="e">
        <f ca="1">[1]!BexGetData("DP_1","00O2TNJGODT0G5Z4TTKYMMUX1","GSON2162200010")</f>
        <v>#NAME?</v>
      </c>
      <c r="V2204" s="4" t="e">
        <f ca="1">[1]!BexGetData("DP_1","00O2TNJGODT0G5Z4TTKYMN18L","GSON2162200010")</f>
        <v>#NAME?</v>
      </c>
      <c r="W2204" s="4" t="e">
        <f ca="1">[1]!BexGetData("DP_1","00O2TNJGODT0G5Z4TTKYMN7K5","GSON2162200010")</f>
        <v>#NAME?</v>
      </c>
    </row>
    <row r="2205" spans="1:23" x14ac:dyDescent="0.2">
      <c r="A2205" s="17" t="s">
        <v>4885</v>
      </c>
      <c r="B2205" s="7" t="s">
        <v>4886</v>
      </c>
      <c r="C2205" s="3" t="e">
        <f ca="1">[1]!BexGetData("DP_1","003N8EMH8GTFRCSWKMPXRR8GU","GSON2162200011")</f>
        <v>#NAME?</v>
      </c>
      <c r="D2205" s="3" t="e">
        <f ca="1">[1]!BexGetData("DP_1","003N8EMH8GTFRCSWKMPXRRESE","GSON2162200011")</f>
        <v>#NAME?</v>
      </c>
      <c r="E2205" s="3" t="e">
        <f ca="1">[1]!BexGetData("DP_1","003N8EMH8GTFRCSWKMPXRRL3Y","GSON2162200011")</f>
        <v>#NAME?</v>
      </c>
      <c r="F2205" s="4" t="e">
        <f ca="1">[1]!BexGetData("DP_1","003N8EMH8GTFRCSWKMPXRRRFI","GSON2162200011")</f>
        <v>#NAME?</v>
      </c>
      <c r="G2205" s="4" t="e">
        <f ca="1">[1]!BexGetData("DP_1","003N8EMH8GTFRCSWKMPXRRXR2","GSON2162200011")</f>
        <v>#NAME?</v>
      </c>
      <c r="H2205" s="4" t="e">
        <f ca="1">[1]!BexGetData("DP_1","003N8EMH8GTFRCSWKMPXRS42M","GSON2162200011")</f>
        <v>#NAME?</v>
      </c>
      <c r="I2205" s="4" t="e">
        <f ca="1">[1]!BexGetData("DP_1","003N8EMH8GTFRCSWKMPXRSAE6","GSON2162200011")</f>
        <v>#NAME?</v>
      </c>
      <c r="J2205" s="4" t="e">
        <f ca="1">[1]!BexGetData("DP_1","003N8EMH8GTFRCSWKMPXRSGPQ","GSON2162200011")</f>
        <v>#NAME?</v>
      </c>
      <c r="K2205" s="3" t="e">
        <f ca="1">[1]!BexGetData("DP_1","003N8EMH8GTFRIVNUPY288VJH","GSON2162200011")</f>
        <v>#NAME?</v>
      </c>
      <c r="L2205" s="3" t="e">
        <f ca="1">[1]!BexGetData("DP_1","003N8EMH8GTFRIVNUPY2891V1","GSON2162200011")</f>
        <v>#NAME?</v>
      </c>
      <c r="M2205" s="3" t="e">
        <f ca="1">[1]!BexGetData("DP_1","003N8EMH8GTFRIVOG7KG9IQXA","GSON2162200011")</f>
        <v>#NAME?</v>
      </c>
      <c r="N2205" s="8" t="e">
        <f ca="1">[1]!BexGetData("DP_1","003N8EMH8GTFRIVOG7KG9IX8U","GSON2162200011")</f>
        <v>#NAME?</v>
      </c>
      <c r="O2205" s="3" t="e">
        <f ca="1">[1]!BexGetData("DP_1","003N8EMH8GTFRIVOG7KG9J3KE","GSON2162200011")</f>
        <v>#NAME?</v>
      </c>
      <c r="P2205" s="8" t="e">
        <f ca="1">[1]!BexGetData("DP_1","003N8EMH8GTFRIVOG7KG9J9VY","GSON2162200011")</f>
        <v>#NAME?</v>
      </c>
      <c r="Q2205" s="4" t="e">
        <f ca="1">[1]!BexGetData("DP_1","00O2TNJGODT0G5Z4TTKYMM5MT","GSON2162200011")</f>
        <v>#NAME?</v>
      </c>
      <c r="R2205" s="4" t="e">
        <f ca="1">[1]!BexGetData("DP_1","00O2TNJGODT0G5Z4TTKYMMBYD","GSON2162200011")</f>
        <v>#NAME?</v>
      </c>
      <c r="S2205" s="4" t="e">
        <f ca="1">[1]!BexGetData("DP_1","00O2TNJGODT0G5Z4TTKYMMI9X","GSON2162200011")</f>
        <v>#NAME?</v>
      </c>
      <c r="T2205" s="4" t="e">
        <f ca="1">[1]!BexGetData("DP_1","00O2TNJGODT0G5Z4TTKYMMOLH","GSON2162200011")</f>
        <v>#NAME?</v>
      </c>
      <c r="U2205" s="4" t="e">
        <f ca="1">[1]!BexGetData("DP_1","00O2TNJGODT0G5Z4TTKYMMUX1","GSON2162200011")</f>
        <v>#NAME?</v>
      </c>
      <c r="V2205" s="4" t="e">
        <f ca="1">[1]!BexGetData("DP_1","00O2TNJGODT0G5Z4TTKYMN18L","GSON2162200011")</f>
        <v>#NAME?</v>
      </c>
      <c r="W2205" s="4" t="e">
        <f ca="1">[1]!BexGetData("DP_1","00O2TNJGODT0G5Z4TTKYMN7K5","GSON2162200011")</f>
        <v>#NAME?</v>
      </c>
    </row>
    <row r="2206" spans="1:23" x14ac:dyDescent="0.2">
      <c r="A2206" s="17" t="s">
        <v>4887</v>
      </c>
      <c r="B2206" s="7" t="s">
        <v>4888</v>
      </c>
      <c r="C2206" s="3" t="e">
        <f ca="1">[1]!BexGetData("DP_1","003N8EMH8GTFRCSWKMPXRR8GU","GSON2162200012")</f>
        <v>#NAME?</v>
      </c>
      <c r="D2206" s="3" t="e">
        <f ca="1">[1]!BexGetData("DP_1","003N8EMH8GTFRCSWKMPXRRESE","GSON2162200012")</f>
        <v>#NAME?</v>
      </c>
      <c r="E2206" s="3" t="e">
        <f ca="1">[1]!BexGetData("DP_1","003N8EMH8GTFRCSWKMPXRRL3Y","GSON2162200012")</f>
        <v>#NAME?</v>
      </c>
      <c r="F2206" s="4" t="e">
        <f ca="1">[1]!BexGetData("DP_1","003N8EMH8GTFRCSWKMPXRRRFI","GSON2162200012")</f>
        <v>#NAME?</v>
      </c>
      <c r="G2206" s="4" t="e">
        <f ca="1">[1]!BexGetData("DP_1","003N8EMH8GTFRCSWKMPXRRXR2","GSON2162200012")</f>
        <v>#NAME?</v>
      </c>
      <c r="H2206" s="4" t="e">
        <f ca="1">[1]!BexGetData("DP_1","003N8EMH8GTFRCSWKMPXRS42M","GSON2162200012")</f>
        <v>#NAME?</v>
      </c>
      <c r="I2206" s="4" t="e">
        <f ca="1">[1]!BexGetData("DP_1","003N8EMH8GTFRCSWKMPXRSAE6","GSON2162200012")</f>
        <v>#NAME?</v>
      </c>
      <c r="J2206" s="4" t="e">
        <f ca="1">[1]!BexGetData("DP_1","003N8EMH8GTFRCSWKMPXRSGPQ","GSON2162200012")</f>
        <v>#NAME?</v>
      </c>
      <c r="K2206" s="3" t="e">
        <f ca="1">[1]!BexGetData("DP_1","003N8EMH8GTFRIVNUPY288VJH","GSON2162200012")</f>
        <v>#NAME?</v>
      </c>
      <c r="L2206" s="3" t="e">
        <f ca="1">[1]!BexGetData("DP_1","003N8EMH8GTFRIVNUPY2891V1","GSON2162200012")</f>
        <v>#NAME?</v>
      </c>
      <c r="M2206" s="3" t="e">
        <f ca="1">[1]!BexGetData("DP_1","003N8EMH8GTFRIVOG7KG9IQXA","GSON2162200012")</f>
        <v>#NAME?</v>
      </c>
      <c r="N2206" s="8" t="e">
        <f ca="1">[1]!BexGetData("DP_1","003N8EMH8GTFRIVOG7KG9IX8U","GSON2162200012")</f>
        <v>#NAME?</v>
      </c>
      <c r="O2206" s="3" t="e">
        <f ca="1">[1]!BexGetData("DP_1","003N8EMH8GTFRIVOG7KG9J3KE","GSON2162200012")</f>
        <v>#NAME?</v>
      </c>
      <c r="P2206" s="8" t="e">
        <f ca="1">[1]!BexGetData("DP_1","003N8EMH8GTFRIVOG7KG9J9VY","GSON2162200012")</f>
        <v>#NAME?</v>
      </c>
      <c r="Q2206" s="4" t="e">
        <f ca="1">[1]!BexGetData("DP_1","00O2TNJGODT0G5Z4TTKYMM5MT","GSON2162200012")</f>
        <v>#NAME?</v>
      </c>
      <c r="R2206" s="4" t="e">
        <f ca="1">[1]!BexGetData("DP_1","00O2TNJGODT0G5Z4TTKYMMBYD","GSON2162200012")</f>
        <v>#NAME?</v>
      </c>
      <c r="S2206" s="4" t="e">
        <f ca="1">[1]!BexGetData("DP_1","00O2TNJGODT0G5Z4TTKYMMI9X","GSON2162200012")</f>
        <v>#NAME?</v>
      </c>
      <c r="T2206" s="4" t="e">
        <f ca="1">[1]!BexGetData("DP_1","00O2TNJGODT0G5Z4TTKYMMOLH","GSON2162200012")</f>
        <v>#NAME?</v>
      </c>
      <c r="U2206" s="4" t="e">
        <f ca="1">[1]!BexGetData("DP_1","00O2TNJGODT0G5Z4TTKYMMUX1","GSON2162200012")</f>
        <v>#NAME?</v>
      </c>
      <c r="V2206" s="4" t="e">
        <f ca="1">[1]!BexGetData("DP_1","00O2TNJGODT0G5Z4TTKYMN18L","GSON2162200012")</f>
        <v>#NAME?</v>
      </c>
      <c r="W2206" s="4" t="e">
        <f ca="1">[1]!BexGetData("DP_1","00O2TNJGODT0G5Z4TTKYMN7K5","GSON2162200012")</f>
        <v>#NAME?</v>
      </c>
    </row>
    <row r="2207" spans="1:23" x14ac:dyDescent="0.2">
      <c r="A2207" s="17" t="s">
        <v>1446</v>
      </c>
      <c r="B2207" s="7" t="s">
        <v>684</v>
      </c>
      <c r="C2207" s="3" t="e">
        <f ca="1">[1]!BexGetData("DP_1","003N8EMH8GTFRCSWKMPXRR8GU","GSON2162200013")</f>
        <v>#NAME?</v>
      </c>
      <c r="D2207" s="3" t="e">
        <f ca="1">[1]!BexGetData("DP_1","003N8EMH8GTFRCSWKMPXRRESE","GSON2162200013")</f>
        <v>#NAME?</v>
      </c>
      <c r="E2207" s="3" t="e">
        <f ca="1">[1]!BexGetData("DP_1","003N8EMH8GTFRCSWKMPXRRL3Y","GSON2162200013")</f>
        <v>#NAME?</v>
      </c>
      <c r="F2207" s="4" t="e">
        <f ca="1">[1]!BexGetData("DP_1","003N8EMH8GTFRCSWKMPXRRRFI","GSON2162200013")</f>
        <v>#NAME?</v>
      </c>
      <c r="G2207" s="4" t="e">
        <f ca="1">[1]!BexGetData("DP_1","003N8EMH8GTFRCSWKMPXRRXR2","GSON2162200013")</f>
        <v>#NAME?</v>
      </c>
      <c r="H2207" s="4" t="e">
        <f ca="1">[1]!BexGetData("DP_1","003N8EMH8GTFRCSWKMPXRS42M","GSON2162200013")</f>
        <v>#NAME?</v>
      </c>
      <c r="I2207" s="4" t="e">
        <f ca="1">[1]!BexGetData("DP_1","003N8EMH8GTFRCSWKMPXRSAE6","GSON2162200013")</f>
        <v>#NAME?</v>
      </c>
      <c r="J2207" s="4" t="e">
        <f ca="1">[1]!BexGetData("DP_1","003N8EMH8GTFRCSWKMPXRSGPQ","GSON2162200013")</f>
        <v>#NAME?</v>
      </c>
      <c r="K2207" s="3" t="e">
        <f ca="1">[1]!BexGetData("DP_1","003N8EMH8GTFRIVNUPY288VJH","GSON2162200013")</f>
        <v>#NAME?</v>
      </c>
      <c r="L2207" s="3" t="e">
        <f ca="1">[1]!BexGetData("DP_1","003N8EMH8GTFRIVNUPY2891V1","GSON2162200013")</f>
        <v>#NAME?</v>
      </c>
      <c r="M2207" s="3" t="e">
        <f ca="1">[1]!BexGetData("DP_1","003N8EMH8GTFRIVOG7KG9IQXA","GSON2162200013")</f>
        <v>#NAME?</v>
      </c>
      <c r="N2207" s="8" t="e">
        <f ca="1">[1]!BexGetData("DP_1","003N8EMH8GTFRIVOG7KG9IX8U","GSON2162200013")</f>
        <v>#NAME?</v>
      </c>
      <c r="O2207" s="3" t="e">
        <f ca="1">[1]!BexGetData("DP_1","003N8EMH8GTFRIVOG7KG9J3KE","GSON2162200013")</f>
        <v>#NAME?</v>
      </c>
      <c r="P2207" s="8" t="e">
        <f ca="1">[1]!BexGetData("DP_1","003N8EMH8GTFRIVOG7KG9J9VY","GSON2162200013")</f>
        <v>#NAME?</v>
      </c>
      <c r="Q2207" s="4" t="e">
        <f ca="1">[1]!BexGetData("DP_1","00O2TNJGODT0G5Z4TTKYMM5MT","GSON2162200013")</f>
        <v>#NAME?</v>
      </c>
      <c r="R2207" s="4" t="e">
        <f ca="1">[1]!BexGetData("DP_1","00O2TNJGODT0G5Z4TTKYMMBYD","GSON2162200013")</f>
        <v>#NAME?</v>
      </c>
      <c r="S2207" s="4" t="e">
        <f ca="1">[1]!BexGetData("DP_1","00O2TNJGODT0G5Z4TTKYMMI9X","GSON2162200013")</f>
        <v>#NAME?</v>
      </c>
      <c r="T2207" s="4" t="e">
        <f ca="1">[1]!BexGetData("DP_1","00O2TNJGODT0G5Z4TTKYMMOLH","GSON2162200013")</f>
        <v>#NAME?</v>
      </c>
      <c r="U2207" s="4" t="e">
        <f ca="1">[1]!BexGetData("DP_1","00O2TNJGODT0G5Z4TTKYMMUX1","GSON2162200013")</f>
        <v>#NAME?</v>
      </c>
      <c r="V2207" s="4" t="e">
        <f ca="1">[1]!BexGetData("DP_1","00O2TNJGODT0G5Z4TTKYMN18L","GSON2162200013")</f>
        <v>#NAME?</v>
      </c>
      <c r="W2207" s="4" t="e">
        <f ca="1">[1]!BexGetData("DP_1","00O2TNJGODT0G5Z4TTKYMN7K5","GSON2162200013")</f>
        <v>#NAME?</v>
      </c>
    </row>
    <row r="2208" spans="1:23" x14ac:dyDescent="0.2">
      <c r="A2208" s="17" t="s">
        <v>4889</v>
      </c>
      <c r="B2208" s="7" t="s">
        <v>4890</v>
      </c>
      <c r="C2208" s="3" t="e">
        <f ca="1">[1]!BexGetData("DP_1","003N8EMH8GTFRCSWKMPXRR8GU","GSON2162200014")</f>
        <v>#NAME?</v>
      </c>
      <c r="D2208" s="3" t="e">
        <f ca="1">[1]!BexGetData("DP_1","003N8EMH8GTFRCSWKMPXRRESE","GSON2162200014")</f>
        <v>#NAME?</v>
      </c>
      <c r="E2208" s="3" t="e">
        <f ca="1">[1]!BexGetData("DP_1","003N8EMH8GTFRCSWKMPXRRL3Y","GSON2162200014")</f>
        <v>#NAME?</v>
      </c>
      <c r="F2208" s="4" t="e">
        <f ca="1">[1]!BexGetData("DP_1","003N8EMH8GTFRCSWKMPXRRRFI","GSON2162200014")</f>
        <v>#NAME?</v>
      </c>
      <c r="G2208" s="4" t="e">
        <f ca="1">[1]!BexGetData("DP_1","003N8EMH8GTFRCSWKMPXRRXR2","GSON2162200014")</f>
        <v>#NAME?</v>
      </c>
      <c r="H2208" s="4" t="e">
        <f ca="1">[1]!BexGetData("DP_1","003N8EMH8GTFRCSWKMPXRS42M","GSON2162200014")</f>
        <v>#NAME?</v>
      </c>
      <c r="I2208" s="4" t="e">
        <f ca="1">[1]!BexGetData("DP_1","003N8EMH8GTFRCSWKMPXRSAE6","GSON2162200014")</f>
        <v>#NAME?</v>
      </c>
      <c r="J2208" s="4" t="e">
        <f ca="1">[1]!BexGetData("DP_1","003N8EMH8GTFRCSWKMPXRSGPQ","GSON2162200014")</f>
        <v>#NAME?</v>
      </c>
      <c r="K2208" s="3" t="e">
        <f ca="1">[1]!BexGetData("DP_1","003N8EMH8GTFRIVNUPY288VJH","GSON2162200014")</f>
        <v>#NAME?</v>
      </c>
      <c r="L2208" s="3" t="e">
        <f ca="1">[1]!BexGetData("DP_1","003N8EMH8GTFRIVNUPY2891V1","GSON2162200014")</f>
        <v>#NAME?</v>
      </c>
      <c r="M2208" s="3" t="e">
        <f ca="1">[1]!BexGetData("DP_1","003N8EMH8GTFRIVOG7KG9IQXA","GSON2162200014")</f>
        <v>#NAME?</v>
      </c>
      <c r="N2208" s="8" t="e">
        <f ca="1">[1]!BexGetData("DP_1","003N8EMH8GTFRIVOG7KG9IX8U","GSON2162200014")</f>
        <v>#NAME?</v>
      </c>
      <c r="O2208" s="3" t="e">
        <f ca="1">[1]!BexGetData("DP_1","003N8EMH8GTFRIVOG7KG9J3KE","GSON2162200014")</f>
        <v>#NAME?</v>
      </c>
      <c r="P2208" s="8" t="e">
        <f ca="1">[1]!BexGetData("DP_1","003N8EMH8GTFRIVOG7KG9J9VY","GSON2162200014")</f>
        <v>#NAME?</v>
      </c>
      <c r="Q2208" s="4" t="e">
        <f ca="1">[1]!BexGetData("DP_1","00O2TNJGODT0G5Z4TTKYMM5MT","GSON2162200014")</f>
        <v>#NAME?</v>
      </c>
      <c r="R2208" s="4" t="e">
        <f ca="1">[1]!BexGetData("DP_1","00O2TNJGODT0G5Z4TTKYMMBYD","GSON2162200014")</f>
        <v>#NAME?</v>
      </c>
      <c r="S2208" s="4" t="e">
        <f ca="1">[1]!BexGetData("DP_1","00O2TNJGODT0G5Z4TTKYMMI9X","GSON2162200014")</f>
        <v>#NAME?</v>
      </c>
      <c r="T2208" s="4" t="e">
        <f ca="1">[1]!BexGetData("DP_1","00O2TNJGODT0G5Z4TTKYMMOLH","GSON2162200014")</f>
        <v>#NAME?</v>
      </c>
      <c r="U2208" s="4" t="e">
        <f ca="1">[1]!BexGetData("DP_1","00O2TNJGODT0G5Z4TTKYMMUX1","GSON2162200014")</f>
        <v>#NAME?</v>
      </c>
      <c r="V2208" s="4" t="e">
        <f ca="1">[1]!BexGetData("DP_1","00O2TNJGODT0G5Z4TTKYMN18L","GSON2162200014")</f>
        <v>#NAME?</v>
      </c>
      <c r="W2208" s="4" t="e">
        <f ca="1">[1]!BexGetData("DP_1","00O2TNJGODT0G5Z4TTKYMN7K5","GSON2162200014")</f>
        <v>#NAME?</v>
      </c>
    </row>
    <row r="2209" spans="1:23" x14ac:dyDescent="0.2">
      <c r="A2209" s="17" t="s">
        <v>4891</v>
      </c>
      <c r="B2209" s="7" t="s">
        <v>4892</v>
      </c>
      <c r="C2209" s="3" t="e">
        <f ca="1">[1]!BexGetData("DP_1","003N8EMH8GTFRCSWKMPXRR8GU","GSON2162200015")</f>
        <v>#NAME?</v>
      </c>
      <c r="D2209" s="3" t="e">
        <f ca="1">[1]!BexGetData("DP_1","003N8EMH8GTFRCSWKMPXRRESE","GSON2162200015")</f>
        <v>#NAME?</v>
      </c>
      <c r="E2209" s="3" t="e">
        <f ca="1">[1]!BexGetData("DP_1","003N8EMH8GTFRCSWKMPXRRL3Y","GSON2162200015")</f>
        <v>#NAME?</v>
      </c>
      <c r="F2209" s="4" t="e">
        <f ca="1">[1]!BexGetData("DP_1","003N8EMH8GTFRCSWKMPXRRRFI","GSON2162200015")</f>
        <v>#NAME?</v>
      </c>
      <c r="G2209" s="4" t="e">
        <f ca="1">[1]!BexGetData("DP_1","003N8EMH8GTFRCSWKMPXRRXR2","GSON2162200015")</f>
        <v>#NAME?</v>
      </c>
      <c r="H2209" s="4" t="e">
        <f ca="1">[1]!BexGetData("DP_1","003N8EMH8GTFRCSWKMPXRS42M","GSON2162200015")</f>
        <v>#NAME?</v>
      </c>
      <c r="I2209" s="4" t="e">
        <f ca="1">[1]!BexGetData("DP_1","003N8EMH8GTFRCSWKMPXRSAE6","GSON2162200015")</f>
        <v>#NAME?</v>
      </c>
      <c r="J2209" s="4" t="e">
        <f ca="1">[1]!BexGetData("DP_1","003N8EMH8GTFRCSWKMPXRSGPQ","GSON2162200015")</f>
        <v>#NAME?</v>
      </c>
      <c r="K2209" s="3" t="e">
        <f ca="1">[1]!BexGetData("DP_1","003N8EMH8GTFRIVNUPY288VJH","GSON2162200015")</f>
        <v>#NAME?</v>
      </c>
      <c r="L2209" s="3" t="e">
        <f ca="1">[1]!BexGetData("DP_1","003N8EMH8GTFRIVNUPY2891V1","GSON2162200015")</f>
        <v>#NAME?</v>
      </c>
      <c r="M2209" s="3" t="e">
        <f ca="1">[1]!BexGetData("DP_1","003N8EMH8GTFRIVOG7KG9IQXA","GSON2162200015")</f>
        <v>#NAME?</v>
      </c>
      <c r="N2209" s="8" t="e">
        <f ca="1">[1]!BexGetData("DP_1","003N8EMH8GTFRIVOG7KG9IX8U","GSON2162200015")</f>
        <v>#NAME?</v>
      </c>
      <c r="O2209" s="3" t="e">
        <f ca="1">[1]!BexGetData("DP_1","003N8EMH8GTFRIVOG7KG9J3KE","GSON2162200015")</f>
        <v>#NAME?</v>
      </c>
      <c r="P2209" s="8" t="e">
        <f ca="1">[1]!BexGetData("DP_1","003N8EMH8GTFRIVOG7KG9J9VY","GSON2162200015")</f>
        <v>#NAME?</v>
      </c>
      <c r="Q2209" s="4" t="e">
        <f ca="1">[1]!BexGetData("DP_1","00O2TNJGODT0G5Z4TTKYMM5MT","GSON2162200015")</f>
        <v>#NAME?</v>
      </c>
      <c r="R2209" s="4" t="e">
        <f ca="1">[1]!BexGetData("DP_1","00O2TNJGODT0G5Z4TTKYMMBYD","GSON2162200015")</f>
        <v>#NAME?</v>
      </c>
      <c r="S2209" s="4" t="e">
        <f ca="1">[1]!BexGetData("DP_1","00O2TNJGODT0G5Z4TTKYMMI9X","GSON2162200015")</f>
        <v>#NAME?</v>
      </c>
      <c r="T2209" s="4" t="e">
        <f ca="1">[1]!BexGetData("DP_1","00O2TNJGODT0G5Z4TTKYMMOLH","GSON2162200015")</f>
        <v>#NAME?</v>
      </c>
      <c r="U2209" s="4" t="e">
        <f ca="1">[1]!BexGetData("DP_1","00O2TNJGODT0G5Z4TTKYMMUX1","GSON2162200015")</f>
        <v>#NAME?</v>
      </c>
      <c r="V2209" s="4" t="e">
        <f ca="1">[1]!BexGetData("DP_1","00O2TNJGODT0G5Z4TTKYMN18L","GSON2162200015")</f>
        <v>#NAME?</v>
      </c>
      <c r="W2209" s="4" t="e">
        <f ca="1">[1]!BexGetData("DP_1","00O2TNJGODT0G5Z4TTKYMN7K5","GSON2162200015")</f>
        <v>#NAME?</v>
      </c>
    </row>
    <row r="2210" spans="1:23" x14ac:dyDescent="0.2">
      <c r="A2210" s="17" t="s">
        <v>4893</v>
      </c>
      <c r="B2210" s="7" t="s">
        <v>4894</v>
      </c>
      <c r="C2210" s="8" t="e">
        <f ca="1">[1]!BexGetData("DP_1","003N8EMH8GTFRCSWKMPXRR8GU","GSON2162200017")</f>
        <v>#NAME?</v>
      </c>
      <c r="D2210" s="3" t="e">
        <f ca="1">[1]!BexGetData("DP_1","003N8EMH8GTFRCSWKMPXRRESE","GSON2162200017")</f>
        <v>#NAME?</v>
      </c>
      <c r="E2210" s="3" t="e">
        <f ca="1">[1]!BexGetData("DP_1","003N8EMH8GTFRCSWKMPXRRL3Y","GSON2162200017")</f>
        <v>#NAME?</v>
      </c>
      <c r="F2210" s="4" t="e">
        <f ca="1">[1]!BexGetData("DP_1","003N8EMH8GTFRCSWKMPXRRRFI","GSON2162200017")</f>
        <v>#NAME?</v>
      </c>
      <c r="G2210" s="4" t="e">
        <f ca="1">[1]!BexGetData("DP_1","003N8EMH8GTFRCSWKMPXRRXR2","GSON2162200017")</f>
        <v>#NAME?</v>
      </c>
      <c r="H2210" s="4" t="e">
        <f ca="1">[1]!BexGetData("DP_1","003N8EMH8GTFRCSWKMPXRS42M","GSON2162200017")</f>
        <v>#NAME?</v>
      </c>
      <c r="I2210" s="4" t="e">
        <f ca="1">[1]!BexGetData("DP_1","003N8EMH8GTFRCSWKMPXRSAE6","GSON2162200017")</f>
        <v>#NAME?</v>
      </c>
      <c r="J2210" s="4" t="e">
        <f ca="1">[1]!BexGetData("DP_1","003N8EMH8GTFRCSWKMPXRSGPQ","GSON2162200017")</f>
        <v>#NAME?</v>
      </c>
      <c r="K2210" s="3" t="e">
        <f ca="1">[1]!BexGetData("DP_1","003N8EMH8GTFRIVNUPY288VJH","GSON2162200017")</f>
        <v>#NAME?</v>
      </c>
      <c r="L2210" s="3" t="e">
        <f ca="1">[1]!BexGetData("DP_1","003N8EMH8GTFRIVNUPY2891V1","GSON2162200017")</f>
        <v>#NAME?</v>
      </c>
      <c r="M2210" s="3" t="e">
        <f ca="1">[1]!BexGetData("DP_1","003N8EMH8GTFRIVOG7KG9IQXA","GSON2162200017")</f>
        <v>#NAME?</v>
      </c>
      <c r="N2210" s="8" t="e">
        <f ca="1">[1]!BexGetData("DP_1","003N8EMH8GTFRIVOG7KG9IX8U","GSON2162200017")</f>
        <v>#NAME?</v>
      </c>
      <c r="O2210" s="3" t="e">
        <f ca="1">[1]!BexGetData("DP_1","003N8EMH8GTFRIVOG7KG9J3KE","GSON2162200017")</f>
        <v>#NAME?</v>
      </c>
      <c r="P2210" s="8" t="e">
        <f ca="1">[1]!BexGetData("DP_1","003N8EMH8GTFRIVOG7KG9J9VY","GSON2162200017")</f>
        <v>#NAME?</v>
      </c>
      <c r="Q2210" s="4" t="e">
        <f ca="1">[1]!BexGetData("DP_1","00O2TNJGODT0G5Z4TTKYMM5MT","GSON2162200017")</f>
        <v>#NAME?</v>
      </c>
      <c r="R2210" s="4" t="e">
        <f ca="1">[1]!BexGetData("DP_1","00O2TNJGODT0G5Z4TTKYMMBYD","GSON2162200017")</f>
        <v>#NAME?</v>
      </c>
      <c r="S2210" s="4" t="e">
        <f ca="1">[1]!BexGetData("DP_1","00O2TNJGODT0G5Z4TTKYMMI9X","GSON2162200017")</f>
        <v>#NAME?</v>
      </c>
      <c r="T2210" s="4" t="e">
        <f ca="1">[1]!BexGetData("DP_1","00O2TNJGODT0G5Z4TTKYMMOLH","GSON2162200017")</f>
        <v>#NAME?</v>
      </c>
      <c r="U2210" s="4" t="e">
        <f ca="1">[1]!BexGetData("DP_1","00O2TNJGODT0G5Z4TTKYMMUX1","GSON2162200017")</f>
        <v>#NAME?</v>
      </c>
      <c r="V2210" s="4" t="e">
        <f ca="1">[1]!BexGetData("DP_1","00O2TNJGODT0G5Z4TTKYMN18L","GSON2162200017")</f>
        <v>#NAME?</v>
      </c>
      <c r="W2210" s="4" t="e">
        <f ca="1">[1]!BexGetData("DP_1","00O2TNJGODT0G5Z4TTKYMN7K5","GSON2162200017")</f>
        <v>#NAME?</v>
      </c>
    </row>
    <row r="2211" spans="1:23" x14ac:dyDescent="0.2">
      <c r="A2211" s="17" t="s">
        <v>1447</v>
      </c>
      <c r="B2211" s="7" t="s">
        <v>1448</v>
      </c>
      <c r="C2211" s="3" t="e">
        <f ca="1">[1]!BexGetData("DP_1","003N8EMH8GTFRCSWKMPXRR8GU","GSON2162200018")</f>
        <v>#NAME?</v>
      </c>
      <c r="D2211" s="3" t="e">
        <f ca="1">[1]!BexGetData("DP_1","003N8EMH8GTFRCSWKMPXRRESE","GSON2162200018")</f>
        <v>#NAME?</v>
      </c>
      <c r="E2211" s="3" t="e">
        <f ca="1">[1]!BexGetData("DP_1","003N8EMH8GTFRCSWKMPXRRL3Y","GSON2162200018")</f>
        <v>#NAME?</v>
      </c>
      <c r="F2211" s="4" t="e">
        <f ca="1">[1]!BexGetData("DP_1","003N8EMH8GTFRCSWKMPXRRRFI","GSON2162200018")</f>
        <v>#NAME?</v>
      </c>
      <c r="G2211" s="4" t="e">
        <f ca="1">[1]!BexGetData("DP_1","003N8EMH8GTFRCSWKMPXRRXR2","GSON2162200018")</f>
        <v>#NAME?</v>
      </c>
      <c r="H2211" s="4" t="e">
        <f ca="1">[1]!BexGetData("DP_1","003N8EMH8GTFRCSWKMPXRS42M","GSON2162200018")</f>
        <v>#NAME?</v>
      </c>
      <c r="I2211" s="4" t="e">
        <f ca="1">[1]!BexGetData("DP_1","003N8EMH8GTFRCSWKMPXRSAE6","GSON2162200018")</f>
        <v>#NAME?</v>
      </c>
      <c r="J2211" s="4" t="e">
        <f ca="1">[1]!BexGetData("DP_1","003N8EMH8GTFRCSWKMPXRSGPQ","GSON2162200018")</f>
        <v>#NAME?</v>
      </c>
      <c r="K2211" s="3" t="e">
        <f ca="1">[1]!BexGetData("DP_1","003N8EMH8GTFRIVNUPY288VJH","GSON2162200018")</f>
        <v>#NAME?</v>
      </c>
      <c r="L2211" s="3" t="e">
        <f ca="1">[1]!BexGetData("DP_1","003N8EMH8GTFRIVNUPY2891V1","GSON2162200018")</f>
        <v>#NAME?</v>
      </c>
      <c r="M2211" s="3" t="e">
        <f ca="1">[1]!BexGetData("DP_1","003N8EMH8GTFRIVOG7KG9IQXA","GSON2162200018")</f>
        <v>#NAME?</v>
      </c>
      <c r="N2211" s="8" t="e">
        <f ca="1">[1]!BexGetData("DP_1","003N8EMH8GTFRIVOG7KG9IX8U","GSON2162200018")</f>
        <v>#NAME?</v>
      </c>
      <c r="O2211" s="3" t="e">
        <f ca="1">[1]!BexGetData("DP_1","003N8EMH8GTFRIVOG7KG9J3KE","GSON2162200018")</f>
        <v>#NAME?</v>
      </c>
      <c r="P2211" s="8" t="e">
        <f ca="1">[1]!BexGetData("DP_1","003N8EMH8GTFRIVOG7KG9J9VY","GSON2162200018")</f>
        <v>#NAME?</v>
      </c>
      <c r="Q2211" s="4" t="e">
        <f ca="1">[1]!BexGetData("DP_1","00O2TNJGODT0G5Z4TTKYMM5MT","GSON2162200018")</f>
        <v>#NAME?</v>
      </c>
      <c r="R2211" s="4" t="e">
        <f ca="1">[1]!BexGetData("DP_1","00O2TNJGODT0G5Z4TTKYMMBYD","GSON2162200018")</f>
        <v>#NAME?</v>
      </c>
      <c r="S2211" s="4" t="e">
        <f ca="1">[1]!BexGetData("DP_1","00O2TNJGODT0G5Z4TTKYMMI9X","GSON2162200018")</f>
        <v>#NAME?</v>
      </c>
      <c r="T2211" s="4" t="e">
        <f ca="1">[1]!BexGetData("DP_1","00O2TNJGODT0G5Z4TTKYMMOLH","GSON2162200018")</f>
        <v>#NAME?</v>
      </c>
      <c r="U2211" s="4" t="e">
        <f ca="1">[1]!BexGetData("DP_1","00O2TNJGODT0G5Z4TTKYMMUX1","GSON2162200018")</f>
        <v>#NAME?</v>
      </c>
      <c r="V2211" s="4" t="e">
        <f ca="1">[1]!BexGetData("DP_1","00O2TNJGODT0G5Z4TTKYMN18L","GSON2162200018")</f>
        <v>#NAME?</v>
      </c>
      <c r="W2211" s="4" t="e">
        <f ca="1">[1]!BexGetData("DP_1","00O2TNJGODT0G5Z4TTKYMN7K5","GSON2162200018")</f>
        <v>#NAME?</v>
      </c>
    </row>
    <row r="2212" spans="1:23" x14ac:dyDescent="0.2">
      <c r="A2212" s="17" t="s">
        <v>4895</v>
      </c>
      <c r="B2212" s="7" t="s">
        <v>4896</v>
      </c>
      <c r="C2212" s="3" t="e">
        <f ca="1">[1]!BexGetData("DP_1","003N8EMH8GTFRCSWKMPXRR8GU","GSON2162200019")</f>
        <v>#NAME?</v>
      </c>
      <c r="D2212" s="3" t="e">
        <f ca="1">[1]!BexGetData("DP_1","003N8EMH8GTFRCSWKMPXRRESE","GSON2162200019")</f>
        <v>#NAME?</v>
      </c>
      <c r="E2212" s="3" t="e">
        <f ca="1">[1]!BexGetData("DP_1","003N8EMH8GTFRCSWKMPXRRL3Y","GSON2162200019")</f>
        <v>#NAME?</v>
      </c>
      <c r="F2212" s="3" t="e">
        <f ca="1">[1]!BexGetData("DP_1","003N8EMH8GTFRCSWKMPXRRRFI","GSON2162200019")</f>
        <v>#NAME?</v>
      </c>
      <c r="G2212" s="3" t="e">
        <f ca="1">[1]!BexGetData("DP_1","003N8EMH8GTFRCSWKMPXRRXR2","GSON2162200019")</f>
        <v>#NAME?</v>
      </c>
      <c r="H2212" s="3" t="e">
        <f ca="1">[1]!BexGetData("DP_1","003N8EMH8GTFRCSWKMPXRS42M","GSON2162200019")</f>
        <v>#NAME?</v>
      </c>
      <c r="I2212" s="3" t="e">
        <f ca="1">[1]!BexGetData("DP_1","003N8EMH8GTFRCSWKMPXRSAE6","GSON2162200019")</f>
        <v>#NAME?</v>
      </c>
      <c r="J2212" s="4" t="e">
        <f ca="1">[1]!BexGetData("DP_1","003N8EMH8GTFRCSWKMPXRSGPQ","GSON2162200019")</f>
        <v>#NAME?</v>
      </c>
      <c r="K2212" s="3" t="e">
        <f ca="1">[1]!BexGetData("DP_1","003N8EMH8GTFRIVNUPY288VJH","GSON2162200019")</f>
        <v>#NAME?</v>
      </c>
      <c r="L2212" s="3" t="e">
        <f ca="1">[1]!BexGetData("DP_1","003N8EMH8GTFRIVNUPY2891V1","GSON2162200019")</f>
        <v>#NAME?</v>
      </c>
      <c r="M2212" s="8" t="e">
        <f ca="1">[1]!BexGetData("DP_1","003N8EMH8GTFRIVOG7KG9IQXA","GSON2162200019")</f>
        <v>#NAME?</v>
      </c>
      <c r="N2212" s="3" t="e">
        <f ca="1">[1]!BexGetData("DP_1","003N8EMH8GTFRIVOG7KG9IX8U","GSON2162200019")</f>
        <v>#NAME?</v>
      </c>
      <c r="O2212" s="8" t="e">
        <f ca="1">[1]!BexGetData("DP_1","003N8EMH8GTFRIVOG7KG9J3KE","GSON2162200019")</f>
        <v>#NAME?</v>
      </c>
      <c r="P2212" s="3" t="e">
        <f ca="1">[1]!BexGetData("DP_1","003N8EMH8GTFRIVOG7KG9J9VY","GSON2162200019")</f>
        <v>#NAME?</v>
      </c>
      <c r="Q2212" s="4" t="e">
        <f ca="1">[1]!BexGetData("DP_1","00O2TNJGODT0G5Z4TTKYMM5MT","GSON2162200019")</f>
        <v>#NAME?</v>
      </c>
      <c r="R2212" s="3" t="e">
        <f ca="1">[1]!BexGetData("DP_1","00O2TNJGODT0G5Z4TTKYMMBYD","GSON2162200019")</f>
        <v>#NAME?</v>
      </c>
      <c r="S2212" s="3" t="e">
        <f ca="1">[1]!BexGetData("DP_1","00O2TNJGODT0G5Z4TTKYMMI9X","GSON2162200019")</f>
        <v>#NAME?</v>
      </c>
      <c r="T2212" s="3" t="e">
        <f ca="1">[1]!BexGetData("DP_1","00O2TNJGODT0G5Z4TTKYMMOLH","GSON2162200019")</f>
        <v>#NAME?</v>
      </c>
      <c r="U2212" s="8" t="e">
        <f ca="1">[1]!BexGetData("DP_1","00O2TNJGODT0G5Z4TTKYMMUX1","GSON2162200019")</f>
        <v>#NAME?</v>
      </c>
      <c r="V2212" s="3" t="e">
        <f ca="1">[1]!BexGetData("DP_1","00O2TNJGODT0G5Z4TTKYMN18L","GSON2162200019")</f>
        <v>#NAME?</v>
      </c>
      <c r="W2212" s="8" t="e">
        <f ca="1">[1]!BexGetData("DP_1","00O2TNJGODT0G5Z4TTKYMN7K5","GSON2162200019")</f>
        <v>#NAME?</v>
      </c>
    </row>
    <row r="2213" spans="1:23" x14ac:dyDescent="0.2">
      <c r="A2213" s="17" t="s">
        <v>4897</v>
      </c>
      <c r="B2213" s="7" t="s">
        <v>1703</v>
      </c>
      <c r="C2213" s="3" t="e">
        <f ca="1">[1]!BexGetData("DP_1","003N8EMH8GTFRCSWKMPXRR8GU","GSON2162200020")</f>
        <v>#NAME?</v>
      </c>
      <c r="D2213" s="3" t="e">
        <f ca="1">[1]!BexGetData("DP_1","003N8EMH8GTFRCSWKMPXRRESE","GSON2162200020")</f>
        <v>#NAME?</v>
      </c>
      <c r="E2213" s="3" t="e">
        <f ca="1">[1]!BexGetData("DP_1","003N8EMH8GTFRCSWKMPXRRL3Y","GSON2162200020")</f>
        <v>#NAME?</v>
      </c>
      <c r="F2213" s="4" t="e">
        <f ca="1">[1]!BexGetData("DP_1","003N8EMH8GTFRCSWKMPXRRRFI","GSON2162200020")</f>
        <v>#NAME?</v>
      </c>
      <c r="G2213" s="4" t="e">
        <f ca="1">[1]!BexGetData("DP_1","003N8EMH8GTFRCSWKMPXRRXR2","GSON2162200020")</f>
        <v>#NAME?</v>
      </c>
      <c r="H2213" s="4" t="e">
        <f ca="1">[1]!BexGetData("DP_1","003N8EMH8GTFRCSWKMPXRS42M","GSON2162200020")</f>
        <v>#NAME?</v>
      </c>
      <c r="I2213" s="4" t="e">
        <f ca="1">[1]!BexGetData("DP_1","003N8EMH8GTFRCSWKMPXRSAE6","GSON2162200020")</f>
        <v>#NAME?</v>
      </c>
      <c r="J2213" s="4" t="e">
        <f ca="1">[1]!BexGetData("DP_1","003N8EMH8GTFRCSWKMPXRSGPQ","GSON2162200020")</f>
        <v>#NAME?</v>
      </c>
      <c r="K2213" s="3" t="e">
        <f ca="1">[1]!BexGetData("DP_1","003N8EMH8GTFRIVNUPY288VJH","GSON2162200020")</f>
        <v>#NAME?</v>
      </c>
      <c r="L2213" s="3" t="e">
        <f ca="1">[1]!BexGetData("DP_1","003N8EMH8GTFRIVNUPY2891V1","GSON2162200020")</f>
        <v>#NAME?</v>
      </c>
      <c r="M2213" s="3" t="e">
        <f ca="1">[1]!BexGetData("DP_1","003N8EMH8GTFRIVOG7KG9IQXA","GSON2162200020")</f>
        <v>#NAME?</v>
      </c>
      <c r="N2213" s="8" t="e">
        <f ca="1">[1]!BexGetData("DP_1","003N8EMH8GTFRIVOG7KG9IX8U","GSON2162200020")</f>
        <v>#NAME?</v>
      </c>
      <c r="O2213" s="3" t="e">
        <f ca="1">[1]!BexGetData("DP_1","003N8EMH8GTFRIVOG7KG9J3KE","GSON2162200020")</f>
        <v>#NAME?</v>
      </c>
      <c r="P2213" s="8" t="e">
        <f ca="1">[1]!BexGetData("DP_1","003N8EMH8GTFRIVOG7KG9J9VY","GSON2162200020")</f>
        <v>#NAME?</v>
      </c>
      <c r="Q2213" s="4" t="e">
        <f ca="1">[1]!BexGetData("DP_1","00O2TNJGODT0G5Z4TTKYMM5MT","GSON2162200020")</f>
        <v>#NAME?</v>
      </c>
      <c r="R2213" s="4" t="e">
        <f ca="1">[1]!BexGetData("DP_1","00O2TNJGODT0G5Z4TTKYMMBYD","GSON2162200020")</f>
        <v>#NAME?</v>
      </c>
      <c r="S2213" s="4" t="e">
        <f ca="1">[1]!BexGetData("DP_1","00O2TNJGODT0G5Z4TTKYMMI9X","GSON2162200020")</f>
        <v>#NAME?</v>
      </c>
      <c r="T2213" s="4" t="e">
        <f ca="1">[1]!BexGetData("DP_1","00O2TNJGODT0G5Z4TTKYMMOLH","GSON2162200020")</f>
        <v>#NAME?</v>
      </c>
      <c r="U2213" s="4" t="e">
        <f ca="1">[1]!BexGetData("DP_1","00O2TNJGODT0G5Z4TTKYMMUX1","GSON2162200020")</f>
        <v>#NAME?</v>
      </c>
      <c r="V2213" s="4" t="e">
        <f ca="1">[1]!BexGetData("DP_1","00O2TNJGODT0G5Z4TTKYMN18L","GSON2162200020")</f>
        <v>#NAME?</v>
      </c>
      <c r="W2213" s="4" t="e">
        <f ca="1">[1]!BexGetData("DP_1","00O2TNJGODT0G5Z4TTKYMN7K5","GSON2162200020")</f>
        <v>#NAME?</v>
      </c>
    </row>
    <row r="2214" spans="1:23" x14ac:dyDescent="0.2">
      <c r="A2214" s="15" t="s">
        <v>375</v>
      </c>
      <c r="B2214" s="7" t="s">
        <v>376</v>
      </c>
      <c r="C2214" s="3" t="e">
        <f ca="1">[1]!BexGetData("DP_1","003N8EMH8GTFRCSWKMPXRR8GU","GSON219")</f>
        <v>#NAME?</v>
      </c>
      <c r="D2214" s="3" t="e">
        <f ca="1">[1]!BexGetData("DP_1","003N8EMH8GTFRCSWKMPXRRESE","GSON219")</f>
        <v>#NAME?</v>
      </c>
      <c r="E2214" s="3" t="e">
        <f ca="1">[1]!BexGetData("DP_1","003N8EMH8GTFRCSWKMPXRRL3Y","GSON219")</f>
        <v>#NAME?</v>
      </c>
      <c r="F2214" s="3" t="e">
        <f ca="1">[1]!BexGetData("DP_1","003N8EMH8GTFRCSWKMPXRRRFI","GSON219")</f>
        <v>#NAME?</v>
      </c>
      <c r="G2214" s="3" t="e">
        <f ca="1">[1]!BexGetData("DP_1","003N8EMH8GTFRCSWKMPXRRXR2","GSON219")</f>
        <v>#NAME?</v>
      </c>
      <c r="H2214" s="3" t="e">
        <f ca="1">[1]!BexGetData("DP_1","003N8EMH8GTFRCSWKMPXRS42M","GSON219")</f>
        <v>#NAME?</v>
      </c>
      <c r="I2214" s="3" t="e">
        <f ca="1">[1]!BexGetData("DP_1","003N8EMH8GTFRCSWKMPXRSAE6","GSON219")</f>
        <v>#NAME?</v>
      </c>
      <c r="J2214" s="4" t="e">
        <f ca="1">[1]!BexGetData("DP_1","003N8EMH8GTFRCSWKMPXRSGPQ","GSON219")</f>
        <v>#NAME?</v>
      </c>
      <c r="K2214" s="3" t="e">
        <f ca="1">[1]!BexGetData("DP_1","003N8EMH8GTFRIVNUPY288VJH","GSON219")</f>
        <v>#NAME?</v>
      </c>
      <c r="L2214" s="3" t="e">
        <f ca="1">[1]!BexGetData("DP_1","003N8EMH8GTFRIVNUPY2891V1","GSON219")</f>
        <v>#NAME?</v>
      </c>
      <c r="M2214" s="3" t="e">
        <f ca="1">[1]!BexGetData("DP_1","003N8EMH8GTFRIVOG7KG9IQXA","GSON219")</f>
        <v>#NAME?</v>
      </c>
      <c r="N2214" s="8" t="e">
        <f ca="1">[1]!BexGetData("DP_1","003N8EMH8GTFRIVOG7KG9IX8U","GSON219")</f>
        <v>#NAME?</v>
      </c>
      <c r="O2214" s="3" t="e">
        <f ca="1">[1]!BexGetData("DP_1","003N8EMH8GTFRIVOG7KG9J3KE","GSON219")</f>
        <v>#NAME?</v>
      </c>
      <c r="P2214" s="8" t="e">
        <f ca="1">[1]!BexGetData("DP_1","003N8EMH8GTFRIVOG7KG9J9VY","GSON219")</f>
        <v>#NAME?</v>
      </c>
      <c r="Q2214" s="4" t="e">
        <f ca="1">[1]!BexGetData("DP_1","00O2TNJGODT0G5Z4TTKYMM5MT","GSON219")</f>
        <v>#NAME?</v>
      </c>
      <c r="R2214" s="3" t="e">
        <f ca="1">[1]!BexGetData("DP_1","00O2TNJGODT0G5Z4TTKYMMBYD","GSON219")</f>
        <v>#NAME?</v>
      </c>
      <c r="S2214" s="3" t="e">
        <f ca="1">[1]!BexGetData("DP_1","00O2TNJGODT0G5Z4TTKYMMI9X","GSON219")</f>
        <v>#NAME?</v>
      </c>
      <c r="T2214" s="3" t="e">
        <f ca="1">[1]!BexGetData("DP_1","00O2TNJGODT0G5Z4TTKYMMOLH","GSON219")</f>
        <v>#NAME?</v>
      </c>
      <c r="U2214" s="8" t="e">
        <f ca="1">[1]!BexGetData("DP_1","00O2TNJGODT0G5Z4TTKYMMUX1","GSON219")</f>
        <v>#NAME?</v>
      </c>
      <c r="V2214" s="3" t="e">
        <f ca="1">[1]!BexGetData("DP_1","00O2TNJGODT0G5Z4TTKYMN18L","GSON219")</f>
        <v>#NAME?</v>
      </c>
      <c r="W2214" s="8" t="e">
        <f ca="1">[1]!BexGetData("DP_1","00O2TNJGODT0G5Z4TTKYMN7K5","GSON219")</f>
        <v>#NAME?</v>
      </c>
    </row>
    <row r="2215" spans="1:23" x14ac:dyDescent="0.2">
      <c r="A2215" s="16" t="s">
        <v>377</v>
      </c>
      <c r="B2215" s="7" t="s">
        <v>378</v>
      </c>
      <c r="C2215" s="3" t="e">
        <f ca="1">[1]!BexGetData("DP_1","003N8EMH8GTFRCSWKMPXRR8GU","GSON2199")</f>
        <v>#NAME?</v>
      </c>
      <c r="D2215" s="3" t="e">
        <f ca="1">[1]!BexGetData("DP_1","003N8EMH8GTFRCSWKMPXRRESE","GSON2199")</f>
        <v>#NAME?</v>
      </c>
      <c r="E2215" s="3" t="e">
        <f ca="1">[1]!BexGetData("DP_1","003N8EMH8GTFRCSWKMPXRRL3Y","GSON2199")</f>
        <v>#NAME?</v>
      </c>
      <c r="F2215" s="3" t="e">
        <f ca="1">[1]!BexGetData("DP_1","003N8EMH8GTFRCSWKMPXRRRFI","GSON2199")</f>
        <v>#NAME?</v>
      </c>
      <c r="G2215" s="3" t="e">
        <f ca="1">[1]!BexGetData("DP_1","003N8EMH8GTFRCSWKMPXRRXR2","GSON2199")</f>
        <v>#NAME?</v>
      </c>
      <c r="H2215" s="3" t="e">
        <f ca="1">[1]!BexGetData("DP_1","003N8EMH8GTFRCSWKMPXRS42M","GSON2199")</f>
        <v>#NAME?</v>
      </c>
      <c r="I2215" s="3" t="e">
        <f ca="1">[1]!BexGetData("DP_1","003N8EMH8GTFRCSWKMPXRSAE6","GSON2199")</f>
        <v>#NAME?</v>
      </c>
      <c r="J2215" s="4" t="e">
        <f ca="1">[1]!BexGetData("DP_1","003N8EMH8GTFRCSWKMPXRSGPQ","GSON2199")</f>
        <v>#NAME?</v>
      </c>
      <c r="K2215" s="3" t="e">
        <f ca="1">[1]!BexGetData("DP_1","003N8EMH8GTFRIVNUPY288VJH","GSON2199")</f>
        <v>#NAME?</v>
      </c>
      <c r="L2215" s="3" t="e">
        <f ca="1">[1]!BexGetData("DP_1","003N8EMH8GTFRIVNUPY2891V1","GSON2199")</f>
        <v>#NAME?</v>
      </c>
      <c r="M2215" s="3" t="e">
        <f ca="1">[1]!BexGetData("DP_1","003N8EMH8GTFRIVOG7KG9IQXA","GSON2199")</f>
        <v>#NAME?</v>
      </c>
      <c r="N2215" s="8" t="e">
        <f ca="1">[1]!BexGetData("DP_1","003N8EMH8GTFRIVOG7KG9IX8U","GSON2199")</f>
        <v>#NAME?</v>
      </c>
      <c r="O2215" s="3" t="e">
        <f ca="1">[1]!BexGetData("DP_1","003N8EMH8GTFRIVOG7KG9J3KE","GSON2199")</f>
        <v>#NAME?</v>
      </c>
      <c r="P2215" s="8" t="e">
        <f ca="1">[1]!BexGetData("DP_1","003N8EMH8GTFRIVOG7KG9J9VY","GSON2199")</f>
        <v>#NAME?</v>
      </c>
      <c r="Q2215" s="4" t="e">
        <f ca="1">[1]!BexGetData("DP_1","00O2TNJGODT0G5Z4TTKYMM5MT","GSON2199")</f>
        <v>#NAME?</v>
      </c>
      <c r="R2215" s="3" t="e">
        <f ca="1">[1]!BexGetData("DP_1","00O2TNJGODT0G5Z4TTKYMMBYD","GSON2199")</f>
        <v>#NAME?</v>
      </c>
      <c r="S2215" s="3" t="e">
        <f ca="1">[1]!BexGetData("DP_1","00O2TNJGODT0G5Z4TTKYMMI9X","GSON2199")</f>
        <v>#NAME?</v>
      </c>
      <c r="T2215" s="3" t="e">
        <f ca="1">[1]!BexGetData("DP_1","00O2TNJGODT0G5Z4TTKYMMOLH","GSON2199")</f>
        <v>#NAME?</v>
      </c>
      <c r="U2215" s="8" t="e">
        <f ca="1">[1]!BexGetData("DP_1","00O2TNJGODT0G5Z4TTKYMMUX1","GSON2199")</f>
        <v>#NAME?</v>
      </c>
      <c r="V2215" s="3" t="e">
        <f ca="1">[1]!BexGetData("DP_1","00O2TNJGODT0G5Z4TTKYMN18L","GSON2199")</f>
        <v>#NAME?</v>
      </c>
      <c r="W2215" s="8" t="e">
        <f ca="1">[1]!BexGetData("DP_1","00O2TNJGODT0G5Z4TTKYMN7K5","GSON2199")</f>
        <v>#NAME?</v>
      </c>
    </row>
    <row r="2216" spans="1:23" x14ac:dyDescent="0.2">
      <c r="A2216" s="17" t="s">
        <v>1449</v>
      </c>
      <c r="B2216" s="7" t="s">
        <v>685</v>
      </c>
      <c r="C2216" s="3" t="e">
        <f ca="1">[1]!BexGetData("DP_1","003N8EMH8GTFRCSWKMPXRR8GU","GSON2199100001")</f>
        <v>#NAME?</v>
      </c>
      <c r="D2216" s="3" t="e">
        <f ca="1">[1]!BexGetData("DP_1","003N8EMH8GTFRCSWKMPXRRESE","GSON2199100001")</f>
        <v>#NAME?</v>
      </c>
      <c r="E2216" s="3" t="e">
        <f ca="1">[1]!BexGetData("DP_1","003N8EMH8GTFRCSWKMPXRRL3Y","GSON2199100001")</f>
        <v>#NAME?</v>
      </c>
      <c r="F2216" s="3" t="e">
        <f ca="1">[1]!BexGetData("DP_1","003N8EMH8GTFRCSWKMPXRRRFI","GSON2199100001")</f>
        <v>#NAME?</v>
      </c>
      <c r="G2216" s="3" t="e">
        <f ca="1">[1]!BexGetData("DP_1","003N8EMH8GTFRCSWKMPXRRXR2","GSON2199100001")</f>
        <v>#NAME?</v>
      </c>
      <c r="H2216" s="3" t="e">
        <f ca="1">[1]!BexGetData("DP_1","003N8EMH8GTFRCSWKMPXRS42M","GSON2199100001")</f>
        <v>#NAME?</v>
      </c>
      <c r="I2216" s="3" t="e">
        <f ca="1">[1]!BexGetData("DP_1","003N8EMH8GTFRCSWKMPXRSAE6","GSON2199100001")</f>
        <v>#NAME?</v>
      </c>
      <c r="J2216" s="4" t="e">
        <f ca="1">[1]!BexGetData("DP_1","003N8EMH8GTFRCSWKMPXRSGPQ","GSON2199100001")</f>
        <v>#NAME?</v>
      </c>
      <c r="K2216" s="3" t="e">
        <f ca="1">[1]!BexGetData("DP_1","003N8EMH8GTFRIVNUPY288VJH","GSON2199100001")</f>
        <v>#NAME?</v>
      </c>
      <c r="L2216" s="3" t="e">
        <f ca="1">[1]!BexGetData("DP_1","003N8EMH8GTFRIVNUPY2891V1","GSON2199100001")</f>
        <v>#NAME?</v>
      </c>
      <c r="M2216" s="3" t="e">
        <f ca="1">[1]!BexGetData("DP_1","003N8EMH8GTFRIVOG7KG9IQXA","GSON2199100001")</f>
        <v>#NAME?</v>
      </c>
      <c r="N2216" s="8" t="e">
        <f ca="1">[1]!BexGetData("DP_1","003N8EMH8GTFRIVOG7KG9IX8U","GSON2199100001")</f>
        <v>#NAME?</v>
      </c>
      <c r="O2216" s="3" t="e">
        <f ca="1">[1]!BexGetData("DP_1","003N8EMH8GTFRIVOG7KG9J3KE","GSON2199100001")</f>
        <v>#NAME?</v>
      </c>
      <c r="P2216" s="8" t="e">
        <f ca="1">[1]!BexGetData("DP_1","003N8EMH8GTFRIVOG7KG9J9VY","GSON2199100001")</f>
        <v>#NAME?</v>
      </c>
      <c r="Q2216" s="4" t="e">
        <f ca="1">[1]!BexGetData("DP_1","00O2TNJGODT0G5Z4TTKYMM5MT","GSON2199100001")</f>
        <v>#NAME?</v>
      </c>
      <c r="R2216" s="3" t="e">
        <f ca="1">[1]!BexGetData("DP_1","00O2TNJGODT0G5Z4TTKYMMBYD","GSON2199100001")</f>
        <v>#NAME?</v>
      </c>
      <c r="S2216" s="3" t="e">
        <f ca="1">[1]!BexGetData("DP_1","00O2TNJGODT0G5Z4TTKYMMI9X","GSON2199100001")</f>
        <v>#NAME?</v>
      </c>
      <c r="T2216" s="3" t="e">
        <f ca="1">[1]!BexGetData("DP_1","00O2TNJGODT0G5Z4TTKYMMOLH","GSON2199100001")</f>
        <v>#NAME?</v>
      </c>
      <c r="U2216" s="8" t="e">
        <f ca="1">[1]!BexGetData("DP_1","00O2TNJGODT0G5Z4TTKYMMUX1","GSON2199100001")</f>
        <v>#NAME?</v>
      </c>
      <c r="V2216" s="3" t="e">
        <f ca="1">[1]!BexGetData("DP_1","00O2TNJGODT0G5Z4TTKYMN18L","GSON2199100001")</f>
        <v>#NAME?</v>
      </c>
      <c r="W2216" s="8" t="e">
        <f ca="1">[1]!BexGetData("DP_1","00O2TNJGODT0G5Z4TTKYMN7K5","GSON2199100001")</f>
        <v>#NAME?</v>
      </c>
    </row>
    <row r="2217" spans="1:23" x14ac:dyDescent="0.2">
      <c r="A2217" s="14" t="s">
        <v>379</v>
      </c>
      <c r="B2217" s="7" t="s">
        <v>380</v>
      </c>
      <c r="C2217" s="3" t="e">
        <f ca="1">[1]!BexGetData("DP_1","003N8EMH8GTFRCSWKMPXRR8GU","GSON22")</f>
        <v>#NAME?</v>
      </c>
      <c r="D2217" s="3" t="e">
        <f ca="1">[1]!BexGetData("DP_1","003N8EMH8GTFRCSWKMPXRRESE","GSON22")</f>
        <v>#NAME?</v>
      </c>
      <c r="E2217" s="3" t="e">
        <f ca="1">[1]!BexGetData("DP_1","003N8EMH8GTFRCSWKMPXRRL3Y","GSON22")</f>
        <v>#NAME?</v>
      </c>
      <c r="F2217" s="3" t="e">
        <f ca="1">[1]!BexGetData("DP_1","003N8EMH8GTFRCSWKMPXRRRFI","GSON22")</f>
        <v>#NAME?</v>
      </c>
      <c r="G2217" s="8" t="e">
        <f ca="1">[1]!BexGetData("DP_1","003N8EMH8GTFRCSWKMPXRRXR2","GSON22")</f>
        <v>#NAME?</v>
      </c>
      <c r="H2217" s="3" t="e">
        <f ca="1">[1]!BexGetData("DP_1","003N8EMH8GTFRCSWKMPXRS42M","GSON22")</f>
        <v>#NAME?</v>
      </c>
      <c r="I2217" s="3" t="e">
        <f ca="1">[1]!BexGetData("DP_1","003N8EMH8GTFRCSWKMPXRSAE6","GSON22")</f>
        <v>#NAME?</v>
      </c>
      <c r="J2217" s="4" t="e">
        <f ca="1">[1]!BexGetData("DP_1","003N8EMH8GTFRCSWKMPXRSGPQ","GSON22")</f>
        <v>#NAME?</v>
      </c>
      <c r="K2217" s="3" t="e">
        <f ca="1">[1]!BexGetData("DP_1","003N8EMH8GTFRIVNUPY288VJH","GSON22")</f>
        <v>#NAME?</v>
      </c>
      <c r="L2217" s="3" t="e">
        <f ca="1">[1]!BexGetData("DP_1","003N8EMH8GTFRIVNUPY2891V1","GSON22")</f>
        <v>#NAME?</v>
      </c>
      <c r="M2217" s="3" t="e">
        <f ca="1">[1]!BexGetData("DP_1","003N8EMH8GTFRIVOG7KG9IQXA","GSON22")</f>
        <v>#NAME?</v>
      </c>
      <c r="N2217" s="8" t="e">
        <f ca="1">[1]!BexGetData("DP_1","003N8EMH8GTFRIVOG7KG9IX8U","GSON22")</f>
        <v>#NAME?</v>
      </c>
      <c r="O2217" s="3" t="e">
        <f ca="1">[1]!BexGetData("DP_1","003N8EMH8GTFRIVOG7KG9J3KE","GSON22")</f>
        <v>#NAME?</v>
      </c>
      <c r="P2217" s="8" t="e">
        <f ca="1">[1]!BexGetData("DP_1","003N8EMH8GTFRIVOG7KG9J9VY","GSON22")</f>
        <v>#NAME?</v>
      </c>
      <c r="Q2217" s="4" t="e">
        <f ca="1">[1]!BexGetData("DP_1","00O2TNJGODT0G5Z4TTKYMM5MT","GSON22")</f>
        <v>#NAME?</v>
      </c>
      <c r="R2217" s="3" t="e">
        <f ca="1">[1]!BexGetData("DP_1","00O2TNJGODT0G5Z4TTKYMMBYD","GSON22")</f>
        <v>#NAME?</v>
      </c>
      <c r="S2217" s="3" t="e">
        <f ca="1">[1]!BexGetData("DP_1","00O2TNJGODT0G5Z4TTKYMMI9X","GSON22")</f>
        <v>#NAME?</v>
      </c>
      <c r="T2217" s="3" t="e">
        <f ca="1">[1]!BexGetData("DP_1","00O2TNJGODT0G5Z4TTKYMMOLH","GSON22")</f>
        <v>#NAME?</v>
      </c>
      <c r="U2217" s="8" t="e">
        <f ca="1">[1]!BexGetData("DP_1","00O2TNJGODT0G5Z4TTKYMMUX1","GSON22")</f>
        <v>#NAME?</v>
      </c>
      <c r="V2217" s="3" t="e">
        <f ca="1">[1]!BexGetData("DP_1","00O2TNJGODT0G5Z4TTKYMN18L","GSON22")</f>
        <v>#NAME?</v>
      </c>
      <c r="W2217" s="8" t="e">
        <f ca="1">[1]!BexGetData("DP_1","00O2TNJGODT0G5Z4TTKYMN7K5","GSON22")</f>
        <v>#NAME?</v>
      </c>
    </row>
    <row r="2218" spans="1:23" x14ac:dyDescent="0.2">
      <c r="A2218" s="15" t="s">
        <v>686</v>
      </c>
      <c r="B2218" s="7" t="s">
        <v>687</v>
      </c>
      <c r="C2218" s="3" t="e">
        <f ca="1">[1]!BexGetData("DP_1","003N8EMH8GTFRCSWKMPXRR8GU","GSON223")</f>
        <v>#NAME?</v>
      </c>
      <c r="D2218" s="3" t="e">
        <f ca="1">[1]!BexGetData("DP_1","003N8EMH8GTFRCSWKMPXRRESE","GSON223")</f>
        <v>#NAME?</v>
      </c>
      <c r="E2218" s="3" t="e">
        <f ca="1">[1]!BexGetData("DP_1","003N8EMH8GTFRCSWKMPXRRL3Y","GSON223")</f>
        <v>#NAME?</v>
      </c>
      <c r="F2218" s="3" t="e">
        <f ca="1">[1]!BexGetData("DP_1","003N8EMH8GTFRCSWKMPXRRRFI","GSON223")</f>
        <v>#NAME?</v>
      </c>
      <c r="G2218" s="8" t="e">
        <f ca="1">[1]!BexGetData("DP_1","003N8EMH8GTFRCSWKMPXRRXR2","GSON223")</f>
        <v>#NAME?</v>
      </c>
      <c r="H2218" s="3" t="e">
        <f ca="1">[1]!BexGetData("DP_1","003N8EMH8GTFRCSWKMPXRS42M","GSON223")</f>
        <v>#NAME?</v>
      </c>
      <c r="I2218" s="3" t="e">
        <f ca="1">[1]!BexGetData("DP_1","003N8EMH8GTFRCSWKMPXRSAE6","GSON223")</f>
        <v>#NAME?</v>
      </c>
      <c r="J2218" s="4" t="e">
        <f ca="1">[1]!BexGetData("DP_1","003N8EMH8GTFRCSWKMPXRSGPQ","GSON223")</f>
        <v>#NAME?</v>
      </c>
      <c r="K2218" s="3" t="e">
        <f ca="1">[1]!BexGetData("DP_1","003N8EMH8GTFRIVNUPY288VJH","GSON223")</f>
        <v>#NAME?</v>
      </c>
      <c r="L2218" s="3" t="e">
        <f ca="1">[1]!BexGetData("DP_1","003N8EMH8GTFRIVNUPY2891V1","GSON223")</f>
        <v>#NAME?</v>
      </c>
      <c r="M2218" s="3" t="e">
        <f ca="1">[1]!BexGetData("DP_1","003N8EMH8GTFRIVOG7KG9IQXA","GSON223")</f>
        <v>#NAME?</v>
      </c>
      <c r="N2218" s="8" t="e">
        <f ca="1">[1]!BexGetData("DP_1","003N8EMH8GTFRIVOG7KG9IX8U","GSON223")</f>
        <v>#NAME?</v>
      </c>
      <c r="O2218" s="3" t="e">
        <f ca="1">[1]!BexGetData("DP_1","003N8EMH8GTFRIVOG7KG9J3KE","GSON223")</f>
        <v>#NAME?</v>
      </c>
      <c r="P2218" s="8" t="e">
        <f ca="1">[1]!BexGetData("DP_1","003N8EMH8GTFRIVOG7KG9J9VY","GSON223")</f>
        <v>#NAME?</v>
      </c>
      <c r="Q2218" s="4" t="e">
        <f ca="1">[1]!BexGetData("DP_1","00O2TNJGODT0G5Z4TTKYMM5MT","GSON223")</f>
        <v>#NAME?</v>
      </c>
      <c r="R2218" s="3" t="e">
        <f ca="1">[1]!BexGetData("DP_1","00O2TNJGODT0G5Z4TTKYMMBYD","GSON223")</f>
        <v>#NAME?</v>
      </c>
      <c r="S2218" s="3" t="e">
        <f ca="1">[1]!BexGetData("DP_1","00O2TNJGODT0G5Z4TTKYMMI9X","GSON223")</f>
        <v>#NAME?</v>
      </c>
      <c r="T2218" s="3" t="e">
        <f ca="1">[1]!BexGetData("DP_1","00O2TNJGODT0G5Z4TTKYMMOLH","GSON223")</f>
        <v>#NAME?</v>
      </c>
      <c r="U2218" s="8" t="e">
        <f ca="1">[1]!BexGetData("DP_1","00O2TNJGODT0G5Z4TTKYMMUX1","GSON223")</f>
        <v>#NAME?</v>
      </c>
      <c r="V2218" s="3" t="e">
        <f ca="1">[1]!BexGetData("DP_1","00O2TNJGODT0G5Z4TTKYMN18L","GSON223")</f>
        <v>#NAME?</v>
      </c>
      <c r="W2218" s="8" t="e">
        <f ca="1">[1]!BexGetData("DP_1","00O2TNJGODT0G5Z4TTKYMN7K5","GSON223")</f>
        <v>#NAME?</v>
      </c>
    </row>
    <row r="2219" spans="1:23" x14ac:dyDescent="0.2">
      <c r="A2219" s="16" t="s">
        <v>688</v>
      </c>
      <c r="B2219" s="7" t="s">
        <v>689</v>
      </c>
      <c r="C2219" s="3" t="e">
        <f ca="1">[1]!BexGetData("DP_1","003N8EMH8GTFRCSWKMPXRR8GU","GSON2233")</f>
        <v>#NAME?</v>
      </c>
      <c r="D2219" s="3" t="e">
        <f ca="1">[1]!BexGetData("DP_1","003N8EMH8GTFRCSWKMPXRRESE","GSON2233")</f>
        <v>#NAME?</v>
      </c>
      <c r="E2219" s="3" t="e">
        <f ca="1">[1]!BexGetData("DP_1","003N8EMH8GTFRCSWKMPXRRL3Y","GSON2233")</f>
        <v>#NAME?</v>
      </c>
      <c r="F2219" s="3" t="e">
        <f ca="1">[1]!BexGetData("DP_1","003N8EMH8GTFRCSWKMPXRRRFI","GSON2233")</f>
        <v>#NAME?</v>
      </c>
      <c r="G2219" s="8" t="e">
        <f ca="1">[1]!BexGetData("DP_1","003N8EMH8GTFRCSWKMPXRRXR2","GSON2233")</f>
        <v>#NAME?</v>
      </c>
      <c r="H2219" s="3" t="e">
        <f ca="1">[1]!BexGetData("DP_1","003N8EMH8GTFRCSWKMPXRS42M","GSON2233")</f>
        <v>#NAME?</v>
      </c>
      <c r="I2219" s="3" t="e">
        <f ca="1">[1]!BexGetData("DP_1","003N8EMH8GTFRCSWKMPXRSAE6","GSON2233")</f>
        <v>#NAME?</v>
      </c>
      <c r="J2219" s="4" t="e">
        <f ca="1">[1]!BexGetData("DP_1","003N8EMH8GTFRCSWKMPXRSGPQ","GSON2233")</f>
        <v>#NAME?</v>
      </c>
      <c r="K2219" s="3" t="e">
        <f ca="1">[1]!BexGetData("DP_1","003N8EMH8GTFRIVNUPY288VJH","GSON2233")</f>
        <v>#NAME?</v>
      </c>
      <c r="L2219" s="3" t="e">
        <f ca="1">[1]!BexGetData("DP_1","003N8EMH8GTFRIVNUPY2891V1","GSON2233")</f>
        <v>#NAME?</v>
      </c>
      <c r="M2219" s="3" t="e">
        <f ca="1">[1]!BexGetData("DP_1","003N8EMH8GTFRIVOG7KG9IQXA","GSON2233")</f>
        <v>#NAME?</v>
      </c>
      <c r="N2219" s="8" t="e">
        <f ca="1">[1]!BexGetData("DP_1","003N8EMH8GTFRIVOG7KG9IX8U","GSON2233")</f>
        <v>#NAME?</v>
      </c>
      <c r="O2219" s="3" t="e">
        <f ca="1">[1]!BexGetData("DP_1","003N8EMH8GTFRIVOG7KG9J3KE","GSON2233")</f>
        <v>#NAME?</v>
      </c>
      <c r="P2219" s="8" t="e">
        <f ca="1">[1]!BexGetData("DP_1","003N8EMH8GTFRIVOG7KG9J9VY","GSON2233")</f>
        <v>#NAME?</v>
      </c>
      <c r="Q2219" s="4" t="e">
        <f ca="1">[1]!BexGetData("DP_1","00O2TNJGODT0G5Z4TTKYMM5MT","GSON2233")</f>
        <v>#NAME?</v>
      </c>
      <c r="R2219" s="3" t="e">
        <f ca="1">[1]!BexGetData("DP_1","00O2TNJGODT0G5Z4TTKYMMBYD","GSON2233")</f>
        <v>#NAME?</v>
      </c>
      <c r="S2219" s="3" t="e">
        <f ca="1">[1]!BexGetData("DP_1","00O2TNJGODT0G5Z4TTKYMMI9X","GSON2233")</f>
        <v>#NAME?</v>
      </c>
      <c r="T2219" s="3" t="e">
        <f ca="1">[1]!BexGetData("DP_1","00O2TNJGODT0G5Z4TTKYMMOLH","GSON2233")</f>
        <v>#NAME?</v>
      </c>
      <c r="U2219" s="8" t="e">
        <f ca="1">[1]!BexGetData("DP_1","00O2TNJGODT0G5Z4TTKYMMUX1","GSON2233")</f>
        <v>#NAME?</v>
      </c>
      <c r="V2219" s="3" t="e">
        <f ca="1">[1]!BexGetData("DP_1","00O2TNJGODT0G5Z4TTKYMN18L","GSON2233")</f>
        <v>#NAME?</v>
      </c>
      <c r="W2219" s="8" t="e">
        <f ca="1">[1]!BexGetData("DP_1","00O2TNJGODT0G5Z4TTKYMN7K5","GSON2233")</f>
        <v>#NAME?</v>
      </c>
    </row>
    <row r="2220" spans="1:23" x14ac:dyDescent="0.2">
      <c r="A2220" s="17" t="s">
        <v>690</v>
      </c>
      <c r="B2220" s="7" t="s">
        <v>691</v>
      </c>
      <c r="C2220" s="3" t="e">
        <f ca="1">[1]!BexGetData("DP_1","003N8EMH8GTFRCSWKMPXRR8GU","GSON2233100001")</f>
        <v>#NAME?</v>
      </c>
      <c r="D2220" s="3" t="e">
        <f ca="1">[1]!BexGetData("DP_1","003N8EMH8GTFRCSWKMPXRRESE","GSON2233100001")</f>
        <v>#NAME?</v>
      </c>
      <c r="E2220" s="3" t="e">
        <f ca="1">[1]!BexGetData("DP_1","003N8EMH8GTFRCSWKMPXRRL3Y","GSON2233100001")</f>
        <v>#NAME?</v>
      </c>
      <c r="F2220" s="3" t="e">
        <f ca="1">[1]!BexGetData("DP_1","003N8EMH8GTFRCSWKMPXRRRFI","GSON2233100001")</f>
        <v>#NAME?</v>
      </c>
      <c r="G2220" s="8" t="e">
        <f ca="1">[1]!BexGetData("DP_1","003N8EMH8GTFRCSWKMPXRRXR2","GSON2233100001")</f>
        <v>#NAME?</v>
      </c>
      <c r="H2220" s="3" t="e">
        <f ca="1">[1]!BexGetData("DP_1","003N8EMH8GTFRCSWKMPXRS42M","GSON2233100001")</f>
        <v>#NAME?</v>
      </c>
      <c r="I2220" s="3" t="e">
        <f ca="1">[1]!BexGetData("DP_1","003N8EMH8GTFRCSWKMPXRSAE6","GSON2233100001")</f>
        <v>#NAME?</v>
      </c>
      <c r="J2220" s="4" t="e">
        <f ca="1">[1]!BexGetData("DP_1","003N8EMH8GTFRCSWKMPXRSGPQ","GSON2233100001")</f>
        <v>#NAME?</v>
      </c>
      <c r="K2220" s="3" t="e">
        <f ca="1">[1]!BexGetData("DP_1","003N8EMH8GTFRIVNUPY288VJH","GSON2233100001")</f>
        <v>#NAME?</v>
      </c>
      <c r="L2220" s="3" t="e">
        <f ca="1">[1]!BexGetData("DP_1","003N8EMH8GTFRIVNUPY2891V1","GSON2233100001")</f>
        <v>#NAME?</v>
      </c>
      <c r="M2220" s="3" t="e">
        <f ca="1">[1]!BexGetData("DP_1","003N8EMH8GTFRIVOG7KG9IQXA","GSON2233100001")</f>
        <v>#NAME?</v>
      </c>
      <c r="N2220" s="8" t="e">
        <f ca="1">[1]!BexGetData("DP_1","003N8EMH8GTFRIVOG7KG9IX8U","GSON2233100001")</f>
        <v>#NAME?</v>
      </c>
      <c r="O2220" s="3" t="e">
        <f ca="1">[1]!BexGetData("DP_1","003N8EMH8GTFRIVOG7KG9J3KE","GSON2233100001")</f>
        <v>#NAME?</v>
      </c>
      <c r="P2220" s="8" t="e">
        <f ca="1">[1]!BexGetData("DP_1","003N8EMH8GTFRIVOG7KG9J9VY","GSON2233100001")</f>
        <v>#NAME?</v>
      </c>
      <c r="Q2220" s="4" t="e">
        <f ca="1">[1]!BexGetData("DP_1","00O2TNJGODT0G5Z4TTKYMM5MT","GSON2233100001")</f>
        <v>#NAME?</v>
      </c>
      <c r="R2220" s="3" t="e">
        <f ca="1">[1]!BexGetData("DP_1","00O2TNJGODT0G5Z4TTKYMMBYD","GSON2233100001")</f>
        <v>#NAME?</v>
      </c>
      <c r="S2220" s="3" t="e">
        <f ca="1">[1]!BexGetData("DP_1","00O2TNJGODT0G5Z4TTKYMMI9X","GSON2233100001")</f>
        <v>#NAME?</v>
      </c>
      <c r="T2220" s="3" t="e">
        <f ca="1">[1]!BexGetData("DP_1","00O2TNJGODT0G5Z4TTKYMMOLH","GSON2233100001")</f>
        <v>#NAME?</v>
      </c>
      <c r="U2220" s="8" t="e">
        <f ca="1">[1]!BexGetData("DP_1","00O2TNJGODT0G5Z4TTKYMMUX1","GSON2233100001")</f>
        <v>#NAME?</v>
      </c>
      <c r="V2220" s="3" t="e">
        <f ca="1">[1]!BexGetData("DP_1","00O2TNJGODT0G5Z4TTKYMN18L","GSON2233100001")</f>
        <v>#NAME?</v>
      </c>
      <c r="W2220" s="8" t="e">
        <f ca="1">[1]!BexGetData("DP_1","00O2TNJGODT0G5Z4TTKYMN7K5","GSON2233100001")</f>
        <v>#NAME?</v>
      </c>
    </row>
    <row r="2221" spans="1:23" x14ac:dyDescent="0.2">
      <c r="A2221" s="13" t="s">
        <v>99</v>
      </c>
      <c r="B2221" s="7" t="s">
        <v>100</v>
      </c>
      <c r="C2221" s="3" t="e">
        <f ca="1">[1]!BexGetData("DP_1","003N8EMH8GTFRCSWKMPXRR8GU","GSON3")</f>
        <v>#NAME?</v>
      </c>
      <c r="D2221" s="3" t="e">
        <f ca="1">[1]!BexGetData("DP_1","003N8EMH8GTFRCSWKMPXRRESE","GSON3")</f>
        <v>#NAME?</v>
      </c>
      <c r="E2221" s="3" t="e">
        <f ca="1">[1]!BexGetData("DP_1","003N8EMH8GTFRCSWKMPXRRL3Y","GSON3")</f>
        <v>#NAME?</v>
      </c>
      <c r="F2221" s="3" t="e">
        <f ca="1">[1]!BexGetData("DP_1","003N8EMH8GTFRCSWKMPXRRRFI","GSON3")</f>
        <v>#NAME?</v>
      </c>
      <c r="G2221" s="3" t="e">
        <f ca="1">[1]!BexGetData("DP_1","003N8EMH8GTFRCSWKMPXRRXR2","GSON3")</f>
        <v>#NAME?</v>
      </c>
      <c r="H2221" s="3" t="e">
        <f ca="1">[1]!BexGetData("DP_1","003N8EMH8GTFRCSWKMPXRS42M","GSON3")</f>
        <v>#NAME?</v>
      </c>
      <c r="I2221" s="3" t="e">
        <f ca="1">[1]!BexGetData("DP_1","003N8EMH8GTFRCSWKMPXRSAE6","GSON3")</f>
        <v>#NAME?</v>
      </c>
      <c r="J2221" s="4" t="e">
        <f ca="1">[1]!BexGetData("DP_1","003N8EMH8GTFRCSWKMPXRSGPQ","GSON3")</f>
        <v>#NAME?</v>
      </c>
      <c r="K2221" s="3" t="e">
        <f ca="1">[1]!BexGetData("DP_1","003N8EMH8GTFRIVNUPY288VJH","GSON3")</f>
        <v>#NAME?</v>
      </c>
      <c r="L2221" s="3" t="e">
        <f ca="1">[1]!BexGetData("DP_1","003N8EMH8GTFRIVNUPY2891V1","GSON3")</f>
        <v>#NAME?</v>
      </c>
      <c r="M2221" s="8" t="e">
        <f ca="1">[1]!BexGetData("DP_1","003N8EMH8GTFRIVOG7KG9IQXA","GSON3")</f>
        <v>#NAME?</v>
      </c>
      <c r="N2221" s="3" t="e">
        <f ca="1">[1]!BexGetData("DP_1","003N8EMH8GTFRIVOG7KG9IX8U","GSON3")</f>
        <v>#NAME?</v>
      </c>
      <c r="O2221" s="8" t="e">
        <f ca="1">[1]!BexGetData("DP_1","003N8EMH8GTFRIVOG7KG9J3KE","GSON3")</f>
        <v>#NAME?</v>
      </c>
      <c r="P2221" s="3" t="e">
        <f ca="1">[1]!BexGetData("DP_1","003N8EMH8GTFRIVOG7KG9J9VY","GSON3")</f>
        <v>#NAME?</v>
      </c>
      <c r="Q2221" s="4" t="e">
        <f ca="1">[1]!BexGetData("DP_1","00O2TNJGODT0G5Z4TTKYMM5MT","GSON3")</f>
        <v>#NAME?</v>
      </c>
      <c r="R2221" s="3" t="e">
        <f ca="1">[1]!BexGetData("DP_1","00O2TNJGODT0G5Z4TTKYMMBYD","GSON3")</f>
        <v>#NAME?</v>
      </c>
      <c r="S2221" s="3" t="e">
        <f ca="1">[1]!BexGetData("DP_1","00O2TNJGODT0G5Z4TTKYMMI9X","GSON3")</f>
        <v>#NAME?</v>
      </c>
      <c r="T2221" s="3" t="e">
        <f ca="1">[1]!BexGetData("DP_1","00O2TNJGODT0G5Z4TTKYMMOLH","GSON3")</f>
        <v>#NAME?</v>
      </c>
      <c r="U2221" s="8" t="e">
        <f ca="1">[1]!BexGetData("DP_1","00O2TNJGODT0G5Z4TTKYMMUX1","GSON3")</f>
        <v>#NAME?</v>
      </c>
      <c r="V2221" s="3" t="e">
        <f ca="1">[1]!BexGetData("DP_1","00O2TNJGODT0G5Z4TTKYMN18L","GSON3")</f>
        <v>#NAME?</v>
      </c>
      <c r="W2221" s="8" t="e">
        <f ca="1">[1]!BexGetData("DP_1","00O2TNJGODT0G5Z4TTKYMN7K5","GSON3")</f>
        <v>#NAME?</v>
      </c>
    </row>
    <row r="2222" spans="1:23" x14ac:dyDescent="0.2">
      <c r="A2222" s="14" t="s">
        <v>99</v>
      </c>
      <c r="B2222" s="7" t="s">
        <v>101</v>
      </c>
      <c r="C2222" s="8" t="e">
        <f ca="1">[1]!BexGetData("DP_1","003N8EMH8GTFRCSWKMPXRR8GU","GSON31")</f>
        <v>#NAME?</v>
      </c>
      <c r="D2222" s="8" t="e">
        <f ca="1">[1]!BexGetData("DP_1","003N8EMH8GTFRCSWKMPXRRESE","GSON31")</f>
        <v>#NAME?</v>
      </c>
      <c r="E2222" s="3" t="e">
        <f ca="1">[1]!BexGetData("DP_1","003N8EMH8GTFRCSWKMPXRRL3Y","GSON31")</f>
        <v>#NAME?</v>
      </c>
      <c r="F2222" s="3" t="e">
        <f ca="1">[1]!BexGetData("DP_1","003N8EMH8GTFRCSWKMPXRRRFI","GSON31")</f>
        <v>#NAME?</v>
      </c>
      <c r="G2222" s="3" t="e">
        <f ca="1">[1]!BexGetData("DP_1","003N8EMH8GTFRCSWKMPXRRXR2","GSON31")</f>
        <v>#NAME?</v>
      </c>
      <c r="H2222" s="3" t="e">
        <f ca="1">[1]!BexGetData("DP_1","003N8EMH8GTFRCSWKMPXRS42M","GSON31")</f>
        <v>#NAME?</v>
      </c>
      <c r="I2222" s="3" t="e">
        <f ca="1">[1]!BexGetData("DP_1","003N8EMH8GTFRCSWKMPXRSAE6","GSON31")</f>
        <v>#NAME?</v>
      </c>
      <c r="J2222" s="4" t="e">
        <f ca="1">[1]!BexGetData("DP_1","003N8EMH8GTFRCSWKMPXRSGPQ","GSON31")</f>
        <v>#NAME?</v>
      </c>
      <c r="K2222" s="8" t="e">
        <f ca="1">[1]!BexGetData("DP_1","003N8EMH8GTFRIVNUPY288VJH","GSON31")</f>
        <v>#NAME?</v>
      </c>
      <c r="L2222" s="8" t="e">
        <f ca="1">[1]!BexGetData("DP_1","003N8EMH8GTFRIVNUPY2891V1","GSON31")</f>
        <v>#NAME?</v>
      </c>
      <c r="M2222" s="8" t="e">
        <f ca="1">[1]!BexGetData("DP_1","003N8EMH8GTFRIVOG7KG9IQXA","GSON31")</f>
        <v>#NAME?</v>
      </c>
      <c r="N2222" s="8" t="e">
        <f ca="1">[1]!BexGetData("DP_1","003N8EMH8GTFRIVOG7KG9IX8U","GSON31")</f>
        <v>#NAME?</v>
      </c>
      <c r="O2222" s="8" t="e">
        <f ca="1">[1]!BexGetData("DP_1","003N8EMH8GTFRIVOG7KG9J3KE","GSON31")</f>
        <v>#NAME?</v>
      </c>
      <c r="P2222" s="8" t="e">
        <f ca="1">[1]!BexGetData("DP_1","003N8EMH8GTFRIVOG7KG9J9VY","GSON31")</f>
        <v>#NAME?</v>
      </c>
      <c r="Q2222" s="4" t="e">
        <f ca="1">[1]!BexGetData("DP_1","00O2TNJGODT0G5Z4TTKYMM5MT","GSON31")</f>
        <v>#NAME?</v>
      </c>
      <c r="R2222" s="3" t="e">
        <f ca="1">[1]!BexGetData("DP_1","00O2TNJGODT0G5Z4TTKYMMBYD","GSON31")</f>
        <v>#NAME?</v>
      </c>
      <c r="S2222" s="3" t="e">
        <f ca="1">[1]!BexGetData("DP_1","00O2TNJGODT0G5Z4TTKYMMI9X","GSON31")</f>
        <v>#NAME?</v>
      </c>
      <c r="T2222" s="8" t="e">
        <f ca="1">[1]!BexGetData("DP_1","00O2TNJGODT0G5Z4TTKYMMOLH","GSON31")</f>
        <v>#NAME?</v>
      </c>
      <c r="U2222" s="3" t="e">
        <f ca="1">[1]!BexGetData("DP_1","00O2TNJGODT0G5Z4TTKYMMUX1","GSON31")</f>
        <v>#NAME?</v>
      </c>
      <c r="V2222" s="8" t="e">
        <f ca="1">[1]!BexGetData("DP_1","00O2TNJGODT0G5Z4TTKYMN18L","GSON31")</f>
        <v>#NAME?</v>
      </c>
      <c r="W2222" s="3" t="e">
        <f ca="1">[1]!BexGetData("DP_1","00O2TNJGODT0G5Z4TTKYMN7K5","GSON31")</f>
        <v>#NAME?</v>
      </c>
    </row>
    <row r="2223" spans="1:23" x14ac:dyDescent="0.2">
      <c r="A2223" s="15" t="s">
        <v>4898</v>
      </c>
      <c r="B2223" s="7" t="s">
        <v>4899</v>
      </c>
      <c r="C2223" s="8" t="e">
        <f ca="1">[1]!BexGetData("DP_1","003N8EMH8GTFRCSWKMPXRR8GU","GSON313")</f>
        <v>#NAME?</v>
      </c>
      <c r="D2223" s="8" t="e">
        <f ca="1">[1]!BexGetData("DP_1","003N8EMH8GTFRCSWKMPXRRESE","GSON313")</f>
        <v>#NAME?</v>
      </c>
      <c r="E2223" s="3" t="e">
        <f ca="1">[1]!BexGetData("DP_1","003N8EMH8GTFRCSWKMPXRRL3Y","GSON313")</f>
        <v>#NAME?</v>
      </c>
      <c r="F2223" s="3" t="e">
        <f ca="1">[1]!BexGetData("DP_1","003N8EMH8GTFRCSWKMPXRRRFI","GSON313")</f>
        <v>#NAME?</v>
      </c>
      <c r="G2223" s="3" t="e">
        <f ca="1">[1]!BexGetData("DP_1","003N8EMH8GTFRCSWKMPXRRXR2","GSON313")</f>
        <v>#NAME?</v>
      </c>
      <c r="H2223" s="3" t="e">
        <f ca="1">[1]!BexGetData("DP_1","003N8EMH8GTFRCSWKMPXRS42M","GSON313")</f>
        <v>#NAME?</v>
      </c>
      <c r="I2223" s="3" t="e">
        <f ca="1">[1]!BexGetData("DP_1","003N8EMH8GTFRCSWKMPXRSAE6","GSON313")</f>
        <v>#NAME?</v>
      </c>
      <c r="J2223" s="4" t="e">
        <f ca="1">[1]!BexGetData("DP_1","003N8EMH8GTFRCSWKMPXRSGPQ","GSON313")</f>
        <v>#NAME?</v>
      </c>
      <c r="K2223" s="8" t="e">
        <f ca="1">[1]!BexGetData("DP_1","003N8EMH8GTFRIVNUPY288VJH","GSON313")</f>
        <v>#NAME?</v>
      </c>
      <c r="L2223" s="8" t="e">
        <f ca="1">[1]!BexGetData("DP_1","003N8EMH8GTFRIVNUPY2891V1","GSON313")</f>
        <v>#NAME?</v>
      </c>
      <c r="M2223" s="8" t="e">
        <f ca="1">[1]!BexGetData("DP_1","003N8EMH8GTFRIVOG7KG9IQXA","GSON313")</f>
        <v>#NAME?</v>
      </c>
      <c r="N2223" s="8" t="e">
        <f ca="1">[1]!BexGetData("DP_1","003N8EMH8GTFRIVOG7KG9IX8U","GSON313")</f>
        <v>#NAME?</v>
      </c>
      <c r="O2223" s="8" t="e">
        <f ca="1">[1]!BexGetData("DP_1","003N8EMH8GTFRIVOG7KG9J3KE","GSON313")</f>
        <v>#NAME?</v>
      </c>
      <c r="P2223" s="8" t="e">
        <f ca="1">[1]!BexGetData("DP_1","003N8EMH8GTFRIVOG7KG9J9VY","GSON313")</f>
        <v>#NAME?</v>
      </c>
      <c r="Q2223" s="4" t="e">
        <f ca="1">[1]!BexGetData("DP_1","00O2TNJGODT0G5Z4TTKYMM5MT","GSON313")</f>
        <v>#NAME?</v>
      </c>
      <c r="R2223" s="3" t="e">
        <f ca="1">[1]!BexGetData("DP_1","00O2TNJGODT0G5Z4TTKYMMBYD","GSON313")</f>
        <v>#NAME?</v>
      </c>
      <c r="S2223" s="3" t="e">
        <f ca="1">[1]!BexGetData("DP_1","00O2TNJGODT0G5Z4TTKYMMI9X","GSON313")</f>
        <v>#NAME?</v>
      </c>
      <c r="T2223" s="8" t="e">
        <f ca="1">[1]!BexGetData("DP_1","00O2TNJGODT0G5Z4TTKYMMOLH","GSON313")</f>
        <v>#NAME?</v>
      </c>
      <c r="U2223" s="3" t="e">
        <f ca="1">[1]!BexGetData("DP_1","00O2TNJGODT0G5Z4TTKYMMUX1","GSON313")</f>
        <v>#NAME?</v>
      </c>
      <c r="V2223" s="8" t="e">
        <f ca="1">[1]!BexGetData("DP_1","00O2TNJGODT0G5Z4TTKYMN18L","GSON313")</f>
        <v>#NAME?</v>
      </c>
      <c r="W2223" s="3" t="e">
        <f ca="1">[1]!BexGetData("DP_1","00O2TNJGODT0G5Z4TTKYMN7K5","GSON313")</f>
        <v>#NAME?</v>
      </c>
    </row>
    <row r="2224" spans="1:23" x14ac:dyDescent="0.2">
      <c r="A2224" s="16" t="s">
        <v>4900</v>
      </c>
      <c r="B2224" s="7" t="s">
        <v>4901</v>
      </c>
      <c r="C2224" s="8" t="e">
        <f ca="1">[1]!BexGetData("DP_1","003N8EMH8GTFRCSWKMPXRR8GU","GSON3130000001")</f>
        <v>#NAME?</v>
      </c>
      <c r="D2224" s="8" t="e">
        <f ca="1">[1]!BexGetData("DP_1","003N8EMH8GTFRCSWKMPXRRESE","GSON3130000001")</f>
        <v>#NAME?</v>
      </c>
      <c r="E2224" s="3" t="e">
        <f ca="1">[1]!BexGetData("DP_1","003N8EMH8GTFRCSWKMPXRRL3Y","GSON3130000001")</f>
        <v>#NAME?</v>
      </c>
      <c r="F2224" s="3" t="e">
        <f ca="1">[1]!BexGetData("DP_1","003N8EMH8GTFRCSWKMPXRRRFI","GSON3130000001")</f>
        <v>#NAME?</v>
      </c>
      <c r="G2224" s="3" t="e">
        <f ca="1">[1]!BexGetData("DP_1","003N8EMH8GTFRCSWKMPXRRXR2","GSON3130000001")</f>
        <v>#NAME?</v>
      </c>
      <c r="H2224" s="3" t="e">
        <f ca="1">[1]!BexGetData("DP_1","003N8EMH8GTFRCSWKMPXRS42M","GSON3130000001")</f>
        <v>#NAME?</v>
      </c>
      <c r="I2224" s="3" t="e">
        <f ca="1">[1]!BexGetData("DP_1","003N8EMH8GTFRCSWKMPXRSAE6","GSON3130000001")</f>
        <v>#NAME?</v>
      </c>
      <c r="J2224" s="4" t="e">
        <f ca="1">[1]!BexGetData("DP_1","003N8EMH8GTFRCSWKMPXRSGPQ","GSON3130000001")</f>
        <v>#NAME?</v>
      </c>
      <c r="K2224" s="8" t="e">
        <f ca="1">[1]!BexGetData("DP_1","003N8EMH8GTFRIVNUPY288VJH","GSON3130000001")</f>
        <v>#NAME?</v>
      </c>
      <c r="L2224" s="8" t="e">
        <f ca="1">[1]!BexGetData("DP_1","003N8EMH8GTFRIVNUPY2891V1","GSON3130000001")</f>
        <v>#NAME?</v>
      </c>
      <c r="M2224" s="8" t="e">
        <f ca="1">[1]!BexGetData("DP_1","003N8EMH8GTFRIVOG7KG9IQXA","GSON3130000001")</f>
        <v>#NAME?</v>
      </c>
      <c r="N2224" s="8" t="e">
        <f ca="1">[1]!BexGetData("DP_1","003N8EMH8GTFRIVOG7KG9IX8U","GSON3130000001")</f>
        <v>#NAME?</v>
      </c>
      <c r="O2224" s="8" t="e">
        <f ca="1">[1]!BexGetData("DP_1","003N8EMH8GTFRIVOG7KG9J3KE","GSON3130000001")</f>
        <v>#NAME?</v>
      </c>
      <c r="P2224" s="8" t="e">
        <f ca="1">[1]!BexGetData("DP_1","003N8EMH8GTFRIVOG7KG9J9VY","GSON3130000001")</f>
        <v>#NAME?</v>
      </c>
      <c r="Q2224" s="4" t="e">
        <f ca="1">[1]!BexGetData("DP_1","00O2TNJGODT0G5Z4TTKYMM5MT","GSON3130000001")</f>
        <v>#NAME?</v>
      </c>
      <c r="R2224" s="3" t="e">
        <f ca="1">[1]!BexGetData("DP_1","00O2TNJGODT0G5Z4TTKYMMBYD","GSON3130000001")</f>
        <v>#NAME?</v>
      </c>
      <c r="S2224" s="3" t="e">
        <f ca="1">[1]!BexGetData("DP_1","00O2TNJGODT0G5Z4TTKYMMI9X","GSON3130000001")</f>
        <v>#NAME?</v>
      </c>
      <c r="T2224" s="8" t="e">
        <f ca="1">[1]!BexGetData("DP_1","00O2TNJGODT0G5Z4TTKYMMOLH","GSON3130000001")</f>
        <v>#NAME?</v>
      </c>
      <c r="U2224" s="3" t="e">
        <f ca="1">[1]!BexGetData("DP_1","00O2TNJGODT0G5Z4TTKYMMUX1","GSON3130000001")</f>
        <v>#NAME?</v>
      </c>
      <c r="V2224" s="8" t="e">
        <f ca="1">[1]!BexGetData("DP_1","00O2TNJGODT0G5Z4TTKYMN18L","GSON3130000001")</f>
        <v>#NAME?</v>
      </c>
      <c r="W2224" s="3" t="e">
        <f ca="1">[1]!BexGetData("DP_1","00O2TNJGODT0G5Z4TTKYMN7K5","GSON3130000001")</f>
        <v>#NAME?</v>
      </c>
    </row>
    <row r="2225" spans="1:23" x14ac:dyDescent="0.2">
      <c r="A2225" s="14" t="s">
        <v>499</v>
      </c>
      <c r="B2225" s="7" t="s">
        <v>500</v>
      </c>
      <c r="C2225" s="3" t="e">
        <f ca="1">[1]!BexGetData("DP_1","003N8EMH8GTFRCSWKMPXRR8GU","GSON32")</f>
        <v>#NAME?</v>
      </c>
      <c r="D2225" s="3" t="e">
        <f ca="1">[1]!BexGetData("DP_1","003N8EMH8GTFRCSWKMPXRRESE","GSON32")</f>
        <v>#NAME?</v>
      </c>
      <c r="E2225" s="3" t="e">
        <f ca="1">[1]!BexGetData("DP_1","003N8EMH8GTFRCSWKMPXRRL3Y","GSON32")</f>
        <v>#NAME?</v>
      </c>
      <c r="F2225" s="3" t="e">
        <f ca="1">[1]!BexGetData("DP_1","003N8EMH8GTFRCSWKMPXRRRFI","GSON32")</f>
        <v>#NAME?</v>
      </c>
      <c r="G2225" s="3" t="e">
        <f ca="1">[1]!BexGetData("DP_1","003N8EMH8GTFRCSWKMPXRRXR2","GSON32")</f>
        <v>#NAME?</v>
      </c>
      <c r="H2225" s="3" t="e">
        <f ca="1">[1]!BexGetData("DP_1","003N8EMH8GTFRCSWKMPXRS42M","GSON32")</f>
        <v>#NAME?</v>
      </c>
      <c r="I2225" s="3" t="e">
        <f ca="1">[1]!BexGetData("DP_1","003N8EMH8GTFRCSWKMPXRSAE6","GSON32")</f>
        <v>#NAME?</v>
      </c>
      <c r="J2225" s="4" t="e">
        <f ca="1">[1]!BexGetData("DP_1","003N8EMH8GTFRCSWKMPXRSGPQ","GSON32")</f>
        <v>#NAME?</v>
      </c>
      <c r="K2225" s="3" t="e">
        <f ca="1">[1]!BexGetData("DP_1","003N8EMH8GTFRIVNUPY288VJH","GSON32")</f>
        <v>#NAME?</v>
      </c>
      <c r="L2225" s="3" t="e">
        <f ca="1">[1]!BexGetData("DP_1","003N8EMH8GTFRIVNUPY2891V1","GSON32")</f>
        <v>#NAME?</v>
      </c>
      <c r="M2225" s="8" t="e">
        <f ca="1">[1]!BexGetData("DP_1","003N8EMH8GTFRIVOG7KG9IQXA","GSON32")</f>
        <v>#NAME?</v>
      </c>
      <c r="N2225" s="3" t="e">
        <f ca="1">[1]!BexGetData("DP_1","003N8EMH8GTFRIVOG7KG9IX8U","GSON32")</f>
        <v>#NAME?</v>
      </c>
      <c r="O2225" s="8" t="e">
        <f ca="1">[1]!BexGetData("DP_1","003N8EMH8GTFRIVOG7KG9J3KE","GSON32")</f>
        <v>#NAME?</v>
      </c>
      <c r="P2225" s="3" t="e">
        <f ca="1">[1]!BexGetData("DP_1","003N8EMH8GTFRIVOG7KG9J9VY","GSON32")</f>
        <v>#NAME?</v>
      </c>
      <c r="Q2225" s="4" t="e">
        <f ca="1">[1]!BexGetData("DP_1","00O2TNJGODT0G5Z4TTKYMM5MT","GSON32")</f>
        <v>#NAME?</v>
      </c>
      <c r="R2225" s="3" t="e">
        <f ca="1">[1]!BexGetData("DP_1","00O2TNJGODT0G5Z4TTKYMMBYD","GSON32")</f>
        <v>#NAME?</v>
      </c>
      <c r="S2225" s="3" t="e">
        <f ca="1">[1]!BexGetData("DP_1","00O2TNJGODT0G5Z4TTKYMMI9X","GSON32")</f>
        <v>#NAME?</v>
      </c>
      <c r="T2225" s="3" t="e">
        <f ca="1">[1]!BexGetData("DP_1","00O2TNJGODT0G5Z4TTKYMMOLH","GSON32")</f>
        <v>#NAME?</v>
      </c>
      <c r="U2225" s="8" t="e">
        <f ca="1">[1]!BexGetData("DP_1","00O2TNJGODT0G5Z4TTKYMMUX1","GSON32")</f>
        <v>#NAME?</v>
      </c>
      <c r="V2225" s="3" t="e">
        <f ca="1">[1]!BexGetData("DP_1","00O2TNJGODT0G5Z4TTKYMN18L","GSON32")</f>
        <v>#NAME?</v>
      </c>
      <c r="W2225" s="8" t="e">
        <f ca="1">[1]!BexGetData("DP_1","00O2TNJGODT0G5Z4TTKYMN7K5","GSON32")</f>
        <v>#NAME?</v>
      </c>
    </row>
    <row r="2226" spans="1:23" x14ac:dyDescent="0.2">
      <c r="A2226" s="15" t="s">
        <v>501</v>
      </c>
      <c r="B2226" s="7" t="s">
        <v>502</v>
      </c>
      <c r="C2226" s="3" t="e">
        <f ca="1">[1]!BexGetData("DP_1","003N8EMH8GTFRCSWKMPXRR8GU","GSON322")</f>
        <v>#NAME?</v>
      </c>
      <c r="D2226" s="3" t="e">
        <f ca="1">[1]!BexGetData("DP_1","003N8EMH8GTFRCSWKMPXRRESE","GSON322")</f>
        <v>#NAME?</v>
      </c>
      <c r="E2226" s="3" t="e">
        <f ca="1">[1]!BexGetData("DP_1","003N8EMH8GTFRCSWKMPXRRL3Y","GSON322")</f>
        <v>#NAME?</v>
      </c>
      <c r="F2226" s="3" t="e">
        <f ca="1">[1]!BexGetData("DP_1","003N8EMH8GTFRCSWKMPXRRRFI","GSON322")</f>
        <v>#NAME?</v>
      </c>
      <c r="G2226" s="3" t="e">
        <f ca="1">[1]!BexGetData("DP_1","003N8EMH8GTFRCSWKMPXRRXR2","GSON322")</f>
        <v>#NAME?</v>
      </c>
      <c r="H2226" s="3" t="e">
        <f ca="1">[1]!BexGetData("DP_1","003N8EMH8GTFRCSWKMPXRS42M","GSON322")</f>
        <v>#NAME?</v>
      </c>
      <c r="I2226" s="3" t="e">
        <f ca="1">[1]!BexGetData("DP_1","003N8EMH8GTFRCSWKMPXRSAE6","GSON322")</f>
        <v>#NAME?</v>
      </c>
      <c r="J2226" s="4" t="e">
        <f ca="1">[1]!BexGetData("DP_1","003N8EMH8GTFRCSWKMPXRSGPQ","GSON322")</f>
        <v>#NAME?</v>
      </c>
      <c r="K2226" s="3" t="e">
        <f ca="1">[1]!BexGetData("DP_1","003N8EMH8GTFRIVNUPY288VJH","GSON322")</f>
        <v>#NAME?</v>
      </c>
      <c r="L2226" s="3" t="e">
        <f ca="1">[1]!BexGetData("DP_1","003N8EMH8GTFRIVNUPY2891V1","GSON322")</f>
        <v>#NAME?</v>
      </c>
      <c r="M2226" s="8" t="e">
        <f ca="1">[1]!BexGetData("DP_1","003N8EMH8GTFRIVOG7KG9IQXA","GSON322")</f>
        <v>#NAME?</v>
      </c>
      <c r="N2226" s="3" t="e">
        <f ca="1">[1]!BexGetData("DP_1","003N8EMH8GTFRIVOG7KG9IX8U","GSON322")</f>
        <v>#NAME?</v>
      </c>
      <c r="O2226" s="8" t="e">
        <f ca="1">[1]!BexGetData("DP_1","003N8EMH8GTFRIVOG7KG9J3KE","GSON322")</f>
        <v>#NAME?</v>
      </c>
      <c r="P2226" s="3" t="e">
        <f ca="1">[1]!BexGetData("DP_1","003N8EMH8GTFRIVOG7KG9J9VY","GSON322")</f>
        <v>#NAME?</v>
      </c>
      <c r="Q2226" s="4" t="e">
        <f ca="1">[1]!BexGetData("DP_1","00O2TNJGODT0G5Z4TTKYMM5MT","GSON322")</f>
        <v>#NAME?</v>
      </c>
      <c r="R2226" s="3" t="e">
        <f ca="1">[1]!BexGetData("DP_1","00O2TNJGODT0G5Z4TTKYMMBYD","GSON322")</f>
        <v>#NAME?</v>
      </c>
      <c r="S2226" s="3" t="e">
        <f ca="1">[1]!BexGetData("DP_1","00O2TNJGODT0G5Z4TTKYMMI9X","GSON322")</f>
        <v>#NAME?</v>
      </c>
      <c r="T2226" s="3" t="e">
        <f ca="1">[1]!BexGetData("DP_1","00O2TNJGODT0G5Z4TTKYMMOLH","GSON322")</f>
        <v>#NAME?</v>
      </c>
      <c r="U2226" s="8" t="e">
        <f ca="1">[1]!BexGetData("DP_1","00O2TNJGODT0G5Z4TTKYMMUX1","GSON322")</f>
        <v>#NAME?</v>
      </c>
      <c r="V2226" s="3" t="e">
        <f ca="1">[1]!BexGetData("DP_1","00O2TNJGODT0G5Z4TTKYMN18L","GSON322")</f>
        <v>#NAME?</v>
      </c>
      <c r="W2226" s="8" t="e">
        <f ca="1">[1]!BexGetData("DP_1","00O2TNJGODT0G5Z4TTKYMN7K5","GSON322")</f>
        <v>#NAME?</v>
      </c>
    </row>
    <row r="2227" spans="1:23" x14ac:dyDescent="0.2">
      <c r="A2227" s="16" t="s">
        <v>1450</v>
      </c>
      <c r="B2227" s="7" t="s">
        <v>1451</v>
      </c>
      <c r="C2227" s="8" t="e">
        <f ca="1">[1]!BexGetData("DP_1","003N8EMH8GTFRCSWKMPXRR8GU","GSON3210000001")</f>
        <v>#NAME?</v>
      </c>
      <c r="D2227" s="8" t="e">
        <f ca="1">[1]!BexGetData("DP_1","003N8EMH8GTFRCSWKMPXRRESE","GSON3210000001")</f>
        <v>#NAME?</v>
      </c>
      <c r="E2227" s="3" t="e">
        <f ca="1">[1]!BexGetData("DP_1","003N8EMH8GTFRCSWKMPXRRL3Y","GSON3210000001")</f>
        <v>#NAME?</v>
      </c>
      <c r="F2227" s="3" t="e">
        <f ca="1">[1]!BexGetData("DP_1","003N8EMH8GTFRCSWKMPXRRRFI","GSON3210000001")</f>
        <v>#NAME?</v>
      </c>
      <c r="G2227" s="3" t="e">
        <f ca="1">[1]!BexGetData("DP_1","003N8EMH8GTFRCSWKMPXRRXR2","GSON3210000001")</f>
        <v>#NAME?</v>
      </c>
      <c r="H2227" s="3" t="e">
        <f ca="1">[1]!BexGetData("DP_1","003N8EMH8GTFRCSWKMPXRS42M","GSON3210000001")</f>
        <v>#NAME?</v>
      </c>
      <c r="I2227" s="3" t="e">
        <f ca="1">[1]!BexGetData("DP_1","003N8EMH8GTFRCSWKMPXRSAE6","GSON3210000001")</f>
        <v>#NAME?</v>
      </c>
      <c r="J2227" s="4" t="e">
        <f ca="1">[1]!BexGetData("DP_1","003N8EMH8GTFRCSWKMPXRSGPQ","GSON3210000001")</f>
        <v>#NAME?</v>
      </c>
      <c r="K2227" s="8" t="e">
        <f ca="1">[1]!BexGetData("DP_1","003N8EMH8GTFRIVNUPY288VJH","GSON3210000001")</f>
        <v>#NAME?</v>
      </c>
      <c r="L2227" s="8" t="e">
        <f ca="1">[1]!BexGetData("DP_1","003N8EMH8GTFRIVNUPY2891V1","GSON3210000001")</f>
        <v>#NAME?</v>
      </c>
      <c r="M2227" s="8" t="e">
        <f ca="1">[1]!BexGetData("DP_1","003N8EMH8GTFRIVOG7KG9IQXA","GSON3210000001")</f>
        <v>#NAME?</v>
      </c>
      <c r="N2227" s="8" t="e">
        <f ca="1">[1]!BexGetData("DP_1","003N8EMH8GTFRIVOG7KG9IX8U","GSON3210000001")</f>
        <v>#NAME?</v>
      </c>
      <c r="O2227" s="8" t="e">
        <f ca="1">[1]!BexGetData("DP_1","003N8EMH8GTFRIVOG7KG9J3KE","GSON3210000001")</f>
        <v>#NAME?</v>
      </c>
      <c r="P2227" s="8" t="e">
        <f ca="1">[1]!BexGetData("DP_1","003N8EMH8GTFRIVOG7KG9J9VY","GSON3210000001")</f>
        <v>#NAME?</v>
      </c>
      <c r="Q2227" s="4" t="e">
        <f ca="1">[1]!BexGetData("DP_1","00O2TNJGODT0G5Z4TTKYMM5MT","GSON3210000001")</f>
        <v>#NAME?</v>
      </c>
      <c r="R2227" s="3" t="e">
        <f ca="1">[1]!BexGetData("DP_1","00O2TNJGODT0G5Z4TTKYMMBYD","GSON3210000001")</f>
        <v>#NAME?</v>
      </c>
      <c r="S2227" s="3" t="e">
        <f ca="1">[1]!BexGetData("DP_1","00O2TNJGODT0G5Z4TTKYMMI9X","GSON3210000001")</f>
        <v>#NAME?</v>
      </c>
      <c r="T2227" s="3" t="e">
        <f ca="1">[1]!BexGetData("DP_1","00O2TNJGODT0G5Z4TTKYMMOLH","GSON3210000001")</f>
        <v>#NAME?</v>
      </c>
      <c r="U2227" s="8" t="e">
        <f ca="1">[1]!BexGetData("DP_1","00O2TNJGODT0G5Z4TTKYMMUX1","GSON3210000001")</f>
        <v>#NAME?</v>
      </c>
      <c r="V2227" s="3" t="e">
        <f ca="1">[1]!BexGetData("DP_1","00O2TNJGODT0G5Z4TTKYMN18L","GSON3210000001")</f>
        <v>#NAME?</v>
      </c>
      <c r="W2227" s="8" t="e">
        <f ca="1">[1]!BexGetData("DP_1","00O2TNJGODT0G5Z4TTKYMN7K5","GSON3210000001")</f>
        <v>#NAME?</v>
      </c>
    </row>
    <row r="2228" spans="1:23" x14ac:dyDescent="0.2">
      <c r="A2228" s="16" t="s">
        <v>1452</v>
      </c>
      <c r="B2228" s="7" t="s">
        <v>503</v>
      </c>
      <c r="C2228" s="8" t="e">
        <f ca="1">[1]!BexGetData("DP_1","003N8EMH8GTFRCSWKMPXRR8GU","GSON3220000001")</f>
        <v>#NAME?</v>
      </c>
      <c r="D2228" s="8" t="e">
        <f ca="1">[1]!BexGetData("DP_1","003N8EMH8GTFRCSWKMPXRRESE","GSON3220000001")</f>
        <v>#NAME?</v>
      </c>
      <c r="E2228" s="3" t="e">
        <f ca="1">[1]!BexGetData("DP_1","003N8EMH8GTFRCSWKMPXRRL3Y","GSON3220000001")</f>
        <v>#NAME?</v>
      </c>
      <c r="F2228" s="3" t="e">
        <f ca="1">[1]!BexGetData("DP_1","003N8EMH8GTFRCSWKMPXRRRFI","GSON3220000001")</f>
        <v>#NAME?</v>
      </c>
      <c r="G2228" s="3" t="e">
        <f ca="1">[1]!BexGetData("DP_1","003N8EMH8GTFRCSWKMPXRRXR2","GSON3220000001")</f>
        <v>#NAME?</v>
      </c>
      <c r="H2228" s="3" t="e">
        <f ca="1">[1]!BexGetData("DP_1","003N8EMH8GTFRCSWKMPXRS42M","GSON3220000001")</f>
        <v>#NAME?</v>
      </c>
      <c r="I2228" s="3" t="e">
        <f ca="1">[1]!BexGetData("DP_1","003N8EMH8GTFRCSWKMPXRSAE6","GSON3220000001")</f>
        <v>#NAME?</v>
      </c>
      <c r="J2228" s="4" t="e">
        <f ca="1">[1]!BexGetData("DP_1","003N8EMH8GTFRCSWKMPXRSGPQ","GSON3220000001")</f>
        <v>#NAME?</v>
      </c>
      <c r="K2228" s="8" t="e">
        <f ca="1">[1]!BexGetData("DP_1","003N8EMH8GTFRIVNUPY288VJH","GSON3220000001")</f>
        <v>#NAME?</v>
      </c>
      <c r="L2228" s="8" t="e">
        <f ca="1">[1]!BexGetData("DP_1","003N8EMH8GTFRIVNUPY2891V1","GSON3220000001")</f>
        <v>#NAME?</v>
      </c>
      <c r="M2228" s="8" t="e">
        <f ca="1">[1]!BexGetData("DP_1","003N8EMH8GTFRIVOG7KG9IQXA","GSON3220000001")</f>
        <v>#NAME?</v>
      </c>
      <c r="N2228" s="8" t="e">
        <f ca="1">[1]!BexGetData("DP_1","003N8EMH8GTFRIVOG7KG9IX8U","GSON3220000001")</f>
        <v>#NAME?</v>
      </c>
      <c r="O2228" s="8" t="e">
        <f ca="1">[1]!BexGetData("DP_1","003N8EMH8GTFRIVOG7KG9J3KE","GSON3220000001")</f>
        <v>#NAME?</v>
      </c>
      <c r="P2228" s="8" t="e">
        <f ca="1">[1]!BexGetData("DP_1","003N8EMH8GTFRIVOG7KG9J9VY","GSON3220000001")</f>
        <v>#NAME?</v>
      </c>
      <c r="Q2228" s="4" t="e">
        <f ca="1">[1]!BexGetData("DP_1","00O2TNJGODT0G5Z4TTKYMM5MT","GSON3220000001")</f>
        <v>#NAME?</v>
      </c>
      <c r="R2228" s="3" t="e">
        <f ca="1">[1]!BexGetData("DP_1","00O2TNJGODT0G5Z4TTKYMMBYD","GSON3220000001")</f>
        <v>#NAME?</v>
      </c>
      <c r="S2228" s="3" t="e">
        <f ca="1">[1]!BexGetData("DP_1","00O2TNJGODT0G5Z4TTKYMMI9X","GSON3220000001")</f>
        <v>#NAME?</v>
      </c>
      <c r="T2228" s="3" t="e">
        <f ca="1">[1]!BexGetData("DP_1","00O2TNJGODT0G5Z4TTKYMMOLH","GSON3220000001")</f>
        <v>#NAME?</v>
      </c>
      <c r="U2228" s="8" t="e">
        <f ca="1">[1]!BexGetData("DP_1","00O2TNJGODT0G5Z4TTKYMMUX1","GSON3220000001")</f>
        <v>#NAME?</v>
      </c>
      <c r="V2228" s="3" t="e">
        <f ca="1">[1]!BexGetData("DP_1","00O2TNJGODT0G5Z4TTKYMN18L","GSON3220000001")</f>
        <v>#NAME?</v>
      </c>
      <c r="W2228" s="8" t="e">
        <f ca="1">[1]!BexGetData("DP_1","00O2TNJGODT0G5Z4TTKYMN7K5","GSON3220000001")</f>
        <v>#NAME?</v>
      </c>
    </row>
    <row r="2229" spans="1:23" x14ac:dyDescent="0.2">
      <c r="A2229" s="16" t="s">
        <v>1453</v>
      </c>
      <c r="B2229" s="7" t="s">
        <v>504</v>
      </c>
      <c r="C2229" s="8" t="e">
        <f ca="1">[1]!BexGetData("DP_1","003N8EMH8GTFRCSWKMPXRR8GU","GSON3220000002")</f>
        <v>#NAME?</v>
      </c>
      <c r="D2229" s="8" t="e">
        <f ca="1">[1]!BexGetData("DP_1","003N8EMH8GTFRCSWKMPXRRESE","GSON3220000002")</f>
        <v>#NAME?</v>
      </c>
      <c r="E2229" s="3" t="e">
        <f ca="1">[1]!BexGetData("DP_1","003N8EMH8GTFRCSWKMPXRRL3Y","GSON3220000002")</f>
        <v>#NAME?</v>
      </c>
      <c r="F2229" s="3" t="e">
        <f ca="1">[1]!BexGetData("DP_1","003N8EMH8GTFRCSWKMPXRRRFI","GSON3220000002")</f>
        <v>#NAME?</v>
      </c>
      <c r="G2229" s="8" t="e">
        <f ca="1">[1]!BexGetData("DP_1","003N8EMH8GTFRCSWKMPXRRXR2","GSON3220000002")</f>
        <v>#NAME?</v>
      </c>
      <c r="H2229" s="3" t="e">
        <f ca="1">[1]!BexGetData("DP_1","003N8EMH8GTFRCSWKMPXRS42M","GSON3220000002")</f>
        <v>#NAME?</v>
      </c>
      <c r="I2229" s="3" t="e">
        <f ca="1">[1]!BexGetData("DP_1","003N8EMH8GTFRCSWKMPXRSAE6","GSON3220000002")</f>
        <v>#NAME?</v>
      </c>
      <c r="J2229" s="4" t="e">
        <f ca="1">[1]!BexGetData("DP_1","003N8EMH8GTFRCSWKMPXRSGPQ","GSON3220000002")</f>
        <v>#NAME?</v>
      </c>
      <c r="K2229" s="8" t="e">
        <f ca="1">[1]!BexGetData("DP_1","003N8EMH8GTFRIVNUPY288VJH","GSON3220000002")</f>
        <v>#NAME?</v>
      </c>
      <c r="L2229" s="8" t="e">
        <f ca="1">[1]!BexGetData("DP_1","003N8EMH8GTFRIVNUPY2891V1","GSON3220000002")</f>
        <v>#NAME?</v>
      </c>
      <c r="M2229" s="8" t="e">
        <f ca="1">[1]!BexGetData("DP_1","003N8EMH8GTFRIVOG7KG9IQXA","GSON3220000002")</f>
        <v>#NAME?</v>
      </c>
      <c r="N2229" s="8" t="e">
        <f ca="1">[1]!BexGetData("DP_1","003N8EMH8GTFRIVOG7KG9IX8U","GSON3220000002")</f>
        <v>#NAME?</v>
      </c>
      <c r="O2229" s="8" t="e">
        <f ca="1">[1]!BexGetData("DP_1","003N8EMH8GTFRIVOG7KG9J3KE","GSON3220000002")</f>
        <v>#NAME?</v>
      </c>
      <c r="P2229" s="8" t="e">
        <f ca="1">[1]!BexGetData("DP_1","003N8EMH8GTFRIVOG7KG9J9VY","GSON3220000002")</f>
        <v>#NAME?</v>
      </c>
      <c r="Q2229" s="4" t="e">
        <f ca="1">[1]!BexGetData("DP_1","00O2TNJGODT0G5Z4TTKYMM5MT","GSON3220000002")</f>
        <v>#NAME?</v>
      </c>
      <c r="R2229" s="3" t="e">
        <f ca="1">[1]!BexGetData("DP_1","00O2TNJGODT0G5Z4TTKYMMBYD","GSON3220000002")</f>
        <v>#NAME?</v>
      </c>
      <c r="S2229" s="3" t="e">
        <f ca="1">[1]!BexGetData("DP_1","00O2TNJGODT0G5Z4TTKYMMI9X","GSON3220000002")</f>
        <v>#NAME?</v>
      </c>
      <c r="T2229" s="3" t="e">
        <f ca="1">[1]!BexGetData("DP_1","00O2TNJGODT0G5Z4TTKYMMOLH","GSON3220000002")</f>
        <v>#NAME?</v>
      </c>
      <c r="U2229" s="8" t="e">
        <f ca="1">[1]!BexGetData("DP_1","00O2TNJGODT0G5Z4TTKYMMUX1","GSON3220000002")</f>
        <v>#NAME?</v>
      </c>
      <c r="V2229" s="3" t="e">
        <f ca="1">[1]!BexGetData("DP_1","00O2TNJGODT0G5Z4TTKYMN18L","GSON3220000002")</f>
        <v>#NAME?</v>
      </c>
      <c r="W2229" s="8" t="e">
        <f ca="1">[1]!BexGetData("DP_1","00O2TNJGODT0G5Z4TTKYMN7K5","GSON3220000002")</f>
        <v>#NAME?</v>
      </c>
    </row>
    <row r="2230" spans="1:23" x14ac:dyDescent="0.2">
      <c r="A2230" s="16" t="s">
        <v>4902</v>
      </c>
      <c r="B2230" s="7" t="s">
        <v>4903</v>
      </c>
      <c r="C2230" s="8" t="e">
        <f ca="1">[1]!BexGetData("DP_1","003N8EMH8GTFRCSWKMPXRR8GU","GSON3220000003")</f>
        <v>#NAME?</v>
      </c>
      <c r="D2230" s="8" t="e">
        <f ca="1">[1]!BexGetData("DP_1","003N8EMH8GTFRCSWKMPXRRESE","GSON3220000003")</f>
        <v>#NAME?</v>
      </c>
      <c r="E2230" s="3" t="e">
        <f ca="1">[1]!BexGetData("DP_1","003N8EMH8GTFRCSWKMPXRRL3Y","GSON3220000003")</f>
        <v>#NAME?</v>
      </c>
      <c r="F2230" s="3" t="e">
        <f ca="1">[1]!BexGetData("DP_1","003N8EMH8GTFRCSWKMPXRRRFI","GSON3220000003")</f>
        <v>#NAME?</v>
      </c>
      <c r="G2230" s="3" t="e">
        <f ca="1">[1]!BexGetData("DP_1","003N8EMH8GTFRCSWKMPXRRXR2","GSON3220000003")</f>
        <v>#NAME?</v>
      </c>
      <c r="H2230" s="3" t="e">
        <f ca="1">[1]!BexGetData("DP_1","003N8EMH8GTFRCSWKMPXRS42M","GSON3220000003")</f>
        <v>#NAME?</v>
      </c>
      <c r="I2230" s="3" t="e">
        <f ca="1">[1]!BexGetData("DP_1","003N8EMH8GTFRCSWKMPXRSAE6","GSON3220000003")</f>
        <v>#NAME?</v>
      </c>
      <c r="J2230" s="4" t="e">
        <f ca="1">[1]!BexGetData("DP_1","003N8EMH8GTFRCSWKMPXRSGPQ","GSON3220000003")</f>
        <v>#NAME?</v>
      </c>
      <c r="K2230" s="8" t="e">
        <f ca="1">[1]!BexGetData("DP_1","003N8EMH8GTFRIVNUPY288VJH","GSON3220000003")</f>
        <v>#NAME?</v>
      </c>
      <c r="L2230" s="8" t="e">
        <f ca="1">[1]!BexGetData("DP_1","003N8EMH8GTFRIVNUPY2891V1","GSON3220000003")</f>
        <v>#NAME?</v>
      </c>
      <c r="M2230" s="8" t="e">
        <f ca="1">[1]!BexGetData("DP_1","003N8EMH8GTFRIVOG7KG9IQXA","GSON3220000003")</f>
        <v>#NAME?</v>
      </c>
      <c r="N2230" s="8" t="e">
        <f ca="1">[1]!BexGetData("DP_1","003N8EMH8GTFRIVOG7KG9IX8U","GSON3220000003")</f>
        <v>#NAME?</v>
      </c>
      <c r="O2230" s="8" t="e">
        <f ca="1">[1]!BexGetData("DP_1","003N8EMH8GTFRIVOG7KG9J3KE","GSON3220000003")</f>
        <v>#NAME?</v>
      </c>
      <c r="P2230" s="8" t="e">
        <f ca="1">[1]!BexGetData("DP_1","003N8EMH8GTFRIVOG7KG9J9VY","GSON3220000003")</f>
        <v>#NAME?</v>
      </c>
      <c r="Q2230" s="4" t="e">
        <f ca="1">[1]!BexGetData("DP_1","00O2TNJGODT0G5Z4TTKYMM5MT","GSON3220000003")</f>
        <v>#NAME?</v>
      </c>
      <c r="R2230" s="3" t="e">
        <f ca="1">[1]!BexGetData("DP_1","00O2TNJGODT0G5Z4TTKYMMBYD","GSON3220000003")</f>
        <v>#NAME?</v>
      </c>
      <c r="S2230" s="3" t="e">
        <f ca="1">[1]!BexGetData("DP_1","00O2TNJGODT0G5Z4TTKYMMI9X","GSON3220000003")</f>
        <v>#NAME?</v>
      </c>
      <c r="T2230" s="3" t="e">
        <f ca="1">[1]!BexGetData("DP_1","00O2TNJGODT0G5Z4TTKYMMOLH","GSON3220000003")</f>
        <v>#NAME?</v>
      </c>
      <c r="U2230" s="8" t="e">
        <f ca="1">[1]!BexGetData("DP_1","00O2TNJGODT0G5Z4TTKYMMUX1","GSON3220000003")</f>
        <v>#NAME?</v>
      </c>
      <c r="V2230" s="3" t="e">
        <f ca="1">[1]!BexGetData("DP_1","00O2TNJGODT0G5Z4TTKYMN18L","GSON3220000003")</f>
        <v>#NAME?</v>
      </c>
      <c r="W2230" s="8" t="e">
        <f ca="1">[1]!BexGetData("DP_1","00O2TNJGODT0G5Z4TTKYMN7K5","GSON3220000003")</f>
        <v>#NAME?</v>
      </c>
    </row>
    <row r="2231" spans="1:23" x14ac:dyDescent="0.2">
      <c r="A2231" s="16" t="s">
        <v>1454</v>
      </c>
      <c r="B2231" s="7" t="s">
        <v>1455</v>
      </c>
      <c r="C2231" s="3" t="e">
        <f ca="1">[1]!BexGetData("DP_1","003N8EMH8GTFRCSWKMPXRR8GU","GSON3220000004")</f>
        <v>#NAME?</v>
      </c>
      <c r="D2231" s="8" t="e">
        <f ca="1">[1]!BexGetData("DP_1","003N8EMH8GTFRCSWKMPXRRESE","GSON3220000004")</f>
        <v>#NAME?</v>
      </c>
      <c r="E2231" s="3" t="e">
        <f ca="1">[1]!BexGetData("DP_1","003N8EMH8GTFRCSWKMPXRRL3Y","GSON3220000004")</f>
        <v>#NAME?</v>
      </c>
      <c r="F2231" s="3" t="e">
        <f ca="1">[1]!BexGetData("DP_1","003N8EMH8GTFRCSWKMPXRRRFI","GSON3220000004")</f>
        <v>#NAME?</v>
      </c>
      <c r="G2231" s="3" t="e">
        <f ca="1">[1]!BexGetData("DP_1","003N8EMH8GTFRCSWKMPXRRXR2","GSON3220000004")</f>
        <v>#NAME?</v>
      </c>
      <c r="H2231" s="8" t="e">
        <f ca="1">[1]!BexGetData("DP_1","003N8EMH8GTFRCSWKMPXRS42M","GSON3220000004")</f>
        <v>#NAME?</v>
      </c>
      <c r="I2231" s="3" t="e">
        <f ca="1">[1]!BexGetData("DP_1","003N8EMH8GTFRCSWKMPXRSAE6","GSON3220000004")</f>
        <v>#NAME?</v>
      </c>
      <c r="J2231" s="4" t="e">
        <f ca="1">[1]!BexGetData("DP_1","003N8EMH8GTFRCSWKMPXRSGPQ","GSON3220000004")</f>
        <v>#NAME?</v>
      </c>
      <c r="K2231" s="3" t="e">
        <f ca="1">[1]!BexGetData("DP_1","003N8EMH8GTFRIVNUPY288VJH","GSON3220000004")</f>
        <v>#NAME?</v>
      </c>
      <c r="L2231" s="3" t="e">
        <f ca="1">[1]!BexGetData("DP_1","003N8EMH8GTFRIVNUPY2891V1","GSON3220000004")</f>
        <v>#NAME?</v>
      </c>
      <c r="M2231" s="8" t="e">
        <f ca="1">[1]!BexGetData("DP_1","003N8EMH8GTFRIVOG7KG9IQXA","GSON3220000004")</f>
        <v>#NAME?</v>
      </c>
      <c r="N2231" s="3" t="e">
        <f ca="1">[1]!BexGetData("DP_1","003N8EMH8GTFRIVOG7KG9IX8U","GSON3220000004")</f>
        <v>#NAME?</v>
      </c>
      <c r="O2231" s="8" t="e">
        <f ca="1">[1]!BexGetData("DP_1","003N8EMH8GTFRIVOG7KG9J3KE","GSON3220000004")</f>
        <v>#NAME?</v>
      </c>
      <c r="P2231" s="3" t="e">
        <f ca="1">[1]!BexGetData("DP_1","003N8EMH8GTFRIVOG7KG9J9VY","GSON3220000004")</f>
        <v>#NAME?</v>
      </c>
      <c r="Q2231" s="4" t="e">
        <f ca="1">[1]!BexGetData("DP_1","00O2TNJGODT0G5Z4TTKYMM5MT","GSON3220000004")</f>
        <v>#NAME?</v>
      </c>
      <c r="R2231" s="3" t="e">
        <f ca="1">[1]!BexGetData("DP_1","00O2TNJGODT0G5Z4TTKYMMBYD","GSON3220000004")</f>
        <v>#NAME?</v>
      </c>
      <c r="S2231" s="3" t="e">
        <f ca="1">[1]!BexGetData("DP_1","00O2TNJGODT0G5Z4TTKYMMI9X","GSON3220000004")</f>
        <v>#NAME?</v>
      </c>
      <c r="T2231" s="8" t="e">
        <f ca="1">[1]!BexGetData("DP_1","00O2TNJGODT0G5Z4TTKYMMOLH","GSON3220000004")</f>
        <v>#NAME?</v>
      </c>
      <c r="U2231" s="3" t="e">
        <f ca="1">[1]!BexGetData("DP_1","00O2TNJGODT0G5Z4TTKYMMUX1","GSON3220000004")</f>
        <v>#NAME?</v>
      </c>
      <c r="V2231" s="8" t="e">
        <f ca="1">[1]!BexGetData("DP_1","00O2TNJGODT0G5Z4TTKYMN18L","GSON3220000004")</f>
        <v>#NAME?</v>
      </c>
      <c r="W2231" s="3" t="e">
        <f ca="1">[1]!BexGetData("DP_1","00O2TNJGODT0G5Z4TTKYMN7K5","GSON3220000004")</f>
        <v>#NAME?</v>
      </c>
    </row>
    <row r="2232" spans="1:23" x14ac:dyDescent="0.2">
      <c r="A2232" s="16" t="s">
        <v>1456</v>
      </c>
      <c r="B2232" s="7" t="s">
        <v>1457</v>
      </c>
      <c r="C2232" s="8" t="e">
        <f ca="1">[1]!BexGetData("DP_1","003N8EMH8GTFRCSWKMPXRR8GU","GSON3220000005")</f>
        <v>#NAME?</v>
      </c>
      <c r="D2232" s="8" t="e">
        <f ca="1">[1]!BexGetData("DP_1","003N8EMH8GTFRCSWKMPXRRESE","GSON3220000005")</f>
        <v>#NAME?</v>
      </c>
      <c r="E2232" s="3" t="e">
        <f ca="1">[1]!BexGetData("DP_1","003N8EMH8GTFRCSWKMPXRRL3Y","GSON3220000005")</f>
        <v>#NAME?</v>
      </c>
      <c r="F2232" s="3" t="e">
        <f ca="1">[1]!BexGetData("DP_1","003N8EMH8GTFRCSWKMPXRRRFI","GSON3220000005")</f>
        <v>#NAME?</v>
      </c>
      <c r="G2232" s="3" t="e">
        <f ca="1">[1]!BexGetData("DP_1","003N8EMH8GTFRCSWKMPXRRXR2","GSON3220000005")</f>
        <v>#NAME?</v>
      </c>
      <c r="H2232" s="3" t="e">
        <f ca="1">[1]!BexGetData("DP_1","003N8EMH8GTFRCSWKMPXRS42M","GSON3220000005")</f>
        <v>#NAME?</v>
      </c>
      <c r="I2232" s="3" t="e">
        <f ca="1">[1]!BexGetData("DP_1","003N8EMH8GTFRCSWKMPXRSAE6","GSON3220000005")</f>
        <v>#NAME?</v>
      </c>
      <c r="J2232" s="4" t="e">
        <f ca="1">[1]!BexGetData("DP_1","003N8EMH8GTFRCSWKMPXRSGPQ","GSON3220000005")</f>
        <v>#NAME?</v>
      </c>
      <c r="K2232" s="8" t="e">
        <f ca="1">[1]!BexGetData("DP_1","003N8EMH8GTFRIVNUPY288VJH","GSON3220000005")</f>
        <v>#NAME?</v>
      </c>
      <c r="L2232" s="8" t="e">
        <f ca="1">[1]!BexGetData("DP_1","003N8EMH8GTFRIVNUPY2891V1","GSON3220000005")</f>
        <v>#NAME?</v>
      </c>
      <c r="M2232" s="8" t="e">
        <f ca="1">[1]!BexGetData("DP_1","003N8EMH8GTFRIVOG7KG9IQXA","GSON3220000005")</f>
        <v>#NAME?</v>
      </c>
      <c r="N2232" s="8" t="e">
        <f ca="1">[1]!BexGetData("DP_1","003N8EMH8GTFRIVOG7KG9IX8U","GSON3220000005")</f>
        <v>#NAME?</v>
      </c>
      <c r="O2232" s="8" t="e">
        <f ca="1">[1]!BexGetData("DP_1","003N8EMH8GTFRIVOG7KG9J3KE","GSON3220000005")</f>
        <v>#NAME?</v>
      </c>
      <c r="P2232" s="8" t="e">
        <f ca="1">[1]!BexGetData("DP_1","003N8EMH8GTFRIVOG7KG9J9VY","GSON3220000005")</f>
        <v>#NAME?</v>
      </c>
      <c r="Q2232" s="4" t="e">
        <f ca="1">[1]!BexGetData("DP_1","00O2TNJGODT0G5Z4TTKYMM5MT","GSON3220000005")</f>
        <v>#NAME?</v>
      </c>
      <c r="R2232" s="3" t="e">
        <f ca="1">[1]!BexGetData("DP_1","00O2TNJGODT0G5Z4TTKYMMBYD","GSON3220000005")</f>
        <v>#NAME?</v>
      </c>
      <c r="S2232" s="3" t="e">
        <f ca="1">[1]!BexGetData("DP_1","00O2TNJGODT0G5Z4TTKYMMI9X","GSON3220000005")</f>
        <v>#NAME?</v>
      </c>
      <c r="T2232" s="3" t="e">
        <f ca="1">[1]!BexGetData("DP_1","00O2TNJGODT0G5Z4TTKYMMOLH","GSON3220000005")</f>
        <v>#NAME?</v>
      </c>
      <c r="U2232" s="8" t="e">
        <f ca="1">[1]!BexGetData("DP_1","00O2TNJGODT0G5Z4TTKYMMUX1","GSON3220000005")</f>
        <v>#NAME?</v>
      </c>
      <c r="V2232" s="3" t="e">
        <f ca="1">[1]!BexGetData("DP_1","00O2TNJGODT0G5Z4TTKYMN18L","GSON3220000005")</f>
        <v>#NAME?</v>
      </c>
      <c r="W2232" s="8" t="e">
        <f ca="1">[1]!BexGetData("DP_1","00O2TNJGODT0G5Z4TTKYMN7K5","GSON3220000005")</f>
        <v>#NAME?</v>
      </c>
    </row>
    <row r="2233" spans="1:23" x14ac:dyDescent="0.2">
      <c r="A2233" s="16" t="s">
        <v>1458</v>
      </c>
      <c r="B2233" s="7" t="s">
        <v>1459</v>
      </c>
      <c r="C2233" s="3" t="e">
        <f ca="1">[1]!BexGetData("DP_1","003N8EMH8GTFRCSWKMPXRR8GU","GSON3220000006")</f>
        <v>#NAME?</v>
      </c>
      <c r="D2233" s="8" t="e">
        <f ca="1">[1]!BexGetData("DP_1","003N8EMH8GTFRCSWKMPXRRESE","GSON3220000006")</f>
        <v>#NAME?</v>
      </c>
      <c r="E2233" s="3" t="e">
        <f ca="1">[1]!BexGetData("DP_1","003N8EMH8GTFRCSWKMPXRRL3Y","GSON3220000006")</f>
        <v>#NAME?</v>
      </c>
      <c r="F2233" s="3" t="e">
        <f ca="1">[1]!BexGetData("DP_1","003N8EMH8GTFRCSWKMPXRRRFI","GSON3220000006")</f>
        <v>#NAME?</v>
      </c>
      <c r="G2233" s="3" t="e">
        <f ca="1">[1]!BexGetData("DP_1","003N8EMH8GTFRCSWKMPXRRXR2","GSON3220000006")</f>
        <v>#NAME?</v>
      </c>
      <c r="H2233" s="8" t="e">
        <f ca="1">[1]!BexGetData("DP_1","003N8EMH8GTFRCSWKMPXRS42M","GSON3220000006")</f>
        <v>#NAME?</v>
      </c>
      <c r="I2233" s="3" t="e">
        <f ca="1">[1]!BexGetData("DP_1","003N8EMH8GTFRCSWKMPXRSAE6","GSON3220000006")</f>
        <v>#NAME?</v>
      </c>
      <c r="J2233" s="4" t="e">
        <f ca="1">[1]!BexGetData("DP_1","003N8EMH8GTFRCSWKMPXRSGPQ","GSON3220000006")</f>
        <v>#NAME?</v>
      </c>
      <c r="K2233" s="3" t="e">
        <f ca="1">[1]!BexGetData("DP_1","003N8EMH8GTFRIVNUPY288VJH","GSON3220000006")</f>
        <v>#NAME?</v>
      </c>
      <c r="L2233" s="3" t="e">
        <f ca="1">[1]!BexGetData("DP_1","003N8EMH8GTFRIVNUPY2891V1","GSON3220000006")</f>
        <v>#NAME?</v>
      </c>
      <c r="M2233" s="8" t="e">
        <f ca="1">[1]!BexGetData("DP_1","003N8EMH8GTFRIVOG7KG9IQXA","GSON3220000006")</f>
        <v>#NAME?</v>
      </c>
      <c r="N2233" s="3" t="e">
        <f ca="1">[1]!BexGetData("DP_1","003N8EMH8GTFRIVOG7KG9IX8U","GSON3220000006")</f>
        <v>#NAME?</v>
      </c>
      <c r="O2233" s="8" t="e">
        <f ca="1">[1]!BexGetData("DP_1","003N8EMH8GTFRIVOG7KG9J3KE","GSON3220000006")</f>
        <v>#NAME?</v>
      </c>
      <c r="P2233" s="3" t="e">
        <f ca="1">[1]!BexGetData("DP_1","003N8EMH8GTFRIVOG7KG9J9VY","GSON3220000006")</f>
        <v>#NAME?</v>
      </c>
      <c r="Q2233" s="4" t="e">
        <f ca="1">[1]!BexGetData("DP_1","00O2TNJGODT0G5Z4TTKYMM5MT","GSON3220000006")</f>
        <v>#NAME?</v>
      </c>
      <c r="R2233" s="3" t="e">
        <f ca="1">[1]!BexGetData("DP_1","00O2TNJGODT0G5Z4TTKYMMBYD","GSON3220000006")</f>
        <v>#NAME?</v>
      </c>
      <c r="S2233" s="3" t="e">
        <f ca="1">[1]!BexGetData("DP_1","00O2TNJGODT0G5Z4TTKYMMI9X","GSON3220000006")</f>
        <v>#NAME?</v>
      </c>
      <c r="T2233" s="8" t="e">
        <f ca="1">[1]!BexGetData("DP_1","00O2TNJGODT0G5Z4TTKYMMOLH","GSON3220000006")</f>
        <v>#NAME?</v>
      </c>
      <c r="U2233" s="3" t="e">
        <f ca="1">[1]!BexGetData("DP_1","00O2TNJGODT0G5Z4TTKYMMUX1","GSON3220000006")</f>
        <v>#NAME?</v>
      </c>
      <c r="V2233" s="8" t="e">
        <f ca="1">[1]!BexGetData("DP_1","00O2TNJGODT0G5Z4TTKYMN18L","GSON3220000006")</f>
        <v>#NAME?</v>
      </c>
      <c r="W2233" s="3" t="e">
        <f ca="1">[1]!BexGetData("DP_1","00O2TNJGODT0G5Z4TTKYMN7K5","GSON3220000006")</f>
        <v>#NAME?</v>
      </c>
    </row>
    <row r="2234" spans="1:23" x14ac:dyDescent="0.2">
      <c r="A2234" s="16" t="s">
        <v>4904</v>
      </c>
      <c r="B2234" s="7" t="s">
        <v>4905</v>
      </c>
      <c r="C2234" s="3" t="e">
        <f ca="1">[1]!BexGetData("DP_1","003N8EMH8GTFRCSWKMPXRR8GU","GSON3220000007")</f>
        <v>#NAME?</v>
      </c>
      <c r="D2234" s="8" t="e">
        <f ca="1">[1]!BexGetData("DP_1","003N8EMH8GTFRCSWKMPXRRESE","GSON3220000007")</f>
        <v>#NAME?</v>
      </c>
      <c r="E2234" s="3" t="e">
        <f ca="1">[1]!BexGetData("DP_1","003N8EMH8GTFRCSWKMPXRRL3Y","GSON3220000007")</f>
        <v>#NAME?</v>
      </c>
      <c r="F2234" s="3" t="e">
        <f ca="1">[1]!BexGetData("DP_1","003N8EMH8GTFRCSWKMPXRRRFI","GSON3220000007")</f>
        <v>#NAME?</v>
      </c>
      <c r="G2234" s="8" t="e">
        <f ca="1">[1]!BexGetData("DP_1","003N8EMH8GTFRCSWKMPXRRXR2","GSON3220000007")</f>
        <v>#NAME?</v>
      </c>
      <c r="H2234" s="3" t="e">
        <f ca="1">[1]!BexGetData("DP_1","003N8EMH8GTFRCSWKMPXRS42M","GSON3220000007")</f>
        <v>#NAME?</v>
      </c>
      <c r="I2234" s="3" t="e">
        <f ca="1">[1]!BexGetData("DP_1","003N8EMH8GTFRCSWKMPXRSAE6","GSON3220000007")</f>
        <v>#NAME?</v>
      </c>
      <c r="J2234" s="4" t="e">
        <f ca="1">[1]!BexGetData("DP_1","003N8EMH8GTFRCSWKMPXRSGPQ","GSON3220000007")</f>
        <v>#NAME?</v>
      </c>
      <c r="K2234" s="3" t="e">
        <f ca="1">[1]!BexGetData("DP_1","003N8EMH8GTFRIVNUPY288VJH","GSON3220000007")</f>
        <v>#NAME?</v>
      </c>
      <c r="L2234" s="3" t="e">
        <f ca="1">[1]!BexGetData("DP_1","003N8EMH8GTFRIVNUPY2891V1","GSON3220000007")</f>
        <v>#NAME?</v>
      </c>
      <c r="M2234" s="8" t="e">
        <f ca="1">[1]!BexGetData("DP_1","003N8EMH8GTFRIVOG7KG9IQXA","GSON3220000007")</f>
        <v>#NAME?</v>
      </c>
      <c r="N2234" s="3" t="e">
        <f ca="1">[1]!BexGetData("DP_1","003N8EMH8GTFRIVOG7KG9IX8U","GSON3220000007")</f>
        <v>#NAME?</v>
      </c>
      <c r="O2234" s="8" t="e">
        <f ca="1">[1]!BexGetData("DP_1","003N8EMH8GTFRIVOG7KG9J3KE","GSON3220000007")</f>
        <v>#NAME?</v>
      </c>
      <c r="P2234" s="3" t="e">
        <f ca="1">[1]!BexGetData("DP_1","003N8EMH8GTFRIVOG7KG9J9VY","GSON3220000007")</f>
        <v>#NAME?</v>
      </c>
      <c r="Q2234" s="4" t="e">
        <f ca="1">[1]!BexGetData("DP_1","00O2TNJGODT0G5Z4TTKYMM5MT","GSON3220000007")</f>
        <v>#NAME?</v>
      </c>
      <c r="R2234" s="3" t="e">
        <f ca="1">[1]!BexGetData("DP_1","00O2TNJGODT0G5Z4TTKYMMBYD","GSON3220000007")</f>
        <v>#NAME?</v>
      </c>
      <c r="S2234" s="3" t="e">
        <f ca="1">[1]!BexGetData("DP_1","00O2TNJGODT0G5Z4TTKYMMI9X","GSON3220000007")</f>
        <v>#NAME?</v>
      </c>
      <c r="T2234" s="3" t="e">
        <f ca="1">[1]!BexGetData("DP_1","00O2TNJGODT0G5Z4TTKYMMOLH","GSON3220000007")</f>
        <v>#NAME?</v>
      </c>
      <c r="U2234" s="8" t="e">
        <f ca="1">[1]!BexGetData("DP_1","00O2TNJGODT0G5Z4TTKYMMUX1","GSON3220000007")</f>
        <v>#NAME?</v>
      </c>
      <c r="V2234" s="3" t="e">
        <f ca="1">[1]!BexGetData("DP_1","00O2TNJGODT0G5Z4TTKYMN18L","GSON3220000007")</f>
        <v>#NAME?</v>
      </c>
      <c r="W2234" s="8" t="e">
        <f ca="1">[1]!BexGetData("DP_1","00O2TNJGODT0G5Z4TTKYMN7K5","GSON3220000007")</f>
        <v>#NAME?</v>
      </c>
    </row>
    <row r="2235" spans="1:23" x14ac:dyDescent="0.2">
      <c r="A2235" s="16" t="s">
        <v>4906</v>
      </c>
      <c r="B2235" s="7" t="s">
        <v>4907</v>
      </c>
      <c r="C2235" s="3" t="e">
        <f ca="1">[1]!BexGetData("DP_1","003N8EMH8GTFRCSWKMPXRR8GU","GSON3220000008")</f>
        <v>#NAME?</v>
      </c>
      <c r="D2235" s="3" t="e">
        <f ca="1">[1]!BexGetData("DP_1","003N8EMH8GTFRCSWKMPXRRESE","GSON3220000008")</f>
        <v>#NAME?</v>
      </c>
      <c r="E2235" s="3" t="e">
        <f ca="1">[1]!BexGetData("DP_1","003N8EMH8GTFRCSWKMPXRRL3Y","GSON3220000008")</f>
        <v>#NAME?</v>
      </c>
      <c r="F2235" s="3" t="e">
        <f ca="1">[1]!BexGetData("DP_1","003N8EMH8GTFRCSWKMPXRRRFI","GSON3220000008")</f>
        <v>#NAME?</v>
      </c>
      <c r="G2235" s="8" t="e">
        <f ca="1">[1]!BexGetData("DP_1","003N8EMH8GTFRCSWKMPXRRXR2","GSON3220000008")</f>
        <v>#NAME?</v>
      </c>
      <c r="H2235" s="3" t="e">
        <f ca="1">[1]!BexGetData("DP_1","003N8EMH8GTFRCSWKMPXRS42M","GSON3220000008")</f>
        <v>#NAME?</v>
      </c>
      <c r="I2235" s="3" t="e">
        <f ca="1">[1]!BexGetData("DP_1","003N8EMH8GTFRCSWKMPXRSAE6","GSON3220000008")</f>
        <v>#NAME?</v>
      </c>
      <c r="J2235" s="4" t="e">
        <f ca="1">[1]!BexGetData("DP_1","003N8EMH8GTFRCSWKMPXRSGPQ","GSON3220000008")</f>
        <v>#NAME?</v>
      </c>
      <c r="K2235" s="3" t="e">
        <f ca="1">[1]!BexGetData("DP_1","003N8EMH8GTFRIVNUPY288VJH","GSON3220000008")</f>
        <v>#NAME?</v>
      </c>
      <c r="L2235" s="3" t="e">
        <f ca="1">[1]!BexGetData("DP_1","003N8EMH8GTFRIVNUPY2891V1","GSON3220000008")</f>
        <v>#NAME?</v>
      </c>
      <c r="M2235" s="8" t="e">
        <f ca="1">[1]!BexGetData("DP_1","003N8EMH8GTFRIVOG7KG9IQXA","GSON3220000008")</f>
        <v>#NAME?</v>
      </c>
      <c r="N2235" s="3" t="e">
        <f ca="1">[1]!BexGetData("DP_1","003N8EMH8GTFRIVOG7KG9IX8U","GSON3220000008")</f>
        <v>#NAME?</v>
      </c>
      <c r="O2235" s="8" t="e">
        <f ca="1">[1]!BexGetData("DP_1","003N8EMH8GTFRIVOG7KG9J3KE","GSON3220000008")</f>
        <v>#NAME?</v>
      </c>
      <c r="P2235" s="3" t="e">
        <f ca="1">[1]!BexGetData("DP_1","003N8EMH8GTFRIVOG7KG9J9VY","GSON3220000008")</f>
        <v>#NAME?</v>
      </c>
      <c r="Q2235" s="4" t="e">
        <f ca="1">[1]!BexGetData("DP_1","00O2TNJGODT0G5Z4TTKYMM5MT","GSON3220000008")</f>
        <v>#NAME?</v>
      </c>
      <c r="R2235" s="3" t="e">
        <f ca="1">[1]!BexGetData("DP_1","00O2TNJGODT0G5Z4TTKYMMBYD","GSON3220000008")</f>
        <v>#NAME?</v>
      </c>
      <c r="S2235" s="3" t="e">
        <f ca="1">[1]!BexGetData("DP_1","00O2TNJGODT0G5Z4TTKYMMI9X","GSON3220000008")</f>
        <v>#NAME?</v>
      </c>
      <c r="T2235" s="3" t="e">
        <f ca="1">[1]!BexGetData("DP_1","00O2TNJGODT0G5Z4TTKYMMOLH","GSON3220000008")</f>
        <v>#NAME?</v>
      </c>
      <c r="U2235" s="8" t="e">
        <f ca="1">[1]!BexGetData("DP_1","00O2TNJGODT0G5Z4TTKYMMUX1","GSON3220000008")</f>
        <v>#NAME?</v>
      </c>
      <c r="V2235" s="3" t="e">
        <f ca="1">[1]!BexGetData("DP_1","00O2TNJGODT0G5Z4TTKYMN18L","GSON3220000008")</f>
        <v>#NAME?</v>
      </c>
      <c r="W2235" s="8" t="e">
        <f ca="1">[1]!BexGetData("DP_1","00O2TNJGODT0G5Z4TTKYMN7K5","GSON3220000008")</f>
        <v>#NAME?</v>
      </c>
    </row>
    <row r="2236" spans="1:23" x14ac:dyDescent="0.2">
      <c r="A2236" s="16" t="s">
        <v>1460</v>
      </c>
      <c r="B2236" s="7" t="s">
        <v>1461</v>
      </c>
      <c r="C2236" s="3" t="e">
        <f ca="1">[1]!BexGetData("DP_1","003N8EMH8GTFRCSWKMPXRR8GU","GSON3220000009")</f>
        <v>#NAME?</v>
      </c>
      <c r="D2236" s="3" t="e">
        <f ca="1">[1]!BexGetData("DP_1","003N8EMH8GTFRCSWKMPXRRESE","GSON3220000009")</f>
        <v>#NAME?</v>
      </c>
      <c r="E2236" s="3" t="e">
        <f ca="1">[1]!BexGetData("DP_1","003N8EMH8GTFRCSWKMPXRRL3Y","GSON3220000009")</f>
        <v>#NAME?</v>
      </c>
      <c r="F2236" s="3" t="e">
        <f ca="1">[1]!BexGetData("DP_1","003N8EMH8GTFRCSWKMPXRRRFI","GSON3220000009")</f>
        <v>#NAME?</v>
      </c>
      <c r="G2236" s="3" t="e">
        <f ca="1">[1]!BexGetData("DP_1","003N8EMH8GTFRCSWKMPXRRXR2","GSON3220000009")</f>
        <v>#NAME?</v>
      </c>
      <c r="H2236" s="3" t="e">
        <f ca="1">[1]!BexGetData("DP_1","003N8EMH8GTFRCSWKMPXRS42M","GSON3220000009")</f>
        <v>#NAME?</v>
      </c>
      <c r="I2236" s="3" t="e">
        <f ca="1">[1]!BexGetData("DP_1","003N8EMH8GTFRCSWKMPXRSAE6","GSON3220000009")</f>
        <v>#NAME?</v>
      </c>
      <c r="J2236" s="4" t="e">
        <f ca="1">[1]!BexGetData("DP_1","003N8EMH8GTFRCSWKMPXRSGPQ","GSON3220000009")</f>
        <v>#NAME?</v>
      </c>
      <c r="K2236" s="3" t="e">
        <f ca="1">[1]!BexGetData("DP_1","003N8EMH8GTFRIVNUPY288VJH","GSON3220000009")</f>
        <v>#NAME?</v>
      </c>
      <c r="L2236" s="3" t="e">
        <f ca="1">[1]!BexGetData("DP_1","003N8EMH8GTFRIVNUPY2891V1","GSON3220000009")</f>
        <v>#NAME?</v>
      </c>
      <c r="M2236" s="8" t="e">
        <f ca="1">[1]!BexGetData("DP_1","003N8EMH8GTFRIVOG7KG9IQXA","GSON3220000009")</f>
        <v>#NAME?</v>
      </c>
      <c r="N2236" s="3" t="e">
        <f ca="1">[1]!BexGetData("DP_1","003N8EMH8GTFRIVOG7KG9IX8U","GSON3220000009")</f>
        <v>#NAME?</v>
      </c>
      <c r="O2236" s="8" t="e">
        <f ca="1">[1]!BexGetData("DP_1","003N8EMH8GTFRIVOG7KG9J3KE","GSON3220000009")</f>
        <v>#NAME?</v>
      </c>
      <c r="P2236" s="3" t="e">
        <f ca="1">[1]!BexGetData("DP_1","003N8EMH8GTFRIVOG7KG9J9VY","GSON3220000009")</f>
        <v>#NAME?</v>
      </c>
      <c r="Q2236" s="4" t="e">
        <f ca="1">[1]!BexGetData("DP_1","00O2TNJGODT0G5Z4TTKYMM5MT","GSON3220000009")</f>
        <v>#NAME?</v>
      </c>
      <c r="R2236" s="3" t="e">
        <f ca="1">[1]!BexGetData("DP_1","00O2TNJGODT0G5Z4TTKYMMBYD","GSON3220000009")</f>
        <v>#NAME?</v>
      </c>
      <c r="S2236" s="3" t="e">
        <f ca="1">[1]!BexGetData("DP_1","00O2TNJGODT0G5Z4TTKYMMI9X","GSON3220000009")</f>
        <v>#NAME?</v>
      </c>
      <c r="T2236" s="3" t="e">
        <f ca="1">[1]!BexGetData("DP_1","00O2TNJGODT0G5Z4TTKYMMOLH","GSON3220000009")</f>
        <v>#NAME?</v>
      </c>
      <c r="U2236" s="8" t="e">
        <f ca="1">[1]!BexGetData("DP_1","00O2TNJGODT0G5Z4TTKYMMUX1","GSON3220000009")</f>
        <v>#NAME?</v>
      </c>
      <c r="V2236" s="3" t="e">
        <f ca="1">[1]!BexGetData("DP_1","00O2TNJGODT0G5Z4TTKYMN18L","GSON3220000009")</f>
        <v>#NAME?</v>
      </c>
      <c r="W2236" s="8" t="e">
        <f ca="1">[1]!BexGetData("DP_1","00O2TNJGODT0G5Z4TTKYMN7K5","GSON3220000009")</f>
        <v>#NAME?</v>
      </c>
    </row>
    <row r="2237" spans="1:23" x14ac:dyDescent="0.2">
      <c r="A2237" s="16" t="s">
        <v>1462</v>
      </c>
      <c r="B2237" s="7" t="s">
        <v>1463</v>
      </c>
      <c r="C2237" s="3" t="e">
        <f ca="1">[1]!BexGetData("DP_1","003N8EMH8GTFRCSWKMPXRR8GU","GSON3220000010")</f>
        <v>#NAME?</v>
      </c>
      <c r="D2237" s="3" t="e">
        <f ca="1">[1]!BexGetData("DP_1","003N8EMH8GTFRCSWKMPXRRESE","GSON3220000010")</f>
        <v>#NAME?</v>
      </c>
      <c r="E2237" s="3" t="e">
        <f ca="1">[1]!BexGetData("DP_1","003N8EMH8GTFRCSWKMPXRRL3Y","GSON3220000010")</f>
        <v>#NAME?</v>
      </c>
      <c r="F2237" s="3" t="e">
        <f ca="1">[1]!BexGetData("DP_1","003N8EMH8GTFRCSWKMPXRRRFI","GSON3220000010")</f>
        <v>#NAME?</v>
      </c>
      <c r="G2237" s="3" t="e">
        <f ca="1">[1]!BexGetData("DP_1","003N8EMH8GTFRCSWKMPXRRXR2","GSON3220000010")</f>
        <v>#NAME?</v>
      </c>
      <c r="H2237" s="8" t="e">
        <f ca="1">[1]!BexGetData("DP_1","003N8EMH8GTFRCSWKMPXRS42M","GSON3220000010")</f>
        <v>#NAME?</v>
      </c>
      <c r="I2237" s="3" t="e">
        <f ca="1">[1]!BexGetData("DP_1","003N8EMH8GTFRCSWKMPXRSAE6","GSON3220000010")</f>
        <v>#NAME?</v>
      </c>
      <c r="J2237" s="4" t="e">
        <f ca="1">[1]!BexGetData("DP_1","003N8EMH8GTFRCSWKMPXRSGPQ","GSON3220000010")</f>
        <v>#NAME?</v>
      </c>
      <c r="K2237" s="3" t="e">
        <f ca="1">[1]!BexGetData("DP_1","003N8EMH8GTFRIVNUPY288VJH","GSON3220000010")</f>
        <v>#NAME?</v>
      </c>
      <c r="L2237" s="3" t="e">
        <f ca="1">[1]!BexGetData("DP_1","003N8EMH8GTFRIVNUPY2891V1","GSON3220000010")</f>
        <v>#NAME?</v>
      </c>
      <c r="M2237" s="8" t="e">
        <f ca="1">[1]!BexGetData("DP_1","003N8EMH8GTFRIVOG7KG9IQXA","GSON3220000010")</f>
        <v>#NAME?</v>
      </c>
      <c r="N2237" s="3" t="e">
        <f ca="1">[1]!BexGetData("DP_1","003N8EMH8GTFRIVOG7KG9IX8U","GSON3220000010")</f>
        <v>#NAME?</v>
      </c>
      <c r="O2237" s="8" t="e">
        <f ca="1">[1]!BexGetData("DP_1","003N8EMH8GTFRIVOG7KG9J3KE","GSON3220000010")</f>
        <v>#NAME?</v>
      </c>
      <c r="P2237" s="3" t="e">
        <f ca="1">[1]!BexGetData("DP_1","003N8EMH8GTFRIVOG7KG9J9VY","GSON3220000010")</f>
        <v>#NAME?</v>
      </c>
      <c r="Q2237" s="4" t="e">
        <f ca="1">[1]!BexGetData("DP_1","00O2TNJGODT0G5Z4TTKYMM5MT","GSON3220000010")</f>
        <v>#NAME?</v>
      </c>
      <c r="R2237" s="3" t="e">
        <f ca="1">[1]!BexGetData("DP_1","00O2TNJGODT0G5Z4TTKYMMBYD","GSON3220000010")</f>
        <v>#NAME?</v>
      </c>
      <c r="S2237" s="3" t="e">
        <f ca="1">[1]!BexGetData("DP_1","00O2TNJGODT0G5Z4TTKYMMI9X","GSON3220000010")</f>
        <v>#NAME?</v>
      </c>
      <c r="T2237" s="8" t="e">
        <f ca="1">[1]!BexGetData("DP_1","00O2TNJGODT0G5Z4TTKYMMOLH","GSON3220000010")</f>
        <v>#NAME?</v>
      </c>
      <c r="U2237" s="3" t="e">
        <f ca="1">[1]!BexGetData("DP_1","00O2TNJGODT0G5Z4TTKYMMUX1","GSON3220000010")</f>
        <v>#NAME?</v>
      </c>
      <c r="V2237" s="8" t="e">
        <f ca="1">[1]!BexGetData("DP_1","00O2TNJGODT0G5Z4TTKYMN18L","GSON3220000010")</f>
        <v>#NAME?</v>
      </c>
      <c r="W2237" s="3" t="e">
        <f ca="1">[1]!BexGetData("DP_1","00O2TNJGODT0G5Z4TTKYMN7K5","GSON3220000010")</f>
        <v>#NAME?</v>
      </c>
    </row>
    <row r="2238" spans="1:23" x14ac:dyDescent="0.2">
      <c r="A2238" s="16" t="s">
        <v>1464</v>
      </c>
      <c r="B2238" s="7" t="s">
        <v>505</v>
      </c>
      <c r="C2238" s="3" t="e">
        <f ca="1">[1]!BexGetData("DP_1","003N8EMH8GTFRCSWKMPXRR8GU","GSON3220000011")</f>
        <v>#NAME?</v>
      </c>
      <c r="D2238" s="3" t="e">
        <f ca="1">[1]!BexGetData("DP_1","003N8EMH8GTFRCSWKMPXRRESE","GSON3220000011")</f>
        <v>#NAME?</v>
      </c>
      <c r="E2238" s="3" t="e">
        <f ca="1">[1]!BexGetData("DP_1","003N8EMH8GTFRCSWKMPXRRL3Y","GSON3220000011")</f>
        <v>#NAME?</v>
      </c>
      <c r="F2238" s="3" t="e">
        <f ca="1">[1]!BexGetData("DP_1","003N8EMH8GTFRCSWKMPXRRRFI","GSON3220000011")</f>
        <v>#NAME?</v>
      </c>
      <c r="G2238" s="3" t="e">
        <f ca="1">[1]!BexGetData("DP_1","003N8EMH8GTFRCSWKMPXRRXR2","GSON3220000011")</f>
        <v>#NAME?</v>
      </c>
      <c r="H2238" s="3" t="e">
        <f ca="1">[1]!BexGetData("DP_1","003N8EMH8GTFRCSWKMPXRS42M","GSON3220000011")</f>
        <v>#NAME?</v>
      </c>
      <c r="I2238" s="3" t="e">
        <f ca="1">[1]!BexGetData("DP_1","003N8EMH8GTFRCSWKMPXRSAE6","GSON3220000011")</f>
        <v>#NAME?</v>
      </c>
      <c r="J2238" s="4" t="e">
        <f ca="1">[1]!BexGetData("DP_1","003N8EMH8GTFRCSWKMPXRSGPQ","GSON3220000011")</f>
        <v>#NAME?</v>
      </c>
      <c r="K2238" s="3" t="e">
        <f ca="1">[1]!BexGetData("DP_1","003N8EMH8GTFRIVNUPY288VJH","GSON3220000011")</f>
        <v>#NAME?</v>
      </c>
      <c r="L2238" s="3" t="e">
        <f ca="1">[1]!BexGetData("DP_1","003N8EMH8GTFRIVNUPY2891V1","GSON3220000011")</f>
        <v>#NAME?</v>
      </c>
      <c r="M2238" s="8" t="e">
        <f ca="1">[1]!BexGetData("DP_1","003N8EMH8GTFRIVOG7KG9IQXA","GSON3220000011")</f>
        <v>#NAME?</v>
      </c>
      <c r="N2238" s="3" t="e">
        <f ca="1">[1]!BexGetData("DP_1","003N8EMH8GTFRIVOG7KG9IX8U","GSON3220000011")</f>
        <v>#NAME?</v>
      </c>
      <c r="O2238" s="8" t="e">
        <f ca="1">[1]!BexGetData("DP_1","003N8EMH8GTFRIVOG7KG9J3KE","GSON3220000011")</f>
        <v>#NAME?</v>
      </c>
      <c r="P2238" s="3" t="e">
        <f ca="1">[1]!BexGetData("DP_1","003N8EMH8GTFRIVOG7KG9J9VY","GSON3220000011")</f>
        <v>#NAME?</v>
      </c>
      <c r="Q2238" s="4" t="e">
        <f ca="1">[1]!BexGetData("DP_1","00O2TNJGODT0G5Z4TTKYMM5MT","GSON3220000011")</f>
        <v>#NAME?</v>
      </c>
      <c r="R2238" s="3" t="e">
        <f ca="1">[1]!BexGetData("DP_1","00O2TNJGODT0G5Z4TTKYMMBYD","GSON3220000011")</f>
        <v>#NAME?</v>
      </c>
      <c r="S2238" s="3" t="e">
        <f ca="1">[1]!BexGetData("DP_1","00O2TNJGODT0G5Z4TTKYMMI9X","GSON3220000011")</f>
        <v>#NAME?</v>
      </c>
      <c r="T2238" s="3" t="e">
        <f ca="1">[1]!BexGetData("DP_1","00O2TNJGODT0G5Z4TTKYMMOLH","GSON3220000011")</f>
        <v>#NAME?</v>
      </c>
      <c r="U2238" s="8" t="e">
        <f ca="1">[1]!BexGetData("DP_1","00O2TNJGODT0G5Z4TTKYMMUX1","GSON3220000011")</f>
        <v>#NAME?</v>
      </c>
      <c r="V2238" s="3" t="e">
        <f ca="1">[1]!BexGetData("DP_1","00O2TNJGODT0G5Z4TTKYMN18L","GSON3220000011")</f>
        <v>#NAME?</v>
      </c>
      <c r="W2238" s="8" t="e">
        <f ca="1">[1]!BexGetData("DP_1","00O2TNJGODT0G5Z4TTKYMN7K5","GSON3220000011")</f>
        <v>#NAME?</v>
      </c>
    </row>
    <row r="2239" spans="1:23" x14ac:dyDescent="0.2">
      <c r="A2239" s="16" t="s">
        <v>1465</v>
      </c>
      <c r="B2239" s="7" t="s">
        <v>1466</v>
      </c>
      <c r="C2239" s="3" t="e">
        <f ca="1">[1]!BexGetData("DP_1","003N8EMH8GTFRCSWKMPXRR8GU","GSON3220000012")</f>
        <v>#NAME?</v>
      </c>
      <c r="D2239" s="3" t="e">
        <f ca="1">[1]!BexGetData("DP_1","003N8EMH8GTFRCSWKMPXRRESE","GSON3220000012")</f>
        <v>#NAME?</v>
      </c>
      <c r="E2239" s="3" t="e">
        <f ca="1">[1]!BexGetData("DP_1","003N8EMH8GTFRCSWKMPXRRL3Y","GSON3220000012")</f>
        <v>#NAME?</v>
      </c>
      <c r="F2239" s="8" t="e">
        <f ca="1">[1]!BexGetData("DP_1","003N8EMH8GTFRCSWKMPXRRRFI","GSON3220000012")</f>
        <v>#NAME?</v>
      </c>
      <c r="G2239" s="3" t="e">
        <f ca="1">[1]!BexGetData("DP_1","003N8EMH8GTFRCSWKMPXRRXR2","GSON3220000012")</f>
        <v>#NAME?</v>
      </c>
      <c r="H2239" s="3" t="e">
        <f ca="1">[1]!BexGetData("DP_1","003N8EMH8GTFRCSWKMPXRS42M","GSON3220000012")</f>
        <v>#NAME?</v>
      </c>
      <c r="I2239" s="8" t="e">
        <f ca="1">[1]!BexGetData("DP_1","003N8EMH8GTFRCSWKMPXRSAE6","GSON3220000012")</f>
        <v>#NAME?</v>
      </c>
      <c r="J2239" s="4" t="e">
        <f ca="1">[1]!BexGetData("DP_1","003N8EMH8GTFRCSWKMPXRSGPQ","GSON3220000012")</f>
        <v>#NAME?</v>
      </c>
      <c r="K2239" s="3" t="e">
        <f ca="1">[1]!BexGetData("DP_1","003N8EMH8GTFRIVNUPY288VJH","GSON3220000012")</f>
        <v>#NAME?</v>
      </c>
      <c r="L2239" s="3" t="e">
        <f ca="1">[1]!BexGetData("DP_1","003N8EMH8GTFRIVNUPY2891V1","GSON3220000012")</f>
        <v>#NAME?</v>
      </c>
      <c r="M2239" s="8" t="e">
        <f ca="1">[1]!BexGetData("DP_1","003N8EMH8GTFRIVOG7KG9IQXA","GSON3220000012")</f>
        <v>#NAME?</v>
      </c>
      <c r="N2239" s="3" t="e">
        <f ca="1">[1]!BexGetData("DP_1","003N8EMH8GTFRIVOG7KG9IX8U","GSON3220000012")</f>
        <v>#NAME?</v>
      </c>
      <c r="O2239" s="8" t="e">
        <f ca="1">[1]!BexGetData("DP_1","003N8EMH8GTFRIVOG7KG9J3KE","GSON3220000012")</f>
        <v>#NAME?</v>
      </c>
      <c r="P2239" s="3" t="e">
        <f ca="1">[1]!BexGetData("DP_1","003N8EMH8GTFRIVOG7KG9J9VY","GSON3220000012")</f>
        <v>#NAME?</v>
      </c>
      <c r="Q2239" s="4" t="e">
        <f ca="1">[1]!BexGetData("DP_1","00O2TNJGODT0G5Z4TTKYMM5MT","GSON3220000012")</f>
        <v>#NAME?</v>
      </c>
      <c r="R2239" s="8" t="e">
        <f ca="1">[1]!BexGetData("DP_1","00O2TNJGODT0G5Z4TTKYMMBYD","GSON3220000012")</f>
        <v>#NAME?</v>
      </c>
      <c r="S2239" s="8" t="e">
        <f ca="1">[1]!BexGetData("DP_1","00O2TNJGODT0G5Z4TTKYMMI9X","GSON3220000012")</f>
        <v>#NAME?</v>
      </c>
      <c r="T2239" s="8" t="e">
        <f ca="1">[1]!BexGetData("DP_1","00O2TNJGODT0G5Z4TTKYMMOLH","GSON3220000012")</f>
        <v>#NAME?</v>
      </c>
      <c r="U2239" s="8" t="e">
        <f ca="1">[1]!BexGetData("DP_1","00O2TNJGODT0G5Z4TTKYMMUX1","GSON3220000012")</f>
        <v>#NAME?</v>
      </c>
      <c r="V2239" s="8" t="e">
        <f ca="1">[1]!BexGetData("DP_1","00O2TNJGODT0G5Z4TTKYMN18L","GSON3220000012")</f>
        <v>#NAME?</v>
      </c>
      <c r="W2239" s="8" t="e">
        <f ca="1">[1]!BexGetData("DP_1","00O2TNJGODT0G5Z4TTKYMN7K5","GSON3220000012")</f>
        <v>#NAME?</v>
      </c>
    </row>
    <row r="2240" spans="1:23" x14ac:dyDescent="0.2">
      <c r="A2240" s="15" t="s">
        <v>4908</v>
      </c>
      <c r="B2240" s="7" t="s">
        <v>4909</v>
      </c>
      <c r="C2240" s="8" t="e">
        <f ca="1">[1]!BexGetData("DP_1","003N8EMH8GTFRCSWKMPXRR8GU","GSON323")</f>
        <v>#NAME?</v>
      </c>
      <c r="D2240" s="8" t="e">
        <f ca="1">[1]!BexGetData("DP_1","003N8EMH8GTFRCSWKMPXRRESE","GSON323")</f>
        <v>#NAME?</v>
      </c>
      <c r="E2240" s="3" t="e">
        <f ca="1">[1]!BexGetData("DP_1","003N8EMH8GTFRCSWKMPXRRL3Y","GSON323")</f>
        <v>#NAME?</v>
      </c>
      <c r="F2240" s="3" t="e">
        <f ca="1">[1]!BexGetData("DP_1","003N8EMH8GTFRCSWKMPXRRRFI","GSON323")</f>
        <v>#NAME?</v>
      </c>
      <c r="G2240" s="8" t="e">
        <f ca="1">[1]!BexGetData("DP_1","003N8EMH8GTFRCSWKMPXRRXR2","GSON323")</f>
        <v>#NAME?</v>
      </c>
      <c r="H2240" s="3" t="e">
        <f ca="1">[1]!BexGetData("DP_1","003N8EMH8GTFRCSWKMPXRS42M","GSON323")</f>
        <v>#NAME?</v>
      </c>
      <c r="I2240" s="3" t="e">
        <f ca="1">[1]!BexGetData("DP_1","003N8EMH8GTFRCSWKMPXRSAE6","GSON323")</f>
        <v>#NAME?</v>
      </c>
      <c r="J2240" s="4" t="e">
        <f ca="1">[1]!BexGetData("DP_1","003N8EMH8GTFRCSWKMPXRSGPQ","GSON323")</f>
        <v>#NAME?</v>
      </c>
      <c r="K2240" s="8" t="e">
        <f ca="1">[1]!BexGetData("DP_1","003N8EMH8GTFRIVNUPY288VJH","GSON323")</f>
        <v>#NAME?</v>
      </c>
      <c r="L2240" s="8" t="e">
        <f ca="1">[1]!BexGetData("DP_1","003N8EMH8GTFRIVNUPY2891V1","GSON323")</f>
        <v>#NAME?</v>
      </c>
      <c r="M2240" s="8" t="e">
        <f ca="1">[1]!BexGetData("DP_1","003N8EMH8GTFRIVOG7KG9IQXA","GSON323")</f>
        <v>#NAME?</v>
      </c>
      <c r="N2240" s="8" t="e">
        <f ca="1">[1]!BexGetData("DP_1","003N8EMH8GTFRIVOG7KG9IX8U","GSON323")</f>
        <v>#NAME?</v>
      </c>
      <c r="O2240" s="8" t="e">
        <f ca="1">[1]!BexGetData("DP_1","003N8EMH8GTFRIVOG7KG9J3KE","GSON323")</f>
        <v>#NAME?</v>
      </c>
      <c r="P2240" s="8" t="e">
        <f ca="1">[1]!BexGetData("DP_1","003N8EMH8GTFRIVOG7KG9J9VY","GSON323")</f>
        <v>#NAME?</v>
      </c>
      <c r="Q2240" s="4" t="e">
        <f ca="1">[1]!BexGetData("DP_1","00O2TNJGODT0G5Z4TTKYMM5MT","GSON323")</f>
        <v>#NAME?</v>
      </c>
      <c r="R2240" s="3" t="e">
        <f ca="1">[1]!BexGetData("DP_1","00O2TNJGODT0G5Z4TTKYMMBYD","GSON323")</f>
        <v>#NAME?</v>
      </c>
      <c r="S2240" s="3" t="e">
        <f ca="1">[1]!BexGetData("DP_1","00O2TNJGODT0G5Z4TTKYMMI9X","GSON323")</f>
        <v>#NAME?</v>
      </c>
      <c r="T2240" s="3" t="e">
        <f ca="1">[1]!BexGetData("DP_1","00O2TNJGODT0G5Z4TTKYMMOLH","GSON323")</f>
        <v>#NAME?</v>
      </c>
      <c r="U2240" s="8" t="e">
        <f ca="1">[1]!BexGetData("DP_1","00O2TNJGODT0G5Z4TTKYMMUX1","GSON323")</f>
        <v>#NAME?</v>
      </c>
      <c r="V2240" s="3" t="e">
        <f ca="1">[1]!BexGetData("DP_1","00O2TNJGODT0G5Z4TTKYMN18L","GSON323")</f>
        <v>#NAME?</v>
      </c>
      <c r="W2240" s="8" t="e">
        <f ca="1">[1]!BexGetData("DP_1","00O2TNJGODT0G5Z4TTKYMN7K5","GSON323")</f>
        <v>#NAME?</v>
      </c>
    </row>
    <row r="2241" spans="1:23" x14ac:dyDescent="0.2">
      <c r="A2241" s="16" t="s">
        <v>4910</v>
      </c>
      <c r="B2241" s="7" t="s">
        <v>4911</v>
      </c>
      <c r="C2241" s="8" t="e">
        <f ca="1">[1]!BexGetData("DP_1","003N8EMH8GTFRCSWKMPXRR8GU","GSON3231")</f>
        <v>#NAME?</v>
      </c>
      <c r="D2241" s="8" t="e">
        <f ca="1">[1]!BexGetData("DP_1","003N8EMH8GTFRCSWKMPXRRESE","GSON3231")</f>
        <v>#NAME?</v>
      </c>
      <c r="E2241" s="3" t="e">
        <f ca="1">[1]!BexGetData("DP_1","003N8EMH8GTFRCSWKMPXRRL3Y","GSON3231")</f>
        <v>#NAME?</v>
      </c>
      <c r="F2241" s="3" t="e">
        <f ca="1">[1]!BexGetData("DP_1","003N8EMH8GTFRCSWKMPXRRRFI","GSON3231")</f>
        <v>#NAME?</v>
      </c>
      <c r="G2241" s="8" t="e">
        <f ca="1">[1]!BexGetData("DP_1","003N8EMH8GTFRCSWKMPXRRXR2","GSON3231")</f>
        <v>#NAME?</v>
      </c>
      <c r="H2241" s="3" t="e">
        <f ca="1">[1]!BexGetData("DP_1","003N8EMH8GTFRCSWKMPXRS42M","GSON3231")</f>
        <v>#NAME?</v>
      </c>
      <c r="I2241" s="3" t="e">
        <f ca="1">[1]!BexGetData("DP_1","003N8EMH8GTFRCSWKMPXRSAE6","GSON3231")</f>
        <v>#NAME?</v>
      </c>
      <c r="J2241" s="4" t="e">
        <f ca="1">[1]!BexGetData("DP_1","003N8EMH8GTFRCSWKMPXRSGPQ","GSON3231")</f>
        <v>#NAME?</v>
      </c>
      <c r="K2241" s="8" t="e">
        <f ca="1">[1]!BexGetData("DP_1","003N8EMH8GTFRIVNUPY288VJH","GSON3231")</f>
        <v>#NAME?</v>
      </c>
      <c r="L2241" s="8" t="e">
        <f ca="1">[1]!BexGetData("DP_1","003N8EMH8GTFRIVNUPY2891V1","GSON3231")</f>
        <v>#NAME?</v>
      </c>
      <c r="M2241" s="8" t="e">
        <f ca="1">[1]!BexGetData("DP_1","003N8EMH8GTFRIVOG7KG9IQXA","GSON3231")</f>
        <v>#NAME?</v>
      </c>
      <c r="N2241" s="8" t="e">
        <f ca="1">[1]!BexGetData("DP_1","003N8EMH8GTFRIVOG7KG9IX8U","GSON3231")</f>
        <v>#NAME?</v>
      </c>
      <c r="O2241" s="8" t="e">
        <f ca="1">[1]!BexGetData("DP_1","003N8EMH8GTFRIVOG7KG9J3KE","GSON3231")</f>
        <v>#NAME?</v>
      </c>
      <c r="P2241" s="8" t="e">
        <f ca="1">[1]!BexGetData("DP_1","003N8EMH8GTFRIVOG7KG9J9VY","GSON3231")</f>
        <v>#NAME?</v>
      </c>
      <c r="Q2241" s="4" t="e">
        <f ca="1">[1]!BexGetData("DP_1","00O2TNJGODT0G5Z4TTKYMM5MT","GSON3231")</f>
        <v>#NAME?</v>
      </c>
      <c r="R2241" s="3" t="e">
        <f ca="1">[1]!BexGetData("DP_1","00O2TNJGODT0G5Z4TTKYMMBYD","GSON3231")</f>
        <v>#NAME?</v>
      </c>
      <c r="S2241" s="3" t="e">
        <f ca="1">[1]!BexGetData("DP_1","00O2TNJGODT0G5Z4TTKYMMI9X","GSON3231")</f>
        <v>#NAME?</v>
      </c>
      <c r="T2241" s="3" t="e">
        <f ca="1">[1]!BexGetData("DP_1","00O2TNJGODT0G5Z4TTKYMMOLH","GSON3231")</f>
        <v>#NAME?</v>
      </c>
      <c r="U2241" s="8" t="e">
        <f ca="1">[1]!BexGetData("DP_1","00O2TNJGODT0G5Z4TTKYMMUX1","GSON3231")</f>
        <v>#NAME?</v>
      </c>
      <c r="V2241" s="3" t="e">
        <f ca="1">[1]!BexGetData("DP_1","00O2TNJGODT0G5Z4TTKYMN18L","GSON3231")</f>
        <v>#NAME?</v>
      </c>
      <c r="W2241" s="8" t="e">
        <f ca="1">[1]!BexGetData("DP_1","00O2TNJGODT0G5Z4TTKYMN7K5","GSON3231")</f>
        <v>#NAME?</v>
      </c>
    </row>
    <row r="2242" spans="1:23" x14ac:dyDescent="0.2">
      <c r="A2242" s="17" t="s">
        <v>4912</v>
      </c>
      <c r="B2242" s="7" t="s">
        <v>4913</v>
      </c>
      <c r="C2242" s="8" t="e">
        <f ca="1">[1]!BexGetData("DP_1","003N8EMH8GTFRCSWKMPXRR8GU","GSON3231000001")</f>
        <v>#NAME?</v>
      </c>
      <c r="D2242" s="8" t="e">
        <f ca="1">[1]!BexGetData("DP_1","003N8EMH8GTFRCSWKMPXRRESE","GSON3231000001")</f>
        <v>#NAME?</v>
      </c>
      <c r="E2242" s="3" t="e">
        <f ca="1">[1]!BexGetData("DP_1","003N8EMH8GTFRCSWKMPXRRL3Y","GSON3231000001")</f>
        <v>#NAME?</v>
      </c>
      <c r="F2242" s="3" t="e">
        <f ca="1">[1]!BexGetData("DP_1","003N8EMH8GTFRCSWKMPXRRRFI","GSON3231000001")</f>
        <v>#NAME?</v>
      </c>
      <c r="G2242" s="8" t="e">
        <f ca="1">[1]!BexGetData("DP_1","003N8EMH8GTFRCSWKMPXRRXR2","GSON3231000001")</f>
        <v>#NAME?</v>
      </c>
      <c r="H2242" s="3" t="e">
        <f ca="1">[1]!BexGetData("DP_1","003N8EMH8GTFRCSWKMPXRS42M","GSON3231000001")</f>
        <v>#NAME?</v>
      </c>
      <c r="I2242" s="3" t="e">
        <f ca="1">[1]!BexGetData("DP_1","003N8EMH8GTFRCSWKMPXRSAE6","GSON3231000001")</f>
        <v>#NAME?</v>
      </c>
      <c r="J2242" s="4" t="e">
        <f ca="1">[1]!BexGetData("DP_1","003N8EMH8GTFRCSWKMPXRSGPQ","GSON3231000001")</f>
        <v>#NAME?</v>
      </c>
      <c r="K2242" s="8" t="e">
        <f ca="1">[1]!BexGetData("DP_1","003N8EMH8GTFRIVNUPY288VJH","GSON3231000001")</f>
        <v>#NAME?</v>
      </c>
      <c r="L2242" s="8" t="e">
        <f ca="1">[1]!BexGetData("DP_1","003N8EMH8GTFRIVNUPY2891V1","GSON3231000001")</f>
        <v>#NAME?</v>
      </c>
      <c r="M2242" s="8" t="e">
        <f ca="1">[1]!BexGetData("DP_1","003N8EMH8GTFRIVOG7KG9IQXA","GSON3231000001")</f>
        <v>#NAME?</v>
      </c>
      <c r="N2242" s="8" t="e">
        <f ca="1">[1]!BexGetData("DP_1","003N8EMH8GTFRIVOG7KG9IX8U","GSON3231000001")</f>
        <v>#NAME?</v>
      </c>
      <c r="O2242" s="8" t="e">
        <f ca="1">[1]!BexGetData("DP_1","003N8EMH8GTFRIVOG7KG9J3KE","GSON3231000001")</f>
        <v>#NAME?</v>
      </c>
      <c r="P2242" s="8" t="e">
        <f ca="1">[1]!BexGetData("DP_1","003N8EMH8GTFRIVOG7KG9J9VY","GSON3231000001")</f>
        <v>#NAME?</v>
      </c>
      <c r="Q2242" s="4" t="e">
        <f ca="1">[1]!BexGetData("DP_1","00O2TNJGODT0G5Z4TTKYMM5MT","GSON3231000001")</f>
        <v>#NAME?</v>
      </c>
      <c r="R2242" s="3" t="e">
        <f ca="1">[1]!BexGetData("DP_1","00O2TNJGODT0G5Z4TTKYMMBYD","GSON3231000001")</f>
        <v>#NAME?</v>
      </c>
      <c r="S2242" s="3" t="e">
        <f ca="1">[1]!BexGetData("DP_1","00O2TNJGODT0G5Z4TTKYMMI9X","GSON3231000001")</f>
        <v>#NAME?</v>
      </c>
      <c r="T2242" s="3" t="e">
        <f ca="1">[1]!BexGetData("DP_1","00O2TNJGODT0G5Z4TTKYMMOLH","GSON3231000001")</f>
        <v>#NAME?</v>
      </c>
      <c r="U2242" s="8" t="e">
        <f ca="1">[1]!BexGetData("DP_1","00O2TNJGODT0G5Z4TTKYMMUX1","GSON3231000001")</f>
        <v>#NAME?</v>
      </c>
      <c r="V2242" s="3" t="e">
        <f ca="1">[1]!BexGetData("DP_1","00O2TNJGODT0G5Z4TTKYMN18L","GSON3231000001")</f>
        <v>#NAME?</v>
      </c>
      <c r="W2242" s="8" t="e">
        <f ca="1">[1]!BexGetData("DP_1","00O2TNJGODT0G5Z4TTKYMN7K5","GSON3231000001")</f>
        <v>#NAME?</v>
      </c>
    </row>
    <row r="2243" spans="1:23" x14ac:dyDescent="0.2">
      <c r="A2243" s="11" t="s">
        <v>102</v>
      </c>
      <c r="B2243" s="5" t="s">
        <v>103</v>
      </c>
      <c r="C2243" s="3" t="e">
        <f ca="1">[1]!BexGetData("DP_1","003N8EMH8GTFRCSWKMPXRR8GU","GSON4-5")</f>
        <v>#NAME?</v>
      </c>
      <c r="D2243" s="3" t="e">
        <f ca="1">[1]!BexGetData("DP_1","003N8EMH8GTFRCSWKMPXRRESE","GSON4-5")</f>
        <v>#NAME?</v>
      </c>
      <c r="E2243" s="3" t="e">
        <f ca="1">[1]!BexGetData("DP_1","003N8EMH8GTFRCSWKMPXRRL3Y","GSON4-5")</f>
        <v>#NAME?</v>
      </c>
      <c r="F2243" s="4" t="e">
        <f ca="1">[1]!BexGetData("DP_1","003N8EMH8GTFRCSWKMPXRRRFI","GSON4-5")</f>
        <v>#NAME?</v>
      </c>
      <c r="G2243" s="4" t="e">
        <f ca="1">[1]!BexGetData("DP_1","003N8EMH8GTFRCSWKMPXRRXR2","GSON4-5")</f>
        <v>#NAME?</v>
      </c>
      <c r="H2243" s="4" t="e">
        <f ca="1">[1]!BexGetData("DP_1","003N8EMH8GTFRCSWKMPXRS42M","GSON4-5")</f>
        <v>#NAME?</v>
      </c>
      <c r="I2243" s="4" t="e">
        <f ca="1">[1]!BexGetData("DP_1","003N8EMH8GTFRCSWKMPXRSAE6","GSON4-5")</f>
        <v>#NAME?</v>
      </c>
      <c r="J2243" s="4" t="e">
        <f ca="1">[1]!BexGetData("DP_1","003N8EMH8GTFRCSWKMPXRSGPQ","GSON4-5")</f>
        <v>#NAME?</v>
      </c>
      <c r="K2243" s="3" t="e">
        <f ca="1">[1]!BexGetData("DP_1","003N8EMH8GTFRIVNUPY288VJH","GSON4-5")</f>
        <v>#NAME?</v>
      </c>
      <c r="L2243" s="3" t="e">
        <f ca="1">[1]!BexGetData("DP_1","003N8EMH8GTFRIVNUPY2891V1","GSON4-5")</f>
        <v>#NAME?</v>
      </c>
      <c r="M2243" s="8" t="e">
        <f ca="1">[1]!BexGetData("DP_1","003N8EMH8GTFRIVOG7KG9IQXA","GSON4-5")</f>
        <v>#NAME?</v>
      </c>
      <c r="N2243" s="3" t="e">
        <f ca="1">[1]!BexGetData("DP_1","003N8EMH8GTFRIVOG7KG9IX8U","GSON4-5")</f>
        <v>#NAME?</v>
      </c>
      <c r="O2243" s="8" t="e">
        <f ca="1">[1]!BexGetData("DP_1","003N8EMH8GTFRIVOG7KG9J3KE","GSON4-5")</f>
        <v>#NAME?</v>
      </c>
      <c r="P2243" s="3" t="e">
        <f ca="1">[1]!BexGetData("DP_1","003N8EMH8GTFRIVOG7KG9J9VY","GSON4-5")</f>
        <v>#NAME?</v>
      </c>
      <c r="Q2243" s="4" t="e">
        <f ca="1">[1]!BexGetData("DP_1","00O2TNJGODT0G5Z4TTKYMM5MT","GSON4-5")</f>
        <v>#NAME?</v>
      </c>
      <c r="R2243" s="4" t="e">
        <f ca="1">[1]!BexGetData("DP_1","00O2TNJGODT0G5Z4TTKYMMBYD","GSON4-5")</f>
        <v>#NAME?</v>
      </c>
      <c r="S2243" s="4" t="e">
        <f ca="1">[1]!BexGetData("DP_1","00O2TNJGODT0G5Z4TTKYMMI9X","GSON4-5")</f>
        <v>#NAME?</v>
      </c>
      <c r="T2243" s="4" t="e">
        <f ca="1">[1]!BexGetData("DP_1","00O2TNJGODT0G5Z4TTKYMMOLH","GSON4-5")</f>
        <v>#NAME?</v>
      </c>
      <c r="U2243" s="4" t="e">
        <f ca="1">[1]!BexGetData("DP_1","00O2TNJGODT0G5Z4TTKYMMUX1","GSON4-5")</f>
        <v>#NAME?</v>
      </c>
      <c r="V2243" s="4" t="e">
        <f ca="1">[1]!BexGetData("DP_1","00O2TNJGODT0G5Z4TTKYMN18L","GSON4-5")</f>
        <v>#NAME?</v>
      </c>
      <c r="W2243" s="4" t="e">
        <f ca="1">[1]!BexGetData("DP_1","00O2TNJGODT0G5Z4TTKYMN7K5","GSON4-5")</f>
        <v>#NAME?</v>
      </c>
    </row>
    <row r="2244" spans="1:23" x14ac:dyDescent="0.2">
      <c r="A2244" s="12" t="s">
        <v>506</v>
      </c>
      <c r="B2244" s="6" t="s">
        <v>507</v>
      </c>
      <c r="C2244" s="3" t="e">
        <f ca="1">[1]!BexGetData("DP_1","003N8EMH8GTFRCSWKMPXRR8GU","GSON4")</f>
        <v>#NAME?</v>
      </c>
      <c r="D2244" s="3" t="e">
        <f ca="1">[1]!BexGetData("DP_1","003N8EMH8GTFRCSWKMPXRRESE","GSON4")</f>
        <v>#NAME?</v>
      </c>
      <c r="E2244" s="3" t="e">
        <f ca="1">[1]!BexGetData("DP_1","003N8EMH8GTFRCSWKMPXRRL3Y","GSON4")</f>
        <v>#NAME?</v>
      </c>
      <c r="F2244" s="4" t="e">
        <f ca="1">[1]!BexGetData("DP_1","003N8EMH8GTFRCSWKMPXRRRFI","GSON4")</f>
        <v>#NAME?</v>
      </c>
      <c r="G2244" s="4" t="e">
        <f ca="1">[1]!BexGetData("DP_1","003N8EMH8GTFRCSWKMPXRRXR2","GSON4")</f>
        <v>#NAME?</v>
      </c>
      <c r="H2244" s="4" t="e">
        <f ca="1">[1]!BexGetData("DP_1","003N8EMH8GTFRCSWKMPXRS42M","GSON4")</f>
        <v>#NAME?</v>
      </c>
      <c r="I2244" s="4" t="e">
        <f ca="1">[1]!BexGetData("DP_1","003N8EMH8GTFRCSWKMPXRSAE6","GSON4")</f>
        <v>#NAME?</v>
      </c>
      <c r="J2244" s="4" t="e">
        <f ca="1">[1]!BexGetData("DP_1","003N8EMH8GTFRCSWKMPXRSGPQ","GSON4")</f>
        <v>#NAME?</v>
      </c>
      <c r="K2244" s="3" t="e">
        <f ca="1">[1]!BexGetData("DP_1","003N8EMH8GTFRIVNUPY288VJH","GSON4")</f>
        <v>#NAME?</v>
      </c>
      <c r="L2244" s="3" t="e">
        <f ca="1">[1]!BexGetData("DP_1","003N8EMH8GTFRIVNUPY2891V1","GSON4")</f>
        <v>#NAME?</v>
      </c>
      <c r="M2244" s="3" t="e">
        <f ca="1">[1]!BexGetData("DP_1","003N8EMH8GTFRIVOG7KG9IQXA","GSON4")</f>
        <v>#NAME?</v>
      </c>
      <c r="N2244" s="8" t="e">
        <f ca="1">[1]!BexGetData("DP_1","003N8EMH8GTFRIVOG7KG9IX8U","GSON4")</f>
        <v>#NAME?</v>
      </c>
      <c r="O2244" s="3" t="e">
        <f ca="1">[1]!BexGetData("DP_1","003N8EMH8GTFRIVOG7KG9J3KE","GSON4")</f>
        <v>#NAME?</v>
      </c>
      <c r="P2244" s="8" t="e">
        <f ca="1">[1]!BexGetData("DP_1","003N8EMH8GTFRIVOG7KG9J9VY","GSON4")</f>
        <v>#NAME?</v>
      </c>
      <c r="Q2244" s="4" t="e">
        <f ca="1">[1]!BexGetData("DP_1","00O2TNJGODT0G5Z4TTKYMM5MT","GSON4")</f>
        <v>#NAME?</v>
      </c>
      <c r="R2244" s="4" t="e">
        <f ca="1">[1]!BexGetData("DP_1","00O2TNJGODT0G5Z4TTKYMMBYD","GSON4")</f>
        <v>#NAME?</v>
      </c>
      <c r="S2244" s="4" t="e">
        <f ca="1">[1]!BexGetData("DP_1","00O2TNJGODT0G5Z4TTKYMMI9X","GSON4")</f>
        <v>#NAME?</v>
      </c>
      <c r="T2244" s="4" t="e">
        <f ca="1">[1]!BexGetData("DP_1","00O2TNJGODT0G5Z4TTKYMMOLH","GSON4")</f>
        <v>#NAME?</v>
      </c>
      <c r="U2244" s="4" t="e">
        <f ca="1">[1]!BexGetData("DP_1","00O2TNJGODT0G5Z4TTKYMMUX1","GSON4")</f>
        <v>#NAME?</v>
      </c>
      <c r="V2244" s="4" t="e">
        <f ca="1">[1]!BexGetData("DP_1","00O2TNJGODT0G5Z4TTKYMN18L","GSON4")</f>
        <v>#NAME?</v>
      </c>
      <c r="W2244" s="4" t="e">
        <f ca="1">[1]!BexGetData("DP_1","00O2TNJGODT0G5Z4TTKYMN7K5","GSON4")</f>
        <v>#NAME?</v>
      </c>
    </row>
    <row r="2245" spans="1:23" x14ac:dyDescent="0.2">
      <c r="A2245" s="13" t="s">
        <v>508</v>
      </c>
      <c r="B2245" s="7" t="s">
        <v>509</v>
      </c>
      <c r="C2245" s="3" t="e">
        <f ca="1">[1]!BexGetData("DP_1","003N8EMH8GTFRCSWKMPXRR8GU","GSON41")</f>
        <v>#NAME?</v>
      </c>
      <c r="D2245" s="3" t="e">
        <f ca="1">[1]!BexGetData("DP_1","003N8EMH8GTFRCSWKMPXRRESE","GSON41")</f>
        <v>#NAME?</v>
      </c>
      <c r="E2245" s="3" t="e">
        <f ca="1">[1]!BexGetData("DP_1","003N8EMH8GTFRCSWKMPXRRL3Y","GSON41")</f>
        <v>#NAME?</v>
      </c>
      <c r="F2245" s="4" t="e">
        <f ca="1">[1]!BexGetData("DP_1","003N8EMH8GTFRCSWKMPXRRRFI","GSON41")</f>
        <v>#NAME?</v>
      </c>
      <c r="G2245" s="4" t="e">
        <f ca="1">[1]!BexGetData("DP_1","003N8EMH8GTFRCSWKMPXRRXR2","GSON41")</f>
        <v>#NAME?</v>
      </c>
      <c r="H2245" s="4" t="e">
        <f ca="1">[1]!BexGetData("DP_1","003N8EMH8GTFRCSWKMPXRS42M","GSON41")</f>
        <v>#NAME?</v>
      </c>
      <c r="I2245" s="4" t="e">
        <f ca="1">[1]!BexGetData("DP_1","003N8EMH8GTFRCSWKMPXRSAE6","GSON41")</f>
        <v>#NAME?</v>
      </c>
      <c r="J2245" s="4" t="e">
        <f ca="1">[1]!BexGetData("DP_1","003N8EMH8GTFRCSWKMPXRSGPQ","GSON41")</f>
        <v>#NAME?</v>
      </c>
      <c r="K2245" s="3" t="e">
        <f ca="1">[1]!BexGetData("DP_1","003N8EMH8GTFRIVNUPY288VJH","GSON41")</f>
        <v>#NAME?</v>
      </c>
      <c r="L2245" s="3" t="e">
        <f ca="1">[1]!BexGetData("DP_1","003N8EMH8GTFRIVNUPY2891V1","GSON41")</f>
        <v>#NAME?</v>
      </c>
      <c r="M2245" s="3" t="e">
        <f ca="1">[1]!BexGetData("DP_1","003N8EMH8GTFRIVOG7KG9IQXA","GSON41")</f>
        <v>#NAME?</v>
      </c>
      <c r="N2245" s="8" t="e">
        <f ca="1">[1]!BexGetData("DP_1","003N8EMH8GTFRIVOG7KG9IX8U","GSON41")</f>
        <v>#NAME?</v>
      </c>
      <c r="O2245" s="3" t="e">
        <f ca="1">[1]!BexGetData("DP_1","003N8EMH8GTFRIVOG7KG9J3KE","GSON41")</f>
        <v>#NAME?</v>
      </c>
      <c r="P2245" s="8" t="e">
        <f ca="1">[1]!BexGetData("DP_1","003N8EMH8GTFRIVOG7KG9J9VY","GSON41")</f>
        <v>#NAME?</v>
      </c>
      <c r="Q2245" s="4" t="e">
        <f ca="1">[1]!BexGetData("DP_1","00O2TNJGODT0G5Z4TTKYMM5MT","GSON41")</f>
        <v>#NAME?</v>
      </c>
      <c r="R2245" s="4" t="e">
        <f ca="1">[1]!BexGetData("DP_1","00O2TNJGODT0G5Z4TTKYMMBYD","GSON41")</f>
        <v>#NAME?</v>
      </c>
      <c r="S2245" s="4" t="e">
        <f ca="1">[1]!BexGetData("DP_1","00O2TNJGODT0G5Z4TTKYMMI9X","GSON41")</f>
        <v>#NAME?</v>
      </c>
      <c r="T2245" s="4" t="e">
        <f ca="1">[1]!BexGetData("DP_1","00O2TNJGODT0G5Z4TTKYMMOLH","GSON41")</f>
        <v>#NAME?</v>
      </c>
      <c r="U2245" s="4" t="e">
        <f ca="1">[1]!BexGetData("DP_1","00O2TNJGODT0G5Z4TTKYMMUX1","GSON41")</f>
        <v>#NAME?</v>
      </c>
      <c r="V2245" s="4" t="e">
        <f ca="1">[1]!BexGetData("DP_1","00O2TNJGODT0G5Z4TTKYMN18L","GSON41")</f>
        <v>#NAME?</v>
      </c>
      <c r="W2245" s="4" t="e">
        <f ca="1">[1]!BexGetData("DP_1","00O2TNJGODT0G5Z4TTKYMN7K5","GSON41")</f>
        <v>#NAME?</v>
      </c>
    </row>
    <row r="2246" spans="1:23" x14ac:dyDescent="0.2">
      <c r="A2246" s="14" t="s">
        <v>510</v>
      </c>
      <c r="B2246" s="7" t="s">
        <v>511</v>
      </c>
      <c r="C2246" s="3" t="e">
        <f ca="1">[1]!BexGetData("DP_1","003N8EMH8GTFRCSWKMPXRR8GU","GSON411")</f>
        <v>#NAME?</v>
      </c>
      <c r="D2246" s="3" t="e">
        <f ca="1">[1]!BexGetData("DP_1","003N8EMH8GTFRCSWKMPXRRESE","GSON411")</f>
        <v>#NAME?</v>
      </c>
      <c r="E2246" s="3" t="e">
        <f ca="1">[1]!BexGetData("DP_1","003N8EMH8GTFRCSWKMPXRRL3Y","GSON411")</f>
        <v>#NAME?</v>
      </c>
      <c r="F2246" s="4" t="e">
        <f ca="1">[1]!BexGetData("DP_1","003N8EMH8GTFRCSWKMPXRRRFI","GSON411")</f>
        <v>#NAME?</v>
      </c>
      <c r="G2246" s="4" t="e">
        <f ca="1">[1]!BexGetData("DP_1","003N8EMH8GTFRCSWKMPXRRXR2","GSON411")</f>
        <v>#NAME?</v>
      </c>
      <c r="H2246" s="4" t="e">
        <f ca="1">[1]!BexGetData("DP_1","003N8EMH8GTFRCSWKMPXRS42M","GSON411")</f>
        <v>#NAME?</v>
      </c>
      <c r="I2246" s="4" t="e">
        <f ca="1">[1]!BexGetData("DP_1","003N8EMH8GTFRCSWKMPXRSAE6","GSON411")</f>
        <v>#NAME?</v>
      </c>
      <c r="J2246" s="4" t="e">
        <f ca="1">[1]!BexGetData("DP_1","003N8EMH8GTFRCSWKMPXRSGPQ","GSON411")</f>
        <v>#NAME?</v>
      </c>
      <c r="K2246" s="3" t="e">
        <f ca="1">[1]!BexGetData("DP_1","003N8EMH8GTFRIVNUPY288VJH","GSON411")</f>
        <v>#NAME?</v>
      </c>
      <c r="L2246" s="3" t="e">
        <f ca="1">[1]!BexGetData("DP_1","003N8EMH8GTFRIVNUPY2891V1","GSON411")</f>
        <v>#NAME?</v>
      </c>
      <c r="M2246" s="3" t="e">
        <f ca="1">[1]!BexGetData("DP_1","003N8EMH8GTFRIVOG7KG9IQXA","GSON411")</f>
        <v>#NAME?</v>
      </c>
      <c r="N2246" s="8" t="e">
        <f ca="1">[1]!BexGetData("DP_1","003N8EMH8GTFRIVOG7KG9IX8U","GSON411")</f>
        <v>#NAME?</v>
      </c>
      <c r="O2246" s="3" t="e">
        <f ca="1">[1]!BexGetData("DP_1","003N8EMH8GTFRIVOG7KG9J3KE","GSON411")</f>
        <v>#NAME?</v>
      </c>
      <c r="P2246" s="8" t="e">
        <f ca="1">[1]!BexGetData("DP_1","003N8EMH8GTFRIVOG7KG9J9VY","GSON411")</f>
        <v>#NAME?</v>
      </c>
      <c r="Q2246" s="4" t="e">
        <f ca="1">[1]!BexGetData("DP_1","00O2TNJGODT0G5Z4TTKYMM5MT","GSON411")</f>
        <v>#NAME?</v>
      </c>
      <c r="R2246" s="4" t="e">
        <f ca="1">[1]!BexGetData("DP_1","00O2TNJGODT0G5Z4TTKYMMBYD","GSON411")</f>
        <v>#NAME?</v>
      </c>
      <c r="S2246" s="4" t="e">
        <f ca="1">[1]!BexGetData("DP_1","00O2TNJGODT0G5Z4TTKYMMI9X","GSON411")</f>
        <v>#NAME?</v>
      </c>
      <c r="T2246" s="4" t="e">
        <f ca="1">[1]!BexGetData("DP_1","00O2TNJGODT0G5Z4TTKYMMOLH","GSON411")</f>
        <v>#NAME?</v>
      </c>
      <c r="U2246" s="4" t="e">
        <f ca="1">[1]!BexGetData("DP_1","00O2TNJGODT0G5Z4TTKYMMUX1","GSON411")</f>
        <v>#NAME?</v>
      </c>
      <c r="V2246" s="4" t="e">
        <f ca="1">[1]!BexGetData("DP_1","00O2TNJGODT0G5Z4TTKYMN18L","GSON411")</f>
        <v>#NAME?</v>
      </c>
      <c r="W2246" s="4" t="e">
        <f ca="1">[1]!BexGetData("DP_1","00O2TNJGODT0G5Z4TTKYMN7K5","GSON411")</f>
        <v>#NAME?</v>
      </c>
    </row>
    <row r="2247" spans="1:23" x14ac:dyDescent="0.2">
      <c r="A2247" s="15" t="s">
        <v>512</v>
      </c>
      <c r="B2247" s="7" t="s">
        <v>513</v>
      </c>
      <c r="C2247" s="3" t="e">
        <f ca="1">[1]!BexGetData("DP_1","003N8EMH8GTFRCSWKMPXRR8GU","GSON4111")</f>
        <v>#NAME?</v>
      </c>
      <c r="D2247" s="3" t="e">
        <f ca="1">[1]!BexGetData("DP_1","003N8EMH8GTFRCSWKMPXRRESE","GSON4111")</f>
        <v>#NAME?</v>
      </c>
      <c r="E2247" s="3" t="e">
        <f ca="1">[1]!BexGetData("DP_1","003N8EMH8GTFRCSWKMPXRRL3Y","GSON4111")</f>
        <v>#NAME?</v>
      </c>
      <c r="F2247" s="4" t="e">
        <f ca="1">[1]!BexGetData("DP_1","003N8EMH8GTFRCSWKMPXRRRFI","GSON4111")</f>
        <v>#NAME?</v>
      </c>
      <c r="G2247" s="4" t="e">
        <f ca="1">[1]!BexGetData("DP_1","003N8EMH8GTFRCSWKMPXRRXR2","GSON4111")</f>
        <v>#NAME?</v>
      </c>
      <c r="H2247" s="4" t="e">
        <f ca="1">[1]!BexGetData("DP_1","003N8EMH8GTFRCSWKMPXRS42M","GSON4111")</f>
        <v>#NAME?</v>
      </c>
      <c r="I2247" s="4" t="e">
        <f ca="1">[1]!BexGetData("DP_1","003N8EMH8GTFRCSWKMPXRSAE6","GSON4111")</f>
        <v>#NAME?</v>
      </c>
      <c r="J2247" s="4" t="e">
        <f ca="1">[1]!BexGetData("DP_1","003N8EMH8GTFRCSWKMPXRSGPQ","GSON4111")</f>
        <v>#NAME?</v>
      </c>
      <c r="K2247" s="3" t="e">
        <f ca="1">[1]!BexGetData("DP_1","003N8EMH8GTFRIVNUPY288VJH","GSON4111")</f>
        <v>#NAME?</v>
      </c>
      <c r="L2247" s="3" t="e">
        <f ca="1">[1]!BexGetData("DP_1","003N8EMH8GTFRIVNUPY2891V1","GSON4111")</f>
        <v>#NAME?</v>
      </c>
      <c r="M2247" s="3" t="e">
        <f ca="1">[1]!BexGetData("DP_1","003N8EMH8GTFRIVOG7KG9IQXA","GSON4111")</f>
        <v>#NAME?</v>
      </c>
      <c r="N2247" s="8" t="e">
        <f ca="1">[1]!BexGetData("DP_1","003N8EMH8GTFRIVOG7KG9IX8U","GSON4111")</f>
        <v>#NAME?</v>
      </c>
      <c r="O2247" s="3" t="e">
        <f ca="1">[1]!BexGetData("DP_1","003N8EMH8GTFRIVOG7KG9J3KE","GSON4111")</f>
        <v>#NAME?</v>
      </c>
      <c r="P2247" s="8" t="e">
        <f ca="1">[1]!BexGetData("DP_1","003N8EMH8GTFRIVOG7KG9J9VY","GSON4111")</f>
        <v>#NAME?</v>
      </c>
      <c r="Q2247" s="4" t="e">
        <f ca="1">[1]!BexGetData("DP_1","00O2TNJGODT0G5Z4TTKYMM5MT","GSON4111")</f>
        <v>#NAME?</v>
      </c>
      <c r="R2247" s="4" t="e">
        <f ca="1">[1]!BexGetData("DP_1","00O2TNJGODT0G5Z4TTKYMMBYD","GSON4111")</f>
        <v>#NAME?</v>
      </c>
      <c r="S2247" s="4" t="e">
        <f ca="1">[1]!BexGetData("DP_1","00O2TNJGODT0G5Z4TTKYMMI9X","GSON4111")</f>
        <v>#NAME?</v>
      </c>
      <c r="T2247" s="4" t="e">
        <f ca="1">[1]!BexGetData("DP_1","00O2TNJGODT0G5Z4TTKYMMOLH","GSON4111")</f>
        <v>#NAME?</v>
      </c>
      <c r="U2247" s="4" t="e">
        <f ca="1">[1]!BexGetData("DP_1","00O2TNJGODT0G5Z4TTKYMMUX1","GSON4111")</f>
        <v>#NAME?</v>
      </c>
      <c r="V2247" s="4" t="e">
        <f ca="1">[1]!BexGetData("DP_1","00O2TNJGODT0G5Z4TTKYMN18L","GSON4111")</f>
        <v>#NAME?</v>
      </c>
      <c r="W2247" s="4" t="e">
        <f ca="1">[1]!BexGetData("DP_1","00O2TNJGODT0G5Z4TTKYMN7K5","GSON4111")</f>
        <v>#NAME?</v>
      </c>
    </row>
    <row r="2248" spans="1:23" x14ac:dyDescent="0.2">
      <c r="A2248" s="16" t="s">
        <v>1467</v>
      </c>
      <c r="B2248" s="7" t="s">
        <v>514</v>
      </c>
      <c r="C2248" s="3" t="e">
        <f ca="1">[1]!BexGetData("DP_1","003N8EMH8GTFRCSWKMPXRR8GU","GSON4111110101")</f>
        <v>#NAME?</v>
      </c>
      <c r="D2248" s="3" t="e">
        <f ca="1">[1]!BexGetData("DP_1","003N8EMH8GTFRCSWKMPXRRESE","GSON4111110101")</f>
        <v>#NAME?</v>
      </c>
      <c r="E2248" s="3" t="e">
        <f ca="1">[1]!BexGetData("DP_1","003N8EMH8GTFRCSWKMPXRRL3Y","GSON4111110101")</f>
        <v>#NAME?</v>
      </c>
      <c r="F2248" s="4" t="e">
        <f ca="1">[1]!BexGetData("DP_1","003N8EMH8GTFRCSWKMPXRRRFI","GSON4111110101")</f>
        <v>#NAME?</v>
      </c>
      <c r="G2248" s="4" t="e">
        <f ca="1">[1]!BexGetData("DP_1","003N8EMH8GTFRCSWKMPXRRXR2","GSON4111110101")</f>
        <v>#NAME?</v>
      </c>
      <c r="H2248" s="4" t="e">
        <f ca="1">[1]!BexGetData("DP_1","003N8EMH8GTFRCSWKMPXRS42M","GSON4111110101")</f>
        <v>#NAME?</v>
      </c>
      <c r="I2248" s="4" t="e">
        <f ca="1">[1]!BexGetData("DP_1","003N8EMH8GTFRCSWKMPXRSAE6","GSON4111110101")</f>
        <v>#NAME?</v>
      </c>
      <c r="J2248" s="4" t="e">
        <f ca="1">[1]!BexGetData("DP_1","003N8EMH8GTFRCSWKMPXRSGPQ","GSON4111110101")</f>
        <v>#NAME?</v>
      </c>
      <c r="K2248" s="3" t="e">
        <f ca="1">[1]!BexGetData("DP_1","003N8EMH8GTFRIVNUPY288VJH","GSON4111110101")</f>
        <v>#NAME?</v>
      </c>
      <c r="L2248" s="3" t="e">
        <f ca="1">[1]!BexGetData("DP_1","003N8EMH8GTFRIVNUPY2891V1","GSON4111110101")</f>
        <v>#NAME?</v>
      </c>
      <c r="M2248" s="3" t="e">
        <f ca="1">[1]!BexGetData("DP_1","003N8EMH8GTFRIVOG7KG9IQXA","GSON4111110101")</f>
        <v>#NAME?</v>
      </c>
      <c r="N2248" s="8" t="e">
        <f ca="1">[1]!BexGetData("DP_1","003N8EMH8GTFRIVOG7KG9IX8U","GSON4111110101")</f>
        <v>#NAME?</v>
      </c>
      <c r="O2248" s="3" t="e">
        <f ca="1">[1]!BexGetData("DP_1","003N8EMH8GTFRIVOG7KG9J3KE","GSON4111110101")</f>
        <v>#NAME?</v>
      </c>
      <c r="P2248" s="8" t="e">
        <f ca="1">[1]!BexGetData("DP_1","003N8EMH8GTFRIVOG7KG9J9VY","GSON4111110101")</f>
        <v>#NAME?</v>
      </c>
      <c r="Q2248" s="4" t="e">
        <f ca="1">[1]!BexGetData("DP_1","00O2TNJGODT0G5Z4TTKYMM5MT","GSON4111110101")</f>
        <v>#NAME?</v>
      </c>
      <c r="R2248" s="4" t="e">
        <f ca="1">[1]!BexGetData("DP_1","00O2TNJGODT0G5Z4TTKYMMBYD","GSON4111110101")</f>
        <v>#NAME?</v>
      </c>
      <c r="S2248" s="4" t="e">
        <f ca="1">[1]!BexGetData("DP_1","00O2TNJGODT0G5Z4TTKYMMI9X","GSON4111110101")</f>
        <v>#NAME?</v>
      </c>
      <c r="T2248" s="4" t="e">
        <f ca="1">[1]!BexGetData("DP_1","00O2TNJGODT0G5Z4TTKYMMOLH","GSON4111110101")</f>
        <v>#NAME?</v>
      </c>
      <c r="U2248" s="4" t="e">
        <f ca="1">[1]!BexGetData("DP_1","00O2TNJGODT0G5Z4TTKYMMUX1","GSON4111110101")</f>
        <v>#NAME?</v>
      </c>
      <c r="V2248" s="4" t="e">
        <f ca="1">[1]!BexGetData("DP_1","00O2TNJGODT0G5Z4TTKYMN18L","GSON4111110101")</f>
        <v>#NAME?</v>
      </c>
      <c r="W2248" s="4" t="e">
        <f ca="1">[1]!BexGetData("DP_1","00O2TNJGODT0G5Z4TTKYMN7K5","GSON4111110101")</f>
        <v>#NAME?</v>
      </c>
    </row>
    <row r="2249" spans="1:23" x14ac:dyDescent="0.2">
      <c r="A2249" s="15" t="s">
        <v>515</v>
      </c>
      <c r="B2249" s="7" t="s">
        <v>516</v>
      </c>
      <c r="C2249" s="3" t="e">
        <f ca="1">[1]!BexGetData("DP_1","003N8EMH8GTFRCSWKMPXRR8GU","GSON4113")</f>
        <v>#NAME?</v>
      </c>
      <c r="D2249" s="3" t="e">
        <f ca="1">[1]!BexGetData("DP_1","003N8EMH8GTFRCSWKMPXRRESE","GSON4113")</f>
        <v>#NAME?</v>
      </c>
      <c r="E2249" s="3" t="e">
        <f ca="1">[1]!BexGetData("DP_1","003N8EMH8GTFRCSWKMPXRRL3Y","GSON4113")</f>
        <v>#NAME?</v>
      </c>
      <c r="F2249" s="4" t="e">
        <f ca="1">[1]!BexGetData("DP_1","003N8EMH8GTFRCSWKMPXRRRFI","GSON4113")</f>
        <v>#NAME?</v>
      </c>
      <c r="G2249" s="4" t="e">
        <f ca="1">[1]!BexGetData("DP_1","003N8EMH8GTFRCSWKMPXRRXR2","GSON4113")</f>
        <v>#NAME?</v>
      </c>
      <c r="H2249" s="4" t="e">
        <f ca="1">[1]!BexGetData("DP_1","003N8EMH8GTFRCSWKMPXRS42M","GSON4113")</f>
        <v>#NAME?</v>
      </c>
      <c r="I2249" s="4" t="e">
        <f ca="1">[1]!BexGetData("DP_1","003N8EMH8GTFRCSWKMPXRSAE6","GSON4113")</f>
        <v>#NAME?</v>
      </c>
      <c r="J2249" s="4" t="e">
        <f ca="1">[1]!BexGetData("DP_1","003N8EMH8GTFRCSWKMPXRSGPQ","GSON4113")</f>
        <v>#NAME?</v>
      </c>
      <c r="K2249" s="3" t="e">
        <f ca="1">[1]!BexGetData("DP_1","003N8EMH8GTFRIVNUPY288VJH","GSON4113")</f>
        <v>#NAME?</v>
      </c>
      <c r="L2249" s="3" t="e">
        <f ca="1">[1]!BexGetData("DP_1","003N8EMH8GTFRIVNUPY2891V1","GSON4113")</f>
        <v>#NAME?</v>
      </c>
      <c r="M2249" s="3" t="e">
        <f ca="1">[1]!BexGetData("DP_1","003N8EMH8GTFRIVOG7KG9IQXA","GSON4113")</f>
        <v>#NAME?</v>
      </c>
      <c r="N2249" s="8" t="e">
        <f ca="1">[1]!BexGetData("DP_1","003N8EMH8GTFRIVOG7KG9IX8U","GSON4113")</f>
        <v>#NAME?</v>
      </c>
      <c r="O2249" s="3" t="e">
        <f ca="1">[1]!BexGetData("DP_1","003N8EMH8GTFRIVOG7KG9J3KE","GSON4113")</f>
        <v>#NAME?</v>
      </c>
      <c r="P2249" s="8" t="e">
        <f ca="1">[1]!BexGetData("DP_1","003N8EMH8GTFRIVOG7KG9J9VY","GSON4113")</f>
        <v>#NAME?</v>
      </c>
      <c r="Q2249" s="4" t="e">
        <f ca="1">[1]!BexGetData("DP_1","00O2TNJGODT0G5Z4TTKYMM5MT","GSON4113")</f>
        <v>#NAME?</v>
      </c>
      <c r="R2249" s="4" t="e">
        <f ca="1">[1]!BexGetData("DP_1","00O2TNJGODT0G5Z4TTKYMMBYD","GSON4113")</f>
        <v>#NAME?</v>
      </c>
      <c r="S2249" s="4" t="e">
        <f ca="1">[1]!BexGetData("DP_1","00O2TNJGODT0G5Z4TTKYMMI9X","GSON4113")</f>
        <v>#NAME?</v>
      </c>
      <c r="T2249" s="4" t="e">
        <f ca="1">[1]!BexGetData("DP_1","00O2TNJGODT0G5Z4TTKYMMOLH","GSON4113")</f>
        <v>#NAME?</v>
      </c>
      <c r="U2249" s="4" t="e">
        <f ca="1">[1]!BexGetData("DP_1","00O2TNJGODT0G5Z4TTKYMMUX1","GSON4113")</f>
        <v>#NAME?</v>
      </c>
      <c r="V2249" s="4" t="e">
        <f ca="1">[1]!BexGetData("DP_1","00O2TNJGODT0G5Z4TTKYMN18L","GSON4113")</f>
        <v>#NAME?</v>
      </c>
      <c r="W2249" s="4" t="e">
        <f ca="1">[1]!BexGetData("DP_1","00O2TNJGODT0G5Z4TTKYMN7K5","GSON4113")</f>
        <v>#NAME?</v>
      </c>
    </row>
    <row r="2250" spans="1:23" x14ac:dyDescent="0.2">
      <c r="A2250" s="16" t="s">
        <v>517</v>
      </c>
      <c r="B2250" s="7" t="s">
        <v>518</v>
      </c>
      <c r="C2250" s="3" t="e">
        <f ca="1">[1]!BexGetData("DP_1","003N8EMH8GTFRCSWKMPXRR8GU","GSON4113130101")</f>
        <v>#NAME?</v>
      </c>
      <c r="D2250" s="3" t="e">
        <f ca="1">[1]!BexGetData("DP_1","003N8EMH8GTFRCSWKMPXRRESE","GSON4113130101")</f>
        <v>#NAME?</v>
      </c>
      <c r="E2250" s="3" t="e">
        <f ca="1">[1]!BexGetData("DP_1","003N8EMH8GTFRCSWKMPXRRL3Y","GSON4113130101")</f>
        <v>#NAME?</v>
      </c>
      <c r="F2250" s="4" t="e">
        <f ca="1">[1]!BexGetData("DP_1","003N8EMH8GTFRCSWKMPXRRRFI","GSON4113130101")</f>
        <v>#NAME?</v>
      </c>
      <c r="G2250" s="4" t="e">
        <f ca="1">[1]!BexGetData("DP_1","003N8EMH8GTFRCSWKMPXRRXR2","GSON4113130101")</f>
        <v>#NAME?</v>
      </c>
      <c r="H2250" s="4" t="e">
        <f ca="1">[1]!BexGetData("DP_1","003N8EMH8GTFRCSWKMPXRS42M","GSON4113130101")</f>
        <v>#NAME?</v>
      </c>
      <c r="I2250" s="4" t="e">
        <f ca="1">[1]!BexGetData("DP_1","003N8EMH8GTFRCSWKMPXRSAE6","GSON4113130101")</f>
        <v>#NAME?</v>
      </c>
      <c r="J2250" s="4" t="e">
        <f ca="1">[1]!BexGetData("DP_1","003N8EMH8GTFRCSWKMPXRSGPQ","GSON4113130101")</f>
        <v>#NAME?</v>
      </c>
      <c r="K2250" s="3" t="e">
        <f ca="1">[1]!BexGetData("DP_1","003N8EMH8GTFRIVNUPY288VJH","GSON4113130101")</f>
        <v>#NAME?</v>
      </c>
      <c r="L2250" s="3" t="e">
        <f ca="1">[1]!BexGetData("DP_1","003N8EMH8GTFRIVNUPY2891V1","GSON4113130101")</f>
        <v>#NAME?</v>
      </c>
      <c r="M2250" s="3" t="e">
        <f ca="1">[1]!BexGetData("DP_1","003N8EMH8GTFRIVOG7KG9IQXA","GSON4113130101")</f>
        <v>#NAME?</v>
      </c>
      <c r="N2250" s="8" t="e">
        <f ca="1">[1]!BexGetData("DP_1","003N8EMH8GTFRIVOG7KG9IX8U","GSON4113130101")</f>
        <v>#NAME?</v>
      </c>
      <c r="O2250" s="3" t="e">
        <f ca="1">[1]!BexGetData("DP_1","003N8EMH8GTFRIVOG7KG9J3KE","GSON4113130101")</f>
        <v>#NAME?</v>
      </c>
      <c r="P2250" s="8" t="e">
        <f ca="1">[1]!BexGetData("DP_1","003N8EMH8GTFRIVOG7KG9J9VY","GSON4113130101")</f>
        <v>#NAME?</v>
      </c>
      <c r="Q2250" s="4" t="e">
        <f ca="1">[1]!BexGetData("DP_1","00O2TNJGODT0G5Z4TTKYMM5MT","GSON4113130101")</f>
        <v>#NAME?</v>
      </c>
      <c r="R2250" s="4" t="e">
        <f ca="1">[1]!BexGetData("DP_1","00O2TNJGODT0G5Z4TTKYMMBYD","GSON4113130101")</f>
        <v>#NAME?</v>
      </c>
      <c r="S2250" s="4" t="e">
        <f ca="1">[1]!BexGetData("DP_1","00O2TNJGODT0G5Z4TTKYMMI9X","GSON4113130101")</f>
        <v>#NAME?</v>
      </c>
      <c r="T2250" s="4" t="e">
        <f ca="1">[1]!BexGetData("DP_1","00O2TNJGODT0G5Z4TTKYMMOLH","GSON4113130101")</f>
        <v>#NAME?</v>
      </c>
      <c r="U2250" s="4" t="e">
        <f ca="1">[1]!BexGetData("DP_1","00O2TNJGODT0G5Z4TTKYMMUX1","GSON4113130101")</f>
        <v>#NAME?</v>
      </c>
      <c r="V2250" s="4" t="e">
        <f ca="1">[1]!BexGetData("DP_1","00O2TNJGODT0G5Z4TTKYMN18L","GSON4113130101")</f>
        <v>#NAME?</v>
      </c>
      <c r="W2250" s="4" t="e">
        <f ca="1">[1]!BexGetData("DP_1","00O2TNJGODT0G5Z4TTKYMN7K5","GSON4113130101")</f>
        <v>#NAME?</v>
      </c>
    </row>
    <row r="2251" spans="1:23" x14ac:dyDescent="0.2">
      <c r="A2251" s="16" t="s">
        <v>692</v>
      </c>
      <c r="B2251" s="7" t="s">
        <v>693</v>
      </c>
      <c r="C2251" s="3" t="e">
        <f ca="1">[1]!BexGetData("DP_1","003N8EMH8GTFRCSWKMPXRR8GU","GSON4113130201")</f>
        <v>#NAME?</v>
      </c>
      <c r="D2251" s="3" t="e">
        <f ca="1">[1]!BexGetData("DP_1","003N8EMH8GTFRCSWKMPXRRESE","GSON4113130201")</f>
        <v>#NAME?</v>
      </c>
      <c r="E2251" s="3" t="e">
        <f ca="1">[1]!BexGetData("DP_1","003N8EMH8GTFRCSWKMPXRRL3Y","GSON4113130201")</f>
        <v>#NAME?</v>
      </c>
      <c r="F2251" s="4" t="e">
        <f ca="1">[1]!BexGetData("DP_1","003N8EMH8GTFRCSWKMPXRRRFI","GSON4113130201")</f>
        <v>#NAME?</v>
      </c>
      <c r="G2251" s="4" t="e">
        <f ca="1">[1]!BexGetData("DP_1","003N8EMH8GTFRCSWKMPXRRXR2","GSON4113130201")</f>
        <v>#NAME?</v>
      </c>
      <c r="H2251" s="4" t="e">
        <f ca="1">[1]!BexGetData("DP_1","003N8EMH8GTFRCSWKMPXRS42M","GSON4113130201")</f>
        <v>#NAME?</v>
      </c>
      <c r="I2251" s="4" t="e">
        <f ca="1">[1]!BexGetData("DP_1","003N8EMH8GTFRCSWKMPXRSAE6","GSON4113130201")</f>
        <v>#NAME?</v>
      </c>
      <c r="J2251" s="4" t="e">
        <f ca="1">[1]!BexGetData("DP_1","003N8EMH8GTFRCSWKMPXRSGPQ","GSON4113130201")</f>
        <v>#NAME?</v>
      </c>
      <c r="K2251" s="3" t="e">
        <f ca="1">[1]!BexGetData("DP_1","003N8EMH8GTFRIVNUPY288VJH","GSON4113130201")</f>
        <v>#NAME?</v>
      </c>
      <c r="L2251" s="3" t="e">
        <f ca="1">[1]!BexGetData("DP_1","003N8EMH8GTFRIVNUPY2891V1","GSON4113130201")</f>
        <v>#NAME?</v>
      </c>
      <c r="M2251" s="3" t="e">
        <f ca="1">[1]!BexGetData("DP_1","003N8EMH8GTFRIVOG7KG9IQXA","GSON4113130201")</f>
        <v>#NAME?</v>
      </c>
      <c r="N2251" s="8" t="e">
        <f ca="1">[1]!BexGetData("DP_1","003N8EMH8GTFRIVOG7KG9IX8U","GSON4113130201")</f>
        <v>#NAME?</v>
      </c>
      <c r="O2251" s="3" t="e">
        <f ca="1">[1]!BexGetData("DP_1","003N8EMH8GTFRIVOG7KG9J3KE","GSON4113130201")</f>
        <v>#NAME?</v>
      </c>
      <c r="P2251" s="8" t="e">
        <f ca="1">[1]!BexGetData("DP_1","003N8EMH8GTFRIVOG7KG9J9VY","GSON4113130201")</f>
        <v>#NAME?</v>
      </c>
      <c r="Q2251" s="4" t="e">
        <f ca="1">[1]!BexGetData("DP_1","00O2TNJGODT0G5Z4TTKYMM5MT","GSON4113130201")</f>
        <v>#NAME?</v>
      </c>
      <c r="R2251" s="4" t="e">
        <f ca="1">[1]!BexGetData("DP_1","00O2TNJGODT0G5Z4TTKYMMBYD","GSON4113130201")</f>
        <v>#NAME?</v>
      </c>
      <c r="S2251" s="4" t="e">
        <f ca="1">[1]!BexGetData("DP_1","00O2TNJGODT0G5Z4TTKYMMI9X","GSON4113130201")</f>
        <v>#NAME?</v>
      </c>
      <c r="T2251" s="4" t="e">
        <f ca="1">[1]!BexGetData("DP_1","00O2TNJGODT0G5Z4TTKYMMOLH","GSON4113130201")</f>
        <v>#NAME?</v>
      </c>
      <c r="U2251" s="4" t="e">
        <f ca="1">[1]!BexGetData("DP_1","00O2TNJGODT0G5Z4TTKYMMUX1","GSON4113130201")</f>
        <v>#NAME?</v>
      </c>
      <c r="V2251" s="4" t="e">
        <f ca="1">[1]!BexGetData("DP_1","00O2TNJGODT0G5Z4TTKYMN18L","GSON4113130201")</f>
        <v>#NAME?</v>
      </c>
      <c r="W2251" s="4" t="e">
        <f ca="1">[1]!BexGetData("DP_1","00O2TNJGODT0G5Z4TTKYMN7K5","GSON4113130201")</f>
        <v>#NAME?</v>
      </c>
    </row>
    <row r="2252" spans="1:23" x14ac:dyDescent="0.2">
      <c r="A2252" s="16" t="s">
        <v>1468</v>
      </c>
      <c r="B2252" s="7" t="s">
        <v>1469</v>
      </c>
      <c r="C2252" s="3" t="e">
        <f ca="1">[1]!BexGetData("DP_1","003N8EMH8GTFRCSWKMPXRR8GU","GSON4113130301")</f>
        <v>#NAME?</v>
      </c>
      <c r="D2252" s="3" t="e">
        <f ca="1">[1]!BexGetData("DP_1","003N8EMH8GTFRCSWKMPXRRESE","GSON4113130301")</f>
        <v>#NAME?</v>
      </c>
      <c r="E2252" s="3" t="e">
        <f ca="1">[1]!BexGetData("DP_1","003N8EMH8GTFRCSWKMPXRRL3Y","GSON4113130301")</f>
        <v>#NAME?</v>
      </c>
      <c r="F2252" s="4" t="e">
        <f ca="1">[1]!BexGetData("DP_1","003N8EMH8GTFRCSWKMPXRRRFI","GSON4113130301")</f>
        <v>#NAME?</v>
      </c>
      <c r="G2252" s="4" t="e">
        <f ca="1">[1]!BexGetData("DP_1","003N8EMH8GTFRCSWKMPXRRXR2","GSON4113130301")</f>
        <v>#NAME?</v>
      </c>
      <c r="H2252" s="4" t="e">
        <f ca="1">[1]!BexGetData("DP_1","003N8EMH8GTFRCSWKMPXRS42M","GSON4113130301")</f>
        <v>#NAME?</v>
      </c>
      <c r="I2252" s="4" t="e">
        <f ca="1">[1]!BexGetData("DP_1","003N8EMH8GTFRCSWKMPXRSAE6","GSON4113130301")</f>
        <v>#NAME?</v>
      </c>
      <c r="J2252" s="4" t="e">
        <f ca="1">[1]!BexGetData("DP_1","003N8EMH8GTFRCSWKMPXRSGPQ","GSON4113130301")</f>
        <v>#NAME?</v>
      </c>
      <c r="K2252" s="3" t="e">
        <f ca="1">[1]!BexGetData("DP_1","003N8EMH8GTFRIVNUPY288VJH","GSON4113130301")</f>
        <v>#NAME?</v>
      </c>
      <c r="L2252" s="3" t="e">
        <f ca="1">[1]!BexGetData("DP_1","003N8EMH8GTFRIVNUPY2891V1","GSON4113130301")</f>
        <v>#NAME?</v>
      </c>
      <c r="M2252" s="3" t="e">
        <f ca="1">[1]!BexGetData("DP_1","003N8EMH8GTFRIVOG7KG9IQXA","GSON4113130301")</f>
        <v>#NAME?</v>
      </c>
      <c r="N2252" s="8" t="e">
        <f ca="1">[1]!BexGetData("DP_1","003N8EMH8GTFRIVOG7KG9IX8U","GSON4113130301")</f>
        <v>#NAME?</v>
      </c>
      <c r="O2252" s="3" t="e">
        <f ca="1">[1]!BexGetData("DP_1","003N8EMH8GTFRIVOG7KG9J3KE","GSON4113130301")</f>
        <v>#NAME?</v>
      </c>
      <c r="P2252" s="8" t="e">
        <f ca="1">[1]!BexGetData("DP_1","003N8EMH8GTFRIVOG7KG9J9VY","GSON4113130301")</f>
        <v>#NAME?</v>
      </c>
      <c r="Q2252" s="4" t="e">
        <f ca="1">[1]!BexGetData("DP_1","00O2TNJGODT0G5Z4TTKYMM5MT","GSON4113130301")</f>
        <v>#NAME?</v>
      </c>
      <c r="R2252" s="4" t="e">
        <f ca="1">[1]!BexGetData("DP_1","00O2TNJGODT0G5Z4TTKYMMBYD","GSON4113130301")</f>
        <v>#NAME?</v>
      </c>
      <c r="S2252" s="4" t="e">
        <f ca="1">[1]!BexGetData("DP_1","00O2TNJGODT0G5Z4TTKYMMI9X","GSON4113130301")</f>
        <v>#NAME?</v>
      </c>
      <c r="T2252" s="4" t="e">
        <f ca="1">[1]!BexGetData("DP_1","00O2TNJGODT0G5Z4TTKYMMOLH","GSON4113130301")</f>
        <v>#NAME?</v>
      </c>
      <c r="U2252" s="4" t="e">
        <f ca="1">[1]!BexGetData("DP_1","00O2TNJGODT0G5Z4TTKYMMUX1","GSON4113130301")</f>
        <v>#NAME?</v>
      </c>
      <c r="V2252" s="4" t="e">
        <f ca="1">[1]!BexGetData("DP_1","00O2TNJGODT0G5Z4TTKYMN18L","GSON4113130301")</f>
        <v>#NAME?</v>
      </c>
      <c r="W2252" s="4" t="e">
        <f ca="1">[1]!BexGetData("DP_1","00O2TNJGODT0G5Z4TTKYMN7K5","GSON4113130301")</f>
        <v>#NAME?</v>
      </c>
    </row>
    <row r="2253" spans="1:23" x14ac:dyDescent="0.2">
      <c r="A2253" s="16" t="s">
        <v>1470</v>
      </c>
      <c r="B2253" s="7" t="s">
        <v>630</v>
      </c>
      <c r="C2253" s="3" t="e">
        <f ca="1">[1]!BexGetData("DP_1","003N8EMH8GTFRCSWKMPXRR8GU","GSON4113130401")</f>
        <v>#NAME?</v>
      </c>
      <c r="D2253" s="3" t="e">
        <f ca="1">[1]!BexGetData("DP_1","003N8EMH8GTFRCSWKMPXRRESE","GSON4113130401")</f>
        <v>#NAME?</v>
      </c>
      <c r="E2253" s="3" t="e">
        <f ca="1">[1]!BexGetData("DP_1","003N8EMH8GTFRCSWKMPXRRL3Y","GSON4113130401")</f>
        <v>#NAME?</v>
      </c>
      <c r="F2253" s="4" t="e">
        <f ca="1">[1]!BexGetData("DP_1","003N8EMH8GTFRCSWKMPXRRRFI","GSON4113130401")</f>
        <v>#NAME?</v>
      </c>
      <c r="G2253" s="4" t="e">
        <f ca="1">[1]!BexGetData("DP_1","003N8EMH8GTFRCSWKMPXRRXR2","GSON4113130401")</f>
        <v>#NAME?</v>
      </c>
      <c r="H2253" s="4" t="e">
        <f ca="1">[1]!BexGetData("DP_1","003N8EMH8GTFRCSWKMPXRS42M","GSON4113130401")</f>
        <v>#NAME?</v>
      </c>
      <c r="I2253" s="4" t="e">
        <f ca="1">[1]!BexGetData("DP_1","003N8EMH8GTFRCSWKMPXRSAE6","GSON4113130401")</f>
        <v>#NAME?</v>
      </c>
      <c r="J2253" s="4" t="e">
        <f ca="1">[1]!BexGetData("DP_1","003N8EMH8GTFRCSWKMPXRSGPQ","GSON4113130401")</f>
        <v>#NAME?</v>
      </c>
      <c r="K2253" s="3" t="e">
        <f ca="1">[1]!BexGetData("DP_1","003N8EMH8GTFRIVNUPY288VJH","GSON4113130401")</f>
        <v>#NAME?</v>
      </c>
      <c r="L2253" s="3" t="e">
        <f ca="1">[1]!BexGetData("DP_1","003N8EMH8GTFRIVNUPY2891V1","GSON4113130401")</f>
        <v>#NAME?</v>
      </c>
      <c r="M2253" s="3" t="e">
        <f ca="1">[1]!BexGetData("DP_1","003N8EMH8GTFRIVOG7KG9IQXA","GSON4113130401")</f>
        <v>#NAME?</v>
      </c>
      <c r="N2253" s="8" t="e">
        <f ca="1">[1]!BexGetData("DP_1","003N8EMH8GTFRIVOG7KG9IX8U","GSON4113130401")</f>
        <v>#NAME?</v>
      </c>
      <c r="O2253" s="3" t="e">
        <f ca="1">[1]!BexGetData("DP_1","003N8EMH8GTFRIVOG7KG9J3KE","GSON4113130401")</f>
        <v>#NAME?</v>
      </c>
      <c r="P2253" s="8" t="e">
        <f ca="1">[1]!BexGetData("DP_1","003N8EMH8GTFRIVOG7KG9J9VY","GSON4113130401")</f>
        <v>#NAME?</v>
      </c>
      <c r="Q2253" s="4" t="e">
        <f ca="1">[1]!BexGetData("DP_1","00O2TNJGODT0G5Z4TTKYMM5MT","GSON4113130401")</f>
        <v>#NAME?</v>
      </c>
      <c r="R2253" s="4" t="e">
        <f ca="1">[1]!BexGetData("DP_1","00O2TNJGODT0G5Z4TTKYMMBYD","GSON4113130401")</f>
        <v>#NAME?</v>
      </c>
      <c r="S2253" s="4" t="e">
        <f ca="1">[1]!BexGetData("DP_1","00O2TNJGODT0G5Z4TTKYMMI9X","GSON4113130401")</f>
        <v>#NAME?</v>
      </c>
      <c r="T2253" s="4" t="e">
        <f ca="1">[1]!BexGetData("DP_1","00O2TNJGODT0G5Z4TTKYMMOLH","GSON4113130401")</f>
        <v>#NAME?</v>
      </c>
      <c r="U2253" s="4" t="e">
        <f ca="1">[1]!BexGetData("DP_1","00O2TNJGODT0G5Z4TTKYMMUX1","GSON4113130401")</f>
        <v>#NAME?</v>
      </c>
      <c r="V2253" s="4" t="e">
        <f ca="1">[1]!BexGetData("DP_1","00O2TNJGODT0G5Z4TTKYMN18L","GSON4113130401")</f>
        <v>#NAME?</v>
      </c>
      <c r="W2253" s="4" t="e">
        <f ca="1">[1]!BexGetData("DP_1","00O2TNJGODT0G5Z4TTKYMN7K5","GSON4113130401")</f>
        <v>#NAME?</v>
      </c>
    </row>
    <row r="2254" spans="1:23" x14ac:dyDescent="0.2">
      <c r="A2254" s="15" t="s">
        <v>631</v>
      </c>
      <c r="B2254" s="7" t="s">
        <v>632</v>
      </c>
      <c r="C2254" s="3" t="e">
        <f ca="1">[1]!BexGetData("DP_1","003N8EMH8GTFRCSWKMPXRR8GU","GSON4115")</f>
        <v>#NAME?</v>
      </c>
      <c r="D2254" s="3" t="e">
        <f ca="1">[1]!BexGetData("DP_1","003N8EMH8GTFRCSWKMPXRRESE","GSON4115")</f>
        <v>#NAME?</v>
      </c>
      <c r="E2254" s="3" t="e">
        <f ca="1">[1]!BexGetData("DP_1","003N8EMH8GTFRCSWKMPXRRL3Y","GSON4115")</f>
        <v>#NAME?</v>
      </c>
      <c r="F2254" s="4" t="e">
        <f ca="1">[1]!BexGetData("DP_1","003N8EMH8GTFRCSWKMPXRRRFI","GSON4115")</f>
        <v>#NAME?</v>
      </c>
      <c r="G2254" s="4" t="e">
        <f ca="1">[1]!BexGetData("DP_1","003N8EMH8GTFRCSWKMPXRRXR2","GSON4115")</f>
        <v>#NAME?</v>
      </c>
      <c r="H2254" s="4" t="e">
        <f ca="1">[1]!BexGetData("DP_1","003N8EMH8GTFRCSWKMPXRS42M","GSON4115")</f>
        <v>#NAME?</v>
      </c>
      <c r="I2254" s="4" t="e">
        <f ca="1">[1]!BexGetData("DP_1","003N8EMH8GTFRCSWKMPXRSAE6","GSON4115")</f>
        <v>#NAME?</v>
      </c>
      <c r="J2254" s="4" t="e">
        <f ca="1">[1]!BexGetData("DP_1","003N8EMH8GTFRCSWKMPXRSGPQ","GSON4115")</f>
        <v>#NAME?</v>
      </c>
      <c r="K2254" s="3" t="e">
        <f ca="1">[1]!BexGetData("DP_1","003N8EMH8GTFRIVNUPY288VJH","GSON4115")</f>
        <v>#NAME?</v>
      </c>
      <c r="L2254" s="3" t="e">
        <f ca="1">[1]!BexGetData("DP_1","003N8EMH8GTFRIVNUPY2891V1","GSON4115")</f>
        <v>#NAME?</v>
      </c>
      <c r="M2254" s="3" t="e">
        <f ca="1">[1]!BexGetData("DP_1","003N8EMH8GTFRIVOG7KG9IQXA","GSON4115")</f>
        <v>#NAME?</v>
      </c>
      <c r="N2254" s="8" t="e">
        <f ca="1">[1]!BexGetData("DP_1","003N8EMH8GTFRIVOG7KG9IX8U","GSON4115")</f>
        <v>#NAME?</v>
      </c>
      <c r="O2254" s="3" t="e">
        <f ca="1">[1]!BexGetData("DP_1","003N8EMH8GTFRIVOG7KG9J3KE","GSON4115")</f>
        <v>#NAME?</v>
      </c>
      <c r="P2254" s="8" t="e">
        <f ca="1">[1]!BexGetData("DP_1","003N8EMH8GTFRIVOG7KG9J9VY","GSON4115")</f>
        <v>#NAME?</v>
      </c>
      <c r="Q2254" s="4" t="e">
        <f ca="1">[1]!BexGetData("DP_1","00O2TNJGODT0G5Z4TTKYMM5MT","GSON4115")</f>
        <v>#NAME?</v>
      </c>
      <c r="R2254" s="4" t="e">
        <f ca="1">[1]!BexGetData("DP_1","00O2TNJGODT0G5Z4TTKYMMBYD","GSON4115")</f>
        <v>#NAME?</v>
      </c>
      <c r="S2254" s="4" t="e">
        <f ca="1">[1]!BexGetData("DP_1","00O2TNJGODT0G5Z4TTKYMMI9X","GSON4115")</f>
        <v>#NAME?</v>
      </c>
      <c r="T2254" s="4" t="e">
        <f ca="1">[1]!BexGetData("DP_1","00O2TNJGODT0G5Z4TTKYMMOLH","GSON4115")</f>
        <v>#NAME?</v>
      </c>
      <c r="U2254" s="4" t="e">
        <f ca="1">[1]!BexGetData("DP_1","00O2TNJGODT0G5Z4TTKYMMUX1","GSON4115")</f>
        <v>#NAME?</v>
      </c>
      <c r="V2254" s="4" t="e">
        <f ca="1">[1]!BexGetData("DP_1","00O2TNJGODT0G5Z4TTKYMN18L","GSON4115")</f>
        <v>#NAME?</v>
      </c>
      <c r="W2254" s="4" t="e">
        <f ca="1">[1]!BexGetData("DP_1","00O2TNJGODT0G5Z4TTKYMN7K5","GSON4115")</f>
        <v>#NAME?</v>
      </c>
    </row>
    <row r="2255" spans="1:23" x14ac:dyDescent="0.2">
      <c r="A2255" s="16" t="s">
        <v>633</v>
      </c>
      <c r="B2255" s="7" t="s">
        <v>634</v>
      </c>
      <c r="C2255" s="3" t="e">
        <f ca="1">[1]!BexGetData("DP_1","003N8EMH8GTFRCSWKMPXRR8GU","GSON4115150101")</f>
        <v>#NAME?</v>
      </c>
      <c r="D2255" s="3" t="e">
        <f ca="1">[1]!BexGetData("DP_1","003N8EMH8GTFRCSWKMPXRRESE","GSON4115150101")</f>
        <v>#NAME?</v>
      </c>
      <c r="E2255" s="3" t="e">
        <f ca="1">[1]!BexGetData("DP_1","003N8EMH8GTFRCSWKMPXRRL3Y","GSON4115150101")</f>
        <v>#NAME?</v>
      </c>
      <c r="F2255" s="4" t="e">
        <f ca="1">[1]!BexGetData("DP_1","003N8EMH8GTFRCSWKMPXRRRFI","GSON4115150101")</f>
        <v>#NAME?</v>
      </c>
      <c r="G2255" s="4" t="e">
        <f ca="1">[1]!BexGetData("DP_1","003N8EMH8GTFRCSWKMPXRRXR2","GSON4115150101")</f>
        <v>#NAME?</v>
      </c>
      <c r="H2255" s="4" t="e">
        <f ca="1">[1]!BexGetData("DP_1","003N8EMH8GTFRCSWKMPXRS42M","GSON4115150101")</f>
        <v>#NAME?</v>
      </c>
      <c r="I2255" s="4" t="e">
        <f ca="1">[1]!BexGetData("DP_1","003N8EMH8GTFRCSWKMPXRSAE6","GSON4115150101")</f>
        <v>#NAME?</v>
      </c>
      <c r="J2255" s="4" t="e">
        <f ca="1">[1]!BexGetData("DP_1","003N8EMH8GTFRCSWKMPXRSGPQ","GSON4115150101")</f>
        <v>#NAME?</v>
      </c>
      <c r="K2255" s="3" t="e">
        <f ca="1">[1]!BexGetData("DP_1","003N8EMH8GTFRIVNUPY288VJH","GSON4115150101")</f>
        <v>#NAME?</v>
      </c>
      <c r="L2255" s="3" t="e">
        <f ca="1">[1]!BexGetData("DP_1","003N8EMH8GTFRIVNUPY2891V1","GSON4115150101")</f>
        <v>#NAME?</v>
      </c>
      <c r="M2255" s="3" t="e">
        <f ca="1">[1]!BexGetData("DP_1","003N8EMH8GTFRIVOG7KG9IQXA","GSON4115150101")</f>
        <v>#NAME?</v>
      </c>
      <c r="N2255" s="8" t="e">
        <f ca="1">[1]!BexGetData("DP_1","003N8EMH8GTFRIVOG7KG9IX8U","GSON4115150101")</f>
        <v>#NAME?</v>
      </c>
      <c r="O2255" s="3" t="e">
        <f ca="1">[1]!BexGetData("DP_1","003N8EMH8GTFRIVOG7KG9J3KE","GSON4115150101")</f>
        <v>#NAME?</v>
      </c>
      <c r="P2255" s="8" t="e">
        <f ca="1">[1]!BexGetData("DP_1","003N8EMH8GTFRIVOG7KG9J9VY","GSON4115150101")</f>
        <v>#NAME?</v>
      </c>
      <c r="Q2255" s="4" t="e">
        <f ca="1">[1]!BexGetData("DP_1","00O2TNJGODT0G5Z4TTKYMM5MT","GSON4115150101")</f>
        <v>#NAME?</v>
      </c>
      <c r="R2255" s="4" t="e">
        <f ca="1">[1]!BexGetData("DP_1","00O2TNJGODT0G5Z4TTKYMMBYD","GSON4115150101")</f>
        <v>#NAME?</v>
      </c>
      <c r="S2255" s="4" t="e">
        <f ca="1">[1]!BexGetData("DP_1","00O2TNJGODT0G5Z4TTKYMMI9X","GSON4115150101")</f>
        <v>#NAME?</v>
      </c>
      <c r="T2255" s="4" t="e">
        <f ca="1">[1]!BexGetData("DP_1","00O2TNJGODT0G5Z4TTKYMMOLH","GSON4115150101")</f>
        <v>#NAME?</v>
      </c>
      <c r="U2255" s="4" t="e">
        <f ca="1">[1]!BexGetData("DP_1","00O2TNJGODT0G5Z4TTKYMMUX1","GSON4115150101")</f>
        <v>#NAME?</v>
      </c>
      <c r="V2255" s="4" t="e">
        <f ca="1">[1]!BexGetData("DP_1","00O2TNJGODT0G5Z4TTKYMN18L","GSON4115150101")</f>
        <v>#NAME?</v>
      </c>
      <c r="W2255" s="4" t="e">
        <f ca="1">[1]!BexGetData("DP_1","00O2TNJGODT0G5Z4TTKYMN7K5","GSON4115150101")</f>
        <v>#NAME?</v>
      </c>
    </row>
    <row r="2256" spans="1:23" x14ac:dyDescent="0.2">
      <c r="A2256" s="15" t="s">
        <v>519</v>
      </c>
      <c r="B2256" s="7" t="s">
        <v>520</v>
      </c>
      <c r="C2256" s="3" t="e">
        <f ca="1">[1]!BexGetData("DP_1","003N8EMH8GTFRCSWKMPXRR8GU","GSON4117")</f>
        <v>#NAME?</v>
      </c>
      <c r="D2256" s="3" t="e">
        <f ca="1">[1]!BexGetData("DP_1","003N8EMH8GTFRCSWKMPXRRESE","GSON4117")</f>
        <v>#NAME?</v>
      </c>
      <c r="E2256" s="3" t="e">
        <f ca="1">[1]!BexGetData("DP_1","003N8EMH8GTFRCSWKMPXRRL3Y","GSON4117")</f>
        <v>#NAME?</v>
      </c>
      <c r="F2256" s="4" t="e">
        <f ca="1">[1]!BexGetData("DP_1","003N8EMH8GTFRCSWKMPXRRRFI","GSON4117")</f>
        <v>#NAME?</v>
      </c>
      <c r="G2256" s="4" t="e">
        <f ca="1">[1]!BexGetData("DP_1","003N8EMH8GTFRCSWKMPXRRXR2","GSON4117")</f>
        <v>#NAME?</v>
      </c>
      <c r="H2256" s="4" t="e">
        <f ca="1">[1]!BexGetData("DP_1","003N8EMH8GTFRCSWKMPXRS42M","GSON4117")</f>
        <v>#NAME?</v>
      </c>
      <c r="I2256" s="4" t="e">
        <f ca="1">[1]!BexGetData("DP_1","003N8EMH8GTFRCSWKMPXRSAE6","GSON4117")</f>
        <v>#NAME?</v>
      </c>
      <c r="J2256" s="4" t="e">
        <f ca="1">[1]!BexGetData("DP_1","003N8EMH8GTFRCSWKMPXRSGPQ","GSON4117")</f>
        <v>#NAME?</v>
      </c>
      <c r="K2256" s="3" t="e">
        <f ca="1">[1]!BexGetData("DP_1","003N8EMH8GTFRIVNUPY288VJH","GSON4117")</f>
        <v>#NAME?</v>
      </c>
      <c r="L2256" s="3" t="e">
        <f ca="1">[1]!BexGetData("DP_1","003N8EMH8GTFRIVNUPY2891V1","GSON4117")</f>
        <v>#NAME?</v>
      </c>
      <c r="M2256" s="3" t="e">
        <f ca="1">[1]!BexGetData("DP_1","003N8EMH8GTFRIVOG7KG9IQXA","GSON4117")</f>
        <v>#NAME?</v>
      </c>
      <c r="N2256" s="8" t="e">
        <f ca="1">[1]!BexGetData("DP_1","003N8EMH8GTFRIVOG7KG9IX8U","GSON4117")</f>
        <v>#NAME?</v>
      </c>
      <c r="O2256" s="3" t="e">
        <f ca="1">[1]!BexGetData("DP_1","003N8EMH8GTFRIVOG7KG9J3KE","GSON4117")</f>
        <v>#NAME?</v>
      </c>
      <c r="P2256" s="8" t="e">
        <f ca="1">[1]!BexGetData("DP_1","003N8EMH8GTFRIVOG7KG9J9VY","GSON4117")</f>
        <v>#NAME?</v>
      </c>
      <c r="Q2256" s="4" t="e">
        <f ca="1">[1]!BexGetData("DP_1","00O2TNJGODT0G5Z4TTKYMM5MT","GSON4117")</f>
        <v>#NAME?</v>
      </c>
      <c r="R2256" s="4" t="e">
        <f ca="1">[1]!BexGetData("DP_1","00O2TNJGODT0G5Z4TTKYMMBYD","GSON4117")</f>
        <v>#NAME?</v>
      </c>
      <c r="S2256" s="4" t="e">
        <f ca="1">[1]!BexGetData("DP_1","00O2TNJGODT0G5Z4TTKYMMI9X","GSON4117")</f>
        <v>#NAME?</v>
      </c>
      <c r="T2256" s="4" t="e">
        <f ca="1">[1]!BexGetData("DP_1","00O2TNJGODT0G5Z4TTKYMMOLH","GSON4117")</f>
        <v>#NAME?</v>
      </c>
      <c r="U2256" s="4" t="e">
        <f ca="1">[1]!BexGetData("DP_1","00O2TNJGODT0G5Z4TTKYMMUX1","GSON4117")</f>
        <v>#NAME?</v>
      </c>
      <c r="V2256" s="4" t="e">
        <f ca="1">[1]!BexGetData("DP_1","00O2TNJGODT0G5Z4TTKYMN18L","GSON4117")</f>
        <v>#NAME?</v>
      </c>
      <c r="W2256" s="4" t="e">
        <f ca="1">[1]!BexGetData("DP_1","00O2TNJGODT0G5Z4TTKYMN7K5","GSON4117")</f>
        <v>#NAME?</v>
      </c>
    </row>
    <row r="2257" spans="1:23" x14ac:dyDescent="0.2">
      <c r="A2257" s="16" t="s">
        <v>521</v>
      </c>
      <c r="B2257" s="7" t="s">
        <v>522</v>
      </c>
      <c r="C2257" s="3" t="e">
        <f ca="1">[1]!BexGetData("DP_1","003N8EMH8GTFRCSWKMPXRR8GU","GSON4117170101")</f>
        <v>#NAME?</v>
      </c>
      <c r="D2257" s="3" t="e">
        <f ca="1">[1]!BexGetData("DP_1","003N8EMH8GTFRCSWKMPXRRESE","GSON4117170101")</f>
        <v>#NAME?</v>
      </c>
      <c r="E2257" s="3" t="e">
        <f ca="1">[1]!BexGetData("DP_1","003N8EMH8GTFRCSWKMPXRRL3Y","GSON4117170101")</f>
        <v>#NAME?</v>
      </c>
      <c r="F2257" s="4" t="e">
        <f ca="1">[1]!BexGetData("DP_1","003N8EMH8GTFRCSWKMPXRRRFI","GSON4117170101")</f>
        <v>#NAME?</v>
      </c>
      <c r="G2257" s="4" t="e">
        <f ca="1">[1]!BexGetData("DP_1","003N8EMH8GTFRCSWKMPXRRXR2","GSON4117170101")</f>
        <v>#NAME?</v>
      </c>
      <c r="H2257" s="4" t="e">
        <f ca="1">[1]!BexGetData("DP_1","003N8EMH8GTFRCSWKMPXRS42M","GSON4117170101")</f>
        <v>#NAME?</v>
      </c>
      <c r="I2257" s="4" t="e">
        <f ca="1">[1]!BexGetData("DP_1","003N8EMH8GTFRCSWKMPXRSAE6","GSON4117170101")</f>
        <v>#NAME?</v>
      </c>
      <c r="J2257" s="4" t="e">
        <f ca="1">[1]!BexGetData("DP_1","003N8EMH8GTFRCSWKMPXRSGPQ","GSON4117170101")</f>
        <v>#NAME?</v>
      </c>
      <c r="K2257" s="3" t="e">
        <f ca="1">[1]!BexGetData("DP_1","003N8EMH8GTFRIVNUPY288VJH","GSON4117170101")</f>
        <v>#NAME?</v>
      </c>
      <c r="L2257" s="3" t="e">
        <f ca="1">[1]!BexGetData("DP_1","003N8EMH8GTFRIVNUPY2891V1","GSON4117170101")</f>
        <v>#NAME?</v>
      </c>
      <c r="M2257" s="3" t="e">
        <f ca="1">[1]!BexGetData("DP_1","003N8EMH8GTFRIVOG7KG9IQXA","GSON4117170101")</f>
        <v>#NAME?</v>
      </c>
      <c r="N2257" s="8" t="e">
        <f ca="1">[1]!BexGetData("DP_1","003N8EMH8GTFRIVOG7KG9IX8U","GSON4117170101")</f>
        <v>#NAME?</v>
      </c>
      <c r="O2257" s="3" t="e">
        <f ca="1">[1]!BexGetData("DP_1","003N8EMH8GTFRIVOG7KG9J3KE","GSON4117170101")</f>
        <v>#NAME?</v>
      </c>
      <c r="P2257" s="8" t="e">
        <f ca="1">[1]!BexGetData("DP_1","003N8EMH8GTFRIVOG7KG9J9VY","GSON4117170101")</f>
        <v>#NAME?</v>
      </c>
      <c r="Q2257" s="4" t="e">
        <f ca="1">[1]!BexGetData("DP_1","00O2TNJGODT0G5Z4TTKYMM5MT","GSON4117170101")</f>
        <v>#NAME?</v>
      </c>
      <c r="R2257" s="4" t="e">
        <f ca="1">[1]!BexGetData("DP_1","00O2TNJGODT0G5Z4TTKYMMBYD","GSON4117170101")</f>
        <v>#NAME?</v>
      </c>
      <c r="S2257" s="4" t="e">
        <f ca="1">[1]!BexGetData("DP_1","00O2TNJGODT0G5Z4TTKYMMI9X","GSON4117170101")</f>
        <v>#NAME?</v>
      </c>
      <c r="T2257" s="4" t="e">
        <f ca="1">[1]!BexGetData("DP_1","00O2TNJGODT0G5Z4TTKYMMOLH","GSON4117170101")</f>
        <v>#NAME?</v>
      </c>
      <c r="U2257" s="4" t="e">
        <f ca="1">[1]!BexGetData("DP_1","00O2TNJGODT0G5Z4TTKYMMUX1","GSON4117170101")</f>
        <v>#NAME?</v>
      </c>
      <c r="V2257" s="4" t="e">
        <f ca="1">[1]!BexGetData("DP_1","00O2TNJGODT0G5Z4TTKYMN18L","GSON4117170101")</f>
        <v>#NAME?</v>
      </c>
      <c r="W2257" s="4" t="e">
        <f ca="1">[1]!BexGetData("DP_1","00O2TNJGODT0G5Z4TTKYMN7K5","GSON4117170101")</f>
        <v>#NAME?</v>
      </c>
    </row>
    <row r="2258" spans="1:23" x14ac:dyDescent="0.2">
      <c r="A2258" s="16" t="s">
        <v>1471</v>
      </c>
      <c r="B2258" s="7" t="s">
        <v>1472</v>
      </c>
      <c r="C2258" s="3" t="e">
        <f ca="1">[1]!BexGetData("DP_1","003N8EMH8GTFRCSWKMPXRR8GU","GSON4117170102")</f>
        <v>#NAME?</v>
      </c>
      <c r="D2258" s="3" t="e">
        <f ca="1">[1]!BexGetData("DP_1","003N8EMH8GTFRCSWKMPXRRESE","GSON4117170102")</f>
        <v>#NAME?</v>
      </c>
      <c r="E2258" s="3" t="e">
        <f ca="1">[1]!BexGetData("DP_1","003N8EMH8GTFRCSWKMPXRRL3Y","GSON4117170102")</f>
        <v>#NAME?</v>
      </c>
      <c r="F2258" s="4" t="e">
        <f ca="1">[1]!BexGetData("DP_1","003N8EMH8GTFRCSWKMPXRRRFI","GSON4117170102")</f>
        <v>#NAME?</v>
      </c>
      <c r="G2258" s="4" t="e">
        <f ca="1">[1]!BexGetData("DP_1","003N8EMH8GTFRCSWKMPXRRXR2","GSON4117170102")</f>
        <v>#NAME?</v>
      </c>
      <c r="H2258" s="4" t="e">
        <f ca="1">[1]!BexGetData("DP_1","003N8EMH8GTFRCSWKMPXRS42M","GSON4117170102")</f>
        <v>#NAME?</v>
      </c>
      <c r="I2258" s="4" t="e">
        <f ca="1">[1]!BexGetData("DP_1","003N8EMH8GTFRCSWKMPXRSAE6","GSON4117170102")</f>
        <v>#NAME?</v>
      </c>
      <c r="J2258" s="4" t="e">
        <f ca="1">[1]!BexGetData("DP_1","003N8EMH8GTFRCSWKMPXRSGPQ","GSON4117170102")</f>
        <v>#NAME?</v>
      </c>
      <c r="K2258" s="3" t="e">
        <f ca="1">[1]!BexGetData("DP_1","003N8EMH8GTFRIVNUPY288VJH","GSON4117170102")</f>
        <v>#NAME?</v>
      </c>
      <c r="L2258" s="3" t="e">
        <f ca="1">[1]!BexGetData("DP_1","003N8EMH8GTFRIVNUPY2891V1","GSON4117170102")</f>
        <v>#NAME?</v>
      </c>
      <c r="M2258" s="3" t="e">
        <f ca="1">[1]!BexGetData("DP_1","003N8EMH8GTFRIVOG7KG9IQXA","GSON4117170102")</f>
        <v>#NAME?</v>
      </c>
      <c r="N2258" s="8" t="e">
        <f ca="1">[1]!BexGetData("DP_1","003N8EMH8GTFRIVOG7KG9IX8U","GSON4117170102")</f>
        <v>#NAME?</v>
      </c>
      <c r="O2258" s="3" t="e">
        <f ca="1">[1]!BexGetData("DP_1","003N8EMH8GTFRIVOG7KG9J3KE","GSON4117170102")</f>
        <v>#NAME?</v>
      </c>
      <c r="P2258" s="8" t="e">
        <f ca="1">[1]!BexGetData("DP_1","003N8EMH8GTFRIVOG7KG9J9VY","GSON4117170102")</f>
        <v>#NAME?</v>
      </c>
      <c r="Q2258" s="4" t="e">
        <f ca="1">[1]!BexGetData("DP_1","00O2TNJGODT0G5Z4TTKYMM5MT","GSON4117170102")</f>
        <v>#NAME?</v>
      </c>
      <c r="R2258" s="4" t="e">
        <f ca="1">[1]!BexGetData("DP_1","00O2TNJGODT0G5Z4TTKYMMBYD","GSON4117170102")</f>
        <v>#NAME?</v>
      </c>
      <c r="S2258" s="4" t="e">
        <f ca="1">[1]!BexGetData("DP_1","00O2TNJGODT0G5Z4TTKYMMI9X","GSON4117170102")</f>
        <v>#NAME?</v>
      </c>
      <c r="T2258" s="4" t="e">
        <f ca="1">[1]!BexGetData("DP_1","00O2TNJGODT0G5Z4TTKYMMOLH","GSON4117170102")</f>
        <v>#NAME?</v>
      </c>
      <c r="U2258" s="4" t="e">
        <f ca="1">[1]!BexGetData("DP_1","00O2TNJGODT0G5Z4TTKYMMUX1","GSON4117170102")</f>
        <v>#NAME?</v>
      </c>
      <c r="V2258" s="4" t="e">
        <f ca="1">[1]!BexGetData("DP_1","00O2TNJGODT0G5Z4TTKYMN18L","GSON4117170102")</f>
        <v>#NAME?</v>
      </c>
      <c r="W2258" s="4" t="e">
        <f ca="1">[1]!BexGetData("DP_1","00O2TNJGODT0G5Z4TTKYMN7K5","GSON4117170102")</f>
        <v>#NAME?</v>
      </c>
    </row>
    <row r="2259" spans="1:23" x14ac:dyDescent="0.2">
      <c r="A2259" s="16" t="s">
        <v>1473</v>
      </c>
      <c r="B2259" s="7" t="s">
        <v>1474</v>
      </c>
      <c r="C2259" s="3" t="e">
        <f ca="1">[1]!BexGetData("DP_1","003N8EMH8GTFRCSWKMPXRR8GU","GSON4117170103")</f>
        <v>#NAME?</v>
      </c>
      <c r="D2259" s="3" t="e">
        <f ca="1">[1]!BexGetData("DP_1","003N8EMH8GTFRCSWKMPXRRESE","GSON4117170103")</f>
        <v>#NAME?</v>
      </c>
      <c r="E2259" s="3" t="e">
        <f ca="1">[1]!BexGetData("DP_1","003N8EMH8GTFRCSWKMPXRRL3Y","GSON4117170103")</f>
        <v>#NAME?</v>
      </c>
      <c r="F2259" s="4" t="e">
        <f ca="1">[1]!BexGetData("DP_1","003N8EMH8GTFRCSWKMPXRRRFI","GSON4117170103")</f>
        <v>#NAME?</v>
      </c>
      <c r="G2259" s="4" t="e">
        <f ca="1">[1]!BexGetData("DP_1","003N8EMH8GTFRCSWKMPXRRXR2","GSON4117170103")</f>
        <v>#NAME?</v>
      </c>
      <c r="H2259" s="4" t="e">
        <f ca="1">[1]!BexGetData("DP_1","003N8EMH8GTFRCSWKMPXRS42M","GSON4117170103")</f>
        <v>#NAME?</v>
      </c>
      <c r="I2259" s="4" t="e">
        <f ca="1">[1]!BexGetData("DP_1","003N8EMH8GTFRCSWKMPXRSAE6","GSON4117170103")</f>
        <v>#NAME?</v>
      </c>
      <c r="J2259" s="4" t="e">
        <f ca="1">[1]!BexGetData("DP_1","003N8EMH8GTFRCSWKMPXRSGPQ","GSON4117170103")</f>
        <v>#NAME?</v>
      </c>
      <c r="K2259" s="3" t="e">
        <f ca="1">[1]!BexGetData("DP_1","003N8EMH8GTFRIVNUPY288VJH","GSON4117170103")</f>
        <v>#NAME?</v>
      </c>
      <c r="L2259" s="3" t="e">
        <f ca="1">[1]!BexGetData("DP_1","003N8EMH8GTFRIVNUPY2891V1","GSON4117170103")</f>
        <v>#NAME?</v>
      </c>
      <c r="M2259" s="3" t="e">
        <f ca="1">[1]!BexGetData("DP_1","003N8EMH8GTFRIVOG7KG9IQXA","GSON4117170103")</f>
        <v>#NAME?</v>
      </c>
      <c r="N2259" s="8" t="e">
        <f ca="1">[1]!BexGetData("DP_1","003N8EMH8GTFRIVOG7KG9IX8U","GSON4117170103")</f>
        <v>#NAME?</v>
      </c>
      <c r="O2259" s="3" t="e">
        <f ca="1">[1]!BexGetData("DP_1","003N8EMH8GTFRIVOG7KG9J3KE","GSON4117170103")</f>
        <v>#NAME?</v>
      </c>
      <c r="P2259" s="8" t="e">
        <f ca="1">[1]!BexGetData("DP_1","003N8EMH8GTFRIVOG7KG9J9VY","GSON4117170103")</f>
        <v>#NAME?</v>
      </c>
      <c r="Q2259" s="4" t="e">
        <f ca="1">[1]!BexGetData("DP_1","00O2TNJGODT0G5Z4TTKYMM5MT","GSON4117170103")</f>
        <v>#NAME?</v>
      </c>
      <c r="R2259" s="4" t="e">
        <f ca="1">[1]!BexGetData("DP_1","00O2TNJGODT0G5Z4TTKYMMBYD","GSON4117170103")</f>
        <v>#NAME?</v>
      </c>
      <c r="S2259" s="4" t="e">
        <f ca="1">[1]!BexGetData("DP_1","00O2TNJGODT0G5Z4TTKYMMI9X","GSON4117170103")</f>
        <v>#NAME?</v>
      </c>
      <c r="T2259" s="4" t="e">
        <f ca="1">[1]!BexGetData("DP_1","00O2TNJGODT0G5Z4TTKYMMOLH","GSON4117170103")</f>
        <v>#NAME?</v>
      </c>
      <c r="U2259" s="4" t="e">
        <f ca="1">[1]!BexGetData("DP_1","00O2TNJGODT0G5Z4TTKYMMUX1","GSON4117170103")</f>
        <v>#NAME?</v>
      </c>
      <c r="V2259" s="4" t="e">
        <f ca="1">[1]!BexGetData("DP_1","00O2TNJGODT0G5Z4TTKYMN18L","GSON4117170103")</f>
        <v>#NAME?</v>
      </c>
      <c r="W2259" s="4" t="e">
        <f ca="1">[1]!BexGetData("DP_1","00O2TNJGODT0G5Z4TTKYMN7K5","GSON4117170103")</f>
        <v>#NAME?</v>
      </c>
    </row>
    <row r="2260" spans="1:23" x14ac:dyDescent="0.2">
      <c r="A2260" s="15" t="s">
        <v>523</v>
      </c>
      <c r="B2260" s="7" t="s">
        <v>524</v>
      </c>
      <c r="C2260" s="3" t="e">
        <f ca="1">[1]!BexGetData("DP_1","003N8EMH8GTFRCSWKMPXRR8GU","GSON4119")</f>
        <v>#NAME?</v>
      </c>
      <c r="D2260" s="3" t="e">
        <f ca="1">[1]!BexGetData("DP_1","003N8EMH8GTFRCSWKMPXRRESE","GSON4119")</f>
        <v>#NAME?</v>
      </c>
      <c r="E2260" s="3" t="e">
        <f ca="1">[1]!BexGetData("DP_1","003N8EMH8GTFRCSWKMPXRRL3Y","GSON4119")</f>
        <v>#NAME?</v>
      </c>
      <c r="F2260" s="4" t="e">
        <f ca="1">[1]!BexGetData("DP_1","003N8EMH8GTFRCSWKMPXRRRFI","GSON4119")</f>
        <v>#NAME?</v>
      </c>
      <c r="G2260" s="4" t="e">
        <f ca="1">[1]!BexGetData("DP_1","003N8EMH8GTFRCSWKMPXRRXR2","GSON4119")</f>
        <v>#NAME?</v>
      </c>
      <c r="H2260" s="4" t="e">
        <f ca="1">[1]!BexGetData("DP_1","003N8EMH8GTFRCSWKMPXRS42M","GSON4119")</f>
        <v>#NAME?</v>
      </c>
      <c r="I2260" s="4" t="e">
        <f ca="1">[1]!BexGetData("DP_1","003N8EMH8GTFRCSWKMPXRSAE6","GSON4119")</f>
        <v>#NAME?</v>
      </c>
      <c r="J2260" s="4" t="e">
        <f ca="1">[1]!BexGetData("DP_1","003N8EMH8GTFRCSWKMPXRSGPQ","GSON4119")</f>
        <v>#NAME?</v>
      </c>
      <c r="K2260" s="3" t="e">
        <f ca="1">[1]!BexGetData("DP_1","003N8EMH8GTFRIVNUPY288VJH","GSON4119")</f>
        <v>#NAME?</v>
      </c>
      <c r="L2260" s="3" t="e">
        <f ca="1">[1]!BexGetData("DP_1","003N8EMH8GTFRIVNUPY2891V1","GSON4119")</f>
        <v>#NAME?</v>
      </c>
      <c r="M2260" s="3" t="e">
        <f ca="1">[1]!BexGetData("DP_1","003N8EMH8GTFRIVOG7KG9IQXA","GSON4119")</f>
        <v>#NAME?</v>
      </c>
      <c r="N2260" s="8" t="e">
        <f ca="1">[1]!BexGetData("DP_1","003N8EMH8GTFRIVOG7KG9IX8U","GSON4119")</f>
        <v>#NAME?</v>
      </c>
      <c r="O2260" s="3" t="e">
        <f ca="1">[1]!BexGetData("DP_1","003N8EMH8GTFRIVOG7KG9J3KE","GSON4119")</f>
        <v>#NAME?</v>
      </c>
      <c r="P2260" s="8" t="e">
        <f ca="1">[1]!BexGetData("DP_1","003N8EMH8GTFRIVOG7KG9J9VY","GSON4119")</f>
        <v>#NAME?</v>
      </c>
      <c r="Q2260" s="4" t="e">
        <f ca="1">[1]!BexGetData("DP_1","00O2TNJGODT0G5Z4TTKYMM5MT","GSON4119")</f>
        <v>#NAME?</v>
      </c>
      <c r="R2260" s="4" t="e">
        <f ca="1">[1]!BexGetData("DP_1","00O2TNJGODT0G5Z4TTKYMMBYD","GSON4119")</f>
        <v>#NAME?</v>
      </c>
      <c r="S2260" s="4" t="e">
        <f ca="1">[1]!BexGetData("DP_1","00O2TNJGODT0G5Z4TTKYMMI9X","GSON4119")</f>
        <v>#NAME?</v>
      </c>
      <c r="T2260" s="4" t="e">
        <f ca="1">[1]!BexGetData("DP_1","00O2TNJGODT0G5Z4TTKYMMOLH","GSON4119")</f>
        <v>#NAME?</v>
      </c>
      <c r="U2260" s="4" t="e">
        <f ca="1">[1]!BexGetData("DP_1","00O2TNJGODT0G5Z4TTKYMMUX1","GSON4119")</f>
        <v>#NAME?</v>
      </c>
      <c r="V2260" s="4" t="e">
        <f ca="1">[1]!BexGetData("DP_1","00O2TNJGODT0G5Z4TTKYMN18L","GSON4119")</f>
        <v>#NAME?</v>
      </c>
      <c r="W2260" s="4" t="e">
        <f ca="1">[1]!BexGetData("DP_1","00O2TNJGODT0G5Z4TTKYMN7K5","GSON4119")</f>
        <v>#NAME?</v>
      </c>
    </row>
    <row r="2261" spans="1:23" x14ac:dyDescent="0.2">
      <c r="A2261" s="16" t="s">
        <v>1475</v>
      </c>
      <c r="B2261" s="7" t="s">
        <v>525</v>
      </c>
      <c r="C2261" s="3" t="e">
        <f ca="1">[1]!BexGetData("DP_1","003N8EMH8GTFRCSWKMPXRR8GU","GSON4119180101")</f>
        <v>#NAME?</v>
      </c>
      <c r="D2261" s="3" t="e">
        <f ca="1">[1]!BexGetData("DP_1","003N8EMH8GTFRCSWKMPXRRESE","GSON4119180101")</f>
        <v>#NAME?</v>
      </c>
      <c r="E2261" s="3" t="e">
        <f ca="1">[1]!BexGetData("DP_1","003N8EMH8GTFRCSWKMPXRRL3Y","GSON4119180101")</f>
        <v>#NAME?</v>
      </c>
      <c r="F2261" s="4" t="e">
        <f ca="1">[1]!BexGetData("DP_1","003N8EMH8GTFRCSWKMPXRRRFI","GSON4119180101")</f>
        <v>#NAME?</v>
      </c>
      <c r="G2261" s="4" t="e">
        <f ca="1">[1]!BexGetData("DP_1","003N8EMH8GTFRCSWKMPXRRXR2","GSON4119180101")</f>
        <v>#NAME?</v>
      </c>
      <c r="H2261" s="4" t="e">
        <f ca="1">[1]!BexGetData("DP_1","003N8EMH8GTFRCSWKMPXRS42M","GSON4119180101")</f>
        <v>#NAME?</v>
      </c>
      <c r="I2261" s="4" t="e">
        <f ca="1">[1]!BexGetData("DP_1","003N8EMH8GTFRCSWKMPXRSAE6","GSON4119180101")</f>
        <v>#NAME?</v>
      </c>
      <c r="J2261" s="4" t="e">
        <f ca="1">[1]!BexGetData("DP_1","003N8EMH8GTFRCSWKMPXRSGPQ","GSON4119180101")</f>
        <v>#NAME?</v>
      </c>
      <c r="K2261" s="3" t="e">
        <f ca="1">[1]!BexGetData("DP_1","003N8EMH8GTFRIVNUPY288VJH","GSON4119180101")</f>
        <v>#NAME?</v>
      </c>
      <c r="L2261" s="3" t="e">
        <f ca="1">[1]!BexGetData("DP_1","003N8EMH8GTFRIVNUPY2891V1","GSON4119180101")</f>
        <v>#NAME?</v>
      </c>
      <c r="M2261" s="3" t="e">
        <f ca="1">[1]!BexGetData("DP_1","003N8EMH8GTFRIVOG7KG9IQXA","GSON4119180101")</f>
        <v>#NAME?</v>
      </c>
      <c r="N2261" s="8" t="e">
        <f ca="1">[1]!BexGetData("DP_1","003N8EMH8GTFRIVOG7KG9IX8U","GSON4119180101")</f>
        <v>#NAME?</v>
      </c>
      <c r="O2261" s="3" t="e">
        <f ca="1">[1]!BexGetData("DP_1","003N8EMH8GTFRIVOG7KG9J3KE","GSON4119180101")</f>
        <v>#NAME?</v>
      </c>
      <c r="P2261" s="8" t="e">
        <f ca="1">[1]!BexGetData("DP_1","003N8EMH8GTFRIVOG7KG9J9VY","GSON4119180101")</f>
        <v>#NAME?</v>
      </c>
      <c r="Q2261" s="4" t="e">
        <f ca="1">[1]!BexGetData("DP_1","00O2TNJGODT0G5Z4TTKYMM5MT","GSON4119180101")</f>
        <v>#NAME?</v>
      </c>
      <c r="R2261" s="4" t="e">
        <f ca="1">[1]!BexGetData("DP_1","00O2TNJGODT0G5Z4TTKYMMBYD","GSON4119180101")</f>
        <v>#NAME?</v>
      </c>
      <c r="S2261" s="4" t="e">
        <f ca="1">[1]!BexGetData("DP_1","00O2TNJGODT0G5Z4TTKYMMI9X","GSON4119180101")</f>
        <v>#NAME?</v>
      </c>
      <c r="T2261" s="4" t="e">
        <f ca="1">[1]!BexGetData("DP_1","00O2TNJGODT0G5Z4TTKYMMOLH","GSON4119180101")</f>
        <v>#NAME?</v>
      </c>
      <c r="U2261" s="4" t="e">
        <f ca="1">[1]!BexGetData("DP_1","00O2TNJGODT0G5Z4TTKYMMUX1","GSON4119180101")</f>
        <v>#NAME?</v>
      </c>
      <c r="V2261" s="4" t="e">
        <f ca="1">[1]!BexGetData("DP_1","00O2TNJGODT0G5Z4TTKYMN18L","GSON4119180101")</f>
        <v>#NAME?</v>
      </c>
      <c r="W2261" s="4" t="e">
        <f ca="1">[1]!BexGetData("DP_1","00O2TNJGODT0G5Z4TTKYMN7K5","GSON4119180101")</f>
        <v>#NAME?</v>
      </c>
    </row>
    <row r="2262" spans="1:23" x14ac:dyDescent="0.2">
      <c r="A2262" s="16" t="s">
        <v>1476</v>
      </c>
      <c r="B2262" s="7" t="s">
        <v>526</v>
      </c>
      <c r="C2262" s="3" t="e">
        <f ca="1">[1]!BexGetData("DP_1","003N8EMH8GTFRCSWKMPXRR8GU","GSON4119180201")</f>
        <v>#NAME?</v>
      </c>
      <c r="D2262" s="3" t="e">
        <f ca="1">[1]!BexGetData("DP_1","003N8EMH8GTFRCSWKMPXRRESE","GSON4119180201")</f>
        <v>#NAME?</v>
      </c>
      <c r="E2262" s="3" t="e">
        <f ca="1">[1]!BexGetData("DP_1","003N8EMH8GTFRCSWKMPXRRL3Y","GSON4119180201")</f>
        <v>#NAME?</v>
      </c>
      <c r="F2262" s="4" t="e">
        <f ca="1">[1]!BexGetData("DP_1","003N8EMH8GTFRCSWKMPXRRRFI","GSON4119180201")</f>
        <v>#NAME?</v>
      </c>
      <c r="G2262" s="4" t="e">
        <f ca="1">[1]!BexGetData("DP_1","003N8EMH8GTFRCSWKMPXRRXR2","GSON4119180201")</f>
        <v>#NAME?</v>
      </c>
      <c r="H2262" s="4" t="e">
        <f ca="1">[1]!BexGetData("DP_1","003N8EMH8GTFRCSWKMPXRS42M","GSON4119180201")</f>
        <v>#NAME?</v>
      </c>
      <c r="I2262" s="4" t="e">
        <f ca="1">[1]!BexGetData("DP_1","003N8EMH8GTFRCSWKMPXRSAE6","GSON4119180201")</f>
        <v>#NAME?</v>
      </c>
      <c r="J2262" s="4" t="e">
        <f ca="1">[1]!BexGetData("DP_1","003N8EMH8GTFRCSWKMPXRSGPQ","GSON4119180201")</f>
        <v>#NAME?</v>
      </c>
      <c r="K2262" s="3" t="e">
        <f ca="1">[1]!BexGetData("DP_1","003N8EMH8GTFRIVNUPY288VJH","GSON4119180201")</f>
        <v>#NAME?</v>
      </c>
      <c r="L2262" s="3" t="e">
        <f ca="1">[1]!BexGetData("DP_1","003N8EMH8GTFRIVNUPY2891V1","GSON4119180201")</f>
        <v>#NAME?</v>
      </c>
      <c r="M2262" s="3" t="e">
        <f ca="1">[1]!BexGetData("DP_1","003N8EMH8GTFRIVOG7KG9IQXA","GSON4119180201")</f>
        <v>#NAME?</v>
      </c>
      <c r="N2262" s="8" t="e">
        <f ca="1">[1]!BexGetData("DP_1","003N8EMH8GTFRIVOG7KG9IX8U","GSON4119180201")</f>
        <v>#NAME?</v>
      </c>
      <c r="O2262" s="3" t="e">
        <f ca="1">[1]!BexGetData("DP_1","003N8EMH8GTFRIVOG7KG9J3KE","GSON4119180201")</f>
        <v>#NAME?</v>
      </c>
      <c r="P2262" s="8" t="e">
        <f ca="1">[1]!BexGetData("DP_1","003N8EMH8GTFRIVOG7KG9J9VY","GSON4119180201")</f>
        <v>#NAME?</v>
      </c>
      <c r="Q2262" s="4" t="e">
        <f ca="1">[1]!BexGetData("DP_1","00O2TNJGODT0G5Z4TTKYMM5MT","GSON4119180201")</f>
        <v>#NAME?</v>
      </c>
      <c r="R2262" s="4" t="e">
        <f ca="1">[1]!BexGetData("DP_1","00O2TNJGODT0G5Z4TTKYMMBYD","GSON4119180201")</f>
        <v>#NAME?</v>
      </c>
      <c r="S2262" s="4" t="e">
        <f ca="1">[1]!BexGetData("DP_1","00O2TNJGODT0G5Z4TTKYMMI9X","GSON4119180201")</f>
        <v>#NAME?</v>
      </c>
      <c r="T2262" s="4" t="e">
        <f ca="1">[1]!BexGetData("DP_1","00O2TNJGODT0G5Z4TTKYMMOLH","GSON4119180201")</f>
        <v>#NAME?</v>
      </c>
      <c r="U2262" s="4" t="e">
        <f ca="1">[1]!BexGetData("DP_1","00O2TNJGODT0G5Z4TTKYMMUX1","GSON4119180201")</f>
        <v>#NAME?</v>
      </c>
      <c r="V2262" s="4" t="e">
        <f ca="1">[1]!BexGetData("DP_1","00O2TNJGODT0G5Z4TTKYMN18L","GSON4119180201")</f>
        <v>#NAME?</v>
      </c>
      <c r="W2262" s="4" t="e">
        <f ca="1">[1]!BexGetData("DP_1","00O2TNJGODT0G5Z4TTKYMN7K5","GSON4119180201")</f>
        <v>#NAME?</v>
      </c>
    </row>
    <row r="2263" spans="1:23" x14ac:dyDescent="0.2">
      <c r="A2263" s="16" t="s">
        <v>1477</v>
      </c>
      <c r="B2263" s="7" t="s">
        <v>527</v>
      </c>
      <c r="C2263" s="3" t="e">
        <f ca="1">[1]!BexGetData("DP_1","003N8EMH8GTFRCSWKMPXRR8GU","GSON4119180301")</f>
        <v>#NAME?</v>
      </c>
      <c r="D2263" s="3" t="e">
        <f ca="1">[1]!BexGetData("DP_1","003N8EMH8GTFRCSWKMPXRRESE","GSON4119180301")</f>
        <v>#NAME?</v>
      </c>
      <c r="E2263" s="3" t="e">
        <f ca="1">[1]!BexGetData("DP_1","003N8EMH8GTFRCSWKMPXRRL3Y","GSON4119180301")</f>
        <v>#NAME?</v>
      </c>
      <c r="F2263" s="4" t="e">
        <f ca="1">[1]!BexGetData("DP_1","003N8EMH8GTFRCSWKMPXRRRFI","GSON4119180301")</f>
        <v>#NAME?</v>
      </c>
      <c r="G2263" s="4" t="e">
        <f ca="1">[1]!BexGetData("DP_1","003N8EMH8GTFRCSWKMPXRRXR2","GSON4119180301")</f>
        <v>#NAME?</v>
      </c>
      <c r="H2263" s="4" t="e">
        <f ca="1">[1]!BexGetData("DP_1","003N8EMH8GTFRCSWKMPXRS42M","GSON4119180301")</f>
        <v>#NAME?</v>
      </c>
      <c r="I2263" s="4" t="e">
        <f ca="1">[1]!BexGetData("DP_1","003N8EMH8GTFRCSWKMPXRSAE6","GSON4119180301")</f>
        <v>#NAME?</v>
      </c>
      <c r="J2263" s="4" t="e">
        <f ca="1">[1]!BexGetData("DP_1","003N8EMH8GTFRCSWKMPXRSGPQ","GSON4119180301")</f>
        <v>#NAME?</v>
      </c>
      <c r="K2263" s="3" t="e">
        <f ca="1">[1]!BexGetData("DP_1","003N8EMH8GTFRIVNUPY288VJH","GSON4119180301")</f>
        <v>#NAME?</v>
      </c>
      <c r="L2263" s="3" t="e">
        <f ca="1">[1]!BexGetData("DP_1","003N8EMH8GTFRIVNUPY2891V1","GSON4119180301")</f>
        <v>#NAME?</v>
      </c>
      <c r="M2263" s="3" t="e">
        <f ca="1">[1]!BexGetData("DP_1","003N8EMH8GTFRIVOG7KG9IQXA","GSON4119180301")</f>
        <v>#NAME?</v>
      </c>
      <c r="N2263" s="8" t="e">
        <f ca="1">[1]!BexGetData("DP_1","003N8EMH8GTFRIVOG7KG9IX8U","GSON4119180301")</f>
        <v>#NAME?</v>
      </c>
      <c r="O2263" s="3" t="e">
        <f ca="1">[1]!BexGetData("DP_1","003N8EMH8GTFRIVOG7KG9J3KE","GSON4119180301")</f>
        <v>#NAME?</v>
      </c>
      <c r="P2263" s="8" t="e">
        <f ca="1">[1]!BexGetData("DP_1","003N8EMH8GTFRIVOG7KG9J9VY","GSON4119180301")</f>
        <v>#NAME?</v>
      </c>
      <c r="Q2263" s="4" t="e">
        <f ca="1">[1]!BexGetData("DP_1","00O2TNJGODT0G5Z4TTKYMM5MT","GSON4119180301")</f>
        <v>#NAME?</v>
      </c>
      <c r="R2263" s="4" t="e">
        <f ca="1">[1]!BexGetData("DP_1","00O2TNJGODT0G5Z4TTKYMMBYD","GSON4119180301")</f>
        <v>#NAME?</v>
      </c>
      <c r="S2263" s="4" t="e">
        <f ca="1">[1]!BexGetData("DP_1","00O2TNJGODT0G5Z4TTKYMMI9X","GSON4119180301")</f>
        <v>#NAME?</v>
      </c>
      <c r="T2263" s="4" t="e">
        <f ca="1">[1]!BexGetData("DP_1","00O2TNJGODT0G5Z4TTKYMMOLH","GSON4119180301")</f>
        <v>#NAME?</v>
      </c>
      <c r="U2263" s="4" t="e">
        <f ca="1">[1]!BexGetData("DP_1","00O2TNJGODT0G5Z4TTKYMMUX1","GSON4119180301")</f>
        <v>#NAME?</v>
      </c>
      <c r="V2263" s="4" t="e">
        <f ca="1">[1]!BexGetData("DP_1","00O2TNJGODT0G5Z4TTKYMN18L","GSON4119180301")</f>
        <v>#NAME?</v>
      </c>
      <c r="W2263" s="4" t="e">
        <f ca="1">[1]!BexGetData("DP_1","00O2TNJGODT0G5Z4TTKYMN7K5","GSON4119180301")</f>
        <v>#NAME?</v>
      </c>
    </row>
    <row r="2264" spans="1:23" x14ac:dyDescent="0.2">
      <c r="A2264" s="16" t="s">
        <v>4914</v>
      </c>
      <c r="B2264" s="7" t="s">
        <v>4915</v>
      </c>
      <c r="C2264" s="8" t="e">
        <f ca="1">[1]!BexGetData("DP_1","003N8EMH8GTFRCSWKMPXRR8GU","GSON4119180401")</f>
        <v>#NAME?</v>
      </c>
      <c r="D2264" s="3" t="e">
        <f ca="1">[1]!BexGetData("DP_1","003N8EMH8GTFRCSWKMPXRRESE","GSON4119180401")</f>
        <v>#NAME?</v>
      </c>
      <c r="E2264" s="3" t="e">
        <f ca="1">[1]!BexGetData("DP_1","003N8EMH8GTFRCSWKMPXRRL3Y","GSON4119180401")</f>
        <v>#NAME?</v>
      </c>
      <c r="F2264" s="4" t="e">
        <f ca="1">[1]!BexGetData("DP_1","003N8EMH8GTFRCSWKMPXRRRFI","GSON4119180401")</f>
        <v>#NAME?</v>
      </c>
      <c r="G2264" s="4" t="e">
        <f ca="1">[1]!BexGetData("DP_1","003N8EMH8GTFRCSWKMPXRRXR2","GSON4119180401")</f>
        <v>#NAME?</v>
      </c>
      <c r="H2264" s="4" t="e">
        <f ca="1">[1]!BexGetData("DP_1","003N8EMH8GTFRCSWKMPXRS42M","GSON4119180401")</f>
        <v>#NAME?</v>
      </c>
      <c r="I2264" s="4" t="e">
        <f ca="1">[1]!BexGetData("DP_1","003N8EMH8GTFRCSWKMPXRSAE6","GSON4119180401")</f>
        <v>#NAME?</v>
      </c>
      <c r="J2264" s="4" t="e">
        <f ca="1">[1]!BexGetData("DP_1","003N8EMH8GTFRCSWKMPXRSGPQ","GSON4119180401")</f>
        <v>#NAME?</v>
      </c>
      <c r="K2264" s="3" t="e">
        <f ca="1">[1]!BexGetData("DP_1","003N8EMH8GTFRIVNUPY288VJH","GSON4119180401")</f>
        <v>#NAME?</v>
      </c>
      <c r="L2264" s="3" t="e">
        <f ca="1">[1]!BexGetData("DP_1","003N8EMH8GTFRIVNUPY2891V1","GSON4119180401")</f>
        <v>#NAME?</v>
      </c>
      <c r="M2264" s="3" t="e">
        <f ca="1">[1]!BexGetData("DP_1","003N8EMH8GTFRIVOG7KG9IQXA","GSON4119180401")</f>
        <v>#NAME?</v>
      </c>
      <c r="N2264" s="8" t="e">
        <f ca="1">[1]!BexGetData("DP_1","003N8EMH8GTFRIVOG7KG9IX8U","GSON4119180401")</f>
        <v>#NAME?</v>
      </c>
      <c r="O2264" s="3" t="e">
        <f ca="1">[1]!BexGetData("DP_1","003N8EMH8GTFRIVOG7KG9J3KE","GSON4119180401")</f>
        <v>#NAME?</v>
      </c>
      <c r="P2264" s="8" t="e">
        <f ca="1">[1]!BexGetData("DP_1","003N8EMH8GTFRIVOG7KG9J9VY","GSON4119180401")</f>
        <v>#NAME?</v>
      </c>
      <c r="Q2264" s="4" t="e">
        <f ca="1">[1]!BexGetData("DP_1","00O2TNJGODT0G5Z4TTKYMM5MT","GSON4119180401")</f>
        <v>#NAME?</v>
      </c>
      <c r="R2264" s="4" t="e">
        <f ca="1">[1]!BexGetData("DP_1","00O2TNJGODT0G5Z4TTKYMMBYD","GSON4119180401")</f>
        <v>#NAME?</v>
      </c>
      <c r="S2264" s="4" t="e">
        <f ca="1">[1]!BexGetData("DP_1","00O2TNJGODT0G5Z4TTKYMMI9X","GSON4119180401")</f>
        <v>#NAME?</v>
      </c>
      <c r="T2264" s="4" t="e">
        <f ca="1">[1]!BexGetData("DP_1","00O2TNJGODT0G5Z4TTKYMMOLH","GSON4119180401")</f>
        <v>#NAME?</v>
      </c>
      <c r="U2264" s="4" t="e">
        <f ca="1">[1]!BexGetData("DP_1","00O2TNJGODT0G5Z4TTKYMMUX1","GSON4119180401")</f>
        <v>#NAME?</v>
      </c>
      <c r="V2264" s="4" t="e">
        <f ca="1">[1]!BexGetData("DP_1","00O2TNJGODT0G5Z4TTKYMN18L","GSON4119180401")</f>
        <v>#NAME?</v>
      </c>
      <c r="W2264" s="4" t="e">
        <f ca="1">[1]!BexGetData("DP_1","00O2TNJGODT0G5Z4TTKYMN7K5","GSON4119180401")</f>
        <v>#NAME?</v>
      </c>
    </row>
    <row r="2265" spans="1:23" x14ac:dyDescent="0.2">
      <c r="A2265" s="14" t="s">
        <v>528</v>
      </c>
      <c r="B2265" s="7" t="s">
        <v>529</v>
      </c>
      <c r="C2265" s="3" t="e">
        <f ca="1">[1]!BexGetData("DP_1","003N8EMH8GTFRCSWKMPXRR8GU","GSON414")</f>
        <v>#NAME?</v>
      </c>
      <c r="D2265" s="3" t="e">
        <f ca="1">[1]!BexGetData("DP_1","003N8EMH8GTFRCSWKMPXRRESE","GSON414")</f>
        <v>#NAME?</v>
      </c>
      <c r="E2265" s="3" t="e">
        <f ca="1">[1]!BexGetData("DP_1","003N8EMH8GTFRCSWKMPXRRL3Y","GSON414")</f>
        <v>#NAME?</v>
      </c>
      <c r="F2265" s="4" t="e">
        <f ca="1">[1]!BexGetData("DP_1","003N8EMH8GTFRCSWKMPXRRRFI","GSON414")</f>
        <v>#NAME?</v>
      </c>
      <c r="G2265" s="4" t="e">
        <f ca="1">[1]!BexGetData("DP_1","003N8EMH8GTFRCSWKMPXRRXR2","GSON414")</f>
        <v>#NAME?</v>
      </c>
      <c r="H2265" s="4" t="e">
        <f ca="1">[1]!BexGetData("DP_1","003N8EMH8GTFRCSWKMPXRS42M","GSON414")</f>
        <v>#NAME?</v>
      </c>
      <c r="I2265" s="4" t="e">
        <f ca="1">[1]!BexGetData("DP_1","003N8EMH8GTFRCSWKMPXRSAE6","GSON414")</f>
        <v>#NAME?</v>
      </c>
      <c r="J2265" s="4" t="e">
        <f ca="1">[1]!BexGetData("DP_1","003N8EMH8GTFRCSWKMPXRSGPQ","GSON414")</f>
        <v>#NAME?</v>
      </c>
      <c r="K2265" s="3" t="e">
        <f ca="1">[1]!BexGetData("DP_1","003N8EMH8GTFRIVNUPY288VJH","GSON414")</f>
        <v>#NAME?</v>
      </c>
      <c r="L2265" s="3" t="e">
        <f ca="1">[1]!BexGetData("DP_1","003N8EMH8GTFRIVNUPY2891V1","GSON414")</f>
        <v>#NAME?</v>
      </c>
      <c r="M2265" s="3" t="e">
        <f ca="1">[1]!BexGetData("DP_1","003N8EMH8GTFRIVOG7KG9IQXA","GSON414")</f>
        <v>#NAME?</v>
      </c>
      <c r="N2265" s="8" t="e">
        <f ca="1">[1]!BexGetData("DP_1","003N8EMH8GTFRIVOG7KG9IX8U","GSON414")</f>
        <v>#NAME?</v>
      </c>
      <c r="O2265" s="3" t="e">
        <f ca="1">[1]!BexGetData("DP_1","003N8EMH8GTFRIVOG7KG9J3KE","GSON414")</f>
        <v>#NAME?</v>
      </c>
      <c r="P2265" s="8" t="e">
        <f ca="1">[1]!BexGetData("DP_1","003N8EMH8GTFRIVOG7KG9J9VY","GSON414")</f>
        <v>#NAME?</v>
      </c>
      <c r="Q2265" s="4" t="e">
        <f ca="1">[1]!BexGetData("DP_1","00O2TNJGODT0G5Z4TTKYMM5MT","GSON414")</f>
        <v>#NAME?</v>
      </c>
      <c r="R2265" s="4" t="e">
        <f ca="1">[1]!BexGetData("DP_1","00O2TNJGODT0G5Z4TTKYMMBYD","GSON414")</f>
        <v>#NAME?</v>
      </c>
      <c r="S2265" s="4" t="e">
        <f ca="1">[1]!BexGetData("DP_1","00O2TNJGODT0G5Z4TTKYMMI9X","GSON414")</f>
        <v>#NAME?</v>
      </c>
      <c r="T2265" s="4" t="e">
        <f ca="1">[1]!BexGetData("DP_1","00O2TNJGODT0G5Z4TTKYMMOLH","GSON414")</f>
        <v>#NAME?</v>
      </c>
      <c r="U2265" s="4" t="e">
        <f ca="1">[1]!BexGetData("DP_1","00O2TNJGODT0G5Z4TTKYMMUX1","GSON414")</f>
        <v>#NAME?</v>
      </c>
      <c r="V2265" s="4" t="e">
        <f ca="1">[1]!BexGetData("DP_1","00O2TNJGODT0G5Z4TTKYMN18L","GSON414")</f>
        <v>#NAME?</v>
      </c>
      <c r="W2265" s="4" t="e">
        <f ca="1">[1]!BexGetData("DP_1","00O2TNJGODT0G5Z4TTKYMN7K5","GSON414")</f>
        <v>#NAME?</v>
      </c>
    </row>
    <row r="2266" spans="1:23" x14ac:dyDescent="0.2">
      <c r="A2266" s="15" t="s">
        <v>530</v>
      </c>
      <c r="B2266" s="7" t="s">
        <v>531</v>
      </c>
      <c r="C2266" s="8" t="e">
        <f ca="1">[1]!BexGetData("DP_1","003N8EMH8GTFRCSWKMPXRR8GU","GSON4141")</f>
        <v>#NAME?</v>
      </c>
      <c r="D2266" s="3" t="e">
        <f ca="1">[1]!BexGetData("DP_1","003N8EMH8GTFRCSWKMPXRRESE","GSON4141")</f>
        <v>#NAME?</v>
      </c>
      <c r="E2266" s="3" t="e">
        <f ca="1">[1]!BexGetData("DP_1","003N8EMH8GTFRCSWKMPXRRL3Y","GSON4141")</f>
        <v>#NAME?</v>
      </c>
      <c r="F2266" s="4" t="e">
        <f ca="1">[1]!BexGetData("DP_1","003N8EMH8GTFRCSWKMPXRRRFI","GSON4141")</f>
        <v>#NAME?</v>
      </c>
      <c r="G2266" s="4" t="e">
        <f ca="1">[1]!BexGetData("DP_1","003N8EMH8GTFRCSWKMPXRRXR2","GSON4141")</f>
        <v>#NAME?</v>
      </c>
      <c r="H2266" s="4" t="e">
        <f ca="1">[1]!BexGetData("DP_1","003N8EMH8GTFRCSWKMPXRS42M","GSON4141")</f>
        <v>#NAME?</v>
      </c>
      <c r="I2266" s="4" t="e">
        <f ca="1">[1]!BexGetData("DP_1","003N8EMH8GTFRCSWKMPXRSAE6","GSON4141")</f>
        <v>#NAME?</v>
      </c>
      <c r="J2266" s="4" t="e">
        <f ca="1">[1]!BexGetData("DP_1","003N8EMH8GTFRCSWKMPXRSGPQ","GSON4141")</f>
        <v>#NAME?</v>
      </c>
      <c r="K2266" s="3" t="e">
        <f ca="1">[1]!BexGetData("DP_1","003N8EMH8GTFRIVNUPY288VJH","GSON4141")</f>
        <v>#NAME?</v>
      </c>
      <c r="L2266" s="3" t="e">
        <f ca="1">[1]!BexGetData("DP_1","003N8EMH8GTFRIVNUPY2891V1","GSON4141")</f>
        <v>#NAME?</v>
      </c>
      <c r="M2266" s="3" t="e">
        <f ca="1">[1]!BexGetData("DP_1","003N8EMH8GTFRIVOG7KG9IQXA","GSON4141")</f>
        <v>#NAME?</v>
      </c>
      <c r="N2266" s="8" t="e">
        <f ca="1">[1]!BexGetData("DP_1","003N8EMH8GTFRIVOG7KG9IX8U","GSON4141")</f>
        <v>#NAME?</v>
      </c>
      <c r="O2266" s="3" t="e">
        <f ca="1">[1]!BexGetData("DP_1","003N8EMH8GTFRIVOG7KG9J3KE","GSON4141")</f>
        <v>#NAME?</v>
      </c>
      <c r="P2266" s="8" t="e">
        <f ca="1">[1]!BexGetData("DP_1","003N8EMH8GTFRIVOG7KG9J9VY","GSON4141")</f>
        <v>#NAME?</v>
      </c>
      <c r="Q2266" s="4" t="e">
        <f ca="1">[1]!BexGetData("DP_1","00O2TNJGODT0G5Z4TTKYMM5MT","GSON4141")</f>
        <v>#NAME?</v>
      </c>
      <c r="R2266" s="4" t="e">
        <f ca="1">[1]!BexGetData("DP_1","00O2TNJGODT0G5Z4TTKYMMBYD","GSON4141")</f>
        <v>#NAME?</v>
      </c>
      <c r="S2266" s="4" t="e">
        <f ca="1">[1]!BexGetData("DP_1","00O2TNJGODT0G5Z4TTKYMMI9X","GSON4141")</f>
        <v>#NAME?</v>
      </c>
      <c r="T2266" s="4" t="e">
        <f ca="1">[1]!BexGetData("DP_1","00O2TNJGODT0G5Z4TTKYMMOLH","GSON4141")</f>
        <v>#NAME?</v>
      </c>
      <c r="U2266" s="4" t="e">
        <f ca="1">[1]!BexGetData("DP_1","00O2TNJGODT0G5Z4TTKYMMUX1","GSON4141")</f>
        <v>#NAME?</v>
      </c>
      <c r="V2266" s="4" t="e">
        <f ca="1">[1]!BexGetData("DP_1","00O2TNJGODT0G5Z4TTKYMN18L","GSON4141")</f>
        <v>#NAME?</v>
      </c>
      <c r="W2266" s="4" t="e">
        <f ca="1">[1]!BexGetData("DP_1","00O2TNJGODT0G5Z4TTKYMN7K5","GSON4141")</f>
        <v>#NAME?</v>
      </c>
    </row>
    <row r="2267" spans="1:23" x14ac:dyDescent="0.2">
      <c r="A2267" s="16" t="s">
        <v>1478</v>
      </c>
      <c r="B2267" s="7" t="s">
        <v>532</v>
      </c>
      <c r="C2267" s="8" t="e">
        <f ca="1">[1]!BexGetData("DP_1","003N8EMH8GTFRCSWKMPXRR8GU","GSON4141410101")</f>
        <v>#NAME?</v>
      </c>
      <c r="D2267" s="3" t="e">
        <f ca="1">[1]!BexGetData("DP_1","003N8EMH8GTFRCSWKMPXRRESE","GSON4141410101")</f>
        <v>#NAME?</v>
      </c>
      <c r="E2267" s="3" t="e">
        <f ca="1">[1]!BexGetData("DP_1","003N8EMH8GTFRCSWKMPXRRL3Y","GSON4141410101")</f>
        <v>#NAME?</v>
      </c>
      <c r="F2267" s="4" t="e">
        <f ca="1">[1]!BexGetData("DP_1","003N8EMH8GTFRCSWKMPXRRRFI","GSON4141410101")</f>
        <v>#NAME?</v>
      </c>
      <c r="G2267" s="4" t="e">
        <f ca="1">[1]!BexGetData("DP_1","003N8EMH8GTFRCSWKMPXRRXR2","GSON4141410101")</f>
        <v>#NAME?</v>
      </c>
      <c r="H2267" s="4" t="e">
        <f ca="1">[1]!BexGetData("DP_1","003N8EMH8GTFRCSWKMPXRS42M","GSON4141410101")</f>
        <v>#NAME?</v>
      </c>
      <c r="I2267" s="4" t="e">
        <f ca="1">[1]!BexGetData("DP_1","003N8EMH8GTFRCSWKMPXRSAE6","GSON4141410101")</f>
        <v>#NAME?</v>
      </c>
      <c r="J2267" s="4" t="e">
        <f ca="1">[1]!BexGetData("DP_1","003N8EMH8GTFRCSWKMPXRSGPQ","GSON4141410101")</f>
        <v>#NAME?</v>
      </c>
      <c r="K2267" s="3" t="e">
        <f ca="1">[1]!BexGetData("DP_1","003N8EMH8GTFRIVNUPY288VJH","GSON4141410101")</f>
        <v>#NAME?</v>
      </c>
      <c r="L2267" s="3" t="e">
        <f ca="1">[1]!BexGetData("DP_1","003N8EMH8GTFRIVNUPY2891V1","GSON4141410101")</f>
        <v>#NAME?</v>
      </c>
      <c r="M2267" s="3" t="e">
        <f ca="1">[1]!BexGetData("DP_1","003N8EMH8GTFRIVOG7KG9IQXA","GSON4141410101")</f>
        <v>#NAME?</v>
      </c>
      <c r="N2267" s="8" t="e">
        <f ca="1">[1]!BexGetData("DP_1","003N8EMH8GTFRIVOG7KG9IX8U","GSON4141410101")</f>
        <v>#NAME?</v>
      </c>
      <c r="O2267" s="3" t="e">
        <f ca="1">[1]!BexGetData("DP_1","003N8EMH8GTFRIVOG7KG9J3KE","GSON4141410101")</f>
        <v>#NAME?</v>
      </c>
      <c r="P2267" s="8" t="e">
        <f ca="1">[1]!BexGetData("DP_1","003N8EMH8GTFRIVOG7KG9J9VY","GSON4141410101")</f>
        <v>#NAME?</v>
      </c>
      <c r="Q2267" s="4" t="e">
        <f ca="1">[1]!BexGetData("DP_1","00O2TNJGODT0G5Z4TTKYMM5MT","GSON4141410101")</f>
        <v>#NAME?</v>
      </c>
      <c r="R2267" s="4" t="e">
        <f ca="1">[1]!BexGetData("DP_1","00O2TNJGODT0G5Z4TTKYMMBYD","GSON4141410101")</f>
        <v>#NAME?</v>
      </c>
      <c r="S2267" s="4" t="e">
        <f ca="1">[1]!BexGetData("DP_1","00O2TNJGODT0G5Z4TTKYMMI9X","GSON4141410101")</f>
        <v>#NAME?</v>
      </c>
      <c r="T2267" s="4" t="e">
        <f ca="1">[1]!BexGetData("DP_1","00O2TNJGODT0G5Z4TTKYMMOLH","GSON4141410101")</f>
        <v>#NAME?</v>
      </c>
      <c r="U2267" s="4" t="e">
        <f ca="1">[1]!BexGetData("DP_1","00O2TNJGODT0G5Z4TTKYMMUX1","GSON4141410101")</f>
        <v>#NAME?</v>
      </c>
      <c r="V2267" s="4" t="e">
        <f ca="1">[1]!BexGetData("DP_1","00O2TNJGODT0G5Z4TTKYMN18L","GSON4141410101")</f>
        <v>#NAME?</v>
      </c>
      <c r="W2267" s="4" t="e">
        <f ca="1">[1]!BexGetData("DP_1","00O2TNJGODT0G5Z4TTKYMN7K5","GSON4141410101")</f>
        <v>#NAME?</v>
      </c>
    </row>
    <row r="2268" spans="1:23" x14ac:dyDescent="0.2">
      <c r="A2268" s="16" t="s">
        <v>1479</v>
      </c>
      <c r="B2268" s="7" t="s">
        <v>533</v>
      </c>
      <c r="C2268" s="8" t="e">
        <f ca="1">[1]!BexGetData("DP_1","003N8EMH8GTFRCSWKMPXRR8GU","GSON4141410201")</f>
        <v>#NAME?</v>
      </c>
      <c r="D2268" s="3" t="e">
        <f ca="1">[1]!BexGetData("DP_1","003N8EMH8GTFRCSWKMPXRRESE","GSON4141410201")</f>
        <v>#NAME?</v>
      </c>
      <c r="E2268" s="3" t="e">
        <f ca="1">[1]!BexGetData("DP_1","003N8EMH8GTFRCSWKMPXRRL3Y","GSON4141410201")</f>
        <v>#NAME?</v>
      </c>
      <c r="F2268" s="4" t="e">
        <f ca="1">[1]!BexGetData("DP_1","003N8EMH8GTFRCSWKMPXRRRFI","GSON4141410201")</f>
        <v>#NAME?</v>
      </c>
      <c r="G2268" s="4" t="e">
        <f ca="1">[1]!BexGetData("DP_1","003N8EMH8GTFRCSWKMPXRRXR2","GSON4141410201")</f>
        <v>#NAME?</v>
      </c>
      <c r="H2268" s="4" t="e">
        <f ca="1">[1]!BexGetData("DP_1","003N8EMH8GTFRCSWKMPXRS42M","GSON4141410201")</f>
        <v>#NAME?</v>
      </c>
      <c r="I2268" s="4" t="e">
        <f ca="1">[1]!BexGetData("DP_1","003N8EMH8GTFRCSWKMPXRSAE6","GSON4141410201")</f>
        <v>#NAME?</v>
      </c>
      <c r="J2268" s="4" t="e">
        <f ca="1">[1]!BexGetData("DP_1","003N8EMH8GTFRCSWKMPXRSGPQ","GSON4141410201")</f>
        <v>#NAME?</v>
      </c>
      <c r="K2268" s="3" t="e">
        <f ca="1">[1]!BexGetData("DP_1","003N8EMH8GTFRIVNUPY288VJH","GSON4141410201")</f>
        <v>#NAME?</v>
      </c>
      <c r="L2268" s="3" t="e">
        <f ca="1">[1]!BexGetData("DP_1","003N8EMH8GTFRIVNUPY2891V1","GSON4141410201")</f>
        <v>#NAME?</v>
      </c>
      <c r="M2268" s="3" t="e">
        <f ca="1">[1]!BexGetData("DP_1","003N8EMH8GTFRIVOG7KG9IQXA","GSON4141410201")</f>
        <v>#NAME?</v>
      </c>
      <c r="N2268" s="8" t="e">
        <f ca="1">[1]!BexGetData("DP_1","003N8EMH8GTFRIVOG7KG9IX8U","GSON4141410201")</f>
        <v>#NAME?</v>
      </c>
      <c r="O2268" s="3" t="e">
        <f ca="1">[1]!BexGetData("DP_1","003N8EMH8GTFRIVOG7KG9J3KE","GSON4141410201")</f>
        <v>#NAME?</v>
      </c>
      <c r="P2268" s="8" t="e">
        <f ca="1">[1]!BexGetData("DP_1","003N8EMH8GTFRIVOG7KG9J9VY","GSON4141410201")</f>
        <v>#NAME?</v>
      </c>
      <c r="Q2268" s="4" t="e">
        <f ca="1">[1]!BexGetData("DP_1","00O2TNJGODT0G5Z4TTKYMM5MT","GSON4141410201")</f>
        <v>#NAME?</v>
      </c>
      <c r="R2268" s="4" t="e">
        <f ca="1">[1]!BexGetData("DP_1","00O2TNJGODT0G5Z4TTKYMMBYD","GSON4141410201")</f>
        <v>#NAME?</v>
      </c>
      <c r="S2268" s="4" t="e">
        <f ca="1">[1]!BexGetData("DP_1","00O2TNJGODT0G5Z4TTKYMMI9X","GSON4141410201")</f>
        <v>#NAME?</v>
      </c>
      <c r="T2268" s="4" t="e">
        <f ca="1">[1]!BexGetData("DP_1","00O2TNJGODT0G5Z4TTKYMMOLH","GSON4141410201")</f>
        <v>#NAME?</v>
      </c>
      <c r="U2268" s="4" t="e">
        <f ca="1">[1]!BexGetData("DP_1","00O2TNJGODT0G5Z4TTKYMMUX1","GSON4141410201")</f>
        <v>#NAME?</v>
      </c>
      <c r="V2268" s="4" t="e">
        <f ca="1">[1]!BexGetData("DP_1","00O2TNJGODT0G5Z4TTKYMN18L","GSON4141410201")</f>
        <v>#NAME?</v>
      </c>
      <c r="W2268" s="4" t="e">
        <f ca="1">[1]!BexGetData("DP_1","00O2TNJGODT0G5Z4TTKYMN7K5","GSON4141410201")</f>
        <v>#NAME?</v>
      </c>
    </row>
    <row r="2269" spans="1:23" x14ac:dyDescent="0.2">
      <c r="A2269" s="15" t="s">
        <v>534</v>
      </c>
      <c r="B2269" s="7" t="s">
        <v>535</v>
      </c>
      <c r="C2269" s="3" t="e">
        <f ca="1">[1]!BexGetData("DP_1","003N8EMH8GTFRCSWKMPXRR8GU","GSON4143")</f>
        <v>#NAME?</v>
      </c>
      <c r="D2269" s="3" t="e">
        <f ca="1">[1]!BexGetData("DP_1","003N8EMH8GTFRCSWKMPXRRESE","GSON4143")</f>
        <v>#NAME?</v>
      </c>
      <c r="E2269" s="3" t="e">
        <f ca="1">[1]!BexGetData("DP_1","003N8EMH8GTFRCSWKMPXRRL3Y","GSON4143")</f>
        <v>#NAME?</v>
      </c>
      <c r="F2269" s="4" t="e">
        <f ca="1">[1]!BexGetData("DP_1","003N8EMH8GTFRCSWKMPXRRRFI","GSON4143")</f>
        <v>#NAME?</v>
      </c>
      <c r="G2269" s="4" t="e">
        <f ca="1">[1]!BexGetData("DP_1","003N8EMH8GTFRCSWKMPXRRXR2","GSON4143")</f>
        <v>#NAME?</v>
      </c>
      <c r="H2269" s="4" t="e">
        <f ca="1">[1]!BexGetData("DP_1","003N8EMH8GTFRCSWKMPXRS42M","GSON4143")</f>
        <v>#NAME?</v>
      </c>
      <c r="I2269" s="4" t="e">
        <f ca="1">[1]!BexGetData("DP_1","003N8EMH8GTFRCSWKMPXRSAE6","GSON4143")</f>
        <v>#NAME?</v>
      </c>
      <c r="J2269" s="4" t="e">
        <f ca="1">[1]!BexGetData("DP_1","003N8EMH8GTFRCSWKMPXRSGPQ","GSON4143")</f>
        <v>#NAME?</v>
      </c>
      <c r="K2269" s="3" t="e">
        <f ca="1">[1]!BexGetData("DP_1","003N8EMH8GTFRIVNUPY288VJH","GSON4143")</f>
        <v>#NAME?</v>
      </c>
      <c r="L2269" s="3" t="e">
        <f ca="1">[1]!BexGetData("DP_1","003N8EMH8GTFRIVNUPY2891V1","GSON4143")</f>
        <v>#NAME?</v>
      </c>
      <c r="M2269" s="3" t="e">
        <f ca="1">[1]!BexGetData("DP_1","003N8EMH8GTFRIVOG7KG9IQXA","GSON4143")</f>
        <v>#NAME?</v>
      </c>
      <c r="N2269" s="8" t="e">
        <f ca="1">[1]!BexGetData("DP_1","003N8EMH8GTFRIVOG7KG9IX8U","GSON4143")</f>
        <v>#NAME?</v>
      </c>
      <c r="O2269" s="3" t="e">
        <f ca="1">[1]!BexGetData("DP_1","003N8EMH8GTFRIVOG7KG9J3KE","GSON4143")</f>
        <v>#NAME?</v>
      </c>
      <c r="P2269" s="8" t="e">
        <f ca="1">[1]!BexGetData("DP_1","003N8EMH8GTFRIVOG7KG9J9VY","GSON4143")</f>
        <v>#NAME?</v>
      </c>
      <c r="Q2269" s="4" t="e">
        <f ca="1">[1]!BexGetData("DP_1","00O2TNJGODT0G5Z4TTKYMM5MT","GSON4143")</f>
        <v>#NAME?</v>
      </c>
      <c r="R2269" s="4" t="e">
        <f ca="1">[1]!BexGetData("DP_1","00O2TNJGODT0G5Z4TTKYMMBYD","GSON4143")</f>
        <v>#NAME?</v>
      </c>
      <c r="S2269" s="4" t="e">
        <f ca="1">[1]!BexGetData("DP_1","00O2TNJGODT0G5Z4TTKYMMI9X","GSON4143")</f>
        <v>#NAME?</v>
      </c>
      <c r="T2269" s="4" t="e">
        <f ca="1">[1]!BexGetData("DP_1","00O2TNJGODT0G5Z4TTKYMMOLH","GSON4143")</f>
        <v>#NAME?</v>
      </c>
      <c r="U2269" s="4" t="e">
        <f ca="1">[1]!BexGetData("DP_1","00O2TNJGODT0G5Z4TTKYMMUX1","GSON4143")</f>
        <v>#NAME?</v>
      </c>
      <c r="V2269" s="4" t="e">
        <f ca="1">[1]!BexGetData("DP_1","00O2TNJGODT0G5Z4TTKYMN18L","GSON4143")</f>
        <v>#NAME?</v>
      </c>
      <c r="W2269" s="4" t="e">
        <f ca="1">[1]!BexGetData("DP_1","00O2TNJGODT0G5Z4TTKYMN7K5","GSON4143")</f>
        <v>#NAME?</v>
      </c>
    </row>
    <row r="2270" spans="1:23" x14ac:dyDescent="0.2">
      <c r="A2270" s="16" t="s">
        <v>536</v>
      </c>
      <c r="B2270" s="7" t="s">
        <v>537</v>
      </c>
      <c r="C2270" s="3" t="e">
        <f ca="1">[1]!BexGetData("DP_1","003N8EMH8GTFRCSWKMPXRR8GU","GSON4143430201")</f>
        <v>#NAME?</v>
      </c>
      <c r="D2270" s="3" t="e">
        <f ca="1">[1]!BexGetData("DP_1","003N8EMH8GTFRCSWKMPXRRESE","GSON4143430201")</f>
        <v>#NAME?</v>
      </c>
      <c r="E2270" s="3" t="e">
        <f ca="1">[1]!BexGetData("DP_1","003N8EMH8GTFRCSWKMPXRRL3Y","GSON4143430201")</f>
        <v>#NAME?</v>
      </c>
      <c r="F2270" s="4" t="e">
        <f ca="1">[1]!BexGetData("DP_1","003N8EMH8GTFRCSWKMPXRRRFI","GSON4143430201")</f>
        <v>#NAME?</v>
      </c>
      <c r="G2270" s="4" t="e">
        <f ca="1">[1]!BexGetData("DP_1","003N8EMH8GTFRCSWKMPXRRXR2","GSON4143430201")</f>
        <v>#NAME?</v>
      </c>
      <c r="H2270" s="4" t="e">
        <f ca="1">[1]!BexGetData("DP_1","003N8EMH8GTFRCSWKMPXRS42M","GSON4143430201")</f>
        <v>#NAME?</v>
      </c>
      <c r="I2270" s="4" t="e">
        <f ca="1">[1]!BexGetData("DP_1","003N8EMH8GTFRCSWKMPXRSAE6","GSON4143430201")</f>
        <v>#NAME?</v>
      </c>
      <c r="J2270" s="4" t="e">
        <f ca="1">[1]!BexGetData("DP_1","003N8EMH8GTFRCSWKMPXRSGPQ","GSON4143430201")</f>
        <v>#NAME?</v>
      </c>
      <c r="K2270" s="3" t="e">
        <f ca="1">[1]!BexGetData("DP_1","003N8EMH8GTFRIVNUPY288VJH","GSON4143430201")</f>
        <v>#NAME?</v>
      </c>
      <c r="L2270" s="3" t="e">
        <f ca="1">[1]!BexGetData("DP_1","003N8EMH8GTFRIVNUPY2891V1","GSON4143430201")</f>
        <v>#NAME?</v>
      </c>
      <c r="M2270" s="3" t="e">
        <f ca="1">[1]!BexGetData("DP_1","003N8EMH8GTFRIVOG7KG9IQXA","GSON4143430201")</f>
        <v>#NAME?</v>
      </c>
      <c r="N2270" s="8" t="e">
        <f ca="1">[1]!BexGetData("DP_1","003N8EMH8GTFRIVOG7KG9IX8U","GSON4143430201")</f>
        <v>#NAME?</v>
      </c>
      <c r="O2270" s="3" t="e">
        <f ca="1">[1]!BexGetData("DP_1","003N8EMH8GTFRIVOG7KG9J3KE","GSON4143430201")</f>
        <v>#NAME?</v>
      </c>
      <c r="P2270" s="8" t="e">
        <f ca="1">[1]!BexGetData("DP_1","003N8EMH8GTFRIVOG7KG9J9VY","GSON4143430201")</f>
        <v>#NAME?</v>
      </c>
      <c r="Q2270" s="4" t="e">
        <f ca="1">[1]!BexGetData("DP_1","00O2TNJGODT0G5Z4TTKYMM5MT","GSON4143430201")</f>
        <v>#NAME?</v>
      </c>
      <c r="R2270" s="4" t="e">
        <f ca="1">[1]!BexGetData("DP_1","00O2TNJGODT0G5Z4TTKYMMBYD","GSON4143430201")</f>
        <v>#NAME?</v>
      </c>
      <c r="S2270" s="4" t="e">
        <f ca="1">[1]!BexGetData("DP_1","00O2TNJGODT0G5Z4TTKYMMI9X","GSON4143430201")</f>
        <v>#NAME?</v>
      </c>
      <c r="T2270" s="4" t="e">
        <f ca="1">[1]!BexGetData("DP_1","00O2TNJGODT0G5Z4TTKYMMOLH","GSON4143430201")</f>
        <v>#NAME?</v>
      </c>
      <c r="U2270" s="4" t="e">
        <f ca="1">[1]!BexGetData("DP_1","00O2TNJGODT0G5Z4TTKYMMUX1","GSON4143430201")</f>
        <v>#NAME?</v>
      </c>
      <c r="V2270" s="4" t="e">
        <f ca="1">[1]!BexGetData("DP_1","00O2TNJGODT0G5Z4TTKYMN18L","GSON4143430201")</f>
        <v>#NAME?</v>
      </c>
      <c r="W2270" s="4" t="e">
        <f ca="1">[1]!BexGetData("DP_1","00O2TNJGODT0G5Z4TTKYMN7K5","GSON4143430201")</f>
        <v>#NAME?</v>
      </c>
    </row>
    <row r="2271" spans="1:23" x14ac:dyDescent="0.2">
      <c r="A2271" s="16" t="s">
        <v>694</v>
      </c>
      <c r="B2271" s="7" t="s">
        <v>695</v>
      </c>
      <c r="C2271" s="3" t="e">
        <f ca="1">[1]!BexGetData("DP_1","003N8EMH8GTFRCSWKMPXRR8GU","GSON4143430202")</f>
        <v>#NAME?</v>
      </c>
      <c r="D2271" s="3" t="e">
        <f ca="1">[1]!BexGetData("DP_1","003N8EMH8GTFRCSWKMPXRRESE","GSON4143430202")</f>
        <v>#NAME?</v>
      </c>
      <c r="E2271" s="3" t="e">
        <f ca="1">[1]!BexGetData("DP_1","003N8EMH8GTFRCSWKMPXRRL3Y","GSON4143430202")</f>
        <v>#NAME?</v>
      </c>
      <c r="F2271" s="4" t="e">
        <f ca="1">[1]!BexGetData("DP_1","003N8EMH8GTFRCSWKMPXRRRFI","GSON4143430202")</f>
        <v>#NAME?</v>
      </c>
      <c r="G2271" s="4" t="e">
        <f ca="1">[1]!BexGetData("DP_1","003N8EMH8GTFRCSWKMPXRRXR2","GSON4143430202")</f>
        <v>#NAME?</v>
      </c>
      <c r="H2271" s="4" t="e">
        <f ca="1">[1]!BexGetData("DP_1","003N8EMH8GTFRCSWKMPXRS42M","GSON4143430202")</f>
        <v>#NAME?</v>
      </c>
      <c r="I2271" s="4" t="e">
        <f ca="1">[1]!BexGetData("DP_1","003N8EMH8GTFRCSWKMPXRSAE6","GSON4143430202")</f>
        <v>#NAME?</v>
      </c>
      <c r="J2271" s="4" t="e">
        <f ca="1">[1]!BexGetData("DP_1","003N8EMH8GTFRCSWKMPXRSGPQ","GSON4143430202")</f>
        <v>#NAME?</v>
      </c>
      <c r="K2271" s="3" t="e">
        <f ca="1">[1]!BexGetData("DP_1","003N8EMH8GTFRIVNUPY288VJH","GSON4143430202")</f>
        <v>#NAME?</v>
      </c>
      <c r="L2271" s="3" t="e">
        <f ca="1">[1]!BexGetData("DP_1","003N8EMH8GTFRIVNUPY2891V1","GSON4143430202")</f>
        <v>#NAME?</v>
      </c>
      <c r="M2271" s="3" t="e">
        <f ca="1">[1]!BexGetData("DP_1","003N8EMH8GTFRIVOG7KG9IQXA","GSON4143430202")</f>
        <v>#NAME?</v>
      </c>
      <c r="N2271" s="8" t="e">
        <f ca="1">[1]!BexGetData("DP_1","003N8EMH8GTFRIVOG7KG9IX8U","GSON4143430202")</f>
        <v>#NAME?</v>
      </c>
      <c r="O2271" s="3" t="e">
        <f ca="1">[1]!BexGetData("DP_1","003N8EMH8GTFRIVOG7KG9J3KE","GSON4143430202")</f>
        <v>#NAME?</v>
      </c>
      <c r="P2271" s="8" t="e">
        <f ca="1">[1]!BexGetData("DP_1","003N8EMH8GTFRIVOG7KG9J9VY","GSON4143430202")</f>
        <v>#NAME?</v>
      </c>
      <c r="Q2271" s="4" t="e">
        <f ca="1">[1]!BexGetData("DP_1","00O2TNJGODT0G5Z4TTKYMM5MT","GSON4143430202")</f>
        <v>#NAME?</v>
      </c>
      <c r="R2271" s="4" t="e">
        <f ca="1">[1]!BexGetData("DP_1","00O2TNJGODT0G5Z4TTKYMMBYD","GSON4143430202")</f>
        <v>#NAME?</v>
      </c>
      <c r="S2271" s="4" t="e">
        <f ca="1">[1]!BexGetData("DP_1","00O2TNJGODT0G5Z4TTKYMMI9X","GSON4143430202")</f>
        <v>#NAME?</v>
      </c>
      <c r="T2271" s="4" t="e">
        <f ca="1">[1]!BexGetData("DP_1","00O2TNJGODT0G5Z4TTKYMMOLH","GSON4143430202")</f>
        <v>#NAME?</v>
      </c>
      <c r="U2271" s="4" t="e">
        <f ca="1">[1]!BexGetData("DP_1","00O2TNJGODT0G5Z4TTKYMMUX1","GSON4143430202")</f>
        <v>#NAME?</v>
      </c>
      <c r="V2271" s="4" t="e">
        <f ca="1">[1]!BexGetData("DP_1","00O2TNJGODT0G5Z4TTKYMN18L","GSON4143430202")</f>
        <v>#NAME?</v>
      </c>
      <c r="W2271" s="4" t="e">
        <f ca="1">[1]!BexGetData("DP_1","00O2TNJGODT0G5Z4TTKYMN7K5","GSON4143430202")</f>
        <v>#NAME?</v>
      </c>
    </row>
    <row r="2272" spans="1:23" x14ac:dyDescent="0.2">
      <c r="A2272" s="16" t="s">
        <v>1480</v>
      </c>
      <c r="B2272" s="7" t="s">
        <v>696</v>
      </c>
      <c r="C2272" s="3" t="e">
        <f ca="1">[1]!BexGetData("DP_1","003N8EMH8GTFRCSWKMPXRR8GU","GSON4143430203")</f>
        <v>#NAME?</v>
      </c>
      <c r="D2272" s="3" t="e">
        <f ca="1">[1]!BexGetData("DP_1","003N8EMH8GTFRCSWKMPXRRESE","GSON4143430203")</f>
        <v>#NAME?</v>
      </c>
      <c r="E2272" s="3" t="e">
        <f ca="1">[1]!BexGetData("DP_1","003N8EMH8GTFRCSWKMPXRRL3Y","GSON4143430203")</f>
        <v>#NAME?</v>
      </c>
      <c r="F2272" s="4" t="e">
        <f ca="1">[1]!BexGetData("DP_1","003N8EMH8GTFRCSWKMPXRRRFI","GSON4143430203")</f>
        <v>#NAME?</v>
      </c>
      <c r="G2272" s="4" t="e">
        <f ca="1">[1]!BexGetData("DP_1","003N8EMH8GTFRCSWKMPXRRXR2","GSON4143430203")</f>
        <v>#NAME?</v>
      </c>
      <c r="H2272" s="4" t="e">
        <f ca="1">[1]!BexGetData("DP_1","003N8EMH8GTFRCSWKMPXRS42M","GSON4143430203")</f>
        <v>#NAME?</v>
      </c>
      <c r="I2272" s="4" t="e">
        <f ca="1">[1]!BexGetData("DP_1","003N8EMH8GTFRCSWKMPXRSAE6","GSON4143430203")</f>
        <v>#NAME?</v>
      </c>
      <c r="J2272" s="4" t="e">
        <f ca="1">[1]!BexGetData("DP_1","003N8EMH8GTFRCSWKMPXRSGPQ","GSON4143430203")</f>
        <v>#NAME?</v>
      </c>
      <c r="K2272" s="3" t="e">
        <f ca="1">[1]!BexGetData("DP_1","003N8EMH8GTFRIVNUPY288VJH","GSON4143430203")</f>
        <v>#NAME?</v>
      </c>
      <c r="L2272" s="3" t="e">
        <f ca="1">[1]!BexGetData("DP_1","003N8EMH8GTFRIVNUPY2891V1","GSON4143430203")</f>
        <v>#NAME?</v>
      </c>
      <c r="M2272" s="3" t="e">
        <f ca="1">[1]!BexGetData("DP_1","003N8EMH8GTFRIVOG7KG9IQXA","GSON4143430203")</f>
        <v>#NAME?</v>
      </c>
      <c r="N2272" s="8" t="e">
        <f ca="1">[1]!BexGetData("DP_1","003N8EMH8GTFRIVOG7KG9IX8U","GSON4143430203")</f>
        <v>#NAME?</v>
      </c>
      <c r="O2272" s="3" t="e">
        <f ca="1">[1]!BexGetData("DP_1","003N8EMH8GTFRIVOG7KG9J3KE","GSON4143430203")</f>
        <v>#NAME?</v>
      </c>
      <c r="P2272" s="8" t="e">
        <f ca="1">[1]!BexGetData("DP_1","003N8EMH8GTFRIVOG7KG9J9VY","GSON4143430203")</f>
        <v>#NAME?</v>
      </c>
      <c r="Q2272" s="4" t="e">
        <f ca="1">[1]!BexGetData("DP_1","00O2TNJGODT0G5Z4TTKYMM5MT","GSON4143430203")</f>
        <v>#NAME?</v>
      </c>
      <c r="R2272" s="4" t="e">
        <f ca="1">[1]!BexGetData("DP_1","00O2TNJGODT0G5Z4TTKYMMBYD","GSON4143430203")</f>
        <v>#NAME?</v>
      </c>
      <c r="S2272" s="4" t="e">
        <f ca="1">[1]!BexGetData("DP_1","00O2TNJGODT0G5Z4TTKYMMI9X","GSON4143430203")</f>
        <v>#NAME?</v>
      </c>
      <c r="T2272" s="4" t="e">
        <f ca="1">[1]!BexGetData("DP_1","00O2TNJGODT0G5Z4TTKYMMOLH","GSON4143430203")</f>
        <v>#NAME?</v>
      </c>
      <c r="U2272" s="4" t="e">
        <f ca="1">[1]!BexGetData("DP_1","00O2TNJGODT0G5Z4TTKYMMUX1","GSON4143430203")</f>
        <v>#NAME?</v>
      </c>
      <c r="V2272" s="4" t="e">
        <f ca="1">[1]!BexGetData("DP_1","00O2TNJGODT0G5Z4TTKYMN18L","GSON4143430203")</f>
        <v>#NAME?</v>
      </c>
      <c r="W2272" s="4" t="e">
        <f ca="1">[1]!BexGetData("DP_1","00O2TNJGODT0G5Z4TTKYMN7K5","GSON4143430203")</f>
        <v>#NAME?</v>
      </c>
    </row>
    <row r="2273" spans="1:23" x14ac:dyDescent="0.2">
      <c r="A2273" s="16" t="s">
        <v>1481</v>
      </c>
      <c r="B2273" s="7" t="s">
        <v>697</v>
      </c>
      <c r="C2273" s="3" t="e">
        <f ca="1">[1]!BexGetData("DP_1","003N8EMH8GTFRCSWKMPXRR8GU","GSON4143430204")</f>
        <v>#NAME?</v>
      </c>
      <c r="D2273" s="3" t="e">
        <f ca="1">[1]!BexGetData("DP_1","003N8EMH8GTFRCSWKMPXRRESE","GSON4143430204")</f>
        <v>#NAME?</v>
      </c>
      <c r="E2273" s="3" t="e">
        <f ca="1">[1]!BexGetData("DP_1","003N8EMH8GTFRCSWKMPXRRL3Y","GSON4143430204")</f>
        <v>#NAME?</v>
      </c>
      <c r="F2273" s="4" t="e">
        <f ca="1">[1]!BexGetData("DP_1","003N8EMH8GTFRCSWKMPXRRRFI","GSON4143430204")</f>
        <v>#NAME?</v>
      </c>
      <c r="G2273" s="4" t="e">
        <f ca="1">[1]!BexGetData("DP_1","003N8EMH8GTFRCSWKMPXRRXR2","GSON4143430204")</f>
        <v>#NAME?</v>
      </c>
      <c r="H2273" s="4" t="e">
        <f ca="1">[1]!BexGetData("DP_1","003N8EMH8GTFRCSWKMPXRS42M","GSON4143430204")</f>
        <v>#NAME?</v>
      </c>
      <c r="I2273" s="4" t="e">
        <f ca="1">[1]!BexGetData("DP_1","003N8EMH8GTFRCSWKMPXRSAE6","GSON4143430204")</f>
        <v>#NAME?</v>
      </c>
      <c r="J2273" s="4" t="e">
        <f ca="1">[1]!BexGetData("DP_1","003N8EMH8GTFRCSWKMPXRSGPQ","GSON4143430204")</f>
        <v>#NAME?</v>
      </c>
      <c r="K2273" s="3" t="e">
        <f ca="1">[1]!BexGetData("DP_1","003N8EMH8GTFRIVNUPY288VJH","GSON4143430204")</f>
        <v>#NAME?</v>
      </c>
      <c r="L2273" s="3" t="e">
        <f ca="1">[1]!BexGetData("DP_1","003N8EMH8GTFRIVNUPY2891V1","GSON4143430204")</f>
        <v>#NAME?</v>
      </c>
      <c r="M2273" s="3" t="e">
        <f ca="1">[1]!BexGetData("DP_1","003N8EMH8GTFRIVOG7KG9IQXA","GSON4143430204")</f>
        <v>#NAME?</v>
      </c>
      <c r="N2273" s="8" t="e">
        <f ca="1">[1]!BexGetData("DP_1","003N8EMH8GTFRIVOG7KG9IX8U","GSON4143430204")</f>
        <v>#NAME?</v>
      </c>
      <c r="O2273" s="3" t="e">
        <f ca="1">[1]!BexGetData("DP_1","003N8EMH8GTFRIVOG7KG9J3KE","GSON4143430204")</f>
        <v>#NAME?</v>
      </c>
      <c r="P2273" s="8" t="e">
        <f ca="1">[1]!BexGetData("DP_1","003N8EMH8GTFRIVOG7KG9J9VY","GSON4143430204")</f>
        <v>#NAME?</v>
      </c>
      <c r="Q2273" s="4" t="e">
        <f ca="1">[1]!BexGetData("DP_1","00O2TNJGODT0G5Z4TTKYMM5MT","GSON4143430204")</f>
        <v>#NAME?</v>
      </c>
      <c r="R2273" s="4" t="e">
        <f ca="1">[1]!BexGetData("DP_1","00O2TNJGODT0G5Z4TTKYMMBYD","GSON4143430204")</f>
        <v>#NAME?</v>
      </c>
      <c r="S2273" s="4" t="e">
        <f ca="1">[1]!BexGetData("DP_1","00O2TNJGODT0G5Z4TTKYMMI9X","GSON4143430204")</f>
        <v>#NAME?</v>
      </c>
      <c r="T2273" s="4" t="e">
        <f ca="1">[1]!BexGetData("DP_1","00O2TNJGODT0G5Z4TTKYMMOLH","GSON4143430204")</f>
        <v>#NAME?</v>
      </c>
      <c r="U2273" s="4" t="e">
        <f ca="1">[1]!BexGetData("DP_1","00O2TNJGODT0G5Z4TTKYMMUX1","GSON4143430204")</f>
        <v>#NAME?</v>
      </c>
      <c r="V2273" s="4" t="e">
        <f ca="1">[1]!BexGetData("DP_1","00O2TNJGODT0G5Z4TTKYMN18L","GSON4143430204")</f>
        <v>#NAME?</v>
      </c>
      <c r="W2273" s="4" t="e">
        <f ca="1">[1]!BexGetData("DP_1","00O2TNJGODT0G5Z4TTKYMN7K5","GSON4143430204")</f>
        <v>#NAME?</v>
      </c>
    </row>
    <row r="2274" spans="1:23" x14ac:dyDescent="0.2">
      <c r="A2274" s="16" t="s">
        <v>538</v>
      </c>
      <c r="B2274" s="7" t="s">
        <v>539</v>
      </c>
      <c r="C2274" s="3" t="e">
        <f ca="1">[1]!BexGetData("DP_1","003N8EMH8GTFRCSWKMPXRR8GU","GSON4143430301")</f>
        <v>#NAME?</v>
      </c>
      <c r="D2274" s="3" t="e">
        <f ca="1">[1]!BexGetData("DP_1","003N8EMH8GTFRCSWKMPXRRESE","GSON4143430301")</f>
        <v>#NAME?</v>
      </c>
      <c r="E2274" s="3" t="e">
        <f ca="1">[1]!BexGetData("DP_1","003N8EMH8GTFRCSWKMPXRRL3Y","GSON4143430301")</f>
        <v>#NAME?</v>
      </c>
      <c r="F2274" s="4" t="e">
        <f ca="1">[1]!BexGetData("DP_1","003N8EMH8GTFRCSWKMPXRRRFI","GSON4143430301")</f>
        <v>#NAME?</v>
      </c>
      <c r="G2274" s="4" t="e">
        <f ca="1">[1]!BexGetData("DP_1","003N8EMH8GTFRCSWKMPXRRXR2","GSON4143430301")</f>
        <v>#NAME?</v>
      </c>
      <c r="H2274" s="4" t="e">
        <f ca="1">[1]!BexGetData("DP_1","003N8EMH8GTFRCSWKMPXRS42M","GSON4143430301")</f>
        <v>#NAME?</v>
      </c>
      <c r="I2274" s="4" t="e">
        <f ca="1">[1]!BexGetData("DP_1","003N8EMH8GTFRCSWKMPXRSAE6","GSON4143430301")</f>
        <v>#NAME?</v>
      </c>
      <c r="J2274" s="4" t="e">
        <f ca="1">[1]!BexGetData("DP_1","003N8EMH8GTFRCSWKMPXRSGPQ","GSON4143430301")</f>
        <v>#NAME?</v>
      </c>
      <c r="K2274" s="3" t="e">
        <f ca="1">[1]!BexGetData("DP_1","003N8EMH8GTFRIVNUPY288VJH","GSON4143430301")</f>
        <v>#NAME?</v>
      </c>
      <c r="L2274" s="3" t="e">
        <f ca="1">[1]!BexGetData("DP_1","003N8EMH8GTFRIVNUPY2891V1","GSON4143430301")</f>
        <v>#NAME?</v>
      </c>
      <c r="M2274" s="3" t="e">
        <f ca="1">[1]!BexGetData("DP_1","003N8EMH8GTFRIVOG7KG9IQXA","GSON4143430301")</f>
        <v>#NAME?</v>
      </c>
      <c r="N2274" s="8" t="e">
        <f ca="1">[1]!BexGetData("DP_1","003N8EMH8GTFRIVOG7KG9IX8U","GSON4143430301")</f>
        <v>#NAME?</v>
      </c>
      <c r="O2274" s="3" t="e">
        <f ca="1">[1]!BexGetData("DP_1","003N8EMH8GTFRIVOG7KG9J3KE","GSON4143430301")</f>
        <v>#NAME?</v>
      </c>
      <c r="P2274" s="8" t="e">
        <f ca="1">[1]!BexGetData("DP_1","003N8EMH8GTFRIVOG7KG9J9VY","GSON4143430301")</f>
        <v>#NAME?</v>
      </c>
      <c r="Q2274" s="4" t="e">
        <f ca="1">[1]!BexGetData("DP_1","00O2TNJGODT0G5Z4TTKYMM5MT","GSON4143430301")</f>
        <v>#NAME?</v>
      </c>
      <c r="R2274" s="4" t="e">
        <f ca="1">[1]!BexGetData("DP_1","00O2TNJGODT0G5Z4TTKYMMBYD","GSON4143430301")</f>
        <v>#NAME?</v>
      </c>
      <c r="S2274" s="4" t="e">
        <f ca="1">[1]!BexGetData("DP_1","00O2TNJGODT0G5Z4TTKYMMI9X","GSON4143430301")</f>
        <v>#NAME?</v>
      </c>
      <c r="T2274" s="4" t="e">
        <f ca="1">[1]!BexGetData("DP_1","00O2TNJGODT0G5Z4TTKYMMOLH","GSON4143430301")</f>
        <v>#NAME?</v>
      </c>
      <c r="U2274" s="4" t="e">
        <f ca="1">[1]!BexGetData("DP_1","00O2TNJGODT0G5Z4TTKYMMUX1","GSON4143430301")</f>
        <v>#NAME?</v>
      </c>
      <c r="V2274" s="4" t="e">
        <f ca="1">[1]!BexGetData("DP_1","00O2TNJGODT0G5Z4TTKYMN18L","GSON4143430301")</f>
        <v>#NAME?</v>
      </c>
      <c r="W2274" s="4" t="e">
        <f ca="1">[1]!BexGetData("DP_1","00O2TNJGODT0G5Z4TTKYMN7K5","GSON4143430301")</f>
        <v>#NAME?</v>
      </c>
    </row>
    <row r="2275" spans="1:23" x14ac:dyDescent="0.2">
      <c r="A2275" s="16" t="s">
        <v>1482</v>
      </c>
      <c r="B2275" s="7" t="s">
        <v>540</v>
      </c>
      <c r="C2275" s="3" t="e">
        <f ca="1">[1]!BexGetData("DP_1","003N8EMH8GTFRCSWKMPXRR8GU","GSON4143430401")</f>
        <v>#NAME?</v>
      </c>
      <c r="D2275" s="3" t="e">
        <f ca="1">[1]!BexGetData("DP_1","003N8EMH8GTFRCSWKMPXRRESE","GSON4143430401")</f>
        <v>#NAME?</v>
      </c>
      <c r="E2275" s="3" t="e">
        <f ca="1">[1]!BexGetData("DP_1","003N8EMH8GTFRCSWKMPXRRL3Y","GSON4143430401")</f>
        <v>#NAME?</v>
      </c>
      <c r="F2275" s="4" t="e">
        <f ca="1">[1]!BexGetData("DP_1","003N8EMH8GTFRCSWKMPXRRRFI","GSON4143430401")</f>
        <v>#NAME?</v>
      </c>
      <c r="G2275" s="4" t="e">
        <f ca="1">[1]!BexGetData("DP_1","003N8EMH8GTFRCSWKMPXRRXR2","GSON4143430401")</f>
        <v>#NAME?</v>
      </c>
      <c r="H2275" s="4" t="e">
        <f ca="1">[1]!BexGetData("DP_1","003N8EMH8GTFRCSWKMPXRS42M","GSON4143430401")</f>
        <v>#NAME?</v>
      </c>
      <c r="I2275" s="4" t="e">
        <f ca="1">[1]!BexGetData("DP_1","003N8EMH8GTFRCSWKMPXRSAE6","GSON4143430401")</f>
        <v>#NAME?</v>
      </c>
      <c r="J2275" s="4" t="e">
        <f ca="1">[1]!BexGetData("DP_1","003N8EMH8GTFRCSWKMPXRSGPQ","GSON4143430401")</f>
        <v>#NAME?</v>
      </c>
      <c r="K2275" s="3" t="e">
        <f ca="1">[1]!BexGetData("DP_1","003N8EMH8GTFRIVNUPY288VJH","GSON4143430401")</f>
        <v>#NAME?</v>
      </c>
      <c r="L2275" s="3" t="e">
        <f ca="1">[1]!BexGetData("DP_1","003N8EMH8GTFRIVNUPY2891V1","GSON4143430401")</f>
        <v>#NAME?</v>
      </c>
      <c r="M2275" s="3" t="e">
        <f ca="1">[1]!BexGetData("DP_1","003N8EMH8GTFRIVOG7KG9IQXA","GSON4143430401")</f>
        <v>#NAME?</v>
      </c>
      <c r="N2275" s="8" t="e">
        <f ca="1">[1]!BexGetData("DP_1","003N8EMH8GTFRIVOG7KG9IX8U","GSON4143430401")</f>
        <v>#NAME?</v>
      </c>
      <c r="O2275" s="3" t="e">
        <f ca="1">[1]!BexGetData("DP_1","003N8EMH8GTFRIVOG7KG9J3KE","GSON4143430401")</f>
        <v>#NAME?</v>
      </c>
      <c r="P2275" s="8" t="e">
        <f ca="1">[1]!BexGetData("DP_1","003N8EMH8GTFRIVOG7KG9J9VY","GSON4143430401")</f>
        <v>#NAME?</v>
      </c>
      <c r="Q2275" s="4" t="e">
        <f ca="1">[1]!BexGetData("DP_1","00O2TNJGODT0G5Z4TTKYMM5MT","GSON4143430401")</f>
        <v>#NAME?</v>
      </c>
      <c r="R2275" s="4" t="e">
        <f ca="1">[1]!BexGetData("DP_1","00O2TNJGODT0G5Z4TTKYMMBYD","GSON4143430401")</f>
        <v>#NAME?</v>
      </c>
      <c r="S2275" s="4" t="e">
        <f ca="1">[1]!BexGetData("DP_1","00O2TNJGODT0G5Z4TTKYMMI9X","GSON4143430401")</f>
        <v>#NAME?</v>
      </c>
      <c r="T2275" s="4" t="e">
        <f ca="1">[1]!BexGetData("DP_1","00O2TNJGODT0G5Z4TTKYMMOLH","GSON4143430401")</f>
        <v>#NAME?</v>
      </c>
      <c r="U2275" s="4" t="e">
        <f ca="1">[1]!BexGetData("DP_1","00O2TNJGODT0G5Z4TTKYMMUX1","GSON4143430401")</f>
        <v>#NAME?</v>
      </c>
      <c r="V2275" s="4" t="e">
        <f ca="1">[1]!BexGetData("DP_1","00O2TNJGODT0G5Z4TTKYMN18L","GSON4143430401")</f>
        <v>#NAME?</v>
      </c>
      <c r="W2275" s="4" t="e">
        <f ca="1">[1]!BexGetData("DP_1","00O2TNJGODT0G5Z4TTKYMN7K5","GSON4143430401")</f>
        <v>#NAME?</v>
      </c>
    </row>
    <row r="2276" spans="1:23" x14ac:dyDescent="0.2">
      <c r="A2276" s="16" t="s">
        <v>541</v>
      </c>
      <c r="B2276" s="7" t="s">
        <v>542</v>
      </c>
      <c r="C2276" s="3" t="e">
        <f ca="1">[1]!BexGetData("DP_1","003N8EMH8GTFRCSWKMPXRR8GU","GSON4143430402")</f>
        <v>#NAME?</v>
      </c>
      <c r="D2276" s="3" t="e">
        <f ca="1">[1]!BexGetData("DP_1","003N8EMH8GTFRCSWKMPXRRESE","GSON4143430402")</f>
        <v>#NAME?</v>
      </c>
      <c r="E2276" s="3" t="e">
        <f ca="1">[1]!BexGetData("DP_1","003N8EMH8GTFRCSWKMPXRRL3Y","GSON4143430402")</f>
        <v>#NAME?</v>
      </c>
      <c r="F2276" s="4" t="e">
        <f ca="1">[1]!BexGetData("DP_1","003N8EMH8GTFRCSWKMPXRRRFI","GSON4143430402")</f>
        <v>#NAME?</v>
      </c>
      <c r="G2276" s="4" t="e">
        <f ca="1">[1]!BexGetData("DP_1","003N8EMH8GTFRCSWKMPXRRXR2","GSON4143430402")</f>
        <v>#NAME?</v>
      </c>
      <c r="H2276" s="4" t="e">
        <f ca="1">[1]!BexGetData("DP_1","003N8EMH8GTFRCSWKMPXRS42M","GSON4143430402")</f>
        <v>#NAME?</v>
      </c>
      <c r="I2276" s="4" t="e">
        <f ca="1">[1]!BexGetData("DP_1","003N8EMH8GTFRCSWKMPXRSAE6","GSON4143430402")</f>
        <v>#NAME?</v>
      </c>
      <c r="J2276" s="4" t="e">
        <f ca="1">[1]!BexGetData("DP_1","003N8EMH8GTFRCSWKMPXRSGPQ","GSON4143430402")</f>
        <v>#NAME?</v>
      </c>
      <c r="K2276" s="3" t="e">
        <f ca="1">[1]!BexGetData("DP_1","003N8EMH8GTFRIVNUPY288VJH","GSON4143430402")</f>
        <v>#NAME?</v>
      </c>
      <c r="L2276" s="3" t="e">
        <f ca="1">[1]!BexGetData("DP_1","003N8EMH8GTFRIVNUPY2891V1","GSON4143430402")</f>
        <v>#NAME?</v>
      </c>
      <c r="M2276" s="3" t="e">
        <f ca="1">[1]!BexGetData("DP_1","003N8EMH8GTFRIVOG7KG9IQXA","GSON4143430402")</f>
        <v>#NAME?</v>
      </c>
      <c r="N2276" s="8" t="e">
        <f ca="1">[1]!BexGetData("DP_1","003N8EMH8GTFRIVOG7KG9IX8U","GSON4143430402")</f>
        <v>#NAME?</v>
      </c>
      <c r="O2276" s="3" t="e">
        <f ca="1">[1]!BexGetData("DP_1","003N8EMH8GTFRIVOG7KG9J3KE","GSON4143430402")</f>
        <v>#NAME?</v>
      </c>
      <c r="P2276" s="8" t="e">
        <f ca="1">[1]!BexGetData("DP_1","003N8EMH8GTFRIVOG7KG9J9VY","GSON4143430402")</f>
        <v>#NAME?</v>
      </c>
      <c r="Q2276" s="4" t="e">
        <f ca="1">[1]!BexGetData("DP_1","00O2TNJGODT0G5Z4TTKYMM5MT","GSON4143430402")</f>
        <v>#NAME?</v>
      </c>
      <c r="R2276" s="4" t="e">
        <f ca="1">[1]!BexGetData("DP_1","00O2TNJGODT0G5Z4TTKYMMBYD","GSON4143430402")</f>
        <v>#NAME?</v>
      </c>
      <c r="S2276" s="4" t="e">
        <f ca="1">[1]!BexGetData("DP_1","00O2TNJGODT0G5Z4TTKYMMI9X","GSON4143430402")</f>
        <v>#NAME?</v>
      </c>
      <c r="T2276" s="4" t="e">
        <f ca="1">[1]!BexGetData("DP_1","00O2TNJGODT0G5Z4TTKYMMOLH","GSON4143430402")</f>
        <v>#NAME?</v>
      </c>
      <c r="U2276" s="4" t="e">
        <f ca="1">[1]!BexGetData("DP_1","00O2TNJGODT0G5Z4TTKYMMUX1","GSON4143430402")</f>
        <v>#NAME?</v>
      </c>
      <c r="V2276" s="4" t="e">
        <f ca="1">[1]!BexGetData("DP_1","00O2TNJGODT0G5Z4TTKYMN18L","GSON4143430402")</f>
        <v>#NAME?</v>
      </c>
      <c r="W2276" s="4" t="e">
        <f ca="1">[1]!BexGetData("DP_1","00O2TNJGODT0G5Z4TTKYMN7K5","GSON4143430402")</f>
        <v>#NAME?</v>
      </c>
    </row>
    <row r="2277" spans="1:23" x14ac:dyDescent="0.2">
      <c r="A2277" s="16" t="s">
        <v>1483</v>
      </c>
      <c r="B2277" s="7" t="s">
        <v>543</v>
      </c>
      <c r="C2277" s="3" t="e">
        <f ca="1">[1]!BexGetData("DP_1","003N8EMH8GTFRCSWKMPXRR8GU","GSON4143430501")</f>
        <v>#NAME?</v>
      </c>
      <c r="D2277" s="3" t="e">
        <f ca="1">[1]!BexGetData("DP_1","003N8EMH8GTFRCSWKMPXRRESE","GSON4143430501")</f>
        <v>#NAME?</v>
      </c>
      <c r="E2277" s="3" t="e">
        <f ca="1">[1]!BexGetData("DP_1","003N8EMH8GTFRCSWKMPXRRL3Y","GSON4143430501")</f>
        <v>#NAME?</v>
      </c>
      <c r="F2277" s="4" t="e">
        <f ca="1">[1]!BexGetData("DP_1","003N8EMH8GTFRCSWKMPXRRRFI","GSON4143430501")</f>
        <v>#NAME?</v>
      </c>
      <c r="G2277" s="4" t="e">
        <f ca="1">[1]!BexGetData("DP_1","003N8EMH8GTFRCSWKMPXRRXR2","GSON4143430501")</f>
        <v>#NAME?</v>
      </c>
      <c r="H2277" s="4" t="e">
        <f ca="1">[1]!BexGetData("DP_1","003N8EMH8GTFRCSWKMPXRS42M","GSON4143430501")</f>
        <v>#NAME?</v>
      </c>
      <c r="I2277" s="4" t="e">
        <f ca="1">[1]!BexGetData("DP_1","003N8EMH8GTFRCSWKMPXRSAE6","GSON4143430501")</f>
        <v>#NAME?</v>
      </c>
      <c r="J2277" s="4" t="e">
        <f ca="1">[1]!BexGetData("DP_1","003N8EMH8GTFRCSWKMPXRSGPQ","GSON4143430501")</f>
        <v>#NAME?</v>
      </c>
      <c r="K2277" s="3" t="e">
        <f ca="1">[1]!BexGetData("DP_1","003N8EMH8GTFRIVNUPY288VJH","GSON4143430501")</f>
        <v>#NAME?</v>
      </c>
      <c r="L2277" s="3" t="e">
        <f ca="1">[1]!BexGetData("DP_1","003N8EMH8GTFRIVNUPY2891V1","GSON4143430501")</f>
        <v>#NAME?</v>
      </c>
      <c r="M2277" s="3" t="e">
        <f ca="1">[1]!BexGetData("DP_1","003N8EMH8GTFRIVOG7KG9IQXA","GSON4143430501")</f>
        <v>#NAME?</v>
      </c>
      <c r="N2277" s="8" t="e">
        <f ca="1">[1]!BexGetData("DP_1","003N8EMH8GTFRIVOG7KG9IX8U","GSON4143430501")</f>
        <v>#NAME?</v>
      </c>
      <c r="O2277" s="3" t="e">
        <f ca="1">[1]!BexGetData("DP_1","003N8EMH8GTFRIVOG7KG9J3KE","GSON4143430501")</f>
        <v>#NAME?</v>
      </c>
      <c r="P2277" s="8" t="e">
        <f ca="1">[1]!BexGetData("DP_1","003N8EMH8GTFRIVOG7KG9J9VY","GSON4143430501")</f>
        <v>#NAME?</v>
      </c>
      <c r="Q2277" s="4" t="e">
        <f ca="1">[1]!BexGetData("DP_1","00O2TNJGODT0G5Z4TTKYMM5MT","GSON4143430501")</f>
        <v>#NAME?</v>
      </c>
      <c r="R2277" s="4" t="e">
        <f ca="1">[1]!BexGetData("DP_1","00O2TNJGODT0G5Z4TTKYMMBYD","GSON4143430501")</f>
        <v>#NAME?</v>
      </c>
      <c r="S2277" s="4" t="e">
        <f ca="1">[1]!BexGetData("DP_1","00O2TNJGODT0G5Z4TTKYMMI9X","GSON4143430501")</f>
        <v>#NAME?</v>
      </c>
      <c r="T2277" s="4" t="e">
        <f ca="1">[1]!BexGetData("DP_1","00O2TNJGODT0G5Z4TTKYMMOLH","GSON4143430501")</f>
        <v>#NAME?</v>
      </c>
      <c r="U2277" s="4" t="e">
        <f ca="1">[1]!BexGetData("DP_1","00O2TNJGODT0G5Z4TTKYMMUX1","GSON4143430501")</f>
        <v>#NAME?</v>
      </c>
      <c r="V2277" s="4" t="e">
        <f ca="1">[1]!BexGetData("DP_1","00O2TNJGODT0G5Z4TTKYMN18L","GSON4143430501")</f>
        <v>#NAME?</v>
      </c>
      <c r="W2277" s="4" t="e">
        <f ca="1">[1]!BexGetData("DP_1","00O2TNJGODT0G5Z4TTKYMN7K5","GSON4143430501")</f>
        <v>#NAME?</v>
      </c>
    </row>
    <row r="2278" spans="1:23" x14ac:dyDescent="0.2">
      <c r="A2278" s="16" t="s">
        <v>1484</v>
      </c>
      <c r="B2278" s="7" t="s">
        <v>544</v>
      </c>
      <c r="C2278" s="3" t="e">
        <f ca="1">[1]!BexGetData("DP_1","003N8EMH8GTFRCSWKMPXRR8GU","GSON4143430601")</f>
        <v>#NAME?</v>
      </c>
      <c r="D2278" s="3" t="e">
        <f ca="1">[1]!BexGetData("DP_1","003N8EMH8GTFRCSWKMPXRRESE","GSON4143430601")</f>
        <v>#NAME?</v>
      </c>
      <c r="E2278" s="3" t="e">
        <f ca="1">[1]!BexGetData("DP_1","003N8EMH8GTFRCSWKMPXRRL3Y","GSON4143430601")</f>
        <v>#NAME?</v>
      </c>
      <c r="F2278" s="4" t="e">
        <f ca="1">[1]!BexGetData("DP_1","003N8EMH8GTFRCSWKMPXRRRFI","GSON4143430601")</f>
        <v>#NAME?</v>
      </c>
      <c r="G2278" s="4" t="e">
        <f ca="1">[1]!BexGetData("DP_1","003N8EMH8GTFRCSWKMPXRRXR2","GSON4143430601")</f>
        <v>#NAME?</v>
      </c>
      <c r="H2278" s="4" t="e">
        <f ca="1">[1]!BexGetData("DP_1","003N8EMH8GTFRCSWKMPXRS42M","GSON4143430601")</f>
        <v>#NAME?</v>
      </c>
      <c r="I2278" s="4" t="e">
        <f ca="1">[1]!BexGetData("DP_1","003N8EMH8GTFRCSWKMPXRSAE6","GSON4143430601")</f>
        <v>#NAME?</v>
      </c>
      <c r="J2278" s="4" t="e">
        <f ca="1">[1]!BexGetData("DP_1","003N8EMH8GTFRCSWKMPXRSGPQ","GSON4143430601")</f>
        <v>#NAME?</v>
      </c>
      <c r="K2278" s="3" t="e">
        <f ca="1">[1]!BexGetData("DP_1","003N8EMH8GTFRIVNUPY288VJH","GSON4143430601")</f>
        <v>#NAME?</v>
      </c>
      <c r="L2278" s="3" t="e">
        <f ca="1">[1]!BexGetData("DP_1","003N8EMH8GTFRIVNUPY2891V1","GSON4143430601")</f>
        <v>#NAME?</v>
      </c>
      <c r="M2278" s="8" t="e">
        <f ca="1">[1]!BexGetData("DP_1","003N8EMH8GTFRIVOG7KG9IQXA","GSON4143430601")</f>
        <v>#NAME?</v>
      </c>
      <c r="N2278" s="3" t="e">
        <f ca="1">[1]!BexGetData("DP_1","003N8EMH8GTFRIVOG7KG9IX8U","GSON4143430601")</f>
        <v>#NAME?</v>
      </c>
      <c r="O2278" s="8" t="e">
        <f ca="1">[1]!BexGetData("DP_1","003N8EMH8GTFRIVOG7KG9J3KE","GSON4143430601")</f>
        <v>#NAME?</v>
      </c>
      <c r="P2278" s="3" t="e">
        <f ca="1">[1]!BexGetData("DP_1","003N8EMH8GTFRIVOG7KG9J9VY","GSON4143430601")</f>
        <v>#NAME?</v>
      </c>
      <c r="Q2278" s="4" t="e">
        <f ca="1">[1]!BexGetData("DP_1","00O2TNJGODT0G5Z4TTKYMM5MT","GSON4143430601")</f>
        <v>#NAME?</v>
      </c>
      <c r="R2278" s="4" t="e">
        <f ca="1">[1]!BexGetData("DP_1","00O2TNJGODT0G5Z4TTKYMMBYD","GSON4143430601")</f>
        <v>#NAME?</v>
      </c>
      <c r="S2278" s="4" t="e">
        <f ca="1">[1]!BexGetData("DP_1","00O2TNJGODT0G5Z4TTKYMMI9X","GSON4143430601")</f>
        <v>#NAME?</v>
      </c>
      <c r="T2278" s="4" t="e">
        <f ca="1">[1]!BexGetData("DP_1","00O2TNJGODT0G5Z4TTKYMMOLH","GSON4143430601")</f>
        <v>#NAME?</v>
      </c>
      <c r="U2278" s="4" t="e">
        <f ca="1">[1]!BexGetData("DP_1","00O2TNJGODT0G5Z4TTKYMMUX1","GSON4143430601")</f>
        <v>#NAME?</v>
      </c>
      <c r="V2278" s="4" t="e">
        <f ca="1">[1]!BexGetData("DP_1","00O2TNJGODT0G5Z4TTKYMN18L","GSON4143430601")</f>
        <v>#NAME?</v>
      </c>
      <c r="W2278" s="4" t="e">
        <f ca="1">[1]!BexGetData("DP_1","00O2TNJGODT0G5Z4TTKYMN7K5","GSON4143430601")</f>
        <v>#NAME?</v>
      </c>
    </row>
    <row r="2279" spans="1:23" x14ac:dyDescent="0.2">
      <c r="A2279" s="16" t="s">
        <v>1485</v>
      </c>
      <c r="B2279" s="7" t="s">
        <v>545</v>
      </c>
      <c r="C2279" s="3" t="e">
        <f ca="1">[1]!BexGetData("DP_1","003N8EMH8GTFRCSWKMPXRR8GU","GSON4143430701")</f>
        <v>#NAME?</v>
      </c>
      <c r="D2279" s="3" t="e">
        <f ca="1">[1]!BexGetData("DP_1","003N8EMH8GTFRCSWKMPXRRESE","GSON4143430701")</f>
        <v>#NAME?</v>
      </c>
      <c r="E2279" s="3" t="e">
        <f ca="1">[1]!BexGetData("DP_1","003N8EMH8GTFRCSWKMPXRRL3Y","GSON4143430701")</f>
        <v>#NAME?</v>
      </c>
      <c r="F2279" s="4" t="e">
        <f ca="1">[1]!BexGetData("DP_1","003N8EMH8GTFRCSWKMPXRRRFI","GSON4143430701")</f>
        <v>#NAME?</v>
      </c>
      <c r="G2279" s="4" t="e">
        <f ca="1">[1]!BexGetData("DP_1","003N8EMH8GTFRCSWKMPXRRXR2","GSON4143430701")</f>
        <v>#NAME?</v>
      </c>
      <c r="H2279" s="4" t="e">
        <f ca="1">[1]!BexGetData("DP_1","003N8EMH8GTFRCSWKMPXRS42M","GSON4143430701")</f>
        <v>#NAME?</v>
      </c>
      <c r="I2279" s="4" t="e">
        <f ca="1">[1]!BexGetData("DP_1","003N8EMH8GTFRCSWKMPXRSAE6","GSON4143430701")</f>
        <v>#NAME?</v>
      </c>
      <c r="J2279" s="4" t="e">
        <f ca="1">[1]!BexGetData("DP_1","003N8EMH8GTFRCSWKMPXRSGPQ","GSON4143430701")</f>
        <v>#NAME?</v>
      </c>
      <c r="K2279" s="3" t="e">
        <f ca="1">[1]!BexGetData("DP_1","003N8EMH8GTFRIVNUPY288VJH","GSON4143430701")</f>
        <v>#NAME?</v>
      </c>
      <c r="L2279" s="3" t="e">
        <f ca="1">[1]!BexGetData("DP_1","003N8EMH8GTFRIVNUPY2891V1","GSON4143430701")</f>
        <v>#NAME?</v>
      </c>
      <c r="M2279" s="3" t="e">
        <f ca="1">[1]!BexGetData("DP_1","003N8EMH8GTFRIVOG7KG9IQXA","GSON4143430701")</f>
        <v>#NAME?</v>
      </c>
      <c r="N2279" s="8" t="e">
        <f ca="1">[1]!BexGetData("DP_1","003N8EMH8GTFRIVOG7KG9IX8U","GSON4143430701")</f>
        <v>#NAME?</v>
      </c>
      <c r="O2279" s="3" t="e">
        <f ca="1">[1]!BexGetData("DP_1","003N8EMH8GTFRIVOG7KG9J3KE","GSON4143430701")</f>
        <v>#NAME?</v>
      </c>
      <c r="P2279" s="8" t="e">
        <f ca="1">[1]!BexGetData("DP_1","003N8EMH8GTFRIVOG7KG9J9VY","GSON4143430701")</f>
        <v>#NAME?</v>
      </c>
      <c r="Q2279" s="4" t="e">
        <f ca="1">[1]!BexGetData("DP_1","00O2TNJGODT0G5Z4TTKYMM5MT","GSON4143430701")</f>
        <v>#NAME?</v>
      </c>
      <c r="R2279" s="4" t="e">
        <f ca="1">[1]!BexGetData("DP_1","00O2TNJGODT0G5Z4TTKYMMBYD","GSON4143430701")</f>
        <v>#NAME?</v>
      </c>
      <c r="S2279" s="4" t="e">
        <f ca="1">[1]!BexGetData("DP_1","00O2TNJGODT0G5Z4TTKYMMI9X","GSON4143430701")</f>
        <v>#NAME?</v>
      </c>
      <c r="T2279" s="4" t="e">
        <f ca="1">[1]!BexGetData("DP_1","00O2TNJGODT0G5Z4TTKYMMOLH","GSON4143430701")</f>
        <v>#NAME?</v>
      </c>
      <c r="U2279" s="4" t="e">
        <f ca="1">[1]!BexGetData("DP_1","00O2TNJGODT0G5Z4TTKYMMUX1","GSON4143430701")</f>
        <v>#NAME?</v>
      </c>
      <c r="V2279" s="4" t="e">
        <f ca="1">[1]!BexGetData("DP_1","00O2TNJGODT0G5Z4TTKYMN18L","GSON4143430701")</f>
        <v>#NAME?</v>
      </c>
      <c r="W2279" s="4" t="e">
        <f ca="1">[1]!BexGetData("DP_1","00O2TNJGODT0G5Z4TTKYMN7K5","GSON4143430701")</f>
        <v>#NAME?</v>
      </c>
    </row>
    <row r="2280" spans="1:23" x14ac:dyDescent="0.2">
      <c r="A2280" s="16" t="s">
        <v>1486</v>
      </c>
      <c r="B2280" s="7" t="s">
        <v>546</v>
      </c>
      <c r="C2280" s="3" t="e">
        <f ca="1">[1]!BexGetData("DP_1","003N8EMH8GTFRCSWKMPXRR8GU","GSON4143430702")</f>
        <v>#NAME?</v>
      </c>
      <c r="D2280" s="3" t="e">
        <f ca="1">[1]!BexGetData("DP_1","003N8EMH8GTFRCSWKMPXRRESE","GSON4143430702")</f>
        <v>#NAME?</v>
      </c>
      <c r="E2280" s="3" t="e">
        <f ca="1">[1]!BexGetData("DP_1","003N8EMH8GTFRCSWKMPXRRL3Y","GSON4143430702")</f>
        <v>#NAME?</v>
      </c>
      <c r="F2280" s="4" t="e">
        <f ca="1">[1]!BexGetData("DP_1","003N8EMH8GTFRCSWKMPXRRRFI","GSON4143430702")</f>
        <v>#NAME?</v>
      </c>
      <c r="G2280" s="4" t="e">
        <f ca="1">[1]!BexGetData("DP_1","003N8EMH8GTFRCSWKMPXRRXR2","GSON4143430702")</f>
        <v>#NAME?</v>
      </c>
      <c r="H2280" s="4" t="e">
        <f ca="1">[1]!BexGetData("DP_1","003N8EMH8GTFRCSWKMPXRS42M","GSON4143430702")</f>
        <v>#NAME?</v>
      </c>
      <c r="I2280" s="4" t="e">
        <f ca="1">[1]!BexGetData("DP_1","003N8EMH8GTFRCSWKMPXRSAE6","GSON4143430702")</f>
        <v>#NAME?</v>
      </c>
      <c r="J2280" s="4" t="e">
        <f ca="1">[1]!BexGetData("DP_1","003N8EMH8GTFRCSWKMPXRSGPQ","GSON4143430702")</f>
        <v>#NAME?</v>
      </c>
      <c r="K2280" s="3" t="e">
        <f ca="1">[1]!BexGetData("DP_1","003N8EMH8GTFRIVNUPY288VJH","GSON4143430702")</f>
        <v>#NAME?</v>
      </c>
      <c r="L2280" s="3" t="e">
        <f ca="1">[1]!BexGetData("DP_1","003N8EMH8GTFRIVNUPY2891V1","GSON4143430702")</f>
        <v>#NAME?</v>
      </c>
      <c r="M2280" s="3" t="e">
        <f ca="1">[1]!BexGetData("DP_1","003N8EMH8GTFRIVOG7KG9IQXA","GSON4143430702")</f>
        <v>#NAME?</v>
      </c>
      <c r="N2280" s="8" t="e">
        <f ca="1">[1]!BexGetData("DP_1","003N8EMH8GTFRIVOG7KG9IX8U","GSON4143430702")</f>
        <v>#NAME?</v>
      </c>
      <c r="O2280" s="3" t="e">
        <f ca="1">[1]!BexGetData("DP_1","003N8EMH8GTFRIVOG7KG9J3KE","GSON4143430702")</f>
        <v>#NAME?</v>
      </c>
      <c r="P2280" s="8" t="e">
        <f ca="1">[1]!BexGetData("DP_1","003N8EMH8GTFRIVOG7KG9J9VY","GSON4143430702")</f>
        <v>#NAME?</v>
      </c>
      <c r="Q2280" s="4" t="e">
        <f ca="1">[1]!BexGetData("DP_1","00O2TNJGODT0G5Z4TTKYMM5MT","GSON4143430702")</f>
        <v>#NAME?</v>
      </c>
      <c r="R2280" s="4" t="e">
        <f ca="1">[1]!BexGetData("DP_1","00O2TNJGODT0G5Z4TTKYMMBYD","GSON4143430702")</f>
        <v>#NAME?</v>
      </c>
      <c r="S2280" s="4" t="e">
        <f ca="1">[1]!BexGetData("DP_1","00O2TNJGODT0G5Z4TTKYMMI9X","GSON4143430702")</f>
        <v>#NAME?</v>
      </c>
      <c r="T2280" s="4" t="e">
        <f ca="1">[1]!BexGetData("DP_1","00O2TNJGODT0G5Z4TTKYMMOLH","GSON4143430702")</f>
        <v>#NAME?</v>
      </c>
      <c r="U2280" s="4" t="e">
        <f ca="1">[1]!BexGetData("DP_1","00O2TNJGODT0G5Z4TTKYMMUX1","GSON4143430702")</f>
        <v>#NAME?</v>
      </c>
      <c r="V2280" s="4" t="e">
        <f ca="1">[1]!BexGetData("DP_1","00O2TNJGODT0G5Z4TTKYMN18L","GSON4143430702")</f>
        <v>#NAME?</v>
      </c>
      <c r="W2280" s="4" t="e">
        <f ca="1">[1]!BexGetData("DP_1","00O2TNJGODT0G5Z4TTKYMN7K5","GSON4143430702")</f>
        <v>#NAME?</v>
      </c>
    </row>
    <row r="2281" spans="1:23" x14ac:dyDescent="0.2">
      <c r="A2281" s="16" t="s">
        <v>4916</v>
      </c>
      <c r="B2281" s="7" t="s">
        <v>4917</v>
      </c>
      <c r="C2281" s="3" t="e">
        <f ca="1">[1]!BexGetData("DP_1","003N8EMH8GTFRCSWKMPXRR8GU","GSON4143430703")</f>
        <v>#NAME?</v>
      </c>
      <c r="D2281" s="3" t="e">
        <f ca="1">[1]!BexGetData("DP_1","003N8EMH8GTFRCSWKMPXRRESE","GSON4143430703")</f>
        <v>#NAME?</v>
      </c>
      <c r="E2281" s="3" t="e">
        <f ca="1">[1]!BexGetData("DP_1","003N8EMH8GTFRCSWKMPXRRL3Y","GSON4143430703")</f>
        <v>#NAME?</v>
      </c>
      <c r="F2281" s="4" t="e">
        <f ca="1">[1]!BexGetData("DP_1","003N8EMH8GTFRCSWKMPXRRRFI","GSON4143430703")</f>
        <v>#NAME?</v>
      </c>
      <c r="G2281" s="4" t="e">
        <f ca="1">[1]!BexGetData("DP_1","003N8EMH8GTFRCSWKMPXRRXR2","GSON4143430703")</f>
        <v>#NAME?</v>
      </c>
      <c r="H2281" s="4" t="e">
        <f ca="1">[1]!BexGetData("DP_1","003N8EMH8GTFRCSWKMPXRS42M","GSON4143430703")</f>
        <v>#NAME?</v>
      </c>
      <c r="I2281" s="4" t="e">
        <f ca="1">[1]!BexGetData("DP_1","003N8EMH8GTFRCSWKMPXRSAE6","GSON4143430703")</f>
        <v>#NAME?</v>
      </c>
      <c r="J2281" s="4" t="e">
        <f ca="1">[1]!BexGetData("DP_1","003N8EMH8GTFRCSWKMPXRSGPQ","GSON4143430703")</f>
        <v>#NAME?</v>
      </c>
      <c r="K2281" s="3" t="e">
        <f ca="1">[1]!BexGetData("DP_1","003N8EMH8GTFRIVNUPY288VJH","GSON4143430703")</f>
        <v>#NAME?</v>
      </c>
      <c r="L2281" s="3" t="e">
        <f ca="1">[1]!BexGetData("DP_1","003N8EMH8GTFRIVNUPY2891V1","GSON4143430703")</f>
        <v>#NAME?</v>
      </c>
      <c r="M2281" s="3" t="e">
        <f ca="1">[1]!BexGetData("DP_1","003N8EMH8GTFRIVOG7KG9IQXA","GSON4143430703")</f>
        <v>#NAME?</v>
      </c>
      <c r="N2281" s="8" t="e">
        <f ca="1">[1]!BexGetData("DP_1","003N8EMH8GTFRIVOG7KG9IX8U","GSON4143430703")</f>
        <v>#NAME?</v>
      </c>
      <c r="O2281" s="3" t="e">
        <f ca="1">[1]!BexGetData("DP_1","003N8EMH8GTFRIVOG7KG9J3KE","GSON4143430703")</f>
        <v>#NAME?</v>
      </c>
      <c r="P2281" s="8" t="e">
        <f ca="1">[1]!BexGetData("DP_1","003N8EMH8GTFRIVOG7KG9J9VY","GSON4143430703")</f>
        <v>#NAME?</v>
      </c>
      <c r="Q2281" s="4" t="e">
        <f ca="1">[1]!BexGetData("DP_1","00O2TNJGODT0G5Z4TTKYMM5MT","GSON4143430703")</f>
        <v>#NAME?</v>
      </c>
      <c r="R2281" s="4" t="e">
        <f ca="1">[1]!BexGetData("DP_1","00O2TNJGODT0G5Z4TTKYMMBYD","GSON4143430703")</f>
        <v>#NAME?</v>
      </c>
      <c r="S2281" s="4" t="e">
        <f ca="1">[1]!BexGetData("DP_1","00O2TNJGODT0G5Z4TTKYMMI9X","GSON4143430703")</f>
        <v>#NAME?</v>
      </c>
      <c r="T2281" s="4" t="e">
        <f ca="1">[1]!BexGetData("DP_1","00O2TNJGODT0G5Z4TTKYMMOLH","GSON4143430703")</f>
        <v>#NAME?</v>
      </c>
      <c r="U2281" s="4" t="e">
        <f ca="1">[1]!BexGetData("DP_1","00O2TNJGODT0G5Z4TTKYMMUX1","GSON4143430703")</f>
        <v>#NAME?</v>
      </c>
      <c r="V2281" s="4" t="e">
        <f ca="1">[1]!BexGetData("DP_1","00O2TNJGODT0G5Z4TTKYMN18L","GSON4143430703")</f>
        <v>#NAME?</v>
      </c>
      <c r="W2281" s="4" t="e">
        <f ca="1">[1]!BexGetData("DP_1","00O2TNJGODT0G5Z4TTKYMN7K5","GSON4143430703")</f>
        <v>#NAME?</v>
      </c>
    </row>
    <row r="2282" spans="1:23" x14ac:dyDescent="0.2">
      <c r="A2282" s="16" t="s">
        <v>1487</v>
      </c>
      <c r="B2282" s="7" t="s">
        <v>547</v>
      </c>
      <c r="C2282" s="3" t="e">
        <f ca="1">[1]!BexGetData("DP_1","003N8EMH8GTFRCSWKMPXRR8GU","GSON4143430801")</f>
        <v>#NAME?</v>
      </c>
      <c r="D2282" s="3" t="e">
        <f ca="1">[1]!BexGetData("DP_1","003N8EMH8GTFRCSWKMPXRRESE","GSON4143430801")</f>
        <v>#NAME?</v>
      </c>
      <c r="E2282" s="3" t="e">
        <f ca="1">[1]!BexGetData("DP_1","003N8EMH8GTFRCSWKMPXRRL3Y","GSON4143430801")</f>
        <v>#NAME?</v>
      </c>
      <c r="F2282" s="4" t="e">
        <f ca="1">[1]!BexGetData("DP_1","003N8EMH8GTFRCSWKMPXRRRFI","GSON4143430801")</f>
        <v>#NAME?</v>
      </c>
      <c r="G2282" s="4" t="e">
        <f ca="1">[1]!BexGetData("DP_1","003N8EMH8GTFRCSWKMPXRRXR2","GSON4143430801")</f>
        <v>#NAME?</v>
      </c>
      <c r="H2282" s="4" t="e">
        <f ca="1">[1]!BexGetData("DP_1","003N8EMH8GTFRCSWKMPXRS42M","GSON4143430801")</f>
        <v>#NAME?</v>
      </c>
      <c r="I2282" s="4" t="e">
        <f ca="1">[1]!BexGetData("DP_1","003N8EMH8GTFRCSWKMPXRSAE6","GSON4143430801")</f>
        <v>#NAME?</v>
      </c>
      <c r="J2282" s="4" t="e">
        <f ca="1">[1]!BexGetData("DP_1","003N8EMH8GTFRCSWKMPXRSGPQ","GSON4143430801")</f>
        <v>#NAME?</v>
      </c>
      <c r="K2282" s="3" t="e">
        <f ca="1">[1]!BexGetData("DP_1","003N8EMH8GTFRIVNUPY288VJH","GSON4143430801")</f>
        <v>#NAME?</v>
      </c>
      <c r="L2282" s="3" t="e">
        <f ca="1">[1]!BexGetData("DP_1","003N8EMH8GTFRIVNUPY2891V1","GSON4143430801")</f>
        <v>#NAME?</v>
      </c>
      <c r="M2282" s="3" t="e">
        <f ca="1">[1]!BexGetData("DP_1","003N8EMH8GTFRIVOG7KG9IQXA","GSON4143430801")</f>
        <v>#NAME?</v>
      </c>
      <c r="N2282" s="8" t="e">
        <f ca="1">[1]!BexGetData("DP_1","003N8EMH8GTFRIVOG7KG9IX8U","GSON4143430801")</f>
        <v>#NAME?</v>
      </c>
      <c r="O2282" s="3" t="e">
        <f ca="1">[1]!BexGetData("DP_1","003N8EMH8GTFRIVOG7KG9J3KE","GSON4143430801")</f>
        <v>#NAME?</v>
      </c>
      <c r="P2282" s="8" t="e">
        <f ca="1">[1]!BexGetData("DP_1","003N8EMH8GTFRIVOG7KG9J9VY","GSON4143430801")</f>
        <v>#NAME?</v>
      </c>
      <c r="Q2282" s="4" t="e">
        <f ca="1">[1]!BexGetData("DP_1","00O2TNJGODT0G5Z4TTKYMM5MT","GSON4143430801")</f>
        <v>#NAME?</v>
      </c>
      <c r="R2282" s="4" t="e">
        <f ca="1">[1]!BexGetData("DP_1","00O2TNJGODT0G5Z4TTKYMMBYD","GSON4143430801")</f>
        <v>#NAME?</v>
      </c>
      <c r="S2282" s="4" t="e">
        <f ca="1">[1]!BexGetData("DP_1","00O2TNJGODT0G5Z4TTKYMMI9X","GSON4143430801")</f>
        <v>#NAME?</v>
      </c>
      <c r="T2282" s="4" t="e">
        <f ca="1">[1]!BexGetData("DP_1","00O2TNJGODT0G5Z4TTKYMMOLH","GSON4143430801")</f>
        <v>#NAME?</v>
      </c>
      <c r="U2282" s="4" t="e">
        <f ca="1">[1]!BexGetData("DP_1","00O2TNJGODT0G5Z4TTKYMMUX1","GSON4143430801")</f>
        <v>#NAME?</v>
      </c>
      <c r="V2282" s="4" t="e">
        <f ca="1">[1]!BexGetData("DP_1","00O2TNJGODT0G5Z4TTKYMN18L","GSON4143430801")</f>
        <v>#NAME?</v>
      </c>
      <c r="W2282" s="4" t="e">
        <f ca="1">[1]!BexGetData("DP_1","00O2TNJGODT0G5Z4TTKYMN7K5","GSON4143430801")</f>
        <v>#NAME?</v>
      </c>
    </row>
    <row r="2283" spans="1:23" x14ac:dyDescent="0.2">
      <c r="A2283" s="16" t="s">
        <v>1488</v>
      </c>
      <c r="B2283" s="7" t="s">
        <v>548</v>
      </c>
      <c r="C2283" s="3" t="e">
        <f ca="1">[1]!BexGetData("DP_1","003N8EMH8GTFRCSWKMPXRR8GU","GSON4143430802")</f>
        <v>#NAME?</v>
      </c>
      <c r="D2283" s="3" t="e">
        <f ca="1">[1]!BexGetData("DP_1","003N8EMH8GTFRCSWKMPXRRESE","GSON4143430802")</f>
        <v>#NAME?</v>
      </c>
      <c r="E2283" s="8" t="e">
        <f ca="1">[1]!BexGetData("DP_1","003N8EMH8GTFRCSWKMPXRRL3Y","GSON4143430802")</f>
        <v>#NAME?</v>
      </c>
      <c r="F2283" s="4" t="e">
        <f ca="1">[1]!BexGetData("DP_1","003N8EMH8GTFRCSWKMPXRRRFI","GSON4143430802")</f>
        <v>#NAME?</v>
      </c>
      <c r="G2283" s="4" t="e">
        <f ca="1">[1]!BexGetData("DP_1","003N8EMH8GTFRCSWKMPXRRXR2","GSON4143430802")</f>
        <v>#NAME?</v>
      </c>
      <c r="H2283" s="4" t="e">
        <f ca="1">[1]!BexGetData("DP_1","003N8EMH8GTFRCSWKMPXRS42M","GSON4143430802")</f>
        <v>#NAME?</v>
      </c>
      <c r="I2283" s="4" t="e">
        <f ca="1">[1]!BexGetData("DP_1","003N8EMH8GTFRCSWKMPXRSAE6","GSON4143430802")</f>
        <v>#NAME?</v>
      </c>
      <c r="J2283" s="4" t="e">
        <f ca="1">[1]!BexGetData("DP_1","003N8EMH8GTFRCSWKMPXRSGPQ","GSON4143430802")</f>
        <v>#NAME?</v>
      </c>
      <c r="K2283" s="8" t="e">
        <f ca="1">[1]!BexGetData("DP_1","003N8EMH8GTFRIVNUPY288VJH","GSON4143430802")</f>
        <v>#NAME?</v>
      </c>
      <c r="L2283" s="8" t="e">
        <f ca="1">[1]!BexGetData("DP_1","003N8EMH8GTFRIVNUPY2891V1","GSON4143430802")</f>
        <v>#NAME?</v>
      </c>
      <c r="M2283" s="8" t="e">
        <f ca="1">[1]!BexGetData("DP_1","003N8EMH8GTFRIVOG7KG9IQXA","GSON4143430802")</f>
        <v>#NAME?</v>
      </c>
      <c r="N2283" s="8" t="e">
        <f ca="1">[1]!BexGetData("DP_1","003N8EMH8GTFRIVOG7KG9IX8U","GSON4143430802")</f>
        <v>#NAME?</v>
      </c>
      <c r="O2283" s="8" t="e">
        <f ca="1">[1]!BexGetData("DP_1","003N8EMH8GTFRIVOG7KG9J3KE","GSON4143430802")</f>
        <v>#NAME?</v>
      </c>
      <c r="P2283" s="8" t="e">
        <f ca="1">[1]!BexGetData("DP_1","003N8EMH8GTFRIVOG7KG9J9VY","GSON4143430802")</f>
        <v>#NAME?</v>
      </c>
      <c r="Q2283" s="4" t="e">
        <f ca="1">[1]!BexGetData("DP_1","00O2TNJGODT0G5Z4TTKYMM5MT","GSON4143430802")</f>
        <v>#NAME?</v>
      </c>
      <c r="R2283" s="4" t="e">
        <f ca="1">[1]!BexGetData("DP_1","00O2TNJGODT0G5Z4TTKYMMBYD","GSON4143430802")</f>
        <v>#NAME?</v>
      </c>
      <c r="S2283" s="4" t="e">
        <f ca="1">[1]!BexGetData("DP_1","00O2TNJGODT0G5Z4TTKYMMI9X","GSON4143430802")</f>
        <v>#NAME?</v>
      </c>
      <c r="T2283" s="4" t="e">
        <f ca="1">[1]!BexGetData("DP_1","00O2TNJGODT0G5Z4TTKYMMOLH","GSON4143430802")</f>
        <v>#NAME?</v>
      </c>
      <c r="U2283" s="4" t="e">
        <f ca="1">[1]!BexGetData("DP_1","00O2TNJGODT0G5Z4TTKYMMUX1","GSON4143430802")</f>
        <v>#NAME?</v>
      </c>
      <c r="V2283" s="4" t="e">
        <f ca="1">[1]!BexGetData("DP_1","00O2TNJGODT0G5Z4TTKYMN18L","GSON4143430802")</f>
        <v>#NAME?</v>
      </c>
      <c r="W2283" s="4" t="e">
        <f ca="1">[1]!BexGetData("DP_1","00O2TNJGODT0G5Z4TTKYMN7K5","GSON4143430802")</f>
        <v>#NAME?</v>
      </c>
    </row>
    <row r="2284" spans="1:23" x14ac:dyDescent="0.2">
      <c r="A2284" s="16" t="s">
        <v>1489</v>
      </c>
      <c r="B2284" s="7" t="s">
        <v>549</v>
      </c>
      <c r="C2284" s="3" t="e">
        <f ca="1">[1]!BexGetData("DP_1","003N8EMH8GTFRCSWKMPXRR8GU","GSON4143430803")</f>
        <v>#NAME?</v>
      </c>
      <c r="D2284" s="3" t="e">
        <f ca="1">[1]!BexGetData("DP_1","003N8EMH8GTFRCSWKMPXRRESE","GSON4143430803")</f>
        <v>#NAME?</v>
      </c>
      <c r="E2284" s="3" t="e">
        <f ca="1">[1]!BexGetData("DP_1","003N8EMH8GTFRCSWKMPXRRL3Y","GSON4143430803")</f>
        <v>#NAME?</v>
      </c>
      <c r="F2284" s="4" t="e">
        <f ca="1">[1]!BexGetData("DP_1","003N8EMH8GTFRCSWKMPXRRRFI","GSON4143430803")</f>
        <v>#NAME?</v>
      </c>
      <c r="G2284" s="4" t="e">
        <f ca="1">[1]!BexGetData("DP_1","003N8EMH8GTFRCSWKMPXRRXR2","GSON4143430803")</f>
        <v>#NAME?</v>
      </c>
      <c r="H2284" s="4" t="e">
        <f ca="1">[1]!BexGetData("DP_1","003N8EMH8GTFRCSWKMPXRS42M","GSON4143430803")</f>
        <v>#NAME?</v>
      </c>
      <c r="I2284" s="4" t="e">
        <f ca="1">[1]!BexGetData("DP_1","003N8EMH8GTFRCSWKMPXRSAE6","GSON4143430803")</f>
        <v>#NAME?</v>
      </c>
      <c r="J2284" s="4" t="e">
        <f ca="1">[1]!BexGetData("DP_1","003N8EMH8GTFRCSWKMPXRSGPQ","GSON4143430803")</f>
        <v>#NAME?</v>
      </c>
      <c r="K2284" s="3" t="e">
        <f ca="1">[1]!BexGetData("DP_1","003N8EMH8GTFRIVNUPY288VJH","GSON4143430803")</f>
        <v>#NAME?</v>
      </c>
      <c r="L2284" s="3" t="e">
        <f ca="1">[1]!BexGetData("DP_1","003N8EMH8GTFRIVNUPY2891V1","GSON4143430803")</f>
        <v>#NAME?</v>
      </c>
      <c r="M2284" s="3" t="e">
        <f ca="1">[1]!BexGetData("DP_1","003N8EMH8GTFRIVOG7KG9IQXA","GSON4143430803")</f>
        <v>#NAME?</v>
      </c>
      <c r="N2284" s="8" t="e">
        <f ca="1">[1]!BexGetData("DP_1","003N8EMH8GTFRIVOG7KG9IX8U","GSON4143430803")</f>
        <v>#NAME?</v>
      </c>
      <c r="O2284" s="3" t="e">
        <f ca="1">[1]!BexGetData("DP_1","003N8EMH8GTFRIVOG7KG9J3KE","GSON4143430803")</f>
        <v>#NAME?</v>
      </c>
      <c r="P2284" s="8" t="e">
        <f ca="1">[1]!BexGetData("DP_1","003N8EMH8GTFRIVOG7KG9J9VY","GSON4143430803")</f>
        <v>#NAME?</v>
      </c>
      <c r="Q2284" s="4" t="e">
        <f ca="1">[1]!BexGetData("DP_1","00O2TNJGODT0G5Z4TTKYMM5MT","GSON4143430803")</f>
        <v>#NAME?</v>
      </c>
      <c r="R2284" s="4" t="e">
        <f ca="1">[1]!BexGetData("DP_1","00O2TNJGODT0G5Z4TTKYMMBYD","GSON4143430803")</f>
        <v>#NAME?</v>
      </c>
      <c r="S2284" s="4" t="e">
        <f ca="1">[1]!BexGetData("DP_1","00O2TNJGODT0G5Z4TTKYMMI9X","GSON4143430803")</f>
        <v>#NAME?</v>
      </c>
      <c r="T2284" s="4" t="e">
        <f ca="1">[1]!BexGetData("DP_1","00O2TNJGODT0G5Z4TTKYMMOLH","GSON4143430803")</f>
        <v>#NAME?</v>
      </c>
      <c r="U2284" s="4" t="e">
        <f ca="1">[1]!BexGetData("DP_1","00O2TNJGODT0G5Z4TTKYMMUX1","GSON4143430803")</f>
        <v>#NAME?</v>
      </c>
      <c r="V2284" s="4" t="e">
        <f ca="1">[1]!BexGetData("DP_1","00O2TNJGODT0G5Z4TTKYMN18L","GSON4143430803")</f>
        <v>#NAME?</v>
      </c>
      <c r="W2284" s="4" t="e">
        <f ca="1">[1]!BexGetData("DP_1","00O2TNJGODT0G5Z4TTKYMN7K5","GSON4143430803")</f>
        <v>#NAME?</v>
      </c>
    </row>
    <row r="2285" spans="1:23" x14ac:dyDescent="0.2">
      <c r="A2285" s="16" t="s">
        <v>1490</v>
      </c>
      <c r="B2285" s="7" t="s">
        <v>698</v>
      </c>
      <c r="C2285" s="3" t="e">
        <f ca="1">[1]!BexGetData("DP_1","003N8EMH8GTFRCSWKMPXRR8GU","GSON4143430804")</f>
        <v>#NAME?</v>
      </c>
      <c r="D2285" s="3" t="e">
        <f ca="1">[1]!BexGetData("DP_1","003N8EMH8GTFRCSWKMPXRRESE","GSON4143430804")</f>
        <v>#NAME?</v>
      </c>
      <c r="E2285" s="3" t="e">
        <f ca="1">[1]!BexGetData("DP_1","003N8EMH8GTFRCSWKMPXRRL3Y","GSON4143430804")</f>
        <v>#NAME?</v>
      </c>
      <c r="F2285" s="4" t="e">
        <f ca="1">[1]!BexGetData("DP_1","003N8EMH8GTFRCSWKMPXRRRFI","GSON4143430804")</f>
        <v>#NAME?</v>
      </c>
      <c r="G2285" s="4" t="e">
        <f ca="1">[1]!BexGetData("DP_1","003N8EMH8GTFRCSWKMPXRRXR2","GSON4143430804")</f>
        <v>#NAME?</v>
      </c>
      <c r="H2285" s="4" t="e">
        <f ca="1">[1]!BexGetData("DP_1","003N8EMH8GTFRCSWKMPXRS42M","GSON4143430804")</f>
        <v>#NAME?</v>
      </c>
      <c r="I2285" s="4" t="e">
        <f ca="1">[1]!BexGetData("DP_1","003N8EMH8GTFRCSWKMPXRSAE6","GSON4143430804")</f>
        <v>#NAME?</v>
      </c>
      <c r="J2285" s="4" t="e">
        <f ca="1">[1]!BexGetData("DP_1","003N8EMH8GTFRCSWKMPXRSGPQ","GSON4143430804")</f>
        <v>#NAME?</v>
      </c>
      <c r="K2285" s="3" t="e">
        <f ca="1">[1]!BexGetData("DP_1","003N8EMH8GTFRIVNUPY288VJH","GSON4143430804")</f>
        <v>#NAME?</v>
      </c>
      <c r="L2285" s="3" t="e">
        <f ca="1">[1]!BexGetData("DP_1","003N8EMH8GTFRIVNUPY2891V1","GSON4143430804")</f>
        <v>#NAME?</v>
      </c>
      <c r="M2285" s="3" t="e">
        <f ca="1">[1]!BexGetData("DP_1","003N8EMH8GTFRIVOG7KG9IQXA","GSON4143430804")</f>
        <v>#NAME?</v>
      </c>
      <c r="N2285" s="8" t="e">
        <f ca="1">[1]!BexGetData("DP_1","003N8EMH8GTFRIVOG7KG9IX8U","GSON4143430804")</f>
        <v>#NAME?</v>
      </c>
      <c r="O2285" s="3" t="e">
        <f ca="1">[1]!BexGetData("DP_1","003N8EMH8GTFRIVOG7KG9J3KE","GSON4143430804")</f>
        <v>#NAME?</v>
      </c>
      <c r="P2285" s="8" t="e">
        <f ca="1">[1]!BexGetData("DP_1","003N8EMH8GTFRIVOG7KG9J9VY","GSON4143430804")</f>
        <v>#NAME?</v>
      </c>
      <c r="Q2285" s="4" t="e">
        <f ca="1">[1]!BexGetData("DP_1","00O2TNJGODT0G5Z4TTKYMM5MT","GSON4143430804")</f>
        <v>#NAME?</v>
      </c>
      <c r="R2285" s="4" t="e">
        <f ca="1">[1]!BexGetData("DP_1","00O2TNJGODT0G5Z4TTKYMMBYD","GSON4143430804")</f>
        <v>#NAME?</v>
      </c>
      <c r="S2285" s="4" t="e">
        <f ca="1">[1]!BexGetData("DP_1","00O2TNJGODT0G5Z4TTKYMMI9X","GSON4143430804")</f>
        <v>#NAME?</v>
      </c>
      <c r="T2285" s="4" t="e">
        <f ca="1">[1]!BexGetData("DP_1","00O2TNJGODT0G5Z4TTKYMMOLH","GSON4143430804")</f>
        <v>#NAME?</v>
      </c>
      <c r="U2285" s="4" t="e">
        <f ca="1">[1]!BexGetData("DP_1","00O2TNJGODT0G5Z4TTKYMMUX1","GSON4143430804")</f>
        <v>#NAME?</v>
      </c>
      <c r="V2285" s="4" t="e">
        <f ca="1">[1]!BexGetData("DP_1","00O2TNJGODT0G5Z4TTKYMN18L","GSON4143430804")</f>
        <v>#NAME?</v>
      </c>
      <c r="W2285" s="4" t="e">
        <f ca="1">[1]!BexGetData("DP_1","00O2TNJGODT0G5Z4TTKYMN7K5","GSON4143430804")</f>
        <v>#NAME?</v>
      </c>
    </row>
    <row r="2286" spans="1:23" x14ac:dyDescent="0.2">
      <c r="A2286" s="16" t="s">
        <v>1491</v>
      </c>
      <c r="B2286" s="7" t="s">
        <v>550</v>
      </c>
      <c r="C2286" s="3" t="e">
        <f ca="1">[1]!BexGetData("DP_1","003N8EMH8GTFRCSWKMPXRR8GU","GSON4143430805")</f>
        <v>#NAME?</v>
      </c>
      <c r="D2286" s="3" t="e">
        <f ca="1">[1]!BexGetData("DP_1","003N8EMH8GTFRCSWKMPXRRESE","GSON4143430805")</f>
        <v>#NAME?</v>
      </c>
      <c r="E2286" s="3" t="e">
        <f ca="1">[1]!BexGetData("DP_1","003N8EMH8GTFRCSWKMPXRRL3Y","GSON4143430805")</f>
        <v>#NAME?</v>
      </c>
      <c r="F2286" s="4" t="e">
        <f ca="1">[1]!BexGetData("DP_1","003N8EMH8GTFRCSWKMPXRRRFI","GSON4143430805")</f>
        <v>#NAME?</v>
      </c>
      <c r="G2286" s="4" t="e">
        <f ca="1">[1]!BexGetData("DP_1","003N8EMH8GTFRCSWKMPXRRXR2","GSON4143430805")</f>
        <v>#NAME?</v>
      </c>
      <c r="H2286" s="4" t="e">
        <f ca="1">[1]!BexGetData("DP_1","003N8EMH8GTFRCSWKMPXRS42M","GSON4143430805")</f>
        <v>#NAME?</v>
      </c>
      <c r="I2286" s="4" t="e">
        <f ca="1">[1]!BexGetData("DP_1","003N8EMH8GTFRCSWKMPXRSAE6","GSON4143430805")</f>
        <v>#NAME?</v>
      </c>
      <c r="J2286" s="4" t="e">
        <f ca="1">[1]!BexGetData("DP_1","003N8EMH8GTFRCSWKMPXRSGPQ","GSON4143430805")</f>
        <v>#NAME?</v>
      </c>
      <c r="K2286" s="3" t="e">
        <f ca="1">[1]!BexGetData("DP_1","003N8EMH8GTFRIVNUPY288VJH","GSON4143430805")</f>
        <v>#NAME?</v>
      </c>
      <c r="L2286" s="3" t="e">
        <f ca="1">[1]!BexGetData("DP_1","003N8EMH8GTFRIVNUPY2891V1","GSON4143430805")</f>
        <v>#NAME?</v>
      </c>
      <c r="M2286" s="3" t="e">
        <f ca="1">[1]!BexGetData("DP_1","003N8EMH8GTFRIVOG7KG9IQXA","GSON4143430805")</f>
        <v>#NAME?</v>
      </c>
      <c r="N2286" s="8" t="e">
        <f ca="1">[1]!BexGetData("DP_1","003N8EMH8GTFRIVOG7KG9IX8U","GSON4143430805")</f>
        <v>#NAME?</v>
      </c>
      <c r="O2286" s="3" t="e">
        <f ca="1">[1]!BexGetData("DP_1","003N8EMH8GTFRIVOG7KG9J3KE","GSON4143430805")</f>
        <v>#NAME?</v>
      </c>
      <c r="P2286" s="8" t="e">
        <f ca="1">[1]!BexGetData("DP_1","003N8EMH8GTFRIVOG7KG9J9VY","GSON4143430805")</f>
        <v>#NAME?</v>
      </c>
      <c r="Q2286" s="4" t="e">
        <f ca="1">[1]!BexGetData("DP_1","00O2TNJGODT0G5Z4TTKYMM5MT","GSON4143430805")</f>
        <v>#NAME?</v>
      </c>
      <c r="R2286" s="4" t="e">
        <f ca="1">[1]!BexGetData("DP_1","00O2TNJGODT0G5Z4TTKYMMBYD","GSON4143430805")</f>
        <v>#NAME?</v>
      </c>
      <c r="S2286" s="4" t="e">
        <f ca="1">[1]!BexGetData("DP_1","00O2TNJGODT0G5Z4TTKYMMI9X","GSON4143430805")</f>
        <v>#NAME?</v>
      </c>
      <c r="T2286" s="4" t="e">
        <f ca="1">[1]!BexGetData("DP_1","00O2TNJGODT0G5Z4TTKYMMOLH","GSON4143430805")</f>
        <v>#NAME?</v>
      </c>
      <c r="U2286" s="4" t="e">
        <f ca="1">[1]!BexGetData("DP_1","00O2TNJGODT0G5Z4TTKYMMUX1","GSON4143430805")</f>
        <v>#NAME?</v>
      </c>
      <c r="V2286" s="4" t="e">
        <f ca="1">[1]!BexGetData("DP_1","00O2TNJGODT0G5Z4TTKYMN18L","GSON4143430805")</f>
        <v>#NAME?</v>
      </c>
      <c r="W2286" s="4" t="e">
        <f ca="1">[1]!BexGetData("DP_1","00O2TNJGODT0G5Z4TTKYMN7K5","GSON4143430805")</f>
        <v>#NAME?</v>
      </c>
    </row>
    <row r="2287" spans="1:23" x14ac:dyDescent="0.2">
      <c r="A2287" s="16" t="s">
        <v>1492</v>
      </c>
      <c r="B2287" s="7" t="s">
        <v>699</v>
      </c>
      <c r="C2287" s="3" t="e">
        <f ca="1">[1]!BexGetData("DP_1","003N8EMH8GTFRCSWKMPXRR8GU","GSON4143430901")</f>
        <v>#NAME?</v>
      </c>
      <c r="D2287" s="3" t="e">
        <f ca="1">[1]!BexGetData("DP_1","003N8EMH8GTFRCSWKMPXRRESE","GSON4143430901")</f>
        <v>#NAME?</v>
      </c>
      <c r="E2287" s="3" t="e">
        <f ca="1">[1]!BexGetData("DP_1","003N8EMH8GTFRCSWKMPXRRL3Y","GSON4143430901")</f>
        <v>#NAME?</v>
      </c>
      <c r="F2287" s="4" t="e">
        <f ca="1">[1]!BexGetData("DP_1","003N8EMH8GTFRCSWKMPXRRRFI","GSON4143430901")</f>
        <v>#NAME?</v>
      </c>
      <c r="G2287" s="4" t="e">
        <f ca="1">[1]!BexGetData("DP_1","003N8EMH8GTFRCSWKMPXRRXR2","GSON4143430901")</f>
        <v>#NAME?</v>
      </c>
      <c r="H2287" s="4" t="e">
        <f ca="1">[1]!BexGetData("DP_1","003N8EMH8GTFRCSWKMPXRS42M","GSON4143430901")</f>
        <v>#NAME?</v>
      </c>
      <c r="I2287" s="4" t="e">
        <f ca="1">[1]!BexGetData("DP_1","003N8EMH8GTFRCSWKMPXRSAE6","GSON4143430901")</f>
        <v>#NAME?</v>
      </c>
      <c r="J2287" s="4" t="e">
        <f ca="1">[1]!BexGetData("DP_1","003N8EMH8GTFRCSWKMPXRSGPQ","GSON4143430901")</f>
        <v>#NAME?</v>
      </c>
      <c r="K2287" s="3" t="e">
        <f ca="1">[1]!BexGetData("DP_1","003N8EMH8GTFRIVNUPY288VJH","GSON4143430901")</f>
        <v>#NAME?</v>
      </c>
      <c r="L2287" s="3" t="e">
        <f ca="1">[1]!BexGetData("DP_1","003N8EMH8GTFRIVNUPY2891V1","GSON4143430901")</f>
        <v>#NAME?</v>
      </c>
      <c r="M2287" s="3" t="e">
        <f ca="1">[1]!BexGetData("DP_1","003N8EMH8GTFRIVOG7KG9IQXA","GSON4143430901")</f>
        <v>#NAME?</v>
      </c>
      <c r="N2287" s="8" t="e">
        <f ca="1">[1]!BexGetData("DP_1","003N8EMH8GTFRIVOG7KG9IX8U","GSON4143430901")</f>
        <v>#NAME?</v>
      </c>
      <c r="O2287" s="3" t="e">
        <f ca="1">[1]!BexGetData("DP_1","003N8EMH8GTFRIVOG7KG9J3KE","GSON4143430901")</f>
        <v>#NAME?</v>
      </c>
      <c r="P2287" s="8" t="e">
        <f ca="1">[1]!BexGetData("DP_1","003N8EMH8GTFRIVOG7KG9J9VY","GSON4143430901")</f>
        <v>#NAME?</v>
      </c>
      <c r="Q2287" s="4" t="e">
        <f ca="1">[1]!BexGetData("DP_1","00O2TNJGODT0G5Z4TTKYMM5MT","GSON4143430901")</f>
        <v>#NAME?</v>
      </c>
      <c r="R2287" s="4" t="e">
        <f ca="1">[1]!BexGetData("DP_1","00O2TNJGODT0G5Z4TTKYMMBYD","GSON4143430901")</f>
        <v>#NAME?</v>
      </c>
      <c r="S2287" s="4" t="e">
        <f ca="1">[1]!BexGetData("DP_1","00O2TNJGODT0G5Z4TTKYMMI9X","GSON4143430901")</f>
        <v>#NAME?</v>
      </c>
      <c r="T2287" s="4" t="e">
        <f ca="1">[1]!BexGetData("DP_1","00O2TNJGODT0G5Z4TTKYMMOLH","GSON4143430901")</f>
        <v>#NAME?</v>
      </c>
      <c r="U2287" s="4" t="e">
        <f ca="1">[1]!BexGetData("DP_1","00O2TNJGODT0G5Z4TTKYMMUX1","GSON4143430901")</f>
        <v>#NAME?</v>
      </c>
      <c r="V2287" s="4" t="e">
        <f ca="1">[1]!BexGetData("DP_1","00O2TNJGODT0G5Z4TTKYMN18L","GSON4143430901")</f>
        <v>#NAME?</v>
      </c>
      <c r="W2287" s="4" t="e">
        <f ca="1">[1]!BexGetData("DP_1","00O2TNJGODT0G5Z4TTKYMN7K5","GSON4143430901")</f>
        <v>#NAME?</v>
      </c>
    </row>
    <row r="2288" spans="1:23" x14ac:dyDescent="0.2">
      <c r="A2288" s="16" t="s">
        <v>1493</v>
      </c>
      <c r="B2288" s="7" t="s">
        <v>700</v>
      </c>
      <c r="C2288" s="3" t="e">
        <f ca="1">[1]!BexGetData("DP_1","003N8EMH8GTFRCSWKMPXRR8GU","GSON4143430902")</f>
        <v>#NAME?</v>
      </c>
      <c r="D2288" s="3" t="e">
        <f ca="1">[1]!BexGetData("DP_1","003N8EMH8GTFRCSWKMPXRRESE","GSON4143430902")</f>
        <v>#NAME?</v>
      </c>
      <c r="E2288" s="3" t="e">
        <f ca="1">[1]!BexGetData("DP_1","003N8EMH8GTFRCSWKMPXRRL3Y","GSON4143430902")</f>
        <v>#NAME?</v>
      </c>
      <c r="F2288" s="4" t="e">
        <f ca="1">[1]!BexGetData("DP_1","003N8EMH8GTFRCSWKMPXRRRFI","GSON4143430902")</f>
        <v>#NAME?</v>
      </c>
      <c r="G2288" s="4" t="e">
        <f ca="1">[1]!BexGetData("DP_1","003N8EMH8GTFRCSWKMPXRRXR2","GSON4143430902")</f>
        <v>#NAME?</v>
      </c>
      <c r="H2288" s="4" t="e">
        <f ca="1">[1]!BexGetData("DP_1","003N8EMH8GTFRCSWKMPXRS42M","GSON4143430902")</f>
        <v>#NAME?</v>
      </c>
      <c r="I2288" s="4" t="e">
        <f ca="1">[1]!BexGetData("DP_1","003N8EMH8GTFRCSWKMPXRSAE6","GSON4143430902")</f>
        <v>#NAME?</v>
      </c>
      <c r="J2288" s="4" t="e">
        <f ca="1">[1]!BexGetData("DP_1","003N8EMH8GTFRCSWKMPXRSGPQ","GSON4143430902")</f>
        <v>#NAME?</v>
      </c>
      <c r="K2288" s="3" t="e">
        <f ca="1">[1]!BexGetData("DP_1","003N8EMH8GTFRIVNUPY288VJH","GSON4143430902")</f>
        <v>#NAME?</v>
      </c>
      <c r="L2288" s="3" t="e">
        <f ca="1">[1]!BexGetData("DP_1","003N8EMH8GTFRIVNUPY2891V1","GSON4143430902")</f>
        <v>#NAME?</v>
      </c>
      <c r="M2288" s="3" t="e">
        <f ca="1">[1]!BexGetData("DP_1","003N8EMH8GTFRIVOG7KG9IQXA","GSON4143430902")</f>
        <v>#NAME?</v>
      </c>
      <c r="N2288" s="8" t="e">
        <f ca="1">[1]!BexGetData("DP_1","003N8EMH8GTFRIVOG7KG9IX8U","GSON4143430902")</f>
        <v>#NAME?</v>
      </c>
      <c r="O2288" s="3" t="e">
        <f ca="1">[1]!BexGetData("DP_1","003N8EMH8GTFRIVOG7KG9J3KE","GSON4143430902")</f>
        <v>#NAME?</v>
      </c>
      <c r="P2288" s="8" t="e">
        <f ca="1">[1]!BexGetData("DP_1","003N8EMH8GTFRIVOG7KG9J9VY","GSON4143430902")</f>
        <v>#NAME?</v>
      </c>
      <c r="Q2288" s="4" t="e">
        <f ca="1">[1]!BexGetData("DP_1","00O2TNJGODT0G5Z4TTKYMM5MT","GSON4143430902")</f>
        <v>#NAME?</v>
      </c>
      <c r="R2288" s="4" t="e">
        <f ca="1">[1]!BexGetData("DP_1","00O2TNJGODT0G5Z4TTKYMMBYD","GSON4143430902")</f>
        <v>#NAME?</v>
      </c>
      <c r="S2288" s="4" t="e">
        <f ca="1">[1]!BexGetData("DP_1","00O2TNJGODT0G5Z4TTKYMMI9X","GSON4143430902")</f>
        <v>#NAME?</v>
      </c>
      <c r="T2288" s="4" t="e">
        <f ca="1">[1]!BexGetData("DP_1","00O2TNJGODT0G5Z4TTKYMMOLH","GSON4143430902")</f>
        <v>#NAME?</v>
      </c>
      <c r="U2288" s="4" t="e">
        <f ca="1">[1]!BexGetData("DP_1","00O2TNJGODT0G5Z4TTKYMMUX1","GSON4143430902")</f>
        <v>#NAME?</v>
      </c>
      <c r="V2288" s="4" t="e">
        <f ca="1">[1]!BexGetData("DP_1","00O2TNJGODT0G5Z4TTKYMN18L","GSON4143430902")</f>
        <v>#NAME?</v>
      </c>
      <c r="W2288" s="4" t="e">
        <f ca="1">[1]!BexGetData("DP_1","00O2TNJGODT0G5Z4TTKYMN7K5","GSON4143430902")</f>
        <v>#NAME?</v>
      </c>
    </row>
    <row r="2289" spans="1:23" x14ac:dyDescent="0.2">
      <c r="A2289" s="16" t="s">
        <v>4918</v>
      </c>
      <c r="B2289" s="7" t="s">
        <v>4919</v>
      </c>
      <c r="C2289" s="3" t="e">
        <f ca="1">[1]!BexGetData("DP_1","003N8EMH8GTFRCSWKMPXRR8GU","GSON4143430903")</f>
        <v>#NAME?</v>
      </c>
      <c r="D2289" s="3" t="e">
        <f ca="1">[1]!BexGetData("DP_1","003N8EMH8GTFRCSWKMPXRRESE","GSON4143430903")</f>
        <v>#NAME?</v>
      </c>
      <c r="E2289" s="3" t="e">
        <f ca="1">[1]!BexGetData("DP_1","003N8EMH8GTFRCSWKMPXRRL3Y","GSON4143430903")</f>
        <v>#NAME?</v>
      </c>
      <c r="F2289" s="4" t="e">
        <f ca="1">[1]!BexGetData("DP_1","003N8EMH8GTFRCSWKMPXRRRFI","GSON4143430903")</f>
        <v>#NAME?</v>
      </c>
      <c r="G2289" s="4" t="e">
        <f ca="1">[1]!BexGetData("DP_1","003N8EMH8GTFRCSWKMPXRRXR2","GSON4143430903")</f>
        <v>#NAME?</v>
      </c>
      <c r="H2289" s="4" t="e">
        <f ca="1">[1]!BexGetData("DP_1","003N8EMH8GTFRCSWKMPXRS42M","GSON4143430903")</f>
        <v>#NAME?</v>
      </c>
      <c r="I2289" s="4" t="e">
        <f ca="1">[1]!BexGetData("DP_1","003N8EMH8GTFRCSWKMPXRSAE6","GSON4143430903")</f>
        <v>#NAME?</v>
      </c>
      <c r="J2289" s="4" t="e">
        <f ca="1">[1]!BexGetData("DP_1","003N8EMH8GTFRCSWKMPXRSGPQ","GSON4143430903")</f>
        <v>#NAME?</v>
      </c>
      <c r="K2289" s="3" t="e">
        <f ca="1">[1]!BexGetData("DP_1","003N8EMH8GTFRIVNUPY288VJH","GSON4143430903")</f>
        <v>#NAME?</v>
      </c>
      <c r="L2289" s="3" t="e">
        <f ca="1">[1]!BexGetData("DP_1","003N8EMH8GTFRIVNUPY2891V1","GSON4143430903")</f>
        <v>#NAME?</v>
      </c>
      <c r="M2289" s="3" t="e">
        <f ca="1">[1]!BexGetData("DP_1","003N8EMH8GTFRIVOG7KG9IQXA","GSON4143430903")</f>
        <v>#NAME?</v>
      </c>
      <c r="N2289" s="8" t="e">
        <f ca="1">[1]!BexGetData("DP_1","003N8EMH8GTFRIVOG7KG9IX8U","GSON4143430903")</f>
        <v>#NAME?</v>
      </c>
      <c r="O2289" s="3" t="e">
        <f ca="1">[1]!BexGetData("DP_1","003N8EMH8GTFRIVOG7KG9J3KE","GSON4143430903")</f>
        <v>#NAME?</v>
      </c>
      <c r="P2289" s="8" t="e">
        <f ca="1">[1]!BexGetData("DP_1","003N8EMH8GTFRIVOG7KG9J9VY","GSON4143430903")</f>
        <v>#NAME?</v>
      </c>
      <c r="Q2289" s="4" t="e">
        <f ca="1">[1]!BexGetData("DP_1","00O2TNJGODT0G5Z4TTKYMM5MT","GSON4143430903")</f>
        <v>#NAME?</v>
      </c>
      <c r="R2289" s="4" t="e">
        <f ca="1">[1]!BexGetData("DP_1","00O2TNJGODT0G5Z4TTKYMMBYD","GSON4143430903")</f>
        <v>#NAME?</v>
      </c>
      <c r="S2289" s="4" t="e">
        <f ca="1">[1]!BexGetData("DP_1","00O2TNJGODT0G5Z4TTKYMMI9X","GSON4143430903")</f>
        <v>#NAME?</v>
      </c>
      <c r="T2289" s="4" t="e">
        <f ca="1">[1]!BexGetData("DP_1","00O2TNJGODT0G5Z4TTKYMMOLH","GSON4143430903")</f>
        <v>#NAME?</v>
      </c>
      <c r="U2289" s="4" t="e">
        <f ca="1">[1]!BexGetData("DP_1","00O2TNJGODT0G5Z4TTKYMMUX1","GSON4143430903")</f>
        <v>#NAME?</v>
      </c>
      <c r="V2289" s="4" t="e">
        <f ca="1">[1]!BexGetData("DP_1","00O2TNJGODT0G5Z4TTKYMN18L","GSON4143430903")</f>
        <v>#NAME?</v>
      </c>
      <c r="W2289" s="4" t="e">
        <f ca="1">[1]!BexGetData("DP_1","00O2TNJGODT0G5Z4TTKYMN7K5","GSON4143430903")</f>
        <v>#NAME?</v>
      </c>
    </row>
    <row r="2290" spans="1:23" x14ac:dyDescent="0.2">
      <c r="A2290" s="16" t="s">
        <v>1494</v>
      </c>
      <c r="B2290" s="7" t="s">
        <v>701</v>
      </c>
      <c r="C2290" s="3" t="e">
        <f ca="1">[1]!BexGetData("DP_1","003N8EMH8GTFRCSWKMPXRR8GU","GSON4143430904")</f>
        <v>#NAME?</v>
      </c>
      <c r="D2290" s="3" t="e">
        <f ca="1">[1]!BexGetData("DP_1","003N8EMH8GTFRCSWKMPXRRESE","GSON4143430904")</f>
        <v>#NAME?</v>
      </c>
      <c r="E2290" s="3" t="e">
        <f ca="1">[1]!BexGetData("DP_1","003N8EMH8GTFRCSWKMPXRRL3Y","GSON4143430904")</f>
        <v>#NAME?</v>
      </c>
      <c r="F2290" s="4" t="e">
        <f ca="1">[1]!BexGetData("DP_1","003N8EMH8GTFRCSWKMPXRRRFI","GSON4143430904")</f>
        <v>#NAME?</v>
      </c>
      <c r="G2290" s="4" t="e">
        <f ca="1">[1]!BexGetData("DP_1","003N8EMH8GTFRCSWKMPXRRXR2","GSON4143430904")</f>
        <v>#NAME?</v>
      </c>
      <c r="H2290" s="4" t="e">
        <f ca="1">[1]!BexGetData("DP_1","003N8EMH8GTFRCSWKMPXRS42M","GSON4143430904")</f>
        <v>#NAME?</v>
      </c>
      <c r="I2290" s="4" t="e">
        <f ca="1">[1]!BexGetData("DP_1","003N8EMH8GTFRCSWKMPXRSAE6","GSON4143430904")</f>
        <v>#NAME?</v>
      </c>
      <c r="J2290" s="4" t="e">
        <f ca="1">[1]!BexGetData("DP_1","003N8EMH8GTFRCSWKMPXRSGPQ","GSON4143430904")</f>
        <v>#NAME?</v>
      </c>
      <c r="K2290" s="3" t="e">
        <f ca="1">[1]!BexGetData("DP_1","003N8EMH8GTFRIVNUPY288VJH","GSON4143430904")</f>
        <v>#NAME?</v>
      </c>
      <c r="L2290" s="3" t="e">
        <f ca="1">[1]!BexGetData("DP_1","003N8EMH8GTFRIVNUPY2891V1","GSON4143430904")</f>
        <v>#NAME?</v>
      </c>
      <c r="M2290" s="3" t="e">
        <f ca="1">[1]!BexGetData("DP_1","003N8EMH8GTFRIVOG7KG9IQXA","GSON4143430904")</f>
        <v>#NAME?</v>
      </c>
      <c r="N2290" s="8" t="e">
        <f ca="1">[1]!BexGetData("DP_1","003N8EMH8GTFRIVOG7KG9IX8U","GSON4143430904")</f>
        <v>#NAME?</v>
      </c>
      <c r="O2290" s="3" t="e">
        <f ca="1">[1]!BexGetData("DP_1","003N8EMH8GTFRIVOG7KG9J3KE","GSON4143430904")</f>
        <v>#NAME?</v>
      </c>
      <c r="P2290" s="8" t="e">
        <f ca="1">[1]!BexGetData("DP_1","003N8EMH8GTFRIVOG7KG9J9VY","GSON4143430904")</f>
        <v>#NAME?</v>
      </c>
      <c r="Q2290" s="4" t="e">
        <f ca="1">[1]!BexGetData("DP_1","00O2TNJGODT0G5Z4TTKYMM5MT","GSON4143430904")</f>
        <v>#NAME?</v>
      </c>
      <c r="R2290" s="4" t="e">
        <f ca="1">[1]!BexGetData("DP_1","00O2TNJGODT0G5Z4TTKYMMBYD","GSON4143430904")</f>
        <v>#NAME?</v>
      </c>
      <c r="S2290" s="4" t="e">
        <f ca="1">[1]!BexGetData("DP_1","00O2TNJGODT0G5Z4TTKYMMI9X","GSON4143430904")</f>
        <v>#NAME?</v>
      </c>
      <c r="T2290" s="4" t="e">
        <f ca="1">[1]!BexGetData("DP_1","00O2TNJGODT0G5Z4TTKYMMOLH","GSON4143430904")</f>
        <v>#NAME?</v>
      </c>
      <c r="U2290" s="4" t="e">
        <f ca="1">[1]!BexGetData("DP_1","00O2TNJGODT0G5Z4TTKYMMUX1","GSON4143430904")</f>
        <v>#NAME?</v>
      </c>
      <c r="V2290" s="4" t="e">
        <f ca="1">[1]!BexGetData("DP_1","00O2TNJGODT0G5Z4TTKYMN18L","GSON4143430904")</f>
        <v>#NAME?</v>
      </c>
      <c r="W2290" s="4" t="e">
        <f ca="1">[1]!BexGetData("DP_1","00O2TNJGODT0G5Z4TTKYMN7K5","GSON4143430904")</f>
        <v>#NAME?</v>
      </c>
    </row>
    <row r="2291" spans="1:23" x14ac:dyDescent="0.2">
      <c r="A2291" s="16" t="s">
        <v>635</v>
      </c>
      <c r="B2291" s="7" t="s">
        <v>636</v>
      </c>
      <c r="C2291" s="3" t="e">
        <f ca="1">[1]!BexGetData("DP_1","003N8EMH8GTFRCSWKMPXRR8GU","GSON4143431001")</f>
        <v>#NAME?</v>
      </c>
      <c r="D2291" s="3" t="e">
        <f ca="1">[1]!BexGetData("DP_1","003N8EMH8GTFRCSWKMPXRRESE","GSON4143431001")</f>
        <v>#NAME?</v>
      </c>
      <c r="E2291" s="3" t="e">
        <f ca="1">[1]!BexGetData("DP_1","003N8EMH8GTFRCSWKMPXRRL3Y","GSON4143431001")</f>
        <v>#NAME?</v>
      </c>
      <c r="F2291" s="4" t="e">
        <f ca="1">[1]!BexGetData("DP_1","003N8EMH8GTFRCSWKMPXRRRFI","GSON4143431001")</f>
        <v>#NAME?</v>
      </c>
      <c r="G2291" s="4" t="e">
        <f ca="1">[1]!BexGetData("DP_1","003N8EMH8GTFRCSWKMPXRRXR2","GSON4143431001")</f>
        <v>#NAME?</v>
      </c>
      <c r="H2291" s="4" t="e">
        <f ca="1">[1]!BexGetData("DP_1","003N8EMH8GTFRCSWKMPXRS42M","GSON4143431001")</f>
        <v>#NAME?</v>
      </c>
      <c r="I2291" s="4" t="e">
        <f ca="1">[1]!BexGetData("DP_1","003N8EMH8GTFRCSWKMPXRSAE6","GSON4143431001")</f>
        <v>#NAME?</v>
      </c>
      <c r="J2291" s="4" t="e">
        <f ca="1">[1]!BexGetData("DP_1","003N8EMH8GTFRCSWKMPXRSGPQ","GSON4143431001")</f>
        <v>#NAME?</v>
      </c>
      <c r="K2291" s="3" t="e">
        <f ca="1">[1]!BexGetData("DP_1","003N8EMH8GTFRIVNUPY288VJH","GSON4143431001")</f>
        <v>#NAME?</v>
      </c>
      <c r="L2291" s="3" t="e">
        <f ca="1">[1]!BexGetData("DP_1","003N8EMH8GTFRIVNUPY2891V1","GSON4143431001")</f>
        <v>#NAME?</v>
      </c>
      <c r="M2291" s="3" t="e">
        <f ca="1">[1]!BexGetData("DP_1","003N8EMH8GTFRIVOG7KG9IQXA","GSON4143431001")</f>
        <v>#NAME?</v>
      </c>
      <c r="N2291" s="8" t="e">
        <f ca="1">[1]!BexGetData("DP_1","003N8EMH8GTFRIVOG7KG9IX8U","GSON4143431001")</f>
        <v>#NAME?</v>
      </c>
      <c r="O2291" s="3" t="e">
        <f ca="1">[1]!BexGetData("DP_1","003N8EMH8GTFRIVOG7KG9J3KE","GSON4143431001")</f>
        <v>#NAME?</v>
      </c>
      <c r="P2291" s="8" t="e">
        <f ca="1">[1]!BexGetData("DP_1","003N8EMH8GTFRIVOG7KG9J9VY","GSON4143431001")</f>
        <v>#NAME?</v>
      </c>
      <c r="Q2291" s="4" t="e">
        <f ca="1">[1]!BexGetData("DP_1","00O2TNJGODT0G5Z4TTKYMM5MT","GSON4143431001")</f>
        <v>#NAME?</v>
      </c>
      <c r="R2291" s="4" t="e">
        <f ca="1">[1]!BexGetData("DP_1","00O2TNJGODT0G5Z4TTKYMMBYD","GSON4143431001")</f>
        <v>#NAME?</v>
      </c>
      <c r="S2291" s="4" t="e">
        <f ca="1">[1]!BexGetData("DP_1","00O2TNJGODT0G5Z4TTKYMMI9X","GSON4143431001")</f>
        <v>#NAME?</v>
      </c>
      <c r="T2291" s="4" t="e">
        <f ca="1">[1]!BexGetData("DP_1","00O2TNJGODT0G5Z4TTKYMMOLH","GSON4143431001")</f>
        <v>#NAME?</v>
      </c>
      <c r="U2291" s="4" t="e">
        <f ca="1">[1]!BexGetData("DP_1","00O2TNJGODT0G5Z4TTKYMMUX1","GSON4143431001")</f>
        <v>#NAME?</v>
      </c>
      <c r="V2291" s="4" t="e">
        <f ca="1">[1]!BexGetData("DP_1","00O2TNJGODT0G5Z4TTKYMN18L","GSON4143431001")</f>
        <v>#NAME?</v>
      </c>
      <c r="W2291" s="4" t="e">
        <f ca="1">[1]!BexGetData("DP_1","00O2TNJGODT0G5Z4TTKYMN7K5","GSON4143431001")</f>
        <v>#NAME?</v>
      </c>
    </row>
    <row r="2292" spans="1:23" x14ac:dyDescent="0.2">
      <c r="A2292" s="16" t="s">
        <v>702</v>
      </c>
      <c r="B2292" s="7" t="s">
        <v>703</v>
      </c>
      <c r="C2292" s="3" t="e">
        <f ca="1">[1]!BexGetData("DP_1","003N8EMH8GTFRCSWKMPXRR8GU","GSON4143431002")</f>
        <v>#NAME?</v>
      </c>
      <c r="D2292" s="3" t="e">
        <f ca="1">[1]!BexGetData("DP_1","003N8EMH8GTFRCSWKMPXRRESE","GSON4143431002")</f>
        <v>#NAME?</v>
      </c>
      <c r="E2292" s="3" t="e">
        <f ca="1">[1]!BexGetData("DP_1","003N8EMH8GTFRCSWKMPXRRL3Y","GSON4143431002")</f>
        <v>#NAME?</v>
      </c>
      <c r="F2292" s="4" t="e">
        <f ca="1">[1]!BexGetData("DP_1","003N8EMH8GTFRCSWKMPXRRRFI","GSON4143431002")</f>
        <v>#NAME?</v>
      </c>
      <c r="G2292" s="4" t="e">
        <f ca="1">[1]!BexGetData("DP_1","003N8EMH8GTFRCSWKMPXRRXR2","GSON4143431002")</f>
        <v>#NAME?</v>
      </c>
      <c r="H2292" s="4" t="e">
        <f ca="1">[1]!BexGetData("DP_1","003N8EMH8GTFRCSWKMPXRS42M","GSON4143431002")</f>
        <v>#NAME?</v>
      </c>
      <c r="I2292" s="4" t="e">
        <f ca="1">[1]!BexGetData("DP_1","003N8EMH8GTFRCSWKMPXRSAE6","GSON4143431002")</f>
        <v>#NAME?</v>
      </c>
      <c r="J2292" s="4" t="e">
        <f ca="1">[1]!BexGetData("DP_1","003N8EMH8GTFRCSWKMPXRSGPQ","GSON4143431002")</f>
        <v>#NAME?</v>
      </c>
      <c r="K2292" s="3" t="e">
        <f ca="1">[1]!BexGetData("DP_1","003N8EMH8GTFRIVNUPY288VJH","GSON4143431002")</f>
        <v>#NAME?</v>
      </c>
      <c r="L2292" s="3" t="e">
        <f ca="1">[1]!BexGetData("DP_1","003N8EMH8GTFRIVNUPY2891V1","GSON4143431002")</f>
        <v>#NAME?</v>
      </c>
      <c r="M2292" s="3" t="e">
        <f ca="1">[1]!BexGetData("DP_1","003N8EMH8GTFRIVOG7KG9IQXA","GSON4143431002")</f>
        <v>#NAME?</v>
      </c>
      <c r="N2292" s="8" t="e">
        <f ca="1">[1]!BexGetData("DP_1","003N8EMH8GTFRIVOG7KG9IX8U","GSON4143431002")</f>
        <v>#NAME?</v>
      </c>
      <c r="O2292" s="3" t="e">
        <f ca="1">[1]!BexGetData("DP_1","003N8EMH8GTFRIVOG7KG9J3KE","GSON4143431002")</f>
        <v>#NAME?</v>
      </c>
      <c r="P2292" s="8" t="e">
        <f ca="1">[1]!BexGetData("DP_1","003N8EMH8GTFRIVOG7KG9J9VY","GSON4143431002")</f>
        <v>#NAME?</v>
      </c>
      <c r="Q2292" s="4" t="e">
        <f ca="1">[1]!BexGetData("DP_1","00O2TNJGODT0G5Z4TTKYMM5MT","GSON4143431002")</f>
        <v>#NAME?</v>
      </c>
      <c r="R2292" s="4" t="e">
        <f ca="1">[1]!BexGetData("DP_1","00O2TNJGODT0G5Z4TTKYMMBYD","GSON4143431002")</f>
        <v>#NAME?</v>
      </c>
      <c r="S2292" s="4" t="e">
        <f ca="1">[1]!BexGetData("DP_1","00O2TNJGODT0G5Z4TTKYMMI9X","GSON4143431002")</f>
        <v>#NAME?</v>
      </c>
      <c r="T2292" s="4" t="e">
        <f ca="1">[1]!BexGetData("DP_1","00O2TNJGODT0G5Z4TTKYMMOLH","GSON4143431002")</f>
        <v>#NAME?</v>
      </c>
      <c r="U2292" s="4" t="e">
        <f ca="1">[1]!BexGetData("DP_1","00O2TNJGODT0G5Z4TTKYMMUX1","GSON4143431002")</f>
        <v>#NAME?</v>
      </c>
      <c r="V2292" s="4" t="e">
        <f ca="1">[1]!BexGetData("DP_1","00O2TNJGODT0G5Z4TTKYMN18L","GSON4143431002")</f>
        <v>#NAME?</v>
      </c>
      <c r="W2292" s="4" t="e">
        <f ca="1">[1]!BexGetData("DP_1","00O2TNJGODT0G5Z4TTKYMN7K5","GSON4143431002")</f>
        <v>#NAME?</v>
      </c>
    </row>
    <row r="2293" spans="1:23" x14ac:dyDescent="0.2">
      <c r="A2293" s="16" t="s">
        <v>1495</v>
      </c>
      <c r="B2293" s="7" t="s">
        <v>551</v>
      </c>
      <c r="C2293" s="3" t="e">
        <f ca="1">[1]!BexGetData("DP_1","003N8EMH8GTFRCSWKMPXRR8GU","GSON4143431101")</f>
        <v>#NAME?</v>
      </c>
      <c r="D2293" s="3" t="e">
        <f ca="1">[1]!BexGetData("DP_1","003N8EMH8GTFRCSWKMPXRRESE","GSON4143431101")</f>
        <v>#NAME?</v>
      </c>
      <c r="E2293" s="3" t="e">
        <f ca="1">[1]!BexGetData("DP_1","003N8EMH8GTFRCSWKMPXRRL3Y","GSON4143431101")</f>
        <v>#NAME?</v>
      </c>
      <c r="F2293" s="4" t="e">
        <f ca="1">[1]!BexGetData("DP_1","003N8EMH8GTFRCSWKMPXRRRFI","GSON4143431101")</f>
        <v>#NAME?</v>
      </c>
      <c r="G2293" s="4" t="e">
        <f ca="1">[1]!BexGetData("DP_1","003N8EMH8GTFRCSWKMPXRRXR2","GSON4143431101")</f>
        <v>#NAME?</v>
      </c>
      <c r="H2293" s="4" t="e">
        <f ca="1">[1]!BexGetData("DP_1","003N8EMH8GTFRCSWKMPXRS42M","GSON4143431101")</f>
        <v>#NAME?</v>
      </c>
      <c r="I2293" s="4" t="e">
        <f ca="1">[1]!BexGetData("DP_1","003N8EMH8GTFRCSWKMPXRSAE6","GSON4143431101")</f>
        <v>#NAME?</v>
      </c>
      <c r="J2293" s="4" t="e">
        <f ca="1">[1]!BexGetData("DP_1","003N8EMH8GTFRCSWKMPXRSGPQ","GSON4143431101")</f>
        <v>#NAME?</v>
      </c>
      <c r="K2293" s="3" t="e">
        <f ca="1">[1]!BexGetData("DP_1","003N8EMH8GTFRIVNUPY288VJH","GSON4143431101")</f>
        <v>#NAME?</v>
      </c>
      <c r="L2293" s="3" t="e">
        <f ca="1">[1]!BexGetData("DP_1","003N8EMH8GTFRIVNUPY2891V1","GSON4143431101")</f>
        <v>#NAME?</v>
      </c>
      <c r="M2293" s="3" t="e">
        <f ca="1">[1]!BexGetData("DP_1","003N8EMH8GTFRIVOG7KG9IQXA","GSON4143431101")</f>
        <v>#NAME?</v>
      </c>
      <c r="N2293" s="8" t="e">
        <f ca="1">[1]!BexGetData("DP_1","003N8EMH8GTFRIVOG7KG9IX8U","GSON4143431101")</f>
        <v>#NAME?</v>
      </c>
      <c r="O2293" s="3" t="e">
        <f ca="1">[1]!BexGetData("DP_1","003N8EMH8GTFRIVOG7KG9J3KE","GSON4143431101")</f>
        <v>#NAME?</v>
      </c>
      <c r="P2293" s="8" t="e">
        <f ca="1">[1]!BexGetData("DP_1","003N8EMH8GTFRIVOG7KG9J9VY","GSON4143431101")</f>
        <v>#NAME?</v>
      </c>
      <c r="Q2293" s="4" t="e">
        <f ca="1">[1]!BexGetData("DP_1","00O2TNJGODT0G5Z4TTKYMM5MT","GSON4143431101")</f>
        <v>#NAME?</v>
      </c>
      <c r="R2293" s="4" t="e">
        <f ca="1">[1]!BexGetData("DP_1","00O2TNJGODT0G5Z4TTKYMMBYD","GSON4143431101")</f>
        <v>#NAME?</v>
      </c>
      <c r="S2293" s="4" t="e">
        <f ca="1">[1]!BexGetData("DP_1","00O2TNJGODT0G5Z4TTKYMMI9X","GSON4143431101")</f>
        <v>#NAME?</v>
      </c>
      <c r="T2293" s="4" t="e">
        <f ca="1">[1]!BexGetData("DP_1","00O2TNJGODT0G5Z4TTKYMMOLH","GSON4143431101")</f>
        <v>#NAME?</v>
      </c>
      <c r="U2293" s="4" t="e">
        <f ca="1">[1]!BexGetData("DP_1","00O2TNJGODT0G5Z4TTKYMMUX1","GSON4143431101")</f>
        <v>#NAME?</v>
      </c>
      <c r="V2293" s="4" t="e">
        <f ca="1">[1]!BexGetData("DP_1","00O2TNJGODT0G5Z4TTKYMN18L","GSON4143431101")</f>
        <v>#NAME?</v>
      </c>
      <c r="W2293" s="4" t="e">
        <f ca="1">[1]!BexGetData("DP_1","00O2TNJGODT0G5Z4TTKYMN7K5","GSON4143431101")</f>
        <v>#NAME?</v>
      </c>
    </row>
    <row r="2294" spans="1:23" x14ac:dyDescent="0.2">
      <c r="A2294" s="16" t="s">
        <v>704</v>
      </c>
      <c r="B2294" s="7" t="s">
        <v>705</v>
      </c>
      <c r="C2294" s="3" t="e">
        <f ca="1">[1]!BexGetData("DP_1","003N8EMH8GTFRCSWKMPXRR8GU","GSON4143431201")</f>
        <v>#NAME?</v>
      </c>
      <c r="D2294" s="3" t="e">
        <f ca="1">[1]!BexGetData("DP_1","003N8EMH8GTFRCSWKMPXRRESE","GSON4143431201")</f>
        <v>#NAME?</v>
      </c>
      <c r="E2294" s="3" t="e">
        <f ca="1">[1]!BexGetData("DP_1","003N8EMH8GTFRCSWKMPXRRL3Y","GSON4143431201")</f>
        <v>#NAME?</v>
      </c>
      <c r="F2294" s="4" t="e">
        <f ca="1">[1]!BexGetData("DP_1","003N8EMH8GTFRCSWKMPXRRRFI","GSON4143431201")</f>
        <v>#NAME?</v>
      </c>
      <c r="G2294" s="4" t="e">
        <f ca="1">[1]!BexGetData("DP_1","003N8EMH8GTFRCSWKMPXRRXR2","GSON4143431201")</f>
        <v>#NAME?</v>
      </c>
      <c r="H2294" s="4" t="e">
        <f ca="1">[1]!BexGetData("DP_1","003N8EMH8GTFRCSWKMPXRS42M","GSON4143431201")</f>
        <v>#NAME?</v>
      </c>
      <c r="I2294" s="4" t="e">
        <f ca="1">[1]!BexGetData("DP_1","003N8EMH8GTFRCSWKMPXRSAE6","GSON4143431201")</f>
        <v>#NAME?</v>
      </c>
      <c r="J2294" s="4" t="e">
        <f ca="1">[1]!BexGetData("DP_1","003N8EMH8GTFRCSWKMPXRSGPQ","GSON4143431201")</f>
        <v>#NAME?</v>
      </c>
      <c r="K2294" s="3" t="e">
        <f ca="1">[1]!BexGetData("DP_1","003N8EMH8GTFRIVNUPY288VJH","GSON4143431201")</f>
        <v>#NAME?</v>
      </c>
      <c r="L2294" s="3" t="e">
        <f ca="1">[1]!BexGetData("DP_1","003N8EMH8GTFRIVNUPY2891V1","GSON4143431201")</f>
        <v>#NAME?</v>
      </c>
      <c r="M2294" s="3" t="e">
        <f ca="1">[1]!BexGetData("DP_1","003N8EMH8GTFRIVOG7KG9IQXA","GSON4143431201")</f>
        <v>#NAME?</v>
      </c>
      <c r="N2294" s="8" t="e">
        <f ca="1">[1]!BexGetData("DP_1","003N8EMH8GTFRIVOG7KG9IX8U","GSON4143431201")</f>
        <v>#NAME?</v>
      </c>
      <c r="O2294" s="3" t="e">
        <f ca="1">[1]!BexGetData("DP_1","003N8EMH8GTFRIVOG7KG9J3KE","GSON4143431201")</f>
        <v>#NAME?</v>
      </c>
      <c r="P2294" s="8" t="e">
        <f ca="1">[1]!BexGetData("DP_1","003N8EMH8GTFRIVOG7KG9J9VY","GSON4143431201")</f>
        <v>#NAME?</v>
      </c>
      <c r="Q2294" s="4" t="e">
        <f ca="1">[1]!BexGetData("DP_1","00O2TNJGODT0G5Z4TTKYMM5MT","GSON4143431201")</f>
        <v>#NAME?</v>
      </c>
      <c r="R2294" s="4" t="e">
        <f ca="1">[1]!BexGetData("DP_1","00O2TNJGODT0G5Z4TTKYMMBYD","GSON4143431201")</f>
        <v>#NAME?</v>
      </c>
      <c r="S2294" s="4" t="e">
        <f ca="1">[1]!BexGetData("DP_1","00O2TNJGODT0G5Z4TTKYMMI9X","GSON4143431201")</f>
        <v>#NAME?</v>
      </c>
      <c r="T2294" s="4" t="e">
        <f ca="1">[1]!BexGetData("DP_1","00O2TNJGODT0G5Z4TTKYMMOLH","GSON4143431201")</f>
        <v>#NAME?</v>
      </c>
      <c r="U2294" s="4" t="e">
        <f ca="1">[1]!BexGetData("DP_1","00O2TNJGODT0G5Z4TTKYMMUX1","GSON4143431201")</f>
        <v>#NAME?</v>
      </c>
      <c r="V2294" s="4" t="e">
        <f ca="1">[1]!BexGetData("DP_1","00O2TNJGODT0G5Z4TTKYMN18L","GSON4143431201")</f>
        <v>#NAME?</v>
      </c>
      <c r="W2294" s="4" t="e">
        <f ca="1">[1]!BexGetData("DP_1","00O2TNJGODT0G5Z4TTKYMN7K5","GSON4143431201")</f>
        <v>#NAME?</v>
      </c>
    </row>
    <row r="2295" spans="1:23" x14ac:dyDescent="0.2">
      <c r="A2295" s="16" t="s">
        <v>552</v>
      </c>
      <c r="B2295" s="7" t="s">
        <v>553</v>
      </c>
      <c r="C2295" s="3" t="e">
        <f ca="1">[1]!BexGetData("DP_1","003N8EMH8GTFRCSWKMPXRR8GU","GSON4143431203")</f>
        <v>#NAME?</v>
      </c>
      <c r="D2295" s="3" t="e">
        <f ca="1">[1]!BexGetData("DP_1","003N8EMH8GTFRCSWKMPXRRESE","GSON4143431203")</f>
        <v>#NAME?</v>
      </c>
      <c r="E2295" s="3" t="e">
        <f ca="1">[1]!BexGetData("DP_1","003N8EMH8GTFRCSWKMPXRRL3Y","GSON4143431203")</f>
        <v>#NAME?</v>
      </c>
      <c r="F2295" s="4" t="e">
        <f ca="1">[1]!BexGetData("DP_1","003N8EMH8GTFRCSWKMPXRRRFI","GSON4143431203")</f>
        <v>#NAME?</v>
      </c>
      <c r="G2295" s="4" t="e">
        <f ca="1">[1]!BexGetData("DP_1","003N8EMH8GTFRCSWKMPXRRXR2","GSON4143431203")</f>
        <v>#NAME?</v>
      </c>
      <c r="H2295" s="4" t="e">
        <f ca="1">[1]!BexGetData("DP_1","003N8EMH8GTFRCSWKMPXRS42M","GSON4143431203")</f>
        <v>#NAME?</v>
      </c>
      <c r="I2295" s="4" t="e">
        <f ca="1">[1]!BexGetData("DP_1","003N8EMH8GTFRCSWKMPXRSAE6","GSON4143431203")</f>
        <v>#NAME?</v>
      </c>
      <c r="J2295" s="4" t="e">
        <f ca="1">[1]!BexGetData("DP_1","003N8EMH8GTFRCSWKMPXRSGPQ","GSON4143431203")</f>
        <v>#NAME?</v>
      </c>
      <c r="K2295" s="3" t="e">
        <f ca="1">[1]!BexGetData("DP_1","003N8EMH8GTFRIVNUPY288VJH","GSON4143431203")</f>
        <v>#NAME?</v>
      </c>
      <c r="L2295" s="3" t="e">
        <f ca="1">[1]!BexGetData("DP_1","003N8EMH8GTFRIVNUPY2891V1","GSON4143431203")</f>
        <v>#NAME?</v>
      </c>
      <c r="M2295" s="3" t="e">
        <f ca="1">[1]!BexGetData("DP_1","003N8EMH8GTFRIVOG7KG9IQXA","GSON4143431203")</f>
        <v>#NAME?</v>
      </c>
      <c r="N2295" s="8" t="e">
        <f ca="1">[1]!BexGetData("DP_1","003N8EMH8GTFRIVOG7KG9IX8U","GSON4143431203")</f>
        <v>#NAME?</v>
      </c>
      <c r="O2295" s="3" t="e">
        <f ca="1">[1]!BexGetData("DP_1","003N8EMH8GTFRIVOG7KG9J3KE","GSON4143431203")</f>
        <v>#NAME?</v>
      </c>
      <c r="P2295" s="8" t="e">
        <f ca="1">[1]!BexGetData("DP_1","003N8EMH8GTFRIVOG7KG9J9VY","GSON4143431203")</f>
        <v>#NAME?</v>
      </c>
      <c r="Q2295" s="4" t="e">
        <f ca="1">[1]!BexGetData("DP_1","00O2TNJGODT0G5Z4TTKYMM5MT","GSON4143431203")</f>
        <v>#NAME?</v>
      </c>
      <c r="R2295" s="4" t="e">
        <f ca="1">[1]!BexGetData("DP_1","00O2TNJGODT0G5Z4TTKYMMBYD","GSON4143431203")</f>
        <v>#NAME?</v>
      </c>
      <c r="S2295" s="4" t="e">
        <f ca="1">[1]!BexGetData("DP_1","00O2TNJGODT0G5Z4TTKYMMI9X","GSON4143431203")</f>
        <v>#NAME?</v>
      </c>
      <c r="T2295" s="4" t="e">
        <f ca="1">[1]!BexGetData("DP_1","00O2TNJGODT0G5Z4TTKYMMOLH","GSON4143431203")</f>
        <v>#NAME?</v>
      </c>
      <c r="U2295" s="4" t="e">
        <f ca="1">[1]!BexGetData("DP_1","00O2TNJGODT0G5Z4TTKYMMUX1","GSON4143431203")</f>
        <v>#NAME?</v>
      </c>
      <c r="V2295" s="4" t="e">
        <f ca="1">[1]!BexGetData("DP_1","00O2TNJGODT0G5Z4TTKYMN18L","GSON4143431203")</f>
        <v>#NAME?</v>
      </c>
      <c r="W2295" s="4" t="e">
        <f ca="1">[1]!BexGetData("DP_1","00O2TNJGODT0G5Z4TTKYMN7K5","GSON4143431203")</f>
        <v>#NAME?</v>
      </c>
    </row>
    <row r="2296" spans="1:23" x14ac:dyDescent="0.2">
      <c r="A2296" s="16" t="s">
        <v>1496</v>
      </c>
      <c r="B2296" s="7" t="s">
        <v>637</v>
      </c>
      <c r="C2296" s="3" t="e">
        <f ca="1">[1]!BexGetData("DP_1","003N8EMH8GTFRCSWKMPXRR8GU","GSON4143431204")</f>
        <v>#NAME?</v>
      </c>
      <c r="D2296" s="3" t="e">
        <f ca="1">[1]!BexGetData("DP_1","003N8EMH8GTFRCSWKMPXRRESE","GSON4143431204")</f>
        <v>#NAME?</v>
      </c>
      <c r="E2296" s="3" t="e">
        <f ca="1">[1]!BexGetData("DP_1","003N8EMH8GTFRCSWKMPXRRL3Y","GSON4143431204")</f>
        <v>#NAME?</v>
      </c>
      <c r="F2296" s="4" t="e">
        <f ca="1">[1]!BexGetData("DP_1","003N8EMH8GTFRCSWKMPXRRRFI","GSON4143431204")</f>
        <v>#NAME?</v>
      </c>
      <c r="G2296" s="4" t="e">
        <f ca="1">[1]!BexGetData("DP_1","003N8EMH8GTFRCSWKMPXRRXR2","GSON4143431204")</f>
        <v>#NAME?</v>
      </c>
      <c r="H2296" s="4" t="e">
        <f ca="1">[1]!BexGetData("DP_1","003N8EMH8GTFRCSWKMPXRS42M","GSON4143431204")</f>
        <v>#NAME?</v>
      </c>
      <c r="I2296" s="4" t="e">
        <f ca="1">[1]!BexGetData("DP_1","003N8EMH8GTFRCSWKMPXRSAE6","GSON4143431204")</f>
        <v>#NAME?</v>
      </c>
      <c r="J2296" s="4" t="e">
        <f ca="1">[1]!BexGetData("DP_1","003N8EMH8GTFRCSWKMPXRSGPQ","GSON4143431204")</f>
        <v>#NAME?</v>
      </c>
      <c r="K2296" s="3" t="e">
        <f ca="1">[1]!BexGetData("DP_1","003N8EMH8GTFRIVNUPY288VJH","GSON4143431204")</f>
        <v>#NAME?</v>
      </c>
      <c r="L2296" s="3" t="e">
        <f ca="1">[1]!BexGetData("DP_1","003N8EMH8GTFRIVNUPY2891V1","GSON4143431204")</f>
        <v>#NAME?</v>
      </c>
      <c r="M2296" s="3" t="e">
        <f ca="1">[1]!BexGetData("DP_1","003N8EMH8GTFRIVOG7KG9IQXA","GSON4143431204")</f>
        <v>#NAME?</v>
      </c>
      <c r="N2296" s="8" t="e">
        <f ca="1">[1]!BexGetData("DP_1","003N8EMH8GTFRIVOG7KG9IX8U","GSON4143431204")</f>
        <v>#NAME?</v>
      </c>
      <c r="O2296" s="3" t="e">
        <f ca="1">[1]!BexGetData("DP_1","003N8EMH8GTFRIVOG7KG9J3KE","GSON4143431204")</f>
        <v>#NAME?</v>
      </c>
      <c r="P2296" s="8" t="e">
        <f ca="1">[1]!BexGetData("DP_1","003N8EMH8GTFRIVOG7KG9J9VY","GSON4143431204")</f>
        <v>#NAME?</v>
      </c>
      <c r="Q2296" s="4" t="e">
        <f ca="1">[1]!BexGetData("DP_1","00O2TNJGODT0G5Z4TTKYMM5MT","GSON4143431204")</f>
        <v>#NAME?</v>
      </c>
      <c r="R2296" s="4" t="e">
        <f ca="1">[1]!BexGetData("DP_1","00O2TNJGODT0G5Z4TTKYMMBYD","GSON4143431204")</f>
        <v>#NAME?</v>
      </c>
      <c r="S2296" s="4" t="e">
        <f ca="1">[1]!BexGetData("DP_1","00O2TNJGODT0G5Z4TTKYMMI9X","GSON4143431204")</f>
        <v>#NAME?</v>
      </c>
      <c r="T2296" s="4" t="e">
        <f ca="1">[1]!BexGetData("DP_1","00O2TNJGODT0G5Z4TTKYMMOLH","GSON4143431204")</f>
        <v>#NAME?</v>
      </c>
      <c r="U2296" s="4" t="e">
        <f ca="1">[1]!BexGetData("DP_1","00O2TNJGODT0G5Z4TTKYMMUX1","GSON4143431204")</f>
        <v>#NAME?</v>
      </c>
      <c r="V2296" s="4" t="e">
        <f ca="1">[1]!BexGetData("DP_1","00O2TNJGODT0G5Z4TTKYMN18L","GSON4143431204")</f>
        <v>#NAME?</v>
      </c>
      <c r="W2296" s="4" t="e">
        <f ca="1">[1]!BexGetData("DP_1","00O2TNJGODT0G5Z4TTKYMN7K5","GSON4143431204")</f>
        <v>#NAME?</v>
      </c>
    </row>
    <row r="2297" spans="1:23" x14ac:dyDescent="0.2">
      <c r="A2297" s="16" t="s">
        <v>1497</v>
      </c>
      <c r="B2297" s="7" t="s">
        <v>554</v>
      </c>
      <c r="C2297" s="3" t="e">
        <f ca="1">[1]!BexGetData("DP_1","003N8EMH8GTFRCSWKMPXRR8GU","GSON4143431205")</f>
        <v>#NAME?</v>
      </c>
      <c r="D2297" s="3" t="e">
        <f ca="1">[1]!BexGetData("DP_1","003N8EMH8GTFRCSWKMPXRRESE","GSON4143431205")</f>
        <v>#NAME?</v>
      </c>
      <c r="E2297" s="3" t="e">
        <f ca="1">[1]!BexGetData("DP_1","003N8EMH8GTFRCSWKMPXRRL3Y","GSON4143431205")</f>
        <v>#NAME?</v>
      </c>
      <c r="F2297" s="4" t="e">
        <f ca="1">[1]!BexGetData("DP_1","003N8EMH8GTFRCSWKMPXRRRFI","GSON4143431205")</f>
        <v>#NAME?</v>
      </c>
      <c r="G2297" s="4" t="e">
        <f ca="1">[1]!BexGetData("DP_1","003N8EMH8GTFRCSWKMPXRRXR2","GSON4143431205")</f>
        <v>#NAME?</v>
      </c>
      <c r="H2297" s="4" t="e">
        <f ca="1">[1]!BexGetData("DP_1","003N8EMH8GTFRCSWKMPXRS42M","GSON4143431205")</f>
        <v>#NAME?</v>
      </c>
      <c r="I2297" s="4" t="e">
        <f ca="1">[1]!BexGetData("DP_1","003N8EMH8GTFRCSWKMPXRSAE6","GSON4143431205")</f>
        <v>#NAME?</v>
      </c>
      <c r="J2297" s="4" t="e">
        <f ca="1">[1]!BexGetData("DP_1","003N8EMH8GTFRCSWKMPXRSGPQ","GSON4143431205")</f>
        <v>#NAME?</v>
      </c>
      <c r="K2297" s="3" t="e">
        <f ca="1">[1]!BexGetData("DP_1","003N8EMH8GTFRIVNUPY288VJH","GSON4143431205")</f>
        <v>#NAME?</v>
      </c>
      <c r="L2297" s="3" t="e">
        <f ca="1">[1]!BexGetData("DP_1","003N8EMH8GTFRIVNUPY2891V1","GSON4143431205")</f>
        <v>#NAME?</v>
      </c>
      <c r="M2297" s="3" t="e">
        <f ca="1">[1]!BexGetData("DP_1","003N8EMH8GTFRIVOG7KG9IQXA","GSON4143431205")</f>
        <v>#NAME?</v>
      </c>
      <c r="N2297" s="8" t="e">
        <f ca="1">[1]!BexGetData("DP_1","003N8EMH8GTFRIVOG7KG9IX8U","GSON4143431205")</f>
        <v>#NAME?</v>
      </c>
      <c r="O2297" s="3" t="e">
        <f ca="1">[1]!BexGetData("DP_1","003N8EMH8GTFRIVOG7KG9J3KE","GSON4143431205")</f>
        <v>#NAME?</v>
      </c>
      <c r="P2297" s="8" t="e">
        <f ca="1">[1]!BexGetData("DP_1","003N8EMH8GTFRIVOG7KG9J9VY","GSON4143431205")</f>
        <v>#NAME?</v>
      </c>
      <c r="Q2297" s="4" t="e">
        <f ca="1">[1]!BexGetData("DP_1","00O2TNJGODT0G5Z4TTKYMM5MT","GSON4143431205")</f>
        <v>#NAME?</v>
      </c>
      <c r="R2297" s="4" t="e">
        <f ca="1">[1]!BexGetData("DP_1","00O2TNJGODT0G5Z4TTKYMMBYD","GSON4143431205")</f>
        <v>#NAME?</v>
      </c>
      <c r="S2297" s="4" t="e">
        <f ca="1">[1]!BexGetData("DP_1","00O2TNJGODT0G5Z4TTKYMMI9X","GSON4143431205")</f>
        <v>#NAME?</v>
      </c>
      <c r="T2297" s="4" t="e">
        <f ca="1">[1]!BexGetData("DP_1","00O2TNJGODT0G5Z4TTKYMMOLH","GSON4143431205")</f>
        <v>#NAME?</v>
      </c>
      <c r="U2297" s="4" t="e">
        <f ca="1">[1]!BexGetData("DP_1","00O2TNJGODT0G5Z4TTKYMMUX1","GSON4143431205")</f>
        <v>#NAME?</v>
      </c>
      <c r="V2297" s="4" t="e">
        <f ca="1">[1]!BexGetData("DP_1","00O2TNJGODT0G5Z4TTKYMN18L","GSON4143431205")</f>
        <v>#NAME?</v>
      </c>
      <c r="W2297" s="4" t="e">
        <f ca="1">[1]!BexGetData("DP_1","00O2TNJGODT0G5Z4TTKYMN7K5","GSON4143431205")</f>
        <v>#NAME?</v>
      </c>
    </row>
    <row r="2298" spans="1:23" x14ac:dyDescent="0.2">
      <c r="A2298" s="16" t="s">
        <v>1498</v>
      </c>
      <c r="B2298" s="7" t="s">
        <v>638</v>
      </c>
      <c r="C2298" s="3" t="e">
        <f ca="1">[1]!BexGetData("DP_1","003N8EMH8GTFRCSWKMPXRR8GU","GSON4143431301")</f>
        <v>#NAME?</v>
      </c>
      <c r="D2298" s="3" t="e">
        <f ca="1">[1]!BexGetData("DP_1","003N8EMH8GTFRCSWKMPXRRESE","GSON4143431301")</f>
        <v>#NAME?</v>
      </c>
      <c r="E2298" s="3" t="e">
        <f ca="1">[1]!BexGetData("DP_1","003N8EMH8GTFRCSWKMPXRRL3Y","GSON4143431301")</f>
        <v>#NAME?</v>
      </c>
      <c r="F2298" s="4" t="e">
        <f ca="1">[1]!BexGetData("DP_1","003N8EMH8GTFRCSWKMPXRRRFI","GSON4143431301")</f>
        <v>#NAME?</v>
      </c>
      <c r="G2298" s="4" t="e">
        <f ca="1">[1]!BexGetData("DP_1","003N8EMH8GTFRCSWKMPXRRXR2","GSON4143431301")</f>
        <v>#NAME?</v>
      </c>
      <c r="H2298" s="4" t="e">
        <f ca="1">[1]!BexGetData("DP_1","003N8EMH8GTFRCSWKMPXRS42M","GSON4143431301")</f>
        <v>#NAME?</v>
      </c>
      <c r="I2298" s="4" t="e">
        <f ca="1">[1]!BexGetData("DP_1","003N8EMH8GTFRCSWKMPXRSAE6","GSON4143431301")</f>
        <v>#NAME?</v>
      </c>
      <c r="J2298" s="4" t="e">
        <f ca="1">[1]!BexGetData("DP_1","003N8EMH8GTFRCSWKMPXRSGPQ","GSON4143431301")</f>
        <v>#NAME?</v>
      </c>
      <c r="K2298" s="3" t="e">
        <f ca="1">[1]!BexGetData("DP_1","003N8EMH8GTFRIVNUPY288VJH","GSON4143431301")</f>
        <v>#NAME?</v>
      </c>
      <c r="L2298" s="3" t="e">
        <f ca="1">[1]!BexGetData("DP_1","003N8EMH8GTFRIVNUPY2891V1","GSON4143431301")</f>
        <v>#NAME?</v>
      </c>
      <c r="M2298" s="3" t="e">
        <f ca="1">[1]!BexGetData("DP_1","003N8EMH8GTFRIVOG7KG9IQXA","GSON4143431301")</f>
        <v>#NAME?</v>
      </c>
      <c r="N2298" s="8" t="e">
        <f ca="1">[1]!BexGetData("DP_1","003N8EMH8GTFRIVOG7KG9IX8U","GSON4143431301")</f>
        <v>#NAME?</v>
      </c>
      <c r="O2298" s="3" t="e">
        <f ca="1">[1]!BexGetData("DP_1","003N8EMH8GTFRIVOG7KG9J3KE","GSON4143431301")</f>
        <v>#NAME?</v>
      </c>
      <c r="P2298" s="8" t="e">
        <f ca="1">[1]!BexGetData("DP_1","003N8EMH8GTFRIVOG7KG9J9VY","GSON4143431301")</f>
        <v>#NAME?</v>
      </c>
      <c r="Q2298" s="4" t="e">
        <f ca="1">[1]!BexGetData("DP_1","00O2TNJGODT0G5Z4TTKYMM5MT","GSON4143431301")</f>
        <v>#NAME?</v>
      </c>
      <c r="R2298" s="4" t="e">
        <f ca="1">[1]!BexGetData("DP_1","00O2TNJGODT0G5Z4TTKYMMBYD","GSON4143431301")</f>
        <v>#NAME?</v>
      </c>
      <c r="S2298" s="4" t="e">
        <f ca="1">[1]!BexGetData("DP_1","00O2TNJGODT0G5Z4TTKYMMI9X","GSON4143431301")</f>
        <v>#NAME?</v>
      </c>
      <c r="T2298" s="4" t="e">
        <f ca="1">[1]!BexGetData("DP_1","00O2TNJGODT0G5Z4TTKYMMOLH","GSON4143431301")</f>
        <v>#NAME?</v>
      </c>
      <c r="U2298" s="4" t="e">
        <f ca="1">[1]!BexGetData("DP_1","00O2TNJGODT0G5Z4TTKYMMUX1","GSON4143431301")</f>
        <v>#NAME?</v>
      </c>
      <c r="V2298" s="4" t="e">
        <f ca="1">[1]!BexGetData("DP_1","00O2TNJGODT0G5Z4TTKYMN18L","GSON4143431301")</f>
        <v>#NAME?</v>
      </c>
      <c r="W2298" s="4" t="e">
        <f ca="1">[1]!BexGetData("DP_1","00O2TNJGODT0G5Z4TTKYMN7K5","GSON4143431301")</f>
        <v>#NAME?</v>
      </c>
    </row>
    <row r="2299" spans="1:23" x14ac:dyDescent="0.2">
      <c r="A2299" s="16" t="s">
        <v>1499</v>
      </c>
      <c r="B2299" s="7" t="s">
        <v>639</v>
      </c>
      <c r="C2299" s="3" t="e">
        <f ca="1">[1]!BexGetData("DP_1","003N8EMH8GTFRCSWKMPXRR8GU","GSON4143431401")</f>
        <v>#NAME?</v>
      </c>
      <c r="D2299" s="3" t="e">
        <f ca="1">[1]!BexGetData("DP_1","003N8EMH8GTFRCSWKMPXRRESE","GSON4143431401")</f>
        <v>#NAME?</v>
      </c>
      <c r="E2299" s="3" t="e">
        <f ca="1">[1]!BexGetData("DP_1","003N8EMH8GTFRCSWKMPXRRL3Y","GSON4143431401")</f>
        <v>#NAME?</v>
      </c>
      <c r="F2299" s="4" t="e">
        <f ca="1">[1]!BexGetData("DP_1","003N8EMH8GTFRCSWKMPXRRRFI","GSON4143431401")</f>
        <v>#NAME?</v>
      </c>
      <c r="G2299" s="4" t="e">
        <f ca="1">[1]!BexGetData("DP_1","003N8EMH8GTFRCSWKMPXRRXR2","GSON4143431401")</f>
        <v>#NAME?</v>
      </c>
      <c r="H2299" s="4" t="e">
        <f ca="1">[1]!BexGetData("DP_1","003N8EMH8GTFRCSWKMPXRS42M","GSON4143431401")</f>
        <v>#NAME?</v>
      </c>
      <c r="I2299" s="4" t="e">
        <f ca="1">[1]!BexGetData("DP_1","003N8EMH8GTFRCSWKMPXRSAE6","GSON4143431401")</f>
        <v>#NAME?</v>
      </c>
      <c r="J2299" s="4" t="e">
        <f ca="1">[1]!BexGetData("DP_1","003N8EMH8GTFRCSWKMPXRSGPQ","GSON4143431401")</f>
        <v>#NAME?</v>
      </c>
      <c r="K2299" s="3" t="e">
        <f ca="1">[1]!BexGetData("DP_1","003N8EMH8GTFRIVNUPY288VJH","GSON4143431401")</f>
        <v>#NAME?</v>
      </c>
      <c r="L2299" s="3" t="e">
        <f ca="1">[1]!BexGetData("DP_1","003N8EMH8GTFRIVNUPY2891V1","GSON4143431401")</f>
        <v>#NAME?</v>
      </c>
      <c r="M2299" s="3" t="e">
        <f ca="1">[1]!BexGetData("DP_1","003N8EMH8GTFRIVOG7KG9IQXA","GSON4143431401")</f>
        <v>#NAME?</v>
      </c>
      <c r="N2299" s="8" t="e">
        <f ca="1">[1]!BexGetData("DP_1","003N8EMH8GTFRIVOG7KG9IX8U","GSON4143431401")</f>
        <v>#NAME?</v>
      </c>
      <c r="O2299" s="3" t="e">
        <f ca="1">[1]!BexGetData("DP_1","003N8EMH8GTFRIVOG7KG9J3KE","GSON4143431401")</f>
        <v>#NAME?</v>
      </c>
      <c r="P2299" s="8" t="e">
        <f ca="1">[1]!BexGetData("DP_1","003N8EMH8GTFRIVOG7KG9J9VY","GSON4143431401")</f>
        <v>#NAME?</v>
      </c>
      <c r="Q2299" s="4" t="e">
        <f ca="1">[1]!BexGetData("DP_1","00O2TNJGODT0G5Z4TTKYMM5MT","GSON4143431401")</f>
        <v>#NAME?</v>
      </c>
      <c r="R2299" s="4" t="e">
        <f ca="1">[1]!BexGetData("DP_1","00O2TNJGODT0G5Z4TTKYMMBYD","GSON4143431401")</f>
        <v>#NAME?</v>
      </c>
      <c r="S2299" s="4" t="e">
        <f ca="1">[1]!BexGetData("DP_1","00O2TNJGODT0G5Z4TTKYMMI9X","GSON4143431401")</f>
        <v>#NAME?</v>
      </c>
      <c r="T2299" s="4" t="e">
        <f ca="1">[1]!BexGetData("DP_1","00O2TNJGODT0G5Z4TTKYMMOLH","GSON4143431401")</f>
        <v>#NAME?</v>
      </c>
      <c r="U2299" s="4" t="e">
        <f ca="1">[1]!BexGetData("DP_1","00O2TNJGODT0G5Z4TTKYMMUX1","GSON4143431401")</f>
        <v>#NAME?</v>
      </c>
      <c r="V2299" s="4" t="e">
        <f ca="1">[1]!BexGetData("DP_1","00O2TNJGODT0G5Z4TTKYMN18L","GSON4143431401")</f>
        <v>#NAME?</v>
      </c>
      <c r="W2299" s="4" t="e">
        <f ca="1">[1]!BexGetData("DP_1","00O2TNJGODT0G5Z4TTKYMN7K5","GSON4143431401")</f>
        <v>#NAME?</v>
      </c>
    </row>
    <row r="2300" spans="1:23" x14ac:dyDescent="0.2">
      <c r="A2300" s="16" t="s">
        <v>1500</v>
      </c>
      <c r="B2300" s="7" t="s">
        <v>640</v>
      </c>
      <c r="C2300" s="3" t="e">
        <f ca="1">[1]!BexGetData("DP_1","003N8EMH8GTFRCSWKMPXRR8GU","GSON4143431501")</f>
        <v>#NAME?</v>
      </c>
      <c r="D2300" s="3" t="e">
        <f ca="1">[1]!BexGetData("DP_1","003N8EMH8GTFRCSWKMPXRRESE","GSON4143431501")</f>
        <v>#NAME?</v>
      </c>
      <c r="E2300" s="3" t="e">
        <f ca="1">[1]!BexGetData("DP_1","003N8EMH8GTFRCSWKMPXRRL3Y","GSON4143431501")</f>
        <v>#NAME?</v>
      </c>
      <c r="F2300" s="4" t="e">
        <f ca="1">[1]!BexGetData("DP_1","003N8EMH8GTFRCSWKMPXRRRFI","GSON4143431501")</f>
        <v>#NAME?</v>
      </c>
      <c r="G2300" s="4" t="e">
        <f ca="1">[1]!BexGetData("DP_1","003N8EMH8GTFRCSWKMPXRRXR2","GSON4143431501")</f>
        <v>#NAME?</v>
      </c>
      <c r="H2300" s="4" t="e">
        <f ca="1">[1]!BexGetData("DP_1","003N8EMH8GTFRCSWKMPXRS42M","GSON4143431501")</f>
        <v>#NAME?</v>
      </c>
      <c r="I2300" s="4" t="e">
        <f ca="1">[1]!BexGetData("DP_1","003N8EMH8GTFRCSWKMPXRSAE6","GSON4143431501")</f>
        <v>#NAME?</v>
      </c>
      <c r="J2300" s="4" t="e">
        <f ca="1">[1]!BexGetData("DP_1","003N8EMH8GTFRCSWKMPXRSGPQ","GSON4143431501")</f>
        <v>#NAME?</v>
      </c>
      <c r="K2300" s="3" t="e">
        <f ca="1">[1]!BexGetData("DP_1","003N8EMH8GTFRIVNUPY288VJH","GSON4143431501")</f>
        <v>#NAME?</v>
      </c>
      <c r="L2300" s="3" t="e">
        <f ca="1">[1]!BexGetData("DP_1","003N8EMH8GTFRIVNUPY2891V1","GSON4143431501")</f>
        <v>#NAME?</v>
      </c>
      <c r="M2300" s="3" t="e">
        <f ca="1">[1]!BexGetData("DP_1","003N8EMH8GTFRIVOG7KG9IQXA","GSON4143431501")</f>
        <v>#NAME?</v>
      </c>
      <c r="N2300" s="8" t="e">
        <f ca="1">[1]!BexGetData("DP_1","003N8EMH8GTFRIVOG7KG9IX8U","GSON4143431501")</f>
        <v>#NAME?</v>
      </c>
      <c r="O2300" s="3" t="e">
        <f ca="1">[1]!BexGetData("DP_1","003N8EMH8GTFRIVOG7KG9J3KE","GSON4143431501")</f>
        <v>#NAME?</v>
      </c>
      <c r="P2300" s="8" t="e">
        <f ca="1">[1]!BexGetData("DP_1","003N8EMH8GTFRIVOG7KG9J9VY","GSON4143431501")</f>
        <v>#NAME?</v>
      </c>
      <c r="Q2300" s="4" t="e">
        <f ca="1">[1]!BexGetData("DP_1","00O2TNJGODT0G5Z4TTKYMM5MT","GSON4143431501")</f>
        <v>#NAME?</v>
      </c>
      <c r="R2300" s="4" t="e">
        <f ca="1">[1]!BexGetData("DP_1","00O2TNJGODT0G5Z4TTKYMMBYD","GSON4143431501")</f>
        <v>#NAME?</v>
      </c>
      <c r="S2300" s="4" t="e">
        <f ca="1">[1]!BexGetData("DP_1","00O2TNJGODT0G5Z4TTKYMMI9X","GSON4143431501")</f>
        <v>#NAME?</v>
      </c>
      <c r="T2300" s="4" t="e">
        <f ca="1">[1]!BexGetData("DP_1","00O2TNJGODT0G5Z4TTKYMMOLH","GSON4143431501")</f>
        <v>#NAME?</v>
      </c>
      <c r="U2300" s="4" t="e">
        <f ca="1">[1]!BexGetData("DP_1","00O2TNJGODT0G5Z4TTKYMMUX1","GSON4143431501")</f>
        <v>#NAME?</v>
      </c>
      <c r="V2300" s="4" t="e">
        <f ca="1">[1]!BexGetData("DP_1","00O2TNJGODT0G5Z4TTKYMN18L","GSON4143431501")</f>
        <v>#NAME?</v>
      </c>
      <c r="W2300" s="4" t="e">
        <f ca="1">[1]!BexGetData("DP_1","00O2TNJGODT0G5Z4TTKYMN7K5","GSON4143431501")</f>
        <v>#NAME?</v>
      </c>
    </row>
    <row r="2301" spans="1:23" x14ac:dyDescent="0.2">
      <c r="A2301" s="16" t="s">
        <v>1501</v>
      </c>
      <c r="B2301" s="7" t="s">
        <v>1502</v>
      </c>
      <c r="C2301" s="3" t="e">
        <f ca="1">[1]!BexGetData("DP_1","003N8EMH8GTFRCSWKMPXRR8GU","GSON4143431601")</f>
        <v>#NAME?</v>
      </c>
      <c r="D2301" s="3" t="e">
        <f ca="1">[1]!BexGetData("DP_1","003N8EMH8GTFRCSWKMPXRRESE","GSON4143431601")</f>
        <v>#NAME?</v>
      </c>
      <c r="E2301" s="3" t="e">
        <f ca="1">[1]!BexGetData("DP_1","003N8EMH8GTFRCSWKMPXRRL3Y","GSON4143431601")</f>
        <v>#NAME?</v>
      </c>
      <c r="F2301" s="4" t="e">
        <f ca="1">[1]!BexGetData("DP_1","003N8EMH8GTFRCSWKMPXRRRFI","GSON4143431601")</f>
        <v>#NAME?</v>
      </c>
      <c r="G2301" s="4" t="e">
        <f ca="1">[1]!BexGetData("DP_1","003N8EMH8GTFRCSWKMPXRRXR2","GSON4143431601")</f>
        <v>#NAME?</v>
      </c>
      <c r="H2301" s="4" t="e">
        <f ca="1">[1]!BexGetData("DP_1","003N8EMH8GTFRCSWKMPXRS42M","GSON4143431601")</f>
        <v>#NAME?</v>
      </c>
      <c r="I2301" s="4" t="e">
        <f ca="1">[1]!BexGetData("DP_1","003N8EMH8GTFRCSWKMPXRSAE6","GSON4143431601")</f>
        <v>#NAME?</v>
      </c>
      <c r="J2301" s="4" t="e">
        <f ca="1">[1]!BexGetData("DP_1","003N8EMH8GTFRCSWKMPXRSGPQ","GSON4143431601")</f>
        <v>#NAME?</v>
      </c>
      <c r="K2301" s="3" t="e">
        <f ca="1">[1]!BexGetData("DP_1","003N8EMH8GTFRIVNUPY288VJH","GSON4143431601")</f>
        <v>#NAME?</v>
      </c>
      <c r="L2301" s="3" t="e">
        <f ca="1">[1]!BexGetData("DP_1","003N8EMH8GTFRIVNUPY2891V1","GSON4143431601")</f>
        <v>#NAME?</v>
      </c>
      <c r="M2301" s="3" t="e">
        <f ca="1">[1]!BexGetData("DP_1","003N8EMH8GTFRIVOG7KG9IQXA","GSON4143431601")</f>
        <v>#NAME?</v>
      </c>
      <c r="N2301" s="8" t="e">
        <f ca="1">[1]!BexGetData("DP_1","003N8EMH8GTFRIVOG7KG9IX8U","GSON4143431601")</f>
        <v>#NAME?</v>
      </c>
      <c r="O2301" s="3" t="e">
        <f ca="1">[1]!BexGetData("DP_1","003N8EMH8GTFRIVOG7KG9J3KE","GSON4143431601")</f>
        <v>#NAME?</v>
      </c>
      <c r="P2301" s="8" t="e">
        <f ca="1">[1]!BexGetData("DP_1","003N8EMH8GTFRIVOG7KG9J9VY","GSON4143431601")</f>
        <v>#NAME?</v>
      </c>
      <c r="Q2301" s="4" t="e">
        <f ca="1">[1]!BexGetData("DP_1","00O2TNJGODT0G5Z4TTKYMM5MT","GSON4143431601")</f>
        <v>#NAME?</v>
      </c>
      <c r="R2301" s="4" t="e">
        <f ca="1">[1]!BexGetData("DP_1","00O2TNJGODT0G5Z4TTKYMMBYD","GSON4143431601")</f>
        <v>#NAME?</v>
      </c>
      <c r="S2301" s="4" t="e">
        <f ca="1">[1]!BexGetData("DP_1","00O2TNJGODT0G5Z4TTKYMMI9X","GSON4143431601")</f>
        <v>#NAME?</v>
      </c>
      <c r="T2301" s="4" t="e">
        <f ca="1">[1]!BexGetData("DP_1","00O2TNJGODT0G5Z4TTKYMMOLH","GSON4143431601")</f>
        <v>#NAME?</v>
      </c>
      <c r="U2301" s="4" t="e">
        <f ca="1">[1]!BexGetData("DP_1","00O2TNJGODT0G5Z4TTKYMMUX1","GSON4143431601")</f>
        <v>#NAME?</v>
      </c>
      <c r="V2301" s="4" t="e">
        <f ca="1">[1]!BexGetData("DP_1","00O2TNJGODT0G5Z4TTKYMN18L","GSON4143431601")</f>
        <v>#NAME?</v>
      </c>
      <c r="W2301" s="4" t="e">
        <f ca="1">[1]!BexGetData("DP_1","00O2TNJGODT0G5Z4TTKYMN7K5","GSON4143431601")</f>
        <v>#NAME?</v>
      </c>
    </row>
    <row r="2302" spans="1:23" x14ac:dyDescent="0.2">
      <c r="A2302" s="16" t="s">
        <v>706</v>
      </c>
      <c r="B2302" s="7" t="s">
        <v>707</v>
      </c>
      <c r="C2302" s="3" t="e">
        <f ca="1">[1]!BexGetData("DP_1","003N8EMH8GTFRCSWKMPXRR8GU","GSON4143431701")</f>
        <v>#NAME?</v>
      </c>
      <c r="D2302" s="3" t="e">
        <f ca="1">[1]!BexGetData("DP_1","003N8EMH8GTFRCSWKMPXRRESE","GSON4143431701")</f>
        <v>#NAME?</v>
      </c>
      <c r="E2302" s="3" t="e">
        <f ca="1">[1]!BexGetData("DP_1","003N8EMH8GTFRCSWKMPXRRL3Y","GSON4143431701")</f>
        <v>#NAME?</v>
      </c>
      <c r="F2302" s="4" t="e">
        <f ca="1">[1]!BexGetData("DP_1","003N8EMH8GTFRCSWKMPXRRRFI","GSON4143431701")</f>
        <v>#NAME?</v>
      </c>
      <c r="G2302" s="4" t="e">
        <f ca="1">[1]!BexGetData("DP_1","003N8EMH8GTFRCSWKMPXRRXR2","GSON4143431701")</f>
        <v>#NAME?</v>
      </c>
      <c r="H2302" s="4" t="e">
        <f ca="1">[1]!BexGetData("DP_1","003N8EMH8GTFRCSWKMPXRS42M","GSON4143431701")</f>
        <v>#NAME?</v>
      </c>
      <c r="I2302" s="4" t="e">
        <f ca="1">[1]!BexGetData("DP_1","003N8EMH8GTFRCSWKMPXRSAE6","GSON4143431701")</f>
        <v>#NAME?</v>
      </c>
      <c r="J2302" s="4" t="e">
        <f ca="1">[1]!BexGetData("DP_1","003N8EMH8GTFRCSWKMPXRSGPQ","GSON4143431701")</f>
        <v>#NAME?</v>
      </c>
      <c r="K2302" s="3" t="e">
        <f ca="1">[1]!BexGetData("DP_1","003N8EMH8GTFRIVNUPY288VJH","GSON4143431701")</f>
        <v>#NAME?</v>
      </c>
      <c r="L2302" s="3" t="e">
        <f ca="1">[1]!BexGetData("DP_1","003N8EMH8GTFRIVNUPY2891V1","GSON4143431701")</f>
        <v>#NAME?</v>
      </c>
      <c r="M2302" s="3" t="e">
        <f ca="1">[1]!BexGetData("DP_1","003N8EMH8GTFRIVOG7KG9IQXA","GSON4143431701")</f>
        <v>#NAME?</v>
      </c>
      <c r="N2302" s="8" t="e">
        <f ca="1">[1]!BexGetData("DP_1","003N8EMH8GTFRIVOG7KG9IX8U","GSON4143431701")</f>
        <v>#NAME?</v>
      </c>
      <c r="O2302" s="3" t="e">
        <f ca="1">[1]!BexGetData("DP_1","003N8EMH8GTFRIVOG7KG9J3KE","GSON4143431701")</f>
        <v>#NAME?</v>
      </c>
      <c r="P2302" s="8" t="e">
        <f ca="1">[1]!BexGetData("DP_1","003N8EMH8GTFRIVOG7KG9J9VY","GSON4143431701")</f>
        <v>#NAME?</v>
      </c>
      <c r="Q2302" s="4" t="e">
        <f ca="1">[1]!BexGetData("DP_1","00O2TNJGODT0G5Z4TTKYMM5MT","GSON4143431701")</f>
        <v>#NAME?</v>
      </c>
      <c r="R2302" s="4" t="e">
        <f ca="1">[1]!BexGetData("DP_1","00O2TNJGODT0G5Z4TTKYMMBYD","GSON4143431701")</f>
        <v>#NAME?</v>
      </c>
      <c r="S2302" s="4" t="e">
        <f ca="1">[1]!BexGetData("DP_1","00O2TNJGODT0G5Z4TTKYMMI9X","GSON4143431701")</f>
        <v>#NAME?</v>
      </c>
      <c r="T2302" s="4" t="e">
        <f ca="1">[1]!BexGetData("DP_1","00O2TNJGODT0G5Z4TTKYMMOLH","GSON4143431701")</f>
        <v>#NAME?</v>
      </c>
      <c r="U2302" s="4" t="e">
        <f ca="1">[1]!BexGetData("DP_1","00O2TNJGODT0G5Z4TTKYMMUX1","GSON4143431701")</f>
        <v>#NAME?</v>
      </c>
      <c r="V2302" s="4" t="e">
        <f ca="1">[1]!BexGetData("DP_1","00O2TNJGODT0G5Z4TTKYMN18L","GSON4143431701")</f>
        <v>#NAME?</v>
      </c>
      <c r="W2302" s="4" t="e">
        <f ca="1">[1]!BexGetData("DP_1","00O2TNJGODT0G5Z4TTKYMN7K5","GSON4143431701")</f>
        <v>#NAME?</v>
      </c>
    </row>
    <row r="2303" spans="1:23" x14ac:dyDescent="0.2">
      <c r="A2303" s="15" t="s">
        <v>555</v>
      </c>
      <c r="B2303" s="7" t="s">
        <v>556</v>
      </c>
      <c r="C2303" s="3" t="e">
        <f ca="1">[1]!BexGetData("DP_1","003N8EMH8GTFRCSWKMPXRR8GU","GSON4144")</f>
        <v>#NAME?</v>
      </c>
      <c r="D2303" s="3" t="e">
        <f ca="1">[1]!BexGetData("DP_1","003N8EMH8GTFRCSWKMPXRRESE","GSON4144")</f>
        <v>#NAME?</v>
      </c>
      <c r="E2303" s="3" t="e">
        <f ca="1">[1]!BexGetData("DP_1","003N8EMH8GTFRCSWKMPXRRL3Y","GSON4144")</f>
        <v>#NAME?</v>
      </c>
      <c r="F2303" s="4" t="e">
        <f ca="1">[1]!BexGetData("DP_1","003N8EMH8GTFRCSWKMPXRRRFI","GSON4144")</f>
        <v>#NAME?</v>
      </c>
      <c r="G2303" s="4" t="e">
        <f ca="1">[1]!BexGetData("DP_1","003N8EMH8GTFRCSWKMPXRRXR2","GSON4144")</f>
        <v>#NAME?</v>
      </c>
      <c r="H2303" s="4" t="e">
        <f ca="1">[1]!BexGetData("DP_1","003N8EMH8GTFRCSWKMPXRS42M","GSON4144")</f>
        <v>#NAME?</v>
      </c>
      <c r="I2303" s="4" t="e">
        <f ca="1">[1]!BexGetData("DP_1","003N8EMH8GTFRCSWKMPXRSAE6","GSON4144")</f>
        <v>#NAME?</v>
      </c>
      <c r="J2303" s="4" t="e">
        <f ca="1">[1]!BexGetData("DP_1","003N8EMH8GTFRCSWKMPXRSGPQ","GSON4144")</f>
        <v>#NAME?</v>
      </c>
      <c r="K2303" s="3" t="e">
        <f ca="1">[1]!BexGetData("DP_1","003N8EMH8GTFRIVNUPY288VJH","GSON4144")</f>
        <v>#NAME?</v>
      </c>
      <c r="L2303" s="3" t="e">
        <f ca="1">[1]!BexGetData("DP_1","003N8EMH8GTFRIVNUPY2891V1","GSON4144")</f>
        <v>#NAME?</v>
      </c>
      <c r="M2303" s="3" t="e">
        <f ca="1">[1]!BexGetData("DP_1","003N8EMH8GTFRIVOG7KG9IQXA","GSON4144")</f>
        <v>#NAME?</v>
      </c>
      <c r="N2303" s="8" t="e">
        <f ca="1">[1]!BexGetData("DP_1","003N8EMH8GTFRIVOG7KG9IX8U","GSON4144")</f>
        <v>#NAME?</v>
      </c>
      <c r="O2303" s="3" t="e">
        <f ca="1">[1]!BexGetData("DP_1","003N8EMH8GTFRIVOG7KG9J3KE","GSON4144")</f>
        <v>#NAME?</v>
      </c>
      <c r="P2303" s="8" t="e">
        <f ca="1">[1]!BexGetData("DP_1","003N8EMH8GTFRIVOG7KG9J9VY","GSON4144")</f>
        <v>#NAME?</v>
      </c>
      <c r="Q2303" s="4" t="e">
        <f ca="1">[1]!BexGetData("DP_1","00O2TNJGODT0G5Z4TTKYMM5MT","GSON4144")</f>
        <v>#NAME?</v>
      </c>
      <c r="R2303" s="4" t="e">
        <f ca="1">[1]!BexGetData("DP_1","00O2TNJGODT0G5Z4TTKYMMBYD","GSON4144")</f>
        <v>#NAME?</v>
      </c>
      <c r="S2303" s="4" t="e">
        <f ca="1">[1]!BexGetData("DP_1","00O2TNJGODT0G5Z4TTKYMMI9X","GSON4144")</f>
        <v>#NAME?</v>
      </c>
      <c r="T2303" s="4" t="e">
        <f ca="1">[1]!BexGetData("DP_1","00O2TNJGODT0G5Z4TTKYMMOLH","GSON4144")</f>
        <v>#NAME?</v>
      </c>
      <c r="U2303" s="4" t="e">
        <f ca="1">[1]!BexGetData("DP_1","00O2TNJGODT0G5Z4TTKYMMUX1","GSON4144")</f>
        <v>#NAME?</v>
      </c>
      <c r="V2303" s="4" t="e">
        <f ca="1">[1]!BexGetData("DP_1","00O2TNJGODT0G5Z4TTKYMN18L","GSON4144")</f>
        <v>#NAME?</v>
      </c>
      <c r="W2303" s="4" t="e">
        <f ca="1">[1]!BexGetData("DP_1","00O2TNJGODT0G5Z4TTKYMN7K5","GSON4144")</f>
        <v>#NAME?</v>
      </c>
    </row>
    <row r="2304" spans="1:23" x14ac:dyDescent="0.2">
      <c r="A2304" s="16" t="s">
        <v>557</v>
      </c>
      <c r="B2304" s="7" t="s">
        <v>558</v>
      </c>
      <c r="C2304" s="3" t="e">
        <f ca="1">[1]!BexGetData("DP_1","003N8EMH8GTFRCSWKMPXRR8GU","GSON4144450101")</f>
        <v>#NAME?</v>
      </c>
      <c r="D2304" s="3" t="e">
        <f ca="1">[1]!BexGetData("DP_1","003N8EMH8GTFRCSWKMPXRRESE","GSON4144450101")</f>
        <v>#NAME?</v>
      </c>
      <c r="E2304" s="3" t="e">
        <f ca="1">[1]!BexGetData("DP_1","003N8EMH8GTFRCSWKMPXRRL3Y","GSON4144450101")</f>
        <v>#NAME?</v>
      </c>
      <c r="F2304" s="4" t="e">
        <f ca="1">[1]!BexGetData("DP_1","003N8EMH8GTFRCSWKMPXRRRFI","GSON4144450101")</f>
        <v>#NAME?</v>
      </c>
      <c r="G2304" s="4" t="e">
        <f ca="1">[1]!BexGetData("DP_1","003N8EMH8GTFRCSWKMPXRRXR2","GSON4144450101")</f>
        <v>#NAME?</v>
      </c>
      <c r="H2304" s="4" t="e">
        <f ca="1">[1]!BexGetData("DP_1","003N8EMH8GTFRCSWKMPXRS42M","GSON4144450101")</f>
        <v>#NAME?</v>
      </c>
      <c r="I2304" s="4" t="e">
        <f ca="1">[1]!BexGetData("DP_1","003N8EMH8GTFRCSWKMPXRSAE6","GSON4144450101")</f>
        <v>#NAME?</v>
      </c>
      <c r="J2304" s="4" t="e">
        <f ca="1">[1]!BexGetData("DP_1","003N8EMH8GTFRCSWKMPXRSGPQ","GSON4144450101")</f>
        <v>#NAME?</v>
      </c>
      <c r="K2304" s="3" t="e">
        <f ca="1">[1]!BexGetData("DP_1","003N8EMH8GTFRIVNUPY288VJH","GSON4144450101")</f>
        <v>#NAME?</v>
      </c>
      <c r="L2304" s="3" t="e">
        <f ca="1">[1]!BexGetData("DP_1","003N8EMH8GTFRIVNUPY2891V1","GSON4144450101")</f>
        <v>#NAME?</v>
      </c>
      <c r="M2304" s="3" t="e">
        <f ca="1">[1]!BexGetData("DP_1","003N8EMH8GTFRIVOG7KG9IQXA","GSON4144450101")</f>
        <v>#NAME?</v>
      </c>
      <c r="N2304" s="8" t="e">
        <f ca="1">[1]!BexGetData("DP_1","003N8EMH8GTFRIVOG7KG9IX8U","GSON4144450101")</f>
        <v>#NAME?</v>
      </c>
      <c r="O2304" s="3" t="e">
        <f ca="1">[1]!BexGetData("DP_1","003N8EMH8GTFRIVOG7KG9J3KE","GSON4144450101")</f>
        <v>#NAME?</v>
      </c>
      <c r="P2304" s="8" t="e">
        <f ca="1">[1]!BexGetData("DP_1","003N8EMH8GTFRIVOG7KG9J9VY","GSON4144450101")</f>
        <v>#NAME?</v>
      </c>
      <c r="Q2304" s="4" t="e">
        <f ca="1">[1]!BexGetData("DP_1","00O2TNJGODT0G5Z4TTKYMM5MT","GSON4144450101")</f>
        <v>#NAME?</v>
      </c>
      <c r="R2304" s="4" t="e">
        <f ca="1">[1]!BexGetData("DP_1","00O2TNJGODT0G5Z4TTKYMMBYD","GSON4144450101")</f>
        <v>#NAME?</v>
      </c>
      <c r="S2304" s="4" t="e">
        <f ca="1">[1]!BexGetData("DP_1","00O2TNJGODT0G5Z4TTKYMMI9X","GSON4144450101")</f>
        <v>#NAME?</v>
      </c>
      <c r="T2304" s="4" t="e">
        <f ca="1">[1]!BexGetData("DP_1","00O2TNJGODT0G5Z4TTKYMMOLH","GSON4144450101")</f>
        <v>#NAME?</v>
      </c>
      <c r="U2304" s="4" t="e">
        <f ca="1">[1]!BexGetData("DP_1","00O2TNJGODT0G5Z4TTKYMMUX1","GSON4144450101")</f>
        <v>#NAME?</v>
      </c>
      <c r="V2304" s="4" t="e">
        <f ca="1">[1]!BexGetData("DP_1","00O2TNJGODT0G5Z4TTKYMN18L","GSON4144450101")</f>
        <v>#NAME?</v>
      </c>
      <c r="W2304" s="4" t="e">
        <f ca="1">[1]!BexGetData("DP_1","00O2TNJGODT0G5Z4TTKYMN7K5","GSON4144450101")</f>
        <v>#NAME?</v>
      </c>
    </row>
    <row r="2305" spans="1:23" x14ac:dyDescent="0.2">
      <c r="A2305" s="16" t="s">
        <v>1503</v>
      </c>
      <c r="B2305" s="7" t="s">
        <v>1504</v>
      </c>
      <c r="C2305" s="3" t="e">
        <f ca="1">[1]!BexGetData("DP_1","003N8EMH8GTFRCSWKMPXRR8GU","GSON4144450102")</f>
        <v>#NAME?</v>
      </c>
      <c r="D2305" s="3" t="e">
        <f ca="1">[1]!BexGetData("DP_1","003N8EMH8GTFRCSWKMPXRRESE","GSON4144450102")</f>
        <v>#NAME?</v>
      </c>
      <c r="E2305" s="3" t="e">
        <f ca="1">[1]!BexGetData("DP_1","003N8EMH8GTFRCSWKMPXRRL3Y","GSON4144450102")</f>
        <v>#NAME?</v>
      </c>
      <c r="F2305" s="4" t="e">
        <f ca="1">[1]!BexGetData("DP_1","003N8EMH8GTFRCSWKMPXRRRFI","GSON4144450102")</f>
        <v>#NAME?</v>
      </c>
      <c r="G2305" s="4" t="e">
        <f ca="1">[1]!BexGetData("DP_1","003N8EMH8GTFRCSWKMPXRRXR2","GSON4144450102")</f>
        <v>#NAME?</v>
      </c>
      <c r="H2305" s="4" t="e">
        <f ca="1">[1]!BexGetData("DP_1","003N8EMH8GTFRCSWKMPXRS42M","GSON4144450102")</f>
        <v>#NAME?</v>
      </c>
      <c r="I2305" s="4" t="e">
        <f ca="1">[1]!BexGetData("DP_1","003N8EMH8GTFRCSWKMPXRSAE6","GSON4144450102")</f>
        <v>#NAME?</v>
      </c>
      <c r="J2305" s="4" t="e">
        <f ca="1">[1]!BexGetData("DP_1","003N8EMH8GTFRCSWKMPXRSGPQ","GSON4144450102")</f>
        <v>#NAME?</v>
      </c>
      <c r="K2305" s="3" t="e">
        <f ca="1">[1]!BexGetData("DP_1","003N8EMH8GTFRIVNUPY288VJH","GSON4144450102")</f>
        <v>#NAME?</v>
      </c>
      <c r="L2305" s="3" t="e">
        <f ca="1">[1]!BexGetData("DP_1","003N8EMH8GTFRIVNUPY2891V1","GSON4144450102")</f>
        <v>#NAME?</v>
      </c>
      <c r="M2305" s="3" t="e">
        <f ca="1">[1]!BexGetData("DP_1","003N8EMH8GTFRIVOG7KG9IQXA","GSON4144450102")</f>
        <v>#NAME?</v>
      </c>
      <c r="N2305" s="8" t="e">
        <f ca="1">[1]!BexGetData("DP_1","003N8EMH8GTFRIVOG7KG9IX8U","GSON4144450102")</f>
        <v>#NAME?</v>
      </c>
      <c r="O2305" s="3" t="e">
        <f ca="1">[1]!BexGetData("DP_1","003N8EMH8GTFRIVOG7KG9J3KE","GSON4144450102")</f>
        <v>#NAME?</v>
      </c>
      <c r="P2305" s="8" t="e">
        <f ca="1">[1]!BexGetData("DP_1","003N8EMH8GTFRIVOG7KG9J9VY","GSON4144450102")</f>
        <v>#NAME?</v>
      </c>
      <c r="Q2305" s="4" t="e">
        <f ca="1">[1]!BexGetData("DP_1","00O2TNJGODT0G5Z4TTKYMM5MT","GSON4144450102")</f>
        <v>#NAME?</v>
      </c>
      <c r="R2305" s="4" t="e">
        <f ca="1">[1]!BexGetData("DP_1","00O2TNJGODT0G5Z4TTKYMMBYD","GSON4144450102")</f>
        <v>#NAME?</v>
      </c>
      <c r="S2305" s="4" t="e">
        <f ca="1">[1]!BexGetData("DP_1","00O2TNJGODT0G5Z4TTKYMMI9X","GSON4144450102")</f>
        <v>#NAME?</v>
      </c>
      <c r="T2305" s="4" t="e">
        <f ca="1">[1]!BexGetData("DP_1","00O2TNJGODT0G5Z4TTKYMMOLH","GSON4144450102")</f>
        <v>#NAME?</v>
      </c>
      <c r="U2305" s="4" t="e">
        <f ca="1">[1]!BexGetData("DP_1","00O2TNJGODT0G5Z4TTKYMMUX1","GSON4144450102")</f>
        <v>#NAME?</v>
      </c>
      <c r="V2305" s="4" t="e">
        <f ca="1">[1]!BexGetData("DP_1","00O2TNJGODT0G5Z4TTKYMN18L","GSON4144450102")</f>
        <v>#NAME?</v>
      </c>
      <c r="W2305" s="4" t="e">
        <f ca="1">[1]!BexGetData("DP_1","00O2TNJGODT0G5Z4TTKYMN7K5","GSON4144450102")</f>
        <v>#NAME?</v>
      </c>
    </row>
    <row r="2306" spans="1:23" x14ac:dyDescent="0.2">
      <c r="A2306" s="16" t="s">
        <v>1505</v>
      </c>
      <c r="B2306" s="7" t="s">
        <v>1506</v>
      </c>
      <c r="C2306" s="3" t="e">
        <f ca="1">[1]!BexGetData("DP_1","003N8EMH8GTFRCSWKMPXRR8GU","GSON4144450103")</f>
        <v>#NAME?</v>
      </c>
      <c r="D2306" s="3" t="e">
        <f ca="1">[1]!BexGetData("DP_1","003N8EMH8GTFRCSWKMPXRRESE","GSON4144450103")</f>
        <v>#NAME?</v>
      </c>
      <c r="E2306" s="3" t="e">
        <f ca="1">[1]!BexGetData("DP_1","003N8EMH8GTFRCSWKMPXRRL3Y","GSON4144450103")</f>
        <v>#NAME?</v>
      </c>
      <c r="F2306" s="4" t="e">
        <f ca="1">[1]!BexGetData("DP_1","003N8EMH8GTFRCSWKMPXRRRFI","GSON4144450103")</f>
        <v>#NAME?</v>
      </c>
      <c r="G2306" s="4" t="e">
        <f ca="1">[1]!BexGetData("DP_1","003N8EMH8GTFRCSWKMPXRRXR2","GSON4144450103")</f>
        <v>#NAME?</v>
      </c>
      <c r="H2306" s="4" t="e">
        <f ca="1">[1]!BexGetData("DP_1","003N8EMH8GTFRCSWKMPXRS42M","GSON4144450103")</f>
        <v>#NAME?</v>
      </c>
      <c r="I2306" s="4" t="e">
        <f ca="1">[1]!BexGetData("DP_1","003N8EMH8GTFRCSWKMPXRSAE6","GSON4144450103")</f>
        <v>#NAME?</v>
      </c>
      <c r="J2306" s="4" t="e">
        <f ca="1">[1]!BexGetData("DP_1","003N8EMH8GTFRCSWKMPXRSGPQ","GSON4144450103")</f>
        <v>#NAME?</v>
      </c>
      <c r="K2306" s="3" t="e">
        <f ca="1">[1]!BexGetData("DP_1","003N8EMH8GTFRIVNUPY288VJH","GSON4144450103")</f>
        <v>#NAME?</v>
      </c>
      <c r="L2306" s="3" t="e">
        <f ca="1">[1]!BexGetData("DP_1","003N8EMH8GTFRIVNUPY2891V1","GSON4144450103")</f>
        <v>#NAME?</v>
      </c>
      <c r="M2306" s="3" t="e">
        <f ca="1">[1]!BexGetData("DP_1","003N8EMH8GTFRIVOG7KG9IQXA","GSON4144450103")</f>
        <v>#NAME?</v>
      </c>
      <c r="N2306" s="8" t="e">
        <f ca="1">[1]!BexGetData("DP_1","003N8EMH8GTFRIVOG7KG9IX8U","GSON4144450103")</f>
        <v>#NAME?</v>
      </c>
      <c r="O2306" s="3" t="e">
        <f ca="1">[1]!BexGetData("DP_1","003N8EMH8GTFRIVOG7KG9J3KE","GSON4144450103")</f>
        <v>#NAME?</v>
      </c>
      <c r="P2306" s="8" t="e">
        <f ca="1">[1]!BexGetData("DP_1","003N8EMH8GTFRIVOG7KG9J9VY","GSON4144450103")</f>
        <v>#NAME?</v>
      </c>
      <c r="Q2306" s="4" t="e">
        <f ca="1">[1]!BexGetData("DP_1","00O2TNJGODT0G5Z4TTKYMM5MT","GSON4144450103")</f>
        <v>#NAME?</v>
      </c>
      <c r="R2306" s="4" t="e">
        <f ca="1">[1]!BexGetData("DP_1","00O2TNJGODT0G5Z4TTKYMMBYD","GSON4144450103")</f>
        <v>#NAME?</v>
      </c>
      <c r="S2306" s="4" t="e">
        <f ca="1">[1]!BexGetData("DP_1","00O2TNJGODT0G5Z4TTKYMMI9X","GSON4144450103")</f>
        <v>#NAME?</v>
      </c>
      <c r="T2306" s="4" t="e">
        <f ca="1">[1]!BexGetData("DP_1","00O2TNJGODT0G5Z4TTKYMMOLH","GSON4144450103")</f>
        <v>#NAME?</v>
      </c>
      <c r="U2306" s="4" t="e">
        <f ca="1">[1]!BexGetData("DP_1","00O2TNJGODT0G5Z4TTKYMMUX1","GSON4144450103")</f>
        <v>#NAME?</v>
      </c>
      <c r="V2306" s="4" t="e">
        <f ca="1">[1]!BexGetData("DP_1","00O2TNJGODT0G5Z4TTKYMN18L","GSON4144450103")</f>
        <v>#NAME?</v>
      </c>
      <c r="W2306" s="4" t="e">
        <f ca="1">[1]!BexGetData("DP_1","00O2TNJGODT0G5Z4TTKYMN7K5","GSON4144450103")</f>
        <v>#NAME?</v>
      </c>
    </row>
    <row r="2307" spans="1:23" x14ac:dyDescent="0.2">
      <c r="A2307" s="14" t="s">
        <v>559</v>
      </c>
      <c r="B2307" s="7" t="s">
        <v>560</v>
      </c>
      <c r="C2307" s="3" t="e">
        <f ca="1">[1]!BexGetData("DP_1","003N8EMH8GTFRCSWKMPXRR8GU","GSON415")</f>
        <v>#NAME?</v>
      </c>
      <c r="D2307" s="3" t="e">
        <f ca="1">[1]!BexGetData("DP_1","003N8EMH8GTFRCSWKMPXRRESE","GSON415")</f>
        <v>#NAME?</v>
      </c>
      <c r="E2307" s="3" t="e">
        <f ca="1">[1]!BexGetData("DP_1","003N8EMH8GTFRCSWKMPXRRL3Y","GSON415")</f>
        <v>#NAME?</v>
      </c>
      <c r="F2307" s="4" t="e">
        <f ca="1">[1]!BexGetData("DP_1","003N8EMH8GTFRCSWKMPXRRRFI","GSON415")</f>
        <v>#NAME?</v>
      </c>
      <c r="G2307" s="4" t="e">
        <f ca="1">[1]!BexGetData("DP_1","003N8EMH8GTFRCSWKMPXRRXR2","GSON415")</f>
        <v>#NAME?</v>
      </c>
      <c r="H2307" s="4" t="e">
        <f ca="1">[1]!BexGetData("DP_1","003N8EMH8GTFRCSWKMPXRS42M","GSON415")</f>
        <v>#NAME?</v>
      </c>
      <c r="I2307" s="4" t="e">
        <f ca="1">[1]!BexGetData("DP_1","003N8EMH8GTFRCSWKMPXRSAE6","GSON415")</f>
        <v>#NAME?</v>
      </c>
      <c r="J2307" s="4" t="e">
        <f ca="1">[1]!BexGetData("DP_1","003N8EMH8GTFRCSWKMPXRSGPQ","GSON415")</f>
        <v>#NAME?</v>
      </c>
      <c r="K2307" s="3" t="e">
        <f ca="1">[1]!BexGetData("DP_1","003N8EMH8GTFRIVNUPY288VJH","GSON415")</f>
        <v>#NAME?</v>
      </c>
      <c r="L2307" s="3" t="e">
        <f ca="1">[1]!BexGetData("DP_1","003N8EMH8GTFRIVNUPY2891V1","GSON415")</f>
        <v>#NAME?</v>
      </c>
      <c r="M2307" s="3" t="e">
        <f ca="1">[1]!BexGetData("DP_1","003N8EMH8GTFRIVOG7KG9IQXA","GSON415")</f>
        <v>#NAME?</v>
      </c>
      <c r="N2307" s="8" t="e">
        <f ca="1">[1]!BexGetData("DP_1","003N8EMH8GTFRIVOG7KG9IX8U","GSON415")</f>
        <v>#NAME?</v>
      </c>
      <c r="O2307" s="3" t="e">
        <f ca="1">[1]!BexGetData("DP_1","003N8EMH8GTFRIVOG7KG9J3KE","GSON415")</f>
        <v>#NAME?</v>
      </c>
      <c r="P2307" s="8" t="e">
        <f ca="1">[1]!BexGetData("DP_1","003N8EMH8GTFRIVOG7KG9J9VY","GSON415")</f>
        <v>#NAME?</v>
      </c>
      <c r="Q2307" s="4" t="e">
        <f ca="1">[1]!BexGetData("DP_1","00O2TNJGODT0G5Z4TTKYMM5MT","GSON415")</f>
        <v>#NAME?</v>
      </c>
      <c r="R2307" s="4" t="e">
        <f ca="1">[1]!BexGetData("DP_1","00O2TNJGODT0G5Z4TTKYMMBYD","GSON415")</f>
        <v>#NAME?</v>
      </c>
      <c r="S2307" s="4" t="e">
        <f ca="1">[1]!BexGetData("DP_1","00O2TNJGODT0G5Z4TTKYMMI9X","GSON415")</f>
        <v>#NAME?</v>
      </c>
      <c r="T2307" s="4" t="e">
        <f ca="1">[1]!BexGetData("DP_1","00O2TNJGODT0G5Z4TTKYMMOLH","GSON415")</f>
        <v>#NAME?</v>
      </c>
      <c r="U2307" s="4" t="e">
        <f ca="1">[1]!BexGetData("DP_1","00O2TNJGODT0G5Z4TTKYMMUX1","GSON415")</f>
        <v>#NAME?</v>
      </c>
      <c r="V2307" s="4" t="e">
        <f ca="1">[1]!BexGetData("DP_1","00O2TNJGODT0G5Z4TTKYMN18L","GSON415")</f>
        <v>#NAME?</v>
      </c>
      <c r="W2307" s="4" t="e">
        <f ca="1">[1]!BexGetData("DP_1","00O2TNJGODT0G5Z4TTKYMN7K5","GSON415")</f>
        <v>#NAME?</v>
      </c>
    </row>
    <row r="2308" spans="1:23" x14ac:dyDescent="0.2">
      <c r="A2308" s="15" t="s">
        <v>561</v>
      </c>
      <c r="B2308" s="7" t="s">
        <v>562</v>
      </c>
      <c r="C2308" s="3" t="e">
        <f ca="1">[1]!BexGetData("DP_1","003N8EMH8GTFRCSWKMPXRR8GU","GSON4151")</f>
        <v>#NAME?</v>
      </c>
      <c r="D2308" s="3" t="e">
        <f ca="1">[1]!BexGetData("DP_1","003N8EMH8GTFRCSWKMPXRRESE","GSON4151")</f>
        <v>#NAME?</v>
      </c>
      <c r="E2308" s="3" t="e">
        <f ca="1">[1]!BexGetData("DP_1","003N8EMH8GTFRCSWKMPXRRL3Y","GSON4151")</f>
        <v>#NAME?</v>
      </c>
      <c r="F2308" s="4" t="e">
        <f ca="1">[1]!BexGetData("DP_1","003N8EMH8GTFRCSWKMPXRRRFI","GSON4151")</f>
        <v>#NAME?</v>
      </c>
      <c r="G2308" s="4" t="e">
        <f ca="1">[1]!BexGetData("DP_1","003N8EMH8GTFRCSWKMPXRRXR2","GSON4151")</f>
        <v>#NAME?</v>
      </c>
      <c r="H2308" s="4" t="e">
        <f ca="1">[1]!BexGetData("DP_1","003N8EMH8GTFRCSWKMPXRS42M","GSON4151")</f>
        <v>#NAME?</v>
      </c>
      <c r="I2308" s="4" t="e">
        <f ca="1">[1]!BexGetData("DP_1","003N8EMH8GTFRCSWKMPXRSAE6","GSON4151")</f>
        <v>#NAME?</v>
      </c>
      <c r="J2308" s="4" t="e">
        <f ca="1">[1]!BexGetData("DP_1","003N8EMH8GTFRCSWKMPXRSGPQ","GSON4151")</f>
        <v>#NAME?</v>
      </c>
      <c r="K2308" s="3" t="e">
        <f ca="1">[1]!BexGetData("DP_1","003N8EMH8GTFRIVNUPY288VJH","GSON4151")</f>
        <v>#NAME?</v>
      </c>
      <c r="L2308" s="3" t="e">
        <f ca="1">[1]!BexGetData("DP_1","003N8EMH8GTFRIVNUPY2891V1","GSON4151")</f>
        <v>#NAME?</v>
      </c>
      <c r="M2308" s="3" t="e">
        <f ca="1">[1]!BexGetData("DP_1","003N8EMH8GTFRIVOG7KG9IQXA","GSON4151")</f>
        <v>#NAME?</v>
      </c>
      <c r="N2308" s="8" t="e">
        <f ca="1">[1]!BexGetData("DP_1","003N8EMH8GTFRIVOG7KG9IX8U","GSON4151")</f>
        <v>#NAME?</v>
      </c>
      <c r="O2308" s="3" t="e">
        <f ca="1">[1]!BexGetData("DP_1","003N8EMH8GTFRIVOG7KG9J3KE","GSON4151")</f>
        <v>#NAME?</v>
      </c>
      <c r="P2308" s="8" t="e">
        <f ca="1">[1]!BexGetData("DP_1","003N8EMH8GTFRIVOG7KG9J9VY","GSON4151")</f>
        <v>#NAME?</v>
      </c>
      <c r="Q2308" s="4" t="e">
        <f ca="1">[1]!BexGetData("DP_1","00O2TNJGODT0G5Z4TTKYMM5MT","GSON4151")</f>
        <v>#NAME?</v>
      </c>
      <c r="R2308" s="4" t="e">
        <f ca="1">[1]!BexGetData("DP_1","00O2TNJGODT0G5Z4TTKYMMBYD","GSON4151")</f>
        <v>#NAME?</v>
      </c>
      <c r="S2308" s="4" t="e">
        <f ca="1">[1]!BexGetData("DP_1","00O2TNJGODT0G5Z4TTKYMMI9X","GSON4151")</f>
        <v>#NAME?</v>
      </c>
      <c r="T2308" s="4" t="e">
        <f ca="1">[1]!BexGetData("DP_1","00O2TNJGODT0G5Z4TTKYMMOLH","GSON4151")</f>
        <v>#NAME?</v>
      </c>
      <c r="U2308" s="4" t="e">
        <f ca="1">[1]!BexGetData("DP_1","00O2TNJGODT0G5Z4TTKYMMUX1","GSON4151")</f>
        <v>#NAME?</v>
      </c>
      <c r="V2308" s="4" t="e">
        <f ca="1">[1]!BexGetData("DP_1","00O2TNJGODT0G5Z4TTKYMN18L","GSON4151")</f>
        <v>#NAME?</v>
      </c>
      <c r="W2308" s="4" t="e">
        <f ca="1">[1]!BexGetData("DP_1","00O2TNJGODT0G5Z4TTKYMN7K5","GSON4151")</f>
        <v>#NAME?</v>
      </c>
    </row>
    <row r="2309" spans="1:23" x14ac:dyDescent="0.2">
      <c r="A2309" s="16" t="s">
        <v>4920</v>
      </c>
      <c r="B2309" s="7" t="s">
        <v>4921</v>
      </c>
      <c r="C2309" s="8" t="e">
        <f ca="1">[1]!BexGetData("DP_1","003N8EMH8GTFRCSWKMPXRR8GU","GSON4151510102")</f>
        <v>#NAME?</v>
      </c>
      <c r="D2309" s="3" t="e">
        <f ca="1">[1]!BexGetData("DP_1","003N8EMH8GTFRCSWKMPXRRESE","GSON4151510102")</f>
        <v>#NAME?</v>
      </c>
      <c r="E2309" s="3" t="e">
        <f ca="1">[1]!BexGetData("DP_1","003N8EMH8GTFRCSWKMPXRRL3Y","GSON4151510102")</f>
        <v>#NAME?</v>
      </c>
      <c r="F2309" s="4" t="e">
        <f ca="1">[1]!BexGetData("DP_1","003N8EMH8GTFRCSWKMPXRRRFI","GSON4151510102")</f>
        <v>#NAME?</v>
      </c>
      <c r="G2309" s="4" t="e">
        <f ca="1">[1]!BexGetData("DP_1","003N8EMH8GTFRCSWKMPXRRXR2","GSON4151510102")</f>
        <v>#NAME?</v>
      </c>
      <c r="H2309" s="4" t="e">
        <f ca="1">[1]!BexGetData("DP_1","003N8EMH8GTFRCSWKMPXRS42M","GSON4151510102")</f>
        <v>#NAME?</v>
      </c>
      <c r="I2309" s="4" t="e">
        <f ca="1">[1]!BexGetData("DP_1","003N8EMH8GTFRCSWKMPXRSAE6","GSON4151510102")</f>
        <v>#NAME?</v>
      </c>
      <c r="J2309" s="4" t="e">
        <f ca="1">[1]!BexGetData("DP_1","003N8EMH8GTFRCSWKMPXRSGPQ","GSON4151510102")</f>
        <v>#NAME?</v>
      </c>
      <c r="K2309" s="3" t="e">
        <f ca="1">[1]!BexGetData("DP_1","003N8EMH8GTFRIVNUPY288VJH","GSON4151510102")</f>
        <v>#NAME?</v>
      </c>
      <c r="L2309" s="3" t="e">
        <f ca="1">[1]!BexGetData("DP_1","003N8EMH8GTFRIVNUPY2891V1","GSON4151510102")</f>
        <v>#NAME?</v>
      </c>
      <c r="M2309" s="3" t="e">
        <f ca="1">[1]!BexGetData("DP_1","003N8EMH8GTFRIVOG7KG9IQXA","GSON4151510102")</f>
        <v>#NAME?</v>
      </c>
      <c r="N2309" s="8" t="e">
        <f ca="1">[1]!BexGetData("DP_1","003N8EMH8GTFRIVOG7KG9IX8U","GSON4151510102")</f>
        <v>#NAME?</v>
      </c>
      <c r="O2309" s="3" t="e">
        <f ca="1">[1]!BexGetData("DP_1","003N8EMH8GTFRIVOG7KG9J3KE","GSON4151510102")</f>
        <v>#NAME?</v>
      </c>
      <c r="P2309" s="8" t="e">
        <f ca="1">[1]!BexGetData("DP_1","003N8EMH8GTFRIVOG7KG9J9VY","GSON4151510102")</f>
        <v>#NAME?</v>
      </c>
      <c r="Q2309" s="4" t="e">
        <f ca="1">[1]!BexGetData("DP_1","00O2TNJGODT0G5Z4TTKYMM5MT","GSON4151510102")</f>
        <v>#NAME?</v>
      </c>
      <c r="R2309" s="4" t="e">
        <f ca="1">[1]!BexGetData("DP_1","00O2TNJGODT0G5Z4TTKYMMBYD","GSON4151510102")</f>
        <v>#NAME?</v>
      </c>
      <c r="S2309" s="4" t="e">
        <f ca="1">[1]!BexGetData("DP_1","00O2TNJGODT0G5Z4TTKYMMI9X","GSON4151510102")</f>
        <v>#NAME?</v>
      </c>
      <c r="T2309" s="4" t="e">
        <f ca="1">[1]!BexGetData("DP_1","00O2TNJGODT0G5Z4TTKYMMOLH","GSON4151510102")</f>
        <v>#NAME?</v>
      </c>
      <c r="U2309" s="4" t="e">
        <f ca="1">[1]!BexGetData("DP_1","00O2TNJGODT0G5Z4TTKYMMUX1","GSON4151510102")</f>
        <v>#NAME?</v>
      </c>
      <c r="V2309" s="4" t="e">
        <f ca="1">[1]!BexGetData("DP_1","00O2TNJGODT0G5Z4TTKYMN18L","GSON4151510102")</f>
        <v>#NAME?</v>
      </c>
      <c r="W2309" s="4" t="e">
        <f ca="1">[1]!BexGetData("DP_1","00O2TNJGODT0G5Z4TTKYMN7K5","GSON4151510102")</f>
        <v>#NAME?</v>
      </c>
    </row>
    <row r="2310" spans="1:23" x14ac:dyDescent="0.2">
      <c r="A2310" s="16" t="s">
        <v>1507</v>
      </c>
      <c r="B2310" s="7" t="s">
        <v>563</v>
      </c>
      <c r="C2310" s="3" t="e">
        <f ca="1">[1]!BexGetData("DP_1","003N8EMH8GTFRCSWKMPXRR8GU","GSON4151510201")</f>
        <v>#NAME?</v>
      </c>
      <c r="D2310" s="3" t="e">
        <f ca="1">[1]!BexGetData("DP_1","003N8EMH8GTFRCSWKMPXRRESE","GSON4151510201")</f>
        <v>#NAME?</v>
      </c>
      <c r="E2310" s="3" t="e">
        <f ca="1">[1]!BexGetData("DP_1","003N8EMH8GTFRCSWKMPXRRL3Y","GSON4151510201")</f>
        <v>#NAME?</v>
      </c>
      <c r="F2310" s="4" t="e">
        <f ca="1">[1]!BexGetData("DP_1","003N8EMH8GTFRCSWKMPXRRRFI","GSON4151510201")</f>
        <v>#NAME?</v>
      </c>
      <c r="G2310" s="4" t="e">
        <f ca="1">[1]!BexGetData("DP_1","003N8EMH8GTFRCSWKMPXRRXR2","GSON4151510201")</f>
        <v>#NAME?</v>
      </c>
      <c r="H2310" s="4" t="e">
        <f ca="1">[1]!BexGetData("DP_1","003N8EMH8GTFRCSWKMPXRS42M","GSON4151510201")</f>
        <v>#NAME?</v>
      </c>
      <c r="I2310" s="4" t="e">
        <f ca="1">[1]!BexGetData("DP_1","003N8EMH8GTFRCSWKMPXRSAE6","GSON4151510201")</f>
        <v>#NAME?</v>
      </c>
      <c r="J2310" s="4" t="e">
        <f ca="1">[1]!BexGetData("DP_1","003N8EMH8GTFRCSWKMPXRSGPQ","GSON4151510201")</f>
        <v>#NAME?</v>
      </c>
      <c r="K2310" s="3" t="e">
        <f ca="1">[1]!BexGetData("DP_1","003N8EMH8GTFRIVNUPY288VJH","GSON4151510201")</f>
        <v>#NAME?</v>
      </c>
      <c r="L2310" s="3" t="e">
        <f ca="1">[1]!BexGetData("DP_1","003N8EMH8GTFRIVNUPY2891V1","GSON4151510201")</f>
        <v>#NAME?</v>
      </c>
      <c r="M2310" s="3" t="e">
        <f ca="1">[1]!BexGetData("DP_1","003N8EMH8GTFRIVOG7KG9IQXA","GSON4151510201")</f>
        <v>#NAME?</v>
      </c>
      <c r="N2310" s="8" t="e">
        <f ca="1">[1]!BexGetData("DP_1","003N8EMH8GTFRIVOG7KG9IX8U","GSON4151510201")</f>
        <v>#NAME?</v>
      </c>
      <c r="O2310" s="3" t="e">
        <f ca="1">[1]!BexGetData("DP_1","003N8EMH8GTFRIVOG7KG9J3KE","GSON4151510201")</f>
        <v>#NAME?</v>
      </c>
      <c r="P2310" s="8" t="e">
        <f ca="1">[1]!BexGetData("DP_1","003N8EMH8GTFRIVOG7KG9J9VY","GSON4151510201")</f>
        <v>#NAME?</v>
      </c>
      <c r="Q2310" s="4" t="e">
        <f ca="1">[1]!BexGetData("DP_1","00O2TNJGODT0G5Z4TTKYMM5MT","GSON4151510201")</f>
        <v>#NAME?</v>
      </c>
      <c r="R2310" s="4" t="e">
        <f ca="1">[1]!BexGetData("DP_1","00O2TNJGODT0G5Z4TTKYMMBYD","GSON4151510201")</f>
        <v>#NAME?</v>
      </c>
      <c r="S2310" s="4" t="e">
        <f ca="1">[1]!BexGetData("DP_1","00O2TNJGODT0G5Z4TTKYMMI9X","GSON4151510201")</f>
        <v>#NAME?</v>
      </c>
      <c r="T2310" s="4" t="e">
        <f ca="1">[1]!BexGetData("DP_1","00O2TNJGODT0G5Z4TTKYMMOLH","GSON4151510201")</f>
        <v>#NAME?</v>
      </c>
      <c r="U2310" s="4" t="e">
        <f ca="1">[1]!BexGetData("DP_1","00O2TNJGODT0G5Z4TTKYMMUX1","GSON4151510201")</f>
        <v>#NAME?</v>
      </c>
      <c r="V2310" s="4" t="e">
        <f ca="1">[1]!BexGetData("DP_1","00O2TNJGODT0G5Z4TTKYMN18L","GSON4151510201")</f>
        <v>#NAME?</v>
      </c>
      <c r="W2310" s="4" t="e">
        <f ca="1">[1]!BexGetData("DP_1","00O2TNJGODT0G5Z4TTKYMN7K5","GSON4151510201")</f>
        <v>#NAME?</v>
      </c>
    </row>
    <row r="2311" spans="1:23" x14ac:dyDescent="0.2">
      <c r="A2311" s="16" t="s">
        <v>1508</v>
      </c>
      <c r="B2311" s="7" t="s">
        <v>1509</v>
      </c>
      <c r="C2311" s="3" t="e">
        <f ca="1">[1]!BexGetData("DP_1","003N8EMH8GTFRCSWKMPXRR8GU","GSON4151510301")</f>
        <v>#NAME?</v>
      </c>
      <c r="D2311" s="3" t="e">
        <f ca="1">[1]!BexGetData("DP_1","003N8EMH8GTFRCSWKMPXRRESE","GSON4151510301")</f>
        <v>#NAME?</v>
      </c>
      <c r="E2311" s="3" t="e">
        <f ca="1">[1]!BexGetData("DP_1","003N8EMH8GTFRCSWKMPXRRL3Y","GSON4151510301")</f>
        <v>#NAME?</v>
      </c>
      <c r="F2311" s="4" t="e">
        <f ca="1">[1]!BexGetData("DP_1","003N8EMH8GTFRCSWKMPXRRRFI","GSON4151510301")</f>
        <v>#NAME?</v>
      </c>
      <c r="G2311" s="4" t="e">
        <f ca="1">[1]!BexGetData("DP_1","003N8EMH8GTFRCSWKMPXRRXR2","GSON4151510301")</f>
        <v>#NAME?</v>
      </c>
      <c r="H2311" s="4" t="e">
        <f ca="1">[1]!BexGetData("DP_1","003N8EMH8GTFRCSWKMPXRS42M","GSON4151510301")</f>
        <v>#NAME?</v>
      </c>
      <c r="I2311" s="4" t="e">
        <f ca="1">[1]!BexGetData("DP_1","003N8EMH8GTFRCSWKMPXRSAE6","GSON4151510301")</f>
        <v>#NAME?</v>
      </c>
      <c r="J2311" s="4" t="e">
        <f ca="1">[1]!BexGetData("DP_1","003N8EMH8GTFRCSWKMPXRSGPQ","GSON4151510301")</f>
        <v>#NAME?</v>
      </c>
      <c r="K2311" s="3" t="e">
        <f ca="1">[1]!BexGetData("DP_1","003N8EMH8GTFRIVNUPY288VJH","GSON4151510301")</f>
        <v>#NAME?</v>
      </c>
      <c r="L2311" s="3" t="e">
        <f ca="1">[1]!BexGetData("DP_1","003N8EMH8GTFRIVNUPY2891V1","GSON4151510301")</f>
        <v>#NAME?</v>
      </c>
      <c r="M2311" s="3" t="e">
        <f ca="1">[1]!BexGetData("DP_1","003N8EMH8GTFRIVOG7KG9IQXA","GSON4151510301")</f>
        <v>#NAME?</v>
      </c>
      <c r="N2311" s="8" t="e">
        <f ca="1">[1]!BexGetData("DP_1","003N8EMH8GTFRIVOG7KG9IX8U","GSON4151510301")</f>
        <v>#NAME?</v>
      </c>
      <c r="O2311" s="3" t="e">
        <f ca="1">[1]!BexGetData("DP_1","003N8EMH8GTFRIVOG7KG9J3KE","GSON4151510301")</f>
        <v>#NAME?</v>
      </c>
      <c r="P2311" s="8" t="e">
        <f ca="1">[1]!BexGetData("DP_1","003N8EMH8GTFRIVOG7KG9J9VY","GSON4151510301")</f>
        <v>#NAME?</v>
      </c>
      <c r="Q2311" s="4" t="e">
        <f ca="1">[1]!BexGetData("DP_1","00O2TNJGODT0G5Z4TTKYMM5MT","GSON4151510301")</f>
        <v>#NAME?</v>
      </c>
      <c r="R2311" s="4" t="e">
        <f ca="1">[1]!BexGetData("DP_1","00O2TNJGODT0G5Z4TTKYMMBYD","GSON4151510301")</f>
        <v>#NAME?</v>
      </c>
      <c r="S2311" s="4" t="e">
        <f ca="1">[1]!BexGetData("DP_1","00O2TNJGODT0G5Z4TTKYMMI9X","GSON4151510301")</f>
        <v>#NAME?</v>
      </c>
      <c r="T2311" s="4" t="e">
        <f ca="1">[1]!BexGetData("DP_1","00O2TNJGODT0G5Z4TTKYMMOLH","GSON4151510301")</f>
        <v>#NAME?</v>
      </c>
      <c r="U2311" s="4" t="e">
        <f ca="1">[1]!BexGetData("DP_1","00O2TNJGODT0G5Z4TTKYMMUX1","GSON4151510301")</f>
        <v>#NAME?</v>
      </c>
      <c r="V2311" s="4" t="e">
        <f ca="1">[1]!BexGetData("DP_1","00O2TNJGODT0G5Z4TTKYMN18L","GSON4151510301")</f>
        <v>#NAME?</v>
      </c>
      <c r="W2311" s="4" t="e">
        <f ca="1">[1]!BexGetData("DP_1","00O2TNJGODT0G5Z4TTKYMN7K5","GSON4151510301")</f>
        <v>#NAME?</v>
      </c>
    </row>
    <row r="2312" spans="1:23" x14ac:dyDescent="0.2">
      <c r="A2312" s="14" t="s">
        <v>564</v>
      </c>
      <c r="B2312" s="7" t="s">
        <v>565</v>
      </c>
      <c r="C2312" s="3" t="e">
        <f ca="1">[1]!BexGetData("DP_1","003N8EMH8GTFRCSWKMPXRR8GU","GSON416")</f>
        <v>#NAME?</v>
      </c>
      <c r="D2312" s="3" t="e">
        <f ca="1">[1]!BexGetData("DP_1","003N8EMH8GTFRCSWKMPXRRESE","GSON416")</f>
        <v>#NAME?</v>
      </c>
      <c r="E2312" s="3" t="e">
        <f ca="1">[1]!BexGetData("DP_1","003N8EMH8GTFRCSWKMPXRRL3Y","GSON416")</f>
        <v>#NAME?</v>
      </c>
      <c r="F2312" s="4" t="e">
        <f ca="1">[1]!BexGetData("DP_1","003N8EMH8GTFRCSWKMPXRRRFI","GSON416")</f>
        <v>#NAME?</v>
      </c>
      <c r="G2312" s="4" t="e">
        <f ca="1">[1]!BexGetData("DP_1","003N8EMH8GTFRCSWKMPXRRXR2","GSON416")</f>
        <v>#NAME?</v>
      </c>
      <c r="H2312" s="4" t="e">
        <f ca="1">[1]!BexGetData("DP_1","003N8EMH8GTFRCSWKMPXRS42M","GSON416")</f>
        <v>#NAME?</v>
      </c>
      <c r="I2312" s="4" t="e">
        <f ca="1">[1]!BexGetData("DP_1","003N8EMH8GTFRCSWKMPXRSAE6","GSON416")</f>
        <v>#NAME?</v>
      </c>
      <c r="J2312" s="4" t="e">
        <f ca="1">[1]!BexGetData("DP_1","003N8EMH8GTFRCSWKMPXRSGPQ","GSON416")</f>
        <v>#NAME?</v>
      </c>
      <c r="K2312" s="3" t="e">
        <f ca="1">[1]!BexGetData("DP_1","003N8EMH8GTFRIVNUPY288VJH","GSON416")</f>
        <v>#NAME?</v>
      </c>
      <c r="L2312" s="3" t="e">
        <f ca="1">[1]!BexGetData("DP_1","003N8EMH8GTFRIVNUPY2891V1","GSON416")</f>
        <v>#NAME?</v>
      </c>
      <c r="M2312" s="3" t="e">
        <f ca="1">[1]!BexGetData("DP_1","003N8EMH8GTFRIVOG7KG9IQXA","GSON416")</f>
        <v>#NAME?</v>
      </c>
      <c r="N2312" s="8" t="e">
        <f ca="1">[1]!BexGetData("DP_1","003N8EMH8GTFRIVOG7KG9IX8U","GSON416")</f>
        <v>#NAME?</v>
      </c>
      <c r="O2312" s="3" t="e">
        <f ca="1">[1]!BexGetData("DP_1","003N8EMH8GTFRIVOG7KG9J3KE","GSON416")</f>
        <v>#NAME?</v>
      </c>
      <c r="P2312" s="8" t="e">
        <f ca="1">[1]!BexGetData("DP_1","003N8EMH8GTFRIVOG7KG9J9VY","GSON416")</f>
        <v>#NAME?</v>
      </c>
      <c r="Q2312" s="4" t="e">
        <f ca="1">[1]!BexGetData("DP_1","00O2TNJGODT0G5Z4TTKYMM5MT","GSON416")</f>
        <v>#NAME?</v>
      </c>
      <c r="R2312" s="4" t="e">
        <f ca="1">[1]!BexGetData("DP_1","00O2TNJGODT0G5Z4TTKYMMBYD","GSON416")</f>
        <v>#NAME?</v>
      </c>
      <c r="S2312" s="4" t="e">
        <f ca="1">[1]!BexGetData("DP_1","00O2TNJGODT0G5Z4TTKYMMI9X","GSON416")</f>
        <v>#NAME?</v>
      </c>
      <c r="T2312" s="4" t="e">
        <f ca="1">[1]!BexGetData("DP_1","00O2TNJGODT0G5Z4TTKYMMOLH","GSON416")</f>
        <v>#NAME?</v>
      </c>
      <c r="U2312" s="4" t="e">
        <f ca="1">[1]!BexGetData("DP_1","00O2TNJGODT0G5Z4TTKYMMUX1","GSON416")</f>
        <v>#NAME?</v>
      </c>
      <c r="V2312" s="4" t="e">
        <f ca="1">[1]!BexGetData("DP_1","00O2TNJGODT0G5Z4TTKYMN18L","GSON416")</f>
        <v>#NAME?</v>
      </c>
      <c r="W2312" s="4" t="e">
        <f ca="1">[1]!BexGetData("DP_1","00O2TNJGODT0G5Z4TTKYMN7K5","GSON416")</f>
        <v>#NAME?</v>
      </c>
    </row>
    <row r="2313" spans="1:23" x14ac:dyDescent="0.2">
      <c r="A2313" s="15" t="s">
        <v>708</v>
      </c>
      <c r="B2313" s="7" t="s">
        <v>709</v>
      </c>
      <c r="C2313" s="3" t="e">
        <f ca="1">[1]!BexGetData("DP_1","003N8EMH8GTFRCSWKMPXRR8GU","GSON4161")</f>
        <v>#NAME?</v>
      </c>
      <c r="D2313" s="3" t="e">
        <f ca="1">[1]!BexGetData("DP_1","003N8EMH8GTFRCSWKMPXRRESE","GSON4161")</f>
        <v>#NAME?</v>
      </c>
      <c r="E2313" s="3" t="e">
        <f ca="1">[1]!BexGetData("DP_1","003N8EMH8GTFRCSWKMPXRRL3Y","GSON4161")</f>
        <v>#NAME?</v>
      </c>
      <c r="F2313" s="4" t="e">
        <f ca="1">[1]!BexGetData("DP_1","003N8EMH8GTFRCSWKMPXRRRFI","GSON4161")</f>
        <v>#NAME?</v>
      </c>
      <c r="G2313" s="4" t="e">
        <f ca="1">[1]!BexGetData("DP_1","003N8EMH8GTFRCSWKMPXRRXR2","GSON4161")</f>
        <v>#NAME?</v>
      </c>
      <c r="H2313" s="4" t="e">
        <f ca="1">[1]!BexGetData("DP_1","003N8EMH8GTFRCSWKMPXRS42M","GSON4161")</f>
        <v>#NAME?</v>
      </c>
      <c r="I2313" s="4" t="e">
        <f ca="1">[1]!BexGetData("DP_1","003N8EMH8GTFRCSWKMPXRSAE6","GSON4161")</f>
        <v>#NAME?</v>
      </c>
      <c r="J2313" s="4" t="e">
        <f ca="1">[1]!BexGetData("DP_1","003N8EMH8GTFRCSWKMPXRSGPQ","GSON4161")</f>
        <v>#NAME?</v>
      </c>
      <c r="K2313" s="3" t="e">
        <f ca="1">[1]!BexGetData("DP_1","003N8EMH8GTFRIVNUPY288VJH","GSON4161")</f>
        <v>#NAME?</v>
      </c>
      <c r="L2313" s="3" t="e">
        <f ca="1">[1]!BexGetData("DP_1","003N8EMH8GTFRIVNUPY2891V1","GSON4161")</f>
        <v>#NAME?</v>
      </c>
      <c r="M2313" s="3" t="e">
        <f ca="1">[1]!BexGetData("DP_1","003N8EMH8GTFRIVOG7KG9IQXA","GSON4161")</f>
        <v>#NAME?</v>
      </c>
      <c r="N2313" s="8" t="e">
        <f ca="1">[1]!BexGetData("DP_1","003N8EMH8GTFRIVOG7KG9IX8U","GSON4161")</f>
        <v>#NAME?</v>
      </c>
      <c r="O2313" s="3" t="e">
        <f ca="1">[1]!BexGetData("DP_1","003N8EMH8GTFRIVOG7KG9J3KE","GSON4161")</f>
        <v>#NAME?</v>
      </c>
      <c r="P2313" s="8" t="e">
        <f ca="1">[1]!BexGetData("DP_1","003N8EMH8GTFRIVOG7KG9J9VY","GSON4161")</f>
        <v>#NAME?</v>
      </c>
      <c r="Q2313" s="4" t="e">
        <f ca="1">[1]!BexGetData("DP_1","00O2TNJGODT0G5Z4TTKYMM5MT","GSON4161")</f>
        <v>#NAME?</v>
      </c>
      <c r="R2313" s="4" t="e">
        <f ca="1">[1]!BexGetData("DP_1","00O2TNJGODT0G5Z4TTKYMMBYD","GSON4161")</f>
        <v>#NAME?</v>
      </c>
      <c r="S2313" s="4" t="e">
        <f ca="1">[1]!BexGetData("DP_1","00O2TNJGODT0G5Z4TTKYMMI9X","GSON4161")</f>
        <v>#NAME?</v>
      </c>
      <c r="T2313" s="4" t="e">
        <f ca="1">[1]!BexGetData("DP_1","00O2TNJGODT0G5Z4TTKYMMOLH","GSON4161")</f>
        <v>#NAME?</v>
      </c>
      <c r="U2313" s="4" t="e">
        <f ca="1">[1]!BexGetData("DP_1","00O2TNJGODT0G5Z4TTKYMMUX1","GSON4161")</f>
        <v>#NAME?</v>
      </c>
      <c r="V2313" s="4" t="e">
        <f ca="1">[1]!BexGetData("DP_1","00O2TNJGODT0G5Z4TTKYMN18L","GSON4161")</f>
        <v>#NAME?</v>
      </c>
      <c r="W2313" s="4" t="e">
        <f ca="1">[1]!BexGetData("DP_1","00O2TNJGODT0G5Z4TTKYMN7K5","GSON4161")</f>
        <v>#NAME?</v>
      </c>
    </row>
    <row r="2314" spans="1:23" x14ac:dyDescent="0.2">
      <c r="A2314" s="16" t="s">
        <v>1510</v>
      </c>
      <c r="B2314" s="7" t="s">
        <v>1511</v>
      </c>
      <c r="C2314" s="3" t="e">
        <f ca="1">[1]!BexGetData("DP_1","003N8EMH8GTFRCSWKMPXRR8GU","GSON4161610101")</f>
        <v>#NAME?</v>
      </c>
      <c r="D2314" s="3" t="e">
        <f ca="1">[1]!BexGetData("DP_1","003N8EMH8GTFRCSWKMPXRRESE","GSON4161610101")</f>
        <v>#NAME?</v>
      </c>
      <c r="E2314" s="3" t="e">
        <f ca="1">[1]!BexGetData("DP_1","003N8EMH8GTFRCSWKMPXRRL3Y","GSON4161610101")</f>
        <v>#NAME?</v>
      </c>
      <c r="F2314" s="4" t="e">
        <f ca="1">[1]!BexGetData("DP_1","003N8EMH8GTFRCSWKMPXRRRFI","GSON4161610101")</f>
        <v>#NAME?</v>
      </c>
      <c r="G2314" s="4" t="e">
        <f ca="1">[1]!BexGetData("DP_1","003N8EMH8GTFRCSWKMPXRRXR2","GSON4161610101")</f>
        <v>#NAME?</v>
      </c>
      <c r="H2314" s="4" t="e">
        <f ca="1">[1]!BexGetData("DP_1","003N8EMH8GTFRCSWKMPXRS42M","GSON4161610101")</f>
        <v>#NAME?</v>
      </c>
      <c r="I2314" s="4" t="e">
        <f ca="1">[1]!BexGetData("DP_1","003N8EMH8GTFRCSWKMPXRSAE6","GSON4161610101")</f>
        <v>#NAME?</v>
      </c>
      <c r="J2314" s="4" t="e">
        <f ca="1">[1]!BexGetData("DP_1","003N8EMH8GTFRCSWKMPXRSGPQ","GSON4161610101")</f>
        <v>#NAME?</v>
      </c>
      <c r="K2314" s="3" t="e">
        <f ca="1">[1]!BexGetData("DP_1","003N8EMH8GTFRIVNUPY288VJH","GSON4161610101")</f>
        <v>#NAME?</v>
      </c>
      <c r="L2314" s="3" t="e">
        <f ca="1">[1]!BexGetData("DP_1","003N8EMH8GTFRIVNUPY2891V1","GSON4161610101")</f>
        <v>#NAME?</v>
      </c>
      <c r="M2314" s="3" t="e">
        <f ca="1">[1]!BexGetData("DP_1","003N8EMH8GTFRIVOG7KG9IQXA","GSON4161610101")</f>
        <v>#NAME?</v>
      </c>
      <c r="N2314" s="8" t="e">
        <f ca="1">[1]!BexGetData("DP_1","003N8EMH8GTFRIVOG7KG9IX8U","GSON4161610101")</f>
        <v>#NAME?</v>
      </c>
      <c r="O2314" s="3" t="e">
        <f ca="1">[1]!BexGetData("DP_1","003N8EMH8GTFRIVOG7KG9J3KE","GSON4161610101")</f>
        <v>#NAME?</v>
      </c>
      <c r="P2314" s="8" t="e">
        <f ca="1">[1]!BexGetData("DP_1","003N8EMH8GTFRIVOG7KG9J9VY","GSON4161610101")</f>
        <v>#NAME?</v>
      </c>
      <c r="Q2314" s="4" t="e">
        <f ca="1">[1]!BexGetData("DP_1","00O2TNJGODT0G5Z4TTKYMM5MT","GSON4161610101")</f>
        <v>#NAME?</v>
      </c>
      <c r="R2314" s="4" t="e">
        <f ca="1">[1]!BexGetData("DP_1","00O2TNJGODT0G5Z4TTKYMMBYD","GSON4161610101")</f>
        <v>#NAME?</v>
      </c>
      <c r="S2314" s="4" t="e">
        <f ca="1">[1]!BexGetData("DP_1","00O2TNJGODT0G5Z4TTKYMMI9X","GSON4161610101")</f>
        <v>#NAME?</v>
      </c>
      <c r="T2314" s="4" t="e">
        <f ca="1">[1]!BexGetData("DP_1","00O2TNJGODT0G5Z4TTKYMMOLH","GSON4161610101")</f>
        <v>#NAME?</v>
      </c>
      <c r="U2314" s="4" t="e">
        <f ca="1">[1]!BexGetData("DP_1","00O2TNJGODT0G5Z4TTKYMMUX1","GSON4161610101")</f>
        <v>#NAME?</v>
      </c>
      <c r="V2314" s="4" t="e">
        <f ca="1">[1]!BexGetData("DP_1","00O2TNJGODT0G5Z4TTKYMN18L","GSON4161610101")</f>
        <v>#NAME?</v>
      </c>
      <c r="W2314" s="4" t="e">
        <f ca="1">[1]!BexGetData("DP_1","00O2TNJGODT0G5Z4TTKYMN7K5","GSON4161610101")</f>
        <v>#NAME?</v>
      </c>
    </row>
    <row r="2315" spans="1:23" x14ac:dyDescent="0.2">
      <c r="A2315" s="16" t="s">
        <v>1512</v>
      </c>
      <c r="B2315" s="7" t="s">
        <v>1513</v>
      </c>
      <c r="C2315" s="3" t="e">
        <f ca="1">[1]!BexGetData("DP_1","003N8EMH8GTFRCSWKMPXRR8GU","GSON4161610102")</f>
        <v>#NAME?</v>
      </c>
      <c r="D2315" s="3" t="e">
        <f ca="1">[1]!BexGetData("DP_1","003N8EMH8GTFRCSWKMPXRRESE","GSON4161610102")</f>
        <v>#NAME?</v>
      </c>
      <c r="E2315" s="3" t="e">
        <f ca="1">[1]!BexGetData("DP_1","003N8EMH8GTFRCSWKMPXRRL3Y","GSON4161610102")</f>
        <v>#NAME?</v>
      </c>
      <c r="F2315" s="4" t="e">
        <f ca="1">[1]!BexGetData("DP_1","003N8EMH8GTFRCSWKMPXRRRFI","GSON4161610102")</f>
        <v>#NAME?</v>
      </c>
      <c r="G2315" s="4" t="e">
        <f ca="1">[1]!BexGetData("DP_1","003N8EMH8GTFRCSWKMPXRRXR2","GSON4161610102")</f>
        <v>#NAME?</v>
      </c>
      <c r="H2315" s="4" t="e">
        <f ca="1">[1]!BexGetData("DP_1","003N8EMH8GTFRCSWKMPXRS42M","GSON4161610102")</f>
        <v>#NAME?</v>
      </c>
      <c r="I2315" s="4" t="e">
        <f ca="1">[1]!BexGetData("DP_1","003N8EMH8GTFRCSWKMPXRSAE6","GSON4161610102")</f>
        <v>#NAME?</v>
      </c>
      <c r="J2315" s="4" t="e">
        <f ca="1">[1]!BexGetData("DP_1","003N8EMH8GTFRCSWKMPXRSGPQ","GSON4161610102")</f>
        <v>#NAME?</v>
      </c>
      <c r="K2315" s="3" t="e">
        <f ca="1">[1]!BexGetData("DP_1","003N8EMH8GTFRIVNUPY288VJH","GSON4161610102")</f>
        <v>#NAME?</v>
      </c>
      <c r="L2315" s="3" t="e">
        <f ca="1">[1]!BexGetData("DP_1","003N8EMH8GTFRIVNUPY2891V1","GSON4161610102")</f>
        <v>#NAME?</v>
      </c>
      <c r="M2315" s="3" t="e">
        <f ca="1">[1]!BexGetData("DP_1","003N8EMH8GTFRIVOG7KG9IQXA","GSON4161610102")</f>
        <v>#NAME?</v>
      </c>
      <c r="N2315" s="8" t="e">
        <f ca="1">[1]!BexGetData("DP_1","003N8EMH8GTFRIVOG7KG9IX8U","GSON4161610102")</f>
        <v>#NAME?</v>
      </c>
      <c r="O2315" s="3" t="e">
        <f ca="1">[1]!BexGetData("DP_1","003N8EMH8GTFRIVOG7KG9J3KE","GSON4161610102")</f>
        <v>#NAME?</v>
      </c>
      <c r="P2315" s="8" t="e">
        <f ca="1">[1]!BexGetData("DP_1","003N8EMH8GTFRIVOG7KG9J9VY","GSON4161610102")</f>
        <v>#NAME?</v>
      </c>
      <c r="Q2315" s="4" t="e">
        <f ca="1">[1]!BexGetData("DP_1","00O2TNJGODT0G5Z4TTKYMM5MT","GSON4161610102")</f>
        <v>#NAME?</v>
      </c>
      <c r="R2315" s="4" t="e">
        <f ca="1">[1]!BexGetData("DP_1","00O2TNJGODT0G5Z4TTKYMMBYD","GSON4161610102")</f>
        <v>#NAME?</v>
      </c>
      <c r="S2315" s="4" t="e">
        <f ca="1">[1]!BexGetData("DP_1","00O2TNJGODT0G5Z4TTKYMMI9X","GSON4161610102")</f>
        <v>#NAME?</v>
      </c>
      <c r="T2315" s="4" t="e">
        <f ca="1">[1]!BexGetData("DP_1","00O2TNJGODT0G5Z4TTKYMMOLH","GSON4161610102")</f>
        <v>#NAME?</v>
      </c>
      <c r="U2315" s="4" t="e">
        <f ca="1">[1]!BexGetData("DP_1","00O2TNJGODT0G5Z4TTKYMMUX1","GSON4161610102")</f>
        <v>#NAME?</v>
      </c>
      <c r="V2315" s="4" t="e">
        <f ca="1">[1]!BexGetData("DP_1","00O2TNJGODT0G5Z4TTKYMN18L","GSON4161610102")</f>
        <v>#NAME?</v>
      </c>
      <c r="W2315" s="4" t="e">
        <f ca="1">[1]!BexGetData("DP_1","00O2TNJGODT0G5Z4TTKYMN7K5","GSON4161610102")</f>
        <v>#NAME?</v>
      </c>
    </row>
    <row r="2316" spans="1:23" x14ac:dyDescent="0.2">
      <c r="A2316" s="16" t="s">
        <v>4922</v>
      </c>
      <c r="B2316" s="7" t="s">
        <v>4923</v>
      </c>
      <c r="C2316" s="3" t="e">
        <f ca="1">[1]!BexGetData("DP_1","003N8EMH8GTFRCSWKMPXRR8GU","GSON4161610103")</f>
        <v>#NAME?</v>
      </c>
      <c r="D2316" s="3" t="e">
        <f ca="1">[1]!BexGetData("DP_1","003N8EMH8GTFRCSWKMPXRRESE","GSON4161610103")</f>
        <v>#NAME?</v>
      </c>
      <c r="E2316" s="3" t="e">
        <f ca="1">[1]!BexGetData("DP_1","003N8EMH8GTFRCSWKMPXRRL3Y","GSON4161610103")</f>
        <v>#NAME?</v>
      </c>
      <c r="F2316" s="4" t="e">
        <f ca="1">[1]!BexGetData("DP_1","003N8EMH8GTFRCSWKMPXRRRFI","GSON4161610103")</f>
        <v>#NAME?</v>
      </c>
      <c r="G2316" s="4" t="e">
        <f ca="1">[1]!BexGetData("DP_1","003N8EMH8GTFRCSWKMPXRRXR2","GSON4161610103")</f>
        <v>#NAME?</v>
      </c>
      <c r="H2316" s="4" t="e">
        <f ca="1">[1]!BexGetData("DP_1","003N8EMH8GTFRCSWKMPXRS42M","GSON4161610103")</f>
        <v>#NAME?</v>
      </c>
      <c r="I2316" s="4" t="e">
        <f ca="1">[1]!BexGetData("DP_1","003N8EMH8GTFRCSWKMPXRSAE6","GSON4161610103")</f>
        <v>#NAME?</v>
      </c>
      <c r="J2316" s="4" t="e">
        <f ca="1">[1]!BexGetData("DP_1","003N8EMH8GTFRCSWKMPXRSGPQ","GSON4161610103")</f>
        <v>#NAME?</v>
      </c>
      <c r="K2316" s="3" t="e">
        <f ca="1">[1]!BexGetData("DP_1","003N8EMH8GTFRIVNUPY288VJH","GSON4161610103")</f>
        <v>#NAME?</v>
      </c>
      <c r="L2316" s="3" t="e">
        <f ca="1">[1]!BexGetData("DP_1","003N8EMH8GTFRIVNUPY2891V1","GSON4161610103")</f>
        <v>#NAME?</v>
      </c>
      <c r="M2316" s="3" t="e">
        <f ca="1">[1]!BexGetData("DP_1","003N8EMH8GTFRIVOG7KG9IQXA","GSON4161610103")</f>
        <v>#NAME?</v>
      </c>
      <c r="N2316" s="8" t="e">
        <f ca="1">[1]!BexGetData("DP_1","003N8EMH8GTFRIVOG7KG9IX8U","GSON4161610103")</f>
        <v>#NAME?</v>
      </c>
      <c r="O2316" s="3" t="e">
        <f ca="1">[1]!BexGetData("DP_1","003N8EMH8GTFRIVOG7KG9J3KE","GSON4161610103")</f>
        <v>#NAME?</v>
      </c>
      <c r="P2316" s="8" t="e">
        <f ca="1">[1]!BexGetData("DP_1","003N8EMH8GTFRIVOG7KG9J9VY","GSON4161610103")</f>
        <v>#NAME?</v>
      </c>
      <c r="Q2316" s="4" t="e">
        <f ca="1">[1]!BexGetData("DP_1","00O2TNJGODT0G5Z4TTKYMM5MT","GSON4161610103")</f>
        <v>#NAME?</v>
      </c>
      <c r="R2316" s="4" t="e">
        <f ca="1">[1]!BexGetData("DP_1","00O2TNJGODT0G5Z4TTKYMMBYD","GSON4161610103")</f>
        <v>#NAME?</v>
      </c>
      <c r="S2316" s="4" t="e">
        <f ca="1">[1]!BexGetData("DP_1","00O2TNJGODT0G5Z4TTKYMMI9X","GSON4161610103")</f>
        <v>#NAME?</v>
      </c>
      <c r="T2316" s="4" t="e">
        <f ca="1">[1]!BexGetData("DP_1","00O2TNJGODT0G5Z4TTKYMMOLH","GSON4161610103")</f>
        <v>#NAME?</v>
      </c>
      <c r="U2316" s="4" t="e">
        <f ca="1">[1]!BexGetData("DP_1","00O2TNJGODT0G5Z4TTKYMMUX1","GSON4161610103")</f>
        <v>#NAME?</v>
      </c>
      <c r="V2316" s="4" t="e">
        <f ca="1">[1]!BexGetData("DP_1","00O2TNJGODT0G5Z4TTKYMN18L","GSON4161610103")</f>
        <v>#NAME?</v>
      </c>
      <c r="W2316" s="4" t="e">
        <f ca="1">[1]!BexGetData("DP_1","00O2TNJGODT0G5Z4TTKYMN7K5","GSON4161610103")</f>
        <v>#NAME?</v>
      </c>
    </row>
    <row r="2317" spans="1:23" x14ac:dyDescent="0.2">
      <c r="A2317" s="16" t="s">
        <v>1514</v>
      </c>
      <c r="B2317" s="7" t="s">
        <v>710</v>
      </c>
      <c r="C2317" s="3" t="e">
        <f ca="1">[1]!BexGetData("DP_1","003N8EMH8GTFRCSWKMPXRR8GU","GSON4161610104")</f>
        <v>#NAME?</v>
      </c>
      <c r="D2317" s="3" t="e">
        <f ca="1">[1]!BexGetData("DP_1","003N8EMH8GTFRCSWKMPXRRESE","GSON4161610104")</f>
        <v>#NAME?</v>
      </c>
      <c r="E2317" s="3" t="e">
        <f ca="1">[1]!BexGetData("DP_1","003N8EMH8GTFRCSWKMPXRRL3Y","GSON4161610104")</f>
        <v>#NAME?</v>
      </c>
      <c r="F2317" s="4" t="e">
        <f ca="1">[1]!BexGetData("DP_1","003N8EMH8GTFRCSWKMPXRRRFI","GSON4161610104")</f>
        <v>#NAME?</v>
      </c>
      <c r="G2317" s="4" t="e">
        <f ca="1">[1]!BexGetData("DP_1","003N8EMH8GTFRCSWKMPXRRXR2","GSON4161610104")</f>
        <v>#NAME?</v>
      </c>
      <c r="H2317" s="4" t="e">
        <f ca="1">[1]!BexGetData("DP_1","003N8EMH8GTFRCSWKMPXRS42M","GSON4161610104")</f>
        <v>#NAME?</v>
      </c>
      <c r="I2317" s="4" t="e">
        <f ca="1">[1]!BexGetData("DP_1","003N8EMH8GTFRCSWKMPXRSAE6","GSON4161610104")</f>
        <v>#NAME?</v>
      </c>
      <c r="J2317" s="4" t="e">
        <f ca="1">[1]!BexGetData("DP_1","003N8EMH8GTFRCSWKMPXRSGPQ","GSON4161610104")</f>
        <v>#NAME?</v>
      </c>
      <c r="K2317" s="3" t="e">
        <f ca="1">[1]!BexGetData("DP_1","003N8EMH8GTFRIVNUPY288VJH","GSON4161610104")</f>
        <v>#NAME?</v>
      </c>
      <c r="L2317" s="3" t="e">
        <f ca="1">[1]!BexGetData("DP_1","003N8EMH8GTFRIVNUPY2891V1","GSON4161610104")</f>
        <v>#NAME?</v>
      </c>
      <c r="M2317" s="3" t="e">
        <f ca="1">[1]!BexGetData("DP_1","003N8EMH8GTFRIVOG7KG9IQXA","GSON4161610104")</f>
        <v>#NAME?</v>
      </c>
      <c r="N2317" s="8" t="e">
        <f ca="1">[1]!BexGetData("DP_1","003N8EMH8GTFRIVOG7KG9IX8U","GSON4161610104")</f>
        <v>#NAME?</v>
      </c>
      <c r="O2317" s="3" t="e">
        <f ca="1">[1]!BexGetData("DP_1","003N8EMH8GTFRIVOG7KG9J3KE","GSON4161610104")</f>
        <v>#NAME?</v>
      </c>
      <c r="P2317" s="8" t="e">
        <f ca="1">[1]!BexGetData("DP_1","003N8EMH8GTFRIVOG7KG9J9VY","GSON4161610104")</f>
        <v>#NAME?</v>
      </c>
      <c r="Q2317" s="4" t="e">
        <f ca="1">[1]!BexGetData("DP_1","00O2TNJGODT0G5Z4TTKYMM5MT","GSON4161610104")</f>
        <v>#NAME?</v>
      </c>
      <c r="R2317" s="4" t="e">
        <f ca="1">[1]!BexGetData("DP_1","00O2TNJGODT0G5Z4TTKYMMBYD","GSON4161610104")</f>
        <v>#NAME?</v>
      </c>
      <c r="S2317" s="4" t="e">
        <f ca="1">[1]!BexGetData("DP_1","00O2TNJGODT0G5Z4TTKYMMI9X","GSON4161610104")</f>
        <v>#NAME?</v>
      </c>
      <c r="T2317" s="4" t="e">
        <f ca="1">[1]!BexGetData("DP_1","00O2TNJGODT0G5Z4TTKYMMOLH","GSON4161610104")</f>
        <v>#NAME?</v>
      </c>
      <c r="U2317" s="4" t="e">
        <f ca="1">[1]!BexGetData("DP_1","00O2TNJGODT0G5Z4TTKYMMUX1","GSON4161610104")</f>
        <v>#NAME?</v>
      </c>
      <c r="V2317" s="4" t="e">
        <f ca="1">[1]!BexGetData("DP_1","00O2TNJGODT0G5Z4TTKYMN18L","GSON4161610104")</f>
        <v>#NAME?</v>
      </c>
      <c r="W2317" s="4" t="e">
        <f ca="1">[1]!BexGetData("DP_1","00O2TNJGODT0G5Z4TTKYMN7K5","GSON4161610104")</f>
        <v>#NAME?</v>
      </c>
    </row>
    <row r="2318" spans="1:23" x14ac:dyDescent="0.2">
      <c r="A2318" s="16" t="s">
        <v>1515</v>
      </c>
      <c r="B2318" s="7" t="s">
        <v>1516</v>
      </c>
      <c r="C2318" s="3" t="e">
        <f ca="1">[1]!BexGetData("DP_1","003N8EMH8GTFRCSWKMPXRR8GU","GSON4161610105")</f>
        <v>#NAME?</v>
      </c>
      <c r="D2318" s="3" t="e">
        <f ca="1">[1]!BexGetData("DP_1","003N8EMH8GTFRCSWKMPXRRESE","GSON4161610105")</f>
        <v>#NAME?</v>
      </c>
      <c r="E2318" s="3" t="e">
        <f ca="1">[1]!BexGetData("DP_1","003N8EMH8GTFRCSWKMPXRRL3Y","GSON4161610105")</f>
        <v>#NAME?</v>
      </c>
      <c r="F2318" s="4" t="e">
        <f ca="1">[1]!BexGetData("DP_1","003N8EMH8GTFRCSWKMPXRRRFI","GSON4161610105")</f>
        <v>#NAME?</v>
      </c>
      <c r="G2318" s="4" t="e">
        <f ca="1">[1]!BexGetData("DP_1","003N8EMH8GTFRCSWKMPXRRXR2","GSON4161610105")</f>
        <v>#NAME?</v>
      </c>
      <c r="H2318" s="4" t="e">
        <f ca="1">[1]!BexGetData("DP_1","003N8EMH8GTFRCSWKMPXRS42M","GSON4161610105")</f>
        <v>#NAME?</v>
      </c>
      <c r="I2318" s="4" t="e">
        <f ca="1">[1]!BexGetData("DP_1","003N8EMH8GTFRCSWKMPXRSAE6","GSON4161610105")</f>
        <v>#NAME?</v>
      </c>
      <c r="J2318" s="4" t="e">
        <f ca="1">[1]!BexGetData("DP_1","003N8EMH8GTFRCSWKMPXRSGPQ","GSON4161610105")</f>
        <v>#NAME?</v>
      </c>
      <c r="K2318" s="3" t="e">
        <f ca="1">[1]!BexGetData("DP_1","003N8EMH8GTFRIVNUPY288VJH","GSON4161610105")</f>
        <v>#NAME?</v>
      </c>
      <c r="L2318" s="3" t="e">
        <f ca="1">[1]!BexGetData("DP_1","003N8EMH8GTFRIVNUPY2891V1","GSON4161610105")</f>
        <v>#NAME?</v>
      </c>
      <c r="M2318" s="3" t="e">
        <f ca="1">[1]!BexGetData("DP_1","003N8EMH8GTFRIVOG7KG9IQXA","GSON4161610105")</f>
        <v>#NAME?</v>
      </c>
      <c r="N2318" s="8" t="e">
        <f ca="1">[1]!BexGetData("DP_1","003N8EMH8GTFRIVOG7KG9IX8U","GSON4161610105")</f>
        <v>#NAME?</v>
      </c>
      <c r="O2318" s="3" t="e">
        <f ca="1">[1]!BexGetData("DP_1","003N8EMH8GTFRIVOG7KG9J3KE","GSON4161610105")</f>
        <v>#NAME?</v>
      </c>
      <c r="P2318" s="8" t="e">
        <f ca="1">[1]!BexGetData("DP_1","003N8EMH8GTFRIVOG7KG9J9VY","GSON4161610105")</f>
        <v>#NAME?</v>
      </c>
      <c r="Q2318" s="4" t="e">
        <f ca="1">[1]!BexGetData("DP_1","00O2TNJGODT0G5Z4TTKYMM5MT","GSON4161610105")</f>
        <v>#NAME?</v>
      </c>
      <c r="R2318" s="4" t="e">
        <f ca="1">[1]!BexGetData("DP_1","00O2TNJGODT0G5Z4TTKYMMBYD","GSON4161610105")</f>
        <v>#NAME?</v>
      </c>
      <c r="S2318" s="4" t="e">
        <f ca="1">[1]!BexGetData("DP_1","00O2TNJGODT0G5Z4TTKYMMI9X","GSON4161610105")</f>
        <v>#NAME?</v>
      </c>
      <c r="T2318" s="4" t="e">
        <f ca="1">[1]!BexGetData("DP_1","00O2TNJGODT0G5Z4TTKYMMOLH","GSON4161610105")</f>
        <v>#NAME?</v>
      </c>
      <c r="U2318" s="4" t="e">
        <f ca="1">[1]!BexGetData("DP_1","00O2TNJGODT0G5Z4TTKYMMUX1","GSON4161610105")</f>
        <v>#NAME?</v>
      </c>
      <c r="V2318" s="4" t="e">
        <f ca="1">[1]!BexGetData("DP_1","00O2TNJGODT0G5Z4TTKYMN18L","GSON4161610105")</f>
        <v>#NAME?</v>
      </c>
      <c r="W2318" s="4" t="e">
        <f ca="1">[1]!BexGetData("DP_1","00O2TNJGODT0G5Z4TTKYMN7K5","GSON4161610105")</f>
        <v>#NAME?</v>
      </c>
    </row>
    <row r="2319" spans="1:23" x14ac:dyDescent="0.2">
      <c r="A2319" s="16" t="s">
        <v>1517</v>
      </c>
      <c r="B2319" s="7" t="s">
        <v>1518</v>
      </c>
      <c r="C2319" s="3" t="e">
        <f ca="1">[1]!BexGetData("DP_1","003N8EMH8GTFRCSWKMPXRR8GU","GSON4161610106")</f>
        <v>#NAME?</v>
      </c>
      <c r="D2319" s="3" t="e">
        <f ca="1">[1]!BexGetData("DP_1","003N8EMH8GTFRCSWKMPXRRESE","GSON4161610106")</f>
        <v>#NAME?</v>
      </c>
      <c r="E2319" s="3" t="e">
        <f ca="1">[1]!BexGetData("DP_1","003N8EMH8GTFRCSWKMPXRRL3Y","GSON4161610106")</f>
        <v>#NAME?</v>
      </c>
      <c r="F2319" s="4" t="e">
        <f ca="1">[1]!BexGetData("DP_1","003N8EMH8GTFRCSWKMPXRRRFI","GSON4161610106")</f>
        <v>#NAME?</v>
      </c>
      <c r="G2319" s="4" t="e">
        <f ca="1">[1]!BexGetData("DP_1","003N8EMH8GTFRCSWKMPXRRXR2","GSON4161610106")</f>
        <v>#NAME?</v>
      </c>
      <c r="H2319" s="4" t="e">
        <f ca="1">[1]!BexGetData("DP_1","003N8EMH8GTFRCSWKMPXRS42M","GSON4161610106")</f>
        <v>#NAME?</v>
      </c>
      <c r="I2319" s="4" t="e">
        <f ca="1">[1]!BexGetData("DP_1","003N8EMH8GTFRCSWKMPXRSAE6","GSON4161610106")</f>
        <v>#NAME?</v>
      </c>
      <c r="J2319" s="4" t="e">
        <f ca="1">[1]!BexGetData("DP_1","003N8EMH8GTFRCSWKMPXRSGPQ","GSON4161610106")</f>
        <v>#NAME?</v>
      </c>
      <c r="K2319" s="3" t="e">
        <f ca="1">[1]!BexGetData("DP_1","003N8EMH8GTFRIVNUPY288VJH","GSON4161610106")</f>
        <v>#NAME?</v>
      </c>
      <c r="L2319" s="3" t="e">
        <f ca="1">[1]!BexGetData("DP_1","003N8EMH8GTFRIVNUPY2891V1","GSON4161610106")</f>
        <v>#NAME?</v>
      </c>
      <c r="M2319" s="3" t="e">
        <f ca="1">[1]!BexGetData("DP_1","003N8EMH8GTFRIVOG7KG9IQXA","GSON4161610106")</f>
        <v>#NAME?</v>
      </c>
      <c r="N2319" s="8" t="e">
        <f ca="1">[1]!BexGetData("DP_1","003N8EMH8GTFRIVOG7KG9IX8U","GSON4161610106")</f>
        <v>#NAME?</v>
      </c>
      <c r="O2319" s="3" t="e">
        <f ca="1">[1]!BexGetData("DP_1","003N8EMH8GTFRIVOG7KG9J3KE","GSON4161610106")</f>
        <v>#NAME?</v>
      </c>
      <c r="P2319" s="8" t="e">
        <f ca="1">[1]!BexGetData("DP_1","003N8EMH8GTFRIVOG7KG9J9VY","GSON4161610106")</f>
        <v>#NAME?</v>
      </c>
      <c r="Q2319" s="4" t="e">
        <f ca="1">[1]!BexGetData("DP_1","00O2TNJGODT0G5Z4TTKYMM5MT","GSON4161610106")</f>
        <v>#NAME?</v>
      </c>
      <c r="R2319" s="4" t="e">
        <f ca="1">[1]!BexGetData("DP_1","00O2TNJGODT0G5Z4TTKYMMBYD","GSON4161610106")</f>
        <v>#NAME?</v>
      </c>
      <c r="S2319" s="4" t="e">
        <f ca="1">[1]!BexGetData("DP_1","00O2TNJGODT0G5Z4TTKYMMI9X","GSON4161610106")</f>
        <v>#NAME?</v>
      </c>
      <c r="T2319" s="4" t="e">
        <f ca="1">[1]!BexGetData("DP_1","00O2TNJGODT0G5Z4TTKYMMOLH","GSON4161610106")</f>
        <v>#NAME?</v>
      </c>
      <c r="U2319" s="4" t="e">
        <f ca="1">[1]!BexGetData("DP_1","00O2TNJGODT0G5Z4TTKYMMUX1","GSON4161610106")</f>
        <v>#NAME?</v>
      </c>
      <c r="V2319" s="4" t="e">
        <f ca="1">[1]!BexGetData("DP_1","00O2TNJGODT0G5Z4TTKYMN18L","GSON4161610106")</f>
        <v>#NAME?</v>
      </c>
      <c r="W2319" s="4" t="e">
        <f ca="1">[1]!BexGetData("DP_1","00O2TNJGODT0G5Z4TTKYMN7K5","GSON4161610106")</f>
        <v>#NAME?</v>
      </c>
    </row>
    <row r="2320" spans="1:23" x14ac:dyDescent="0.2">
      <c r="A2320" s="16" t="s">
        <v>4924</v>
      </c>
      <c r="B2320" s="7" t="s">
        <v>4925</v>
      </c>
      <c r="C2320" s="8" t="e">
        <f ca="1">[1]!BexGetData("DP_1","003N8EMH8GTFRCSWKMPXRR8GU","GSON4161610107")</f>
        <v>#NAME?</v>
      </c>
      <c r="D2320" s="3" t="e">
        <f ca="1">[1]!BexGetData("DP_1","003N8EMH8GTFRCSWKMPXRRESE","GSON4161610107")</f>
        <v>#NAME?</v>
      </c>
      <c r="E2320" s="3" t="e">
        <f ca="1">[1]!BexGetData("DP_1","003N8EMH8GTFRCSWKMPXRRL3Y","GSON4161610107")</f>
        <v>#NAME?</v>
      </c>
      <c r="F2320" s="4" t="e">
        <f ca="1">[1]!BexGetData("DP_1","003N8EMH8GTFRCSWKMPXRRRFI","GSON4161610107")</f>
        <v>#NAME?</v>
      </c>
      <c r="G2320" s="4" t="e">
        <f ca="1">[1]!BexGetData("DP_1","003N8EMH8GTFRCSWKMPXRRXR2","GSON4161610107")</f>
        <v>#NAME?</v>
      </c>
      <c r="H2320" s="4" t="e">
        <f ca="1">[1]!BexGetData("DP_1","003N8EMH8GTFRCSWKMPXRS42M","GSON4161610107")</f>
        <v>#NAME?</v>
      </c>
      <c r="I2320" s="4" t="e">
        <f ca="1">[1]!BexGetData("DP_1","003N8EMH8GTFRCSWKMPXRSAE6","GSON4161610107")</f>
        <v>#NAME?</v>
      </c>
      <c r="J2320" s="4" t="e">
        <f ca="1">[1]!BexGetData("DP_1","003N8EMH8GTFRCSWKMPXRSGPQ","GSON4161610107")</f>
        <v>#NAME?</v>
      </c>
      <c r="K2320" s="3" t="e">
        <f ca="1">[1]!BexGetData("DP_1","003N8EMH8GTFRIVNUPY288VJH","GSON4161610107")</f>
        <v>#NAME?</v>
      </c>
      <c r="L2320" s="3" t="e">
        <f ca="1">[1]!BexGetData("DP_1","003N8EMH8GTFRIVNUPY2891V1","GSON4161610107")</f>
        <v>#NAME?</v>
      </c>
      <c r="M2320" s="3" t="e">
        <f ca="1">[1]!BexGetData("DP_1","003N8EMH8GTFRIVOG7KG9IQXA","GSON4161610107")</f>
        <v>#NAME?</v>
      </c>
      <c r="N2320" s="8" t="e">
        <f ca="1">[1]!BexGetData("DP_1","003N8EMH8GTFRIVOG7KG9IX8U","GSON4161610107")</f>
        <v>#NAME?</v>
      </c>
      <c r="O2320" s="3" t="e">
        <f ca="1">[1]!BexGetData("DP_1","003N8EMH8GTFRIVOG7KG9J3KE","GSON4161610107")</f>
        <v>#NAME?</v>
      </c>
      <c r="P2320" s="8" t="e">
        <f ca="1">[1]!BexGetData("DP_1","003N8EMH8GTFRIVOG7KG9J9VY","GSON4161610107")</f>
        <v>#NAME?</v>
      </c>
      <c r="Q2320" s="4" t="e">
        <f ca="1">[1]!BexGetData("DP_1","00O2TNJGODT0G5Z4TTKYMM5MT","GSON4161610107")</f>
        <v>#NAME?</v>
      </c>
      <c r="R2320" s="4" t="e">
        <f ca="1">[1]!BexGetData("DP_1","00O2TNJGODT0G5Z4TTKYMMBYD","GSON4161610107")</f>
        <v>#NAME?</v>
      </c>
      <c r="S2320" s="4" t="e">
        <f ca="1">[1]!BexGetData("DP_1","00O2TNJGODT0G5Z4TTKYMMI9X","GSON4161610107")</f>
        <v>#NAME?</v>
      </c>
      <c r="T2320" s="4" t="e">
        <f ca="1">[1]!BexGetData("DP_1","00O2TNJGODT0G5Z4TTKYMMOLH","GSON4161610107")</f>
        <v>#NAME?</v>
      </c>
      <c r="U2320" s="4" t="e">
        <f ca="1">[1]!BexGetData("DP_1","00O2TNJGODT0G5Z4TTKYMMUX1","GSON4161610107")</f>
        <v>#NAME?</v>
      </c>
      <c r="V2320" s="4" t="e">
        <f ca="1">[1]!BexGetData("DP_1","00O2TNJGODT0G5Z4TTKYMN18L","GSON4161610107")</f>
        <v>#NAME?</v>
      </c>
      <c r="W2320" s="4" t="e">
        <f ca="1">[1]!BexGetData("DP_1","00O2TNJGODT0G5Z4TTKYMN7K5","GSON4161610107")</f>
        <v>#NAME?</v>
      </c>
    </row>
    <row r="2321" spans="1:23" x14ac:dyDescent="0.2">
      <c r="A2321" s="16" t="s">
        <v>1519</v>
      </c>
      <c r="B2321" s="7" t="s">
        <v>1520</v>
      </c>
      <c r="C2321" s="8" t="e">
        <f ca="1">[1]!BexGetData("DP_1","003N8EMH8GTFRCSWKMPXRR8GU","GSON4161610108")</f>
        <v>#NAME?</v>
      </c>
      <c r="D2321" s="3" t="e">
        <f ca="1">[1]!BexGetData("DP_1","003N8EMH8GTFRCSWKMPXRRESE","GSON4161610108")</f>
        <v>#NAME?</v>
      </c>
      <c r="E2321" s="3" t="e">
        <f ca="1">[1]!BexGetData("DP_1","003N8EMH8GTFRCSWKMPXRRL3Y","GSON4161610108")</f>
        <v>#NAME?</v>
      </c>
      <c r="F2321" s="4" t="e">
        <f ca="1">[1]!BexGetData("DP_1","003N8EMH8GTFRCSWKMPXRRRFI","GSON4161610108")</f>
        <v>#NAME?</v>
      </c>
      <c r="G2321" s="4" t="e">
        <f ca="1">[1]!BexGetData("DP_1","003N8EMH8GTFRCSWKMPXRRXR2","GSON4161610108")</f>
        <v>#NAME?</v>
      </c>
      <c r="H2321" s="4" t="e">
        <f ca="1">[1]!BexGetData("DP_1","003N8EMH8GTFRCSWKMPXRS42M","GSON4161610108")</f>
        <v>#NAME?</v>
      </c>
      <c r="I2321" s="4" t="e">
        <f ca="1">[1]!BexGetData("DP_1","003N8EMH8GTFRCSWKMPXRSAE6","GSON4161610108")</f>
        <v>#NAME?</v>
      </c>
      <c r="J2321" s="4" t="e">
        <f ca="1">[1]!BexGetData("DP_1","003N8EMH8GTFRCSWKMPXRSGPQ","GSON4161610108")</f>
        <v>#NAME?</v>
      </c>
      <c r="K2321" s="3" t="e">
        <f ca="1">[1]!BexGetData("DP_1","003N8EMH8GTFRIVNUPY288VJH","GSON4161610108")</f>
        <v>#NAME?</v>
      </c>
      <c r="L2321" s="3" t="e">
        <f ca="1">[1]!BexGetData("DP_1","003N8EMH8GTFRIVNUPY2891V1","GSON4161610108")</f>
        <v>#NAME?</v>
      </c>
      <c r="M2321" s="3" t="e">
        <f ca="1">[1]!BexGetData("DP_1","003N8EMH8GTFRIVOG7KG9IQXA","GSON4161610108")</f>
        <v>#NAME?</v>
      </c>
      <c r="N2321" s="8" t="e">
        <f ca="1">[1]!BexGetData("DP_1","003N8EMH8GTFRIVOG7KG9IX8U","GSON4161610108")</f>
        <v>#NAME?</v>
      </c>
      <c r="O2321" s="3" t="e">
        <f ca="1">[1]!BexGetData("DP_1","003N8EMH8GTFRIVOG7KG9J3KE","GSON4161610108")</f>
        <v>#NAME?</v>
      </c>
      <c r="P2321" s="8" t="e">
        <f ca="1">[1]!BexGetData("DP_1","003N8EMH8GTFRIVOG7KG9J9VY","GSON4161610108")</f>
        <v>#NAME?</v>
      </c>
      <c r="Q2321" s="4" t="e">
        <f ca="1">[1]!BexGetData("DP_1","00O2TNJGODT0G5Z4TTKYMM5MT","GSON4161610108")</f>
        <v>#NAME?</v>
      </c>
      <c r="R2321" s="4" t="e">
        <f ca="1">[1]!BexGetData("DP_1","00O2TNJGODT0G5Z4TTKYMMBYD","GSON4161610108")</f>
        <v>#NAME?</v>
      </c>
      <c r="S2321" s="4" t="e">
        <f ca="1">[1]!BexGetData("DP_1","00O2TNJGODT0G5Z4TTKYMMI9X","GSON4161610108")</f>
        <v>#NAME?</v>
      </c>
      <c r="T2321" s="4" t="e">
        <f ca="1">[1]!BexGetData("DP_1","00O2TNJGODT0G5Z4TTKYMMOLH","GSON4161610108")</f>
        <v>#NAME?</v>
      </c>
      <c r="U2321" s="4" t="e">
        <f ca="1">[1]!BexGetData("DP_1","00O2TNJGODT0G5Z4TTKYMMUX1","GSON4161610108")</f>
        <v>#NAME?</v>
      </c>
      <c r="V2321" s="4" t="e">
        <f ca="1">[1]!BexGetData("DP_1","00O2TNJGODT0G5Z4TTKYMN18L","GSON4161610108")</f>
        <v>#NAME?</v>
      </c>
      <c r="W2321" s="4" t="e">
        <f ca="1">[1]!BexGetData("DP_1","00O2TNJGODT0G5Z4TTKYMN7K5","GSON4161610108")</f>
        <v>#NAME?</v>
      </c>
    </row>
    <row r="2322" spans="1:23" x14ac:dyDescent="0.2">
      <c r="A2322" s="16" t="s">
        <v>1521</v>
      </c>
      <c r="B2322" s="7" t="s">
        <v>711</v>
      </c>
      <c r="C2322" s="3" t="e">
        <f ca="1">[1]!BexGetData("DP_1","003N8EMH8GTFRCSWKMPXRR8GU","GSON4161610109")</f>
        <v>#NAME?</v>
      </c>
      <c r="D2322" s="3" t="e">
        <f ca="1">[1]!BexGetData("DP_1","003N8EMH8GTFRCSWKMPXRRESE","GSON4161610109")</f>
        <v>#NAME?</v>
      </c>
      <c r="E2322" s="3" t="e">
        <f ca="1">[1]!BexGetData("DP_1","003N8EMH8GTFRCSWKMPXRRL3Y","GSON4161610109")</f>
        <v>#NAME?</v>
      </c>
      <c r="F2322" s="4" t="e">
        <f ca="1">[1]!BexGetData("DP_1","003N8EMH8GTFRCSWKMPXRRRFI","GSON4161610109")</f>
        <v>#NAME?</v>
      </c>
      <c r="G2322" s="4" t="e">
        <f ca="1">[1]!BexGetData("DP_1","003N8EMH8GTFRCSWKMPXRRXR2","GSON4161610109")</f>
        <v>#NAME?</v>
      </c>
      <c r="H2322" s="4" t="e">
        <f ca="1">[1]!BexGetData("DP_1","003N8EMH8GTFRCSWKMPXRS42M","GSON4161610109")</f>
        <v>#NAME?</v>
      </c>
      <c r="I2322" s="4" t="e">
        <f ca="1">[1]!BexGetData("DP_1","003N8EMH8GTFRCSWKMPXRSAE6","GSON4161610109")</f>
        <v>#NAME?</v>
      </c>
      <c r="J2322" s="4" t="e">
        <f ca="1">[1]!BexGetData("DP_1","003N8EMH8GTFRCSWKMPXRSGPQ","GSON4161610109")</f>
        <v>#NAME?</v>
      </c>
      <c r="K2322" s="3" t="e">
        <f ca="1">[1]!BexGetData("DP_1","003N8EMH8GTFRIVNUPY288VJH","GSON4161610109")</f>
        <v>#NAME?</v>
      </c>
      <c r="L2322" s="3" t="e">
        <f ca="1">[1]!BexGetData("DP_1","003N8EMH8GTFRIVNUPY2891V1","GSON4161610109")</f>
        <v>#NAME?</v>
      </c>
      <c r="M2322" s="3" t="e">
        <f ca="1">[1]!BexGetData("DP_1","003N8EMH8GTFRIVOG7KG9IQXA","GSON4161610109")</f>
        <v>#NAME?</v>
      </c>
      <c r="N2322" s="8" t="e">
        <f ca="1">[1]!BexGetData("DP_1","003N8EMH8GTFRIVOG7KG9IX8U","GSON4161610109")</f>
        <v>#NAME?</v>
      </c>
      <c r="O2322" s="3" t="e">
        <f ca="1">[1]!BexGetData("DP_1","003N8EMH8GTFRIVOG7KG9J3KE","GSON4161610109")</f>
        <v>#NAME?</v>
      </c>
      <c r="P2322" s="8" t="e">
        <f ca="1">[1]!BexGetData("DP_1","003N8EMH8GTFRIVOG7KG9J9VY","GSON4161610109")</f>
        <v>#NAME?</v>
      </c>
      <c r="Q2322" s="4" t="e">
        <f ca="1">[1]!BexGetData("DP_1","00O2TNJGODT0G5Z4TTKYMM5MT","GSON4161610109")</f>
        <v>#NAME?</v>
      </c>
      <c r="R2322" s="4" t="e">
        <f ca="1">[1]!BexGetData("DP_1","00O2TNJGODT0G5Z4TTKYMMBYD","GSON4161610109")</f>
        <v>#NAME?</v>
      </c>
      <c r="S2322" s="4" t="e">
        <f ca="1">[1]!BexGetData("DP_1","00O2TNJGODT0G5Z4TTKYMMI9X","GSON4161610109")</f>
        <v>#NAME?</v>
      </c>
      <c r="T2322" s="4" t="e">
        <f ca="1">[1]!BexGetData("DP_1","00O2TNJGODT0G5Z4TTKYMMOLH","GSON4161610109")</f>
        <v>#NAME?</v>
      </c>
      <c r="U2322" s="4" t="e">
        <f ca="1">[1]!BexGetData("DP_1","00O2TNJGODT0G5Z4TTKYMMUX1","GSON4161610109")</f>
        <v>#NAME?</v>
      </c>
      <c r="V2322" s="4" t="e">
        <f ca="1">[1]!BexGetData("DP_1","00O2TNJGODT0G5Z4TTKYMN18L","GSON4161610109")</f>
        <v>#NAME?</v>
      </c>
      <c r="W2322" s="4" t="e">
        <f ca="1">[1]!BexGetData("DP_1","00O2TNJGODT0G5Z4TTKYMN7K5","GSON4161610109")</f>
        <v>#NAME?</v>
      </c>
    </row>
    <row r="2323" spans="1:23" x14ac:dyDescent="0.2">
      <c r="A2323" s="16" t="s">
        <v>4926</v>
      </c>
      <c r="B2323" s="7" t="s">
        <v>4927</v>
      </c>
      <c r="C2323" s="3" t="e">
        <f ca="1">[1]!BexGetData("DP_1","003N8EMH8GTFRCSWKMPXRR8GU","GSON4161610110")</f>
        <v>#NAME?</v>
      </c>
      <c r="D2323" s="3" t="e">
        <f ca="1">[1]!BexGetData("DP_1","003N8EMH8GTFRCSWKMPXRRESE","GSON4161610110")</f>
        <v>#NAME?</v>
      </c>
      <c r="E2323" s="3" t="e">
        <f ca="1">[1]!BexGetData("DP_1","003N8EMH8GTFRCSWKMPXRRL3Y","GSON4161610110")</f>
        <v>#NAME?</v>
      </c>
      <c r="F2323" s="4" t="e">
        <f ca="1">[1]!BexGetData("DP_1","003N8EMH8GTFRCSWKMPXRRRFI","GSON4161610110")</f>
        <v>#NAME?</v>
      </c>
      <c r="G2323" s="4" t="e">
        <f ca="1">[1]!BexGetData("DP_1","003N8EMH8GTFRCSWKMPXRRXR2","GSON4161610110")</f>
        <v>#NAME?</v>
      </c>
      <c r="H2323" s="4" t="e">
        <f ca="1">[1]!BexGetData("DP_1","003N8EMH8GTFRCSWKMPXRS42M","GSON4161610110")</f>
        <v>#NAME?</v>
      </c>
      <c r="I2323" s="4" t="e">
        <f ca="1">[1]!BexGetData("DP_1","003N8EMH8GTFRCSWKMPXRSAE6","GSON4161610110")</f>
        <v>#NAME?</v>
      </c>
      <c r="J2323" s="4" t="e">
        <f ca="1">[1]!BexGetData("DP_1","003N8EMH8GTFRCSWKMPXRSGPQ","GSON4161610110")</f>
        <v>#NAME?</v>
      </c>
      <c r="K2323" s="3" t="e">
        <f ca="1">[1]!BexGetData("DP_1","003N8EMH8GTFRIVNUPY288VJH","GSON4161610110")</f>
        <v>#NAME?</v>
      </c>
      <c r="L2323" s="3" t="e">
        <f ca="1">[1]!BexGetData("DP_1","003N8EMH8GTFRIVNUPY2891V1","GSON4161610110")</f>
        <v>#NAME?</v>
      </c>
      <c r="M2323" s="3" t="e">
        <f ca="1">[1]!BexGetData("DP_1","003N8EMH8GTFRIVOG7KG9IQXA","GSON4161610110")</f>
        <v>#NAME?</v>
      </c>
      <c r="N2323" s="8" t="e">
        <f ca="1">[1]!BexGetData("DP_1","003N8EMH8GTFRIVOG7KG9IX8U","GSON4161610110")</f>
        <v>#NAME?</v>
      </c>
      <c r="O2323" s="3" t="e">
        <f ca="1">[1]!BexGetData("DP_1","003N8EMH8GTFRIVOG7KG9J3KE","GSON4161610110")</f>
        <v>#NAME?</v>
      </c>
      <c r="P2323" s="8" t="e">
        <f ca="1">[1]!BexGetData("DP_1","003N8EMH8GTFRIVOG7KG9J9VY","GSON4161610110")</f>
        <v>#NAME?</v>
      </c>
      <c r="Q2323" s="4" t="e">
        <f ca="1">[1]!BexGetData("DP_1","00O2TNJGODT0G5Z4TTKYMM5MT","GSON4161610110")</f>
        <v>#NAME?</v>
      </c>
      <c r="R2323" s="4" t="e">
        <f ca="1">[1]!BexGetData("DP_1","00O2TNJGODT0G5Z4TTKYMMBYD","GSON4161610110")</f>
        <v>#NAME?</v>
      </c>
      <c r="S2323" s="4" t="e">
        <f ca="1">[1]!BexGetData("DP_1","00O2TNJGODT0G5Z4TTKYMMI9X","GSON4161610110")</f>
        <v>#NAME?</v>
      </c>
      <c r="T2323" s="4" t="e">
        <f ca="1">[1]!BexGetData("DP_1","00O2TNJGODT0G5Z4TTKYMMOLH","GSON4161610110")</f>
        <v>#NAME?</v>
      </c>
      <c r="U2323" s="4" t="e">
        <f ca="1">[1]!BexGetData("DP_1","00O2TNJGODT0G5Z4TTKYMMUX1","GSON4161610110")</f>
        <v>#NAME?</v>
      </c>
      <c r="V2323" s="4" t="e">
        <f ca="1">[1]!BexGetData("DP_1","00O2TNJGODT0G5Z4TTKYMN18L","GSON4161610110")</f>
        <v>#NAME?</v>
      </c>
      <c r="W2323" s="4" t="e">
        <f ca="1">[1]!BexGetData("DP_1","00O2TNJGODT0G5Z4TTKYMN7K5","GSON4161610110")</f>
        <v>#NAME?</v>
      </c>
    </row>
    <row r="2324" spans="1:23" x14ac:dyDescent="0.2">
      <c r="A2324" s="16" t="s">
        <v>4928</v>
      </c>
      <c r="B2324" s="7" t="s">
        <v>4929</v>
      </c>
      <c r="C2324" s="3" t="e">
        <f ca="1">[1]!BexGetData("DP_1","003N8EMH8GTFRCSWKMPXRR8GU","GSON4161610111")</f>
        <v>#NAME?</v>
      </c>
      <c r="D2324" s="3" t="e">
        <f ca="1">[1]!BexGetData("DP_1","003N8EMH8GTFRCSWKMPXRRESE","GSON4161610111")</f>
        <v>#NAME?</v>
      </c>
      <c r="E2324" s="3" t="e">
        <f ca="1">[1]!BexGetData("DP_1","003N8EMH8GTFRCSWKMPXRRL3Y","GSON4161610111")</f>
        <v>#NAME?</v>
      </c>
      <c r="F2324" s="4" t="e">
        <f ca="1">[1]!BexGetData("DP_1","003N8EMH8GTFRCSWKMPXRRRFI","GSON4161610111")</f>
        <v>#NAME?</v>
      </c>
      <c r="G2324" s="4" t="e">
        <f ca="1">[1]!BexGetData("DP_1","003N8EMH8GTFRCSWKMPXRRXR2","GSON4161610111")</f>
        <v>#NAME?</v>
      </c>
      <c r="H2324" s="4" t="e">
        <f ca="1">[1]!BexGetData("DP_1","003N8EMH8GTFRCSWKMPXRS42M","GSON4161610111")</f>
        <v>#NAME?</v>
      </c>
      <c r="I2324" s="4" t="e">
        <f ca="1">[1]!BexGetData("DP_1","003N8EMH8GTFRCSWKMPXRSAE6","GSON4161610111")</f>
        <v>#NAME?</v>
      </c>
      <c r="J2324" s="4" t="e">
        <f ca="1">[1]!BexGetData("DP_1","003N8EMH8GTFRCSWKMPXRSGPQ","GSON4161610111")</f>
        <v>#NAME?</v>
      </c>
      <c r="K2324" s="3" t="e">
        <f ca="1">[1]!BexGetData("DP_1","003N8EMH8GTFRIVNUPY288VJH","GSON4161610111")</f>
        <v>#NAME?</v>
      </c>
      <c r="L2324" s="3" t="e">
        <f ca="1">[1]!BexGetData("DP_1","003N8EMH8GTFRIVNUPY2891V1","GSON4161610111")</f>
        <v>#NAME?</v>
      </c>
      <c r="M2324" s="3" t="e">
        <f ca="1">[1]!BexGetData("DP_1","003N8EMH8GTFRIVOG7KG9IQXA","GSON4161610111")</f>
        <v>#NAME?</v>
      </c>
      <c r="N2324" s="8" t="e">
        <f ca="1">[1]!BexGetData("DP_1","003N8EMH8GTFRIVOG7KG9IX8U","GSON4161610111")</f>
        <v>#NAME?</v>
      </c>
      <c r="O2324" s="3" t="e">
        <f ca="1">[1]!BexGetData("DP_1","003N8EMH8GTFRIVOG7KG9J3KE","GSON4161610111")</f>
        <v>#NAME?</v>
      </c>
      <c r="P2324" s="8" t="e">
        <f ca="1">[1]!BexGetData("DP_1","003N8EMH8GTFRIVOG7KG9J9VY","GSON4161610111")</f>
        <v>#NAME?</v>
      </c>
      <c r="Q2324" s="4" t="e">
        <f ca="1">[1]!BexGetData("DP_1","00O2TNJGODT0G5Z4TTKYMM5MT","GSON4161610111")</f>
        <v>#NAME?</v>
      </c>
      <c r="R2324" s="4" t="e">
        <f ca="1">[1]!BexGetData("DP_1","00O2TNJGODT0G5Z4TTKYMMBYD","GSON4161610111")</f>
        <v>#NAME?</v>
      </c>
      <c r="S2324" s="4" t="e">
        <f ca="1">[1]!BexGetData("DP_1","00O2TNJGODT0G5Z4TTKYMMI9X","GSON4161610111")</f>
        <v>#NAME?</v>
      </c>
      <c r="T2324" s="4" t="e">
        <f ca="1">[1]!BexGetData("DP_1","00O2TNJGODT0G5Z4TTKYMMOLH","GSON4161610111")</f>
        <v>#NAME?</v>
      </c>
      <c r="U2324" s="4" t="e">
        <f ca="1">[1]!BexGetData("DP_1","00O2TNJGODT0G5Z4TTKYMMUX1","GSON4161610111")</f>
        <v>#NAME?</v>
      </c>
      <c r="V2324" s="4" t="e">
        <f ca="1">[1]!BexGetData("DP_1","00O2TNJGODT0G5Z4TTKYMN18L","GSON4161610111")</f>
        <v>#NAME?</v>
      </c>
      <c r="W2324" s="4" t="e">
        <f ca="1">[1]!BexGetData("DP_1","00O2TNJGODT0G5Z4TTKYMN7K5","GSON4161610111")</f>
        <v>#NAME?</v>
      </c>
    </row>
    <row r="2325" spans="1:23" x14ac:dyDescent="0.2">
      <c r="A2325" s="16" t="s">
        <v>4930</v>
      </c>
      <c r="B2325" s="7" t="s">
        <v>4931</v>
      </c>
      <c r="C2325" s="3" t="e">
        <f ca="1">[1]!BexGetData("DP_1","003N8EMH8GTFRCSWKMPXRR8GU","GSON4161610112")</f>
        <v>#NAME?</v>
      </c>
      <c r="D2325" s="3" t="e">
        <f ca="1">[1]!BexGetData("DP_1","003N8EMH8GTFRCSWKMPXRRESE","GSON4161610112")</f>
        <v>#NAME?</v>
      </c>
      <c r="E2325" s="3" t="e">
        <f ca="1">[1]!BexGetData("DP_1","003N8EMH8GTFRCSWKMPXRRL3Y","GSON4161610112")</f>
        <v>#NAME?</v>
      </c>
      <c r="F2325" s="4" t="e">
        <f ca="1">[1]!BexGetData("DP_1","003N8EMH8GTFRCSWKMPXRRRFI","GSON4161610112")</f>
        <v>#NAME?</v>
      </c>
      <c r="G2325" s="4" t="e">
        <f ca="1">[1]!BexGetData("DP_1","003N8EMH8GTFRCSWKMPXRRXR2","GSON4161610112")</f>
        <v>#NAME?</v>
      </c>
      <c r="H2325" s="4" t="e">
        <f ca="1">[1]!BexGetData("DP_1","003N8EMH8GTFRCSWKMPXRS42M","GSON4161610112")</f>
        <v>#NAME?</v>
      </c>
      <c r="I2325" s="4" t="e">
        <f ca="1">[1]!BexGetData("DP_1","003N8EMH8GTFRCSWKMPXRSAE6","GSON4161610112")</f>
        <v>#NAME?</v>
      </c>
      <c r="J2325" s="4" t="e">
        <f ca="1">[1]!BexGetData("DP_1","003N8EMH8GTFRCSWKMPXRSGPQ","GSON4161610112")</f>
        <v>#NAME?</v>
      </c>
      <c r="K2325" s="3" t="e">
        <f ca="1">[1]!BexGetData("DP_1","003N8EMH8GTFRIVNUPY288VJH","GSON4161610112")</f>
        <v>#NAME?</v>
      </c>
      <c r="L2325" s="3" t="e">
        <f ca="1">[1]!BexGetData("DP_1","003N8EMH8GTFRIVNUPY2891V1","GSON4161610112")</f>
        <v>#NAME?</v>
      </c>
      <c r="M2325" s="3" t="e">
        <f ca="1">[1]!BexGetData("DP_1","003N8EMH8GTFRIVOG7KG9IQXA","GSON4161610112")</f>
        <v>#NAME?</v>
      </c>
      <c r="N2325" s="8" t="e">
        <f ca="1">[1]!BexGetData("DP_1","003N8EMH8GTFRIVOG7KG9IX8U","GSON4161610112")</f>
        <v>#NAME?</v>
      </c>
      <c r="O2325" s="3" t="e">
        <f ca="1">[1]!BexGetData("DP_1","003N8EMH8GTFRIVOG7KG9J3KE","GSON4161610112")</f>
        <v>#NAME?</v>
      </c>
      <c r="P2325" s="8" t="e">
        <f ca="1">[1]!BexGetData("DP_1","003N8EMH8GTFRIVOG7KG9J9VY","GSON4161610112")</f>
        <v>#NAME?</v>
      </c>
      <c r="Q2325" s="4" t="e">
        <f ca="1">[1]!BexGetData("DP_1","00O2TNJGODT0G5Z4TTKYMM5MT","GSON4161610112")</f>
        <v>#NAME?</v>
      </c>
      <c r="R2325" s="4" t="e">
        <f ca="1">[1]!BexGetData("DP_1","00O2TNJGODT0G5Z4TTKYMMBYD","GSON4161610112")</f>
        <v>#NAME?</v>
      </c>
      <c r="S2325" s="4" t="e">
        <f ca="1">[1]!BexGetData("DP_1","00O2TNJGODT0G5Z4TTKYMMI9X","GSON4161610112")</f>
        <v>#NAME?</v>
      </c>
      <c r="T2325" s="4" t="e">
        <f ca="1">[1]!BexGetData("DP_1","00O2TNJGODT0G5Z4TTKYMMOLH","GSON4161610112")</f>
        <v>#NAME?</v>
      </c>
      <c r="U2325" s="4" t="e">
        <f ca="1">[1]!BexGetData("DP_1","00O2TNJGODT0G5Z4TTKYMMUX1","GSON4161610112")</f>
        <v>#NAME?</v>
      </c>
      <c r="V2325" s="4" t="e">
        <f ca="1">[1]!BexGetData("DP_1","00O2TNJGODT0G5Z4TTKYMN18L","GSON4161610112")</f>
        <v>#NAME?</v>
      </c>
      <c r="W2325" s="4" t="e">
        <f ca="1">[1]!BexGetData("DP_1","00O2TNJGODT0G5Z4TTKYMN7K5","GSON4161610112")</f>
        <v>#NAME?</v>
      </c>
    </row>
    <row r="2326" spans="1:23" x14ac:dyDescent="0.2">
      <c r="A2326" s="16" t="s">
        <v>4932</v>
      </c>
      <c r="B2326" s="7" t="s">
        <v>1522</v>
      </c>
      <c r="C2326" s="3" t="e">
        <f ca="1">[1]!BexGetData("DP_1","003N8EMH8GTFRCSWKMPXRR8GU","GSON4161610113")</f>
        <v>#NAME?</v>
      </c>
      <c r="D2326" s="3" t="e">
        <f ca="1">[1]!BexGetData("DP_1","003N8EMH8GTFRCSWKMPXRRESE","GSON4161610113")</f>
        <v>#NAME?</v>
      </c>
      <c r="E2326" s="3" t="e">
        <f ca="1">[1]!BexGetData("DP_1","003N8EMH8GTFRCSWKMPXRRL3Y","GSON4161610113")</f>
        <v>#NAME?</v>
      </c>
      <c r="F2326" s="4" t="e">
        <f ca="1">[1]!BexGetData("DP_1","003N8EMH8GTFRCSWKMPXRRRFI","GSON4161610113")</f>
        <v>#NAME?</v>
      </c>
      <c r="G2326" s="4" t="e">
        <f ca="1">[1]!BexGetData("DP_1","003N8EMH8GTFRCSWKMPXRRXR2","GSON4161610113")</f>
        <v>#NAME?</v>
      </c>
      <c r="H2326" s="4" t="e">
        <f ca="1">[1]!BexGetData("DP_1","003N8EMH8GTFRCSWKMPXRS42M","GSON4161610113")</f>
        <v>#NAME?</v>
      </c>
      <c r="I2326" s="4" t="e">
        <f ca="1">[1]!BexGetData("DP_1","003N8EMH8GTFRCSWKMPXRSAE6","GSON4161610113")</f>
        <v>#NAME?</v>
      </c>
      <c r="J2326" s="4" t="e">
        <f ca="1">[1]!BexGetData("DP_1","003N8EMH8GTFRCSWKMPXRSGPQ","GSON4161610113")</f>
        <v>#NAME?</v>
      </c>
      <c r="K2326" s="3" t="e">
        <f ca="1">[1]!BexGetData("DP_1","003N8EMH8GTFRIVNUPY288VJH","GSON4161610113")</f>
        <v>#NAME?</v>
      </c>
      <c r="L2326" s="3" t="e">
        <f ca="1">[1]!BexGetData("DP_1","003N8EMH8GTFRIVNUPY2891V1","GSON4161610113")</f>
        <v>#NAME?</v>
      </c>
      <c r="M2326" s="3" t="e">
        <f ca="1">[1]!BexGetData("DP_1","003N8EMH8GTFRIVOG7KG9IQXA","GSON4161610113")</f>
        <v>#NAME?</v>
      </c>
      <c r="N2326" s="8" t="e">
        <f ca="1">[1]!BexGetData("DP_1","003N8EMH8GTFRIVOG7KG9IX8U","GSON4161610113")</f>
        <v>#NAME?</v>
      </c>
      <c r="O2326" s="3" t="e">
        <f ca="1">[1]!BexGetData("DP_1","003N8EMH8GTFRIVOG7KG9J3KE","GSON4161610113")</f>
        <v>#NAME?</v>
      </c>
      <c r="P2326" s="8" t="e">
        <f ca="1">[1]!BexGetData("DP_1","003N8EMH8GTFRIVOG7KG9J9VY","GSON4161610113")</f>
        <v>#NAME?</v>
      </c>
      <c r="Q2326" s="4" t="e">
        <f ca="1">[1]!BexGetData("DP_1","00O2TNJGODT0G5Z4TTKYMM5MT","GSON4161610113")</f>
        <v>#NAME?</v>
      </c>
      <c r="R2326" s="4" t="e">
        <f ca="1">[1]!BexGetData("DP_1","00O2TNJGODT0G5Z4TTKYMMBYD","GSON4161610113")</f>
        <v>#NAME?</v>
      </c>
      <c r="S2326" s="4" t="e">
        <f ca="1">[1]!BexGetData("DP_1","00O2TNJGODT0G5Z4TTKYMMI9X","GSON4161610113")</f>
        <v>#NAME?</v>
      </c>
      <c r="T2326" s="4" t="e">
        <f ca="1">[1]!BexGetData("DP_1","00O2TNJGODT0G5Z4TTKYMMOLH","GSON4161610113")</f>
        <v>#NAME?</v>
      </c>
      <c r="U2326" s="4" t="e">
        <f ca="1">[1]!BexGetData("DP_1","00O2TNJGODT0G5Z4TTKYMMUX1","GSON4161610113")</f>
        <v>#NAME?</v>
      </c>
      <c r="V2326" s="4" t="e">
        <f ca="1">[1]!BexGetData("DP_1","00O2TNJGODT0G5Z4TTKYMN18L","GSON4161610113")</f>
        <v>#NAME?</v>
      </c>
      <c r="W2326" s="4" t="e">
        <f ca="1">[1]!BexGetData("DP_1","00O2TNJGODT0G5Z4TTKYMN7K5","GSON4161610113")</f>
        <v>#NAME?</v>
      </c>
    </row>
    <row r="2327" spans="1:23" x14ac:dyDescent="0.2">
      <c r="A2327" s="16" t="s">
        <v>1523</v>
      </c>
      <c r="B2327" s="7" t="s">
        <v>1524</v>
      </c>
      <c r="C2327" s="3" t="e">
        <f ca="1">[1]!BexGetData("DP_1","003N8EMH8GTFRCSWKMPXRR8GU","GSON4161610114")</f>
        <v>#NAME?</v>
      </c>
      <c r="D2327" s="3" t="e">
        <f ca="1">[1]!BexGetData("DP_1","003N8EMH8GTFRCSWKMPXRRESE","GSON4161610114")</f>
        <v>#NAME?</v>
      </c>
      <c r="E2327" s="3" t="e">
        <f ca="1">[1]!BexGetData("DP_1","003N8EMH8GTFRCSWKMPXRRL3Y","GSON4161610114")</f>
        <v>#NAME?</v>
      </c>
      <c r="F2327" s="4" t="e">
        <f ca="1">[1]!BexGetData("DP_1","003N8EMH8GTFRCSWKMPXRRRFI","GSON4161610114")</f>
        <v>#NAME?</v>
      </c>
      <c r="G2327" s="4" t="e">
        <f ca="1">[1]!BexGetData("DP_1","003N8EMH8GTFRCSWKMPXRRXR2","GSON4161610114")</f>
        <v>#NAME?</v>
      </c>
      <c r="H2327" s="4" t="e">
        <f ca="1">[1]!BexGetData("DP_1","003N8EMH8GTFRCSWKMPXRS42M","GSON4161610114")</f>
        <v>#NAME?</v>
      </c>
      <c r="I2327" s="4" t="e">
        <f ca="1">[1]!BexGetData("DP_1","003N8EMH8GTFRCSWKMPXRSAE6","GSON4161610114")</f>
        <v>#NAME?</v>
      </c>
      <c r="J2327" s="4" t="e">
        <f ca="1">[1]!BexGetData("DP_1","003N8EMH8GTFRCSWKMPXRSGPQ","GSON4161610114")</f>
        <v>#NAME?</v>
      </c>
      <c r="K2327" s="3" t="e">
        <f ca="1">[1]!BexGetData("DP_1","003N8EMH8GTFRIVNUPY288VJH","GSON4161610114")</f>
        <v>#NAME?</v>
      </c>
      <c r="L2327" s="3" t="e">
        <f ca="1">[1]!BexGetData("DP_1","003N8EMH8GTFRIVNUPY2891V1","GSON4161610114")</f>
        <v>#NAME?</v>
      </c>
      <c r="M2327" s="3" t="e">
        <f ca="1">[1]!BexGetData("DP_1","003N8EMH8GTFRIVOG7KG9IQXA","GSON4161610114")</f>
        <v>#NAME?</v>
      </c>
      <c r="N2327" s="8" t="e">
        <f ca="1">[1]!BexGetData("DP_1","003N8EMH8GTFRIVOG7KG9IX8U","GSON4161610114")</f>
        <v>#NAME?</v>
      </c>
      <c r="O2327" s="3" t="e">
        <f ca="1">[1]!BexGetData("DP_1","003N8EMH8GTFRIVOG7KG9J3KE","GSON4161610114")</f>
        <v>#NAME?</v>
      </c>
      <c r="P2327" s="8" t="e">
        <f ca="1">[1]!BexGetData("DP_1","003N8EMH8GTFRIVOG7KG9J9VY","GSON4161610114")</f>
        <v>#NAME?</v>
      </c>
      <c r="Q2327" s="4" t="e">
        <f ca="1">[1]!BexGetData("DP_1","00O2TNJGODT0G5Z4TTKYMM5MT","GSON4161610114")</f>
        <v>#NAME?</v>
      </c>
      <c r="R2327" s="4" t="e">
        <f ca="1">[1]!BexGetData("DP_1","00O2TNJGODT0G5Z4TTKYMMBYD","GSON4161610114")</f>
        <v>#NAME?</v>
      </c>
      <c r="S2327" s="4" t="e">
        <f ca="1">[1]!BexGetData("DP_1","00O2TNJGODT0G5Z4TTKYMMI9X","GSON4161610114")</f>
        <v>#NAME?</v>
      </c>
      <c r="T2327" s="4" t="e">
        <f ca="1">[1]!BexGetData("DP_1","00O2TNJGODT0G5Z4TTKYMMOLH","GSON4161610114")</f>
        <v>#NAME?</v>
      </c>
      <c r="U2327" s="4" t="e">
        <f ca="1">[1]!BexGetData("DP_1","00O2TNJGODT0G5Z4TTKYMMUX1","GSON4161610114")</f>
        <v>#NAME?</v>
      </c>
      <c r="V2327" s="4" t="e">
        <f ca="1">[1]!BexGetData("DP_1","00O2TNJGODT0G5Z4TTKYMN18L","GSON4161610114")</f>
        <v>#NAME?</v>
      </c>
      <c r="W2327" s="4" t="e">
        <f ca="1">[1]!BexGetData("DP_1","00O2TNJGODT0G5Z4TTKYMN7K5","GSON4161610114")</f>
        <v>#NAME?</v>
      </c>
    </row>
    <row r="2328" spans="1:23" x14ac:dyDescent="0.2">
      <c r="A2328" s="16" t="s">
        <v>4933</v>
      </c>
      <c r="B2328" s="7" t="s">
        <v>4934</v>
      </c>
      <c r="C2328" s="8" t="e">
        <f ca="1">[1]!BexGetData("DP_1","003N8EMH8GTFRCSWKMPXRR8GU","GSON4161610115")</f>
        <v>#NAME?</v>
      </c>
      <c r="D2328" s="3" t="e">
        <f ca="1">[1]!BexGetData("DP_1","003N8EMH8GTFRCSWKMPXRRESE","GSON4161610115")</f>
        <v>#NAME?</v>
      </c>
      <c r="E2328" s="3" t="e">
        <f ca="1">[1]!BexGetData("DP_1","003N8EMH8GTFRCSWKMPXRRL3Y","GSON4161610115")</f>
        <v>#NAME?</v>
      </c>
      <c r="F2328" s="4" t="e">
        <f ca="1">[1]!BexGetData("DP_1","003N8EMH8GTFRCSWKMPXRRRFI","GSON4161610115")</f>
        <v>#NAME?</v>
      </c>
      <c r="G2328" s="4" t="e">
        <f ca="1">[1]!BexGetData("DP_1","003N8EMH8GTFRCSWKMPXRRXR2","GSON4161610115")</f>
        <v>#NAME?</v>
      </c>
      <c r="H2328" s="4" t="e">
        <f ca="1">[1]!BexGetData("DP_1","003N8EMH8GTFRCSWKMPXRS42M","GSON4161610115")</f>
        <v>#NAME?</v>
      </c>
      <c r="I2328" s="4" t="e">
        <f ca="1">[1]!BexGetData("DP_1","003N8EMH8GTFRCSWKMPXRSAE6","GSON4161610115")</f>
        <v>#NAME?</v>
      </c>
      <c r="J2328" s="4" t="e">
        <f ca="1">[1]!BexGetData("DP_1","003N8EMH8GTFRCSWKMPXRSGPQ","GSON4161610115")</f>
        <v>#NAME?</v>
      </c>
      <c r="K2328" s="3" t="e">
        <f ca="1">[1]!BexGetData("DP_1","003N8EMH8GTFRIVNUPY288VJH","GSON4161610115")</f>
        <v>#NAME?</v>
      </c>
      <c r="L2328" s="3" t="e">
        <f ca="1">[1]!BexGetData("DP_1","003N8EMH8GTFRIVNUPY2891V1","GSON4161610115")</f>
        <v>#NAME?</v>
      </c>
      <c r="M2328" s="3" t="e">
        <f ca="1">[1]!BexGetData("DP_1","003N8EMH8GTFRIVOG7KG9IQXA","GSON4161610115")</f>
        <v>#NAME?</v>
      </c>
      <c r="N2328" s="8" t="e">
        <f ca="1">[1]!BexGetData("DP_1","003N8EMH8GTFRIVOG7KG9IX8U","GSON4161610115")</f>
        <v>#NAME?</v>
      </c>
      <c r="O2328" s="3" t="e">
        <f ca="1">[1]!BexGetData("DP_1","003N8EMH8GTFRIVOG7KG9J3KE","GSON4161610115")</f>
        <v>#NAME?</v>
      </c>
      <c r="P2328" s="8" t="e">
        <f ca="1">[1]!BexGetData("DP_1","003N8EMH8GTFRIVOG7KG9J9VY","GSON4161610115")</f>
        <v>#NAME?</v>
      </c>
      <c r="Q2328" s="4" t="e">
        <f ca="1">[1]!BexGetData("DP_1","00O2TNJGODT0G5Z4TTKYMM5MT","GSON4161610115")</f>
        <v>#NAME?</v>
      </c>
      <c r="R2328" s="4" t="e">
        <f ca="1">[1]!BexGetData("DP_1","00O2TNJGODT0G5Z4TTKYMMBYD","GSON4161610115")</f>
        <v>#NAME?</v>
      </c>
      <c r="S2328" s="4" t="e">
        <f ca="1">[1]!BexGetData("DP_1","00O2TNJGODT0G5Z4TTKYMMI9X","GSON4161610115")</f>
        <v>#NAME?</v>
      </c>
      <c r="T2328" s="4" t="e">
        <f ca="1">[1]!BexGetData("DP_1","00O2TNJGODT0G5Z4TTKYMMOLH","GSON4161610115")</f>
        <v>#NAME?</v>
      </c>
      <c r="U2328" s="4" t="e">
        <f ca="1">[1]!BexGetData("DP_1","00O2TNJGODT0G5Z4TTKYMMUX1","GSON4161610115")</f>
        <v>#NAME?</v>
      </c>
      <c r="V2328" s="4" t="e">
        <f ca="1">[1]!BexGetData("DP_1","00O2TNJGODT0G5Z4TTKYMN18L","GSON4161610115")</f>
        <v>#NAME?</v>
      </c>
      <c r="W2328" s="4" t="e">
        <f ca="1">[1]!BexGetData("DP_1","00O2TNJGODT0G5Z4TTKYMN7K5","GSON4161610115")</f>
        <v>#NAME?</v>
      </c>
    </row>
    <row r="2329" spans="1:23" x14ac:dyDescent="0.2">
      <c r="A2329" s="15" t="s">
        <v>1525</v>
      </c>
      <c r="B2329" s="7" t="s">
        <v>1526</v>
      </c>
      <c r="C2329" s="3" t="e">
        <f ca="1">[1]!BexGetData("DP_1","003N8EMH8GTFRCSWKMPXRR8GU","GSON4162")</f>
        <v>#NAME?</v>
      </c>
      <c r="D2329" s="3" t="e">
        <f ca="1">[1]!BexGetData("DP_1","003N8EMH8GTFRCSWKMPXRRESE","GSON4162")</f>
        <v>#NAME?</v>
      </c>
      <c r="E2329" s="3" t="e">
        <f ca="1">[1]!BexGetData("DP_1","003N8EMH8GTFRCSWKMPXRRL3Y","GSON4162")</f>
        <v>#NAME?</v>
      </c>
      <c r="F2329" s="4" t="e">
        <f ca="1">[1]!BexGetData("DP_1","003N8EMH8GTFRCSWKMPXRRRFI","GSON4162")</f>
        <v>#NAME?</v>
      </c>
      <c r="G2329" s="4" t="e">
        <f ca="1">[1]!BexGetData("DP_1","003N8EMH8GTFRCSWKMPXRRXR2","GSON4162")</f>
        <v>#NAME?</v>
      </c>
      <c r="H2329" s="4" t="e">
        <f ca="1">[1]!BexGetData("DP_1","003N8EMH8GTFRCSWKMPXRS42M","GSON4162")</f>
        <v>#NAME?</v>
      </c>
      <c r="I2329" s="4" t="e">
        <f ca="1">[1]!BexGetData("DP_1","003N8EMH8GTFRCSWKMPXRSAE6","GSON4162")</f>
        <v>#NAME?</v>
      </c>
      <c r="J2329" s="4" t="e">
        <f ca="1">[1]!BexGetData("DP_1","003N8EMH8GTFRCSWKMPXRSGPQ","GSON4162")</f>
        <v>#NAME?</v>
      </c>
      <c r="K2329" s="3" t="e">
        <f ca="1">[1]!BexGetData("DP_1","003N8EMH8GTFRIVNUPY288VJH","GSON4162")</f>
        <v>#NAME?</v>
      </c>
      <c r="L2329" s="3" t="e">
        <f ca="1">[1]!BexGetData("DP_1","003N8EMH8GTFRIVNUPY2891V1","GSON4162")</f>
        <v>#NAME?</v>
      </c>
      <c r="M2329" s="3" t="e">
        <f ca="1">[1]!BexGetData("DP_1","003N8EMH8GTFRIVOG7KG9IQXA","GSON4162")</f>
        <v>#NAME?</v>
      </c>
      <c r="N2329" s="8" t="e">
        <f ca="1">[1]!BexGetData("DP_1","003N8EMH8GTFRIVOG7KG9IX8U","GSON4162")</f>
        <v>#NAME?</v>
      </c>
      <c r="O2329" s="3" t="e">
        <f ca="1">[1]!BexGetData("DP_1","003N8EMH8GTFRIVOG7KG9J3KE","GSON4162")</f>
        <v>#NAME?</v>
      </c>
      <c r="P2329" s="8" t="e">
        <f ca="1">[1]!BexGetData("DP_1","003N8EMH8GTFRIVOG7KG9J9VY","GSON4162")</f>
        <v>#NAME?</v>
      </c>
      <c r="Q2329" s="4" t="e">
        <f ca="1">[1]!BexGetData("DP_1","00O2TNJGODT0G5Z4TTKYMM5MT","GSON4162")</f>
        <v>#NAME?</v>
      </c>
      <c r="R2329" s="4" t="e">
        <f ca="1">[1]!BexGetData("DP_1","00O2TNJGODT0G5Z4TTKYMMBYD","GSON4162")</f>
        <v>#NAME?</v>
      </c>
      <c r="S2329" s="4" t="e">
        <f ca="1">[1]!BexGetData("DP_1","00O2TNJGODT0G5Z4TTKYMMI9X","GSON4162")</f>
        <v>#NAME?</v>
      </c>
      <c r="T2329" s="4" t="e">
        <f ca="1">[1]!BexGetData("DP_1","00O2TNJGODT0G5Z4TTKYMMOLH","GSON4162")</f>
        <v>#NAME?</v>
      </c>
      <c r="U2329" s="4" t="e">
        <f ca="1">[1]!BexGetData("DP_1","00O2TNJGODT0G5Z4TTKYMMUX1","GSON4162")</f>
        <v>#NAME?</v>
      </c>
      <c r="V2329" s="4" t="e">
        <f ca="1">[1]!BexGetData("DP_1","00O2TNJGODT0G5Z4TTKYMN18L","GSON4162")</f>
        <v>#NAME?</v>
      </c>
      <c r="W2329" s="4" t="e">
        <f ca="1">[1]!BexGetData("DP_1","00O2TNJGODT0G5Z4TTKYMN7K5","GSON4162")</f>
        <v>#NAME?</v>
      </c>
    </row>
    <row r="2330" spans="1:23" x14ac:dyDescent="0.2">
      <c r="A2330" s="16" t="s">
        <v>4935</v>
      </c>
      <c r="B2330" s="7" t="s">
        <v>1527</v>
      </c>
      <c r="C2330" s="3" t="e">
        <f ca="1">[1]!BexGetData("DP_1","003N8EMH8GTFRCSWKMPXRR8GU","GSON4162610201")</f>
        <v>#NAME?</v>
      </c>
      <c r="D2330" s="3" t="e">
        <f ca="1">[1]!BexGetData("DP_1","003N8EMH8GTFRCSWKMPXRRESE","GSON4162610201")</f>
        <v>#NAME?</v>
      </c>
      <c r="E2330" s="3" t="e">
        <f ca="1">[1]!BexGetData("DP_1","003N8EMH8GTFRCSWKMPXRRL3Y","GSON4162610201")</f>
        <v>#NAME?</v>
      </c>
      <c r="F2330" s="4" t="e">
        <f ca="1">[1]!BexGetData("DP_1","003N8EMH8GTFRCSWKMPXRRRFI","GSON4162610201")</f>
        <v>#NAME?</v>
      </c>
      <c r="G2330" s="4" t="e">
        <f ca="1">[1]!BexGetData("DP_1","003N8EMH8GTFRCSWKMPXRRXR2","GSON4162610201")</f>
        <v>#NAME?</v>
      </c>
      <c r="H2330" s="4" t="e">
        <f ca="1">[1]!BexGetData("DP_1","003N8EMH8GTFRCSWKMPXRS42M","GSON4162610201")</f>
        <v>#NAME?</v>
      </c>
      <c r="I2330" s="4" t="e">
        <f ca="1">[1]!BexGetData("DP_1","003N8EMH8GTFRCSWKMPXRSAE6","GSON4162610201")</f>
        <v>#NAME?</v>
      </c>
      <c r="J2330" s="4" t="e">
        <f ca="1">[1]!BexGetData("DP_1","003N8EMH8GTFRCSWKMPXRSGPQ","GSON4162610201")</f>
        <v>#NAME?</v>
      </c>
      <c r="K2330" s="3" t="e">
        <f ca="1">[1]!BexGetData("DP_1","003N8EMH8GTFRIVNUPY288VJH","GSON4162610201")</f>
        <v>#NAME?</v>
      </c>
      <c r="L2330" s="3" t="e">
        <f ca="1">[1]!BexGetData("DP_1","003N8EMH8GTFRIVNUPY2891V1","GSON4162610201")</f>
        <v>#NAME?</v>
      </c>
      <c r="M2330" s="3" t="e">
        <f ca="1">[1]!BexGetData("DP_1","003N8EMH8GTFRIVOG7KG9IQXA","GSON4162610201")</f>
        <v>#NAME?</v>
      </c>
      <c r="N2330" s="8" t="e">
        <f ca="1">[1]!BexGetData("DP_1","003N8EMH8GTFRIVOG7KG9IX8U","GSON4162610201")</f>
        <v>#NAME?</v>
      </c>
      <c r="O2330" s="3" t="e">
        <f ca="1">[1]!BexGetData("DP_1","003N8EMH8GTFRIVOG7KG9J3KE","GSON4162610201")</f>
        <v>#NAME?</v>
      </c>
      <c r="P2330" s="8" t="e">
        <f ca="1">[1]!BexGetData("DP_1","003N8EMH8GTFRIVOG7KG9J9VY","GSON4162610201")</f>
        <v>#NAME?</v>
      </c>
      <c r="Q2330" s="4" t="e">
        <f ca="1">[1]!BexGetData("DP_1","00O2TNJGODT0G5Z4TTKYMM5MT","GSON4162610201")</f>
        <v>#NAME?</v>
      </c>
      <c r="R2330" s="4" t="e">
        <f ca="1">[1]!BexGetData("DP_1","00O2TNJGODT0G5Z4TTKYMMBYD","GSON4162610201")</f>
        <v>#NAME?</v>
      </c>
      <c r="S2330" s="4" t="e">
        <f ca="1">[1]!BexGetData("DP_1","00O2TNJGODT0G5Z4TTKYMMI9X","GSON4162610201")</f>
        <v>#NAME?</v>
      </c>
      <c r="T2330" s="4" t="e">
        <f ca="1">[1]!BexGetData("DP_1","00O2TNJGODT0G5Z4TTKYMMOLH","GSON4162610201")</f>
        <v>#NAME?</v>
      </c>
      <c r="U2330" s="4" t="e">
        <f ca="1">[1]!BexGetData("DP_1","00O2TNJGODT0G5Z4TTKYMMUX1","GSON4162610201")</f>
        <v>#NAME?</v>
      </c>
      <c r="V2330" s="4" t="e">
        <f ca="1">[1]!BexGetData("DP_1","00O2TNJGODT0G5Z4TTKYMN18L","GSON4162610201")</f>
        <v>#NAME?</v>
      </c>
      <c r="W2330" s="4" t="e">
        <f ca="1">[1]!BexGetData("DP_1","00O2TNJGODT0G5Z4TTKYMN7K5","GSON4162610201")</f>
        <v>#NAME?</v>
      </c>
    </row>
    <row r="2331" spans="1:23" x14ac:dyDescent="0.2">
      <c r="A2331" s="16" t="s">
        <v>1528</v>
      </c>
      <c r="B2331" s="7" t="s">
        <v>1529</v>
      </c>
      <c r="C2331" s="3" t="e">
        <f ca="1">[1]!BexGetData("DP_1","003N8EMH8GTFRCSWKMPXRR8GU","GSON4162610202")</f>
        <v>#NAME?</v>
      </c>
      <c r="D2331" s="3" t="e">
        <f ca="1">[1]!BexGetData("DP_1","003N8EMH8GTFRCSWKMPXRRESE","GSON4162610202")</f>
        <v>#NAME?</v>
      </c>
      <c r="E2331" s="3" t="e">
        <f ca="1">[1]!BexGetData("DP_1","003N8EMH8GTFRCSWKMPXRRL3Y","GSON4162610202")</f>
        <v>#NAME?</v>
      </c>
      <c r="F2331" s="4" t="e">
        <f ca="1">[1]!BexGetData("DP_1","003N8EMH8GTFRCSWKMPXRRRFI","GSON4162610202")</f>
        <v>#NAME?</v>
      </c>
      <c r="G2331" s="4" t="e">
        <f ca="1">[1]!BexGetData("DP_1","003N8EMH8GTFRCSWKMPXRRXR2","GSON4162610202")</f>
        <v>#NAME?</v>
      </c>
      <c r="H2331" s="4" t="e">
        <f ca="1">[1]!BexGetData("DP_1","003N8EMH8GTFRCSWKMPXRS42M","GSON4162610202")</f>
        <v>#NAME?</v>
      </c>
      <c r="I2331" s="4" t="e">
        <f ca="1">[1]!BexGetData("DP_1","003N8EMH8GTFRCSWKMPXRSAE6","GSON4162610202")</f>
        <v>#NAME?</v>
      </c>
      <c r="J2331" s="4" t="e">
        <f ca="1">[1]!BexGetData("DP_1","003N8EMH8GTFRCSWKMPXRSGPQ","GSON4162610202")</f>
        <v>#NAME?</v>
      </c>
      <c r="K2331" s="3" t="e">
        <f ca="1">[1]!BexGetData("DP_1","003N8EMH8GTFRIVNUPY288VJH","GSON4162610202")</f>
        <v>#NAME?</v>
      </c>
      <c r="L2331" s="3" t="e">
        <f ca="1">[1]!BexGetData("DP_1","003N8EMH8GTFRIVNUPY2891V1","GSON4162610202")</f>
        <v>#NAME?</v>
      </c>
      <c r="M2331" s="3" t="e">
        <f ca="1">[1]!BexGetData("DP_1","003N8EMH8GTFRIVOG7KG9IQXA","GSON4162610202")</f>
        <v>#NAME?</v>
      </c>
      <c r="N2331" s="8" t="e">
        <f ca="1">[1]!BexGetData("DP_1","003N8EMH8GTFRIVOG7KG9IX8U","GSON4162610202")</f>
        <v>#NAME?</v>
      </c>
      <c r="O2331" s="3" t="e">
        <f ca="1">[1]!BexGetData("DP_1","003N8EMH8GTFRIVOG7KG9J3KE","GSON4162610202")</f>
        <v>#NAME?</v>
      </c>
      <c r="P2331" s="8" t="e">
        <f ca="1">[1]!BexGetData("DP_1","003N8EMH8GTFRIVOG7KG9J9VY","GSON4162610202")</f>
        <v>#NAME?</v>
      </c>
      <c r="Q2331" s="4" t="e">
        <f ca="1">[1]!BexGetData("DP_1","00O2TNJGODT0G5Z4TTKYMM5MT","GSON4162610202")</f>
        <v>#NAME?</v>
      </c>
      <c r="R2331" s="4" t="e">
        <f ca="1">[1]!BexGetData("DP_1","00O2TNJGODT0G5Z4TTKYMMBYD","GSON4162610202")</f>
        <v>#NAME?</v>
      </c>
      <c r="S2331" s="4" t="e">
        <f ca="1">[1]!BexGetData("DP_1","00O2TNJGODT0G5Z4TTKYMMI9X","GSON4162610202")</f>
        <v>#NAME?</v>
      </c>
      <c r="T2331" s="4" t="e">
        <f ca="1">[1]!BexGetData("DP_1","00O2TNJGODT0G5Z4TTKYMMOLH","GSON4162610202")</f>
        <v>#NAME?</v>
      </c>
      <c r="U2331" s="4" t="e">
        <f ca="1">[1]!BexGetData("DP_1","00O2TNJGODT0G5Z4TTKYMMUX1","GSON4162610202")</f>
        <v>#NAME?</v>
      </c>
      <c r="V2331" s="4" t="e">
        <f ca="1">[1]!BexGetData("DP_1","00O2TNJGODT0G5Z4TTKYMN18L","GSON4162610202")</f>
        <v>#NAME?</v>
      </c>
      <c r="W2331" s="4" t="e">
        <f ca="1">[1]!BexGetData("DP_1","00O2TNJGODT0G5Z4TTKYMN7K5","GSON4162610202")</f>
        <v>#NAME?</v>
      </c>
    </row>
    <row r="2332" spans="1:23" x14ac:dyDescent="0.2">
      <c r="A2332" s="15" t="s">
        <v>1704</v>
      </c>
      <c r="B2332" s="7" t="s">
        <v>1705</v>
      </c>
      <c r="C2332" s="3" t="e">
        <f ca="1">[1]!BexGetData("DP_1","003N8EMH8GTFRCSWKMPXRR8GU","GSON4163")</f>
        <v>#NAME?</v>
      </c>
      <c r="D2332" s="3" t="e">
        <f ca="1">[1]!BexGetData("DP_1","003N8EMH8GTFRCSWKMPXRRESE","GSON4163")</f>
        <v>#NAME?</v>
      </c>
      <c r="E2332" s="3" t="e">
        <f ca="1">[1]!BexGetData("DP_1","003N8EMH8GTFRCSWKMPXRRL3Y","GSON4163")</f>
        <v>#NAME?</v>
      </c>
      <c r="F2332" s="4" t="e">
        <f ca="1">[1]!BexGetData("DP_1","003N8EMH8GTFRCSWKMPXRRRFI","GSON4163")</f>
        <v>#NAME?</v>
      </c>
      <c r="G2332" s="4" t="e">
        <f ca="1">[1]!BexGetData("DP_1","003N8EMH8GTFRCSWKMPXRRXR2","GSON4163")</f>
        <v>#NAME?</v>
      </c>
      <c r="H2332" s="4" t="e">
        <f ca="1">[1]!BexGetData("DP_1","003N8EMH8GTFRCSWKMPXRS42M","GSON4163")</f>
        <v>#NAME?</v>
      </c>
      <c r="I2332" s="4" t="e">
        <f ca="1">[1]!BexGetData("DP_1","003N8EMH8GTFRCSWKMPXRSAE6","GSON4163")</f>
        <v>#NAME?</v>
      </c>
      <c r="J2332" s="4" t="e">
        <f ca="1">[1]!BexGetData("DP_1","003N8EMH8GTFRCSWKMPXRSGPQ","GSON4163")</f>
        <v>#NAME?</v>
      </c>
      <c r="K2332" s="3" t="e">
        <f ca="1">[1]!BexGetData("DP_1","003N8EMH8GTFRIVNUPY288VJH","GSON4163")</f>
        <v>#NAME?</v>
      </c>
      <c r="L2332" s="3" t="e">
        <f ca="1">[1]!BexGetData("DP_1","003N8EMH8GTFRIVNUPY2891V1","GSON4163")</f>
        <v>#NAME?</v>
      </c>
      <c r="M2332" s="3" t="e">
        <f ca="1">[1]!BexGetData("DP_1","003N8EMH8GTFRIVOG7KG9IQXA","GSON4163")</f>
        <v>#NAME?</v>
      </c>
      <c r="N2332" s="8" t="e">
        <f ca="1">[1]!BexGetData("DP_1","003N8EMH8GTFRIVOG7KG9IX8U","GSON4163")</f>
        <v>#NAME?</v>
      </c>
      <c r="O2332" s="3" t="e">
        <f ca="1">[1]!BexGetData("DP_1","003N8EMH8GTFRIVOG7KG9J3KE","GSON4163")</f>
        <v>#NAME?</v>
      </c>
      <c r="P2332" s="8" t="e">
        <f ca="1">[1]!BexGetData("DP_1","003N8EMH8GTFRIVOG7KG9J9VY","GSON4163")</f>
        <v>#NAME?</v>
      </c>
      <c r="Q2332" s="4" t="e">
        <f ca="1">[1]!BexGetData("DP_1","00O2TNJGODT0G5Z4TTKYMM5MT","GSON4163")</f>
        <v>#NAME?</v>
      </c>
      <c r="R2332" s="4" t="e">
        <f ca="1">[1]!BexGetData("DP_1","00O2TNJGODT0G5Z4TTKYMMBYD","GSON4163")</f>
        <v>#NAME?</v>
      </c>
      <c r="S2332" s="4" t="e">
        <f ca="1">[1]!BexGetData("DP_1","00O2TNJGODT0G5Z4TTKYMMI9X","GSON4163")</f>
        <v>#NAME?</v>
      </c>
      <c r="T2332" s="4" t="e">
        <f ca="1">[1]!BexGetData("DP_1","00O2TNJGODT0G5Z4TTKYMMOLH","GSON4163")</f>
        <v>#NAME?</v>
      </c>
      <c r="U2332" s="4" t="e">
        <f ca="1">[1]!BexGetData("DP_1","00O2TNJGODT0G5Z4TTKYMMUX1","GSON4163")</f>
        <v>#NAME?</v>
      </c>
      <c r="V2332" s="4" t="e">
        <f ca="1">[1]!BexGetData("DP_1","00O2TNJGODT0G5Z4TTKYMN18L","GSON4163")</f>
        <v>#NAME?</v>
      </c>
      <c r="W2332" s="4" t="e">
        <f ca="1">[1]!BexGetData("DP_1","00O2TNJGODT0G5Z4TTKYMN7K5","GSON4163")</f>
        <v>#NAME?</v>
      </c>
    </row>
    <row r="2333" spans="1:23" x14ac:dyDescent="0.2">
      <c r="A2333" s="16" t="s">
        <v>1706</v>
      </c>
      <c r="B2333" s="7" t="s">
        <v>1707</v>
      </c>
      <c r="C2333" s="3" t="e">
        <f ca="1">[1]!BexGetData("DP_1","003N8EMH8GTFRCSWKMPXRR8GU","GSON4163610301")</f>
        <v>#NAME?</v>
      </c>
      <c r="D2333" s="3" t="e">
        <f ca="1">[1]!BexGetData("DP_1","003N8EMH8GTFRCSWKMPXRRESE","GSON4163610301")</f>
        <v>#NAME?</v>
      </c>
      <c r="E2333" s="3" t="e">
        <f ca="1">[1]!BexGetData("DP_1","003N8EMH8GTFRCSWKMPXRRL3Y","GSON4163610301")</f>
        <v>#NAME?</v>
      </c>
      <c r="F2333" s="4" t="e">
        <f ca="1">[1]!BexGetData("DP_1","003N8EMH8GTFRCSWKMPXRRRFI","GSON4163610301")</f>
        <v>#NAME?</v>
      </c>
      <c r="G2333" s="4" t="e">
        <f ca="1">[1]!BexGetData("DP_1","003N8EMH8GTFRCSWKMPXRRXR2","GSON4163610301")</f>
        <v>#NAME?</v>
      </c>
      <c r="H2333" s="4" t="e">
        <f ca="1">[1]!BexGetData("DP_1","003N8EMH8GTFRCSWKMPXRS42M","GSON4163610301")</f>
        <v>#NAME?</v>
      </c>
      <c r="I2333" s="4" t="e">
        <f ca="1">[1]!BexGetData("DP_1","003N8EMH8GTFRCSWKMPXRSAE6","GSON4163610301")</f>
        <v>#NAME?</v>
      </c>
      <c r="J2333" s="4" t="e">
        <f ca="1">[1]!BexGetData("DP_1","003N8EMH8GTFRCSWKMPXRSGPQ","GSON4163610301")</f>
        <v>#NAME?</v>
      </c>
      <c r="K2333" s="3" t="e">
        <f ca="1">[1]!BexGetData("DP_1","003N8EMH8GTFRIVNUPY288VJH","GSON4163610301")</f>
        <v>#NAME?</v>
      </c>
      <c r="L2333" s="3" t="e">
        <f ca="1">[1]!BexGetData("DP_1","003N8EMH8GTFRIVNUPY2891V1","GSON4163610301")</f>
        <v>#NAME?</v>
      </c>
      <c r="M2333" s="3" t="e">
        <f ca="1">[1]!BexGetData("DP_1","003N8EMH8GTFRIVOG7KG9IQXA","GSON4163610301")</f>
        <v>#NAME?</v>
      </c>
      <c r="N2333" s="8" t="e">
        <f ca="1">[1]!BexGetData("DP_1","003N8EMH8GTFRIVOG7KG9IX8U","GSON4163610301")</f>
        <v>#NAME?</v>
      </c>
      <c r="O2333" s="3" t="e">
        <f ca="1">[1]!BexGetData("DP_1","003N8EMH8GTFRIVOG7KG9J3KE","GSON4163610301")</f>
        <v>#NAME?</v>
      </c>
      <c r="P2333" s="8" t="e">
        <f ca="1">[1]!BexGetData("DP_1","003N8EMH8GTFRIVOG7KG9J9VY","GSON4163610301")</f>
        <v>#NAME?</v>
      </c>
      <c r="Q2333" s="4" t="e">
        <f ca="1">[1]!BexGetData("DP_1","00O2TNJGODT0G5Z4TTKYMM5MT","GSON4163610301")</f>
        <v>#NAME?</v>
      </c>
      <c r="R2333" s="4" t="e">
        <f ca="1">[1]!BexGetData("DP_1","00O2TNJGODT0G5Z4TTKYMMBYD","GSON4163610301")</f>
        <v>#NAME?</v>
      </c>
      <c r="S2333" s="4" t="e">
        <f ca="1">[1]!BexGetData("DP_1","00O2TNJGODT0G5Z4TTKYMMI9X","GSON4163610301")</f>
        <v>#NAME?</v>
      </c>
      <c r="T2333" s="4" t="e">
        <f ca="1">[1]!BexGetData("DP_1","00O2TNJGODT0G5Z4TTKYMMOLH","GSON4163610301")</f>
        <v>#NAME?</v>
      </c>
      <c r="U2333" s="4" t="e">
        <f ca="1">[1]!BexGetData("DP_1","00O2TNJGODT0G5Z4TTKYMMUX1","GSON4163610301")</f>
        <v>#NAME?</v>
      </c>
      <c r="V2333" s="4" t="e">
        <f ca="1">[1]!BexGetData("DP_1","00O2TNJGODT0G5Z4TTKYMN18L","GSON4163610301")</f>
        <v>#NAME?</v>
      </c>
      <c r="W2333" s="4" t="e">
        <f ca="1">[1]!BexGetData("DP_1","00O2TNJGODT0G5Z4TTKYMN7K5","GSON4163610301")</f>
        <v>#NAME?</v>
      </c>
    </row>
    <row r="2334" spans="1:23" x14ac:dyDescent="0.2">
      <c r="A2334" s="15" t="s">
        <v>4936</v>
      </c>
      <c r="B2334" s="7" t="s">
        <v>4937</v>
      </c>
      <c r="C2334" s="3" t="e">
        <f ca="1">[1]!BexGetData("DP_1","003N8EMH8GTFRCSWKMPXRR8GU","GSON4164")</f>
        <v>#NAME?</v>
      </c>
      <c r="D2334" s="3" t="e">
        <f ca="1">[1]!BexGetData("DP_1","003N8EMH8GTFRCSWKMPXRRESE","GSON4164")</f>
        <v>#NAME?</v>
      </c>
      <c r="E2334" s="3" t="e">
        <f ca="1">[1]!BexGetData("DP_1","003N8EMH8GTFRCSWKMPXRRL3Y","GSON4164")</f>
        <v>#NAME?</v>
      </c>
      <c r="F2334" s="4" t="e">
        <f ca="1">[1]!BexGetData("DP_1","003N8EMH8GTFRCSWKMPXRRRFI","GSON4164")</f>
        <v>#NAME?</v>
      </c>
      <c r="G2334" s="4" t="e">
        <f ca="1">[1]!BexGetData("DP_1","003N8EMH8GTFRCSWKMPXRRXR2","GSON4164")</f>
        <v>#NAME?</v>
      </c>
      <c r="H2334" s="4" t="e">
        <f ca="1">[1]!BexGetData("DP_1","003N8EMH8GTFRCSWKMPXRS42M","GSON4164")</f>
        <v>#NAME?</v>
      </c>
      <c r="I2334" s="4" t="e">
        <f ca="1">[1]!BexGetData("DP_1","003N8EMH8GTFRCSWKMPXRSAE6","GSON4164")</f>
        <v>#NAME?</v>
      </c>
      <c r="J2334" s="4" t="e">
        <f ca="1">[1]!BexGetData("DP_1","003N8EMH8GTFRCSWKMPXRSGPQ","GSON4164")</f>
        <v>#NAME?</v>
      </c>
      <c r="K2334" s="3" t="e">
        <f ca="1">[1]!BexGetData("DP_1","003N8EMH8GTFRIVNUPY288VJH","GSON4164")</f>
        <v>#NAME?</v>
      </c>
      <c r="L2334" s="3" t="e">
        <f ca="1">[1]!BexGetData("DP_1","003N8EMH8GTFRIVNUPY2891V1","GSON4164")</f>
        <v>#NAME?</v>
      </c>
      <c r="M2334" s="3" t="e">
        <f ca="1">[1]!BexGetData("DP_1","003N8EMH8GTFRIVOG7KG9IQXA","GSON4164")</f>
        <v>#NAME?</v>
      </c>
      <c r="N2334" s="8" t="e">
        <f ca="1">[1]!BexGetData("DP_1","003N8EMH8GTFRIVOG7KG9IX8U","GSON4164")</f>
        <v>#NAME?</v>
      </c>
      <c r="O2334" s="3" t="e">
        <f ca="1">[1]!BexGetData("DP_1","003N8EMH8GTFRIVOG7KG9J3KE","GSON4164")</f>
        <v>#NAME?</v>
      </c>
      <c r="P2334" s="8" t="e">
        <f ca="1">[1]!BexGetData("DP_1","003N8EMH8GTFRIVOG7KG9J9VY","GSON4164")</f>
        <v>#NAME?</v>
      </c>
      <c r="Q2334" s="4" t="e">
        <f ca="1">[1]!BexGetData("DP_1","00O2TNJGODT0G5Z4TTKYMM5MT","GSON4164")</f>
        <v>#NAME?</v>
      </c>
      <c r="R2334" s="4" t="e">
        <f ca="1">[1]!BexGetData("DP_1","00O2TNJGODT0G5Z4TTKYMMBYD","GSON4164")</f>
        <v>#NAME?</v>
      </c>
      <c r="S2334" s="4" t="e">
        <f ca="1">[1]!BexGetData("DP_1","00O2TNJGODT0G5Z4TTKYMMI9X","GSON4164")</f>
        <v>#NAME?</v>
      </c>
      <c r="T2334" s="4" t="e">
        <f ca="1">[1]!BexGetData("DP_1","00O2TNJGODT0G5Z4TTKYMMOLH","GSON4164")</f>
        <v>#NAME?</v>
      </c>
      <c r="U2334" s="4" t="e">
        <f ca="1">[1]!BexGetData("DP_1","00O2TNJGODT0G5Z4TTKYMMUX1","GSON4164")</f>
        <v>#NAME?</v>
      </c>
      <c r="V2334" s="4" t="e">
        <f ca="1">[1]!BexGetData("DP_1","00O2TNJGODT0G5Z4TTKYMN18L","GSON4164")</f>
        <v>#NAME?</v>
      </c>
      <c r="W2334" s="4" t="e">
        <f ca="1">[1]!BexGetData("DP_1","00O2TNJGODT0G5Z4TTKYMN7K5","GSON4164")</f>
        <v>#NAME?</v>
      </c>
    </row>
    <row r="2335" spans="1:23" x14ac:dyDescent="0.2">
      <c r="A2335" s="16" t="s">
        <v>4938</v>
      </c>
      <c r="B2335" s="7" t="s">
        <v>4939</v>
      </c>
      <c r="C2335" s="3" t="e">
        <f ca="1">[1]!BexGetData("DP_1","003N8EMH8GTFRCSWKMPXRR8GU","GSON4164610401")</f>
        <v>#NAME?</v>
      </c>
      <c r="D2335" s="3" t="e">
        <f ca="1">[1]!BexGetData("DP_1","003N8EMH8GTFRCSWKMPXRRESE","GSON4164610401")</f>
        <v>#NAME?</v>
      </c>
      <c r="E2335" s="3" t="e">
        <f ca="1">[1]!BexGetData("DP_1","003N8EMH8GTFRCSWKMPXRRL3Y","GSON4164610401")</f>
        <v>#NAME?</v>
      </c>
      <c r="F2335" s="4" t="e">
        <f ca="1">[1]!BexGetData("DP_1","003N8EMH8GTFRCSWKMPXRRRFI","GSON4164610401")</f>
        <v>#NAME?</v>
      </c>
      <c r="G2335" s="4" t="e">
        <f ca="1">[1]!BexGetData("DP_1","003N8EMH8GTFRCSWKMPXRRXR2","GSON4164610401")</f>
        <v>#NAME?</v>
      </c>
      <c r="H2335" s="4" t="e">
        <f ca="1">[1]!BexGetData("DP_1","003N8EMH8GTFRCSWKMPXRS42M","GSON4164610401")</f>
        <v>#NAME?</v>
      </c>
      <c r="I2335" s="4" t="e">
        <f ca="1">[1]!BexGetData("DP_1","003N8EMH8GTFRCSWKMPXRSAE6","GSON4164610401")</f>
        <v>#NAME?</v>
      </c>
      <c r="J2335" s="4" t="e">
        <f ca="1">[1]!BexGetData("DP_1","003N8EMH8GTFRCSWKMPXRSGPQ","GSON4164610401")</f>
        <v>#NAME?</v>
      </c>
      <c r="K2335" s="3" t="e">
        <f ca="1">[1]!BexGetData("DP_1","003N8EMH8GTFRIVNUPY288VJH","GSON4164610401")</f>
        <v>#NAME?</v>
      </c>
      <c r="L2335" s="3" t="e">
        <f ca="1">[1]!BexGetData("DP_1","003N8EMH8GTFRIVNUPY2891V1","GSON4164610401")</f>
        <v>#NAME?</v>
      </c>
      <c r="M2335" s="3" t="e">
        <f ca="1">[1]!BexGetData("DP_1","003N8EMH8GTFRIVOG7KG9IQXA","GSON4164610401")</f>
        <v>#NAME?</v>
      </c>
      <c r="N2335" s="8" t="e">
        <f ca="1">[1]!BexGetData("DP_1","003N8EMH8GTFRIVOG7KG9IX8U","GSON4164610401")</f>
        <v>#NAME?</v>
      </c>
      <c r="O2335" s="3" t="e">
        <f ca="1">[1]!BexGetData("DP_1","003N8EMH8GTFRIVOG7KG9J3KE","GSON4164610401")</f>
        <v>#NAME?</v>
      </c>
      <c r="P2335" s="8" t="e">
        <f ca="1">[1]!BexGetData("DP_1","003N8EMH8GTFRIVOG7KG9J9VY","GSON4164610401")</f>
        <v>#NAME?</v>
      </c>
      <c r="Q2335" s="4" t="e">
        <f ca="1">[1]!BexGetData("DP_1","00O2TNJGODT0G5Z4TTKYMM5MT","GSON4164610401")</f>
        <v>#NAME?</v>
      </c>
      <c r="R2335" s="4" t="e">
        <f ca="1">[1]!BexGetData("DP_1","00O2TNJGODT0G5Z4TTKYMMBYD","GSON4164610401")</f>
        <v>#NAME?</v>
      </c>
      <c r="S2335" s="4" t="e">
        <f ca="1">[1]!BexGetData("DP_1","00O2TNJGODT0G5Z4TTKYMMI9X","GSON4164610401")</f>
        <v>#NAME?</v>
      </c>
      <c r="T2335" s="4" t="e">
        <f ca="1">[1]!BexGetData("DP_1","00O2TNJGODT0G5Z4TTKYMMOLH","GSON4164610401")</f>
        <v>#NAME?</v>
      </c>
      <c r="U2335" s="4" t="e">
        <f ca="1">[1]!BexGetData("DP_1","00O2TNJGODT0G5Z4TTKYMMUX1","GSON4164610401")</f>
        <v>#NAME?</v>
      </c>
      <c r="V2335" s="4" t="e">
        <f ca="1">[1]!BexGetData("DP_1","00O2TNJGODT0G5Z4TTKYMN18L","GSON4164610401")</f>
        <v>#NAME?</v>
      </c>
      <c r="W2335" s="4" t="e">
        <f ca="1">[1]!BexGetData("DP_1","00O2TNJGODT0G5Z4TTKYMN7K5","GSON4164610401")</f>
        <v>#NAME?</v>
      </c>
    </row>
    <row r="2336" spans="1:23" x14ac:dyDescent="0.2">
      <c r="A2336" s="15" t="s">
        <v>566</v>
      </c>
      <c r="B2336" s="7" t="s">
        <v>567</v>
      </c>
      <c r="C2336" s="3" t="e">
        <f ca="1">[1]!BexGetData("DP_1","003N8EMH8GTFRCSWKMPXRR8GU","GSON4168")</f>
        <v>#NAME?</v>
      </c>
      <c r="D2336" s="3" t="e">
        <f ca="1">[1]!BexGetData("DP_1","003N8EMH8GTFRCSWKMPXRRESE","GSON4168")</f>
        <v>#NAME?</v>
      </c>
      <c r="E2336" s="3" t="e">
        <f ca="1">[1]!BexGetData("DP_1","003N8EMH8GTFRCSWKMPXRRL3Y","GSON4168")</f>
        <v>#NAME?</v>
      </c>
      <c r="F2336" s="4" t="e">
        <f ca="1">[1]!BexGetData("DP_1","003N8EMH8GTFRCSWKMPXRRRFI","GSON4168")</f>
        <v>#NAME?</v>
      </c>
      <c r="G2336" s="4" t="e">
        <f ca="1">[1]!BexGetData("DP_1","003N8EMH8GTFRCSWKMPXRRXR2","GSON4168")</f>
        <v>#NAME?</v>
      </c>
      <c r="H2336" s="4" t="e">
        <f ca="1">[1]!BexGetData("DP_1","003N8EMH8GTFRCSWKMPXRS42M","GSON4168")</f>
        <v>#NAME?</v>
      </c>
      <c r="I2336" s="4" t="e">
        <f ca="1">[1]!BexGetData("DP_1","003N8EMH8GTFRCSWKMPXRSAE6","GSON4168")</f>
        <v>#NAME?</v>
      </c>
      <c r="J2336" s="4" t="e">
        <f ca="1">[1]!BexGetData("DP_1","003N8EMH8GTFRCSWKMPXRSGPQ","GSON4168")</f>
        <v>#NAME?</v>
      </c>
      <c r="K2336" s="3" t="e">
        <f ca="1">[1]!BexGetData("DP_1","003N8EMH8GTFRIVNUPY288VJH","GSON4168")</f>
        <v>#NAME?</v>
      </c>
      <c r="L2336" s="3" t="e">
        <f ca="1">[1]!BexGetData("DP_1","003N8EMH8GTFRIVNUPY2891V1","GSON4168")</f>
        <v>#NAME?</v>
      </c>
      <c r="M2336" s="3" t="e">
        <f ca="1">[1]!BexGetData("DP_1","003N8EMH8GTFRIVOG7KG9IQXA","GSON4168")</f>
        <v>#NAME?</v>
      </c>
      <c r="N2336" s="8" t="e">
        <f ca="1">[1]!BexGetData("DP_1","003N8EMH8GTFRIVOG7KG9IX8U","GSON4168")</f>
        <v>#NAME?</v>
      </c>
      <c r="O2336" s="3" t="e">
        <f ca="1">[1]!BexGetData("DP_1","003N8EMH8GTFRIVOG7KG9J3KE","GSON4168")</f>
        <v>#NAME?</v>
      </c>
      <c r="P2336" s="8" t="e">
        <f ca="1">[1]!BexGetData("DP_1","003N8EMH8GTFRIVOG7KG9J9VY","GSON4168")</f>
        <v>#NAME?</v>
      </c>
      <c r="Q2336" s="4" t="e">
        <f ca="1">[1]!BexGetData("DP_1","00O2TNJGODT0G5Z4TTKYMM5MT","GSON4168")</f>
        <v>#NAME?</v>
      </c>
      <c r="R2336" s="4" t="e">
        <f ca="1">[1]!BexGetData("DP_1","00O2TNJGODT0G5Z4TTKYMMBYD","GSON4168")</f>
        <v>#NAME?</v>
      </c>
      <c r="S2336" s="4" t="e">
        <f ca="1">[1]!BexGetData("DP_1","00O2TNJGODT0G5Z4TTKYMMI9X","GSON4168")</f>
        <v>#NAME?</v>
      </c>
      <c r="T2336" s="4" t="e">
        <f ca="1">[1]!BexGetData("DP_1","00O2TNJGODT0G5Z4TTKYMMOLH","GSON4168")</f>
        <v>#NAME?</v>
      </c>
      <c r="U2336" s="4" t="e">
        <f ca="1">[1]!BexGetData("DP_1","00O2TNJGODT0G5Z4TTKYMMUX1","GSON4168")</f>
        <v>#NAME?</v>
      </c>
      <c r="V2336" s="4" t="e">
        <f ca="1">[1]!BexGetData("DP_1","00O2TNJGODT0G5Z4TTKYMN18L","GSON4168")</f>
        <v>#NAME?</v>
      </c>
      <c r="W2336" s="4" t="e">
        <f ca="1">[1]!BexGetData("DP_1","00O2TNJGODT0G5Z4TTKYMN7K5","GSON4168")</f>
        <v>#NAME?</v>
      </c>
    </row>
    <row r="2337" spans="1:23" x14ac:dyDescent="0.2">
      <c r="A2337" s="16" t="s">
        <v>4940</v>
      </c>
      <c r="B2337" s="7" t="s">
        <v>568</v>
      </c>
      <c r="C2337" s="3" t="e">
        <f ca="1">[1]!BexGetData("DP_1","003N8EMH8GTFRCSWKMPXRR8GU","GSON4168610801")</f>
        <v>#NAME?</v>
      </c>
      <c r="D2337" s="3" t="e">
        <f ca="1">[1]!BexGetData("DP_1","003N8EMH8GTFRCSWKMPXRRESE","GSON4168610801")</f>
        <v>#NAME?</v>
      </c>
      <c r="E2337" s="3" t="e">
        <f ca="1">[1]!BexGetData("DP_1","003N8EMH8GTFRCSWKMPXRRL3Y","GSON4168610801")</f>
        <v>#NAME?</v>
      </c>
      <c r="F2337" s="4" t="e">
        <f ca="1">[1]!BexGetData("DP_1","003N8EMH8GTFRCSWKMPXRRRFI","GSON4168610801")</f>
        <v>#NAME?</v>
      </c>
      <c r="G2337" s="4" t="e">
        <f ca="1">[1]!BexGetData("DP_1","003N8EMH8GTFRCSWKMPXRRXR2","GSON4168610801")</f>
        <v>#NAME?</v>
      </c>
      <c r="H2337" s="4" t="e">
        <f ca="1">[1]!BexGetData("DP_1","003N8EMH8GTFRCSWKMPXRS42M","GSON4168610801")</f>
        <v>#NAME?</v>
      </c>
      <c r="I2337" s="4" t="e">
        <f ca="1">[1]!BexGetData("DP_1","003N8EMH8GTFRCSWKMPXRSAE6","GSON4168610801")</f>
        <v>#NAME?</v>
      </c>
      <c r="J2337" s="4" t="e">
        <f ca="1">[1]!BexGetData("DP_1","003N8EMH8GTFRCSWKMPXRSGPQ","GSON4168610801")</f>
        <v>#NAME?</v>
      </c>
      <c r="K2337" s="3" t="e">
        <f ca="1">[1]!BexGetData("DP_1","003N8EMH8GTFRIVNUPY288VJH","GSON4168610801")</f>
        <v>#NAME?</v>
      </c>
      <c r="L2337" s="3" t="e">
        <f ca="1">[1]!BexGetData("DP_1","003N8EMH8GTFRIVNUPY2891V1","GSON4168610801")</f>
        <v>#NAME?</v>
      </c>
      <c r="M2337" s="3" t="e">
        <f ca="1">[1]!BexGetData("DP_1","003N8EMH8GTFRIVOG7KG9IQXA","GSON4168610801")</f>
        <v>#NAME?</v>
      </c>
      <c r="N2337" s="8" t="e">
        <f ca="1">[1]!BexGetData("DP_1","003N8EMH8GTFRIVOG7KG9IX8U","GSON4168610801")</f>
        <v>#NAME?</v>
      </c>
      <c r="O2337" s="3" t="e">
        <f ca="1">[1]!BexGetData("DP_1","003N8EMH8GTFRIVOG7KG9J3KE","GSON4168610801")</f>
        <v>#NAME?</v>
      </c>
      <c r="P2337" s="8" t="e">
        <f ca="1">[1]!BexGetData("DP_1","003N8EMH8GTFRIVOG7KG9J9VY","GSON4168610801")</f>
        <v>#NAME?</v>
      </c>
      <c r="Q2337" s="4" t="e">
        <f ca="1">[1]!BexGetData("DP_1","00O2TNJGODT0G5Z4TTKYMM5MT","GSON4168610801")</f>
        <v>#NAME?</v>
      </c>
      <c r="R2337" s="4" t="e">
        <f ca="1">[1]!BexGetData("DP_1","00O2TNJGODT0G5Z4TTKYMMBYD","GSON4168610801")</f>
        <v>#NAME?</v>
      </c>
      <c r="S2337" s="4" t="e">
        <f ca="1">[1]!BexGetData("DP_1","00O2TNJGODT0G5Z4TTKYMMI9X","GSON4168610801")</f>
        <v>#NAME?</v>
      </c>
      <c r="T2337" s="4" t="e">
        <f ca="1">[1]!BexGetData("DP_1","00O2TNJGODT0G5Z4TTKYMMOLH","GSON4168610801")</f>
        <v>#NAME?</v>
      </c>
      <c r="U2337" s="4" t="e">
        <f ca="1">[1]!BexGetData("DP_1","00O2TNJGODT0G5Z4TTKYMMUX1","GSON4168610801")</f>
        <v>#NAME?</v>
      </c>
      <c r="V2337" s="4" t="e">
        <f ca="1">[1]!BexGetData("DP_1","00O2TNJGODT0G5Z4TTKYMN18L","GSON4168610801")</f>
        <v>#NAME?</v>
      </c>
      <c r="W2337" s="4" t="e">
        <f ca="1">[1]!BexGetData("DP_1","00O2TNJGODT0G5Z4TTKYMN7K5","GSON4168610801")</f>
        <v>#NAME?</v>
      </c>
    </row>
    <row r="2338" spans="1:23" x14ac:dyDescent="0.2">
      <c r="A2338" s="16" t="s">
        <v>4941</v>
      </c>
      <c r="B2338" s="7" t="s">
        <v>1530</v>
      </c>
      <c r="C2338" s="3" t="e">
        <f ca="1">[1]!BexGetData("DP_1","003N8EMH8GTFRCSWKMPXRR8GU","GSON4168610802")</f>
        <v>#NAME?</v>
      </c>
      <c r="D2338" s="3" t="e">
        <f ca="1">[1]!BexGetData("DP_1","003N8EMH8GTFRCSWKMPXRRESE","GSON4168610802")</f>
        <v>#NAME?</v>
      </c>
      <c r="E2338" s="3" t="e">
        <f ca="1">[1]!BexGetData("DP_1","003N8EMH8GTFRCSWKMPXRRL3Y","GSON4168610802")</f>
        <v>#NAME?</v>
      </c>
      <c r="F2338" s="4" t="e">
        <f ca="1">[1]!BexGetData("DP_1","003N8EMH8GTFRCSWKMPXRRRFI","GSON4168610802")</f>
        <v>#NAME?</v>
      </c>
      <c r="G2338" s="4" t="e">
        <f ca="1">[1]!BexGetData("DP_1","003N8EMH8GTFRCSWKMPXRRXR2","GSON4168610802")</f>
        <v>#NAME?</v>
      </c>
      <c r="H2338" s="4" t="e">
        <f ca="1">[1]!BexGetData("DP_1","003N8EMH8GTFRCSWKMPXRS42M","GSON4168610802")</f>
        <v>#NAME?</v>
      </c>
      <c r="I2338" s="4" t="e">
        <f ca="1">[1]!BexGetData("DP_1","003N8EMH8GTFRCSWKMPXRSAE6","GSON4168610802")</f>
        <v>#NAME?</v>
      </c>
      <c r="J2338" s="4" t="e">
        <f ca="1">[1]!BexGetData("DP_1","003N8EMH8GTFRCSWKMPXRSGPQ","GSON4168610802")</f>
        <v>#NAME?</v>
      </c>
      <c r="K2338" s="3" t="e">
        <f ca="1">[1]!BexGetData("DP_1","003N8EMH8GTFRIVNUPY288VJH","GSON4168610802")</f>
        <v>#NAME?</v>
      </c>
      <c r="L2338" s="3" t="e">
        <f ca="1">[1]!BexGetData("DP_1","003N8EMH8GTFRIVNUPY2891V1","GSON4168610802")</f>
        <v>#NAME?</v>
      </c>
      <c r="M2338" s="3" t="e">
        <f ca="1">[1]!BexGetData("DP_1","003N8EMH8GTFRIVOG7KG9IQXA","GSON4168610802")</f>
        <v>#NAME?</v>
      </c>
      <c r="N2338" s="8" t="e">
        <f ca="1">[1]!BexGetData("DP_1","003N8EMH8GTFRIVOG7KG9IX8U","GSON4168610802")</f>
        <v>#NAME?</v>
      </c>
      <c r="O2338" s="3" t="e">
        <f ca="1">[1]!BexGetData("DP_1","003N8EMH8GTFRIVOG7KG9J3KE","GSON4168610802")</f>
        <v>#NAME?</v>
      </c>
      <c r="P2338" s="8" t="e">
        <f ca="1">[1]!BexGetData("DP_1","003N8EMH8GTFRIVOG7KG9J9VY","GSON4168610802")</f>
        <v>#NAME?</v>
      </c>
      <c r="Q2338" s="4" t="e">
        <f ca="1">[1]!BexGetData("DP_1","00O2TNJGODT0G5Z4TTKYMM5MT","GSON4168610802")</f>
        <v>#NAME?</v>
      </c>
      <c r="R2338" s="4" t="e">
        <f ca="1">[1]!BexGetData("DP_1","00O2TNJGODT0G5Z4TTKYMMBYD","GSON4168610802")</f>
        <v>#NAME?</v>
      </c>
      <c r="S2338" s="4" t="e">
        <f ca="1">[1]!BexGetData("DP_1","00O2TNJGODT0G5Z4TTKYMMI9X","GSON4168610802")</f>
        <v>#NAME?</v>
      </c>
      <c r="T2338" s="4" t="e">
        <f ca="1">[1]!BexGetData("DP_1","00O2TNJGODT0G5Z4TTKYMMOLH","GSON4168610802")</f>
        <v>#NAME?</v>
      </c>
      <c r="U2338" s="4" t="e">
        <f ca="1">[1]!BexGetData("DP_1","00O2TNJGODT0G5Z4TTKYMMUX1","GSON4168610802")</f>
        <v>#NAME?</v>
      </c>
      <c r="V2338" s="4" t="e">
        <f ca="1">[1]!BexGetData("DP_1","00O2TNJGODT0G5Z4TTKYMN18L","GSON4168610802")</f>
        <v>#NAME?</v>
      </c>
      <c r="W2338" s="4" t="e">
        <f ca="1">[1]!BexGetData("DP_1","00O2TNJGODT0G5Z4TTKYMN7K5","GSON4168610802")</f>
        <v>#NAME?</v>
      </c>
    </row>
    <row r="2339" spans="1:23" x14ac:dyDescent="0.2">
      <c r="A2339" s="15" t="s">
        <v>1531</v>
      </c>
      <c r="B2339" s="7" t="s">
        <v>1532</v>
      </c>
      <c r="C2339" s="3" t="e">
        <f ca="1">[1]!BexGetData("DP_1","003N8EMH8GTFRCSWKMPXRR8GU","GSON4169")</f>
        <v>#NAME?</v>
      </c>
      <c r="D2339" s="3" t="e">
        <f ca="1">[1]!BexGetData("DP_1","003N8EMH8GTFRCSWKMPXRRESE","GSON4169")</f>
        <v>#NAME?</v>
      </c>
      <c r="E2339" s="3" t="e">
        <f ca="1">[1]!BexGetData("DP_1","003N8EMH8GTFRCSWKMPXRRL3Y","GSON4169")</f>
        <v>#NAME?</v>
      </c>
      <c r="F2339" s="4" t="e">
        <f ca="1">[1]!BexGetData("DP_1","003N8EMH8GTFRCSWKMPXRRRFI","GSON4169")</f>
        <v>#NAME?</v>
      </c>
      <c r="G2339" s="4" t="e">
        <f ca="1">[1]!BexGetData("DP_1","003N8EMH8GTFRCSWKMPXRRXR2","GSON4169")</f>
        <v>#NAME?</v>
      </c>
      <c r="H2339" s="4" t="e">
        <f ca="1">[1]!BexGetData("DP_1","003N8EMH8GTFRCSWKMPXRS42M","GSON4169")</f>
        <v>#NAME?</v>
      </c>
      <c r="I2339" s="4" t="e">
        <f ca="1">[1]!BexGetData("DP_1","003N8EMH8GTFRCSWKMPXRSAE6","GSON4169")</f>
        <v>#NAME?</v>
      </c>
      <c r="J2339" s="4" t="e">
        <f ca="1">[1]!BexGetData("DP_1","003N8EMH8GTFRCSWKMPXRSGPQ","GSON4169")</f>
        <v>#NAME?</v>
      </c>
      <c r="K2339" s="3" t="e">
        <f ca="1">[1]!BexGetData("DP_1","003N8EMH8GTFRIVNUPY288VJH","GSON4169")</f>
        <v>#NAME?</v>
      </c>
      <c r="L2339" s="3" t="e">
        <f ca="1">[1]!BexGetData("DP_1","003N8EMH8GTFRIVNUPY2891V1","GSON4169")</f>
        <v>#NAME?</v>
      </c>
      <c r="M2339" s="3" t="e">
        <f ca="1">[1]!BexGetData("DP_1","003N8EMH8GTFRIVOG7KG9IQXA","GSON4169")</f>
        <v>#NAME?</v>
      </c>
      <c r="N2339" s="8" t="e">
        <f ca="1">[1]!BexGetData("DP_1","003N8EMH8GTFRIVOG7KG9IX8U","GSON4169")</f>
        <v>#NAME?</v>
      </c>
      <c r="O2339" s="3" t="e">
        <f ca="1">[1]!BexGetData("DP_1","003N8EMH8GTFRIVOG7KG9J3KE","GSON4169")</f>
        <v>#NAME?</v>
      </c>
      <c r="P2339" s="8" t="e">
        <f ca="1">[1]!BexGetData("DP_1","003N8EMH8GTFRIVOG7KG9J9VY","GSON4169")</f>
        <v>#NAME?</v>
      </c>
      <c r="Q2339" s="4" t="e">
        <f ca="1">[1]!BexGetData("DP_1","00O2TNJGODT0G5Z4TTKYMM5MT","GSON4169")</f>
        <v>#NAME?</v>
      </c>
      <c r="R2339" s="4" t="e">
        <f ca="1">[1]!BexGetData("DP_1","00O2TNJGODT0G5Z4TTKYMMBYD","GSON4169")</f>
        <v>#NAME?</v>
      </c>
      <c r="S2339" s="4" t="e">
        <f ca="1">[1]!BexGetData("DP_1","00O2TNJGODT0G5Z4TTKYMMI9X","GSON4169")</f>
        <v>#NAME?</v>
      </c>
      <c r="T2339" s="4" t="e">
        <f ca="1">[1]!BexGetData("DP_1","00O2TNJGODT0G5Z4TTKYMMOLH","GSON4169")</f>
        <v>#NAME?</v>
      </c>
      <c r="U2339" s="4" t="e">
        <f ca="1">[1]!BexGetData("DP_1","00O2TNJGODT0G5Z4TTKYMMUX1","GSON4169")</f>
        <v>#NAME?</v>
      </c>
      <c r="V2339" s="4" t="e">
        <f ca="1">[1]!BexGetData("DP_1","00O2TNJGODT0G5Z4TTKYMN18L","GSON4169")</f>
        <v>#NAME?</v>
      </c>
      <c r="W2339" s="4" t="e">
        <f ca="1">[1]!BexGetData("DP_1","00O2TNJGODT0G5Z4TTKYMN7K5","GSON4169")</f>
        <v>#NAME?</v>
      </c>
    </row>
    <row r="2340" spans="1:23" x14ac:dyDescent="0.2">
      <c r="A2340" s="16" t="s">
        <v>4942</v>
      </c>
      <c r="B2340" s="7" t="s">
        <v>1533</v>
      </c>
      <c r="C2340" s="3" t="e">
        <f ca="1">[1]!BexGetData("DP_1","003N8EMH8GTFRCSWKMPXRR8GU","GSON4169610901")</f>
        <v>#NAME?</v>
      </c>
      <c r="D2340" s="3" t="e">
        <f ca="1">[1]!BexGetData("DP_1","003N8EMH8GTFRCSWKMPXRRESE","GSON4169610901")</f>
        <v>#NAME?</v>
      </c>
      <c r="E2340" s="3" t="e">
        <f ca="1">[1]!BexGetData("DP_1","003N8EMH8GTFRCSWKMPXRRL3Y","GSON4169610901")</f>
        <v>#NAME?</v>
      </c>
      <c r="F2340" s="4" t="e">
        <f ca="1">[1]!BexGetData("DP_1","003N8EMH8GTFRCSWKMPXRRRFI","GSON4169610901")</f>
        <v>#NAME?</v>
      </c>
      <c r="G2340" s="4" t="e">
        <f ca="1">[1]!BexGetData("DP_1","003N8EMH8GTFRCSWKMPXRRXR2","GSON4169610901")</f>
        <v>#NAME?</v>
      </c>
      <c r="H2340" s="4" t="e">
        <f ca="1">[1]!BexGetData("DP_1","003N8EMH8GTFRCSWKMPXRS42M","GSON4169610901")</f>
        <v>#NAME?</v>
      </c>
      <c r="I2340" s="4" t="e">
        <f ca="1">[1]!BexGetData("DP_1","003N8EMH8GTFRCSWKMPXRSAE6","GSON4169610901")</f>
        <v>#NAME?</v>
      </c>
      <c r="J2340" s="4" t="e">
        <f ca="1">[1]!BexGetData("DP_1","003N8EMH8GTFRCSWKMPXRSGPQ","GSON4169610901")</f>
        <v>#NAME?</v>
      </c>
      <c r="K2340" s="3" t="e">
        <f ca="1">[1]!BexGetData("DP_1","003N8EMH8GTFRIVNUPY288VJH","GSON4169610901")</f>
        <v>#NAME?</v>
      </c>
      <c r="L2340" s="3" t="e">
        <f ca="1">[1]!BexGetData("DP_1","003N8EMH8GTFRIVNUPY2891V1","GSON4169610901")</f>
        <v>#NAME?</v>
      </c>
      <c r="M2340" s="3" t="e">
        <f ca="1">[1]!BexGetData("DP_1","003N8EMH8GTFRIVOG7KG9IQXA","GSON4169610901")</f>
        <v>#NAME?</v>
      </c>
      <c r="N2340" s="8" t="e">
        <f ca="1">[1]!BexGetData("DP_1","003N8EMH8GTFRIVOG7KG9IX8U","GSON4169610901")</f>
        <v>#NAME?</v>
      </c>
      <c r="O2340" s="3" t="e">
        <f ca="1">[1]!BexGetData("DP_1","003N8EMH8GTFRIVOG7KG9J3KE","GSON4169610901")</f>
        <v>#NAME?</v>
      </c>
      <c r="P2340" s="8" t="e">
        <f ca="1">[1]!BexGetData("DP_1","003N8EMH8GTFRIVOG7KG9J9VY","GSON4169610901")</f>
        <v>#NAME?</v>
      </c>
      <c r="Q2340" s="4" t="e">
        <f ca="1">[1]!BexGetData("DP_1","00O2TNJGODT0G5Z4TTKYMM5MT","GSON4169610901")</f>
        <v>#NAME?</v>
      </c>
      <c r="R2340" s="4" t="e">
        <f ca="1">[1]!BexGetData("DP_1","00O2TNJGODT0G5Z4TTKYMMBYD","GSON4169610901")</f>
        <v>#NAME?</v>
      </c>
      <c r="S2340" s="4" t="e">
        <f ca="1">[1]!BexGetData("DP_1","00O2TNJGODT0G5Z4TTKYMMI9X","GSON4169610901")</f>
        <v>#NAME?</v>
      </c>
      <c r="T2340" s="4" t="e">
        <f ca="1">[1]!BexGetData("DP_1","00O2TNJGODT0G5Z4TTKYMMOLH","GSON4169610901")</f>
        <v>#NAME?</v>
      </c>
      <c r="U2340" s="4" t="e">
        <f ca="1">[1]!BexGetData("DP_1","00O2TNJGODT0G5Z4TTKYMMUX1","GSON4169610901")</f>
        <v>#NAME?</v>
      </c>
      <c r="V2340" s="4" t="e">
        <f ca="1">[1]!BexGetData("DP_1","00O2TNJGODT0G5Z4TTKYMN18L","GSON4169610901")</f>
        <v>#NAME?</v>
      </c>
      <c r="W2340" s="4" t="e">
        <f ca="1">[1]!BexGetData("DP_1","00O2TNJGODT0G5Z4TTKYMN7K5","GSON4169610901")</f>
        <v>#NAME?</v>
      </c>
    </row>
    <row r="2341" spans="1:23" x14ac:dyDescent="0.2">
      <c r="A2341" s="14" t="s">
        <v>4943</v>
      </c>
      <c r="B2341" s="7" t="s">
        <v>4944</v>
      </c>
      <c r="C2341" s="8" t="e">
        <f ca="1">[1]!BexGetData("DP_1","003N8EMH8GTFRCSWKMPXRR8GU","GSON417")</f>
        <v>#NAME?</v>
      </c>
      <c r="D2341" s="3" t="e">
        <f ca="1">[1]!BexGetData("DP_1","003N8EMH8GTFRCSWKMPXRRESE","GSON417")</f>
        <v>#NAME?</v>
      </c>
      <c r="E2341" s="3" t="e">
        <f ca="1">[1]!BexGetData("DP_1","003N8EMH8GTFRCSWKMPXRRL3Y","GSON417")</f>
        <v>#NAME?</v>
      </c>
      <c r="F2341" s="4" t="e">
        <f ca="1">[1]!BexGetData("DP_1","003N8EMH8GTFRCSWKMPXRRRFI","GSON417")</f>
        <v>#NAME?</v>
      </c>
      <c r="G2341" s="4" t="e">
        <f ca="1">[1]!BexGetData("DP_1","003N8EMH8GTFRCSWKMPXRRXR2","GSON417")</f>
        <v>#NAME?</v>
      </c>
      <c r="H2341" s="4" t="e">
        <f ca="1">[1]!BexGetData("DP_1","003N8EMH8GTFRCSWKMPXRS42M","GSON417")</f>
        <v>#NAME?</v>
      </c>
      <c r="I2341" s="4" t="e">
        <f ca="1">[1]!BexGetData("DP_1","003N8EMH8GTFRCSWKMPXRSAE6","GSON417")</f>
        <v>#NAME?</v>
      </c>
      <c r="J2341" s="4" t="e">
        <f ca="1">[1]!BexGetData("DP_1","003N8EMH8GTFRCSWKMPXRSGPQ","GSON417")</f>
        <v>#NAME?</v>
      </c>
      <c r="K2341" s="3" t="e">
        <f ca="1">[1]!BexGetData("DP_1","003N8EMH8GTFRIVNUPY288VJH","GSON417")</f>
        <v>#NAME?</v>
      </c>
      <c r="L2341" s="3" t="e">
        <f ca="1">[1]!BexGetData("DP_1","003N8EMH8GTFRIVNUPY2891V1","GSON417")</f>
        <v>#NAME?</v>
      </c>
      <c r="M2341" s="3" t="e">
        <f ca="1">[1]!BexGetData("DP_1","003N8EMH8GTFRIVOG7KG9IQXA","GSON417")</f>
        <v>#NAME?</v>
      </c>
      <c r="N2341" s="8" t="e">
        <f ca="1">[1]!BexGetData("DP_1","003N8EMH8GTFRIVOG7KG9IX8U","GSON417")</f>
        <v>#NAME?</v>
      </c>
      <c r="O2341" s="3" t="e">
        <f ca="1">[1]!BexGetData("DP_1","003N8EMH8GTFRIVOG7KG9J3KE","GSON417")</f>
        <v>#NAME?</v>
      </c>
      <c r="P2341" s="8" t="e">
        <f ca="1">[1]!BexGetData("DP_1","003N8EMH8GTFRIVOG7KG9J9VY","GSON417")</f>
        <v>#NAME?</v>
      </c>
      <c r="Q2341" s="4" t="e">
        <f ca="1">[1]!BexGetData("DP_1","00O2TNJGODT0G5Z4TTKYMM5MT","GSON417")</f>
        <v>#NAME?</v>
      </c>
      <c r="R2341" s="4" t="e">
        <f ca="1">[1]!BexGetData("DP_1","00O2TNJGODT0G5Z4TTKYMMBYD","GSON417")</f>
        <v>#NAME?</v>
      </c>
      <c r="S2341" s="4" t="e">
        <f ca="1">[1]!BexGetData("DP_1","00O2TNJGODT0G5Z4TTKYMMI9X","GSON417")</f>
        <v>#NAME?</v>
      </c>
      <c r="T2341" s="4" t="e">
        <f ca="1">[1]!BexGetData("DP_1","00O2TNJGODT0G5Z4TTKYMMOLH","GSON417")</f>
        <v>#NAME?</v>
      </c>
      <c r="U2341" s="4" t="e">
        <f ca="1">[1]!BexGetData("DP_1","00O2TNJGODT0G5Z4TTKYMMUX1","GSON417")</f>
        <v>#NAME?</v>
      </c>
      <c r="V2341" s="4" t="e">
        <f ca="1">[1]!BexGetData("DP_1","00O2TNJGODT0G5Z4TTKYMN18L","GSON417")</f>
        <v>#NAME?</v>
      </c>
      <c r="W2341" s="4" t="e">
        <f ca="1">[1]!BexGetData("DP_1","00O2TNJGODT0G5Z4TTKYMN7K5","GSON417")</f>
        <v>#NAME?</v>
      </c>
    </row>
    <row r="2342" spans="1:23" x14ac:dyDescent="0.2">
      <c r="A2342" s="15" t="s">
        <v>4945</v>
      </c>
      <c r="B2342" s="7" t="s">
        <v>4946</v>
      </c>
      <c r="C2342" s="8" t="e">
        <f ca="1">[1]!BexGetData("DP_1","003N8EMH8GTFRCSWKMPXRR8GU","GSON4172")</f>
        <v>#NAME?</v>
      </c>
      <c r="D2342" s="3" t="e">
        <f ca="1">[1]!BexGetData("DP_1","003N8EMH8GTFRCSWKMPXRRESE","GSON4172")</f>
        <v>#NAME?</v>
      </c>
      <c r="E2342" s="3" t="e">
        <f ca="1">[1]!BexGetData("DP_1","003N8EMH8GTFRCSWKMPXRRL3Y","GSON4172")</f>
        <v>#NAME?</v>
      </c>
      <c r="F2342" s="4" t="e">
        <f ca="1">[1]!BexGetData("DP_1","003N8EMH8GTFRCSWKMPXRRRFI","GSON4172")</f>
        <v>#NAME?</v>
      </c>
      <c r="G2342" s="4" t="e">
        <f ca="1">[1]!BexGetData("DP_1","003N8EMH8GTFRCSWKMPXRRXR2","GSON4172")</f>
        <v>#NAME?</v>
      </c>
      <c r="H2342" s="4" t="e">
        <f ca="1">[1]!BexGetData("DP_1","003N8EMH8GTFRCSWKMPXRS42M","GSON4172")</f>
        <v>#NAME?</v>
      </c>
      <c r="I2342" s="4" t="e">
        <f ca="1">[1]!BexGetData("DP_1","003N8EMH8GTFRCSWKMPXRSAE6","GSON4172")</f>
        <v>#NAME?</v>
      </c>
      <c r="J2342" s="4" t="e">
        <f ca="1">[1]!BexGetData("DP_1","003N8EMH8GTFRCSWKMPXRSGPQ","GSON4172")</f>
        <v>#NAME?</v>
      </c>
      <c r="K2342" s="3" t="e">
        <f ca="1">[1]!BexGetData("DP_1","003N8EMH8GTFRIVNUPY288VJH","GSON4172")</f>
        <v>#NAME?</v>
      </c>
      <c r="L2342" s="3" t="e">
        <f ca="1">[1]!BexGetData("DP_1","003N8EMH8GTFRIVNUPY2891V1","GSON4172")</f>
        <v>#NAME?</v>
      </c>
      <c r="M2342" s="3" t="e">
        <f ca="1">[1]!BexGetData("DP_1","003N8EMH8GTFRIVOG7KG9IQXA","GSON4172")</f>
        <v>#NAME?</v>
      </c>
      <c r="N2342" s="8" t="e">
        <f ca="1">[1]!BexGetData("DP_1","003N8EMH8GTFRIVOG7KG9IX8U","GSON4172")</f>
        <v>#NAME?</v>
      </c>
      <c r="O2342" s="3" t="e">
        <f ca="1">[1]!BexGetData("DP_1","003N8EMH8GTFRIVOG7KG9J3KE","GSON4172")</f>
        <v>#NAME?</v>
      </c>
      <c r="P2342" s="8" t="e">
        <f ca="1">[1]!BexGetData("DP_1","003N8EMH8GTFRIVOG7KG9J9VY","GSON4172")</f>
        <v>#NAME?</v>
      </c>
      <c r="Q2342" s="4" t="e">
        <f ca="1">[1]!BexGetData("DP_1","00O2TNJGODT0G5Z4TTKYMM5MT","GSON4172")</f>
        <v>#NAME?</v>
      </c>
      <c r="R2342" s="4" t="e">
        <f ca="1">[1]!BexGetData("DP_1","00O2TNJGODT0G5Z4TTKYMMBYD","GSON4172")</f>
        <v>#NAME?</v>
      </c>
      <c r="S2342" s="4" t="e">
        <f ca="1">[1]!BexGetData("DP_1","00O2TNJGODT0G5Z4TTKYMMI9X","GSON4172")</f>
        <v>#NAME?</v>
      </c>
      <c r="T2342" s="4" t="e">
        <f ca="1">[1]!BexGetData("DP_1","00O2TNJGODT0G5Z4TTKYMMOLH","GSON4172")</f>
        <v>#NAME?</v>
      </c>
      <c r="U2342" s="4" t="e">
        <f ca="1">[1]!BexGetData("DP_1","00O2TNJGODT0G5Z4TTKYMMUX1","GSON4172")</f>
        <v>#NAME?</v>
      </c>
      <c r="V2342" s="4" t="e">
        <f ca="1">[1]!BexGetData("DP_1","00O2TNJGODT0G5Z4TTKYMN18L","GSON4172")</f>
        <v>#NAME?</v>
      </c>
      <c r="W2342" s="4" t="e">
        <f ca="1">[1]!BexGetData("DP_1","00O2TNJGODT0G5Z4TTKYMN7K5","GSON4172")</f>
        <v>#NAME?</v>
      </c>
    </row>
    <row r="2343" spans="1:23" x14ac:dyDescent="0.2">
      <c r="A2343" s="16" t="s">
        <v>4947</v>
      </c>
      <c r="B2343" s="7" t="s">
        <v>4948</v>
      </c>
      <c r="C2343" s="8" t="e">
        <f ca="1">[1]!BexGetData("DP_1","003N8EMH8GTFRCSWKMPXRR8GU","GSON4172730101")</f>
        <v>#NAME?</v>
      </c>
      <c r="D2343" s="3" t="e">
        <f ca="1">[1]!BexGetData("DP_1","003N8EMH8GTFRCSWKMPXRRESE","GSON4172730101")</f>
        <v>#NAME?</v>
      </c>
      <c r="E2343" s="3" t="e">
        <f ca="1">[1]!BexGetData("DP_1","003N8EMH8GTFRCSWKMPXRRL3Y","GSON4172730101")</f>
        <v>#NAME?</v>
      </c>
      <c r="F2343" s="4" t="e">
        <f ca="1">[1]!BexGetData("DP_1","003N8EMH8GTFRCSWKMPXRRRFI","GSON4172730101")</f>
        <v>#NAME?</v>
      </c>
      <c r="G2343" s="4" t="e">
        <f ca="1">[1]!BexGetData("DP_1","003N8EMH8GTFRCSWKMPXRRXR2","GSON4172730101")</f>
        <v>#NAME?</v>
      </c>
      <c r="H2343" s="4" t="e">
        <f ca="1">[1]!BexGetData("DP_1","003N8EMH8GTFRCSWKMPXRS42M","GSON4172730101")</f>
        <v>#NAME?</v>
      </c>
      <c r="I2343" s="4" t="e">
        <f ca="1">[1]!BexGetData("DP_1","003N8EMH8GTFRCSWKMPXRSAE6","GSON4172730101")</f>
        <v>#NAME?</v>
      </c>
      <c r="J2343" s="4" t="e">
        <f ca="1">[1]!BexGetData("DP_1","003N8EMH8GTFRCSWKMPXRSGPQ","GSON4172730101")</f>
        <v>#NAME?</v>
      </c>
      <c r="K2343" s="3" t="e">
        <f ca="1">[1]!BexGetData("DP_1","003N8EMH8GTFRIVNUPY288VJH","GSON4172730101")</f>
        <v>#NAME?</v>
      </c>
      <c r="L2343" s="3" t="e">
        <f ca="1">[1]!BexGetData("DP_1","003N8EMH8GTFRIVNUPY2891V1","GSON4172730101")</f>
        <v>#NAME?</v>
      </c>
      <c r="M2343" s="3" t="e">
        <f ca="1">[1]!BexGetData("DP_1","003N8EMH8GTFRIVOG7KG9IQXA","GSON4172730101")</f>
        <v>#NAME?</v>
      </c>
      <c r="N2343" s="8" t="e">
        <f ca="1">[1]!BexGetData("DP_1","003N8EMH8GTFRIVOG7KG9IX8U","GSON4172730101")</f>
        <v>#NAME?</v>
      </c>
      <c r="O2343" s="3" t="e">
        <f ca="1">[1]!BexGetData("DP_1","003N8EMH8GTFRIVOG7KG9J3KE","GSON4172730101")</f>
        <v>#NAME?</v>
      </c>
      <c r="P2343" s="8" t="e">
        <f ca="1">[1]!BexGetData("DP_1","003N8EMH8GTFRIVOG7KG9J9VY","GSON4172730101")</f>
        <v>#NAME?</v>
      </c>
      <c r="Q2343" s="4" t="e">
        <f ca="1">[1]!BexGetData("DP_1","00O2TNJGODT0G5Z4TTKYMM5MT","GSON4172730101")</f>
        <v>#NAME?</v>
      </c>
      <c r="R2343" s="4" t="e">
        <f ca="1">[1]!BexGetData("DP_1","00O2TNJGODT0G5Z4TTKYMMBYD","GSON4172730101")</f>
        <v>#NAME?</v>
      </c>
      <c r="S2343" s="4" t="e">
        <f ca="1">[1]!BexGetData("DP_1","00O2TNJGODT0G5Z4TTKYMMI9X","GSON4172730101")</f>
        <v>#NAME?</v>
      </c>
      <c r="T2343" s="4" t="e">
        <f ca="1">[1]!BexGetData("DP_1","00O2TNJGODT0G5Z4TTKYMMOLH","GSON4172730101")</f>
        <v>#NAME?</v>
      </c>
      <c r="U2343" s="4" t="e">
        <f ca="1">[1]!BexGetData("DP_1","00O2TNJGODT0G5Z4TTKYMMUX1","GSON4172730101")</f>
        <v>#NAME?</v>
      </c>
      <c r="V2343" s="4" t="e">
        <f ca="1">[1]!BexGetData("DP_1","00O2TNJGODT0G5Z4TTKYMN18L","GSON4172730101")</f>
        <v>#NAME?</v>
      </c>
      <c r="W2343" s="4" t="e">
        <f ca="1">[1]!BexGetData("DP_1","00O2TNJGODT0G5Z4TTKYMN7K5","GSON4172730101")</f>
        <v>#NAME?</v>
      </c>
    </row>
    <row r="2344" spans="1:23" x14ac:dyDescent="0.2">
      <c r="A2344" s="14" t="s">
        <v>569</v>
      </c>
      <c r="B2344" s="7" t="s">
        <v>570</v>
      </c>
      <c r="C2344" s="3" t="e">
        <f ca="1">[1]!BexGetData("DP_1","003N8EMH8GTFRCSWKMPXRR8GU","GSON419")</f>
        <v>#NAME?</v>
      </c>
      <c r="D2344" s="3" t="e">
        <f ca="1">[1]!BexGetData("DP_1","003N8EMH8GTFRCSWKMPXRRESE","GSON419")</f>
        <v>#NAME?</v>
      </c>
      <c r="E2344" s="3" t="e">
        <f ca="1">[1]!BexGetData("DP_1","003N8EMH8GTFRCSWKMPXRRL3Y","GSON419")</f>
        <v>#NAME?</v>
      </c>
      <c r="F2344" s="4" t="e">
        <f ca="1">[1]!BexGetData("DP_1","003N8EMH8GTFRCSWKMPXRRRFI","GSON419")</f>
        <v>#NAME?</v>
      </c>
      <c r="G2344" s="4" t="e">
        <f ca="1">[1]!BexGetData("DP_1","003N8EMH8GTFRCSWKMPXRRXR2","GSON419")</f>
        <v>#NAME?</v>
      </c>
      <c r="H2344" s="4" t="e">
        <f ca="1">[1]!BexGetData("DP_1","003N8EMH8GTFRCSWKMPXRS42M","GSON419")</f>
        <v>#NAME?</v>
      </c>
      <c r="I2344" s="4" t="e">
        <f ca="1">[1]!BexGetData("DP_1","003N8EMH8GTFRCSWKMPXRSAE6","GSON419")</f>
        <v>#NAME?</v>
      </c>
      <c r="J2344" s="4" t="e">
        <f ca="1">[1]!BexGetData("DP_1","003N8EMH8GTFRCSWKMPXRSGPQ","GSON419")</f>
        <v>#NAME?</v>
      </c>
      <c r="K2344" s="3" t="e">
        <f ca="1">[1]!BexGetData("DP_1","003N8EMH8GTFRIVNUPY288VJH","GSON419")</f>
        <v>#NAME?</v>
      </c>
      <c r="L2344" s="3" t="e">
        <f ca="1">[1]!BexGetData("DP_1","003N8EMH8GTFRIVNUPY2891V1","GSON419")</f>
        <v>#NAME?</v>
      </c>
      <c r="M2344" s="3" t="e">
        <f ca="1">[1]!BexGetData("DP_1","003N8EMH8GTFRIVOG7KG9IQXA","GSON419")</f>
        <v>#NAME?</v>
      </c>
      <c r="N2344" s="8" t="e">
        <f ca="1">[1]!BexGetData("DP_1","003N8EMH8GTFRIVOG7KG9IX8U","GSON419")</f>
        <v>#NAME?</v>
      </c>
      <c r="O2344" s="3" t="e">
        <f ca="1">[1]!BexGetData("DP_1","003N8EMH8GTFRIVOG7KG9J3KE","GSON419")</f>
        <v>#NAME?</v>
      </c>
      <c r="P2344" s="8" t="e">
        <f ca="1">[1]!BexGetData("DP_1","003N8EMH8GTFRIVOG7KG9J9VY","GSON419")</f>
        <v>#NAME?</v>
      </c>
      <c r="Q2344" s="4" t="e">
        <f ca="1">[1]!BexGetData("DP_1","00O2TNJGODT0G5Z4TTKYMM5MT","GSON419")</f>
        <v>#NAME?</v>
      </c>
      <c r="R2344" s="4" t="e">
        <f ca="1">[1]!BexGetData("DP_1","00O2TNJGODT0G5Z4TTKYMMBYD","GSON419")</f>
        <v>#NAME?</v>
      </c>
      <c r="S2344" s="4" t="e">
        <f ca="1">[1]!BexGetData("DP_1","00O2TNJGODT0G5Z4TTKYMMI9X","GSON419")</f>
        <v>#NAME?</v>
      </c>
      <c r="T2344" s="4" t="e">
        <f ca="1">[1]!BexGetData("DP_1","00O2TNJGODT0G5Z4TTKYMMOLH","GSON419")</f>
        <v>#NAME?</v>
      </c>
      <c r="U2344" s="4" t="e">
        <f ca="1">[1]!BexGetData("DP_1","00O2TNJGODT0G5Z4TTKYMMUX1","GSON419")</f>
        <v>#NAME?</v>
      </c>
      <c r="V2344" s="4" t="e">
        <f ca="1">[1]!BexGetData("DP_1","00O2TNJGODT0G5Z4TTKYMN18L","GSON419")</f>
        <v>#NAME?</v>
      </c>
      <c r="W2344" s="4" t="e">
        <f ca="1">[1]!BexGetData("DP_1","00O2TNJGODT0G5Z4TTKYMN7K5","GSON419")</f>
        <v>#NAME?</v>
      </c>
    </row>
    <row r="2345" spans="1:23" x14ac:dyDescent="0.2">
      <c r="A2345" s="15" t="s">
        <v>571</v>
      </c>
      <c r="B2345" s="7" t="s">
        <v>572</v>
      </c>
      <c r="C2345" s="3" t="e">
        <f ca="1">[1]!BexGetData("DP_1","003N8EMH8GTFRCSWKMPXRR8GU","GSON4191")</f>
        <v>#NAME?</v>
      </c>
      <c r="D2345" s="3" t="e">
        <f ca="1">[1]!BexGetData("DP_1","003N8EMH8GTFRCSWKMPXRRESE","GSON4191")</f>
        <v>#NAME?</v>
      </c>
      <c r="E2345" s="3" t="e">
        <f ca="1">[1]!BexGetData("DP_1","003N8EMH8GTFRCSWKMPXRRL3Y","GSON4191")</f>
        <v>#NAME?</v>
      </c>
      <c r="F2345" s="4" t="e">
        <f ca="1">[1]!BexGetData("DP_1","003N8EMH8GTFRCSWKMPXRRRFI","GSON4191")</f>
        <v>#NAME?</v>
      </c>
      <c r="G2345" s="4" t="e">
        <f ca="1">[1]!BexGetData("DP_1","003N8EMH8GTFRCSWKMPXRRXR2","GSON4191")</f>
        <v>#NAME?</v>
      </c>
      <c r="H2345" s="4" t="e">
        <f ca="1">[1]!BexGetData("DP_1","003N8EMH8GTFRCSWKMPXRS42M","GSON4191")</f>
        <v>#NAME?</v>
      </c>
      <c r="I2345" s="4" t="e">
        <f ca="1">[1]!BexGetData("DP_1","003N8EMH8GTFRCSWKMPXRSAE6","GSON4191")</f>
        <v>#NAME?</v>
      </c>
      <c r="J2345" s="4" t="e">
        <f ca="1">[1]!BexGetData("DP_1","003N8EMH8GTFRCSWKMPXRSGPQ","GSON4191")</f>
        <v>#NAME?</v>
      </c>
      <c r="K2345" s="3" t="e">
        <f ca="1">[1]!BexGetData("DP_1","003N8EMH8GTFRIVNUPY288VJH","GSON4191")</f>
        <v>#NAME?</v>
      </c>
      <c r="L2345" s="3" t="e">
        <f ca="1">[1]!BexGetData("DP_1","003N8EMH8GTFRIVNUPY2891V1","GSON4191")</f>
        <v>#NAME?</v>
      </c>
      <c r="M2345" s="3" t="e">
        <f ca="1">[1]!BexGetData("DP_1","003N8EMH8GTFRIVOG7KG9IQXA","GSON4191")</f>
        <v>#NAME?</v>
      </c>
      <c r="N2345" s="8" t="e">
        <f ca="1">[1]!BexGetData("DP_1","003N8EMH8GTFRIVOG7KG9IX8U","GSON4191")</f>
        <v>#NAME?</v>
      </c>
      <c r="O2345" s="3" t="e">
        <f ca="1">[1]!BexGetData("DP_1","003N8EMH8GTFRIVOG7KG9J3KE","GSON4191")</f>
        <v>#NAME?</v>
      </c>
      <c r="P2345" s="8" t="e">
        <f ca="1">[1]!BexGetData("DP_1","003N8EMH8GTFRIVOG7KG9J9VY","GSON4191")</f>
        <v>#NAME?</v>
      </c>
      <c r="Q2345" s="4" t="e">
        <f ca="1">[1]!BexGetData("DP_1","00O2TNJGODT0G5Z4TTKYMM5MT","GSON4191")</f>
        <v>#NAME?</v>
      </c>
      <c r="R2345" s="4" t="e">
        <f ca="1">[1]!BexGetData("DP_1","00O2TNJGODT0G5Z4TTKYMMBYD","GSON4191")</f>
        <v>#NAME?</v>
      </c>
      <c r="S2345" s="4" t="e">
        <f ca="1">[1]!BexGetData("DP_1","00O2TNJGODT0G5Z4TTKYMMI9X","GSON4191")</f>
        <v>#NAME?</v>
      </c>
      <c r="T2345" s="4" t="e">
        <f ca="1">[1]!BexGetData("DP_1","00O2TNJGODT0G5Z4TTKYMMOLH","GSON4191")</f>
        <v>#NAME?</v>
      </c>
      <c r="U2345" s="4" t="e">
        <f ca="1">[1]!BexGetData("DP_1","00O2TNJGODT0G5Z4TTKYMMUX1","GSON4191")</f>
        <v>#NAME?</v>
      </c>
      <c r="V2345" s="4" t="e">
        <f ca="1">[1]!BexGetData("DP_1","00O2TNJGODT0G5Z4TTKYMN18L","GSON4191")</f>
        <v>#NAME?</v>
      </c>
      <c r="W2345" s="4" t="e">
        <f ca="1">[1]!BexGetData("DP_1","00O2TNJGODT0G5Z4TTKYMN7K5","GSON4191")</f>
        <v>#NAME?</v>
      </c>
    </row>
    <row r="2346" spans="1:23" x14ac:dyDescent="0.2">
      <c r="A2346" s="16" t="s">
        <v>4949</v>
      </c>
      <c r="B2346" s="7" t="s">
        <v>573</v>
      </c>
      <c r="C2346" s="3" t="e">
        <f ca="1">[1]!BexGetData("DP_1","003N8EMH8GTFRCSWKMPXRR8GU","GSON4191190101")</f>
        <v>#NAME?</v>
      </c>
      <c r="D2346" s="3" t="e">
        <f ca="1">[1]!BexGetData("DP_1","003N8EMH8GTFRCSWKMPXRRESE","GSON4191190101")</f>
        <v>#NAME?</v>
      </c>
      <c r="E2346" s="3" t="e">
        <f ca="1">[1]!BexGetData("DP_1","003N8EMH8GTFRCSWKMPXRRL3Y","GSON4191190101")</f>
        <v>#NAME?</v>
      </c>
      <c r="F2346" s="4" t="e">
        <f ca="1">[1]!BexGetData("DP_1","003N8EMH8GTFRCSWKMPXRRRFI","GSON4191190101")</f>
        <v>#NAME?</v>
      </c>
      <c r="G2346" s="4" t="e">
        <f ca="1">[1]!BexGetData("DP_1","003N8EMH8GTFRCSWKMPXRRXR2","GSON4191190101")</f>
        <v>#NAME?</v>
      </c>
      <c r="H2346" s="4" t="e">
        <f ca="1">[1]!BexGetData("DP_1","003N8EMH8GTFRCSWKMPXRS42M","GSON4191190101")</f>
        <v>#NAME?</v>
      </c>
      <c r="I2346" s="4" t="e">
        <f ca="1">[1]!BexGetData("DP_1","003N8EMH8GTFRCSWKMPXRSAE6","GSON4191190101")</f>
        <v>#NAME?</v>
      </c>
      <c r="J2346" s="4" t="e">
        <f ca="1">[1]!BexGetData("DP_1","003N8EMH8GTFRCSWKMPXRSGPQ","GSON4191190101")</f>
        <v>#NAME?</v>
      </c>
      <c r="K2346" s="3" t="e">
        <f ca="1">[1]!BexGetData("DP_1","003N8EMH8GTFRIVNUPY288VJH","GSON4191190101")</f>
        <v>#NAME?</v>
      </c>
      <c r="L2346" s="3" t="e">
        <f ca="1">[1]!BexGetData("DP_1","003N8EMH8GTFRIVNUPY2891V1","GSON4191190101")</f>
        <v>#NAME?</v>
      </c>
      <c r="M2346" s="3" t="e">
        <f ca="1">[1]!BexGetData("DP_1","003N8EMH8GTFRIVOG7KG9IQXA","GSON4191190101")</f>
        <v>#NAME?</v>
      </c>
      <c r="N2346" s="8" t="e">
        <f ca="1">[1]!BexGetData("DP_1","003N8EMH8GTFRIVOG7KG9IX8U","GSON4191190101")</f>
        <v>#NAME?</v>
      </c>
      <c r="O2346" s="3" t="e">
        <f ca="1">[1]!BexGetData("DP_1","003N8EMH8GTFRIVOG7KG9J3KE","GSON4191190101")</f>
        <v>#NAME?</v>
      </c>
      <c r="P2346" s="8" t="e">
        <f ca="1">[1]!BexGetData("DP_1","003N8EMH8GTFRIVOG7KG9J9VY","GSON4191190101")</f>
        <v>#NAME?</v>
      </c>
      <c r="Q2346" s="4" t="e">
        <f ca="1">[1]!BexGetData("DP_1","00O2TNJGODT0G5Z4TTKYMM5MT","GSON4191190101")</f>
        <v>#NAME?</v>
      </c>
      <c r="R2346" s="4" t="e">
        <f ca="1">[1]!BexGetData("DP_1","00O2TNJGODT0G5Z4TTKYMMBYD","GSON4191190101")</f>
        <v>#NAME?</v>
      </c>
      <c r="S2346" s="4" t="e">
        <f ca="1">[1]!BexGetData("DP_1","00O2TNJGODT0G5Z4TTKYMMI9X","GSON4191190101")</f>
        <v>#NAME?</v>
      </c>
      <c r="T2346" s="4" t="e">
        <f ca="1">[1]!BexGetData("DP_1","00O2TNJGODT0G5Z4TTKYMMOLH","GSON4191190101")</f>
        <v>#NAME?</v>
      </c>
      <c r="U2346" s="4" t="e">
        <f ca="1">[1]!BexGetData("DP_1","00O2TNJGODT0G5Z4TTKYMMUX1","GSON4191190101")</f>
        <v>#NAME?</v>
      </c>
      <c r="V2346" s="4" t="e">
        <f ca="1">[1]!BexGetData("DP_1","00O2TNJGODT0G5Z4TTKYMN18L","GSON4191190101")</f>
        <v>#NAME?</v>
      </c>
      <c r="W2346" s="4" t="e">
        <f ca="1">[1]!BexGetData("DP_1","00O2TNJGODT0G5Z4TTKYMN7K5","GSON4191190101")</f>
        <v>#NAME?</v>
      </c>
    </row>
    <row r="2347" spans="1:23" x14ac:dyDescent="0.2">
      <c r="A2347" s="15" t="s">
        <v>574</v>
      </c>
      <c r="B2347" s="7" t="s">
        <v>575</v>
      </c>
      <c r="C2347" s="3" t="e">
        <f ca="1">[1]!BexGetData("DP_1","003N8EMH8GTFRCSWKMPXRR8GU","GSON4192")</f>
        <v>#NAME?</v>
      </c>
      <c r="D2347" s="3" t="e">
        <f ca="1">[1]!BexGetData("DP_1","003N8EMH8GTFRCSWKMPXRRESE","GSON4192")</f>
        <v>#NAME?</v>
      </c>
      <c r="E2347" s="3" t="e">
        <f ca="1">[1]!BexGetData("DP_1","003N8EMH8GTFRCSWKMPXRRL3Y","GSON4192")</f>
        <v>#NAME?</v>
      </c>
      <c r="F2347" s="4" t="e">
        <f ca="1">[1]!BexGetData("DP_1","003N8EMH8GTFRCSWKMPXRRRFI","GSON4192")</f>
        <v>#NAME?</v>
      </c>
      <c r="G2347" s="4" t="e">
        <f ca="1">[1]!BexGetData("DP_1","003N8EMH8GTFRCSWKMPXRRXR2","GSON4192")</f>
        <v>#NAME?</v>
      </c>
      <c r="H2347" s="4" t="e">
        <f ca="1">[1]!BexGetData("DP_1","003N8EMH8GTFRCSWKMPXRS42M","GSON4192")</f>
        <v>#NAME?</v>
      </c>
      <c r="I2347" s="4" t="e">
        <f ca="1">[1]!BexGetData("DP_1","003N8EMH8GTFRCSWKMPXRSAE6","GSON4192")</f>
        <v>#NAME?</v>
      </c>
      <c r="J2347" s="4" t="e">
        <f ca="1">[1]!BexGetData("DP_1","003N8EMH8GTFRCSWKMPXRSGPQ","GSON4192")</f>
        <v>#NAME?</v>
      </c>
      <c r="K2347" s="3" t="e">
        <f ca="1">[1]!BexGetData("DP_1","003N8EMH8GTFRIVNUPY288VJH","GSON4192")</f>
        <v>#NAME?</v>
      </c>
      <c r="L2347" s="3" t="e">
        <f ca="1">[1]!BexGetData("DP_1","003N8EMH8GTFRIVNUPY2891V1","GSON4192")</f>
        <v>#NAME?</v>
      </c>
      <c r="M2347" s="3" t="e">
        <f ca="1">[1]!BexGetData("DP_1","003N8EMH8GTFRIVOG7KG9IQXA","GSON4192")</f>
        <v>#NAME?</v>
      </c>
      <c r="N2347" s="8" t="e">
        <f ca="1">[1]!BexGetData("DP_1","003N8EMH8GTFRIVOG7KG9IX8U","GSON4192")</f>
        <v>#NAME?</v>
      </c>
      <c r="O2347" s="3" t="e">
        <f ca="1">[1]!BexGetData("DP_1","003N8EMH8GTFRIVOG7KG9J3KE","GSON4192")</f>
        <v>#NAME?</v>
      </c>
      <c r="P2347" s="8" t="e">
        <f ca="1">[1]!BexGetData("DP_1","003N8EMH8GTFRIVOG7KG9J9VY","GSON4192")</f>
        <v>#NAME?</v>
      </c>
      <c r="Q2347" s="4" t="e">
        <f ca="1">[1]!BexGetData("DP_1","00O2TNJGODT0G5Z4TTKYMM5MT","GSON4192")</f>
        <v>#NAME?</v>
      </c>
      <c r="R2347" s="4" t="e">
        <f ca="1">[1]!BexGetData("DP_1","00O2TNJGODT0G5Z4TTKYMMBYD","GSON4192")</f>
        <v>#NAME?</v>
      </c>
      <c r="S2347" s="4" t="e">
        <f ca="1">[1]!BexGetData("DP_1","00O2TNJGODT0G5Z4TTKYMMI9X","GSON4192")</f>
        <v>#NAME?</v>
      </c>
      <c r="T2347" s="4" t="e">
        <f ca="1">[1]!BexGetData("DP_1","00O2TNJGODT0G5Z4TTKYMMOLH","GSON4192")</f>
        <v>#NAME?</v>
      </c>
      <c r="U2347" s="4" t="e">
        <f ca="1">[1]!BexGetData("DP_1","00O2TNJGODT0G5Z4TTKYMMUX1","GSON4192")</f>
        <v>#NAME?</v>
      </c>
      <c r="V2347" s="4" t="e">
        <f ca="1">[1]!BexGetData("DP_1","00O2TNJGODT0G5Z4TTKYMN18L","GSON4192")</f>
        <v>#NAME?</v>
      </c>
      <c r="W2347" s="4" t="e">
        <f ca="1">[1]!BexGetData("DP_1","00O2TNJGODT0G5Z4TTKYMN7K5","GSON4192")</f>
        <v>#NAME?</v>
      </c>
    </row>
    <row r="2348" spans="1:23" x14ac:dyDescent="0.2">
      <c r="A2348" s="16" t="s">
        <v>4950</v>
      </c>
      <c r="B2348" s="7" t="s">
        <v>4951</v>
      </c>
      <c r="C2348" s="3" t="e">
        <f ca="1">[1]!BexGetData("DP_1","003N8EMH8GTFRCSWKMPXRR8GU","GSON4192490101")</f>
        <v>#NAME?</v>
      </c>
      <c r="D2348" s="3" t="e">
        <f ca="1">[1]!BexGetData("DP_1","003N8EMH8GTFRCSWKMPXRRESE","GSON4192490101")</f>
        <v>#NAME?</v>
      </c>
      <c r="E2348" s="3" t="e">
        <f ca="1">[1]!BexGetData("DP_1","003N8EMH8GTFRCSWKMPXRRL3Y","GSON4192490101")</f>
        <v>#NAME?</v>
      </c>
      <c r="F2348" s="4" t="e">
        <f ca="1">[1]!BexGetData("DP_1","003N8EMH8GTFRCSWKMPXRRRFI","GSON4192490101")</f>
        <v>#NAME?</v>
      </c>
      <c r="G2348" s="4" t="e">
        <f ca="1">[1]!BexGetData("DP_1","003N8EMH8GTFRCSWKMPXRRXR2","GSON4192490101")</f>
        <v>#NAME?</v>
      </c>
      <c r="H2348" s="4" t="e">
        <f ca="1">[1]!BexGetData("DP_1","003N8EMH8GTFRCSWKMPXRS42M","GSON4192490101")</f>
        <v>#NAME?</v>
      </c>
      <c r="I2348" s="4" t="e">
        <f ca="1">[1]!BexGetData("DP_1","003N8EMH8GTFRCSWKMPXRSAE6","GSON4192490101")</f>
        <v>#NAME?</v>
      </c>
      <c r="J2348" s="4" t="e">
        <f ca="1">[1]!BexGetData("DP_1","003N8EMH8GTFRCSWKMPXRSGPQ","GSON4192490101")</f>
        <v>#NAME?</v>
      </c>
      <c r="K2348" s="3" t="e">
        <f ca="1">[1]!BexGetData("DP_1","003N8EMH8GTFRIVNUPY288VJH","GSON4192490101")</f>
        <v>#NAME?</v>
      </c>
      <c r="L2348" s="3" t="e">
        <f ca="1">[1]!BexGetData("DP_1","003N8EMH8GTFRIVNUPY2891V1","GSON4192490101")</f>
        <v>#NAME?</v>
      </c>
      <c r="M2348" s="3" t="e">
        <f ca="1">[1]!BexGetData("DP_1","003N8EMH8GTFRIVOG7KG9IQXA","GSON4192490101")</f>
        <v>#NAME?</v>
      </c>
      <c r="N2348" s="8" t="e">
        <f ca="1">[1]!BexGetData("DP_1","003N8EMH8GTFRIVOG7KG9IX8U","GSON4192490101")</f>
        <v>#NAME?</v>
      </c>
      <c r="O2348" s="3" t="e">
        <f ca="1">[1]!BexGetData("DP_1","003N8EMH8GTFRIVOG7KG9J3KE","GSON4192490101")</f>
        <v>#NAME?</v>
      </c>
      <c r="P2348" s="8" t="e">
        <f ca="1">[1]!BexGetData("DP_1","003N8EMH8GTFRIVOG7KG9J9VY","GSON4192490101")</f>
        <v>#NAME?</v>
      </c>
      <c r="Q2348" s="4" t="e">
        <f ca="1">[1]!BexGetData("DP_1","00O2TNJGODT0G5Z4TTKYMM5MT","GSON4192490101")</f>
        <v>#NAME?</v>
      </c>
      <c r="R2348" s="4" t="e">
        <f ca="1">[1]!BexGetData("DP_1","00O2TNJGODT0G5Z4TTKYMMBYD","GSON4192490101")</f>
        <v>#NAME?</v>
      </c>
      <c r="S2348" s="4" t="e">
        <f ca="1">[1]!BexGetData("DP_1","00O2TNJGODT0G5Z4TTKYMMI9X","GSON4192490101")</f>
        <v>#NAME?</v>
      </c>
      <c r="T2348" s="4" t="e">
        <f ca="1">[1]!BexGetData("DP_1","00O2TNJGODT0G5Z4TTKYMMOLH","GSON4192490101")</f>
        <v>#NAME?</v>
      </c>
      <c r="U2348" s="4" t="e">
        <f ca="1">[1]!BexGetData("DP_1","00O2TNJGODT0G5Z4TTKYMMUX1","GSON4192490101")</f>
        <v>#NAME?</v>
      </c>
      <c r="V2348" s="4" t="e">
        <f ca="1">[1]!BexGetData("DP_1","00O2TNJGODT0G5Z4TTKYMN18L","GSON4192490101")</f>
        <v>#NAME?</v>
      </c>
      <c r="W2348" s="4" t="e">
        <f ca="1">[1]!BexGetData("DP_1","00O2TNJGODT0G5Z4TTKYMN7K5","GSON4192490101")</f>
        <v>#NAME?</v>
      </c>
    </row>
    <row r="2349" spans="1:23" x14ac:dyDescent="0.2">
      <c r="A2349" s="16" t="s">
        <v>4952</v>
      </c>
      <c r="B2349" s="7" t="s">
        <v>576</v>
      </c>
      <c r="C2349" s="3" t="e">
        <f ca="1">[1]!BexGetData("DP_1","003N8EMH8GTFRCSWKMPXRR8GU","GSON4192690101")</f>
        <v>#NAME?</v>
      </c>
      <c r="D2349" s="3" t="e">
        <f ca="1">[1]!BexGetData("DP_1","003N8EMH8GTFRCSWKMPXRRESE","GSON4192690101")</f>
        <v>#NAME?</v>
      </c>
      <c r="E2349" s="3" t="e">
        <f ca="1">[1]!BexGetData("DP_1","003N8EMH8GTFRCSWKMPXRRL3Y","GSON4192690101")</f>
        <v>#NAME?</v>
      </c>
      <c r="F2349" s="4" t="e">
        <f ca="1">[1]!BexGetData("DP_1","003N8EMH8GTFRCSWKMPXRRRFI","GSON4192690101")</f>
        <v>#NAME?</v>
      </c>
      <c r="G2349" s="4" t="e">
        <f ca="1">[1]!BexGetData("DP_1","003N8EMH8GTFRCSWKMPXRRXR2","GSON4192690101")</f>
        <v>#NAME?</v>
      </c>
      <c r="H2349" s="4" t="e">
        <f ca="1">[1]!BexGetData("DP_1","003N8EMH8GTFRCSWKMPXRS42M","GSON4192690101")</f>
        <v>#NAME?</v>
      </c>
      <c r="I2349" s="4" t="e">
        <f ca="1">[1]!BexGetData("DP_1","003N8EMH8GTFRCSWKMPXRSAE6","GSON4192690101")</f>
        <v>#NAME?</v>
      </c>
      <c r="J2349" s="4" t="e">
        <f ca="1">[1]!BexGetData("DP_1","003N8EMH8GTFRCSWKMPXRSGPQ","GSON4192690101")</f>
        <v>#NAME?</v>
      </c>
      <c r="K2349" s="3" t="e">
        <f ca="1">[1]!BexGetData("DP_1","003N8EMH8GTFRIVNUPY288VJH","GSON4192690101")</f>
        <v>#NAME?</v>
      </c>
      <c r="L2349" s="3" t="e">
        <f ca="1">[1]!BexGetData("DP_1","003N8EMH8GTFRIVNUPY2891V1","GSON4192690101")</f>
        <v>#NAME?</v>
      </c>
      <c r="M2349" s="3" t="e">
        <f ca="1">[1]!BexGetData("DP_1","003N8EMH8GTFRIVOG7KG9IQXA","GSON4192690101")</f>
        <v>#NAME?</v>
      </c>
      <c r="N2349" s="8" t="e">
        <f ca="1">[1]!BexGetData("DP_1","003N8EMH8GTFRIVOG7KG9IX8U","GSON4192690101")</f>
        <v>#NAME?</v>
      </c>
      <c r="O2349" s="3" t="e">
        <f ca="1">[1]!BexGetData("DP_1","003N8EMH8GTFRIVOG7KG9J3KE","GSON4192690101")</f>
        <v>#NAME?</v>
      </c>
      <c r="P2349" s="8" t="e">
        <f ca="1">[1]!BexGetData("DP_1","003N8EMH8GTFRIVOG7KG9J9VY","GSON4192690101")</f>
        <v>#NAME?</v>
      </c>
      <c r="Q2349" s="4" t="e">
        <f ca="1">[1]!BexGetData("DP_1","00O2TNJGODT0G5Z4TTKYMM5MT","GSON4192690101")</f>
        <v>#NAME?</v>
      </c>
      <c r="R2349" s="4" t="e">
        <f ca="1">[1]!BexGetData("DP_1","00O2TNJGODT0G5Z4TTKYMMBYD","GSON4192690101")</f>
        <v>#NAME?</v>
      </c>
      <c r="S2349" s="4" t="e">
        <f ca="1">[1]!BexGetData("DP_1","00O2TNJGODT0G5Z4TTKYMMI9X","GSON4192690101")</f>
        <v>#NAME?</v>
      </c>
      <c r="T2349" s="4" t="e">
        <f ca="1">[1]!BexGetData("DP_1","00O2TNJGODT0G5Z4TTKYMMOLH","GSON4192690101")</f>
        <v>#NAME?</v>
      </c>
      <c r="U2349" s="4" t="e">
        <f ca="1">[1]!BexGetData("DP_1","00O2TNJGODT0G5Z4TTKYMMUX1","GSON4192690101")</f>
        <v>#NAME?</v>
      </c>
      <c r="V2349" s="4" t="e">
        <f ca="1">[1]!BexGetData("DP_1","00O2TNJGODT0G5Z4TTKYMN18L","GSON4192690101")</f>
        <v>#NAME?</v>
      </c>
      <c r="W2349" s="4" t="e">
        <f ca="1">[1]!BexGetData("DP_1","00O2TNJGODT0G5Z4TTKYMN7K5","GSON4192690101")</f>
        <v>#NAME?</v>
      </c>
    </row>
    <row r="2350" spans="1:23" x14ac:dyDescent="0.2">
      <c r="A2350" s="13" t="s">
        <v>577</v>
      </c>
      <c r="B2350" s="7" t="s">
        <v>578</v>
      </c>
      <c r="C2350" s="3" t="e">
        <f ca="1">[1]!BexGetData("DP_1","003N8EMH8GTFRCSWKMPXRR8GU","GSON42")</f>
        <v>#NAME?</v>
      </c>
      <c r="D2350" s="3" t="e">
        <f ca="1">[1]!BexGetData("DP_1","003N8EMH8GTFRCSWKMPXRRESE","GSON42")</f>
        <v>#NAME?</v>
      </c>
      <c r="E2350" s="3" t="e">
        <f ca="1">[1]!BexGetData("DP_1","003N8EMH8GTFRCSWKMPXRRL3Y","GSON42")</f>
        <v>#NAME?</v>
      </c>
      <c r="F2350" s="4" t="e">
        <f ca="1">[1]!BexGetData("DP_1","003N8EMH8GTFRCSWKMPXRRRFI","GSON42")</f>
        <v>#NAME?</v>
      </c>
      <c r="G2350" s="4" t="e">
        <f ca="1">[1]!BexGetData("DP_1","003N8EMH8GTFRCSWKMPXRRXR2","GSON42")</f>
        <v>#NAME?</v>
      </c>
      <c r="H2350" s="4" t="e">
        <f ca="1">[1]!BexGetData("DP_1","003N8EMH8GTFRCSWKMPXRS42M","GSON42")</f>
        <v>#NAME?</v>
      </c>
      <c r="I2350" s="4" t="e">
        <f ca="1">[1]!BexGetData("DP_1","003N8EMH8GTFRCSWKMPXRSAE6","GSON42")</f>
        <v>#NAME?</v>
      </c>
      <c r="J2350" s="4" t="e">
        <f ca="1">[1]!BexGetData("DP_1","003N8EMH8GTFRCSWKMPXRSGPQ","GSON42")</f>
        <v>#NAME?</v>
      </c>
      <c r="K2350" s="3" t="e">
        <f ca="1">[1]!BexGetData("DP_1","003N8EMH8GTFRIVNUPY288VJH","GSON42")</f>
        <v>#NAME?</v>
      </c>
      <c r="L2350" s="3" t="e">
        <f ca="1">[1]!BexGetData("DP_1","003N8EMH8GTFRIVNUPY2891V1","GSON42")</f>
        <v>#NAME?</v>
      </c>
      <c r="M2350" s="3" t="e">
        <f ca="1">[1]!BexGetData("DP_1","003N8EMH8GTFRIVOG7KG9IQXA","GSON42")</f>
        <v>#NAME?</v>
      </c>
      <c r="N2350" s="8" t="e">
        <f ca="1">[1]!BexGetData("DP_1","003N8EMH8GTFRIVOG7KG9IX8U","GSON42")</f>
        <v>#NAME?</v>
      </c>
      <c r="O2350" s="3" t="e">
        <f ca="1">[1]!BexGetData("DP_1","003N8EMH8GTFRIVOG7KG9J3KE","GSON42")</f>
        <v>#NAME?</v>
      </c>
      <c r="P2350" s="8" t="e">
        <f ca="1">[1]!BexGetData("DP_1","003N8EMH8GTFRIVOG7KG9J9VY","GSON42")</f>
        <v>#NAME?</v>
      </c>
      <c r="Q2350" s="4" t="e">
        <f ca="1">[1]!BexGetData("DP_1","00O2TNJGODT0G5Z4TTKYMM5MT","GSON42")</f>
        <v>#NAME?</v>
      </c>
      <c r="R2350" s="4" t="e">
        <f ca="1">[1]!BexGetData("DP_1","00O2TNJGODT0G5Z4TTKYMMBYD","GSON42")</f>
        <v>#NAME?</v>
      </c>
      <c r="S2350" s="4" t="e">
        <f ca="1">[1]!BexGetData("DP_1","00O2TNJGODT0G5Z4TTKYMMI9X","GSON42")</f>
        <v>#NAME?</v>
      </c>
      <c r="T2350" s="4" t="e">
        <f ca="1">[1]!BexGetData("DP_1","00O2TNJGODT0G5Z4TTKYMMOLH","GSON42")</f>
        <v>#NAME?</v>
      </c>
      <c r="U2350" s="4" t="e">
        <f ca="1">[1]!BexGetData("DP_1","00O2TNJGODT0G5Z4TTKYMMUX1","GSON42")</f>
        <v>#NAME?</v>
      </c>
      <c r="V2350" s="4" t="e">
        <f ca="1">[1]!BexGetData("DP_1","00O2TNJGODT0G5Z4TTKYMN18L","GSON42")</f>
        <v>#NAME?</v>
      </c>
      <c r="W2350" s="4" t="e">
        <f ca="1">[1]!BexGetData("DP_1","00O2TNJGODT0G5Z4TTKYMN7K5","GSON42")</f>
        <v>#NAME?</v>
      </c>
    </row>
    <row r="2351" spans="1:23" x14ac:dyDescent="0.2">
      <c r="A2351" s="14" t="s">
        <v>346</v>
      </c>
      <c r="B2351" s="7" t="s">
        <v>579</v>
      </c>
      <c r="C2351" s="3" t="e">
        <f ca="1">[1]!BexGetData("DP_1","003N8EMH8GTFRCSWKMPXRR8GU","GSON421")</f>
        <v>#NAME?</v>
      </c>
      <c r="D2351" s="3" t="e">
        <f ca="1">[1]!BexGetData("DP_1","003N8EMH8GTFRCSWKMPXRRESE","GSON421")</f>
        <v>#NAME?</v>
      </c>
      <c r="E2351" s="3" t="e">
        <f ca="1">[1]!BexGetData("DP_1","003N8EMH8GTFRCSWKMPXRRL3Y","GSON421")</f>
        <v>#NAME?</v>
      </c>
      <c r="F2351" s="4" t="e">
        <f ca="1">[1]!BexGetData("DP_1","003N8EMH8GTFRCSWKMPXRRRFI","GSON421")</f>
        <v>#NAME?</v>
      </c>
      <c r="G2351" s="4" t="e">
        <f ca="1">[1]!BexGetData("DP_1","003N8EMH8GTFRCSWKMPXRRXR2","GSON421")</f>
        <v>#NAME?</v>
      </c>
      <c r="H2351" s="4" t="e">
        <f ca="1">[1]!BexGetData("DP_1","003N8EMH8GTFRCSWKMPXRS42M","GSON421")</f>
        <v>#NAME?</v>
      </c>
      <c r="I2351" s="4" t="e">
        <f ca="1">[1]!BexGetData("DP_1","003N8EMH8GTFRCSWKMPXRSAE6","GSON421")</f>
        <v>#NAME?</v>
      </c>
      <c r="J2351" s="4" t="e">
        <f ca="1">[1]!BexGetData("DP_1","003N8EMH8GTFRCSWKMPXRSGPQ","GSON421")</f>
        <v>#NAME?</v>
      </c>
      <c r="K2351" s="3" t="e">
        <f ca="1">[1]!BexGetData("DP_1","003N8EMH8GTFRIVNUPY288VJH","GSON421")</f>
        <v>#NAME?</v>
      </c>
      <c r="L2351" s="3" t="e">
        <f ca="1">[1]!BexGetData("DP_1","003N8EMH8GTFRIVNUPY2891V1","GSON421")</f>
        <v>#NAME?</v>
      </c>
      <c r="M2351" s="3" t="e">
        <f ca="1">[1]!BexGetData("DP_1","003N8EMH8GTFRIVOG7KG9IQXA","GSON421")</f>
        <v>#NAME?</v>
      </c>
      <c r="N2351" s="8" t="e">
        <f ca="1">[1]!BexGetData("DP_1","003N8EMH8GTFRIVOG7KG9IX8U","GSON421")</f>
        <v>#NAME?</v>
      </c>
      <c r="O2351" s="3" t="e">
        <f ca="1">[1]!BexGetData("DP_1","003N8EMH8GTFRIVOG7KG9J3KE","GSON421")</f>
        <v>#NAME?</v>
      </c>
      <c r="P2351" s="8" t="e">
        <f ca="1">[1]!BexGetData("DP_1","003N8EMH8GTFRIVOG7KG9J9VY","GSON421")</f>
        <v>#NAME?</v>
      </c>
      <c r="Q2351" s="4" t="e">
        <f ca="1">[1]!BexGetData("DP_1","00O2TNJGODT0G5Z4TTKYMM5MT","GSON421")</f>
        <v>#NAME?</v>
      </c>
      <c r="R2351" s="4" t="e">
        <f ca="1">[1]!BexGetData("DP_1","00O2TNJGODT0G5Z4TTKYMMBYD","GSON421")</f>
        <v>#NAME?</v>
      </c>
      <c r="S2351" s="4" t="e">
        <f ca="1">[1]!BexGetData("DP_1","00O2TNJGODT0G5Z4TTKYMMI9X","GSON421")</f>
        <v>#NAME?</v>
      </c>
      <c r="T2351" s="4" t="e">
        <f ca="1">[1]!BexGetData("DP_1","00O2TNJGODT0G5Z4TTKYMMOLH","GSON421")</f>
        <v>#NAME?</v>
      </c>
      <c r="U2351" s="4" t="e">
        <f ca="1">[1]!BexGetData("DP_1","00O2TNJGODT0G5Z4TTKYMMUX1","GSON421")</f>
        <v>#NAME?</v>
      </c>
      <c r="V2351" s="4" t="e">
        <f ca="1">[1]!BexGetData("DP_1","00O2TNJGODT0G5Z4TTKYMN18L","GSON421")</f>
        <v>#NAME?</v>
      </c>
      <c r="W2351" s="4" t="e">
        <f ca="1">[1]!BexGetData("DP_1","00O2TNJGODT0G5Z4TTKYMN7K5","GSON421")</f>
        <v>#NAME?</v>
      </c>
    </row>
    <row r="2352" spans="1:23" x14ac:dyDescent="0.2">
      <c r="A2352" s="15" t="s">
        <v>580</v>
      </c>
      <c r="B2352" s="7" t="s">
        <v>581</v>
      </c>
      <c r="C2352" s="3" t="e">
        <f ca="1">[1]!BexGetData("DP_1","003N8EMH8GTFRCSWKMPXRR8GU","GSON4211")</f>
        <v>#NAME?</v>
      </c>
      <c r="D2352" s="3" t="e">
        <f ca="1">[1]!BexGetData("DP_1","003N8EMH8GTFRCSWKMPXRRESE","GSON4211")</f>
        <v>#NAME?</v>
      </c>
      <c r="E2352" s="3" t="e">
        <f ca="1">[1]!BexGetData("DP_1","003N8EMH8GTFRCSWKMPXRRL3Y","GSON4211")</f>
        <v>#NAME?</v>
      </c>
      <c r="F2352" s="4" t="e">
        <f ca="1">[1]!BexGetData("DP_1","003N8EMH8GTFRCSWKMPXRRRFI","GSON4211")</f>
        <v>#NAME?</v>
      </c>
      <c r="G2352" s="4" t="e">
        <f ca="1">[1]!BexGetData("DP_1","003N8EMH8GTFRCSWKMPXRRXR2","GSON4211")</f>
        <v>#NAME?</v>
      </c>
      <c r="H2352" s="4" t="e">
        <f ca="1">[1]!BexGetData("DP_1","003N8EMH8GTFRCSWKMPXRS42M","GSON4211")</f>
        <v>#NAME?</v>
      </c>
      <c r="I2352" s="4" t="e">
        <f ca="1">[1]!BexGetData("DP_1","003N8EMH8GTFRCSWKMPXRSAE6","GSON4211")</f>
        <v>#NAME?</v>
      </c>
      <c r="J2352" s="4" t="e">
        <f ca="1">[1]!BexGetData("DP_1","003N8EMH8GTFRCSWKMPXRSGPQ","GSON4211")</f>
        <v>#NAME?</v>
      </c>
      <c r="K2352" s="3" t="e">
        <f ca="1">[1]!BexGetData("DP_1","003N8EMH8GTFRIVNUPY288VJH","GSON4211")</f>
        <v>#NAME?</v>
      </c>
      <c r="L2352" s="3" t="e">
        <f ca="1">[1]!BexGetData("DP_1","003N8EMH8GTFRIVNUPY2891V1","GSON4211")</f>
        <v>#NAME?</v>
      </c>
      <c r="M2352" s="3" t="e">
        <f ca="1">[1]!BexGetData("DP_1","003N8EMH8GTFRIVOG7KG9IQXA","GSON4211")</f>
        <v>#NAME?</v>
      </c>
      <c r="N2352" s="8" t="e">
        <f ca="1">[1]!BexGetData("DP_1","003N8EMH8GTFRIVOG7KG9IX8U","GSON4211")</f>
        <v>#NAME?</v>
      </c>
      <c r="O2352" s="3" t="e">
        <f ca="1">[1]!BexGetData("DP_1","003N8EMH8GTFRIVOG7KG9J3KE","GSON4211")</f>
        <v>#NAME?</v>
      </c>
      <c r="P2352" s="8" t="e">
        <f ca="1">[1]!BexGetData("DP_1","003N8EMH8GTFRIVOG7KG9J9VY","GSON4211")</f>
        <v>#NAME?</v>
      </c>
      <c r="Q2352" s="4" t="e">
        <f ca="1">[1]!BexGetData("DP_1","00O2TNJGODT0G5Z4TTKYMM5MT","GSON4211")</f>
        <v>#NAME?</v>
      </c>
      <c r="R2352" s="4" t="e">
        <f ca="1">[1]!BexGetData("DP_1","00O2TNJGODT0G5Z4TTKYMMBYD","GSON4211")</f>
        <v>#NAME?</v>
      </c>
      <c r="S2352" s="4" t="e">
        <f ca="1">[1]!BexGetData("DP_1","00O2TNJGODT0G5Z4TTKYMMI9X","GSON4211")</f>
        <v>#NAME?</v>
      </c>
      <c r="T2352" s="4" t="e">
        <f ca="1">[1]!BexGetData("DP_1","00O2TNJGODT0G5Z4TTKYMMOLH","GSON4211")</f>
        <v>#NAME?</v>
      </c>
      <c r="U2352" s="4" t="e">
        <f ca="1">[1]!BexGetData("DP_1","00O2TNJGODT0G5Z4TTKYMMUX1","GSON4211")</f>
        <v>#NAME?</v>
      </c>
      <c r="V2352" s="4" t="e">
        <f ca="1">[1]!BexGetData("DP_1","00O2TNJGODT0G5Z4TTKYMN18L","GSON4211")</f>
        <v>#NAME?</v>
      </c>
      <c r="W2352" s="4" t="e">
        <f ca="1">[1]!BexGetData("DP_1","00O2TNJGODT0G5Z4TTKYMN7K5","GSON4211")</f>
        <v>#NAME?</v>
      </c>
    </row>
    <row r="2353" spans="1:23" x14ac:dyDescent="0.2">
      <c r="A2353" s="16" t="s">
        <v>1534</v>
      </c>
      <c r="B2353" s="7" t="s">
        <v>582</v>
      </c>
      <c r="C2353" s="3" t="e">
        <f ca="1">[1]!BexGetData("DP_1","003N8EMH8GTFRCSWKMPXRR8GU","GSON4211810101")</f>
        <v>#NAME?</v>
      </c>
      <c r="D2353" s="3" t="e">
        <f ca="1">[1]!BexGetData("DP_1","003N8EMH8GTFRCSWKMPXRRESE","GSON4211810101")</f>
        <v>#NAME?</v>
      </c>
      <c r="E2353" s="3" t="e">
        <f ca="1">[1]!BexGetData("DP_1","003N8EMH8GTFRCSWKMPXRRL3Y","GSON4211810101")</f>
        <v>#NAME?</v>
      </c>
      <c r="F2353" s="4" t="e">
        <f ca="1">[1]!BexGetData("DP_1","003N8EMH8GTFRCSWKMPXRRRFI","GSON4211810101")</f>
        <v>#NAME?</v>
      </c>
      <c r="G2353" s="4" t="e">
        <f ca="1">[1]!BexGetData("DP_1","003N8EMH8GTFRCSWKMPXRRXR2","GSON4211810101")</f>
        <v>#NAME?</v>
      </c>
      <c r="H2353" s="4" t="e">
        <f ca="1">[1]!BexGetData("DP_1","003N8EMH8GTFRCSWKMPXRS42M","GSON4211810101")</f>
        <v>#NAME?</v>
      </c>
      <c r="I2353" s="4" t="e">
        <f ca="1">[1]!BexGetData("DP_1","003N8EMH8GTFRCSWKMPXRSAE6","GSON4211810101")</f>
        <v>#NAME?</v>
      </c>
      <c r="J2353" s="4" t="e">
        <f ca="1">[1]!BexGetData("DP_1","003N8EMH8GTFRCSWKMPXRSGPQ","GSON4211810101")</f>
        <v>#NAME?</v>
      </c>
      <c r="K2353" s="3" t="e">
        <f ca="1">[1]!BexGetData("DP_1","003N8EMH8GTFRIVNUPY288VJH","GSON4211810101")</f>
        <v>#NAME?</v>
      </c>
      <c r="L2353" s="3" t="e">
        <f ca="1">[1]!BexGetData("DP_1","003N8EMH8GTFRIVNUPY2891V1","GSON4211810101")</f>
        <v>#NAME?</v>
      </c>
      <c r="M2353" s="3" t="e">
        <f ca="1">[1]!BexGetData("DP_1","003N8EMH8GTFRIVOG7KG9IQXA","GSON4211810101")</f>
        <v>#NAME?</v>
      </c>
      <c r="N2353" s="8" t="e">
        <f ca="1">[1]!BexGetData("DP_1","003N8EMH8GTFRIVOG7KG9IX8U","GSON4211810101")</f>
        <v>#NAME?</v>
      </c>
      <c r="O2353" s="3" t="e">
        <f ca="1">[1]!BexGetData("DP_1","003N8EMH8GTFRIVOG7KG9J3KE","GSON4211810101")</f>
        <v>#NAME?</v>
      </c>
      <c r="P2353" s="8" t="e">
        <f ca="1">[1]!BexGetData("DP_1","003N8EMH8GTFRIVOG7KG9J9VY","GSON4211810101")</f>
        <v>#NAME?</v>
      </c>
      <c r="Q2353" s="4" t="e">
        <f ca="1">[1]!BexGetData("DP_1","00O2TNJGODT0G5Z4TTKYMM5MT","GSON4211810101")</f>
        <v>#NAME?</v>
      </c>
      <c r="R2353" s="4" t="e">
        <f ca="1">[1]!BexGetData("DP_1","00O2TNJGODT0G5Z4TTKYMMBYD","GSON4211810101")</f>
        <v>#NAME?</v>
      </c>
      <c r="S2353" s="4" t="e">
        <f ca="1">[1]!BexGetData("DP_1","00O2TNJGODT0G5Z4TTKYMMI9X","GSON4211810101")</f>
        <v>#NAME?</v>
      </c>
      <c r="T2353" s="4" t="e">
        <f ca="1">[1]!BexGetData("DP_1","00O2TNJGODT0G5Z4TTKYMMOLH","GSON4211810101")</f>
        <v>#NAME?</v>
      </c>
      <c r="U2353" s="4" t="e">
        <f ca="1">[1]!BexGetData("DP_1","00O2TNJGODT0G5Z4TTKYMMUX1","GSON4211810101")</f>
        <v>#NAME?</v>
      </c>
      <c r="V2353" s="4" t="e">
        <f ca="1">[1]!BexGetData("DP_1","00O2TNJGODT0G5Z4TTKYMN18L","GSON4211810101")</f>
        <v>#NAME?</v>
      </c>
      <c r="W2353" s="4" t="e">
        <f ca="1">[1]!BexGetData("DP_1","00O2TNJGODT0G5Z4TTKYMN7K5","GSON4211810101")</f>
        <v>#NAME?</v>
      </c>
    </row>
    <row r="2354" spans="1:23" x14ac:dyDescent="0.2">
      <c r="A2354" s="16" t="s">
        <v>4953</v>
      </c>
      <c r="B2354" s="7" t="s">
        <v>4954</v>
      </c>
      <c r="C2354" s="8" t="e">
        <f ca="1">[1]!BexGetData("DP_1","003N8EMH8GTFRCSWKMPXRR8GU","GSON4211810102")</f>
        <v>#NAME?</v>
      </c>
      <c r="D2354" s="3" t="e">
        <f ca="1">[1]!BexGetData("DP_1","003N8EMH8GTFRCSWKMPXRRESE","GSON4211810102")</f>
        <v>#NAME?</v>
      </c>
      <c r="E2354" s="3" t="e">
        <f ca="1">[1]!BexGetData("DP_1","003N8EMH8GTFRCSWKMPXRRL3Y","GSON4211810102")</f>
        <v>#NAME?</v>
      </c>
      <c r="F2354" s="4" t="e">
        <f ca="1">[1]!BexGetData("DP_1","003N8EMH8GTFRCSWKMPXRRRFI","GSON4211810102")</f>
        <v>#NAME?</v>
      </c>
      <c r="G2354" s="4" t="e">
        <f ca="1">[1]!BexGetData("DP_1","003N8EMH8GTFRCSWKMPXRRXR2","GSON4211810102")</f>
        <v>#NAME?</v>
      </c>
      <c r="H2354" s="4" t="e">
        <f ca="1">[1]!BexGetData("DP_1","003N8EMH8GTFRCSWKMPXRS42M","GSON4211810102")</f>
        <v>#NAME?</v>
      </c>
      <c r="I2354" s="4" t="e">
        <f ca="1">[1]!BexGetData("DP_1","003N8EMH8GTFRCSWKMPXRSAE6","GSON4211810102")</f>
        <v>#NAME?</v>
      </c>
      <c r="J2354" s="4" t="e">
        <f ca="1">[1]!BexGetData("DP_1","003N8EMH8GTFRCSWKMPXRSGPQ","GSON4211810102")</f>
        <v>#NAME?</v>
      </c>
      <c r="K2354" s="3" t="e">
        <f ca="1">[1]!BexGetData("DP_1","003N8EMH8GTFRIVNUPY288VJH","GSON4211810102")</f>
        <v>#NAME?</v>
      </c>
      <c r="L2354" s="3" t="e">
        <f ca="1">[1]!BexGetData("DP_1","003N8EMH8GTFRIVNUPY2891V1","GSON4211810102")</f>
        <v>#NAME?</v>
      </c>
      <c r="M2354" s="3" t="e">
        <f ca="1">[1]!BexGetData("DP_1","003N8EMH8GTFRIVOG7KG9IQXA","GSON4211810102")</f>
        <v>#NAME?</v>
      </c>
      <c r="N2354" s="8" t="e">
        <f ca="1">[1]!BexGetData("DP_1","003N8EMH8GTFRIVOG7KG9IX8U","GSON4211810102")</f>
        <v>#NAME?</v>
      </c>
      <c r="O2354" s="3" t="e">
        <f ca="1">[1]!BexGetData("DP_1","003N8EMH8GTFRIVOG7KG9J3KE","GSON4211810102")</f>
        <v>#NAME?</v>
      </c>
      <c r="P2354" s="8" t="e">
        <f ca="1">[1]!BexGetData("DP_1","003N8EMH8GTFRIVOG7KG9J9VY","GSON4211810102")</f>
        <v>#NAME?</v>
      </c>
      <c r="Q2354" s="4" t="e">
        <f ca="1">[1]!BexGetData("DP_1","00O2TNJGODT0G5Z4TTKYMM5MT","GSON4211810102")</f>
        <v>#NAME?</v>
      </c>
      <c r="R2354" s="4" t="e">
        <f ca="1">[1]!BexGetData("DP_1","00O2TNJGODT0G5Z4TTKYMMBYD","GSON4211810102")</f>
        <v>#NAME?</v>
      </c>
      <c r="S2354" s="4" t="e">
        <f ca="1">[1]!BexGetData("DP_1","00O2TNJGODT0G5Z4TTKYMMI9X","GSON4211810102")</f>
        <v>#NAME?</v>
      </c>
      <c r="T2354" s="4" t="e">
        <f ca="1">[1]!BexGetData("DP_1","00O2TNJGODT0G5Z4TTKYMMOLH","GSON4211810102")</f>
        <v>#NAME?</v>
      </c>
      <c r="U2354" s="4" t="e">
        <f ca="1">[1]!BexGetData("DP_1","00O2TNJGODT0G5Z4TTKYMMUX1","GSON4211810102")</f>
        <v>#NAME?</v>
      </c>
      <c r="V2354" s="4" t="e">
        <f ca="1">[1]!BexGetData("DP_1","00O2TNJGODT0G5Z4TTKYMN18L","GSON4211810102")</f>
        <v>#NAME?</v>
      </c>
      <c r="W2354" s="4" t="e">
        <f ca="1">[1]!BexGetData("DP_1","00O2TNJGODT0G5Z4TTKYMN7K5","GSON4211810102")</f>
        <v>#NAME?</v>
      </c>
    </row>
    <row r="2355" spans="1:23" x14ac:dyDescent="0.2">
      <c r="A2355" s="16" t="s">
        <v>4955</v>
      </c>
      <c r="B2355" s="7" t="s">
        <v>4956</v>
      </c>
      <c r="C2355" s="3" t="e">
        <f ca="1">[1]!BexGetData("DP_1","003N8EMH8GTFRCSWKMPXRR8GU","GSON4211810103")</f>
        <v>#NAME?</v>
      </c>
      <c r="D2355" s="3" t="e">
        <f ca="1">[1]!BexGetData("DP_1","003N8EMH8GTFRCSWKMPXRRESE","GSON4211810103")</f>
        <v>#NAME?</v>
      </c>
      <c r="E2355" s="3" t="e">
        <f ca="1">[1]!BexGetData("DP_1","003N8EMH8GTFRCSWKMPXRRL3Y","GSON4211810103")</f>
        <v>#NAME?</v>
      </c>
      <c r="F2355" s="4" t="e">
        <f ca="1">[1]!BexGetData("DP_1","003N8EMH8GTFRCSWKMPXRRRFI","GSON4211810103")</f>
        <v>#NAME?</v>
      </c>
      <c r="G2355" s="4" t="e">
        <f ca="1">[1]!BexGetData("DP_1","003N8EMH8GTFRCSWKMPXRRXR2","GSON4211810103")</f>
        <v>#NAME?</v>
      </c>
      <c r="H2355" s="4" t="e">
        <f ca="1">[1]!BexGetData("DP_1","003N8EMH8GTFRCSWKMPXRS42M","GSON4211810103")</f>
        <v>#NAME?</v>
      </c>
      <c r="I2355" s="4" t="e">
        <f ca="1">[1]!BexGetData("DP_1","003N8EMH8GTFRCSWKMPXRSAE6","GSON4211810103")</f>
        <v>#NAME?</v>
      </c>
      <c r="J2355" s="4" t="e">
        <f ca="1">[1]!BexGetData("DP_1","003N8EMH8GTFRCSWKMPXRSGPQ","GSON4211810103")</f>
        <v>#NAME?</v>
      </c>
      <c r="K2355" s="3" t="e">
        <f ca="1">[1]!BexGetData("DP_1","003N8EMH8GTFRIVNUPY288VJH","GSON4211810103")</f>
        <v>#NAME?</v>
      </c>
      <c r="L2355" s="3" t="e">
        <f ca="1">[1]!BexGetData("DP_1","003N8EMH8GTFRIVNUPY2891V1","GSON4211810103")</f>
        <v>#NAME?</v>
      </c>
      <c r="M2355" s="3" t="e">
        <f ca="1">[1]!BexGetData("DP_1","003N8EMH8GTFRIVOG7KG9IQXA","GSON4211810103")</f>
        <v>#NAME?</v>
      </c>
      <c r="N2355" s="8" t="e">
        <f ca="1">[1]!BexGetData("DP_1","003N8EMH8GTFRIVOG7KG9IX8U","GSON4211810103")</f>
        <v>#NAME?</v>
      </c>
      <c r="O2355" s="3" t="e">
        <f ca="1">[1]!BexGetData("DP_1","003N8EMH8GTFRIVOG7KG9J3KE","GSON4211810103")</f>
        <v>#NAME?</v>
      </c>
      <c r="P2355" s="8" t="e">
        <f ca="1">[1]!BexGetData("DP_1","003N8EMH8GTFRIVOG7KG9J9VY","GSON4211810103")</f>
        <v>#NAME?</v>
      </c>
      <c r="Q2355" s="4" t="e">
        <f ca="1">[1]!BexGetData("DP_1","00O2TNJGODT0G5Z4TTKYMM5MT","GSON4211810103")</f>
        <v>#NAME?</v>
      </c>
      <c r="R2355" s="4" t="e">
        <f ca="1">[1]!BexGetData("DP_1","00O2TNJGODT0G5Z4TTKYMMBYD","GSON4211810103")</f>
        <v>#NAME?</v>
      </c>
      <c r="S2355" s="4" t="e">
        <f ca="1">[1]!BexGetData("DP_1","00O2TNJGODT0G5Z4TTKYMMI9X","GSON4211810103")</f>
        <v>#NAME?</v>
      </c>
      <c r="T2355" s="4" t="e">
        <f ca="1">[1]!BexGetData("DP_1","00O2TNJGODT0G5Z4TTKYMMOLH","GSON4211810103")</f>
        <v>#NAME?</v>
      </c>
      <c r="U2355" s="4" t="e">
        <f ca="1">[1]!BexGetData("DP_1","00O2TNJGODT0G5Z4TTKYMMUX1","GSON4211810103")</f>
        <v>#NAME?</v>
      </c>
      <c r="V2355" s="4" t="e">
        <f ca="1">[1]!BexGetData("DP_1","00O2TNJGODT0G5Z4TTKYMN18L","GSON4211810103")</f>
        <v>#NAME?</v>
      </c>
      <c r="W2355" s="4" t="e">
        <f ca="1">[1]!BexGetData("DP_1","00O2TNJGODT0G5Z4TTKYMN7K5","GSON4211810103")</f>
        <v>#NAME?</v>
      </c>
    </row>
    <row r="2356" spans="1:23" x14ac:dyDescent="0.2">
      <c r="A2356" s="16" t="s">
        <v>4957</v>
      </c>
      <c r="B2356" s="7" t="s">
        <v>4958</v>
      </c>
      <c r="C2356" s="8" t="e">
        <f ca="1">[1]!BexGetData("DP_1","003N8EMH8GTFRCSWKMPXRR8GU","GSON4211810104")</f>
        <v>#NAME?</v>
      </c>
      <c r="D2356" s="3" t="e">
        <f ca="1">[1]!BexGetData("DP_1","003N8EMH8GTFRCSWKMPXRRESE","GSON4211810104")</f>
        <v>#NAME?</v>
      </c>
      <c r="E2356" s="3" t="e">
        <f ca="1">[1]!BexGetData("DP_1","003N8EMH8GTFRCSWKMPXRRL3Y","GSON4211810104")</f>
        <v>#NAME?</v>
      </c>
      <c r="F2356" s="4" t="e">
        <f ca="1">[1]!BexGetData("DP_1","003N8EMH8GTFRCSWKMPXRRRFI","GSON4211810104")</f>
        <v>#NAME?</v>
      </c>
      <c r="G2356" s="4" t="e">
        <f ca="1">[1]!BexGetData("DP_1","003N8EMH8GTFRCSWKMPXRRXR2","GSON4211810104")</f>
        <v>#NAME?</v>
      </c>
      <c r="H2356" s="4" t="e">
        <f ca="1">[1]!BexGetData("DP_1","003N8EMH8GTFRCSWKMPXRS42M","GSON4211810104")</f>
        <v>#NAME?</v>
      </c>
      <c r="I2356" s="4" t="e">
        <f ca="1">[1]!BexGetData("DP_1","003N8EMH8GTFRCSWKMPXRSAE6","GSON4211810104")</f>
        <v>#NAME?</v>
      </c>
      <c r="J2356" s="4" t="e">
        <f ca="1">[1]!BexGetData("DP_1","003N8EMH8GTFRCSWKMPXRSGPQ","GSON4211810104")</f>
        <v>#NAME?</v>
      </c>
      <c r="K2356" s="3" t="e">
        <f ca="1">[1]!BexGetData("DP_1","003N8EMH8GTFRIVNUPY288VJH","GSON4211810104")</f>
        <v>#NAME?</v>
      </c>
      <c r="L2356" s="3" t="e">
        <f ca="1">[1]!BexGetData("DP_1","003N8EMH8GTFRIVNUPY2891V1","GSON4211810104")</f>
        <v>#NAME?</v>
      </c>
      <c r="M2356" s="3" t="e">
        <f ca="1">[1]!BexGetData("DP_1","003N8EMH8GTFRIVOG7KG9IQXA","GSON4211810104")</f>
        <v>#NAME?</v>
      </c>
      <c r="N2356" s="8" t="e">
        <f ca="1">[1]!BexGetData("DP_1","003N8EMH8GTFRIVOG7KG9IX8U","GSON4211810104")</f>
        <v>#NAME?</v>
      </c>
      <c r="O2356" s="3" t="e">
        <f ca="1">[1]!BexGetData("DP_1","003N8EMH8GTFRIVOG7KG9J3KE","GSON4211810104")</f>
        <v>#NAME?</v>
      </c>
      <c r="P2356" s="8" t="e">
        <f ca="1">[1]!BexGetData("DP_1","003N8EMH8GTFRIVOG7KG9J9VY","GSON4211810104")</f>
        <v>#NAME?</v>
      </c>
      <c r="Q2356" s="4" t="e">
        <f ca="1">[1]!BexGetData("DP_1","00O2TNJGODT0G5Z4TTKYMM5MT","GSON4211810104")</f>
        <v>#NAME?</v>
      </c>
      <c r="R2356" s="4" t="e">
        <f ca="1">[1]!BexGetData("DP_1","00O2TNJGODT0G5Z4TTKYMMBYD","GSON4211810104")</f>
        <v>#NAME?</v>
      </c>
      <c r="S2356" s="4" t="e">
        <f ca="1">[1]!BexGetData("DP_1","00O2TNJGODT0G5Z4TTKYMMI9X","GSON4211810104")</f>
        <v>#NAME?</v>
      </c>
      <c r="T2356" s="4" t="e">
        <f ca="1">[1]!BexGetData("DP_1","00O2TNJGODT0G5Z4TTKYMMOLH","GSON4211810104")</f>
        <v>#NAME?</v>
      </c>
      <c r="U2356" s="4" t="e">
        <f ca="1">[1]!BexGetData("DP_1","00O2TNJGODT0G5Z4TTKYMMUX1","GSON4211810104")</f>
        <v>#NAME?</v>
      </c>
      <c r="V2356" s="4" t="e">
        <f ca="1">[1]!BexGetData("DP_1","00O2TNJGODT0G5Z4TTKYMN18L","GSON4211810104")</f>
        <v>#NAME?</v>
      </c>
      <c r="W2356" s="4" t="e">
        <f ca="1">[1]!BexGetData("DP_1","00O2TNJGODT0G5Z4TTKYMN7K5","GSON4211810104")</f>
        <v>#NAME?</v>
      </c>
    </row>
    <row r="2357" spans="1:23" x14ac:dyDescent="0.2">
      <c r="A2357" s="16" t="s">
        <v>4959</v>
      </c>
      <c r="B2357" s="7" t="s">
        <v>4960</v>
      </c>
      <c r="C2357" s="8" t="e">
        <f ca="1">[1]!BexGetData("DP_1","003N8EMH8GTFRCSWKMPXRR8GU","GSON4211810105")</f>
        <v>#NAME?</v>
      </c>
      <c r="D2357" s="3" t="e">
        <f ca="1">[1]!BexGetData("DP_1","003N8EMH8GTFRCSWKMPXRRESE","GSON4211810105")</f>
        <v>#NAME?</v>
      </c>
      <c r="E2357" s="3" t="e">
        <f ca="1">[1]!BexGetData("DP_1","003N8EMH8GTFRCSWKMPXRRL3Y","GSON4211810105")</f>
        <v>#NAME?</v>
      </c>
      <c r="F2357" s="4" t="e">
        <f ca="1">[1]!BexGetData("DP_1","003N8EMH8GTFRCSWKMPXRRRFI","GSON4211810105")</f>
        <v>#NAME?</v>
      </c>
      <c r="G2357" s="4" t="e">
        <f ca="1">[1]!BexGetData("DP_1","003N8EMH8GTFRCSWKMPXRRXR2","GSON4211810105")</f>
        <v>#NAME?</v>
      </c>
      <c r="H2357" s="4" t="e">
        <f ca="1">[1]!BexGetData("DP_1","003N8EMH8GTFRCSWKMPXRS42M","GSON4211810105")</f>
        <v>#NAME?</v>
      </c>
      <c r="I2357" s="4" t="e">
        <f ca="1">[1]!BexGetData("DP_1","003N8EMH8GTFRCSWKMPXRSAE6","GSON4211810105")</f>
        <v>#NAME?</v>
      </c>
      <c r="J2357" s="4" t="e">
        <f ca="1">[1]!BexGetData("DP_1","003N8EMH8GTFRCSWKMPXRSGPQ","GSON4211810105")</f>
        <v>#NAME?</v>
      </c>
      <c r="K2357" s="3" t="e">
        <f ca="1">[1]!BexGetData("DP_1","003N8EMH8GTFRIVNUPY288VJH","GSON4211810105")</f>
        <v>#NAME?</v>
      </c>
      <c r="L2357" s="3" t="e">
        <f ca="1">[1]!BexGetData("DP_1","003N8EMH8GTFRIVNUPY2891V1","GSON4211810105")</f>
        <v>#NAME?</v>
      </c>
      <c r="M2357" s="3" t="e">
        <f ca="1">[1]!BexGetData("DP_1","003N8EMH8GTFRIVOG7KG9IQXA","GSON4211810105")</f>
        <v>#NAME?</v>
      </c>
      <c r="N2357" s="8" t="e">
        <f ca="1">[1]!BexGetData("DP_1","003N8EMH8GTFRIVOG7KG9IX8U","GSON4211810105")</f>
        <v>#NAME?</v>
      </c>
      <c r="O2357" s="3" t="e">
        <f ca="1">[1]!BexGetData("DP_1","003N8EMH8GTFRIVOG7KG9J3KE","GSON4211810105")</f>
        <v>#NAME?</v>
      </c>
      <c r="P2357" s="8" t="e">
        <f ca="1">[1]!BexGetData("DP_1","003N8EMH8GTFRIVOG7KG9J9VY","GSON4211810105")</f>
        <v>#NAME?</v>
      </c>
      <c r="Q2357" s="4" t="e">
        <f ca="1">[1]!BexGetData("DP_1","00O2TNJGODT0G5Z4TTKYMM5MT","GSON4211810105")</f>
        <v>#NAME?</v>
      </c>
      <c r="R2357" s="4" t="e">
        <f ca="1">[1]!BexGetData("DP_1","00O2TNJGODT0G5Z4TTKYMMBYD","GSON4211810105")</f>
        <v>#NAME?</v>
      </c>
      <c r="S2357" s="4" t="e">
        <f ca="1">[1]!BexGetData("DP_1","00O2TNJGODT0G5Z4TTKYMMI9X","GSON4211810105")</f>
        <v>#NAME?</v>
      </c>
      <c r="T2357" s="4" t="e">
        <f ca="1">[1]!BexGetData("DP_1","00O2TNJGODT0G5Z4TTKYMMOLH","GSON4211810105")</f>
        <v>#NAME?</v>
      </c>
      <c r="U2357" s="4" t="e">
        <f ca="1">[1]!BexGetData("DP_1","00O2TNJGODT0G5Z4TTKYMMUX1","GSON4211810105")</f>
        <v>#NAME?</v>
      </c>
      <c r="V2357" s="4" t="e">
        <f ca="1">[1]!BexGetData("DP_1","00O2TNJGODT0G5Z4TTKYMN18L","GSON4211810105")</f>
        <v>#NAME?</v>
      </c>
      <c r="W2357" s="4" t="e">
        <f ca="1">[1]!BexGetData("DP_1","00O2TNJGODT0G5Z4TTKYMN7K5","GSON4211810105")</f>
        <v>#NAME?</v>
      </c>
    </row>
    <row r="2358" spans="1:23" x14ac:dyDescent="0.2">
      <c r="A2358" s="15" t="s">
        <v>27</v>
      </c>
      <c r="B2358" s="7" t="s">
        <v>712</v>
      </c>
      <c r="C2358" s="3" t="e">
        <f ca="1">[1]!BexGetData("DP_1","003N8EMH8GTFRCSWKMPXRR8GU","GSON4212")</f>
        <v>#NAME?</v>
      </c>
      <c r="D2358" s="3" t="e">
        <f ca="1">[1]!BexGetData("DP_1","003N8EMH8GTFRCSWKMPXRRESE","GSON4212")</f>
        <v>#NAME?</v>
      </c>
      <c r="E2358" s="3" t="e">
        <f ca="1">[1]!BexGetData("DP_1","003N8EMH8GTFRCSWKMPXRRL3Y","GSON4212")</f>
        <v>#NAME?</v>
      </c>
      <c r="F2358" s="4" t="e">
        <f ca="1">[1]!BexGetData("DP_1","003N8EMH8GTFRCSWKMPXRRRFI","GSON4212")</f>
        <v>#NAME?</v>
      </c>
      <c r="G2358" s="4" t="e">
        <f ca="1">[1]!BexGetData("DP_1","003N8EMH8GTFRCSWKMPXRRXR2","GSON4212")</f>
        <v>#NAME?</v>
      </c>
      <c r="H2358" s="4" t="e">
        <f ca="1">[1]!BexGetData("DP_1","003N8EMH8GTFRCSWKMPXRS42M","GSON4212")</f>
        <v>#NAME?</v>
      </c>
      <c r="I2358" s="4" t="e">
        <f ca="1">[1]!BexGetData("DP_1","003N8EMH8GTFRCSWKMPXRSAE6","GSON4212")</f>
        <v>#NAME?</v>
      </c>
      <c r="J2358" s="4" t="e">
        <f ca="1">[1]!BexGetData("DP_1","003N8EMH8GTFRCSWKMPXRSGPQ","GSON4212")</f>
        <v>#NAME?</v>
      </c>
      <c r="K2358" s="3" t="e">
        <f ca="1">[1]!BexGetData("DP_1","003N8EMH8GTFRIVNUPY288VJH","GSON4212")</f>
        <v>#NAME?</v>
      </c>
      <c r="L2358" s="3" t="e">
        <f ca="1">[1]!BexGetData("DP_1","003N8EMH8GTFRIVNUPY2891V1","GSON4212")</f>
        <v>#NAME?</v>
      </c>
      <c r="M2358" s="3" t="e">
        <f ca="1">[1]!BexGetData("DP_1","003N8EMH8GTFRIVOG7KG9IQXA","GSON4212")</f>
        <v>#NAME?</v>
      </c>
      <c r="N2358" s="8" t="e">
        <f ca="1">[1]!BexGetData("DP_1","003N8EMH8GTFRIVOG7KG9IX8U","GSON4212")</f>
        <v>#NAME?</v>
      </c>
      <c r="O2358" s="3" t="e">
        <f ca="1">[1]!BexGetData("DP_1","003N8EMH8GTFRIVOG7KG9J3KE","GSON4212")</f>
        <v>#NAME?</v>
      </c>
      <c r="P2358" s="8" t="e">
        <f ca="1">[1]!BexGetData("DP_1","003N8EMH8GTFRIVOG7KG9J9VY","GSON4212")</f>
        <v>#NAME?</v>
      </c>
      <c r="Q2358" s="4" t="e">
        <f ca="1">[1]!BexGetData("DP_1","00O2TNJGODT0G5Z4TTKYMM5MT","GSON4212")</f>
        <v>#NAME?</v>
      </c>
      <c r="R2358" s="4" t="e">
        <f ca="1">[1]!BexGetData("DP_1","00O2TNJGODT0G5Z4TTKYMMBYD","GSON4212")</f>
        <v>#NAME?</v>
      </c>
      <c r="S2358" s="4" t="e">
        <f ca="1">[1]!BexGetData("DP_1","00O2TNJGODT0G5Z4TTKYMMI9X","GSON4212")</f>
        <v>#NAME?</v>
      </c>
      <c r="T2358" s="4" t="e">
        <f ca="1">[1]!BexGetData("DP_1","00O2TNJGODT0G5Z4TTKYMMOLH","GSON4212")</f>
        <v>#NAME?</v>
      </c>
      <c r="U2358" s="4" t="e">
        <f ca="1">[1]!BexGetData("DP_1","00O2TNJGODT0G5Z4TTKYMMUX1","GSON4212")</f>
        <v>#NAME?</v>
      </c>
      <c r="V2358" s="4" t="e">
        <f ca="1">[1]!BexGetData("DP_1","00O2TNJGODT0G5Z4TTKYMN18L","GSON4212")</f>
        <v>#NAME?</v>
      </c>
      <c r="W2358" s="4" t="e">
        <f ca="1">[1]!BexGetData("DP_1","00O2TNJGODT0G5Z4TTKYMN7K5","GSON4212")</f>
        <v>#NAME?</v>
      </c>
    </row>
    <row r="2359" spans="1:23" x14ac:dyDescent="0.2">
      <c r="A2359" s="16" t="s">
        <v>4961</v>
      </c>
      <c r="B2359" s="7" t="s">
        <v>4962</v>
      </c>
      <c r="C2359" s="3" t="e">
        <f ca="1">[1]!BexGetData("DP_1","003N8EMH8GTFRCSWKMPXRR8GU","GSON4212820101")</f>
        <v>#NAME?</v>
      </c>
      <c r="D2359" s="3" t="e">
        <f ca="1">[1]!BexGetData("DP_1","003N8EMH8GTFRCSWKMPXRRESE","GSON4212820101")</f>
        <v>#NAME?</v>
      </c>
      <c r="E2359" s="3" t="e">
        <f ca="1">[1]!BexGetData("DP_1","003N8EMH8GTFRCSWKMPXRRL3Y","GSON4212820101")</f>
        <v>#NAME?</v>
      </c>
      <c r="F2359" s="4" t="e">
        <f ca="1">[1]!BexGetData("DP_1","003N8EMH8GTFRCSWKMPXRRRFI","GSON4212820101")</f>
        <v>#NAME?</v>
      </c>
      <c r="G2359" s="4" t="e">
        <f ca="1">[1]!BexGetData("DP_1","003N8EMH8GTFRCSWKMPXRRXR2","GSON4212820101")</f>
        <v>#NAME?</v>
      </c>
      <c r="H2359" s="4" t="e">
        <f ca="1">[1]!BexGetData("DP_1","003N8EMH8GTFRCSWKMPXRS42M","GSON4212820101")</f>
        <v>#NAME?</v>
      </c>
      <c r="I2359" s="4" t="e">
        <f ca="1">[1]!BexGetData("DP_1","003N8EMH8GTFRCSWKMPXRSAE6","GSON4212820101")</f>
        <v>#NAME?</v>
      </c>
      <c r="J2359" s="4" t="e">
        <f ca="1">[1]!BexGetData("DP_1","003N8EMH8GTFRCSWKMPXRSGPQ","GSON4212820101")</f>
        <v>#NAME?</v>
      </c>
      <c r="K2359" s="3" t="e">
        <f ca="1">[1]!BexGetData("DP_1","003N8EMH8GTFRIVNUPY288VJH","GSON4212820101")</f>
        <v>#NAME?</v>
      </c>
      <c r="L2359" s="3" t="e">
        <f ca="1">[1]!BexGetData("DP_1","003N8EMH8GTFRIVNUPY2891V1","GSON4212820101")</f>
        <v>#NAME?</v>
      </c>
      <c r="M2359" s="3" t="e">
        <f ca="1">[1]!BexGetData("DP_1","003N8EMH8GTFRIVOG7KG9IQXA","GSON4212820101")</f>
        <v>#NAME?</v>
      </c>
      <c r="N2359" s="8" t="e">
        <f ca="1">[1]!BexGetData("DP_1","003N8EMH8GTFRIVOG7KG9IX8U","GSON4212820101")</f>
        <v>#NAME?</v>
      </c>
      <c r="O2359" s="3" t="e">
        <f ca="1">[1]!BexGetData("DP_1","003N8EMH8GTFRIVOG7KG9J3KE","GSON4212820101")</f>
        <v>#NAME?</v>
      </c>
      <c r="P2359" s="8" t="e">
        <f ca="1">[1]!BexGetData("DP_1","003N8EMH8GTFRIVOG7KG9J9VY","GSON4212820101")</f>
        <v>#NAME?</v>
      </c>
      <c r="Q2359" s="4" t="e">
        <f ca="1">[1]!BexGetData("DP_1","00O2TNJGODT0G5Z4TTKYMM5MT","GSON4212820101")</f>
        <v>#NAME?</v>
      </c>
      <c r="R2359" s="4" t="e">
        <f ca="1">[1]!BexGetData("DP_1","00O2TNJGODT0G5Z4TTKYMMBYD","GSON4212820101")</f>
        <v>#NAME?</v>
      </c>
      <c r="S2359" s="4" t="e">
        <f ca="1">[1]!BexGetData("DP_1","00O2TNJGODT0G5Z4TTKYMMI9X","GSON4212820101")</f>
        <v>#NAME?</v>
      </c>
      <c r="T2359" s="4" t="e">
        <f ca="1">[1]!BexGetData("DP_1","00O2TNJGODT0G5Z4TTKYMMOLH","GSON4212820101")</f>
        <v>#NAME?</v>
      </c>
      <c r="U2359" s="4" t="e">
        <f ca="1">[1]!BexGetData("DP_1","00O2TNJGODT0G5Z4TTKYMMUX1","GSON4212820101")</f>
        <v>#NAME?</v>
      </c>
      <c r="V2359" s="4" t="e">
        <f ca="1">[1]!BexGetData("DP_1","00O2TNJGODT0G5Z4TTKYMN18L","GSON4212820101")</f>
        <v>#NAME?</v>
      </c>
      <c r="W2359" s="4" t="e">
        <f ca="1">[1]!BexGetData("DP_1","00O2TNJGODT0G5Z4TTKYMN7K5","GSON4212820101")</f>
        <v>#NAME?</v>
      </c>
    </row>
    <row r="2360" spans="1:23" x14ac:dyDescent="0.2">
      <c r="A2360" s="16" t="s">
        <v>1535</v>
      </c>
      <c r="B2360" s="7" t="s">
        <v>713</v>
      </c>
      <c r="C2360" s="3" t="e">
        <f ca="1">[1]!BexGetData("DP_1","003N8EMH8GTFRCSWKMPXRR8GU","GSON4212820102")</f>
        <v>#NAME?</v>
      </c>
      <c r="D2360" s="3" t="e">
        <f ca="1">[1]!BexGetData("DP_1","003N8EMH8GTFRCSWKMPXRRESE","GSON4212820102")</f>
        <v>#NAME?</v>
      </c>
      <c r="E2360" s="3" t="e">
        <f ca="1">[1]!BexGetData("DP_1","003N8EMH8GTFRCSWKMPXRRL3Y","GSON4212820102")</f>
        <v>#NAME?</v>
      </c>
      <c r="F2360" s="4" t="e">
        <f ca="1">[1]!BexGetData("DP_1","003N8EMH8GTFRCSWKMPXRRRFI","GSON4212820102")</f>
        <v>#NAME?</v>
      </c>
      <c r="G2360" s="4" t="e">
        <f ca="1">[1]!BexGetData("DP_1","003N8EMH8GTFRCSWKMPXRRXR2","GSON4212820102")</f>
        <v>#NAME?</v>
      </c>
      <c r="H2360" s="4" t="e">
        <f ca="1">[1]!BexGetData("DP_1","003N8EMH8GTFRCSWKMPXRS42M","GSON4212820102")</f>
        <v>#NAME?</v>
      </c>
      <c r="I2360" s="4" t="e">
        <f ca="1">[1]!BexGetData("DP_1","003N8EMH8GTFRCSWKMPXRSAE6","GSON4212820102")</f>
        <v>#NAME?</v>
      </c>
      <c r="J2360" s="4" t="e">
        <f ca="1">[1]!BexGetData("DP_1","003N8EMH8GTFRCSWKMPXRSGPQ","GSON4212820102")</f>
        <v>#NAME?</v>
      </c>
      <c r="K2360" s="3" t="e">
        <f ca="1">[1]!BexGetData("DP_1","003N8EMH8GTFRIVNUPY288VJH","GSON4212820102")</f>
        <v>#NAME?</v>
      </c>
      <c r="L2360" s="3" t="e">
        <f ca="1">[1]!BexGetData("DP_1","003N8EMH8GTFRIVNUPY2891V1","GSON4212820102")</f>
        <v>#NAME?</v>
      </c>
      <c r="M2360" s="3" t="e">
        <f ca="1">[1]!BexGetData("DP_1","003N8EMH8GTFRIVOG7KG9IQXA","GSON4212820102")</f>
        <v>#NAME?</v>
      </c>
      <c r="N2360" s="8" t="e">
        <f ca="1">[1]!BexGetData("DP_1","003N8EMH8GTFRIVOG7KG9IX8U","GSON4212820102")</f>
        <v>#NAME?</v>
      </c>
      <c r="O2360" s="3" t="e">
        <f ca="1">[1]!BexGetData("DP_1","003N8EMH8GTFRIVOG7KG9J3KE","GSON4212820102")</f>
        <v>#NAME?</v>
      </c>
      <c r="P2360" s="8" t="e">
        <f ca="1">[1]!BexGetData("DP_1","003N8EMH8GTFRIVOG7KG9J9VY","GSON4212820102")</f>
        <v>#NAME?</v>
      </c>
      <c r="Q2360" s="4" t="e">
        <f ca="1">[1]!BexGetData("DP_1","00O2TNJGODT0G5Z4TTKYMM5MT","GSON4212820102")</f>
        <v>#NAME?</v>
      </c>
      <c r="R2360" s="4" t="e">
        <f ca="1">[1]!BexGetData("DP_1","00O2TNJGODT0G5Z4TTKYMMBYD","GSON4212820102")</f>
        <v>#NAME?</v>
      </c>
      <c r="S2360" s="4" t="e">
        <f ca="1">[1]!BexGetData("DP_1","00O2TNJGODT0G5Z4TTKYMMI9X","GSON4212820102")</f>
        <v>#NAME?</v>
      </c>
      <c r="T2360" s="4" t="e">
        <f ca="1">[1]!BexGetData("DP_1","00O2TNJGODT0G5Z4TTKYMMOLH","GSON4212820102")</f>
        <v>#NAME?</v>
      </c>
      <c r="U2360" s="4" t="e">
        <f ca="1">[1]!BexGetData("DP_1","00O2TNJGODT0G5Z4TTKYMMUX1","GSON4212820102")</f>
        <v>#NAME?</v>
      </c>
      <c r="V2360" s="4" t="e">
        <f ca="1">[1]!BexGetData("DP_1","00O2TNJGODT0G5Z4TTKYMN18L","GSON4212820102")</f>
        <v>#NAME?</v>
      </c>
      <c r="W2360" s="4" t="e">
        <f ca="1">[1]!BexGetData("DP_1","00O2TNJGODT0G5Z4TTKYMN7K5","GSON4212820102")</f>
        <v>#NAME?</v>
      </c>
    </row>
    <row r="2361" spans="1:23" x14ac:dyDescent="0.2">
      <c r="A2361" s="16" t="s">
        <v>4963</v>
      </c>
      <c r="B2361" s="7" t="s">
        <v>4964</v>
      </c>
      <c r="C2361" s="3" t="e">
        <f ca="1">[1]!BexGetData("DP_1","003N8EMH8GTFRCSWKMPXRR8GU","GSON4212820103")</f>
        <v>#NAME?</v>
      </c>
      <c r="D2361" s="3" t="e">
        <f ca="1">[1]!BexGetData("DP_1","003N8EMH8GTFRCSWKMPXRRESE","GSON4212820103")</f>
        <v>#NAME?</v>
      </c>
      <c r="E2361" s="3" t="e">
        <f ca="1">[1]!BexGetData("DP_1","003N8EMH8GTFRCSWKMPXRRL3Y","GSON4212820103")</f>
        <v>#NAME?</v>
      </c>
      <c r="F2361" s="4" t="e">
        <f ca="1">[1]!BexGetData("DP_1","003N8EMH8GTFRCSWKMPXRRRFI","GSON4212820103")</f>
        <v>#NAME?</v>
      </c>
      <c r="G2361" s="4" t="e">
        <f ca="1">[1]!BexGetData("DP_1","003N8EMH8GTFRCSWKMPXRRXR2","GSON4212820103")</f>
        <v>#NAME?</v>
      </c>
      <c r="H2361" s="4" t="e">
        <f ca="1">[1]!BexGetData("DP_1","003N8EMH8GTFRCSWKMPXRS42M","GSON4212820103")</f>
        <v>#NAME?</v>
      </c>
      <c r="I2361" s="4" t="e">
        <f ca="1">[1]!BexGetData("DP_1","003N8EMH8GTFRCSWKMPXRSAE6","GSON4212820103")</f>
        <v>#NAME?</v>
      </c>
      <c r="J2361" s="4" t="e">
        <f ca="1">[1]!BexGetData("DP_1","003N8EMH8GTFRCSWKMPXRSGPQ","GSON4212820103")</f>
        <v>#NAME?</v>
      </c>
      <c r="K2361" s="3" t="e">
        <f ca="1">[1]!BexGetData("DP_1","003N8EMH8GTFRIVNUPY288VJH","GSON4212820103")</f>
        <v>#NAME?</v>
      </c>
      <c r="L2361" s="3" t="e">
        <f ca="1">[1]!BexGetData("DP_1","003N8EMH8GTFRIVNUPY2891V1","GSON4212820103")</f>
        <v>#NAME?</v>
      </c>
      <c r="M2361" s="3" t="e">
        <f ca="1">[1]!BexGetData("DP_1","003N8EMH8GTFRIVOG7KG9IQXA","GSON4212820103")</f>
        <v>#NAME?</v>
      </c>
      <c r="N2361" s="8" t="e">
        <f ca="1">[1]!BexGetData("DP_1","003N8EMH8GTFRIVOG7KG9IX8U","GSON4212820103")</f>
        <v>#NAME?</v>
      </c>
      <c r="O2361" s="3" t="e">
        <f ca="1">[1]!BexGetData("DP_1","003N8EMH8GTFRIVOG7KG9J3KE","GSON4212820103")</f>
        <v>#NAME?</v>
      </c>
      <c r="P2361" s="8" t="e">
        <f ca="1">[1]!BexGetData("DP_1","003N8EMH8GTFRIVOG7KG9J9VY","GSON4212820103")</f>
        <v>#NAME?</v>
      </c>
      <c r="Q2361" s="4" t="e">
        <f ca="1">[1]!BexGetData("DP_1","00O2TNJGODT0G5Z4TTKYMM5MT","GSON4212820103")</f>
        <v>#NAME?</v>
      </c>
      <c r="R2361" s="4" t="e">
        <f ca="1">[1]!BexGetData("DP_1","00O2TNJGODT0G5Z4TTKYMMBYD","GSON4212820103")</f>
        <v>#NAME?</v>
      </c>
      <c r="S2361" s="4" t="e">
        <f ca="1">[1]!BexGetData("DP_1","00O2TNJGODT0G5Z4TTKYMMI9X","GSON4212820103")</f>
        <v>#NAME?</v>
      </c>
      <c r="T2361" s="4" t="e">
        <f ca="1">[1]!BexGetData("DP_1","00O2TNJGODT0G5Z4TTKYMMOLH","GSON4212820103")</f>
        <v>#NAME?</v>
      </c>
      <c r="U2361" s="4" t="e">
        <f ca="1">[1]!BexGetData("DP_1","00O2TNJGODT0G5Z4TTKYMMUX1","GSON4212820103")</f>
        <v>#NAME?</v>
      </c>
      <c r="V2361" s="4" t="e">
        <f ca="1">[1]!BexGetData("DP_1","00O2TNJGODT0G5Z4TTKYMN18L","GSON4212820103")</f>
        <v>#NAME?</v>
      </c>
      <c r="W2361" s="4" t="e">
        <f ca="1">[1]!BexGetData("DP_1","00O2TNJGODT0G5Z4TTKYMN7K5","GSON4212820103")</f>
        <v>#NAME?</v>
      </c>
    </row>
    <row r="2362" spans="1:23" x14ac:dyDescent="0.2">
      <c r="A2362" s="16" t="s">
        <v>4965</v>
      </c>
      <c r="B2362" s="7" t="s">
        <v>4966</v>
      </c>
      <c r="C2362" s="3" t="e">
        <f ca="1">[1]!BexGetData("DP_1","003N8EMH8GTFRCSWKMPXRR8GU","GSON4212820104")</f>
        <v>#NAME?</v>
      </c>
      <c r="D2362" s="3" t="e">
        <f ca="1">[1]!BexGetData("DP_1","003N8EMH8GTFRCSWKMPXRRESE","GSON4212820104")</f>
        <v>#NAME?</v>
      </c>
      <c r="E2362" s="3" t="e">
        <f ca="1">[1]!BexGetData("DP_1","003N8EMH8GTFRCSWKMPXRRL3Y","GSON4212820104")</f>
        <v>#NAME?</v>
      </c>
      <c r="F2362" s="4" t="e">
        <f ca="1">[1]!BexGetData("DP_1","003N8EMH8GTFRCSWKMPXRRRFI","GSON4212820104")</f>
        <v>#NAME?</v>
      </c>
      <c r="G2362" s="4" t="e">
        <f ca="1">[1]!BexGetData("DP_1","003N8EMH8GTFRCSWKMPXRRXR2","GSON4212820104")</f>
        <v>#NAME?</v>
      </c>
      <c r="H2362" s="4" t="e">
        <f ca="1">[1]!BexGetData("DP_1","003N8EMH8GTFRCSWKMPXRS42M","GSON4212820104")</f>
        <v>#NAME?</v>
      </c>
      <c r="I2362" s="4" t="e">
        <f ca="1">[1]!BexGetData("DP_1","003N8EMH8GTFRCSWKMPXRSAE6","GSON4212820104")</f>
        <v>#NAME?</v>
      </c>
      <c r="J2362" s="4" t="e">
        <f ca="1">[1]!BexGetData("DP_1","003N8EMH8GTFRCSWKMPXRSGPQ","GSON4212820104")</f>
        <v>#NAME?</v>
      </c>
      <c r="K2362" s="3" t="e">
        <f ca="1">[1]!BexGetData("DP_1","003N8EMH8GTFRIVNUPY288VJH","GSON4212820104")</f>
        <v>#NAME?</v>
      </c>
      <c r="L2362" s="3" t="e">
        <f ca="1">[1]!BexGetData("DP_1","003N8EMH8GTFRIVNUPY2891V1","GSON4212820104")</f>
        <v>#NAME?</v>
      </c>
      <c r="M2362" s="3" t="e">
        <f ca="1">[1]!BexGetData("DP_1","003N8EMH8GTFRIVOG7KG9IQXA","GSON4212820104")</f>
        <v>#NAME?</v>
      </c>
      <c r="N2362" s="8" t="e">
        <f ca="1">[1]!BexGetData("DP_1","003N8EMH8GTFRIVOG7KG9IX8U","GSON4212820104")</f>
        <v>#NAME?</v>
      </c>
      <c r="O2362" s="3" t="e">
        <f ca="1">[1]!BexGetData("DP_1","003N8EMH8GTFRIVOG7KG9J3KE","GSON4212820104")</f>
        <v>#NAME?</v>
      </c>
      <c r="P2362" s="8" t="e">
        <f ca="1">[1]!BexGetData("DP_1","003N8EMH8GTFRIVOG7KG9J9VY","GSON4212820104")</f>
        <v>#NAME?</v>
      </c>
      <c r="Q2362" s="4" t="e">
        <f ca="1">[1]!BexGetData("DP_1","00O2TNJGODT0G5Z4TTKYMM5MT","GSON4212820104")</f>
        <v>#NAME?</v>
      </c>
      <c r="R2362" s="4" t="e">
        <f ca="1">[1]!BexGetData("DP_1","00O2TNJGODT0G5Z4TTKYMMBYD","GSON4212820104")</f>
        <v>#NAME?</v>
      </c>
      <c r="S2362" s="4" t="e">
        <f ca="1">[1]!BexGetData("DP_1","00O2TNJGODT0G5Z4TTKYMMI9X","GSON4212820104")</f>
        <v>#NAME?</v>
      </c>
      <c r="T2362" s="4" t="e">
        <f ca="1">[1]!BexGetData("DP_1","00O2TNJGODT0G5Z4TTKYMMOLH","GSON4212820104")</f>
        <v>#NAME?</v>
      </c>
      <c r="U2362" s="4" t="e">
        <f ca="1">[1]!BexGetData("DP_1","00O2TNJGODT0G5Z4TTKYMMUX1","GSON4212820104")</f>
        <v>#NAME?</v>
      </c>
      <c r="V2362" s="4" t="e">
        <f ca="1">[1]!BexGetData("DP_1","00O2TNJGODT0G5Z4TTKYMN18L","GSON4212820104")</f>
        <v>#NAME?</v>
      </c>
      <c r="W2362" s="4" t="e">
        <f ca="1">[1]!BexGetData("DP_1","00O2TNJGODT0G5Z4TTKYMN7K5","GSON4212820104")</f>
        <v>#NAME?</v>
      </c>
    </row>
    <row r="2363" spans="1:23" x14ac:dyDescent="0.2">
      <c r="A2363" s="16" t="s">
        <v>4967</v>
      </c>
      <c r="B2363" s="7" t="s">
        <v>4968</v>
      </c>
      <c r="C2363" s="3" t="e">
        <f ca="1">[1]!BexGetData("DP_1","003N8EMH8GTFRCSWKMPXRR8GU","GSON4212820105")</f>
        <v>#NAME?</v>
      </c>
      <c r="D2363" s="3" t="e">
        <f ca="1">[1]!BexGetData("DP_1","003N8EMH8GTFRCSWKMPXRRESE","GSON4212820105")</f>
        <v>#NAME?</v>
      </c>
      <c r="E2363" s="3" t="e">
        <f ca="1">[1]!BexGetData("DP_1","003N8EMH8GTFRCSWKMPXRRL3Y","GSON4212820105")</f>
        <v>#NAME?</v>
      </c>
      <c r="F2363" s="4" t="e">
        <f ca="1">[1]!BexGetData("DP_1","003N8EMH8GTFRCSWKMPXRRRFI","GSON4212820105")</f>
        <v>#NAME?</v>
      </c>
      <c r="G2363" s="4" t="e">
        <f ca="1">[1]!BexGetData("DP_1","003N8EMH8GTFRCSWKMPXRRXR2","GSON4212820105")</f>
        <v>#NAME?</v>
      </c>
      <c r="H2363" s="4" t="e">
        <f ca="1">[1]!BexGetData("DP_1","003N8EMH8GTFRCSWKMPXRS42M","GSON4212820105")</f>
        <v>#NAME?</v>
      </c>
      <c r="I2363" s="4" t="e">
        <f ca="1">[1]!BexGetData("DP_1","003N8EMH8GTFRCSWKMPXRSAE6","GSON4212820105")</f>
        <v>#NAME?</v>
      </c>
      <c r="J2363" s="4" t="e">
        <f ca="1">[1]!BexGetData("DP_1","003N8EMH8GTFRCSWKMPXRSGPQ","GSON4212820105")</f>
        <v>#NAME?</v>
      </c>
      <c r="K2363" s="3" t="e">
        <f ca="1">[1]!BexGetData("DP_1","003N8EMH8GTFRIVNUPY288VJH","GSON4212820105")</f>
        <v>#NAME?</v>
      </c>
      <c r="L2363" s="3" t="e">
        <f ca="1">[1]!BexGetData("DP_1","003N8EMH8GTFRIVNUPY2891V1","GSON4212820105")</f>
        <v>#NAME?</v>
      </c>
      <c r="M2363" s="3" t="e">
        <f ca="1">[1]!BexGetData("DP_1","003N8EMH8GTFRIVOG7KG9IQXA","GSON4212820105")</f>
        <v>#NAME?</v>
      </c>
      <c r="N2363" s="8" t="e">
        <f ca="1">[1]!BexGetData("DP_1","003N8EMH8GTFRIVOG7KG9IX8U","GSON4212820105")</f>
        <v>#NAME?</v>
      </c>
      <c r="O2363" s="3" t="e">
        <f ca="1">[1]!BexGetData("DP_1","003N8EMH8GTFRIVOG7KG9J3KE","GSON4212820105")</f>
        <v>#NAME?</v>
      </c>
      <c r="P2363" s="8" t="e">
        <f ca="1">[1]!BexGetData("DP_1","003N8EMH8GTFRIVOG7KG9J9VY","GSON4212820105")</f>
        <v>#NAME?</v>
      </c>
      <c r="Q2363" s="4" t="e">
        <f ca="1">[1]!BexGetData("DP_1","00O2TNJGODT0G5Z4TTKYMM5MT","GSON4212820105")</f>
        <v>#NAME?</v>
      </c>
      <c r="R2363" s="4" t="e">
        <f ca="1">[1]!BexGetData("DP_1","00O2TNJGODT0G5Z4TTKYMMBYD","GSON4212820105")</f>
        <v>#NAME?</v>
      </c>
      <c r="S2363" s="4" t="e">
        <f ca="1">[1]!BexGetData("DP_1","00O2TNJGODT0G5Z4TTKYMMI9X","GSON4212820105")</f>
        <v>#NAME?</v>
      </c>
      <c r="T2363" s="4" t="e">
        <f ca="1">[1]!BexGetData("DP_1","00O2TNJGODT0G5Z4TTKYMMOLH","GSON4212820105")</f>
        <v>#NAME?</v>
      </c>
      <c r="U2363" s="4" t="e">
        <f ca="1">[1]!BexGetData("DP_1","00O2TNJGODT0G5Z4TTKYMMUX1","GSON4212820105")</f>
        <v>#NAME?</v>
      </c>
      <c r="V2363" s="4" t="e">
        <f ca="1">[1]!BexGetData("DP_1","00O2TNJGODT0G5Z4TTKYMN18L","GSON4212820105")</f>
        <v>#NAME?</v>
      </c>
      <c r="W2363" s="4" t="e">
        <f ca="1">[1]!BexGetData("DP_1","00O2TNJGODT0G5Z4TTKYMN7K5","GSON4212820105")</f>
        <v>#NAME?</v>
      </c>
    </row>
    <row r="2364" spans="1:23" x14ac:dyDescent="0.2">
      <c r="A2364" s="16" t="s">
        <v>4969</v>
      </c>
      <c r="B2364" s="7" t="s">
        <v>4970</v>
      </c>
      <c r="C2364" s="3" t="e">
        <f ca="1">[1]!BexGetData("DP_1","003N8EMH8GTFRCSWKMPXRR8GU","GSON4212820201")</f>
        <v>#NAME?</v>
      </c>
      <c r="D2364" s="3" t="e">
        <f ca="1">[1]!BexGetData("DP_1","003N8EMH8GTFRCSWKMPXRRESE","GSON4212820201")</f>
        <v>#NAME?</v>
      </c>
      <c r="E2364" s="3" t="e">
        <f ca="1">[1]!BexGetData("DP_1","003N8EMH8GTFRCSWKMPXRRL3Y","GSON4212820201")</f>
        <v>#NAME?</v>
      </c>
      <c r="F2364" s="4" t="e">
        <f ca="1">[1]!BexGetData("DP_1","003N8EMH8GTFRCSWKMPXRRRFI","GSON4212820201")</f>
        <v>#NAME?</v>
      </c>
      <c r="G2364" s="4" t="e">
        <f ca="1">[1]!BexGetData("DP_1","003N8EMH8GTFRCSWKMPXRRXR2","GSON4212820201")</f>
        <v>#NAME?</v>
      </c>
      <c r="H2364" s="4" t="e">
        <f ca="1">[1]!BexGetData("DP_1","003N8EMH8GTFRCSWKMPXRS42M","GSON4212820201")</f>
        <v>#NAME?</v>
      </c>
      <c r="I2364" s="4" t="e">
        <f ca="1">[1]!BexGetData("DP_1","003N8EMH8GTFRCSWKMPXRSAE6","GSON4212820201")</f>
        <v>#NAME?</v>
      </c>
      <c r="J2364" s="4" t="e">
        <f ca="1">[1]!BexGetData("DP_1","003N8EMH8GTFRCSWKMPXRSGPQ","GSON4212820201")</f>
        <v>#NAME?</v>
      </c>
      <c r="K2364" s="3" t="e">
        <f ca="1">[1]!BexGetData("DP_1","003N8EMH8GTFRIVNUPY288VJH","GSON4212820201")</f>
        <v>#NAME?</v>
      </c>
      <c r="L2364" s="3" t="e">
        <f ca="1">[1]!BexGetData("DP_1","003N8EMH8GTFRIVNUPY2891V1","GSON4212820201")</f>
        <v>#NAME?</v>
      </c>
      <c r="M2364" s="3" t="e">
        <f ca="1">[1]!BexGetData("DP_1","003N8EMH8GTFRIVOG7KG9IQXA","GSON4212820201")</f>
        <v>#NAME?</v>
      </c>
      <c r="N2364" s="8" t="e">
        <f ca="1">[1]!BexGetData("DP_1","003N8EMH8GTFRIVOG7KG9IX8U","GSON4212820201")</f>
        <v>#NAME?</v>
      </c>
      <c r="O2364" s="3" t="e">
        <f ca="1">[1]!BexGetData("DP_1","003N8EMH8GTFRIVOG7KG9J3KE","GSON4212820201")</f>
        <v>#NAME?</v>
      </c>
      <c r="P2364" s="8" t="e">
        <f ca="1">[1]!BexGetData("DP_1","003N8EMH8GTFRIVOG7KG9J9VY","GSON4212820201")</f>
        <v>#NAME?</v>
      </c>
      <c r="Q2364" s="4" t="e">
        <f ca="1">[1]!BexGetData("DP_1","00O2TNJGODT0G5Z4TTKYMM5MT","GSON4212820201")</f>
        <v>#NAME?</v>
      </c>
      <c r="R2364" s="4" t="e">
        <f ca="1">[1]!BexGetData("DP_1","00O2TNJGODT0G5Z4TTKYMMBYD","GSON4212820201")</f>
        <v>#NAME?</v>
      </c>
      <c r="S2364" s="4" t="e">
        <f ca="1">[1]!BexGetData("DP_1","00O2TNJGODT0G5Z4TTKYMMI9X","GSON4212820201")</f>
        <v>#NAME?</v>
      </c>
      <c r="T2364" s="4" t="e">
        <f ca="1">[1]!BexGetData("DP_1","00O2TNJGODT0G5Z4TTKYMMOLH","GSON4212820201")</f>
        <v>#NAME?</v>
      </c>
      <c r="U2364" s="4" t="e">
        <f ca="1">[1]!BexGetData("DP_1","00O2TNJGODT0G5Z4TTKYMMUX1","GSON4212820201")</f>
        <v>#NAME?</v>
      </c>
      <c r="V2364" s="4" t="e">
        <f ca="1">[1]!BexGetData("DP_1","00O2TNJGODT0G5Z4TTKYMN18L","GSON4212820201")</f>
        <v>#NAME?</v>
      </c>
      <c r="W2364" s="4" t="e">
        <f ca="1">[1]!BexGetData("DP_1","00O2TNJGODT0G5Z4TTKYMN7K5","GSON4212820201")</f>
        <v>#NAME?</v>
      </c>
    </row>
    <row r="2365" spans="1:23" x14ac:dyDescent="0.2">
      <c r="A2365" s="16" t="s">
        <v>4971</v>
      </c>
      <c r="B2365" s="7" t="s">
        <v>4972</v>
      </c>
      <c r="C2365" s="3" t="e">
        <f ca="1">[1]!BexGetData("DP_1","003N8EMH8GTFRCSWKMPXRR8GU","GSON4212820301")</f>
        <v>#NAME?</v>
      </c>
      <c r="D2365" s="3" t="e">
        <f ca="1">[1]!BexGetData("DP_1","003N8EMH8GTFRCSWKMPXRRESE","GSON4212820301")</f>
        <v>#NAME?</v>
      </c>
      <c r="E2365" s="3" t="e">
        <f ca="1">[1]!BexGetData("DP_1","003N8EMH8GTFRCSWKMPXRRL3Y","GSON4212820301")</f>
        <v>#NAME?</v>
      </c>
      <c r="F2365" s="4" t="e">
        <f ca="1">[1]!BexGetData("DP_1","003N8EMH8GTFRCSWKMPXRRRFI","GSON4212820301")</f>
        <v>#NAME?</v>
      </c>
      <c r="G2365" s="4" t="e">
        <f ca="1">[1]!BexGetData("DP_1","003N8EMH8GTFRCSWKMPXRRXR2","GSON4212820301")</f>
        <v>#NAME?</v>
      </c>
      <c r="H2365" s="4" t="e">
        <f ca="1">[1]!BexGetData("DP_1","003N8EMH8GTFRCSWKMPXRS42M","GSON4212820301")</f>
        <v>#NAME?</v>
      </c>
      <c r="I2365" s="4" t="e">
        <f ca="1">[1]!BexGetData("DP_1","003N8EMH8GTFRCSWKMPXRSAE6","GSON4212820301")</f>
        <v>#NAME?</v>
      </c>
      <c r="J2365" s="4" t="e">
        <f ca="1">[1]!BexGetData("DP_1","003N8EMH8GTFRCSWKMPXRSGPQ","GSON4212820301")</f>
        <v>#NAME?</v>
      </c>
      <c r="K2365" s="3" t="e">
        <f ca="1">[1]!BexGetData("DP_1","003N8EMH8GTFRIVNUPY288VJH","GSON4212820301")</f>
        <v>#NAME?</v>
      </c>
      <c r="L2365" s="3" t="e">
        <f ca="1">[1]!BexGetData("DP_1","003N8EMH8GTFRIVNUPY2891V1","GSON4212820301")</f>
        <v>#NAME?</v>
      </c>
      <c r="M2365" s="3" t="e">
        <f ca="1">[1]!BexGetData("DP_1","003N8EMH8GTFRIVOG7KG9IQXA","GSON4212820301")</f>
        <v>#NAME?</v>
      </c>
      <c r="N2365" s="8" t="e">
        <f ca="1">[1]!BexGetData("DP_1","003N8EMH8GTFRIVOG7KG9IX8U","GSON4212820301")</f>
        <v>#NAME?</v>
      </c>
      <c r="O2365" s="3" t="e">
        <f ca="1">[1]!BexGetData("DP_1","003N8EMH8GTFRIVOG7KG9J3KE","GSON4212820301")</f>
        <v>#NAME?</v>
      </c>
      <c r="P2365" s="8" t="e">
        <f ca="1">[1]!BexGetData("DP_1","003N8EMH8GTFRIVOG7KG9J9VY","GSON4212820301")</f>
        <v>#NAME?</v>
      </c>
      <c r="Q2365" s="4" t="e">
        <f ca="1">[1]!BexGetData("DP_1","00O2TNJGODT0G5Z4TTKYMM5MT","GSON4212820301")</f>
        <v>#NAME?</v>
      </c>
      <c r="R2365" s="4" t="e">
        <f ca="1">[1]!BexGetData("DP_1","00O2TNJGODT0G5Z4TTKYMMBYD","GSON4212820301")</f>
        <v>#NAME?</v>
      </c>
      <c r="S2365" s="4" t="e">
        <f ca="1">[1]!BexGetData("DP_1","00O2TNJGODT0G5Z4TTKYMMI9X","GSON4212820301")</f>
        <v>#NAME?</v>
      </c>
      <c r="T2365" s="4" t="e">
        <f ca="1">[1]!BexGetData("DP_1","00O2TNJGODT0G5Z4TTKYMMOLH","GSON4212820301")</f>
        <v>#NAME?</v>
      </c>
      <c r="U2365" s="4" t="e">
        <f ca="1">[1]!BexGetData("DP_1","00O2TNJGODT0G5Z4TTKYMMUX1","GSON4212820301")</f>
        <v>#NAME?</v>
      </c>
      <c r="V2365" s="4" t="e">
        <f ca="1">[1]!BexGetData("DP_1","00O2TNJGODT0G5Z4TTKYMN18L","GSON4212820301")</f>
        <v>#NAME?</v>
      </c>
      <c r="W2365" s="4" t="e">
        <f ca="1">[1]!BexGetData("DP_1","00O2TNJGODT0G5Z4TTKYMN7K5","GSON4212820301")</f>
        <v>#NAME?</v>
      </c>
    </row>
    <row r="2366" spans="1:23" x14ac:dyDescent="0.2">
      <c r="A2366" s="16" t="s">
        <v>4973</v>
      </c>
      <c r="B2366" s="7" t="s">
        <v>4974</v>
      </c>
      <c r="C2366" s="3" t="e">
        <f ca="1">[1]!BexGetData("DP_1","003N8EMH8GTFRCSWKMPXRR8GU","GSON4212820302")</f>
        <v>#NAME?</v>
      </c>
      <c r="D2366" s="3" t="e">
        <f ca="1">[1]!BexGetData("DP_1","003N8EMH8GTFRCSWKMPXRRESE","GSON4212820302")</f>
        <v>#NAME?</v>
      </c>
      <c r="E2366" s="3" t="e">
        <f ca="1">[1]!BexGetData("DP_1","003N8EMH8GTFRCSWKMPXRRL3Y","GSON4212820302")</f>
        <v>#NAME?</v>
      </c>
      <c r="F2366" s="4" t="e">
        <f ca="1">[1]!BexGetData("DP_1","003N8EMH8GTFRCSWKMPXRRRFI","GSON4212820302")</f>
        <v>#NAME?</v>
      </c>
      <c r="G2366" s="4" t="e">
        <f ca="1">[1]!BexGetData("DP_1","003N8EMH8GTFRCSWKMPXRRXR2","GSON4212820302")</f>
        <v>#NAME?</v>
      </c>
      <c r="H2366" s="4" t="e">
        <f ca="1">[1]!BexGetData("DP_1","003N8EMH8GTFRCSWKMPXRS42M","GSON4212820302")</f>
        <v>#NAME?</v>
      </c>
      <c r="I2366" s="4" t="e">
        <f ca="1">[1]!BexGetData("DP_1","003N8EMH8GTFRCSWKMPXRSAE6","GSON4212820302")</f>
        <v>#NAME?</v>
      </c>
      <c r="J2366" s="4" t="e">
        <f ca="1">[1]!BexGetData("DP_1","003N8EMH8GTFRCSWKMPXRSGPQ","GSON4212820302")</f>
        <v>#NAME?</v>
      </c>
      <c r="K2366" s="3" t="e">
        <f ca="1">[1]!BexGetData("DP_1","003N8EMH8GTFRIVNUPY288VJH","GSON4212820302")</f>
        <v>#NAME?</v>
      </c>
      <c r="L2366" s="3" t="e">
        <f ca="1">[1]!BexGetData("DP_1","003N8EMH8GTFRIVNUPY2891V1","GSON4212820302")</f>
        <v>#NAME?</v>
      </c>
      <c r="M2366" s="3" t="e">
        <f ca="1">[1]!BexGetData("DP_1","003N8EMH8GTFRIVOG7KG9IQXA","GSON4212820302")</f>
        <v>#NAME?</v>
      </c>
      <c r="N2366" s="8" t="e">
        <f ca="1">[1]!BexGetData("DP_1","003N8EMH8GTFRIVOG7KG9IX8U","GSON4212820302")</f>
        <v>#NAME?</v>
      </c>
      <c r="O2366" s="3" t="e">
        <f ca="1">[1]!BexGetData("DP_1","003N8EMH8GTFRIVOG7KG9J3KE","GSON4212820302")</f>
        <v>#NAME?</v>
      </c>
      <c r="P2366" s="8" t="e">
        <f ca="1">[1]!BexGetData("DP_1","003N8EMH8GTFRIVOG7KG9J9VY","GSON4212820302")</f>
        <v>#NAME?</v>
      </c>
      <c r="Q2366" s="4" t="e">
        <f ca="1">[1]!BexGetData("DP_1","00O2TNJGODT0G5Z4TTKYMM5MT","GSON4212820302")</f>
        <v>#NAME?</v>
      </c>
      <c r="R2366" s="4" t="e">
        <f ca="1">[1]!BexGetData("DP_1","00O2TNJGODT0G5Z4TTKYMMBYD","GSON4212820302")</f>
        <v>#NAME?</v>
      </c>
      <c r="S2366" s="4" t="e">
        <f ca="1">[1]!BexGetData("DP_1","00O2TNJGODT0G5Z4TTKYMMI9X","GSON4212820302")</f>
        <v>#NAME?</v>
      </c>
      <c r="T2366" s="4" t="e">
        <f ca="1">[1]!BexGetData("DP_1","00O2TNJGODT0G5Z4TTKYMMOLH","GSON4212820302")</f>
        <v>#NAME?</v>
      </c>
      <c r="U2366" s="4" t="e">
        <f ca="1">[1]!BexGetData("DP_1","00O2TNJGODT0G5Z4TTKYMMUX1","GSON4212820302")</f>
        <v>#NAME?</v>
      </c>
      <c r="V2366" s="4" t="e">
        <f ca="1">[1]!BexGetData("DP_1","00O2TNJGODT0G5Z4TTKYMN18L","GSON4212820302")</f>
        <v>#NAME?</v>
      </c>
      <c r="W2366" s="4" t="e">
        <f ca="1">[1]!BexGetData("DP_1","00O2TNJGODT0G5Z4TTKYMN7K5","GSON4212820302")</f>
        <v>#NAME?</v>
      </c>
    </row>
    <row r="2367" spans="1:23" x14ac:dyDescent="0.2">
      <c r="A2367" s="16" t="s">
        <v>4975</v>
      </c>
      <c r="B2367" s="7" t="s">
        <v>4976</v>
      </c>
      <c r="C2367" s="8" t="e">
        <f ca="1">[1]!BexGetData("DP_1","003N8EMH8GTFRCSWKMPXRR8GU","GSON4212820401")</f>
        <v>#NAME?</v>
      </c>
      <c r="D2367" s="3" t="e">
        <f ca="1">[1]!BexGetData("DP_1","003N8EMH8GTFRCSWKMPXRRESE","GSON4212820401")</f>
        <v>#NAME?</v>
      </c>
      <c r="E2367" s="3" t="e">
        <f ca="1">[1]!BexGetData("DP_1","003N8EMH8GTFRCSWKMPXRRL3Y","GSON4212820401")</f>
        <v>#NAME?</v>
      </c>
      <c r="F2367" s="4" t="e">
        <f ca="1">[1]!BexGetData("DP_1","003N8EMH8GTFRCSWKMPXRRRFI","GSON4212820401")</f>
        <v>#NAME?</v>
      </c>
      <c r="G2367" s="4" t="e">
        <f ca="1">[1]!BexGetData("DP_1","003N8EMH8GTFRCSWKMPXRRXR2","GSON4212820401")</f>
        <v>#NAME?</v>
      </c>
      <c r="H2367" s="4" t="e">
        <f ca="1">[1]!BexGetData("DP_1","003N8EMH8GTFRCSWKMPXRS42M","GSON4212820401")</f>
        <v>#NAME?</v>
      </c>
      <c r="I2367" s="4" t="e">
        <f ca="1">[1]!BexGetData("DP_1","003N8EMH8GTFRCSWKMPXRSAE6","GSON4212820401")</f>
        <v>#NAME?</v>
      </c>
      <c r="J2367" s="4" t="e">
        <f ca="1">[1]!BexGetData("DP_1","003N8EMH8GTFRCSWKMPXRSGPQ","GSON4212820401")</f>
        <v>#NAME?</v>
      </c>
      <c r="K2367" s="3" t="e">
        <f ca="1">[1]!BexGetData("DP_1","003N8EMH8GTFRIVNUPY288VJH","GSON4212820401")</f>
        <v>#NAME?</v>
      </c>
      <c r="L2367" s="3" t="e">
        <f ca="1">[1]!BexGetData("DP_1","003N8EMH8GTFRIVNUPY2891V1","GSON4212820401")</f>
        <v>#NAME?</v>
      </c>
      <c r="M2367" s="3" t="e">
        <f ca="1">[1]!BexGetData("DP_1","003N8EMH8GTFRIVOG7KG9IQXA","GSON4212820401")</f>
        <v>#NAME?</v>
      </c>
      <c r="N2367" s="8" t="e">
        <f ca="1">[1]!BexGetData("DP_1","003N8EMH8GTFRIVOG7KG9IX8U","GSON4212820401")</f>
        <v>#NAME?</v>
      </c>
      <c r="O2367" s="3" t="e">
        <f ca="1">[1]!BexGetData("DP_1","003N8EMH8GTFRIVOG7KG9J3KE","GSON4212820401")</f>
        <v>#NAME?</v>
      </c>
      <c r="P2367" s="8" t="e">
        <f ca="1">[1]!BexGetData("DP_1","003N8EMH8GTFRIVOG7KG9J9VY","GSON4212820401")</f>
        <v>#NAME?</v>
      </c>
      <c r="Q2367" s="4" t="e">
        <f ca="1">[1]!BexGetData("DP_1","00O2TNJGODT0G5Z4TTKYMM5MT","GSON4212820401")</f>
        <v>#NAME?</v>
      </c>
      <c r="R2367" s="4" t="e">
        <f ca="1">[1]!BexGetData("DP_1","00O2TNJGODT0G5Z4TTKYMMBYD","GSON4212820401")</f>
        <v>#NAME?</v>
      </c>
      <c r="S2367" s="4" t="e">
        <f ca="1">[1]!BexGetData("DP_1","00O2TNJGODT0G5Z4TTKYMMI9X","GSON4212820401")</f>
        <v>#NAME?</v>
      </c>
      <c r="T2367" s="4" t="e">
        <f ca="1">[1]!BexGetData("DP_1","00O2TNJGODT0G5Z4TTKYMMOLH","GSON4212820401")</f>
        <v>#NAME?</v>
      </c>
      <c r="U2367" s="4" t="e">
        <f ca="1">[1]!BexGetData("DP_1","00O2TNJGODT0G5Z4TTKYMMUX1","GSON4212820401")</f>
        <v>#NAME?</v>
      </c>
      <c r="V2367" s="4" t="e">
        <f ca="1">[1]!BexGetData("DP_1","00O2TNJGODT0G5Z4TTKYMN18L","GSON4212820401")</f>
        <v>#NAME?</v>
      </c>
      <c r="W2367" s="4" t="e">
        <f ca="1">[1]!BexGetData("DP_1","00O2TNJGODT0G5Z4TTKYMN7K5","GSON4212820401")</f>
        <v>#NAME?</v>
      </c>
    </row>
    <row r="2368" spans="1:23" x14ac:dyDescent="0.2">
      <c r="A2368" s="16" t="s">
        <v>4977</v>
      </c>
      <c r="B2368" s="7" t="s">
        <v>4978</v>
      </c>
      <c r="C2368" s="3" t="e">
        <f ca="1">[1]!BexGetData("DP_1","003N8EMH8GTFRCSWKMPXRR8GU","GSON4212820501")</f>
        <v>#NAME?</v>
      </c>
      <c r="D2368" s="3" t="e">
        <f ca="1">[1]!BexGetData("DP_1","003N8EMH8GTFRCSWKMPXRRESE","GSON4212820501")</f>
        <v>#NAME?</v>
      </c>
      <c r="E2368" s="3" t="e">
        <f ca="1">[1]!BexGetData("DP_1","003N8EMH8GTFRCSWKMPXRRL3Y","GSON4212820501")</f>
        <v>#NAME?</v>
      </c>
      <c r="F2368" s="4" t="e">
        <f ca="1">[1]!BexGetData("DP_1","003N8EMH8GTFRCSWKMPXRRRFI","GSON4212820501")</f>
        <v>#NAME?</v>
      </c>
      <c r="G2368" s="4" t="e">
        <f ca="1">[1]!BexGetData("DP_1","003N8EMH8GTFRCSWKMPXRRXR2","GSON4212820501")</f>
        <v>#NAME?</v>
      </c>
      <c r="H2368" s="4" t="e">
        <f ca="1">[1]!BexGetData("DP_1","003N8EMH8GTFRCSWKMPXRS42M","GSON4212820501")</f>
        <v>#NAME?</v>
      </c>
      <c r="I2368" s="4" t="e">
        <f ca="1">[1]!BexGetData("DP_1","003N8EMH8GTFRCSWKMPXRSAE6","GSON4212820501")</f>
        <v>#NAME?</v>
      </c>
      <c r="J2368" s="4" t="e">
        <f ca="1">[1]!BexGetData("DP_1","003N8EMH8GTFRCSWKMPXRSGPQ","GSON4212820501")</f>
        <v>#NAME?</v>
      </c>
      <c r="K2368" s="3" t="e">
        <f ca="1">[1]!BexGetData("DP_1","003N8EMH8GTFRIVNUPY288VJH","GSON4212820501")</f>
        <v>#NAME?</v>
      </c>
      <c r="L2368" s="3" t="e">
        <f ca="1">[1]!BexGetData("DP_1","003N8EMH8GTFRIVNUPY2891V1","GSON4212820501")</f>
        <v>#NAME?</v>
      </c>
      <c r="M2368" s="3" t="e">
        <f ca="1">[1]!BexGetData("DP_1","003N8EMH8GTFRIVOG7KG9IQXA","GSON4212820501")</f>
        <v>#NAME?</v>
      </c>
      <c r="N2368" s="8" t="e">
        <f ca="1">[1]!BexGetData("DP_1","003N8EMH8GTFRIVOG7KG9IX8U","GSON4212820501")</f>
        <v>#NAME?</v>
      </c>
      <c r="O2368" s="3" t="e">
        <f ca="1">[1]!BexGetData("DP_1","003N8EMH8GTFRIVOG7KG9J3KE","GSON4212820501")</f>
        <v>#NAME?</v>
      </c>
      <c r="P2368" s="8" t="e">
        <f ca="1">[1]!BexGetData("DP_1","003N8EMH8GTFRIVOG7KG9J9VY","GSON4212820501")</f>
        <v>#NAME?</v>
      </c>
      <c r="Q2368" s="4" t="e">
        <f ca="1">[1]!BexGetData("DP_1","00O2TNJGODT0G5Z4TTKYMM5MT","GSON4212820501")</f>
        <v>#NAME?</v>
      </c>
      <c r="R2368" s="4" t="e">
        <f ca="1">[1]!BexGetData("DP_1","00O2TNJGODT0G5Z4TTKYMMBYD","GSON4212820501")</f>
        <v>#NAME?</v>
      </c>
      <c r="S2368" s="4" t="e">
        <f ca="1">[1]!BexGetData("DP_1","00O2TNJGODT0G5Z4TTKYMMI9X","GSON4212820501")</f>
        <v>#NAME?</v>
      </c>
      <c r="T2368" s="4" t="e">
        <f ca="1">[1]!BexGetData("DP_1","00O2TNJGODT0G5Z4TTKYMMOLH","GSON4212820501")</f>
        <v>#NAME?</v>
      </c>
      <c r="U2368" s="4" t="e">
        <f ca="1">[1]!BexGetData("DP_1","00O2TNJGODT0G5Z4TTKYMMUX1","GSON4212820501")</f>
        <v>#NAME?</v>
      </c>
      <c r="V2368" s="4" t="e">
        <f ca="1">[1]!BexGetData("DP_1","00O2TNJGODT0G5Z4TTKYMN18L","GSON4212820501")</f>
        <v>#NAME?</v>
      </c>
      <c r="W2368" s="4" t="e">
        <f ca="1">[1]!BexGetData("DP_1","00O2TNJGODT0G5Z4TTKYMN7K5","GSON4212820501")</f>
        <v>#NAME?</v>
      </c>
    </row>
    <row r="2369" spans="1:23" x14ac:dyDescent="0.2">
      <c r="A2369" s="16" t="s">
        <v>4979</v>
      </c>
      <c r="B2369" s="7" t="s">
        <v>4980</v>
      </c>
      <c r="C2369" s="3" t="e">
        <f ca="1">[1]!BexGetData("DP_1","003N8EMH8GTFRCSWKMPXRR8GU","GSON4212820502")</f>
        <v>#NAME?</v>
      </c>
      <c r="D2369" s="3" t="e">
        <f ca="1">[1]!BexGetData("DP_1","003N8EMH8GTFRCSWKMPXRRESE","GSON4212820502")</f>
        <v>#NAME?</v>
      </c>
      <c r="E2369" s="3" t="e">
        <f ca="1">[1]!BexGetData("DP_1","003N8EMH8GTFRCSWKMPXRRL3Y","GSON4212820502")</f>
        <v>#NAME?</v>
      </c>
      <c r="F2369" s="4" t="e">
        <f ca="1">[1]!BexGetData("DP_1","003N8EMH8GTFRCSWKMPXRRRFI","GSON4212820502")</f>
        <v>#NAME?</v>
      </c>
      <c r="G2369" s="4" t="e">
        <f ca="1">[1]!BexGetData("DP_1","003N8EMH8GTFRCSWKMPXRRXR2","GSON4212820502")</f>
        <v>#NAME?</v>
      </c>
      <c r="H2369" s="4" t="e">
        <f ca="1">[1]!BexGetData("DP_1","003N8EMH8GTFRCSWKMPXRS42M","GSON4212820502")</f>
        <v>#NAME?</v>
      </c>
      <c r="I2369" s="4" t="e">
        <f ca="1">[1]!BexGetData("DP_1","003N8EMH8GTFRCSWKMPXRSAE6","GSON4212820502")</f>
        <v>#NAME?</v>
      </c>
      <c r="J2369" s="4" t="e">
        <f ca="1">[1]!BexGetData("DP_1","003N8EMH8GTFRCSWKMPXRSGPQ","GSON4212820502")</f>
        <v>#NAME?</v>
      </c>
      <c r="K2369" s="3" t="e">
        <f ca="1">[1]!BexGetData("DP_1","003N8EMH8GTFRIVNUPY288VJH","GSON4212820502")</f>
        <v>#NAME?</v>
      </c>
      <c r="L2369" s="3" t="e">
        <f ca="1">[1]!BexGetData("DP_1","003N8EMH8GTFRIVNUPY2891V1","GSON4212820502")</f>
        <v>#NAME?</v>
      </c>
      <c r="M2369" s="3" t="e">
        <f ca="1">[1]!BexGetData("DP_1","003N8EMH8GTFRIVOG7KG9IQXA","GSON4212820502")</f>
        <v>#NAME?</v>
      </c>
      <c r="N2369" s="8" t="e">
        <f ca="1">[1]!BexGetData("DP_1","003N8EMH8GTFRIVOG7KG9IX8U","GSON4212820502")</f>
        <v>#NAME?</v>
      </c>
      <c r="O2369" s="3" t="e">
        <f ca="1">[1]!BexGetData("DP_1","003N8EMH8GTFRIVOG7KG9J3KE","GSON4212820502")</f>
        <v>#NAME?</v>
      </c>
      <c r="P2369" s="8" t="e">
        <f ca="1">[1]!BexGetData("DP_1","003N8EMH8GTFRIVOG7KG9J9VY","GSON4212820502")</f>
        <v>#NAME?</v>
      </c>
      <c r="Q2369" s="4" t="e">
        <f ca="1">[1]!BexGetData("DP_1","00O2TNJGODT0G5Z4TTKYMM5MT","GSON4212820502")</f>
        <v>#NAME?</v>
      </c>
      <c r="R2369" s="4" t="e">
        <f ca="1">[1]!BexGetData("DP_1","00O2TNJGODT0G5Z4TTKYMMBYD","GSON4212820502")</f>
        <v>#NAME?</v>
      </c>
      <c r="S2369" s="4" t="e">
        <f ca="1">[1]!BexGetData("DP_1","00O2TNJGODT0G5Z4TTKYMMI9X","GSON4212820502")</f>
        <v>#NAME?</v>
      </c>
      <c r="T2369" s="4" t="e">
        <f ca="1">[1]!BexGetData("DP_1","00O2TNJGODT0G5Z4TTKYMMOLH","GSON4212820502")</f>
        <v>#NAME?</v>
      </c>
      <c r="U2369" s="4" t="e">
        <f ca="1">[1]!BexGetData("DP_1","00O2TNJGODT0G5Z4TTKYMMUX1","GSON4212820502")</f>
        <v>#NAME?</v>
      </c>
      <c r="V2369" s="4" t="e">
        <f ca="1">[1]!BexGetData("DP_1","00O2TNJGODT0G5Z4TTKYMN18L","GSON4212820502")</f>
        <v>#NAME?</v>
      </c>
      <c r="W2369" s="4" t="e">
        <f ca="1">[1]!BexGetData("DP_1","00O2TNJGODT0G5Z4TTKYMN7K5","GSON4212820502")</f>
        <v>#NAME?</v>
      </c>
    </row>
    <row r="2370" spans="1:23" x14ac:dyDescent="0.2">
      <c r="A2370" s="16" t="s">
        <v>4981</v>
      </c>
      <c r="B2370" s="7" t="s">
        <v>4982</v>
      </c>
      <c r="C2370" s="3" t="e">
        <f ca="1">[1]!BexGetData("DP_1","003N8EMH8GTFRCSWKMPXRR8GU","GSON4212820503")</f>
        <v>#NAME?</v>
      </c>
      <c r="D2370" s="3" t="e">
        <f ca="1">[1]!BexGetData("DP_1","003N8EMH8GTFRCSWKMPXRRESE","GSON4212820503")</f>
        <v>#NAME?</v>
      </c>
      <c r="E2370" s="3" t="e">
        <f ca="1">[1]!BexGetData("DP_1","003N8EMH8GTFRCSWKMPXRRL3Y","GSON4212820503")</f>
        <v>#NAME?</v>
      </c>
      <c r="F2370" s="4" t="e">
        <f ca="1">[1]!BexGetData("DP_1","003N8EMH8GTFRCSWKMPXRRRFI","GSON4212820503")</f>
        <v>#NAME?</v>
      </c>
      <c r="G2370" s="4" t="e">
        <f ca="1">[1]!BexGetData("DP_1","003N8EMH8GTFRCSWKMPXRRXR2","GSON4212820503")</f>
        <v>#NAME?</v>
      </c>
      <c r="H2370" s="4" t="e">
        <f ca="1">[1]!BexGetData("DP_1","003N8EMH8GTFRCSWKMPXRS42M","GSON4212820503")</f>
        <v>#NAME?</v>
      </c>
      <c r="I2370" s="4" t="e">
        <f ca="1">[1]!BexGetData("DP_1","003N8EMH8GTFRCSWKMPXRSAE6","GSON4212820503")</f>
        <v>#NAME?</v>
      </c>
      <c r="J2370" s="4" t="e">
        <f ca="1">[1]!BexGetData("DP_1","003N8EMH8GTFRCSWKMPXRSGPQ","GSON4212820503")</f>
        <v>#NAME?</v>
      </c>
      <c r="K2370" s="3" t="e">
        <f ca="1">[1]!BexGetData("DP_1","003N8EMH8GTFRIVNUPY288VJH","GSON4212820503")</f>
        <v>#NAME?</v>
      </c>
      <c r="L2370" s="3" t="e">
        <f ca="1">[1]!BexGetData("DP_1","003N8EMH8GTFRIVNUPY2891V1","GSON4212820503")</f>
        <v>#NAME?</v>
      </c>
      <c r="M2370" s="3" t="e">
        <f ca="1">[1]!BexGetData("DP_1","003N8EMH8GTFRIVOG7KG9IQXA","GSON4212820503")</f>
        <v>#NAME?</v>
      </c>
      <c r="N2370" s="8" t="e">
        <f ca="1">[1]!BexGetData("DP_1","003N8EMH8GTFRIVOG7KG9IX8U","GSON4212820503")</f>
        <v>#NAME?</v>
      </c>
      <c r="O2370" s="3" t="e">
        <f ca="1">[1]!BexGetData("DP_1","003N8EMH8GTFRIVOG7KG9J3KE","GSON4212820503")</f>
        <v>#NAME?</v>
      </c>
      <c r="P2370" s="8" t="e">
        <f ca="1">[1]!BexGetData("DP_1","003N8EMH8GTFRIVOG7KG9J9VY","GSON4212820503")</f>
        <v>#NAME?</v>
      </c>
      <c r="Q2370" s="4" t="e">
        <f ca="1">[1]!BexGetData("DP_1","00O2TNJGODT0G5Z4TTKYMM5MT","GSON4212820503")</f>
        <v>#NAME?</v>
      </c>
      <c r="R2370" s="4" t="e">
        <f ca="1">[1]!BexGetData("DP_1","00O2TNJGODT0G5Z4TTKYMMBYD","GSON4212820503")</f>
        <v>#NAME?</v>
      </c>
      <c r="S2370" s="4" t="e">
        <f ca="1">[1]!BexGetData("DP_1","00O2TNJGODT0G5Z4TTKYMMI9X","GSON4212820503")</f>
        <v>#NAME?</v>
      </c>
      <c r="T2370" s="4" t="e">
        <f ca="1">[1]!BexGetData("DP_1","00O2TNJGODT0G5Z4TTKYMMOLH","GSON4212820503")</f>
        <v>#NAME?</v>
      </c>
      <c r="U2370" s="4" t="e">
        <f ca="1">[1]!BexGetData("DP_1","00O2TNJGODT0G5Z4TTKYMMUX1","GSON4212820503")</f>
        <v>#NAME?</v>
      </c>
      <c r="V2370" s="4" t="e">
        <f ca="1">[1]!BexGetData("DP_1","00O2TNJGODT0G5Z4TTKYMN18L","GSON4212820503")</f>
        <v>#NAME?</v>
      </c>
      <c r="W2370" s="4" t="e">
        <f ca="1">[1]!BexGetData("DP_1","00O2TNJGODT0G5Z4TTKYMN7K5","GSON4212820503")</f>
        <v>#NAME?</v>
      </c>
    </row>
    <row r="2371" spans="1:23" x14ac:dyDescent="0.2">
      <c r="A2371" s="16" t="s">
        <v>4983</v>
      </c>
      <c r="B2371" s="7" t="s">
        <v>4984</v>
      </c>
      <c r="C2371" s="3" t="e">
        <f ca="1">[1]!BexGetData("DP_1","003N8EMH8GTFRCSWKMPXRR8GU","GSON4212820504")</f>
        <v>#NAME?</v>
      </c>
      <c r="D2371" s="3" t="e">
        <f ca="1">[1]!BexGetData("DP_1","003N8EMH8GTFRCSWKMPXRRESE","GSON4212820504")</f>
        <v>#NAME?</v>
      </c>
      <c r="E2371" s="3" t="e">
        <f ca="1">[1]!BexGetData("DP_1","003N8EMH8GTFRCSWKMPXRRL3Y","GSON4212820504")</f>
        <v>#NAME?</v>
      </c>
      <c r="F2371" s="4" t="e">
        <f ca="1">[1]!BexGetData("DP_1","003N8EMH8GTFRCSWKMPXRRRFI","GSON4212820504")</f>
        <v>#NAME?</v>
      </c>
      <c r="G2371" s="4" t="e">
        <f ca="1">[1]!BexGetData("DP_1","003N8EMH8GTFRCSWKMPXRRXR2","GSON4212820504")</f>
        <v>#NAME?</v>
      </c>
      <c r="H2371" s="4" t="e">
        <f ca="1">[1]!BexGetData("DP_1","003N8EMH8GTFRCSWKMPXRS42M","GSON4212820504")</f>
        <v>#NAME?</v>
      </c>
      <c r="I2371" s="4" t="e">
        <f ca="1">[1]!BexGetData("DP_1","003N8EMH8GTFRCSWKMPXRSAE6","GSON4212820504")</f>
        <v>#NAME?</v>
      </c>
      <c r="J2371" s="4" t="e">
        <f ca="1">[1]!BexGetData("DP_1","003N8EMH8GTFRCSWKMPXRSGPQ","GSON4212820504")</f>
        <v>#NAME?</v>
      </c>
      <c r="K2371" s="3" t="e">
        <f ca="1">[1]!BexGetData("DP_1","003N8EMH8GTFRIVNUPY288VJH","GSON4212820504")</f>
        <v>#NAME?</v>
      </c>
      <c r="L2371" s="3" t="e">
        <f ca="1">[1]!BexGetData("DP_1","003N8EMH8GTFRIVNUPY2891V1","GSON4212820504")</f>
        <v>#NAME?</v>
      </c>
      <c r="M2371" s="3" t="e">
        <f ca="1">[1]!BexGetData("DP_1","003N8EMH8GTFRIVOG7KG9IQXA","GSON4212820504")</f>
        <v>#NAME?</v>
      </c>
      <c r="N2371" s="8" t="e">
        <f ca="1">[1]!BexGetData("DP_1","003N8EMH8GTFRIVOG7KG9IX8U","GSON4212820504")</f>
        <v>#NAME?</v>
      </c>
      <c r="O2371" s="3" t="e">
        <f ca="1">[1]!BexGetData("DP_1","003N8EMH8GTFRIVOG7KG9J3KE","GSON4212820504")</f>
        <v>#NAME?</v>
      </c>
      <c r="P2371" s="8" t="e">
        <f ca="1">[1]!BexGetData("DP_1","003N8EMH8GTFRIVOG7KG9J9VY","GSON4212820504")</f>
        <v>#NAME?</v>
      </c>
      <c r="Q2371" s="4" t="e">
        <f ca="1">[1]!BexGetData("DP_1","00O2TNJGODT0G5Z4TTKYMM5MT","GSON4212820504")</f>
        <v>#NAME?</v>
      </c>
      <c r="R2371" s="4" t="e">
        <f ca="1">[1]!BexGetData("DP_1","00O2TNJGODT0G5Z4TTKYMMBYD","GSON4212820504")</f>
        <v>#NAME?</v>
      </c>
      <c r="S2371" s="4" t="e">
        <f ca="1">[1]!BexGetData("DP_1","00O2TNJGODT0G5Z4TTKYMMI9X","GSON4212820504")</f>
        <v>#NAME?</v>
      </c>
      <c r="T2371" s="4" t="e">
        <f ca="1">[1]!BexGetData("DP_1","00O2TNJGODT0G5Z4TTKYMMOLH","GSON4212820504")</f>
        <v>#NAME?</v>
      </c>
      <c r="U2371" s="4" t="e">
        <f ca="1">[1]!BexGetData("DP_1","00O2TNJGODT0G5Z4TTKYMMUX1","GSON4212820504")</f>
        <v>#NAME?</v>
      </c>
      <c r="V2371" s="4" t="e">
        <f ca="1">[1]!BexGetData("DP_1","00O2TNJGODT0G5Z4TTKYMN18L","GSON4212820504")</f>
        <v>#NAME?</v>
      </c>
      <c r="W2371" s="4" t="e">
        <f ca="1">[1]!BexGetData("DP_1","00O2TNJGODT0G5Z4TTKYMN7K5","GSON4212820504")</f>
        <v>#NAME?</v>
      </c>
    </row>
    <row r="2372" spans="1:23" x14ac:dyDescent="0.2">
      <c r="A2372" s="16" t="s">
        <v>4985</v>
      </c>
      <c r="B2372" s="7" t="s">
        <v>4986</v>
      </c>
      <c r="C2372" s="3" t="e">
        <f ca="1">[1]!BexGetData("DP_1","003N8EMH8GTFRCSWKMPXRR8GU","GSON4212820601")</f>
        <v>#NAME?</v>
      </c>
      <c r="D2372" s="3" t="e">
        <f ca="1">[1]!BexGetData("DP_1","003N8EMH8GTFRCSWKMPXRRESE","GSON4212820601")</f>
        <v>#NAME?</v>
      </c>
      <c r="E2372" s="3" t="e">
        <f ca="1">[1]!BexGetData("DP_1","003N8EMH8GTFRCSWKMPXRRL3Y","GSON4212820601")</f>
        <v>#NAME?</v>
      </c>
      <c r="F2372" s="4" t="e">
        <f ca="1">[1]!BexGetData("DP_1","003N8EMH8GTFRCSWKMPXRRRFI","GSON4212820601")</f>
        <v>#NAME?</v>
      </c>
      <c r="G2372" s="4" t="e">
        <f ca="1">[1]!BexGetData("DP_1","003N8EMH8GTFRCSWKMPXRRXR2","GSON4212820601")</f>
        <v>#NAME?</v>
      </c>
      <c r="H2372" s="4" t="e">
        <f ca="1">[1]!BexGetData("DP_1","003N8EMH8GTFRCSWKMPXRS42M","GSON4212820601")</f>
        <v>#NAME?</v>
      </c>
      <c r="I2372" s="4" t="e">
        <f ca="1">[1]!BexGetData("DP_1","003N8EMH8GTFRCSWKMPXRSAE6","GSON4212820601")</f>
        <v>#NAME?</v>
      </c>
      <c r="J2372" s="4" t="e">
        <f ca="1">[1]!BexGetData("DP_1","003N8EMH8GTFRCSWKMPXRSGPQ","GSON4212820601")</f>
        <v>#NAME?</v>
      </c>
      <c r="K2372" s="3" t="e">
        <f ca="1">[1]!BexGetData("DP_1","003N8EMH8GTFRIVNUPY288VJH","GSON4212820601")</f>
        <v>#NAME?</v>
      </c>
      <c r="L2372" s="3" t="e">
        <f ca="1">[1]!BexGetData("DP_1","003N8EMH8GTFRIVNUPY2891V1","GSON4212820601")</f>
        <v>#NAME?</v>
      </c>
      <c r="M2372" s="3" t="e">
        <f ca="1">[1]!BexGetData("DP_1","003N8EMH8GTFRIVOG7KG9IQXA","GSON4212820601")</f>
        <v>#NAME?</v>
      </c>
      <c r="N2372" s="8" t="e">
        <f ca="1">[1]!BexGetData("DP_1","003N8EMH8GTFRIVOG7KG9IX8U","GSON4212820601")</f>
        <v>#NAME?</v>
      </c>
      <c r="O2372" s="3" t="e">
        <f ca="1">[1]!BexGetData("DP_1","003N8EMH8GTFRIVOG7KG9J3KE","GSON4212820601")</f>
        <v>#NAME?</v>
      </c>
      <c r="P2372" s="8" t="e">
        <f ca="1">[1]!BexGetData("DP_1","003N8EMH8GTFRIVOG7KG9J9VY","GSON4212820601")</f>
        <v>#NAME?</v>
      </c>
      <c r="Q2372" s="4" t="e">
        <f ca="1">[1]!BexGetData("DP_1","00O2TNJGODT0G5Z4TTKYMM5MT","GSON4212820601")</f>
        <v>#NAME?</v>
      </c>
      <c r="R2372" s="4" t="e">
        <f ca="1">[1]!BexGetData("DP_1","00O2TNJGODT0G5Z4TTKYMMBYD","GSON4212820601")</f>
        <v>#NAME?</v>
      </c>
      <c r="S2372" s="4" t="e">
        <f ca="1">[1]!BexGetData("DP_1","00O2TNJGODT0G5Z4TTKYMMI9X","GSON4212820601")</f>
        <v>#NAME?</v>
      </c>
      <c r="T2372" s="4" t="e">
        <f ca="1">[1]!BexGetData("DP_1","00O2TNJGODT0G5Z4TTKYMMOLH","GSON4212820601")</f>
        <v>#NAME?</v>
      </c>
      <c r="U2372" s="4" t="e">
        <f ca="1">[1]!BexGetData("DP_1","00O2TNJGODT0G5Z4TTKYMMUX1","GSON4212820601")</f>
        <v>#NAME?</v>
      </c>
      <c r="V2372" s="4" t="e">
        <f ca="1">[1]!BexGetData("DP_1","00O2TNJGODT0G5Z4TTKYMN18L","GSON4212820601")</f>
        <v>#NAME?</v>
      </c>
      <c r="W2372" s="4" t="e">
        <f ca="1">[1]!BexGetData("DP_1","00O2TNJGODT0G5Z4TTKYMN7K5","GSON4212820601")</f>
        <v>#NAME?</v>
      </c>
    </row>
    <row r="2373" spans="1:23" x14ac:dyDescent="0.2">
      <c r="A2373" s="16" t="s">
        <v>4987</v>
      </c>
      <c r="B2373" s="7" t="s">
        <v>4988</v>
      </c>
      <c r="C2373" s="3" t="e">
        <f ca="1">[1]!BexGetData("DP_1","003N8EMH8GTFRCSWKMPXRR8GU","GSON4212820701")</f>
        <v>#NAME?</v>
      </c>
      <c r="D2373" s="3" t="e">
        <f ca="1">[1]!BexGetData("DP_1","003N8EMH8GTFRCSWKMPXRRESE","GSON4212820701")</f>
        <v>#NAME?</v>
      </c>
      <c r="E2373" s="3" t="e">
        <f ca="1">[1]!BexGetData("DP_1","003N8EMH8GTFRCSWKMPXRRL3Y","GSON4212820701")</f>
        <v>#NAME?</v>
      </c>
      <c r="F2373" s="4" t="e">
        <f ca="1">[1]!BexGetData("DP_1","003N8EMH8GTFRCSWKMPXRRRFI","GSON4212820701")</f>
        <v>#NAME?</v>
      </c>
      <c r="G2373" s="4" t="e">
        <f ca="1">[1]!BexGetData("DP_1","003N8EMH8GTFRCSWKMPXRRXR2","GSON4212820701")</f>
        <v>#NAME?</v>
      </c>
      <c r="H2373" s="4" t="e">
        <f ca="1">[1]!BexGetData("DP_1","003N8EMH8GTFRCSWKMPXRS42M","GSON4212820701")</f>
        <v>#NAME?</v>
      </c>
      <c r="I2373" s="4" t="e">
        <f ca="1">[1]!BexGetData("DP_1","003N8EMH8GTFRCSWKMPXRSAE6","GSON4212820701")</f>
        <v>#NAME?</v>
      </c>
      <c r="J2373" s="4" t="e">
        <f ca="1">[1]!BexGetData("DP_1","003N8EMH8GTFRCSWKMPXRSGPQ","GSON4212820701")</f>
        <v>#NAME?</v>
      </c>
      <c r="K2373" s="3" t="e">
        <f ca="1">[1]!BexGetData("DP_1","003N8EMH8GTFRIVNUPY288VJH","GSON4212820701")</f>
        <v>#NAME?</v>
      </c>
      <c r="L2373" s="3" t="e">
        <f ca="1">[1]!BexGetData("DP_1","003N8EMH8GTFRIVNUPY2891V1","GSON4212820701")</f>
        <v>#NAME?</v>
      </c>
      <c r="M2373" s="3" t="e">
        <f ca="1">[1]!BexGetData("DP_1","003N8EMH8GTFRIVOG7KG9IQXA","GSON4212820701")</f>
        <v>#NAME?</v>
      </c>
      <c r="N2373" s="8" t="e">
        <f ca="1">[1]!BexGetData("DP_1","003N8EMH8GTFRIVOG7KG9IX8U","GSON4212820701")</f>
        <v>#NAME?</v>
      </c>
      <c r="O2373" s="3" t="e">
        <f ca="1">[1]!BexGetData("DP_1","003N8EMH8GTFRIVOG7KG9J3KE","GSON4212820701")</f>
        <v>#NAME?</v>
      </c>
      <c r="P2373" s="8" t="e">
        <f ca="1">[1]!BexGetData("DP_1","003N8EMH8GTFRIVOG7KG9J9VY","GSON4212820701")</f>
        <v>#NAME?</v>
      </c>
      <c r="Q2373" s="4" t="e">
        <f ca="1">[1]!BexGetData("DP_1","00O2TNJGODT0G5Z4TTKYMM5MT","GSON4212820701")</f>
        <v>#NAME?</v>
      </c>
      <c r="R2373" s="4" t="e">
        <f ca="1">[1]!BexGetData("DP_1","00O2TNJGODT0G5Z4TTKYMMBYD","GSON4212820701")</f>
        <v>#NAME?</v>
      </c>
      <c r="S2373" s="4" t="e">
        <f ca="1">[1]!BexGetData("DP_1","00O2TNJGODT0G5Z4TTKYMMI9X","GSON4212820701")</f>
        <v>#NAME?</v>
      </c>
      <c r="T2373" s="4" t="e">
        <f ca="1">[1]!BexGetData("DP_1","00O2TNJGODT0G5Z4TTKYMMOLH","GSON4212820701")</f>
        <v>#NAME?</v>
      </c>
      <c r="U2373" s="4" t="e">
        <f ca="1">[1]!BexGetData("DP_1","00O2TNJGODT0G5Z4TTKYMMUX1","GSON4212820701")</f>
        <v>#NAME?</v>
      </c>
      <c r="V2373" s="4" t="e">
        <f ca="1">[1]!BexGetData("DP_1","00O2TNJGODT0G5Z4TTKYMN18L","GSON4212820701")</f>
        <v>#NAME?</v>
      </c>
      <c r="W2373" s="4" t="e">
        <f ca="1">[1]!BexGetData("DP_1","00O2TNJGODT0G5Z4TTKYMN7K5","GSON4212820701")</f>
        <v>#NAME?</v>
      </c>
    </row>
    <row r="2374" spans="1:23" x14ac:dyDescent="0.2">
      <c r="A2374" s="16" t="s">
        <v>4989</v>
      </c>
      <c r="B2374" s="7" t="s">
        <v>4990</v>
      </c>
      <c r="C2374" s="3" t="e">
        <f ca="1">[1]!BexGetData("DP_1","003N8EMH8GTFRCSWKMPXRR8GU","GSON4212820702")</f>
        <v>#NAME?</v>
      </c>
      <c r="D2374" s="3" t="e">
        <f ca="1">[1]!BexGetData("DP_1","003N8EMH8GTFRCSWKMPXRRESE","GSON4212820702")</f>
        <v>#NAME?</v>
      </c>
      <c r="E2374" s="3" t="e">
        <f ca="1">[1]!BexGetData("DP_1","003N8EMH8GTFRCSWKMPXRRL3Y","GSON4212820702")</f>
        <v>#NAME?</v>
      </c>
      <c r="F2374" s="4" t="e">
        <f ca="1">[1]!BexGetData("DP_1","003N8EMH8GTFRCSWKMPXRRRFI","GSON4212820702")</f>
        <v>#NAME?</v>
      </c>
      <c r="G2374" s="4" t="e">
        <f ca="1">[1]!BexGetData("DP_1","003N8EMH8GTFRCSWKMPXRRXR2","GSON4212820702")</f>
        <v>#NAME?</v>
      </c>
      <c r="H2374" s="4" t="e">
        <f ca="1">[1]!BexGetData("DP_1","003N8EMH8GTFRCSWKMPXRS42M","GSON4212820702")</f>
        <v>#NAME?</v>
      </c>
      <c r="I2374" s="4" t="e">
        <f ca="1">[1]!BexGetData("DP_1","003N8EMH8GTFRCSWKMPXRSAE6","GSON4212820702")</f>
        <v>#NAME?</v>
      </c>
      <c r="J2374" s="4" t="e">
        <f ca="1">[1]!BexGetData("DP_1","003N8EMH8GTFRCSWKMPXRSGPQ","GSON4212820702")</f>
        <v>#NAME?</v>
      </c>
      <c r="K2374" s="3" t="e">
        <f ca="1">[1]!BexGetData("DP_1","003N8EMH8GTFRIVNUPY288VJH","GSON4212820702")</f>
        <v>#NAME?</v>
      </c>
      <c r="L2374" s="3" t="e">
        <f ca="1">[1]!BexGetData("DP_1","003N8EMH8GTFRIVNUPY2891V1","GSON4212820702")</f>
        <v>#NAME?</v>
      </c>
      <c r="M2374" s="3" t="e">
        <f ca="1">[1]!BexGetData("DP_1","003N8EMH8GTFRIVOG7KG9IQXA","GSON4212820702")</f>
        <v>#NAME?</v>
      </c>
      <c r="N2374" s="8" t="e">
        <f ca="1">[1]!BexGetData("DP_1","003N8EMH8GTFRIVOG7KG9IX8U","GSON4212820702")</f>
        <v>#NAME?</v>
      </c>
      <c r="O2374" s="3" t="e">
        <f ca="1">[1]!BexGetData("DP_1","003N8EMH8GTFRIVOG7KG9J3KE","GSON4212820702")</f>
        <v>#NAME?</v>
      </c>
      <c r="P2374" s="8" t="e">
        <f ca="1">[1]!BexGetData("DP_1","003N8EMH8GTFRIVOG7KG9J9VY","GSON4212820702")</f>
        <v>#NAME?</v>
      </c>
      <c r="Q2374" s="4" t="e">
        <f ca="1">[1]!BexGetData("DP_1","00O2TNJGODT0G5Z4TTKYMM5MT","GSON4212820702")</f>
        <v>#NAME?</v>
      </c>
      <c r="R2374" s="4" t="e">
        <f ca="1">[1]!BexGetData("DP_1","00O2TNJGODT0G5Z4TTKYMMBYD","GSON4212820702")</f>
        <v>#NAME?</v>
      </c>
      <c r="S2374" s="4" t="e">
        <f ca="1">[1]!BexGetData("DP_1","00O2TNJGODT0G5Z4TTKYMMI9X","GSON4212820702")</f>
        <v>#NAME?</v>
      </c>
      <c r="T2374" s="4" t="e">
        <f ca="1">[1]!BexGetData("DP_1","00O2TNJGODT0G5Z4TTKYMMOLH","GSON4212820702")</f>
        <v>#NAME?</v>
      </c>
      <c r="U2374" s="4" t="e">
        <f ca="1">[1]!BexGetData("DP_1","00O2TNJGODT0G5Z4TTKYMMUX1","GSON4212820702")</f>
        <v>#NAME?</v>
      </c>
      <c r="V2374" s="4" t="e">
        <f ca="1">[1]!BexGetData("DP_1","00O2TNJGODT0G5Z4TTKYMN18L","GSON4212820702")</f>
        <v>#NAME?</v>
      </c>
      <c r="W2374" s="4" t="e">
        <f ca="1">[1]!BexGetData("DP_1","00O2TNJGODT0G5Z4TTKYMN7K5","GSON4212820702")</f>
        <v>#NAME?</v>
      </c>
    </row>
    <row r="2375" spans="1:23" x14ac:dyDescent="0.2">
      <c r="A2375" s="16" t="s">
        <v>4991</v>
      </c>
      <c r="B2375" s="7" t="s">
        <v>4992</v>
      </c>
      <c r="C2375" s="3" t="e">
        <f ca="1">[1]!BexGetData("DP_1","003N8EMH8GTFRCSWKMPXRR8GU","GSON4212820801")</f>
        <v>#NAME?</v>
      </c>
      <c r="D2375" s="3" t="e">
        <f ca="1">[1]!BexGetData("DP_1","003N8EMH8GTFRCSWKMPXRRESE","GSON4212820801")</f>
        <v>#NAME?</v>
      </c>
      <c r="E2375" s="3" t="e">
        <f ca="1">[1]!BexGetData("DP_1","003N8EMH8GTFRCSWKMPXRRL3Y","GSON4212820801")</f>
        <v>#NAME?</v>
      </c>
      <c r="F2375" s="4" t="e">
        <f ca="1">[1]!BexGetData("DP_1","003N8EMH8GTFRCSWKMPXRRRFI","GSON4212820801")</f>
        <v>#NAME?</v>
      </c>
      <c r="G2375" s="4" t="e">
        <f ca="1">[1]!BexGetData("DP_1","003N8EMH8GTFRCSWKMPXRRXR2","GSON4212820801")</f>
        <v>#NAME?</v>
      </c>
      <c r="H2375" s="4" t="e">
        <f ca="1">[1]!BexGetData("DP_1","003N8EMH8GTFRCSWKMPXRS42M","GSON4212820801")</f>
        <v>#NAME?</v>
      </c>
      <c r="I2375" s="4" t="e">
        <f ca="1">[1]!BexGetData("DP_1","003N8EMH8GTFRCSWKMPXRSAE6","GSON4212820801")</f>
        <v>#NAME?</v>
      </c>
      <c r="J2375" s="4" t="e">
        <f ca="1">[1]!BexGetData("DP_1","003N8EMH8GTFRCSWKMPXRSGPQ","GSON4212820801")</f>
        <v>#NAME?</v>
      </c>
      <c r="K2375" s="3" t="e">
        <f ca="1">[1]!BexGetData("DP_1","003N8EMH8GTFRIVNUPY288VJH","GSON4212820801")</f>
        <v>#NAME?</v>
      </c>
      <c r="L2375" s="3" t="e">
        <f ca="1">[1]!BexGetData("DP_1","003N8EMH8GTFRIVNUPY2891V1","GSON4212820801")</f>
        <v>#NAME?</v>
      </c>
      <c r="M2375" s="3" t="e">
        <f ca="1">[1]!BexGetData("DP_1","003N8EMH8GTFRIVOG7KG9IQXA","GSON4212820801")</f>
        <v>#NAME?</v>
      </c>
      <c r="N2375" s="8" t="e">
        <f ca="1">[1]!BexGetData("DP_1","003N8EMH8GTFRIVOG7KG9IX8U","GSON4212820801")</f>
        <v>#NAME?</v>
      </c>
      <c r="O2375" s="3" t="e">
        <f ca="1">[1]!BexGetData("DP_1","003N8EMH8GTFRIVOG7KG9J3KE","GSON4212820801")</f>
        <v>#NAME?</v>
      </c>
      <c r="P2375" s="8" t="e">
        <f ca="1">[1]!BexGetData("DP_1","003N8EMH8GTFRIVOG7KG9J9VY","GSON4212820801")</f>
        <v>#NAME?</v>
      </c>
      <c r="Q2375" s="4" t="e">
        <f ca="1">[1]!BexGetData("DP_1","00O2TNJGODT0G5Z4TTKYMM5MT","GSON4212820801")</f>
        <v>#NAME?</v>
      </c>
      <c r="R2375" s="4" t="e">
        <f ca="1">[1]!BexGetData("DP_1","00O2TNJGODT0G5Z4TTKYMMBYD","GSON4212820801")</f>
        <v>#NAME?</v>
      </c>
      <c r="S2375" s="4" t="e">
        <f ca="1">[1]!BexGetData("DP_1","00O2TNJGODT0G5Z4TTKYMMI9X","GSON4212820801")</f>
        <v>#NAME?</v>
      </c>
      <c r="T2375" s="4" t="e">
        <f ca="1">[1]!BexGetData("DP_1","00O2TNJGODT0G5Z4TTKYMMOLH","GSON4212820801")</f>
        <v>#NAME?</v>
      </c>
      <c r="U2375" s="4" t="e">
        <f ca="1">[1]!BexGetData("DP_1","00O2TNJGODT0G5Z4TTKYMMUX1","GSON4212820801")</f>
        <v>#NAME?</v>
      </c>
      <c r="V2375" s="4" t="e">
        <f ca="1">[1]!BexGetData("DP_1","00O2TNJGODT0G5Z4TTKYMN18L","GSON4212820801")</f>
        <v>#NAME?</v>
      </c>
      <c r="W2375" s="4" t="e">
        <f ca="1">[1]!BexGetData("DP_1","00O2TNJGODT0G5Z4TTKYMN7K5","GSON4212820801")</f>
        <v>#NAME?</v>
      </c>
    </row>
    <row r="2376" spans="1:23" x14ac:dyDescent="0.2">
      <c r="A2376" s="15" t="s">
        <v>714</v>
      </c>
      <c r="B2376" s="7" t="s">
        <v>715</v>
      </c>
      <c r="C2376" s="3" t="e">
        <f ca="1">[1]!BexGetData("DP_1","003N8EMH8GTFRCSWKMPXRR8GU","GSON4213")</f>
        <v>#NAME?</v>
      </c>
      <c r="D2376" s="3" t="e">
        <f ca="1">[1]!BexGetData("DP_1","003N8EMH8GTFRCSWKMPXRRESE","GSON4213")</f>
        <v>#NAME?</v>
      </c>
      <c r="E2376" s="3" t="e">
        <f ca="1">[1]!BexGetData("DP_1","003N8EMH8GTFRCSWKMPXRRL3Y","GSON4213")</f>
        <v>#NAME?</v>
      </c>
      <c r="F2376" s="4" t="e">
        <f ca="1">[1]!BexGetData("DP_1","003N8EMH8GTFRCSWKMPXRRRFI","GSON4213")</f>
        <v>#NAME?</v>
      </c>
      <c r="G2376" s="4" t="e">
        <f ca="1">[1]!BexGetData("DP_1","003N8EMH8GTFRCSWKMPXRRXR2","GSON4213")</f>
        <v>#NAME?</v>
      </c>
      <c r="H2376" s="4" t="e">
        <f ca="1">[1]!BexGetData("DP_1","003N8EMH8GTFRCSWKMPXRS42M","GSON4213")</f>
        <v>#NAME?</v>
      </c>
      <c r="I2376" s="4" t="e">
        <f ca="1">[1]!BexGetData("DP_1","003N8EMH8GTFRCSWKMPXRSAE6","GSON4213")</f>
        <v>#NAME?</v>
      </c>
      <c r="J2376" s="4" t="e">
        <f ca="1">[1]!BexGetData("DP_1","003N8EMH8GTFRCSWKMPXRSGPQ","GSON4213")</f>
        <v>#NAME?</v>
      </c>
      <c r="K2376" s="3" t="e">
        <f ca="1">[1]!BexGetData("DP_1","003N8EMH8GTFRIVNUPY288VJH","GSON4213")</f>
        <v>#NAME?</v>
      </c>
      <c r="L2376" s="3" t="e">
        <f ca="1">[1]!BexGetData("DP_1","003N8EMH8GTFRIVNUPY2891V1","GSON4213")</f>
        <v>#NAME?</v>
      </c>
      <c r="M2376" s="3" t="e">
        <f ca="1">[1]!BexGetData("DP_1","003N8EMH8GTFRIVOG7KG9IQXA","GSON4213")</f>
        <v>#NAME?</v>
      </c>
      <c r="N2376" s="8" t="e">
        <f ca="1">[1]!BexGetData("DP_1","003N8EMH8GTFRIVOG7KG9IX8U","GSON4213")</f>
        <v>#NAME?</v>
      </c>
      <c r="O2376" s="3" t="e">
        <f ca="1">[1]!BexGetData("DP_1","003N8EMH8GTFRIVOG7KG9J3KE","GSON4213")</f>
        <v>#NAME?</v>
      </c>
      <c r="P2376" s="8" t="e">
        <f ca="1">[1]!BexGetData("DP_1","003N8EMH8GTFRIVOG7KG9J9VY","GSON4213")</f>
        <v>#NAME?</v>
      </c>
      <c r="Q2376" s="4" t="e">
        <f ca="1">[1]!BexGetData("DP_1","00O2TNJGODT0G5Z4TTKYMM5MT","GSON4213")</f>
        <v>#NAME?</v>
      </c>
      <c r="R2376" s="4" t="e">
        <f ca="1">[1]!BexGetData("DP_1","00O2TNJGODT0G5Z4TTKYMMBYD","GSON4213")</f>
        <v>#NAME?</v>
      </c>
      <c r="S2376" s="4" t="e">
        <f ca="1">[1]!BexGetData("DP_1","00O2TNJGODT0G5Z4TTKYMMI9X","GSON4213")</f>
        <v>#NAME?</v>
      </c>
      <c r="T2376" s="4" t="e">
        <f ca="1">[1]!BexGetData("DP_1","00O2TNJGODT0G5Z4TTKYMMOLH","GSON4213")</f>
        <v>#NAME?</v>
      </c>
      <c r="U2376" s="4" t="e">
        <f ca="1">[1]!BexGetData("DP_1","00O2TNJGODT0G5Z4TTKYMMUX1","GSON4213")</f>
        <v>#NAME?</v>
      </c>
      <c r="V2376" s="4" t="e">
        <f ca="1">[1]!BexGetData("DP_1","00O2TNJGODT0G5Z4TTKYMN18L","GSON4213")</f>
        <v>#NAME?</v>
      </c>
      <c r="W2376" s="4" t="e">
        <f ca="1">[1]!BexGetData("DP_1","00O2TNJGODT0G5Z4TTKYMN7K5","GSON4213")</f>
        <v>#NAME?</v>
      </c>
    </row>
    <row r="2377" spans="1:23" x14ac:dyDescent="0.2">
      <c r="A2377" s="16" t="s">
        <v>4993</v>
      </c>
      <c r="B2377" s="7" t="s">
        <v>716</v>
      </c>
      <c r="C2377" s="3" t="e">
        <f ca="1">[1]!BexGetData("DP_1","003N8EMH8GTFRCSWKMPXRR8GU","GSON4213830101")</f>
        <v>#NAME?</v>
      </c>
      <c r="D2377" s="3" t="e">
        <f ca="1">[1]!BexGetData("DP_1","003N8EMH8GTFRCSWKMPXRRESE","GSON4213830101")</f>
        <v>#NAME?</v>
      </c>
      <c r="E2377" s="3" t="e">
        <f ca="1">[1]!BexGetData("DP_1","003N8EMH8GTFRCSWKMPXRRL3Y","GSON4213830101")</f>
        <v>#NAME?</v>
      </c>
      <c r="F2377" s="4" t="e">
        <f ca="1">[1]!BexGetData("DP_1","003N8EMH8GTFRCSWKMPXRRRFI","GSON4213830101")</f>
        <v>#NAME?</v>
      </c>
      <c r="G2377" s="4" t="e">
        <f ca="1">[1]!BexGetData("DP_1","003N8EMH8GTFRCSWKMPXRRXR2","GSON4213830101")</f>
        <v>#NAME?</v>
      </c>
      <c r="H2377" s="4" t="e">
        <f ca="1">[1]!BexGetData("DP_1","003N8EMH8GTFRCSWKMPXRS42M","GSON4213830101")</f>
        <v>#NAME?</v>
      </c>
      <c r="I2377" s="4" t="e">
        <f ca="1">[1]!BexGetData("DP_1","003N8EMH8GTFRCSWKMPXRSAE6","GSON4213830101")</f>
        <v>#NAME?</v>
      </c>
      <c r="J2377" s="4" t="e">
        <f ca="1">[1]!BexGetData("DP_1","003N8EMH8GTFRCSWKMPXRSGPQ","GSON4213830101")</f>
        <v>#NAME?</v>
      </c>
      <c r="K2377" s="3" t="e">
        <f ca="1">[1]!BexGetData("DP_1","003N8EMH8GTFRIVNUPY288VJH","GSON4213830101")</f>
        <v>#NAME?</v>
      </c>
      <c r="L2377" s="3" t="e">
        <f ca="1">[1]!BexGetData("DP_1","003N8EMH8GTFRIVNUPY2891V1","GSON4213830101")</f>
        <v>#NAME?</v>
      </c>
      <c r="M2377" s="3" t="e">
        <f ca="1">[1]!BexGetData("DP_1","003N8EMH8GTFRIVOG7KG9IQXA","GSON4213830101")</f>
        <v>#NAME?</v>
      </c>
      <c r="N2377" s="8" t="e">
        <f ca="1">[1]!BexGetData("DP_1","003N8EMH8GTFRIVOG7KG9IX8U","GSON4213830101")</f>
        <v>#NAME?</v>
      </c>
      <c r="O2377" s="3" t="e">
        <f ca="1">[1]!BexGetData("DP_1","003N8EMH8GTFRIVOG7KG9J3KE","GSON4213830101")</f>
        <v>#NAME?</v>
      </c>
      <c r="P2377" s="8" t="e">
        <f ca="1">[1]!BexGetData("DP_1","003N8EMH8GTFRIVOG7KG9J9VY","GSON4213830101")</f>
        <v>#NAME?</v>
      </c>
      <c r="Q2377" s="4" t="e">
        <f ca="1">[1]!BexGetData("DP_1","00O2TNJGODT0G5Z4TTKYMM5MT","GSON4213830101")</f>
        <v>#NAME?</v>
      </c>
      <c r="R2377" s="4" t="e">
        <f ca="1">[1]!BexGetData("DP_1","00O2TNJGODT0G5Z4TTKYMMBYD","GSON4213830101")</f>
        <v>#NAME?</v>
      </c>
      <c r="S2377" s="4" t="e">
        <f ca="1">[1]!BexGetData("DP_1","00O2TNJGODT0G5Z4TTKYMMI9X","GSON4213830101")</f>
        <v>#NAME?</v>
      </c>
      <c r="T2377" s="4" t="e">
        <f ca="1">[1]!BexGetData("DP_1","00O2TNJGODT0G5Z4TTKYMMOLH","GSON4213830101")</f>
        <v>#NAME?</v>
      </c>
      <c r="U2377" s="4" t="e">
        <f ca="1">[1]!BexGetData("DP_1","00O2TNJGODT0G5Z4TTKYMMUX1","GSON4213830101")</f>
        <v>#NAME?</v>
      </c>
      <c r="V2377" s="4" t="e">
        <f ca="1">[1]!BexGetData("DP_1","00O2TNJGODT0G5Z4TTKYMN18L","GSON4213830101")</f>
        <v>#NAME?</v>
      </c>
      <c r="W2377" s="4" t="e">
        <f ca="1">[1]!BexGetData("DP_1","00O2TNJGODT0G5Z4TTKYMN7K5","GSON4213830101")</f>
        <v>#NAME?</v>
      </c>
    </row>
    <row r="2378" spans="1:23" x14ac:dyDescent="0.2">
      <c r="A2378" s="14" t="s">
        <v>717</v>
      </c>
      <c r="B2378" s="7" t="s">
        <v>718</v>
      </c>
      <c r="C2378" s="3" t="e">
        <f ca="1">[1]!BexGetData("DP_1","003N8EMH8GTFRCSWKMPXRR8GU","GSON422")</f>
        <v>#NAME?</v>
      </c>
      <c r="D2378" s="3" t="e">
        <f ca="1">[1]!BexGetData("DP_1","003N8EMH8GTFRCSWKMPXRRESE","GSON422")</f>
        <v>#NAME?</v>
      </c>
      <c r="E2378" s="3" t="e">
        <f ca="1">[1]!BexGetData("DP_1","003N8EMH8GTFRCSWKMPXRRL3Y","GSON422")</f>
        <v>#NAME?</v>
      </c>
      <c r="F2378" s="4" t="e">
        <f ca="1">[1]!BexGetData("DP_1","003N8EMH8GTFRCSWKMPXRRRFI","GSON422")</f>
        <v>#NAME?</v>
      </c>
      <c r="G2378" s="4" t="e">
        <f ca="1">[1]!BexGetData("DP_1","003N8EMH8GTFRCSWKMPXRRXR2","GSON422")</f>
        <v>#NAME?</v>
      </c>
      <c r="H2378" s="4" t="e">
        <f ca="1">[1]!BexGetData("DP_1","003N8EMH8GTFRCSWKMPXRS42M","GSON422")</f>
        <v>#NAME?</v>
      </c>
      <c r="I2378" s="4" t="e">
        <f ca="1">[1]!BexGetData("DP_1","003N8EMH8GTFRCSWKMPXRSAE6","GSON422")</f>
        <v>#NAME?</v>
      </c>
      <c r="J2378" s="4" t="e">
        <f ca="1">[1]!BexGetData("DP_1","003N8EMH8GTFRCSWKMPXRSGPQ","GSON422")</f>
        <v>#NAME?</v>
      </c>
      <c r="K2378" s="3" t="e">
        <f ca="1">[1]!BexGetData("DP_1","003N8EMH8GTFRIVNUPY288VJH","GSON422")</f>
        <v>#NAME?</v>
      </c>
      <c r="L2378" s="3" t="e">
        <f ca="1">[1]!BexGetData("DP_1","003N8EMH8GTFRIVNUPY2891V1","GSON422")</f>
        <v>#NAME?</v>
      </c>
      <c r="M2378" s="3" t="e">
        <f ca="1">[1]!BexGetData("DP_1","003N8EMH8GTFRIVOG7KG9IQXA","GSON422")</f>
        <v>#NAME?</v>
      </c>
      <c r="N2378" s="8" t="e">
        <f ca="1">[1]!BexGetData("DP_1","003N8EMH8GTFRIVOG7KG9IX8U","GSON422")</f>
        <v>#NAME?</v>
      </c>
      <c r="O2378" s="3" t="e">
        <f ca="1">[1]!BexGetData("DP_1","003N8EMH8GTFRIVOG7KG9J3KE","GSON422")</f>
        <v>#NAME?</v>
      </c>
      <c r="P2378" s="8" t="e">
        <f ca="1">[1]!BexGetData("DP_1","003N8EMH8GTFRIVOG7KG9J9VY","GSON422")</f>
        <v>#NAME?</v>
      </c>
      <c r="Q2378" s="4" t="e">
        <f ca="1">[1]!BexGetData("DP_1","00O2TNJGODT0G5Z4TTKYMM5MT","GSON422")</f>
        <v>#NAME?</v>
      </c>
      <c r="R2378" s="4" t="e">
        <f ca="1">[1]!BexGetData("DP_1","00O2TNJGODT0G5Z4TTKYMMBYD","GSON422")</f>
        <v>#NAME?</v>
      </c>
      <c r="S2378" s="4" t="e">
        <f ca="1">[1]!BexGetData("DP_1","00O2TNJGODT0G5Z4TTKYMMI9X","GSON422")</f>
        <v>#NAME?</v>
      </c>
      <c r="T2378" s="4" t="e">
        <f ca="1">[1]!BexGetData("DP_1","00O2TNJGODT0G5Z4TTKYMMOLH","GSON422")</f>
        <v>#NAME?</v>
      </c>
      <c r="U2378" s="4" t="e">
        <f ca="1">[1]!BexGetData("DP_1","00O2TNJGODT0G5Z4TTKYMMUX1","GSON422")</f>
        <v>#NAME?</v>
      </c>
      <c r="V2378" s="4" t="e">
        <f ca="1">[1]!BexGetData("DP_1","00O2TNJGODT0G5Z4TTKYMN18L","GSON422")</f>
        <v>#NAME?</v>
      </c>
      <c r="W2378" s="4" t="e">
        <f ca="1">[1]!BexGetData("DP_1","00O2TNJGODT0G5Z4TTKYMN7K5","GSON422")</f>
        <v>#NAME?</v>
      </c>
    </row>
    <row r="2379" spans="1:23" x14ac:dyDescent="0.2">
      <c r="A2379" s="15" t="s">
        <v>4994</v>
      </c>
      <c r="B2379" s="7" t="s">
        <v>4995</v>
      </c>
      <c r="C2379" s="3" t="e">
        <f ca="1">[1]!BexGetData("DP_1","003N8EMH8GTFRCSWKMPXRR8GU","GSON4221")</f>
        <v>#NAME?</v>
      </c>
      <c r="D2379" s="3" t="e">
        <f ca="1">[1]!BexGetData("DP_1","003N8EMH8GTFRCSWKMPXRRESE","GSON4221")</f>
        <v>#NAME?</v>
      </c>
      <c r="E2379" s="3" t="e">
        <f ca="1">[1]!BexGetData("DP_1","003N8EMH8GTFRCSWKMPXRRL3Y","GSON4221")</f>
        <v>#NAME?</v>
      </c>
      <c r="F2379" s="4" t="e">
        <f ca="1">[1]!BexGetData("DP_1","003N8EMH8GTFRCSWKMPXRRRFI","GSON4221")</f>
        <v>#NAME?</v>
      </c>
      <c r="G2379" s="4" t="e">
        <f ca="1">[1]!BexGetData("DP_1","003N8EMH8GTFRCSWKMPXRRXR2","GSON4221")</f>
        <v>#NAME?</v>
      </c>
      <c r="H2379" s="4" t="e">
        <f ca="1">[1]!BexGetData("DP_1","003N8EMH8GTFRCSWKMPXRS42M","GSON4221")</f>
        <v>#NAME?</v>
      </c>
      <c r="I2379" s="4" t="e">
        <f ca="1">[1]!BexGetData("DP_1","003N8EMH8GTFRCSWKMPXRSAE6","GSON4221")</f>
        <v>#NAME?</v>
      </c>
      <c r="J2379" s="4" t="e">
        <f ca="1">[1]!BexGetData("DP_1","003N8EMH8GTFRCSWKMPXRSGPQ","GSON4221")</f>
        <v>#NAME?</v>
      </c>
      <c r="K2379" s="3" t="e">
        <f ca="1">[1]!BexGetData("DP_1","003N8EMH8GTFRIVNUPY288VJH","GSON4221")</f>
        <v>#NAME?</v>
      </c>
      <c r="L2379" s="3" t="e">
        <f ca="1">[1]!BexGetData("DP_1","003N8EMH8GTFRIVNUPY2891V1","GSON4221")</f>
        <v>#NAME?</v>
      </c>
      <c r="M2379" s="3" t="e">
        <f ca="1">[1]!BexGetData("DP_1","003N8EMH8GTFRIVOG7KG9IQXA","GSON4221")</f>
        <v>#NAME?</v>
      </c>
      <c r="N2379" s="8" t="e">
        <f ca="1">[1]!BexGetData("DP_1","003N8EMH8GTFRIVOG7KG9IX8U","GSON4221")</f>
        <v>#NAME?</v>
      </c>
      <c r="O2379" s="3" t="e">
        <f ca="1">[1]!BexGetData("DP_1","003N8EMH8GTFRIVOG7KG9J3KE","GSON4221")</f>
        <v>#NAME?</v>
      </c>
      <c r="P2379" s="8" t="e">
        <f ca="1">[1]!BexGetData("DP_1","003N8EMH8GTFRIVOG7KG9J9VY","GSON4221")</f>
        <v>#NAME?</v>
      </c>
      <c r="Q2379" s="4" t="e">
        <f ca="1">[1]!BexGetData("DP_1","00O2TNJGODT0G5Z4TTKYMM5MT","GSON4221")</f>
        <v>#NAME?</v>
      </c>
      <c r="R2379" s="4" t="e">
        <f ca="1">[1]!BexGetData("DP_1","00O2TNJGODT0G5Z4TTKYMMBYD","GSON4221")</f>
        <v>#NAME?</v>
      </c>
      <c r="S2379" s="4" t="e">
        <f ca="1">[1]!BexGetData("DP_1","00O2TNJGODT0G5Z4TTKYMMI9X","GSON4221")</f>
        <v>#NAME?</v>
      </c>
      <c r="T2379" s="4" t="e">
        <f ca="1">[1]!BexGetData("DP_1","00O2TNJGODT0G5Z4TTKYMMOLH","GSON4221")</f>
        <v>#NAME?</v>
      </c>
      <c r="U2379" s="4" t="e">
        <f ca="1">[1]!BexGetData("DP_1","00O2TNJGODT0G5Z4TTKYMMUX1","GSON4221")</f>
        <v>#NAME?</v>
      </c>
      <c r="V2379" s="4" t="e">
        <f ca="1">[1]!BexGetData("DP_1","00O2TNJGODT0G5Z4TTKYMN18L","GSON4221")</f>
        <v>#NAME?</v>
      </c>
      <c r="W2379" s="4" t="e">
        <f ca="1">[1]!BexGetData("DP_1","00O2TNJGODT0G5Z4TTKYMN7K5","GSON4221")</f>
        <v>#NAME?</v>
      </c>
    </row>
    <row r="2380" spans="1:23" x14ac:dyDescent="0.2">
      <c r="A2380" s="16" t="s">
        <v>4996</v>
      </c>
      <c r="B2380" s="7" t="s">
        <v>4997</v>
      </c>
      <c r="C2380" s="3" t="e">
        <f ca="1">[1]!BexGetData("DP_1","003N8EMH8GTFRCSWKMPXRR8GU","GSON4221910101")</f>
        <v>#NAME?</v>
      </c>
      <c r="D2380" s="3" t="e">
        <f ca="1">[1]!BexGetData("DP_1","003N8EMH8GTFRCSWKMPXRRESE","GSON4221910101")</f>
        <v>#NAME?</v>
      </c>
      <c r="E2380" s="3" t="e">
        <f ca="1">[1]!BexGetData("DP_1","003N8EMH8GTFRCSWKMPXRRL3Y","GSON4221910101")</f>
        <v>#NAME?</v>
      </c>
      <c r="F2380" s="4" t="e">
        <f ca="1">[1]!BexGetData("DP_1","003N8EMH8GTFRCSWKMPXRRRFI","GSON4221910101")</f>
        <v>#NAME?</v>
      </c>
      <c r="G2380" s="4" t="e">
        <f ca="1">[1]!BexGetData("DP_1","003N8EMH8GTFRCSWKMPXRRXR2","GSON4221910101")</f>
        <v>#NAME?</v>
      </c>
      <c r="H2380" s="4" t="e">
        <f ca="1">[1]!BexGetData("DP_1","003N8EMH8GTFRCSWKMPXRS42M","GSON4221910101")</f>
        <v>#NAME?</v>
      </c>
      <c r="I2380" s="4" t="e">
        <f ca="1">[1]!BexGetData("DP_1","003N8EMH8GTFRCSWKMPXRSAE6","GSON4221910101")</f>
        <v>#NAME?</v>
      </c>
      <c r="J2380" s="4" t="e">
        <f ca="1">[1]!BexGetData("DP_1","003N8EMH8GTFRCSWKMPXRSGPQ","GSON4221910101")</f>
        <v>#NAME?</v>
      </c>
      <c r="K2380" s="3" t="e">
        <f ca="1">[1]!BexGetData("DP_1","003N8EMH8GTFRIVNUPY288VJH","GSON4221910101")</f>
        <v>#NAME?</v>
      </c>
      <c r="L2380" s="3" t="e">
        <f ca="1">[1]!BexGetData("DP_1","003N8EMH8GTFRIVNUPY2891V1","GSON4221910101")</f>
        <v>#NAME?</v>
      </c>
      <c r="M2380" s="3" t="e">
        <f ca="1">[1]!BexGetData("DP_1","003N8EMH8GTFRIVOG7KG9IQXA","GSON4221910101")</f>
        <v>#NAME?</v>
      </c>
      <c r="N2380" s="8" t="e">
        <f ca="1">[1]!BexGetData("DP_1","003N8EMH8GTFRIVOG7KG9IX8U","GSON4221910101")</f>
        <v>#NAME?</v>
      </c>
      <c r="O2380" s="3" t="e">
        <f ca="1">[1]!BexGetData("DP_1","003N8EMH8GTFRIVOG7KG9J3KE","GSON4221910101")</f>
        <v>#NAME?</v>
      </c>
      <c r="P2380" s="8" t="e">
        <f ca="1">[1]!BexGetData("DP_1","003N8EMH8GTFRIVOG7KG9J9VY","GSON4221910101")</f>
        <v>#NAME?</v>
      </c>
      <c r="Q2380" s="4" t="e">
        <f ca="1">[1]!BexGetData("DP_1","00O2TNJGODT0G5Z4TTKYMM5MT","GSON4221910101")</f>
        <v>#NAME?</v>
      </c>
      <c r="R2380" s="4" t="e">
        <f ca="1">[1]!BexGetData("DP_1","00O2TNJGODT0G5Z4TTKYMMBYD","GSON4221910101")</f>
        <v>#NAME?</v>
      </c>
      <c r="S2380" s="4" t="e">
        <f ca="1">[1]!BexGetData("DP_1","00O2TNJGODT0G5Z4TTKYMMI9X","GSON4221910101")</f>
        <v>#NAME?</v>
      </c>
      <c r="T2380" s="4" t="e">
        <f ca="1">[1]!BexGetData("DP_1","00O2TNJGODT0G5Z4TTKYMMOLH","GSON4221910101")</f>
        <v>#NAME?</v>
      </c>
      <c r="U2380" s="4" t="e">
        <f ca="1">[1]!BexGetData("DP_1","00O2TNJGODT0G5Z4TTKYMMUX1","GSON4221910101")</f>
        <v>#NAME?</v>
      </c>
      <c r="V2380" s="4" t="e">
        <f ca="1">[1]!BexGetData("DP_1","00O2TNJGODT0G5Z4TTKYMN18L","GSON4221910101")</f>
        <v>#NAME?</v>
      </c>
      <c r="W2380" s="4" t="e">
        <f ca="1">[1]!BexGetData("DP_1","00O2TNJGODT0G5Z4TTKYMN7K5","GSON4221910101")</f>
        <v>#NAME?</v>
      </c>
    </row>
    <row r="2381" spans="1:23" x14ac:dyDescent="0.2">
      <c r="A2381" s="16" t="s">
        <v>4998</v>
      </c>
      <c r="B2381" s="7" t="s">
        <v>4999</v>
      </c>
      <c r="C2381" s="8" t="e">
        <f ca="1">[1]!BexGetData("DP_1","003N8EMH8GTFRCSWKMPXRR8GU","GSON4221910102")</f>
        <v>#NAME?</v>
      </c>
      <c r="D2381" s="3" t="e">
        <f ca="1">[1]!BexGetData("DP_1","003N8EMH8GTFRCSWKMPXRRESE","GSON4221910102")</f>
        <v>#NAME?</v>
      </c>
      <c r="E2381" s="3" t="e">
        <f ca="1">[1]!BexGetData("DP_1","003N8EMH8GTFRCSWKMPXRRL3Y","GSON4221910102")</f>
        <v>#NAME?</v>
      </c>
      <c r="F2381" s="4" t="e">
        <f ca="1">[1]!BexGetData("DP_1","003N8EMH8GTFRCSWKMPXRRRFI","GSON4221910102")</f>
        <v>#NAME?</v>
      </c>
      <c r="G2381" s="4" t="e">
        <f ca="1">[1]!BexGetData("DP_1","003N8EMH8GTFRCSWKMPXRRXR2","GSON4221910102")</f>
        <v>#NAME?</v>
      </c>
      <c r="H2381" s="4" t="e">
        <f ca="1">[1]!BexGetData("DP_1","003N8EMH8GTFRCSWKMPXRS42M","GSON4221910102")</f>
        <v>#NAME?</v>
      </c>
      <c r="I2381" s="4" t="e">
        <f ca="1">[1]!BexGetData("DP_1","003N8EMH8GTFRCSWKMPXRSAE6","GSON4221910102")</f>
        <v>#NAME?</v>
      </c>
      <c r="J2381" s="4" t="e">
        <f ca="1">[1]!BexGetData("DP_1","003N8EMH8GTFRCSWKMPXRSGPQ","GSON4221910102")</f>
        <v>#NAME?</v>
      </c>
      <c r="K2381" s="3" t="e">
        <f ca="1">[1]!BexGetData("DP_1","003N8EMH8GTFRIVNUPY288VJH","GSON4221910102")</f>
        <v>#NAME?</v>
      </c>
      <c r="L2381" s="3" t="e">
        <f ca="1">[1]!BexGetData("DP_1","003N8EMH8GTFRIVNUPY2891V1","GSON4221910102")</f>
        <v>#NAME?</v>
      </c>
      <c r="M2381" s="3" t="e">
        <f ca="1">[1]!BexGetData("DP_1","003N8EMH8GTFRIVOG7KG9IQXA","GSON4221910102")</f>
        <v>#NAME?</v>
      </c>
      <c r="N2381" s="8" t="e">
        <f ca="1">[1]!BexGetData("DP_1","003N8EMH8GTFRIVOG7KG9IX8U","GSON4221910102")</f>
        <v>#NAME?</v>
      </c>
      <c r="O2381" s="3" t="e">
        <f ca="1">[1]!BexGetData("DP_1","003N8EMH8GTFRIVOG7KG9J3KE","GSON4221910102")</f>
        <v>#NAME?</v>
      </c>
      <c r="P2381" s="8" t="e">
        <f ca="1">[1]!BexGetData("DP_1","003N8EMH8GTFRIVOG7KG9J9VY","GSON4221910102")</f>
        <v>#NAME?</v>
      </c>
      <c r="Q2381" s="4" t="e">
        <f ca="1">[1]!BexGetData("DP_1","00O2TNJGODT0G5Z4TTKYMM5MT","GSON4221910102")</f>
        <v>#NAME?</v>
      </c>
      <c r="R2381" s="4" t="e">
        <f ca="1">[1]!BexGetData("DP_1","00O2TNJGODT0G5Z4TTKYMMBYD","GSON4221910102")</f>
        <v>#NAME?</v>
      </c>
      <c r="S2381" s="4" t="e">
        <f ca="1">[1]!BexGetData("DP_1","00O2TNJGODT0G5Z4TTKYMMI9X","GSON4221910102")</f>
        <v>#NAME?</v>
      </c>
      <c r="T2381" s="4" t="e">
        <f ca="1">[1]!BexGetData("DP_1","00O2TNJGODT0G5Z4TTKYMMOLH","GSON4221910102")</f>
        <v>#NAME?</v>
      </c>
      <c r="U2381" s="4" t="e">
        <f ca="1">[1]!BexGetData("DP_1","00O2TNJGODT0G5Z4TTKYMMUX1","GSON4221910102")</f>
        <v>#NAME?</v>
      </c>
      <c r="V2381" s="4" t="e">
        <f ca="1">[1]!BexGetData("DP_1","00O2TNJGODT0G5Z4TTKYMN18L","GSON4221910102")</f>
        <v>#NAME?</v>
      </c>
      <c r="W2381" s="4" t="e">
        <f ca="1">[1]!BexGetData("DP_1","00O2TNJGODT0G5Z4TTKYMN7K5","GSON4221910102")</f>
        <v>#NAME?</v>
      </c>
    </row>
    <row r="2382" spans="1:23" x14ac:dyDescent="0.2">
      <c r="A2382" s="16" t="s">
        <v>5000</v>
      </c>
      <c r="B2382" s="7" t="s">
        <v>5001</v>
      </c>
      <c r="C2382" s="8" t="e">
        <f ca="1">[1]!BexGetData("DP_1","003N8EMH8GTFRCSWKMPXRR8GU","GSON4221910103")</f>
        <v>#NAME?</v>
      </c>
      <c r="D2382" s="3" t="e">
        <f ca="1">[1]!BexGetData("DP_1","003N8EMH8GTFRCSWKMPXRRESE","GSON4221910103")</f>
        <v>#NAME?</v>
      </c>
      <c r="E2382" s="3" t="e">
        <f ca="1">[1]!BexGetData("DP_1","003N8EMH8GTFRCSWKMPXRRL3Y","GSON4221910103")</f>
        <v>#NAME?</v>
      </c>
      <c r="F2382" s="4" t="e">
        <f ca="1">[1]!BexGetData("DP_1","003N8EMH8GTFRCSWKMPXRRRFI","GSON4221910103")</f>
        <v>#NAME?</v>
      </c>
      <c r="G2382" s="4" t="e">
        <f ca="1">[1]!BexGetData("DP_1","003N8EMH8GTFRCSWKMPXRRXR2","GSON4221910103")</f>
        <v>#NAME?</v>
      </c>
      <c r="H2382" s="4" t="e">
        <f ca="1">[1]!BexGetData("DP_1","003N8EMH8GTFRCSWKMPXRS42M","GSON4221910103")</f>
        <v>#NAME?</v>
      </c>
      <c r="I2382" s="4" t="e">
        <f ca="1">[1]!BexGetData("DP_1","003N8EMH8GTFRCSWKMPXRSAE6","GSON4221910103")</f>
        <v>#NAME?</v>
      </c>
      <c r="J2382" s="4" t="e">
        <f ca="1">[1]!BexGetData("DP_1","003N8EMH8GTFRCSWKMPXRSGPQ","GSON4221910103")</f>
        <v>#NAME?</v>
      </c>
      <c r="K2382" s="3" t="e">
        <f ca="1">[1]!BexGetData("DP_1","003N8EMH8GTFRIVNUPY288VJH","GSON4221910103")</f>
        <v>#NAME?</v>
      </c>
      <c r="L2382" s="3" t="e">
        <f ca="1">[1]!BexGetData("DP_1","003N8EMH8GTFRIVNUPY2891V1","GSON4221910103")</f>
        <v>#NAME?</v>
      </c>
      <c r="M2382" s="3" t="e">
        <f ca="1">[1]!BexGetData("DP_1","003N8EMH8GTFRIVOG7KG9IQXA","GSON4221910103")</f>
        <v>#NAME?</v>
      </c>
      <c r="N2382" s="8" t="e">
        <f ca="1">[1]!BexGetData("DP_1","003N8EMH8GTFRIVOG7KG9IX8U","GSON4221910103")</f>
        <v>#NAME?</v>
      </c>
      <c r="O2382" s="3" t="e">
        <f ca="1">[1]!BexGetData("DP_1","003N8EMH8GTFRIVOG7KG9J3KE","GSON4221910103")</f>
        <v>#NAME?</v>
      </c>
      <c r="P2382" s="8" t="e">
        <f ca="1">[1]!BexGetData("DP_1","003N8EMH8GTFRIVOG7KG9J9VY","GSON4221910103")</f>
        <v>#NAME?</v>
      </c>
      <c r="Q2382" s="4" t="e">
        <f ca="1">[1]!BexGetData("DP_1","00O2TNJGODT0G5Z4TTKYMM5MT","GSON4221910103")</f>
        <v>#NAME?</v>
      </c>
      <c r="R2382" s="4" t="e">
        <f ca="1">[1]!BexGetData("DP_1","00O2TNJGODT0G5Z4TTKYMMBYD","GSON4221910103")</f>
        <v>#NAME?</v>
      </c>
      <c r="S2382" s="4" t="e">
        <f ca="1">[1]!BexGetData("DP_1","00O2TNJGODT0G5Z4TTKYMMI9X","GSON4221910103")</f>
        <v>#NAME?</v>
      </c>
      <c r="T2382" s="4" t="e">
        <f ca="1">[1]!BexGetData("DP_1","00O2TNJGODT0G5Z4TTKYMMOLH","GSON4221910103")</f>
        <v>#NAME?</v>
      </c>
      <c r="U2382" s="4" t="e">
        <f ca="1">[1]!BexGetData("DP_1","00O2TNJGODT0G5Z4TTKYMMUX1","GSON4221910103")</f>
        <v>#NAME?</v>
      </c>
      <c r="V2382" s="4" t="e">
        <f ca="1">[1]!BexGetData("DP_1","00O2TNJGODT0G5Z4TTKYMN18L","GSON4221910103")</f>
        <v>#NAME?</v>
      </c>
      <c r="W2382" s="4" t="e">
        <f ca="1">[1]!BexGetData("DP_1","00O2TNJGODT0G5Z4TTKYMN7K5","GSON4221910103")</f>
        <v>#NAME?</v>
      </c>
    </row>
    <row r="2383" spans="1:23" x14ac:dyDescent="0.2">
      <c r="A2383" s="15" t="s">
        <v>719</v>
      </c>
      <c r="B2383" s="7" t="s">
        <v>720</v>
      </c>
      <c r="C2383" s="3" t="e">
        <f ca="1">[1]!BexGetData("DP_1","003N8EMH8GTFRCSWKMPXRR8GU","GSON4223")</f>
        <v>#NAME?</v>
      </c>
      <c r="D2383" s="3" t="e">
        <f ca="1">[1]!BexGetData("DP_1","003N8EMH8GTFRCSWKMPXRRESE","GSON4223")</f>
        <v>#NAME?</v>
      </c>
      <c r="E2383" s="3" t="e">
        <f ca="1">[1]!BexGetData("DP_1","003N8EMH8GTFRCSWKMPXRRL3Y","GSON4223")</f>
        <v>#NAME?</v>
      </c>
      <c r="F2383" s="4" t="e">
        <f ca="1">[1]!BexGetData("DP_1","003N8EMH8GTFRCSWKMPXRRRFI","GSON4223")</f>
        <v>#NAME?</v>
      </c>
      <c r="G2383" s="4" t="e">
        <f ca="1">[1]!BexGetData("DP_1","003N8EMH8GTFRCSWKMPXRRXR2","GSON4223")</f>
        <v>#NAME?</v>
      </c>
      <c r="H2383" s="4" t="e">
        <f ca="1">[1]!BexGetData("DP_1","003N8EMH8GTFRCSWKMPXRS42M","GSON4223")</f>
        <v>#NAME?</v>
      </c>
      <c r="I2383" s="4" t="e">
        <f ca="1">[1]!BexGetData("DP_1","003N8EMH8GTFRCSWKMPXRSAE6","GSON4223")</f>
        <v>#NAME?</v>
      </c>
      <c r="J2383" s="4" t="e">
        <f ca="1">[1]!BexGetData("DP_1","003N8EMH8GTFRCSWKMPXRSGPQ","GSON4223")</f>
        <v>#NAME?</v>
      </c>
      <c r="K2383" s="3" t="e">
        <f ca="1">[1]!BexGetData("DP_1","003N8EMH8GTFRIVNUPY288VJH","GSON4223")</f>
        <v>#NAME?</v>
      </c>
      <c r="L2383" s="3" t="e">
        <f ca="1">[1]!BexGetData("DP_1","003N8EMH8GTFRIVNUPY2891V1","GSON4223")</f>
        <v>#NAME?</v>
      </c>
      <c r="M2383" s="3" t="e">
        <f ca="1">[1]!BexGetData("DP_1","003N8EMH8GTFRIVOG7KG9IQXA","GSON4223")</f>
        <v>#NAME?</v>
      </c>
      <c r="N2383" s="8" t="e">
        <f ca="1">[1]!BexGetData("DP_1","003N8EMH8GTFRIVOG7KG9IX8U","GSON4223")</f>
        <v>#NAME?</v>
      </c>
      <c r="O2383" s="3" t="e">
        <f ca="1">[1]!BexGetData("DP_1","003N8EMH8GTFRIVOG7KG9J3KE","GSON4223")</f>
        <v>#NAME?</v>
      </c>
      <c r="P2383" s="8" t="e">
        <f ca="1">[1]!BexGetData("DP_1","003N8EMH8GTFRIVOG7KG9J9VY","GSON4223")</f>
        <v>#NAME?</v>
      </c>
      <c r="Q2383" s="4" t="e">
        <f ca="1">[1]!BexGetData("DP_1","00O2TNJGODT0G5Z4TTKYMM5MT","GSON4223")</f>
        <v>#NAME?</v>
      </c>
      <c r="R2383" s="4" t="e">
        <f ca="1">[1]!BexGetData("DP_1","00O2TNJGODT0G5Z4TTKYMMBYD","GSON4223")</f>
        <v>#NAME?</v>
      </c>
      <c r="S2383" s="4" t="e">
        <f ca="1">[1]!BexGetData("DP_1","00O2TNJGODT0G5Z4TTKYMMI9X","GSON4223")</f>
        <v>#NAME?</v>
      </c>
      <c r="T2383" s="4" t="e">
        <f ca="1">[1]!BexGetData("DP_1","00O2TNJGODT0G5Z4TTKYMMOLH","GSON4223")</f>
        <v>#NAME?</v>
      </c>
      <c r="U2383" s="4" t="e">
        <f ca="1">[1]!BexGetData("DP_1","00O2TNJGODT0G5Z4TTKYMMUX1","GSON4223")</f>
        <v>#NAME?</v>
      </c>
      <c r="V2383" s="4" t="e">
        <f ca="1">[1]!BexGetData("DP_1","00O2TNJGODT0G5Z4TTKYMN18L","GSON4223")</f>
        <v>#NAME?</v>
      </c>
      <c r="W2383" s="4" t="e">
        <f ca="1">[1]!BexGetData("DP_1","00O2TNJGODT0G5Z4TTKYMN7K5","GSON4223")</f>
        <v>#NAME?</v>
      </c>
    </row>
    <row r="2384" spans="1:23" x14ac:dyDescent="0.2">
      <c r="A2384" s="16" t="s">
        <v>1536</v>
      </c>
      <c r="B2384" s="7" t="s">
        <v>1537</v>
      </c>
      <c r="C2384" s="3" t="e">
        <f ca="1">[1]!BexGetData("DP_1","003N8EMH8GTFRCSWKMPXRR8GU","GSON4223930101")</f>
        <v>#NAME?</v>
      </c>
      <c r="D2384" s="3" t="e">
        <f ca="1">[1]!BexGetData("DP_1","003N8EMH8GTFRCSWKMPXRRESE","GSON4223930101")</f>
        <v>#NAME?</v>
      </c>
      <c r="E2384" s="3" t="e">
        <f ca="1">[1]!BexGetData("DP_1","003N8EMH8GTFRCSWKMPXRRL3Y","GSON4223930101")</f>
        <v>#NAME?</v>
      </c>
      <c r="F2384" s="4" t="e">
        <f ca="1">[1]!BexGetData("DP_1","003N8EMH8GTFRCSWKMPXRRRFI","GSON4223930101")</f>
        <v>#NAME?</v>
      </c>
      <c r="G2384" s="4" t="e">
        <f ca="1">[1]!BexGetData("DP_1","003N8EMH8GTFRCSWKMPXRRXR2","GSON4223930101")</f>
        <v>#NAME?</v>
      </c>
      <c r="H2384" s="4" t="e">
        <f ca="1">[1]!BexGetData("DP_1","003N8EMH8GTFRCSWKMPXRS42M","GSON4223930101")</f>
        <v>#NAME?</v>
      </c>
      <c r="I2384" s="4" t="e">
        <f ca="1">[1]!BexGetData("DP_1","003N8EMH8GTFRCSWKMPXRSAE6","GSON4223930101")</f>
        <v>#NAME?</v>
      </c>
      <c r="J2384" s="4" t="e">
        <f ca="1">[1]!BexGetData("DP_1","003N8EMH8GTFRCSWKMPXRSGPQ","GSON4223930101")</f>
        <v>#NAME?</v>
      </c>
      <c r="K2384" s="3" t="e">
        <f ca="1">[1]!BexGetData("DP_1","003N8EMH8GTFRIVNUPY288VJH","GSON4223930101")</f>
        <v>#NAME?</v>
      </c>
      <c r="L2384" s="3" t="e">
        <f ca="1">[1]!BexGetData("DP_1","003N8EMH8GTFRIVNUPY2891V1","GSON4223930101")</f>
        <v>#NAME?</v>
      </c>
      <c r="M2384" s="3" t="e">
        <f ca="1">[1]!BexGetData("DP_1","003N8EMH8GTFRIVOG7KG9IQXA","GSON4223930101")</f>
        <v>#NAME?</v>
      </c>
      <c r="N2384" s="8" t="e">
        <f ca="1">[1]!BexGetData("DP_1","003N8EMH8GTFRIVOG7KG9IX8U","GSON4223930101")</f>
        <v>#NAME?</v>
      </c>
      <c r="O2384" s="3" t="e">
        <f ca="1">[1]!BexGetData("DP_1","003N8EMH8GTFRIVOG7KG9J3KE","GSON4223930101")</f>
        <v>#NAME?</v>
      </c>
      <c r="P2384" s="8" t="e">
        <f ca="1">[1]!BexGetData("DP_1","003N8EMH8GTFRIVOG7KG9J9VY","GSON4223930101")</f>
        <v>#NAME?</v>
      </c>
      <c r="Q2384" s="4" t="e">
        <f ca="1">[1]!BexGetData("DP_1","00O2TNJGODT0G5Z4TTKYMM5MT","GSON4223930101")</f>
        <v>#NAME?</v>
      </c>
      <c r="R2384" s="4" t="e">
        <f ca="1">[1]!BexGetData("DP_1","00O2TNJGODT0G5Z4TTKYMMBYD","GSON4223930101")</f>
        <v>#NAME?</v>
      </c>
      <c r="S2384" s="4" t="e">
        <f ca="1">[1]!BexGetData("DP_1","00O2TNJGODT0G5Z4TTKYMMI9X","GSON4223930101")</f>
        <v>#NAME?</v>
      </c>
      <c r="T2384" s="4" t="e">
        <f ca="1">[1]!BexGetData("DP_1","00O2TNJGODT0G5Z4TTKYMMOLH","GSON4223930101")</f>
        <v>#NAME?</v>
      </c>
      <c r="U2384" s="4" t="e">
        <f ca="1">[1]!BexGetData("DP_1","00O2TNJGODT0G5Z4TTKYMMUX1","GSON4223930101")</f>
        <v>#NAME?</v>
      </c>
      <c r="V2384" s="4" t="e">
        <f ca="1">[1]!BexGetData("DP_1","00O2TNJGODT0G5Z4TTKYMN18L","GSON4223930101")</f>
        <v>#NAME?</v>
      </c>
      <c r="W2384" s="4" t="e">
        <f ca="1">[1]!BexGetData("DP_1","00O2TNJGODT0G5Z4TTKYMN7K5","GSON4223930101")</f>
        <v>#NAME?</v>
      </c>
    </row>
    <row r="2385" spans="1:23" x14ac:dyDescent="0.2">
      <c r="A2385" s="16" t="s">
        <v>5002</v>
      </c>
      <c r="B2385" s="7" t="s">
        <v>5003</v>
      </c>
      <c r="C2385" s="8" t="e">
        <f ca="1">[1]!BexGetData("DP_1","003N8EMH8GTFRCSWKMPXRR8GU","GSON4223930102")</f>
        <v>#NAME?</v>
      </c>
      <c r="D2385" s="3" t="e">
        <f ca="1">[1]!BexGetData("DP_1","003N8EMH8GTFRCSWKMPXRRESE","GSON4223930102")</f>
        <v>#NAME?</v>
      </c>
      <c r="E2385" s="3" t="e">
        <f ca="1">[1]!BexGetData("DP_1","003N8EMH8GTFRCSWKMPXRRL3Y","GSON4223930102")</f>
        <v>#NAME?</v>
      </c>
      <c r="F2385" s="4" t="e">
        <f ca="1">[1]!BexGetData("DP_1","003N8EMH8GTFRCSWKMPXRRRFI","GSON4223930102")</f>
        <v>#NAME?</v>
      </c>
      <c r="G2385" s="4" t="e">
        <f ca="1">[1]!BexGetData("DP_1","003N8EMH8GTFRCSWKMPXRRXR2","GSON4223930102")</f>
        <v>#NAME?</v>
      </c>
      <c r="H2385" s="4" t="e">
        <f ca="1">[1]!BexGetData("DP_1","003N8EMH8GTFRCSWKMPXRS42M","GSON4223930102")</f>
        <v>#NAME?</v>
      </c>
      <c r="I2385" s="4" t="e">
        <f ca="1">[1]!BexGetData("DP_1","003N8EMH8GTFRCSWKMPXRSAE6","GSON4223930102")</f>
        <v>#NAME?</v>
      </c>
      <c r="J2385" s="4" t="e">
        <f ca="1">[1]!BexGetData("DP_1","003N8EMH8GTFRCSWKMPXRSGPQ","GSON4223930102")</f>
        <v>#NAME?</v>
      </c>
      <c r="K2385" s="3" t="e">
        <f ca="1">[1]!BexGetData("DP_1","003N8EMH8GTFRIVNUPY288VJH","GSON4223930102")</f>
        <v>#NAME?</v>
      </c>
      <c r="L2385" s="3" t="e">
        <f ca="1">[1]!BexGetData("DP_1","003N8EMH8GTFRIVNUPY2891V1","GSON4223930102")</f>
        <v>#NAME?</v>
      </c>
      <c r="M2385" s="3" t="e">
        <f ca="1">[1]!BexGetData("DP_1","003N8EMH8GTFRIVOG7KG9IQXA","GSON4223930102")</f>
        <v>#NAME?</v>
      </c>
      <c r="N2385" s="8" t="e">
        <f ca="1">[1]!BexGetData("DP_1","003N8EMH8GTFRIVOG7KG9IX8U","GSON4223930102")</f>
        <v>#NAME?</v>
      </c>
      <c r="O2385" s="3" t="e">
        <f ca="1">[1]!BexGetData("DP_1","003N8EMH8GTFRIVOG7KG9J3KE","GSON4223930102")</f>
        <v>#NAME?</v>
      </c>
      <c r="P2385" s="8" t="e">
        <f ca="1">[1]!BexGetData("DP_1","003N8EMH8GTFRIVOG7KG9J9VY","GSON4223930102")</f>
        <v>#NAME?</v>
      </c>
      <c r="Q2385" s="4" t="e">
        <f ca="1">[1]!BexGetData("DP_1","00O2TNJGODT0G5Z4TTKYMM5MT","GSON4223930102")</f>
        <v>#NAME?</v>
      </c>
      <c r="R2385" s="4" t="e">
        <f ca="1">[1]!BexGetData("DP_1","00O2TNJGODT0G5Z4TTKYMMBYD","GSON4223930102")</f>
        <v>#NAME?</v>
      </c>
      <c r="S2385" s="4" t="e">
        <f ca="1">[1]!BexGetData("DP_1","00O2TNJGODT0G5Z4TTKYMMI9X","GSON4223930102")</f>
        <v>#NAME?</v>
      </c>
      <c r="T2385" s="4" t="e">
        <f ca="1">[1]!BexGetData("DP_1","00O2TNJGODT0G5Z4TTKYMMOLH","GSON4223930102")</f>
        <v>#NAME?</v>
      </c>
      <c r="U2385" s="4" t="e">
        <f ca="1">[1]!BexGetData("DP_1","00O2TNJGODT0G5Z4TTKYMMUX1","GSON4223930102")</f>
        <v>#NAME?</v>
      </c>
      <c r="V2385" s="4" t="e">
        <f ca="1">[1]!BexGetData("DP_1","00O2TNJGODT0G5Z4TTKYMN18L","GSON4223930102")</f>
        <v>#NAME?</v>
      </c>
      <c r="W2385" s="4" t="e">
        <f ca="1">[1]!BexGetData("DP_1","00O2TNJGODT0G5Z4TTKYMN7K5","GSON4223930102")</f>
        <v>#NAME?</v>
      </c>
    </row>
    <row r="2386" spans="1:23" x14ac:dyDescent="0.2">
      <c r="A2386" s="16" t="s">
        <v>5004</v>
      </c>
      <c r="B2386" s="7" t="s">
        <v>5005</v>
      </c>
      <c r="C2386" s="3" t="e">
        <f ca="1">[1]!BexGetData("DP_1","003N8EMH8GTFRCSWKMPXRR8GU","GSON4223930103")</f>
        <v>#NAME?</v>
      </c>
      <c r="D2386" s="3" t="e">
        <f ca="1">[1]!BexGetData("DP_1","003N8EMH8GTFRCSWKMPXRRESE","GSON4223930103")</f>
        <v>#NAME?</v>
      </c>
      <c r="E2386" s="3" t="e">
        <f ca="1">[1]!BexGetData("DP_1","003N8EMH8GTFRCSWKMPXRRL3Y","GSON4223930103")</f>
        <v>#NAME?</v>
      </c>
      <c r="F2386" s="4" t="e">
        <f ca="1">[1]!BexGetData("DP_1","003N8EMH8GTFRCSWKMPXRRRFI","GSON4223930103")</f>
        <v>#NAME?</v>
      </c>
      <c r="G2386" s="4" t="e">
        <f ca="1">[1]!BexGetData("DP_1","003N8EMH8GTFRCSWKMPXRRXR2","GSON4223930103")</f>
        <v>#NAME?</v>
      </c>
      <c r="H2386" s="4" t="e">
        <f ca="1">[1]!BexGetData("DP_1","003N8EMH8GTFRCSWKMPXRS42M","GSON4223930103")</f>
        <v>#NAME?</v>
      </c>
      <c r="I2386" s="4" t="e">
        <f ca="1">[1]!BexGetData("DP_1","003N8EMH8GTFRCSWKMPXRSAE6","GSON4223930103")</f>
        <v>#NAME?</v>
      </c>
      <c r="J2386" s="4" t="e">
        <f ca="1">[1]!BexGetData("DP_1","003N8EMH8GTFRCSWKMPXRSGPQ","GSON4223930103")</f>
        <v>#NAME?</v>
      </c>
      <c r="K2386" s="3" t="e">
        <f ca="1">[1]!BexGetData("DP_1","003N8EMH8GTFRIVNUPY288VJH","GSON4223930103")</f>
        <v>#NAME?</v>
      </c>
      <c r="L2386" s="3" t="e">
        <f ca="1">[1]!BexGetData("DP_1","003N8EMH8GTFRIVNUPY2891V1","GSON4223930103")</f>
        <v>#NAME?</v>
      </c>
      <c r="M2386" s="3" t="e">
        <f ca="1">[1]!BexGetData("DP_1","003N8EMH8GTFRIVOG7KG9IQXA","GSON4223930103")</f>
        <v>#NAME?</v>
      </c>
      <c r="N2386" s="8" t="e">
        <f ca="1">[1]!BexGetData("DP_1","003N8EMH8GTFRIVOG7KG9IX8U","GSON4223930103")</f>
        <v>#NAME?</v>
      </c>
      <c r="O2386" s="3" t="e">
        <f ca="1">[1]!BexGetData("DP_1","003N8EMH8GTFRIVOG7KG9J3KE","GSON4223930103")</f>
        <v>#NAME?</v>
      </c>
      <c r="P2386" s="8" t="e">
        <f ca="1">[1]!BexGetData("DP_1","003N8EMH8GTFRIVOG7KG9J9VY","GSON4223930103")</f>
        <v>#NAME?</v>
      </c>
      <c r="Q2386" s="4" t="e">
        <f ca="1">[1]!BexGetData("DP_1","00O2TNJGODT0G5Z4TTKYMM5MT","GSON4223930103")</f>
        <v>#NAME?</v>
      </c>
      <c r="R2386" s="4" t="e">
        <f ca="1">[1]!BexGetData("DP_1","00O2TNJGODT0G5Z4TTKYMMBYD","GSON4223930103")</f>
        <v>#NAME?</v>
      </c>
      <c r="S2386" s="4" t="e">
        <f ca="1">[1]!BexGetData("DP_1","00O2TNJGODT0G5Z4TTKYMMI9X","GSON4223930103")</f>
        <v>#NAME?</v>
      </c>
      <c r="T2386" s="4" t="e">
        <f ca="1">[1]!BexGetData("DP_1","00O2TNJGODT0G5Z4TTKYMMOLH","GSON4223930103")</f>
        <v>#NAME?</v>
      </c>
      <c r="U2386" s="4" t="e">
        <f ca="1">[1]!BexGetData("DP_1","00O2TNJGODT0G5Z4TTKYMMUX1","GSON4223930103")</f>
        <v>#NAME?</v>
      </c>
      <c r="V2386" s="4" t="e">
        <f ca="1">[1]!BexGetData("DP_1","00O2TNJGODT0G5Z4TTKYMN18L","GSON4223930103")</f>
        <v>#NAME?</v>
      </c>
      <c r="W2386" s="4" t="e">
        <f ca="1">[1]!BexGetData("DP_1","00O2TNJGODT0G5Z4TTKYMN7K5","GSON4223930103")</f>
        <v>#NAME?</v>
      </c>
    </row>
    <row r="2387" spans="1:23" x14ac:dyDescent="0.2">
      <c r="A2387" s="16" t="s">
        <v>5006</v>
      </c>
      <c r="B2387" s="7" t="s">
        <v>5007</v>
      </c>
      <c r="C2387" s="3" t="e">
        <f ca="1">[1]!BexGetData("DP_1","003N8EMH8GTFRCSWKMPXRR8GU","GSON4223930104")</f>
        <v>#NAME?</v>
      </c>
      <c r="D2387" s="3" t="e">
        <f ca="1">[1]!BexGetData("DP_1","003N8EMH8GTFRCSWKMPXRRESE","GSON4223930104")</f>
        <v>#NAME?</v>
      </c>
      <c r="E2387" s="3" t="e">
        <f ca="1">[1]!BexGetData("DP_1","003N8EMH8GTFRCSWKMPXRRL3Y","GSON4223930104")</f>
        <v>#NAME?</v>
      </c>
      <c r="F2387" s="4" t="e">
        <f ca="1">[1]!BexGetData("DP_1","003N8EMH8GTFRCSWKMPXRRRFI","GSON4223930104")</f>
        <v>#NAME?</v>
      </c>
      <c r="G2387" s="4" t="e">
        <f ca="1">[1]!BexGetData("DP_1","003N8EMH8GTFRCSWKMPXRRXR2","GSON4223930104")</f>
        <v>#NAME?</v>
      </c>
      <c r="H2387" s="4" t="e">
        <f ca="1">[1]!BexGetData("DP_1","003N8EMH8GTFRCSWKMPXRS42M","GSON4223930104")</f>
        <v>#NAME?</v>
      </c>
      <c r="I2387" s="4" t="e">
        <f ca="1">[1]!BexGetData("DP_1","003N8EMH8GTFRCSWKMPXRSAE6","GSON4223930104")</f>
        <v>#NAME?</v>
      </c>
      <c r="J2387" s="4" t="e">
        <f ca="1">[1]!BexGetData("DP_1","003N8EMH8GTFRCSWKMPXRSGPQ","GSON4223930104")</f>
        <v>#NAME?</v>
      </c>
      <c r="K2387" s="3" t="e">
        <f ca="1">[1]!BexGetData("DP_1","003N8EMH8GTFRIVNUPY288VJH","GSON4223930104")</f>
        <v>#NAME?</v>
      </c>
      <c r="L2387" s="3" t="e">
        <f ca="1">[1]!BexGetData("DP_1","003N8EMH8GTFRIVNUPY2891V1","GSON4223930104")</f>
        <v>#NAME?</v>
      </c>
      <c r="M2387" s="3" t="e">
        <f ca="1">[1]!BexGetData("DP_1","003N8EMH8GTFRIVOG7KG9IQXA","GSON4223930104")</f>
        <v>#NAME?</v>
      </c>
      <c r="N2387" s="8" t="e">
        <f ca="1">[1]!BexGetData("DP_1","003N8EMH8GTFRIVOG7KG9IX8U","GSON4223930104")</f>
        <v>#NAME?</v>
      </c>
      <c r="O2387" s="3" t="e">
        <f ca="1">[1]!BexGetData("DP_1","003N8EMH8GTFRIVOG7KG9J3KE","GSON4223930104")</f>
        <v>#NAME?</v>
      </c>
      <c r="P2387" s="8" t="e">
        <f ca="1">[1]!BexGetData("DP_1","003N8EMH8GTFRIVOG7KG9J9VY","GSON4223930104")</f>
        <v>#NAME?</v>
      </c>
      <c r="Q2387" s="4" t="e">
        <f ca="1">[1]!BexGetData("DP_1","00O2TNJGODT0G5Z4TTKYMM5MT","GSON4223930104")</f>
        <v>#NAME?</v>
      </c>
      <c r="R2387" s="4" t="e">
        <f ca="1">[1]!BexGetData("DP_1","00O2TNJGODT0G5Z4TTKYMMBYD","GSON4223930104")</f>
        <v>#NAME?</v>
      </c>
      <c r="S2387" s="4" t="e">
        <f ca="1">[1]!BexGetData("DP_1","00O2TNJGODT0G5Z4TTKYMMI9X","GSON4223930104")</f>
        <v>#NAME?</v>
      </c>
      <c r="T2387" s="4" t="e">
        <f ca="1">[1]!BexGetData("DP_1","00O2TNJGODT0G5Z4TTKYMMOLH","GSON4223930104")</f>
        <v>#NAME?</v>
      </c>
      <c r="U2387" s="4" t="e">
        <f ca="1">[1]!BexGetData("DP_1","00O2TNJGODT0G5Z4TTKYMMUX1","GSON4223930104")</f>
        <v>#NAME?</v>
      </c>
      <c r="V2387" s="4" t="e">
        <f ca="1">[1]!BexGetData("DP_1","00O2TNJGODT0G5Z4TTKYMN18L","GSON4223930104")</f>
        <v>#NAME?</v>
      </c>
      <c r="W2387" s="4" t="e">
        <f ca="1">[1]!BexGetData("DP_1","00O2TNJGODT0G5Z4TTKYMN7K5","GSON4223930104")</f>
        <v>#NAME?</v>
      </c>
    </row>
    <row r="2388" spans="1:23" x14ac:dyDescent="0.2">
      <c r="A2388" s="16" t="s">
        <v>5008</v>
      </c>
      <c r="B2388" s="7" t="s">
        <v>5009</v>
      </c>
      <c r="C2388" s="3" t="e">
        <f ca="1">[1]!BexGetData("DP_1","003N8EMH8GTFRCSWKMPXRR8GU","GSON4223930105")</f>
        <v>#NAME?</v>
      </c>
      <c r="D2388" s="3" t="e">
        <f ca="1">[1]!BexGetData("DP_1","003N8EMH8GTFRCSWKMPXRRESE","GSON4223930105")</f>
        <v>#NAME?</v>
      </c>
      <c r="E2388" s="3" t="e">
        <f ca="1">[1]!BexGetData("DP_1","003N8EMH8GTFRCSWKMPXRRL3Y","GSON4223930105")</f>
        <v>#NAME?</v>
      </c>
      <c r="F2388" s="4" t="e">
        <f ca="1">[1]!BexGetData("DP_1","003N8EMH8GTFRCSWKMPXRRRFI","GSON4223930105")</f>
        <v>#NAME?</v>
      </c>
      <c r="G2388" s="4" t="e">
        <f ca="1">[1]!BexGetData("DP_1","003N8EMH8GTFRCSWKMPXRRXR2","GSON4223930105")</f>
        <v>#NAME?</v>
      </c>
      <c r="H2388" s="4" t="e">
        <f ca="1">[1]!BexGetData("DP_1","003N8EMH8GTFRCSWKMPXRS42M","GSON4223930105")</f>
        <v>#NAME?</v>
      </c>
      <c r="I2388" s="4" t="e">
        <f ca="1">[1]!BexGetData("DP_1","003N8EMH8GTFRCSWKMPXRSAE6","GSON4223930105")</f>
        <v>#NAME?</v>
      </c>
      <c r="J2388" s="4" t="e">
        <f ca="1">[1]!BexGetData("DP_1","003N8EMH8GTFRCSWKMPXRSGPQ","GSON4223930105")</f>
        <v>#NAME?</v>
      </c>
      <c r="K2388" s="3" t="e">
        <f ca="1">[1]!BexGetData("DP_1","003N8EMH8GTFRIVNUPY288VJH","GSON4223930105")</f>
        <v>#NAME?</v>
      </c>
      <c r="L2388" s="3" t="e">
        <f ca="1">[1]!BexGetData("DP_1","003N8EMH8GTFRIVNUPY2891V1","GSON4223930105")</f>
        <v>#NAME?</v>
      </c>
      <c r="M2388" s="3" t="e">
        <f ca="1">[1]!BexGetData("DP_1","003N8EMH8GTFRIVOG7KG9IQXA","GSON4223930105")</f>
        <v>#NAME?</v>
      </c>
      <c r="N2388" s="8" t="e">
        <f ca="1">[1]!BexGetData("DP_1","003N8EMH8GTFRIVOG7KG9IX8U","GSON4223930105")</f>
        <v>#NAME?</v>
      </c>
      <c r="O2388" s="3" t="e">
        <f ca="1">[1]!BexGetData("DP_1","003N8EMH8GTFRIVOG7KG9J3KE","GSON4223930105")</f>
        <v>#NAME?</v>
      </c>
      <c r="P2388" s="8" t="e">
        <f ca="1">[1]!BexGetData("DP_1","003N8EMH8GTFRIVOG7KG9J9VY","GSON4223930105")</f>
        <v>#NAME?</v>
      </c>
      <c r="Q2388" s="4" t="e">
        <f ca="1">[1]!BexGetData("DP_1","00O2TNJGODT0G5Z4TTKYMM5MT","GSON4223930105")</f>
        <v>#NAME?</v>
      </c>
      <c r="R2388" s="4" t="e">
        <f ca="1">[1]!BexGetData("DP_1","00O2TNJGODT0G5Z4TTKYMMBYD","GSON4223930105")</f>
        <v>#NAME?</v>
      </c>
      <c r="S2388" s="4" t="e">
        <f ca="1">[1]!BexGetData("DP_1","00O2TNJGODT0G5Z4TTKYMMI9X","GSON4223930105")</f>
        <v>#NAME?</v>
      </c>
      <c r="T2388" s="4" t="e">
        <f ca="1">[1]!BexGetData("DP_1","00O2TNJGODT0G5Z4TTKYMMOLH","GSON4223930105")</f>
        <v>#NAME?</v>
      </c>
      <c r="U2388" s="4" t="e">
        <f ca="1">[1]!BexGetData("DP_1","00O2TNJGODT0G5Z4TTKYMMUX1","GSON4223930105")</f>
        <v>#NAME?</v>
      </c>
      <c r="V2388" s="4" t="e">
        <f ca="1">[1]!BexGetData("DP_1","00O2TNJGODT0G5Z4TTKYMN18L","GSON4223930105")</f>
        <v>#NAME?</v>
      </c>
      <c r="W2388" s="4" t="e">
        <f ca="1">[1]!BexGetData("DP_1","00O2TNJGODT0G5Z4TTKYMN7K5","GSON4223930105")</f>
        <v>#NAME?</v>
      </c>
    </row>
    <row r="2389" spans="1:23" x14ac:dyDescent="0.2">
      <c r="A2389" s="16" t="s">
        <v>5010</v>
      </c>
      <c r="B2389" s="7" t="s">
        <v>5011</v>
      </c>
      <c r="C2389" s="3" t="e">
        <f ca="1">[1]!BexGetData("DP_1","003N8EMH8GTFRCSWKMPXRR8GU","GSON4223930106")</f>
        <v>#NAME?</v>
      </c>
      <c r="D2389" s="3" t="e">
        <f ca="1">[1]!BexGetData("DP_1","003N8EMH8GTFRCSWKMPXRRESE","GSON4223930106")</f>
        <v>#NAME?</v>
      </c>
      <c r="E2389" s="3" t="e">
        <f ca="1">[1]!BexGetData("DP_1","003N8EMH8GTFRCSWKMPXRRL3Y","GSON4223930106")</f>
        <v>#NAME?</v>
      </c>
      <c r="F2389" s="4" t="e">
        <f ca="1">[1]!BexGetData("DP_1","003N8EMH8GTFRCSWKMPXRRRFI","GSON4223930106")</f>
        <v>#NAME?</v>
      </c>
      <c r="G2389" s="4" t="e">
        <f ca="1">[1]!BexGetData("DP_1","003N8EMH8GTFRCSWKMPXRRXR2","GSON4223930106")</f>
        <v>#NAME?</v>
      </c>
      <c r="H2389" s="4" t="e">
        <f ca="1">[1]!BexGetData("DP_1","003N8EMH8GTFRCSWKMPXRS42M","GSON4223930106")</f>
        <v>#NAME?</v>
      </c>
      <c r="I2389" s="4" t="e">
        <f ca="1">[1]!BexGetData("DP_1","003N8EMH8GTFRCSWKMPXRSAE6","GSON4223930106")</f>
        <v>#NAME?</v>
      </c>
      <c r="J2389" s="4" t="e">
        <f ca="1">[1]!BexGetData("DP_1","003N8EMH8GTFRCSWKMPXRSGPQ","GSON4223930106")</f>
        <v>#NAME?</v>
      </c>
      <c r="K2389" s="3" t="e">
        <f ca="1">[1]!BexGetData("DP_1","003N8EMH8GTFRIVNUPY288VJH","GSON4223930106")</f>
        <v>#NAME?</v>
      </c>
      <c r="L2389" s="3" t="e">
        <f ca="1">[1]!BexGetData("DP_1","003N8EMH8GTFRIVNUPY2891V1","GSON4223930106")</f>
        <v>#NAME?</v>
      </c>
      <c r="M2389" s="3" t="e">
        <f ca="1">[1]!BexGetData("DP_1","003N8EMH8GTFRIVOG7KG9IQXA","GSON4223930106")</f>
        <v>#NAME?</v>
      </c>
      <c r="N2389" s="8" t="e">
        <f ca="1">[1]!BexGetData("DP_1","003N8EMH8GTFRIVOG7KG9IX8U","GSON4223930106")</f>
        <v>#NAME?</v>
      </c>
      <c r="O2389" s="3" t="e">
        <f ca="1">[1]!BexGetData("DP_1","003N8EMH8GTFRIVOG7KG9J3KE","GSON4223930106")</f>
        <v>#NAME?</v>
      </c>
      <c r="P2389" s="8" t="e">
        <f ca="1">[1]!BexGetData("DP_1","003N8EMH8GTFRIVOG7KG9J9VY","GSON4223930106")</f>
        <v>#NAME?</v>
      </c>
      <c r="Q2389" s="4" t="e">
        <f ca="1">[1]!BexGetData("DP_1","00O2TNJGODT0G5Z4TTKYMM5MT","GSON4223930106")</f>
        <v>#NAME?</v>
      </c>
      <c r="R2389" s="4" t="e">
        <f ca="1">[1]!BexGetData("DP_1","00O2TNJGODT0G5Z4TTKYMMBYD","GSON4223930106")</f>
        <v>#NAME?</v>
      </c>
      <c r="S2389" s="4" t="e">
        <f ca="1">[1]!BexGetData("DP_1","00O2TNJGODT0G5Z4TTKYMMI9X","GSON4223930106")</f>
        <v>#NAME?</v>
      </c>
      <c r="T2389" s="4" t="e">
        <f ca="1">[1]!BexGetData("DP_1","00O2TNJGODT0G5Z4TTKYMMOLH","GSON4223930106")</f>
        <v>#NAME?</v>
      </c>
      <c r="U2389" s="4" t="e">
        <f ca="1">[1]!BexGetData("DP_1","00O2TNJGODT0G5Z4TTKYMMUX1","GSON4223930106")</f>
        <v>#NAME?</v>
      </c>
      <c r="V2389" s="4" t="e">
        <f ca="1">[1]!BexGetData("DP_1","00O2TNJGODT0G5Z4TTKYMN18L","GSON4223930106")</f>
        <v>#NAME?</v>
      </c>
      <c r="W2389" s="4" t="e">
        <f ca="1">[1]!BexGetData("DP_1","00O2TNJGODT0G5Z4TTKYMN7K5","GSON4223930106")</f>
        <v>#NAME?</v>
      </c>
    </row>
    <row r="2390" spans="1:23" x14ac:dyDescent="0.2">
      <c r="A2390" s="16" t="s">
        <v>5012</v>
      </c>
      <c r="B2390" s="7" t="s">
        <v>5013</v>
      </c>
      <c r="C2390" s="8" t="e">
        <f ca="1">[1]!BexGetData("DP_1","003N8EMH8GTFRCSWKMPXRR8GU","GSON4223930107")</f>
        <v>#NAME?</v>
      </c>
      <c r="D2390" s="3" t="e">
        <f ca="1">[1]!BexGetData("DP_1","003N8EMH8GTFRCSWKMPXRRESE","GSON4223930107")</f>
        <v>#NAME?</v>
      </c>
      <c r="E2390" s="3" t="e">
        <f ca="1">[1]!BexGetData("DP_1","003N8EMH8GTFRCSWKMPXRRL3Y","GSON4223930107")</f>
        <v>#NAME?</v>
      </c>
      <c r="F2390" s="4" t="e">
        <f ca="1">[1]!BexGetData("DP_1","003N8EMH8GTFRCSWKMPXRRRFI","GSON4223930107")</f>
        <v>#NAME?</v>
      </c>
      <c r="G2390" s="4" t="e">
        <f ca="1">[1]!BexGetData("DP_1","003N8EMH8GTFRCSWKMPXRRXR2","GSON4223930107")</f>
        <v>#NAME?</v>
      </c>
      <c r="H2390" s="4" t="e">
        <f ca="1">[1]!BexGetData("DP_1","003N8EMH8GTFRCSWKMPXRS42M","GSON4223930107")</f>
        <v>#NAME?</v>
      </c>
      <c r="I2390" s="4" t="e">
        <f ca="1">[1]!BexGetData("DP_1","003N8EMH8GTFRCSWKMPXRSAE6","GSON4223930107")</f>
        <v>#NAME?</v>
      </c>
      <c r="J2390" s="4" t="e">
        <f ca="1">[1]!BexGetData("DP_1","003N8EMH8GTFRCSWKMPXRSGPQ","GSON4223930107")</f>
        <v>#NAME?</v>
      </c>
      <c r="K2390" s="3" t="e">
        <f ca="1">[1]!BexGetData("DP_1","003N8EMH8GTFRIVNUPY288VJH","GSON4223930107")</f>
        <v>#NAME?</v>
      </c>
      <c r="L2390" s="3" t="e">
        <f ca="1">[1]!BexGetData("DP_1","003N8EMH8GTFRIVNUPY2891V1","GSON4223930107")</f>
        <v>#NAME?</v>
      </c>
      <c r="M2390" s="3" t="e">
        <f ca="1">[1]!BexGetData("DP_1","003N8EMH8GTFRIVOG7KG9IQXA","GSON4223930107")</f>
        <v>#NAME?</v>
      </c>
      <c r="N2390" s="8" t="e">
        <f ca="1">[1]!BexGetData("DP_1","003N8EMH8GTFRIVOG7KG9IX8U","GSON4223930107")</f>
        <v>#NAME?</v>
      </c>
      <c r="O2390" s="3" t="e">
        <f ca="1">[1]!BexGetData("DP_1","003N8EMH8GTFRIVOG7KG9J3KE","GSON4223930107")</f>
        <v>#NAME?</v>
      </c>
      <c r="P2390" s="8" t="e">
        <f ca="1">[1]!BexGetData("DP_1","003N8EMH8GTFRIVOG7KG9J9VY","GSON4223930107")</f>
        <v>#NAME?</v>
      </c>
      <c r="Q2390" s="4" t="e">
        <f ca="1">[1]!BexGetData("DP_1","00O2TNJGODT0G5Z4TTKYMM5MT","GSON4223930107")</f>
        <v>#NAME?</v>
      </c>
      <c r="R2390" s="4" t="e">
        <f ca="1">[1]!BexGetData("DP_1","00O2TNJGODT0G5Z4TTKYMMBYD","GSON4223930107")</f>
        <v>#NAME?</v>
      </c>
      <c r="S2390" s="4" t="e">
        <f ca="1">[1]!BexGetData("DP_1","00O2TNJGODT0G5Z4TTKYMMI9X","GSON4223930107")</f>
        <v>#NAME?</v>
      </c>
      <c r="T2390" s="4" t="e">
        <f ca="1">[1]!BexGetData("DP_1","00O2TNJGODT0G5Z4TTKYMMOLH","GSON4223930107")</f>
        <v>#NAME?</v>
      </c>
      <c r="U2390" s="4" t="e">
        <f ca="1">[1]!BexGetData("DP_1","00O2TNJGODT0G5Z4TTKYMMUX1","GSON4223930107")</f>
        <v>#NAME?</v>
      </c>
      <c r="V2390" s="4" t="e">
        <f ca="1">[1]!BexGetData("DP_1","00O2TNJGODT0G5Z4TTKYMN18L","GSON4223930107")</f>
        <v>#NAME?</v>
      </c>
      <c r="W2390" s="4" t="e">
        <f ca="1">[1]!BexGetData("DP_1","00O2TNJGODT0G5Z4TTKYMN7K5","GSON4223930107")</f>
        <v>#NAME?</v>
      </c>
    </row>
    <row r="2391" spans="1:23" x14ac:dyDescent="0.2">
      <c r="A2391" s="16" t="s">
        <v>5014</v>
      </c>
      <c r="B2391" s="7" t="s">
        <v>5015</v>
      </c>
      <c r="C2391" s="3" t="e">
        <f ca="1">[1]!BexGetData("DP_1","003N8EMH8GTFRCSWKMPXRR8GU","GSON4223930108")</f>
        <v>#NAME?</v>
      </c>
      <c r="D2391" s="3" t="e">
        <f ca="1">[1]!BexGetData("DP_1","003N8EMH8GTFRCSWKMPXRRESE","GSON4223930108")</f>
        <v>#NAME?</v>
      </c>
      <c r="E2391" s="3" t="e">
        <f ca="1">[1]!BexGetData("DP_1","003N8EMH8GTFRCSWKMPXRRL3Y","GSON4223930108")</f>
        <v>#NAME?</v>
      </c>
      <c r="F2391" s="4" t="e">
        <f ca="1">[1]!BexGetData("DP_1","003N8EMH8GTFRCSWKMPXRRRFI","GSON4223930108")</f>
        <v>#NAME?</v>
      </c>
      <c r="G2391" s="4" t="e">
        <f ca="1">[1]!BexGetData("DP_1","003N8EMH8GTFRCSWKMPXRRXR2","GSON4223930108")</f>
        <v>#NAME?</v>
      </c>
      <c r="H2391" s="4" t="e">
        <f ca="1">[1]!BexGetData("DP_1","003N8EMH8GTFRCSWKMPXRS42M","GSON4223930108")</f>
        <v>#NAME?</v>
      </c>
      <c r="I2391" s="4" t="e">
        <f ca="1">[1]!BexGetData("DP_1","003N8EMH8GTFRCSWKMPXRSAE6","GSON4223930108")</f>
        <v>#NAME?</v>
      </c>
      <c r="J2391" s="4" t="e">
        <f ca="1">[1]!BexGetData("DP_1","003N8EMH8GTFRCSWKMPXRSGPQ","GSON4223930108")</f>
        <v>#NAME?</v>
      </c>
      <c r="K2391" s="3" t="e">
        <f ca="1">[1]!BexGetData("DP_1","003N8EMH8GTFRIVNUPY288VJH","GSON4223930108")</f>
        <v>#NAME?</v>
      </c>
      <c r="L2391" s="3" t="e">
        <f ca="1">[1]!BexGetData("DP_1","003N8EMH8GTFRIVNUPY2891V1","GSON4223930108")</f>
        <v>#NAME?</v>
      </c>
      <c r="M2391" s="3" t="e">
        <f ca="1">[1]!BexGetData("DP_1","003N8EMH8GTFRIVOG7KG9IQXA","GSON4223930108")</f>
        <v>#NAME?</v>
      </c>
      <c r="N2391" s="8" t="e">
        <f ca="1">[1]!BexGetData("DP_1","003N8EMH8GTFRIVOG7KG9IX8U","GSON4223930108")</f>
        <v>#NAME?</v>
      </c>
      <c r="O2391" s="3" t="e">
        <f ca="1">[1]!BexGetData("DP_1","003N8EMH8GTFRIVOG7KG9J3KE","GSON4223930108")</f>
        <v>#NAME?</v>
      </c>
      <c r="P2391" s="8" t="e">
        <f ca="1">[1]!BexGetData("DP_1","003N8EMH8GTFRIVOG7KG9J9VY","GSON4223930108")</f>
        <v>#NAME?</v>
      </c>
      <c r="Q2391" s="4" t="e">
        <f ca="1">[1]!BexGetData("DP_1","00O2TNJGODT0G5Z4TTKYMM5MT","GSON4223930108")</f>
        <v>#NAME?</v>
      </c>
      <c r="R2391" s="4" t="e">
        <f ca="1">[1]!BexGetData("DP_1","00O2TNJGODT0G5Z4TTKYMMBYD","GSON4223930108")</f>
        <v>#NAME?</v>
      </c>
      <c r="S2391" s="4" t="e">
        <f ca="1">[1]!BexGetData("DP_1","00O2TNJGODT0G5Z4TTKYMMI9X","GSON4223930108")</f>
        <v>#NAME?</v>
      </c>
      <c r="T2391" s="4" t="e">
        <f ca="1">[1]!BexGetData("DP_1","00O2TNJGODT0G5Z4TTKYMMOLH","GSON4223930108")</f>
        <v>#NAME?</v>
      </c>
      <c r="U2391" s="4" t="e">
        <f ca="1">[1]!BexGetData("DP_1","00O2TNJGODT0G5Z4TTKYMMUX1","GSON4223930108")</f>
        <v>#NAME?</v>
      </c>
      <c r="V2391" s="4" t="e">
        <f ca="1">[1]!BexGetData("DP_1","00O2TNJGODT0G5Z4TTKYMN18L","GSON4223930108")</f>
        <v>#NAME?</v>
      </c>
      <c r="W2391" s="4" t="e">
        <f ca="1">[1]!BexGetData("DP_1","00O2TNJGODT0G5Z4TTKYMN7K5","GSON4223930108")</f>
        <v>#NAME?</v>
      </c>
    </row>
    <row r="2392" spans="1:23" x14ac:dyDescent="0.2">
      <c r="A2392" s="16" t="s">
        <v>1538</v>
      </c>
      <c r="B2392" s="7" t="s">
        <v>1539</v>
      </c>
      <c r="C2392" s="3" t="e">
        <f ca="1">[1]!BexGetData("DP_1","003N8EMH8GTFRCSWKMPXRR8GU","GSON4223930109")</f>
        <v>#NAME?</v>
      </c>
      <c r="D2392" s="3" t="e">
        <f ca="1">[1]!BexGetData("DP_1","003N8EMH8GTFRCSWKMPXRRESE","GSON4223930109")</f>
        <v>#NAME?</v>
      </c>
      <c r="E2392" s="3" t="e">
        <f ca="1">[1]!BexGetData("DP_1","003N8EMH8GTFRCSWKMPXRRL3Y","GSON4223930109")</f>
        <v>#NAME?</v>
      </c>
      <c r="F2392" s="4" t="e">
        <f ca="1">[1]!BexGetData("DP_1","003N8EMH8GTFRCSWKMPXRRRFI","GSON4223930109")</f>
        <v>#NAME?</v>
      </c>
      <c r="G2392" s="4" t="e">
        <f ca="1">[1]!BexGetData("DP_1","003N8EMH8GTFRCSWKMPXRRXR2","GSON4223930109")</f>
        <v>#NAME?</v>
      </c>
      <c r="H2392" s="4" t="e">
        <f ca="1">[1]!BexGetData("DP_1","003N8EMH8GTFRCSWKMPXRS42M","GSON4223930109")</f>
        <v>#NAME?</v>
      </c>
      <c r="I2392" s="4" t="e">
        <f ca="1">[1]!BexGetData("DP_1","003N8EMH8GTFRCSWKMPXRSAE6","GSON4223930109")</f>
        <v>#NAME?</v>
      </c>
      <c r="J2392" s="4" t="e">
        <f ca="1">[1]!BexGetData("DP_1","003N8EMH8GTFRCSWKMPXRSGPQ","GSON4223930109")</f>
        <v>#NAME?</v>
      </c>
      <c r="K2392" s="3" t="e">
        <f ca="1">[1]!BexGetData("DP_1","003N8EMH8GTFRIVNUPY288VJH","GSON4223930109")</f>
        <v>#NAME?</v>
      </c>
      <c r="L2392" s="3" t="e">
        <f ca="1">[1]!BexGetData("DP_1","003N8EMH8GTFRIVNUPY2891V1","GSON4223930109")</f>
        <v>#NAME?</v>
      </c>
      <c r="M2392" s="3" t="e">
        <f ca="1">[1]!BexGetData("DP_1","003N8EMH8GTFRIVOG7KG9IQXA","GSON4223930109")</f>
        <v>#NAME?</v>
      </c>
      <c r="N2392" s="8" t="e">
        <f ca="1">[1]!BexGetData("DP_1","003N8EMH8GTFRIVOG7KG9IX8U","GSON4223930109")</f>
        <v>#NAME?</v>
      </c>
      <c r="O2392" s="3" t="e">
        <f ca="1">[1]!BexGetData("DP_1","003N8EMH8GTFRIVOG7KG9J3KE","GSON4223930109")</f>
        <v>#NAME?</v>
      </c>
      <c r="P2392" s="8" t="e">
        <f ca="1">[1]!BexGetData("DP_1","003N8EMH8GTFRIVOG7KG9J9VY","GSON4223930109")</f>
        <v>#NAME?</v>
      </c>
      <c r="Q2392" s="4" t="e">
        <f ca="1">[1]!BexGetData("DP_1","00O2TNJGODT0G5Z4TTKYMM5MT","GSON4223930109")</f>
        <v>#NAME?</v>
      </c>
      <c r="R2392" s="4" t="e">
        <f ca="1">[1]!BexGetData("DP_1","00O2TNJGODT0G5Z4TTKYMMBYD","GSON4223930109")</f>
        <v>#NAME?</v>
      </c>
      <c r="S2392" s="4" t="e">
        <f ca="1">[1]!BexGetData("DP_1","00O2TNJGODT0G5Z4TTKYMMI9X","GSON4223930109")</f>
        <v>#NAME?</v>
      </c>
      <c r="T2392" s="4" t="e">
        <f ca="1">[1]!BexGetData("DP_1","00O2TNJGODT0G5Z4TTKYMMOLH","GSON4223930109")</f>
        <v>#NAME?</v>
      </c>
      <c r="U2392" s="4" t="e">
        <f ca="1">[1]!BexGetData("DP_1","00O2TNJGODT0G5Z4TTKYMMUX1","GSON4223930109")</f>
        <v>#NAME?</v>
      </c>
      <c r="V2392" s="4" t="e">
        <f ca="1">[1]!BexGetData("DP_1","00O2TNJGODT0G5Z4TTKYMN18L","GSON4223930109")</f>
        <v>#NAME?</v>
      </c>
      <c r="W2392" s="4" t="e">
        <f ca="1">[1]!BexGetData("DP_1","00O2TNJGODT0G5Z4TTKYMN7K5","GSON4223930109")</f>
        <v>#NAME?</v>
      </c>
    </row>
    <row r="2393" spans="1:23" x14ac:dyDescent="0.2">
      <c r="A2393" s="16" t="s">
        <v>5016</v>
      </c>
      <c r="B2393" s="7" t="s">
        <v>5017</v>
      </c>
      <c r="C2393" s="3" t="e">
        <f ca="1">[1]!BexGetData("DP_1","003N8EMH8GTFRCSWKMPXRR8GU","GSON4223930112")</f>
        <v>#NAME?</v>
      </c>
      <c r="D2393" s="3" t="e">
        <f ca="1">[1]!BexGetData("DP_1","003N8EMH8GTFRCSWKMPXRRESE","GSON4223930112")</f>
        <v>#NAME?</v>
      </c>
      <c r="E2393" s="3" t="e">
        <f ca="1">[1]!BexGetData("DP_1","003N8EMH8GTFRCSWKMPXRRL3Y","GSON4223930112")</f>
        <v>#NAME?</v>
      </c>
      <c r="F2393" s="4" t="e">
        <f ca="1">[1]!BexGetData("DP_1","003N8EMH8GTFRCSWKMPXRRRFI","GSON4223930112")</f>
        <v>#NAME?</v>
      </c>
      <c r="G2393" s="4" t="e">
        <f ca="1">[1]!BexGetData("DP_1","003N8EMH8GTFRCSWKMPXRRXR2","GSON4223930112")</f>
        <v>#NAME?</v>
      </c>
      <c r="H2393" s="4" t="e">
        <f ca="1">[1]!BexGetData("DP_1","003N8EMH8GTFRCSWKMPXRS42M","GSON4223930112")</f>
        <v>#NAME?</v>
      </c>
      <c r="I2393" s="4" t="e">
        <f ca="1">[1]!BexGetData("DP_1","003N8EMH8GTFRCSWKMPXRSAE6","GSON4223930112")</f>
        <v>#NAME?</v>
      </c>
      <c r="J2393" s="4" t="e">
        <f ca="1">[1]!BexGetData("DP_1","003N8EMH8GTFRCSWKMPXRSGPQ","GSON4223930112")</f>
        <v>#NAME?</v>
      </c>
      <c r="K2393" s="3" t="e">
        <f ca="1">[1]!BexGetData("DP_1","003N8EMH8GTFRIVNUPY288VJH","GSON4223930112")</f>
        <v>#NAME?</v>
      </c>
      <c r="L2393" s="3" t="e">
        <f ca="1">[1]!BexGetData("DP_1","003N8EMH8GTFRIVNUPY2891V1","GSON4223930112")</f>
        <v>#NAME?</v>
      </c>
      <c r="M2393" s="3" t="e">
        <f ca="1">[1]!BexGetData("DP_1","003N8EMH8GTFRIVOG7KG9IQXA","GSON4223930112")</f>
        <v>#NAME?</v>
      </c>
      <c r="N2393" s="8" t="e">
        <f ca="1">[1]!BexGetData("DP_1","003N8EMH8GTFRIVOG7KG9IX8U","GSON4223930112")</f>
        <v>#NAME?</v>
      </c>
      <c r="O2393" s="3" t="e">
        <f ca="1">[1]!BexGetData("DP_1","003N8EMH8GTFRIVOG7KG9J3KE","GSON4223930112")</f>
        <v>#NAME?</v>
      </c>
      <c r="P2393" s="8" t="e">
        <f ca="1">[1]!BexGetData("DP_1","003N8EMH8GTFRIVOG7KG9J9VY","GSON4223930112")</f>
        <v>#NAME?</v>
      </c>
      <c r="Q2393" s="4" t="e">
        <f ca="1">[1]!BexGetData("DP_1","00O2TNJGODT0G5Z4TTKYMM5MT","GSON4223930112")</f>
        <v>#NAME?</v>
      </c>
      <c r="R2393" s="4" t="e">
        <f ca="1">[1]!BexGetData("DP_1","00O2TNJGODT0G5Z4TTKYMMBYD","GSON4223930112")</f>
        <v>#NAME?</v>
      </c>
      <c r="S2393" s="4" t="e">
        <f ca="1">[1]!BexGetData("DP_1","00O2TNJGODT0G5Z4TTKYMMI9X","GSON4223930112")</f>
        <v>#NAME?</v>
      </c>
      <c r="T2393" s="4" t="e">
        <f ca="1">[1]!BexGetData("DP_1","00O2TNJGODT0G5Z4TTKYMMOLH","GSON4223930112")</f>
        <v>#NAME?</v>
      </c>
      <c r="U2393" s="4" t="e">
        <f ca="1">[1]!BexGetData("DP_1","00O2TNJGODT0G5Z4TTKYMMUX1","GSON4223930112")</f>
        <v>#NAME?</v>
      </c>
      <c r="V2393" s="4" t="e">
        <f ca="1">[1]!BexGetData("DP_1","00O2TNJGODT0G5Z4TTKYMN18L","GSON4223930112")</f>
        <v>#NAME?</v>
      </c>
      <c r="W2393" s="4" t="e">
        <f ca="1">[1]!BexGetData("DP_1","00O2TNJGODT0G5Z4TTKYMN7K5","GSON4223930112")</f>
        <v>#NAME?</v>
      </c>
    </row>
    <row r="2394" spans="1:23" x14ac:dyDescent="0.2">
      <c r="A2394" s="16" t="s">
        <v>5018</v>
      </c>
      <c r="B2394" s="7" t="s">
        <v>5019</v>
      </c>
      <c r="C2394" s="3" t="e">
        <f ca="1">[1]!BexGetData("DP_1","003N8EMH8GTFRCSWKMPXRR8GU","GSON4223930113")</f>
        <v>#NAME?</v>
      </c>
      <c r="D2394" s="3" t="e">
        <f ca="1">[1]!BexGetData("DP_1","003N8EMH8GTFRCSWKMPXRRESE","GSON4223930113")</f>
        <v>#NAME?</v>
      </c>
      <c r="E2394" s="3" t="e">
        <f ca="1">[1]!BexGetData("DP_1","003N8EMH8GTFRCSWKMPXRRL3Y","GSON4223930113")</f>
        <v>#NAME?</v>
      </c>
      <c r="F2394" s="4" t="e">
        <f ca="1">[1]!BexGetData("DP_1","003N8EMH8GTFRCSWKMPXRRRFI","GSON4223930113")</f>
        <v>#NAME?</v>
      </c>
      <c r="G2394" s="4" t="e">
        <f ca="1">[1]!BexGetData("DP_1","003N8EMH8GTFRCSWKMPXRRXR2","GSON4223930113")</f>
        <v>#NAME?</v>
      </c>
      <c r="H2394" s="4" t="e">
        <f ca="1">[1]!BexGetData("DP_1","003N8EMH8GTFRCSWKMPXRS42M","GSON4223930113")</f>
        <v>#NAME?</v>
      </c>
      <c r="I2394" s="4" t="e">
        <f ca="1">[1]!BexGetData("DP_1","003N8EMH8GTFRCSWKMPXRSAE6","GSON4223930113")</f>
        <v>#NAME?</v>
      </c>
      <c r="J2394" s="4" t="e">
        <f ca="1">[1]!BexGetData("DP_1","003N8EMH8GTFRCSWKMPXRSGPQ","GSON4223930113")</f>
        <v>#NAME?</v>
      </c>
      <c r="K2394" s="3" t="e">
        <f ca="1">[1]!BexGetData("DP_1","003N8EMH8GTFRIVNUPY288VJH","GSON4223930113")</f>
        <v>#NAME?</v>
      </c>
      <c r="L2394" s="3" t="e">
        <f ca="1">[1]!BexGetData("DP_1","003N8EMH8GTFRIVNUPY2891V1","GSON4223930113")</f>
        <v>#NAME?</v>
      </c>
      <c r="M2394" s="3" t="e">
        <f ca="1">[1]!BexGetData("DP_1","003N8EMH8GTFRIVOG7KG9IQXA","GSON4223930113")</f>
        <v>#NAME?</v>
      </c>
      <c r="N2394" s="8" t="e">
        <f ca="1">[1]!BexGetData("DP_1","003N8EMH8GTFRIVOG7KG9IX8U","GSON4223930113")</f>
        <v>#NAME?</v>
      </c>
      <c r="O2394" s="3" t="e">
        <f ca="1">[1]!BexGetData("DP_1","003N8EMH8GTFRIVOG7KG9J3KE","GSON4223930113")</f>
        <v>#NAME?</v>
      </c>
      <c r="P2394" s="8" t="e">
        <f ca="1">[1]!BexGetData("DP_1","003N8EMH8GTFRIVOG7KG9J9VY","GSON4223930113")</f>
        <v>#NAME?</v>
      </c>
      <c r="Q2394" s="4" t="e">
        <f ca="1">[1]!BexGetData("DP_1","00O2TNJGODT0G5Z4TTKYMM5MT","GSON4223930113")</f>
        <v>#NAME?</v>
      </c>
      <c r="R2394" s="4" t="e">
        <f ca="1">[1]!BexGetData("DP_1","00O2TNJGODT0G5Z4TTKYMMBYD","GSON4223930113")</f>
        <v>#NAME?</v>
      </c>
      <c r="S2394" s="4" t="e">
        <f ca="1">[1]!BexGetData("DP_1","00O2TNJGODT0G5Z4TTKYMMI9X","GSON4223930113")</f>
        <v>#NAME?</v>
      </c>
      <c r="T2394" s="4" t="e">
        <f ca="1">[1]!BexGetData("DP_1","00O2TNJGODT0G5Z4TTKYMMOLH","GSON4223930113")</f>
        <v>#NAME?</v>
      </c>
      <c r="U2394" s="4" t="e">
        <f ca="1">[1]!BexGetData("DP_1","00O2TNJGODT0G5Z4TTKYMMUX1","GSON4223930113")</f>
        <v>#NAME?</v>
      </c>
      <c r="V2394" s="4" t="e">
        <f ca="1">[1]!BexGetData("DP_1","00O2TNJGODT0G5Z4TTKYMN18L","GSON4223930113")</f>
        <v>#NAME?</v>
      </c>
      <c r="W2394" s="4" t="e">
        <f ca="1">[1]!BexGetData("DP_1","00O2TNJGODT0G5Z4TTKYMN7K5","GSON4223930113")</f>
        <v>#NAME?</v>
      </c>
    </row>
    <row r="2395" spans="1:23" x14ac:dyDescent="0.2">
      <c r="A2395" s="16" t="s">
        <v>5020</v>
      </c>
      <c r="B2395" s="7" t="s">
        <v>5021</v>
      </c>
      <c r="C2395" s="3" t="e">
        <f ca="1">[1]!BexGetData("DP_1","003N8EMH8GTFRCSWKMPXRR8GU","GSON4223930114")</f>
        <v>#NAME?</v>
      </c>
      <c r="D2395" s="3" t="e">
        <f ca="1">[1]!BexGetData("DP_1","003N8EMH8GTFRCSWKMPXRRESE","GSON4223930114")</f>
        <v>#NAME?</v>
      </c>
      <c r="E2395" s="3" t="e">
        <f ca="1">[1]!BexGetData("DP_1","003N8EMH8GTFRCSWKMPXRRL3Y","GSON4223930114")</f>
        <v>#NAME?</v>
      </c>
      <c r="F2395" s="4" t="e">
        <f ca="1">[1]!BexGetData("DP_1","003N8EMH8GTFRCSWKMPXRRRFI","GSON4223930114")</f>
        <v>#NAME?</v>
      </c>
      <c r="G2395" s="4" t="e">
        <f ca="1">[1]!BexGetData("DP_1","003N8EMH8GTFRCSWKMPXRRXR2","GSON4223930114")</f>
        <v>#NAME?</v>
      </c>
      <c r="H2395" s="4" t="e">
        <f ca="1">[1]!BexGetData("DP_1","003N8EMH8GTFRCSWKMPXRS42M","GSON4223930114")</f>
        <v>#NAME?</v>
      </c>
      <c r="I2395" s="4" t="e">
        <f ca="1">[1]!BexGetData("DP_1","003N8EMH8GTFRCSWKMPXRSAE6","GSON4223930114")</f>
        <v>#NAME?</v>
      </c>
      <c r="J2395" s="4" t="e">
        <f ca="1">[1]!BexGetData("DP_1","003N8EMH8GTFRCSWKMPXRSGPQ","GSON4223930114")</f>
        <v>#NAME?</v>
      </c>
      <c r="K2395" s="3" t="e">
        <f ca="1">[1]!BexGetData("DP_1","003N8EMH8GTFRIVNUPY288VJH","GSON4223930114")</f>
        <v>#NAME?</v>
      </c>
      <c r="L2395" s="3" t="e">
        <f ca="1">[1]!BexGetData("DP_1","003N8EMH8GTFRIVNUPY2891V1","GSON4223930114")</f>
        <v>#NAME?</v>
      </c>
      <c r="M2395" s="3" t="e">
        <f ca="1">[1]!BexGetData("DP_1","003N8EMH8GTFRIVOG7KG9IQXA","GSON4223930114")</f>
        <v>#NAME?</v>
      </c>
      <c r="N2395" s="8" t="e">
        <f ca="1">[1]!BexGetData("DP_1","003N8EMH8GTFRIVOG7KG9IX8U","GSON4223930114")</f>
        <v>#NAME?</v>
      </c>
      <c r="O2395" s="3" t="e">
        <f ca="1">[1]!BexGetData("DP_1","003N8EMH8GTFRIVOG7KG9J3KE","GSON4223930114")</f>
        <v>#NAME?</v>
      </c>
      <c r="P2395" s="8" t="e">
        <f ca="1">[1]!BexGetData("DP_1","003N8EMH8GTFRIVOG7KG9J9VY","GSON4223930114")</f>
        <v>#NAME?</v>
      </c>
      <c r="Q2395" s="4" t="e">
        <f ca="1">[1]!BexGetData("DP_1","00O2TNJGODT0G5Z4TTKYMM5MT","GSON4223930114")</f>
        <v>#NAME?</v>
      </c>
      <c r="R2395" s="4" t="e">
        <f ca="1">[1]!BexGetData("DP_1","00O2TNJGODT0G5Z4TTKYMMBYD","GSON4223930114")</f>
        <v>#NAME?</v>
      </c>
      <c r="S2395" s="4" t="e">
        <f ca="1">[1]!BexGetData("DP_1","00O2TNJGODT0G5Z4TTKYMMI9X","GSON4223930114")</f>
        <v>#NAME?</v>
      </c>
      <c r="T2395" s="4" t="e">
        <f ca="1">[1]!BexGetData("DP_1","00O2TNJGODT0G5Z4TTKYMMOLH","GSON4223930114")</f>
        <v>#NAME?</v>
      </c>
      <c r="U2395" s="4" t="e">
        <f ca="1">[1]!BexGetData("DP_1","00O2TNJGODT0G5Z4TTKYMMUX1","GSON4223930114")</f>
        <v>#NAME?</v>
      </c>
      <c r="V2395" s="4" t="e">
        <f ca="1">[1]!BexGetData("DP_1","00O2TNJGODT0G5Z4TTKYMN18L","GSON4223930114")</f>
        <v>#NAME?</v>
      </c>
      <c r="W2395" s="4" t="e">
        <f ca="1">[1]!BexGetData("DP_1","00O2TNJGODT0G5Z4TTKYMN7K5","GSON4223930114")</f>
        <v>#NAME?</v>
      </c>
    </row>
    <row r="2396" spans="1:23" x14ac:dyDescent="0.2">
      <c r="A2396" s="16" t="s">
        <v>5022</v>
      </c>
      <c r="B2396" s="7" t="s">
        <v>5023</v>
      </c>
      <c r="C2396" s="3" t="e">
        <f ca="1">[1]!BexGetData("DP_1","003N8EMH8GTFRCSWKMPXRR8GU","GSON4223930115")</f>
        <v>#NAME?</v>
      </c>
      <c r="D2396" s="3" t="e">
        <f ca="1">[1]!BexGetData("DP_1","003N8EMH8GTFRCSWKMPXRRESE","GSON4223930115")</f>
        <v>#NAME?</v>
      </c>
      <c r="E2396" s="3" t="e">
        <f ca="1">[1]!BexGetData("DP_1","003N8EMH8GTFRCSWKMPXRRL3Y","GSON4223930115")</f>
        <v>#NAME?</v>
      </c>
      <c r="F2396" s="4" t="e">
        <f ca="1">[1]!BexGetData("DP_1","003N8EMH8GTFRCSWKMPXRRRFI","GSON4223930115")</f>
        <v>#NAME?</v>
      </c>
      <c r="G2396" s="4" t="e">
        <f ca="1">[1]!BexGetData("DP_1","003N8EMH8GTFRCSWKMPXRRXR2","GSON4223930115")</f>
        <v>#NAME?</v>
      </c>
      <c r="H2396" s="4" t="e">
        <f ca="1">[1]!BexGetData("DP_1","003N8EMH8GTFRCSWKMPXRS42M","GSON4223930115")</f>
        <v>#NAME?</v>
      </c>
      <c r="I2396" s="4" t="e">
        <f ca="1">[1]!BexGetData("DP_1","003N8EMH8GTFRCSWKMPXRSAE6","GSON4223930115")</f>
        <v>#NAME?</v>
      </c>
      <c r="J2396" s="4" t="e">
        <f ca="1">[1]!BexGetData("DP_1","003N8EMH8GTFRCSWKMPXRSGPQ","GSON4223930115")</f>
        <v>#NAME?</v>
      </c>
      <c r="K2396" s="3" t="e">
        <f ca="1">[1]!BexGetData("DP_1","003N8EMH8GTFRIVNUPY288VJH","GSON4223930115")</f>
        <v>#NAME?</v>
      </c>
      <c r="L2396" s="3" t="e">
        <f ca="1">[1]!BexGetData("DP_1","003N8EMH8GTFRIVNUPY2891V1","GSON4223930115")</f>
        <v>#NAME?</v>
      </c>
      <c r="M2396" s="3" t="e">
        <f ca="1">[1]!BexGetData("DP_1","003N8EMH8GTFRIVOG7KG9IQXA","GSON4223930115")</f>
        <v>#NAME?</v>
      </c>
      <c r="N2396" s="8" t="e">
        <f ca="1">[1]!BexGetData("DP_1","003N8EMH8GTFRIVOG7KG9IX8U","GSON4223930115")</f>
        <v>#NAME?</v>
      </c>
      <c r="O2396" s="3" t="e">
        <f ca="1">[1]!BexGetData("DP_1","003N8EMH8GTFRIVOG7KG9J3KE","GSON4223930115")</f>
        <v>#NAME?</v>
      </c>
      <c r="P2396" s="8" t="e">
        <f ca="1">[1]!BexGetData("DP_1","003N8EMH8GTFRIVOG7KG9J9VY","GSON4223930115")</f>
        <v>#NAME?</v>
      </c>
      <c r="Q2396" s="4" t="e">
        <f ca="1">[1]!BexGetData("DP_1","00O2TNJGODT0G5Z4TTKYMM5MT","GSON4223930115")</f>
        <v>#NAME?</v>
      </c>
      <c r="R2396" s="4" t="e">
        <f ca="1">[1]!BexGetData("DP_1","00O2TNJGODT0G5Z4TTKYMMBYD","GSON4223930115")</f>
        <v>#NAME?</v>
      </c>
      <c r="S2396" s="4" t="e">
        <f ca="1">[1]!BexGetData("DP_1","00O2TNJGODT0G5Z4TTKYMMI9X","GSON4223930115")</f>
        <v>#NAME?</v>
      </c>
      <c r="T2396" s="4" t="e">
        <f ca="1">[1]!BexGetData("DP_1","00O2TNJGODT0G5Z4TTKYMMOLH","GSON4223930115")</f>
        <v>#NAME?</v>
      </c>
      <c r="U2396" s="4" t="e">
        <f ca="1">[1]!BexGetData("DP_1","00O2TNJGODT0G5Z4TTKYMMUX1","GSON4223930115")</f>
        <v>#NAME?</v>
      </c>
      <c r="V2396" s="4" t="e">
        <f ca="1">[1]!BexGetData("DP_1","00O2TNJGODT0G5Z4TTKYMN18L","GSON4223930115")</f>
        <v>#NAME?</v>
      </c>
      <c r="W2396" s="4" t="e">
        <f ca="1">[1]!BexGetData("DP_1","00O2TNJGODT0G5Z4TTKYMN7K5","GSON4223930115")</f>
        <v>#NAME?</v>
      </c>
    </row>
    <row r="2397" spans="1:23" x14ac:dyDescent="0.2">
      <c r="A2397" s="16" t="s">
        <v>5024</v>
      </c>
      <c r="B2397" s="7" t="s">
        <v>5025</v>
      </c>
      <c r="C2397" s="8" t="e">
        <f ca="1">[1]!BexGetData("DP_1","003N8EMH8GTFRCSWKMPXRR8GU","GSON4223930116")</f>
        <v>#NAME?</v>
      </c>
      <c r="D2397" s="3" t="e">
        <f ca="1">[1]!BexGetData("DP_1","003N8EMH8GTFRCSWKMPXRRESE","GSON4223930116")</f>
        <v>#NAME?</v>
      </c>
      <c r="E2397" s="3" t="e">
        <f ca="1">[1]!BexGetData("DP_1","003N8EMH8GTFRCSWKMPXRRL3Y","GSON4223930116")</f>
        <v>#NAME?</v>
      </c>
      <c r="F2397" s="4" t="e">
        <f ca="1">[1]!BexGetData("DP_1","003N8EMH8GTFRCSWKMPXRRRFI","GSON4223930116")</f>
        <v>#NAME?</v>
      </c>
      <c r="G2397" s="4" t="e">
        <f ca="1">[1]!BexGetData("DP_1","003N8EMH8GTFRCSWKMPXRRXR2","GSON4223930116")</f>
        <v>#NAME?</v>
      </c>
      <c r="H2397" s="4" t="e">
        <f ca="1">[1]!BexGetData("DP_1","003N8EMH8GTFRCSWKMPXRS42M","GSON4223930116")</f>
        <v>#NAME?</v>
      </c>
      <c r="I2397" s="4" t="e">
        <f ca="1">[1]!BexGetData("DP_1","003N8EMH8GTFRCSWKMPXRSAE6","GSON4223930116")</f>
        <v>#NAME?</v>
      </c>
      <c r="J2397" s="4" t="e">
        <f ca="1">[1]!BexGetData("DP_1","003N8EMH8GTFRCSWKMPXRSGPQ","GSON4223930116")</f>
        <v>#NAME?</v>
      </c>
      <c r="K2397" s="3" t="e">
        <f ca="1">[1]!BexGetData("DP_1","003N8EMH8GTFRIVNUPY288VJH","GSON4223930116")</f>
        <v>#NAME?</v>
      </c>
      <c r="L2397" s="3" t="e">
        <f ca="1">[1]!BexGetData("DP_1","003N8EMH8GTFRIVNUPY2891V1","GSON4223930116")</f>
        <v>#NAME?</v>
      </c>
      <c r="M2397" s="3" t="e">
        <f ca="1">[1]!BexGetData("DP_1","003N8EMH8GTFRIVOG7KG9IQXA","GSON4223930116")</f>
        <v>#NAME?</v>
      </c>
      <c r="N2397" s="8" t="e">
        <f ca="1">[1]!BexGetData("DP_1","003N8EMH8GTFRIVOG7KG9IX8U","GSON4223930116")</f>
        <v>#NAME?</v>
      </c>
      <c r="O2397" s="3" t="e">
        <f ca="1">[1]!BexGetData("DP_1","003N8EMH8GTFRIVOG7KG9J3KE","GSON4223930116")</f>
        <v>#NAME?</v>
      </c>
      <c r="P2397" s="8" t="e">
        <f ca="1">[1]!BexGetData("DP_1","003N8EMH8GTFRIVOG7KG9J9VY","GSON4223930116")</f>
        <v>#NAME?</v>
      </c>
      <c r="Q2397" s="4" t="e">
        <f ca="1">[1]!BexGetData("DP_1","00O2TNJGODT0G5Z4TTKYMM5MT","GSON4223930116")</f>
        <v>#NAME?</v>
      </c>
      <c r="R2397" s="4" t="e">
        <f ca="1">[1]!BexGetData("DP_1","00O2TNJGODT0G5Z4TTKYMMBYD","GSON4223930116")</f>
        <v>#NAME?</v>
      </c>
      <c r="S2397" s="4" t="e">
        <f ca="1">[1]!BexGetData("DP_1","00O2TNJGODT0G5Z4TTKYMMI9X","GSON4223930116")</f>
        <v>#NAME?</v>
      </c>
      <c r="T2397" s="4" t="e">
        <f ca="1">[1]!BexGetData("DP_1","00O2TNJGODT0G5Z4TTKYMMOLH","GSON4223930116")</f>
        <v>#NAME?</v>
      </c>
      <c r="U2397" s="4" t="e">
        <f ca="1">[1]!BexGetData("DP_1","00O2TNJGODT0G5Z4TTKYMMUX1","GSON4223930116")</f>
        <v>#NAME?</v>
      </c>
      <c r="V2397" s="4" t="e">
        <f ca="1">[1]!BexGetData("DP_1","00O2TNJGODT0G5Z4TTKYMN18L","GSON4223930116")</f>
        <v>#NAME?</v>
      </c>
      <c r="W2397" s="4" t="e">
        <f ca="1">[1]!BexGetData("DP_1","00O2TNJGODT0G5Z4TTKYMN7K5","GSON4223930116")</f>
        <v>#NAME?</v>
      </c>
    </row>
    <row r="2398" spans="1:23" x14ac:dyDescent="0.2">
      <c r="A2398" s="13" t="s">
        <v>721</v>
      </c>
      <c r="B2398" s="7" t="s">
        <v>722</v>
      </c>
      <c r="C2398" s="3" t="e">
        <f ca="1">[1]!BexGetData("DP_1","003N8EMH8GTFRCSWKMPXRR8GU","GSON43")</f>
        <v>#NAME?</v>
      </c>
      <c r="D2398" s="3" t="e">
        <f ca="1">[1]!BexGetData("DP_1","003N8EMH8GTFRCSWKMPXRRESE","GSON43")</f>
        <v>#NAME?</v>
      </c>
      <c r="E2398" s="3" t="e">
        <f ca="1">[1]!BexGetData("DP_1","003N8EMH8GTFRCSWKMPXRRL3Y","GSON43")</f>
        <v>#NAME?</v>
      </c>
      <c r="F2398" s="4" t="e">
        <f ca="1">[1]!BexGetData("DP_1","003N8EMH8GTFRCSWKMPXRRRFI","GSON43")</f>
        <v>#NAME?</v>
      </c>
      <c r="G2398" s="4" t="e">
        <f ca="1">[1]!BexGetData("DP_1","003N8EMH8GTFRCSWKMPXRRXR2","GSON43")</f>
        <v>#NAME?</v>
      </c>
      <c r="H2398" s="4" t="e">
        <f ca="1">[1]!BexGetData("DP_1","003N8EMH8GTFRCSWKMPXRS42M","GSON43")</f>
        <v>#NAME?</v>
      </c>
      <c r="I2398" s="4" t="e">
        <f ca="1">[1]!BexGetData("DP_1","003N8EMH8GTFRCSWKMPXRSAE6","GSON43")</f>
        <v>#NAME?</v>
      </c>
      <c r="J2398" s="4" t="e">
        <f ca="1">[1]!BexGetData("DP_1","003N8EMH8GTFRCSWKMPXRSGPQ","GSON43")</f>
        <v>#NAME?</v>
      </c>
      <c r="K2398" s="3" t="e">
        <f ca="1">[1]!BexGetData("DP_1","003N8EMH8GTFRIVNUPY288VJH","GSON43")</f>
        <v>#NAME?</v>
      </c>
      <c r="L2398" s="3" t="e">
        <f ca="1">[1]!BexGetData("DP_1","003N8EMH8GTFRIVNUPY2891V1","GSON43")</f>
        <v>#NAME?</v>
      </c>
      <c r="M2398" s="3" t="e">
        <f ca="1">[1]!BexGetData("DP_1","003N8EMH8GTFRIVOG7KG9IQXA","GSON43")</f>
        <v>#NAME?</v>
      </c>
      <c r="N2398" s="8" t="e">
        <f ca="1">[1]!BexGetData("DP_1","003N8EMH8GTFRIVOG7KG9IX8U","GSON43")</f>
        <v>#NAME?</v>
      </c>
      <c r="O2398" s="3" t="e">
        <f ca="1">[1]!BexGetData("DP_1","003N8EMH8GTFRIVOG7KG9J3KE","GSON43")</f>
        <v>#NAME?</v>
      </c>
      <c r="P2398" s="8" t="e">
        <f ca="1">[1]!BexGetData("DP_1","003N8EMH8GTFRIVOG7KG9J9VY","GSON43")</f>
        <v>#NAME?</v>
      </c>
      <c r="Q2398" s="4" t="e">
        <f ca="1">[1]!BexGetData("DP_1","00O2TNJGODT0G5Z4TTKYMM5MT","GSON43")</f>
        <v>#NAME?</v>
      </c>
      <c r="R2398" s="4" t="e">
        <f ca="1">[1]!BexGetData("DP_1","00O2TNJGODT0G5Z4TTKYMMBYD","GSON43")</f>
        <v>#NAME?</v>
      </c>
      <c r="S2398" s="4" t="e">
        <f ca="1">[1]!BexGetData("DP_1","00O2TNJGODT0G5Z4TTKYMMI9X","GSON43")</f>
        <v>#NAME?</v>
      </c>
      <c r="T2398" s="4" t="e">
        <f ca="1">[1]!BexGetData("DP_1","00O2TNJGODT0G5Z4TTKYMMOLH","GSON43")</f>
        <v>#NAME?</v>
      </c>
      <c r="U2398" s="4" t="e">
        <f ca="1">[1]!BexGetData("DP_1","00O2TNJGODT0G5Z4TTKYMMUX1","GSON43")</f>
        <v>#NAME?</v>
      </c>
      <c r="V2398" s="4" t="e">
        <f ca="1">[1]!BexGetData("DP_1","00O2TNJGODT0G5Z4TTKYMN18L","GSON43")</f>
        <v>#NAME?</v>
      </c>
      <c r="W2398" s="4" t="e">
        <f ca="1">[1]!BexGetData("DP_1","00O2TNJGODT0G5Z4TTKYMN7K5","GSON43")</f>
        <v>#NAME?</v>
      </c>
    </row>
    <row r="2399" spans="1:23" x14ac:dyDescent="0.2">
      <c r="A2399" s="14" t="s">
        <v>721</v>
      </c>
      <c r="B2399" s="7" t="s">
        <v>723</v>
      </c>
      <c r="C2399" s="3" t="e">
        <f ca="1">[1]!BexGetData("DP_1","003N8EMH8GTFRCSWKMPXRR8GU","GSON439")</f>
        <v>#NAME?</v>
      </c>
      <c r="D2399" s="3" t="e">
        <f ca="1">[1]!BexGetData("DP_1","003N8EMH8GTFRCSWKMPXRRESE","GSON439")</f>
        <v>#NAME?</v>
      </c>
      <c r="E2399" s="3" t="e">
        <f ca="1">[1]!BexGetData("DP_1","003N8EMH8GTFRCSWKMPXRRL3Y","GSON439")</f>
        <v>#NAME?</v>
      </c>
      <c r="F2399" s="4" t="e">
        <f ca="1">[1]!BexGetData("DP_1","003N8EMH8GTFRCSWKMPXRRRFI","GSON439")</f>
        <v>#NAME?</v>
      </c>
      <c r="G2399" s="4" t="e">
        <f ca="1">[1]!BexGetData("DP_1","003N8EMH8GTFRCSWKMPXRRXR2","GSON439")</f>
        <v>#NAME?</v>
      </c>
      <c r="H2399" s="4" t="e">
        <f ca="1">[1]!BexGetData("DP_1","003N8EMH8GTFRCSWKMPXRS42M","GSON439")</f>
        <v>#NAME?</v>
      </c>
      <c r="I2399" s="4" t="e">
        <f ca="1">[1]!BexGetData("DP_1","003N8EMH8GTFRCSWKMPXRSAE6","GSON439")</f>
        <v>#NAME?</v>
      </c>
      <c r="J2399" s="4" t="e">
        <f ca="1">[1]!BexGetData("DP_1","003N8EMH8GTFRCSWKMPXRSGPQ","GSON439")</f>
        <v>#NAME?</v>
      </c>
      <c r="K2399" s="3" t="e">
        <f ca="1">[1]!BexGetData("DP_1","003N8EMH8GTFRIVNUPY288VJH","GSON439")</f>
        <v>#NAME?</v>
      </c>
      <c r="L2399" s="3" t="e">
        <f ca="1">[1]!BexGetData("DP_1","003N8EMH8GTFRIVNUPY2891V1","GSON439")</f>
        <v>#NAME?</v>
      </c>
      <c r="M2399" s="3" t="e">
        <f ca="1">[1]!BexGetData("DP_1","003N8EMH8GTFRIVOG7KG9IQXA","GSON439")</f>
        <v>#NAME?</v>
      </c>
      <c r="N2399" s="8" t="e">
        <f ca="1">[1]!BexGetData("DP_1","003N8EMH8GTFRIVOG7KG9IX8U","GSON439")</f>
        <v>#NAME?</v>
      </c>
      <c r="O2399" s="3" t="e">
        <f ca="1">[1]!BexGetData("DP_1","003N8EMH8GTFRIVOG7KG9J3KE","GSON439")</f>
        <v>#NAME?</v>
      </c>
      <c r="P2399" s="8" t="e">
        <f ca="1">[1]!BexGetData("DP_1","003N8EMH8GTFRIVOG7KG9J9VY","GSON439")</f>
        <v>#NAME?</v>
      </c>
      <c r="Q2399" s="4" t="e">
        <f ca="1">[1]!BexGetData("DP_1","00O2TNJGODT0G5Z4TTKYMM5MT","GSON439")</f>
        <v>#NAME?</v>
      </c>
      <c r="R2399" s="4" t="e">
        <f ca="1">[1]!BexGetData("DP_1","00O2TNJGODT0G5Z4TTKYMMBYD","GSON439")</f>
        <v>#NAME?</v>
      </c>
      <c r="S2399" s="4" t="e">
        <f ca="1">[1]!BexGetData("DP_1","00O2TNJGODT0G5Z4TTKYMMI9X","GSON439")</f>
        <v>#NAME?</v>
      </c>
      <c r="T2399" s="4" t="e">
        <f ca="1">[1]!BexGetData("DP_1","00O2TNJGODT0G5Z4TTKYMMOLH","GSON439")</f>
        <v>#NAME?</v>
      </c>
      <c r="U2399" s="4" t="e">
        <f ca="1">[1]!BexGetData("DP_1","00O2TNJGODT0G5Z4TTKYMMUX1","GSON439")</f>
        <v>#NAME?</v>
      </c>
      <c r="V2399" s="4" t="e">
        <f ca="1">[1]!BexGetData("DP_1","00O2TNJGODT0G5Z4TTKYMN18L","GSON439")</f>
        <v>#NAME?</v>
      </c>
      <c r="W2399" s="4" t="e">
        <f ca="1">[1]!BexGetData("DP_1","00O2TNJGODT0G5Z4TTKYMN7K5","GSON439")</f>
        <v>#NAME?</v>
      </c>
    </row>
    <row r="2400" spans="1:23" x14ac:dyDescent="0.2">
      <c r="A2400" s="15" t="s">
        <v>5026</v>
      </c>
      <c r="B2400" s="7" t="s">
        <v>5027</v>
      </c>
      <c r="C2400" s="8" t="e">
        <f ca="1">[1]!BexGetData("DP_1","003N8EMH8GTFRCSWKMPXRR8GU","GSON4395")</f>
        <v>#NAME?</v>
      </c>
      <c r="D2400" s="3" t="e">
        <f ca="1">[1]!BexGetData("DP_1","003N8EMH8GTFRCSWKMPXRRESE","GSON4395")</f>
        <v>#NAME?</v>
      </c>
      <c r="E2400" s="3" t="e">
        <f ca="1">[1]!BexGetData("DP_1","003N8EMH8GTFRCSWKMPXRRL3Y","GSON4395")</f>
        <v>#NAME?</v>
      </c>
      <c r="F2400" s="4" t="e">
        <f ca="1">[1]!BexGetData("DP_1","003N8EMH8GTFRCSWKMPXRRRFI","GSON4395")</f>
        <v>#NAME?</v>
      </c>
      <c r="G2400" s="4" t="e">
        <f ca="1">[1]!BexGetData("DP_1","003N8EMH8GTFRCSWKMPXRRXR2","GSON4395")</f>
        <v>#NAME?</v>
      </c>
      <c r="H2400" s="4" t="e">
        <f ca="1">[1]!BexGetData("DP_1","003N8EMH8GTFRCSWKMPXRS42M","GSON4395")</f>
        <v>#NAME?</v>
      </c>
      <c r="I2400" s="4" t="e">
        <f ca="1">[1]!BexGetData("DP_1","003N8EMH8GTFRCSWKMPXRSAE6","GSON4395")</f>
        <v>#NAME?</v>
      </c>
      <c r="J2400" s="4" t="e">
        <f ca="1">[1]!BexGetData("DP_1","003N8EMH8GTFRCSWKMPXRSGPQ","GSON4395")</f>
        <v>#NAME?</v>
      </c>
      <c r="K2400" s="3" t="e">
        <f ca="1">[1]!BexGetData("DP_1","003N8EMH8GTFRIVNUPY288VJH","GSON4395")</f>
        <v>#NAME?</v>
      </c>
      <c r="L2400" s="3" t="e">
        <f ca="1">[1]!BexGetData("DP_1","003N8EMH8GTFRIVNUPY2891V1","GSON4395")</f>
        <v>#NAME?</v>
      </c>
      <c r="M2400" s="3" t="e">
        <f ca="1">[1]!BexGetData("DP_1","003N8EMH8GTFRIVOG7KG9IQXA","GSON4395")</f>
        <v>#NAME?</v>
      </c>
      <c r="N2400" s="8" t="e">
        <f ca="1">[1]!BexGetData("DP_1","003N8EMH8GTFRIVOG7KG9IX8U","GSON4395")</f>
        <v>#NAME?</v>
      </c>
      <c r="O2400" s="3" t="e">
        <f ca="1">[1]!BexGetData("DP_1","003N8EMH8GTFRIVOG7KG9J3KE","GSON4395")</f>
        <v>#NAME?</v>
      </c>
      <c r="P2400" s="8" t="e">
        <f ca="1">[1]!BexGetData("DP_1","003N8EMH8GTFRIVOG7KG9J9VY","GSON4395")</f>
        <v>#NAME?</v>
      </c>
      <c r="Q2400" s="4" t="e">
        <f ca="1">[1]!BexGetData("DP_1","00O2TNJGODT0G5Z4TTKYMM5MT","GSON4395")</f>
        <v>#NAME?</v>
      </c>
      <c r="R2400" s="4" t="e">
        <f ca="1">[1]!BexGetData("DP_1","00O2TNJGODT0G5Z4TTKYMMBYD","GSON4395")</f>
        <v>#NAME?</v>
      </c>
      <c r="S2400" s="4" t="e">
        <f ca="1">[1]!BexGetData("DP_1","00O2TNJGODT0G5Z4TTKYMMI9X","GSON4395")</f>
        <v>#NAME?</v>
      </c>
      <c r="T2400" s="4" t="e">
        <f ca="1">[1]!BexGetData("DP_1","00O2TNJGODT0G5Z4TTKYMMOLH","GSON4395")</f>
        <v>#NAME?</v>
      </c>
      <c r="U2400" s="4" t="e">
        <f ca="1">[1]!BexGetData("DP_1","00O2TNJGODT0G5Z4TTKYMMUX1","GSON4395")</f>
        <v>#NAME?</v>
      </c>
      <c r="V2400" s="4" t="e">
        <f ca="1">[1]!BexGetData("DP_1","00O2TNJGODT0G5Z4TTKYMN18L","GSON4395")</f>
        <v>#NAME?</v>
      </c>
      <c r="W2400" s="4" t="e">
        <f ca="1">[1]!BexGetData("DP_1","00O2TNJGODT0G5Z4TTKYMN7K5","GSON4395")</f>
        <v>#NAME?</v>
      </c>
    </row>
    <row r="2401" spans="1:23" x14ac:dyDescent="0.2">
      <c r="A2401" s="16" t="s">
        <v>5028</v>
      </c>
      <c r="B2401" s="7" t="s">
        <v>5029</v>
      </c>
      <c r="C2401" s="8" t="e">
        <f ca="1">[1]!BexGetData("DP_1","003N8EMH8GTFRCSWKMPXRR8GU","GSON4395100001")</f>
        <v>#NAME?</v>
      </c>
      <c r="D2401" s="3" t="e">
        <f ca="1">[1]!BexGetData("DP_1","003N8EMH8GTFRCSWKMPXRRESE","GSON4395100001")</f>
        <v>#NAME?</v>
      </c>
      <c r="E2401" s="3" t="e">
        <f ca="1">[1]!BexGetData("DP_1","003N8EMH8GTFRCSWKMPXRRL3Y","GSON4395100001")</f>
        <v>#NAME?</v>
      </c>
      <c r="F2401" s="4" t="e">
        <f ca="1">[1]!BexGetData("DP_1","003N8EMH8GTFRCSWKMPXRRRFI","GSON4395100001")</f>
        <v>#NAME?</v>
      </c>
      <c r="G2401" s="4" t="e">
        <f ca="1">[1]!BexGetData("DP_1","003N8EMH8GTFRCSWKMPXRRXR2","GSON4395100001")</f>
        <v>#NAME?</v>
      </c>
      <c r="H2401" s="4" t="e">
        <f ca="1">[1]!BexGetData("DP_1","003N8EMH8GTFRCSWKMPXRS42M","GSON4395100001")</f>
        <v>#NAME?</v>
      </c>
      <c r="I2401" s="4" t="e">
        <f ca="1">[1]!BexGetData("DP_1","003N8EMH8GTFRCSWKMPXRSAE6","GSON4395100001")</f>
        <v>#NAME?</v>
      </c>
      <c r="J2401" s="4" t="e">
        <f ca="1">[1]!BexGetData("DP_1","003N8EMH8GTFRCSWKMPXRSGPQ","GSON4395100001")</f>
        <v>#NAME?</v>
      </c>
      <c r="K2401" s="3" t="e">
        <f ca="1">[1]!BexGetData("DP_1","003N8EMH8GTFRIVNUPY288VJH","GSON4395100001")</f>
        <v>#NAME?</v>
      </c>
      <c r="L2401" s="3" t="e">
        <f ca="1">[1]!BexGetData("DP_1","003N8EMH8GTFRIVNUPY2891V1","GSON4395100001")</f>
        <v>#NAME?</v>
      </c>
      <c r="M2401" s="3" t="e">
        <f ca="1">[1]!BexGetData("DP_1","003N8EMH8GTFRIVOG7KG9IQXA","GSON4395100001")</f>
        <v>#NAME?</v>
      </c>
      <c r="N2401" s="8" t="e">
        <f ca="1">[1]!BexGetData("DP_1","003N8EMH8GTFRIVOG7KG9IX8U","GSON4395100001")</f>
        <v>#NAME?</v>
      </c>
      <c r="O2401" s="3" t="e">
        <f ca="1">[1]!BexGetData("DP_1","003N8EMH8GTFRIVOG7KG9J3KE","GSON4395100001")</f>
        <v>#NAME?</v>
      </c>
      <c r="P2401" s="8" t="e">
        <f ca="1">[1]!BexGetData("DP_1","003N8EMH8GTFRIVOG7KG9J9VY","GSON4395100001")</f>
        <v>#NAME?</v>
      </c>
      <c r="Q2401" s="4" t="e">
        <f ca="1">[1]!BexGetData("DP_1","00O2TNJGODT0G5Z4TTKYMM5MT","GSON4395100001")</f>
        <v>#NAME?</v>
      </c>
      <c r="R2401" s="4" t="e">
        <f ca="1">[1]!BexGetData("DP_1","00O2TNJGODT0G5Z4TTKYMMBYD","GSON4395100001")</f>
        <v>#NAME?</v>
      </c>
      <c r="S2401" s="4" t="e">
        <f ca="1">[1]!BexGetData("DP_1","00O2TNJGODT0G5Z4TTKYMMI9X","GSON4395100001")</f>
        <v>#NAME?</v>
      </c>
      <c r="T2401" s="4" t="e">
        <f ca="1">[1]!BexGetData("DP_1","00O2TNJGODT0G5Z4TTKYMMOLH","GSON4395100001")</f>
        <v>#NAME?</v>
      </c>
      <c r="U2401" s="4" t="e">
        <f ca="1">[1]!BexGetData("DP_1","00O2TNJGODT0G5Z4TTKYMMUX1","GSON4395100001")</f>
        <v>#NAME?</v>
      </c>
      <c r="V2401" s="4" t="e">
        <f ca="1">[1]!BexGetData("DP_1","00O2TNJGODT0G5Z4TTKYMN18L","GSON4395100001")</f>
        <v>#NAME?</v>
      </c>
      <c r="W2401" s="4" t="e">
        <f ca="1">[1]!BexGetData("DP_1","00O2TNJGODT0G5Z4TTKYMN7K5","GSON4395100001")</f>
        <v>#NAME?</v>
      </c>
    </row>
    <row r="2402" spans="1:23" x14ac:dyDescent="0.2">
      <c r="A2402" s="15" t="s">
        <v>721</v>
      </c>
      <c r="B2402" s="7" t="s">
        <v>724</v>
      </c>
      <c r="C2402" s="3" t="e">
        <f ca="1">[1]!BexGetData("DP_1","003N8EMH8GTFRCSWKMPXRR8GU","GSON4399")</f>
        <v>#NAME?</v>
      </c>
      <c r="D2402" s="3" t="e">
        <f ca="1">[1]!BexGetData("DP_1","003N8EMH8GTFRCSWKMPXRRESE","GSON4399")</f>
        <v>#NAME?</v>
      </c>
      <c r="E2402" s="3" t="e">
        <f ca="1">[1]!BexGetData("DP_1","003N8EMH8GTFRCSWKMPXRRL3Y","GSON4399")</f>
        <v>#NAME?</v>
      </c>
      <c r="F2402" s="4" t="e">
        <f ca="1">[1]!BexGetData("DP_1","003N8EMH8GTFRCSWKMPXRRRFI","GSON4399")</f>
        <v>#NAME?</v>
      </c>
      <c r="G2402" s="4" t="e">
        <f ca="1">[1]!BexGetData("DP_1","003N8EMH8GTFRCSWKMPXRRXR2","GSON4399")</f>
        <v>#NAME?</v>
      </c>
      <c r="H2402" s="4" t="e">
        <f ca="1">[1]!BexGetData("DP_1","003N8EMH8GTFRCSWKMPXRS42M","GSON4399")</f>
        <v>#NAME?</v>
      </c>
      <c r="I2402" s="4" t="e">
        <f ca="1">[1]!BexGetData("DP_1","003N8EMH8GTFRCSWKMPXRSAE6","GSON4399")</f>
        <v>#NAME?</v>
      </c>
      <c r="J2402" s="4" t="e">
        <f ca="1">[1]!BexGetData("DP_1","003N8EMH8GTFRCSWKMPXRSGPQ","GSON4399")</f>
        <v>#NAME?</v>
      </c>
      <c r="K2402" s="3" t="e">
        <f ca="1">[1]!BexGetData("DP_1","003N8EMH8GTFRIVNUPY288VJH","GSON4399")</f>
        <v>#NAME?</v>
      </c>
      <c r="L2402" s="3" t="e">
        <f ca="1">[1]!BexGetData("DP_1","003N8EMH8GTFRIVNUPY2891V1","GSON4399")</f>
        <v>#NAME?</v>
      </c>
      <c r="M2402" s="3" t="e">
        <f ca="1">[1]!BexGetData("DP_1","003N8EMH8GTFRIVOG7KG9IQXA","GSON4399")</f>
        <v>#NAME?</v>
      </c>
      <c r="N2402" s="8" t="e">
        <f ca="1">[1]!BexGetData("DP_1","003N8EMH8GTFRIVOG7KG9IX8U","GSON4399")</f>
        <v>#NAME?</v>
      </c>
      <c r="O2402" s="3" t="e">
        <f ca="1">[1]!BexGetData("DP_1","003N8EMH8GTFRIVOG7KG9J3KE","GSON4399")</f>
        <v>#NAME?</v>
      </c>
      <c r="P2402" s="8" t="e">
        <f ca="1">[1]!BexGetData("DP_1","003N8EMH8GTFRIVOG7KG9J9VY","GSON4399")</f>
        <v>#NAME?</v>
      </c>
      <c r="Q2402" s="4" t="e">
        <f ca="1">[1]!BexGetData("DP_1","00O2TNJGODT0G5Z4TTKYMM5MT","GSON4399")</f>
        <v>#NAME?</v>
      </c>
      <c r="R2402" s="4" t="e">
        <f ca="1">[1]!BexGetData("DP_1","00O2TNJGODT0G5Z4TTKYMMBYD","GSON4399")</f>
        <v>#NAME?</v>
      </c>
      <c r="S2402" s="4" t="e">
        <f ca="1">[1]!BexGetData("DP_1","00O2TNJGODT0G5Z4TTKYMMI9X","GSON4399")</f>
        <v>#NAME?</v>
      </c>
      <c r="T2402" s="4" t="e">
        <f ca="1">[1]!BexGetData("DP_1","00O2TNJGODT0G5Z4TTKYMMOLH","GSON4399")</f>
        <v>#NAME?</v>
      </c>
      <c r="U2402" s="4" t="e">
        <f ca="1">[1]!BexGetData("DP_1","00O2TNJGODT0G5Z4TTKYMMUX1","GSON4399")</f>
        <v>#NAME?</v>
      </c>
      <c r="V2402" s="4" t="e">
        <f ca="1">[1]!BexGetData("DP_1","00O2TNJGODT0G5Z4TTKYMN18L","GSON4399")</f>
        <v>#NAME?</v>
      </c>
      <c r="W2402" s="4" t="e">
        <f ca="1">[1]!BexGetData("DP_1","00O2TNJGODT0G5Z4TTKYMN7K5","GSON4399")</f>
        <v>#NAME?</v>
      </c>
    </row>
    <row r="2403" spans="1:23" x14ac:dyDescent="0.2">
      <c r="A2403" s="16" t="s">
        <v>1540</v>
      </c>
      <c r="B2403" s="7" t="s">
        <v>725</v>
      </c>
      <c r="C2403" s="3" t="e">
        <f ca="1">[1]!BexGetData("DP_1","003N8EMH8GTFRCSWKMPXRR8GU","GSON4399520101")</f>
        <v>#NAME?</v>
      </c>
      <c r="D2403" s="3" t="e">
        <f ca="1">[1]!BexGetData("DP_1","003N8EMH8GTFRCSWKMPXRRESE","GSON4399520101")</f>
        <v>#NAME?</v>
      </c>
      <c r="E2403" s="3" t="e">
        <f ca="1">[1]!BexGetData("DP_1","003N8EMH8GTFRCSWKMPXRRL3Y","GSON4399520101")</f>
        <v>#NAME?</v>
      </c>
      <c r="F2403" s="4" t="e">
        <f ca="1">[1]!BexGetData("DP_1","003N8EMH8GTFRCSWKMPXRRRFI","GSON4399520101")</f>
        <v>#NAME?</v>
      </c>
      <c r="G2403" s="4" t="e">
        <f ca="1">[1]!BexGetData("DP_1","003N8EMH8GTFRCSWKMPXRRXR2","GSON4399520101")</f>
        <v>#NAME?</v>
      </c>
      <c r="H2403" s="4" t="e">
        <f ca="1">[1]!BexGetData("DP_1","003N8EMH8GTFRCSWKMPXRS42M","GSON4399520101")</f>
        <v>#NAME?</v>
      </c>
      <c r="I2403" s="4" t="e">
        <f ca="1">[1]!BexGetData("DP_1","003N8EMH8GTFRCSWKMPXRSAE6","GSON4399520101")</f>
        <v>#NAME?</v>
      </c>
      <c r="J2403" s="4" t="e">
        <f ca="1">[1]!BexGetData("DP_1","003N8EMH8GTFRCSWKMPXRSGPQ","GSON4399520101")</f>
        <v>#NAME?</v>
      </c>
      <c r="K2403" s="3" t="e">
        <f ca="1">[1]!BexGetData("DP_1","003N8EMH8GTFRIVNUPY288VJH","GSON4399520101")</f>
        <v>#NAME?</v>
      </c>
      <c r="L2403" s="3" t="e">
        <f ca="1">[1]!BexGetData("DP_1","003N8EMH8GTFRIVNUPY2891V1","GSON4399520101")</f>
        <v>#NAME?</v>
      </c>
      <c r="M2403" s="3" t="e">
        <f ca="1">[1]!BexGetData("DP_1","003N8EMH8GTFRIVOG7KG9IQXA","GSON4399520101")</f>
        <v>#NAME?</v>
      </c>
      <c r="N2403" s="8" t="e">
        <f ca="1">[1]!BexGetData("DP_1","003N8EMH8GTFRIVOG7KG9IX8U","GSON4399520101")</f>
        <v>#NAME?</v>
      </c>
      <c r="O2403" s="3" t="e">
        <f ca="1">[1]!BexGetData("DP_1","003N8EMH8GTFRIVOG7KG9J3KE","GSON4399520101")</f>
        <v>#NAME?</v>
      </c>
      <c r="P2403" s="8" t="e">
        <f ca="1">[1]!BexGetData("DP_1","003N8EMH8GTFRIVOG7KG9J9VY","GSON4399520101")</f>
        <v>#NAME?</v>
      </c>
      <c r="Q2403" s="4" t="e">
        <f ca="1">[1]!BexGetData("DP_1","00O2TNJGODT0G5Z4TTKYMM5MT","GSON4399520101")</f>
        <v>#NAME?</v>
      </c>
      <c r="R2403" s="4" t="e">
        <f ca="1">[1]!BexGetData("DP_1","00O2TNJGODT0G5Z4TTKYMMBYD","GSON4399520101")</f>
        <v>#NAME?</v>
      </c>
      <c r="S2403" s="4" t="e">
        <f ca="1">[1]!BexGetData("DP_1","00O2TNJGODT0G5Z4TTKYMMI9X","GSON4399520101")</f>
        <v>#NAME?</v>
      </c>
      <c r="T2403" s="4" t="e">
        <f ca="1">[1]!BexGetData("DP_1","00O2TNJGODT0G5Z4TTKYMMOLH","GSON4399520101")</f>
        <v>#NAME?</v>
      </c>
      <c r="U2403" s="4" t="e">
        <f ca="1">[1]!BexGetData("DP_1","00O2TNJGODT0G5Z4TTKYMMUX1","GSON4399520101")</f>
        <v>#NAME?</v>
      </c>
      <c r="V2403" s="4" t="e">
        <f ca="1">[1]!BexGetData("DP_1","00O2TNJGODT0G5Z4TTKYMN18L","GSON4399520101")</f>
        <v>#NAME?</v>
      </c>
      <c r="W2403" s="4" t="e">
        <f ca="1">[1]!BexGetData("DP_1","00O2TNJGODT0G5Z4TTKYMN7K5","GSON4399520101")</f>
        <v>#NAME?</v>
      </c>
    </row>
    <row r="2404" spans="1:23" x14ac:dyDescent="0.2">
      <c r="A2404" s="16" t="s">
        <v>5030</v>
      </c>
      <c r="B2404" s="7" t="s">
        <v>5031</v>
      </c>
      <c r="C2404" s="8" t="e">
        <f ca="1">[1]!BexGetData("DP_1","003N8EMH8GTFRCSWKMPXRR8GU","GSON4399520201")</f>
        <v>#NAME?</v>
      </c>
      <c r="D2404" s="3" t="e">
        <f ca="1">[1]!BexGetData("DP_1","003N8EMH8GTFRCSWKMPXRRESE","GSON4399520201")</f>
        <v>#NAME?</v>
      </c>
      <c r="E2404" s="3" t="e">
        <f ca="1">[1]!BexGetData("DP_1","003N8EMH8GTFRCSWKMPXRRL3Y","GSON4399520201")</f>
        <v>#NAME?</v>
      </c>
      <c r="F2404" s="4" t="e">
        <f ca="1">[1]!BexGetData("DP_1","003N8EMH8GTFRCSWKMPXRRRFI","GSON4399520201")</f>
        <v>#NAME?</v>
      </c>
      <c r="G2404" s="4" t="e">
        <f ca="1">[1]!BexGetData("DP_1","003N8EMH8GTFRCSWKMPXRRXR2","GSON4399520201")</f>
        <v>#NAME?</v>
      </c>
      <c r="H2404" s="4" t="e">
        <f ca="1">[1]!BexGetData("DP_1","003N8EMH8GTFRCSWKMPXRS42M","GSON4399520201")</f>
        <v>#NAME?</v>
      </c>
      <c r="I2404" s="4" t="e">
        <f ca="1">[1]!BexGetData("DP_1","003N8EMH8GTFRCSWKMPXRSAE6","GSON4399520201")</f>
        <v>#NAME?</v>
      </c>
      <c r="J2404" s="4" t="e">
        <f ca="1">[1]!BexGetData("DP_1","003N8EMH8GTFRCSWKMPXRSGPQ","GSON4399520201")</f>
        <v>#NAME?</v>
      </c>
      <c r="K2404" s="3" t="e">
        <f ca="1">[1]!BexGetData("DP_1","003N8EMH8GTFRIVNUPY288VJH","GSON4399520201")</f>
        <v>#NAME?</v>
      </c>
      <c r="L2404" s="3" t="e">
        <f ca="1">[1]!BexGetData("DP_1","003N8EMH8GTFRIVNUPY2891V1","GSON4399520201")</f>
        <v>#NAME?</v>
      </c>
      <c r="M2404" s="3" t="e">
        <f ca="1">[1]!BexGetData("DP_1","003N8EMH8GTFRIVOG7KG9IQXA","GSON4399520201")</f>
        <v>#NAME?</v>
      </c>
      <c r="N2404" s="8" t="e">
        <f ca="1">[1]!BexGetData("DP_1","003N8EMH8GTFRIVOG7KG9IX8U","GSON4399520201")</f>
        <v>#NAME?</v>
      </c>
      <c r="O2404" s="3" t="e">
        <f ca="1">[1]!BexGetData("DP_1","003N8EMH8GTFRIVOG7KG9J3KE","GSON4399520201")</f>
        <v>#NAME?</v>
      </c>
      <c r="P2404" s="8" t="e">
        <f ca="1">[1]!BexGetData("DP_1","003N8EMH8GTFRIVOG7KG9J9VY","GSON4399520201")</f>
        <v>#NAME?</v>
      </c>
      <c r="Q2404" s="4" t="e">
        <f ca="1">[1]!BexGetData("DP_1","00O2TNJGODT0G5Z4TTKYMM5MT","GSON4399520201")</f>
        <v>#NAME?</v>
      </c>
      <c r="R2404" s="4" t="e">
        <f ca="1">[1]!BexGetData("DP_1","00O2TNJGODT0G5Z4TTKYMMBYD","GSON4399520201")</f>
        <v>#NAME?</v>
      </c>
      <c r="S2404" s="4" t="e">
        <f ca="1">[1]!BexGetData("DP_1","00O2TNJGODT0G5Z4TTKYMMI9X","GSON4399520201")</f>
        <v>#NAME?</v>
      </c>
      <c r="T2404" s="4" t="e">
        <f ca="1">[1]!BexGetData("DP_1","00O2TNJGODT0G5Z4TTKYMMOLH","GSON4399520201")</f>
        <v>#NAME?</v>
      </c>
      <c r="U2404" s="4" t="e">
        <f ca="1">[1]!BexGetData("DP_1","00O2TNJGODT0G5Z4TTKYMMUX1","GSON4399520201")</f>
        <v>#NAME?</v>
      </c>
      <c r="V2404" s="4" t="e">
        <f ca="1">[1]!BexGetData("DP_1","00O2TNJGODT0G5Z4TTKYMN18L","GSON4399520201")</f>
        <v>#NAME?</v>
      </c>
      <c r="W2404" s="4" t="e">
        <f ca="1">[1]!BexGetData("DP_1","00O2TNJGODT0G5Z4TTKYMN7K5","GSON4399520201")</f>
        <v>#NAME?</v>
      </c>
    </row>
    <row r="2405" spans="1:23" x14ac:dyDescent="0.2">
      <c r="A2405" s="12" t="s">
        <v>104</v>
      </c>
      <c r="B2405" s="6" t="s">
        <v>105</v>
      </c>
      <c r="C2405" s="3" t="e">
        <f ca="1">[1]!BexGetData("DP_1","003N8EMH8GTFRCSWKMPXRR8GU","GSON5")</f>
        <v>#NAME?</v>
      </c>
      <c r="D2405" s="3" t="e">
        <f ca="1">[1]!BexGetData("DP_1","003N8EMH8GTFRCSWKMPXRRESE","GSON5")</f>
        <v>#NAME?</v>
      </c>
      <c r="E2405" s="3" t="e">
        <f ca="1">[1]!BexGetData("DP_1","003N8EMH8GTFRCSWKMPXRRL3Y","GSON5")</f>
        <v>#NAME?</v>
      </c>
      <c r="F2405" s="4" t="e">
        <f ca="1">[1]!BexGetData("DP_1","003N8EMH8GTFRCSWKMPXRRRFI","GSON5")</f>
        <v>#NAME?</v>
      </c>
      <c r="G2405" s="4" t="e">
        <f ca="1">[1]!BexGetData("DP_1","003N8EMH8GTFRCSWKMPXRRXR2","GSON5")</f>
        <v>#NAME?</v>
      </c>
      <c r="H2405" s="4" t="e">
        <f ca="1">[1]!BexGetData("DP_1","003N8EMH8GTFRCSWKMPXRS42M","GSON5")</f>
        <v>#NAME?</v>
      </c>
      <c r="I2405" s="4" t="e">
        <f ca="1">[1]!BexGetData("DP_1","003N8EMH8GTFRCSWKMPXRSAE6","GSON5")</f>
        <v>#NAME?</v>
      </c>
      <c r="J2405" s="4" t="e">
        <f ca="1">[1]!BexGetData("DP_1","003N8EMH8GTFRCSWKMPXRSGPQ","GSON5")</f>
        <v>#NAME?</v>
      </c>
      <c r="K2405" s="3" t="e">
        <f ca="1">[1]!BexGetData("DP_1","003N8EMH8GTFRIVNUPY288VJH","GSON5")</f>
        <v>#NAME?</v>
      </c>
      <c r="L2405" s="3" t="e">
        <f ca="1">[1]!BexGetData("DP_1","003N8EMH8GTFRIVNUPY2891V1","GSON5")</f>
        <v>#NAME?</v>
      </c>
      <c r="M2405" s="8" t="e">
        <f ca="1">[1]!BexGetData("DP_1","003N8EMH8GTFRIVOG7KG9IQXA","GSON5")</f>
        <v>#NAME?</v>
      </c>
      <c r="N2405" s="3" t="e">
        <f ca="1">[1]!BexGetData("DP_1","003N8EMH8GTFRIVOG7KG9IX8U","GSON5")</f>
        <v>#NAME?</v>
      </c>
      <c r="O2405" s="8" t="e">
        <f ca="1">[1]!BexGetData("DP_1","003N8EMH8GTFRIVOG7KG9J3KE","GSON5")</f>
        <v>#NAME?</v>
      </c>
      <c r="P2405" s="3" t="e">
        <f ca="1">[1]!BexGetData("DP_1","003N8EMH8GTFRIVOG7KG9J9VY","GSON5")</f>
        <v>#NAME?</v>
      </c>
      <c r="Q2405" s="4" t="e">
        <f ca="1">[1]!BexGetData("DP_1","00O2TNJGODT0G5Z4TTKYMM5MT","GSON5")</f>
        <v>#NAME?</v>
      </c>
      <c r="R2405" s="4" t="e">
        <f ca="1">[1]!BexGetData("DP_1","00O2TNJGODT0G5Z4TTKYMMBYD","GSON5")</f>
        <v>#NAME?</v>
      </c>
      <c r="S2405" s="4" t="e">
        <f ca="1">[1]!BexGetData("DP_1","00O2TNJGODT0G5Z4TTKYMMI9X","GSON5")</f>
        <v>#NAME?</v>
      </c>
      <c r="T2405" s="4" t="e">
        <f ca="1">[1]!BexGetData("DP_1","00O2TNJGODT0G5Z4TTKYMMOLH","GSON5")</f>
        <v>#NAME?</v>
      </c>
      <c r="U2405" s="4" t="e">
        <f ca="1">[1]!BexGetData("DP_1","00O2TNJGODT0G5Z4TTKYMMUX1","GSON5")</f>
        <v>#NAME?</v>
      </c>
      <c r="V2405" s="4" t="e">
        <f ca="1">[1]!BexGetData("DP_1","00O2TNJGODT0G5Z4TTKYMN18L","GSON5")</f>
        <v>#NAME?</v>
      </c>
      <c r="W2405" s="4" t="e">
        <f ca="1">[1]!BexGetData("DP_1","00O2TNJGODT0G5Z4TTKYMN7K5","GSON5")</f>
        <v>#NAME?</v>
      </c>
    </row>
    <row r="2406" spans="1:23" x14ac:dyDescent="0.2">
      <c r="A2406" s="13" t="s">
        <v>106</v>
      </c>
      <c r="B2406" s="7" t="s">
        <v>107</v>
      </c>
      <c r="C2406" s="3" t="e">
        <f ca="1">[1]!BexGetData("DP_1","003N8EMH8GTFRCSWKMPXRR8GU","GSON51")</f>
        <v>#NAME?</v>
      </c>
      <c r="D2406" s="3" t="e">
        <f ca="1">[1]!BexGetData("DP_1","003N8EMH8GTFRCSWKMPXRRESE","GSON51")</f>
        <v>#NAME?</v>
      </c>
      <c r="E2406" s="3" t="e">
        <f ca="1">[1]!BexGetData("DP_1","003N8EMH8GTFRCSWKMPXRRL3Y","GSON51")</f>
        <v>#NAME?</v>
      </c>
      <c r="F2406" s="4" t="e">
        <f ca="1">[1]!BexGetData("DP_1","003N8EMH8GTFRCSWKMPXRRRFI","GSON51")</f>
        <v>#NAME?</v>
      </c>
      <c r="G2406" s="4" t="e">
        <f ca="1">[1]!BexGetData("DP_1","003N8EMH8GTFRCSWKMPXRRXR2","GSON51")</f>
        <v>#NAME?</v>
      </c>
      <c r="H2406" s="4" t="e">
        <f ca="1">[1]!BexGetData("DP_1","003N8EMH8GTFRCSWKMPXRS42M","GSON51")</f>
        <v>#NAME?</v>
      </c>
      <c r="I2406" s="4" t="e">
        <f ca="1">[1]!BexGetData("DP_1","003N8EMH8GTFRCSWKMPXRSAE6","GSON51")</f>
        <v>#NAME?</v>
      </c>
      <c r="J2406" s="4" t="e">
        <f ca="1">[1]!BexGetData("DP_1","003N8EMH8GTFRCSWKMPXRSGPQ","GSON51")</f>
        <v>#NAME?</v>
      </c>
      <c r="K2406" s="3" t="e">
        <f ca="1">[1]!BexGetData("DP_1","003N8EMH8GTFRIVNUPY288VJH","GSON51")</f>
        <v>#NAME?</v>
      </c>
      <c r="L2406" s="3" t="e">
        <f ca="1">[1]!BexGetData("DP_1","003N8EMH8GTFRIVNUPY2891V1","GSON51")</f>
        <v>#NAME?</v>
      </c>
      <c r="M2406" s="8" t="e">
        <f ca="1">[1]!BexGetData("DP_1","003N8EMH8GTFRIVOG7KG9IQXA","GSON51")</f>
        <v>#NAME?</v>
      </c>
      <c r="N2406" s="3" t="e">
        <f ca="1">[1]!BexGetData("DP_1","003N8EMH8GTFRIVOG7KG9IX8U","GSON51")</f>
        <v>#NAME?</v>
      </c>
      <c r="O2406" s="8" t="e">
        <f ca="1">[1]!BexGetData("DP_1","003N8EMH8GTFRIVOG7KG9J3KE","GSON51")</f>
        <v>#NAME?</v>
      </c>
      <c r="P2406" s="3" t="e">
        <f ca="1">[1]!BexGetData("DP_1","003N8EMH8GTFRIVOG7KG9J9VY","GSON51")</f>
        <v>#NAME?</v>
      </c>
      <c r="Q2406" s="4" t="e">
        <f ca="1">[1]!BexGetData("DP_1","00O2TNJGODT0G5Z4TTKYMM5MT","GSON51")</f>
        <v>#NAME?</v>
      </c>
      <c r="R2406" s="4" t="e">
        <f ca="1">[1]!BexGetData("DP_1","00O2TNJGODT0G5Z4TTKYMMBYD","GSON51")</f>
        <v>#NAME?</v>
      </c>
      <c r="S2406" s="4" t="e">
        <f ca="1">[1]!BexGetData("DP_1","00O2TNJGODT0G5Z4TTKYMMI9X","GSON51")</f>
        <v>#NAME?</v>
      </c>
      <c r="T2406" s="4" t="e">
        <f ca="1">[1]!BexGetData("DP_1","00O2TNJGODT0G5Z4TTKYMMOLH","GSON51")</f>
        <v>#NAME?</v>
      </c>
      <c r="U2406" s="4" t="e">
        <f ca="1">[1]!BexGetData("DP_1","00O2TNJGODT0G5Z4TTKYMMUX1","GSON51")</f>
        <v>#NAME?</v>
      </c>
      <c r="V2406" s="4" t="e">
        <f ca="1">[1]!BexGetData("DP_1","00O2TNJGODT0G5Z4TTKYMN18L","GSON51")</f>
        <v>#NAME?</v>
      </c>
      <c r="W2406" s="4" t="e">
        <f ca="1">[1]!BexGetData("DP_1","00O2TNJGODT0G5Z4TTKYMN7K5","GSON51")</f>
        <v>#NAME?</v>
      </c>
    </row>
    <row r="2407" spans="1:23" x14ac:dyDescent="0.2">
      <c r="A2407" s="14" t="s">
        <v>475</v>
      </c>
      <c r="B2407" s="7" t="s">
        <v>583</v>
      </c>
      <c r="C2407" s="3" t="e">
        <f ca="1">[1]!BexGetData("DP_1","003N8EMH8GTFRCSWKMPXRR8GU","GSON511")</f>
        <v>#NAME?</v>
      </c>
      <c r="D2407" s="3" t="e">
        <f ca="1">[1]!BexGetData("DP_1","003N8EMH8GTFRCSWKMPXRRESE","GSON511")</f>
        <v>#NAME?</v>
      </c>
      <c r="E2407" s="3" t="e">
        <f ca="1">[1]!BexGetData("DP_1","003N8EMH8GTFRCSWKMPXRRL3Y","GSON511")</f>
        <v>#NAME?</v>
      </c>
      <c r="F2407" s="4" t="e">
        <f ca="1">[1]!BexGetData("DP_1","003N8EMH8GTFRCSWKMPXRRRFI","GSON511")</f>
        <v>#NAME?</v>
      </c>
      <c r="G2407" s="4" t="e">
        <f ca="1">[1]!BexGetData("DP_1","003N8EMH8GTFRCSWKMPXRRXR2","GSON511")</f>
        <v>#NAME?</v>
      </c>
      <c r="H2407" s="4" t="e">
        <f ca="1">[1]!BexGetData("DP_1","003N8EMH8GTFRCSWKMPXRS42M","GSON511")</f>
        <v>#NAME?</v>
      </c>
      <c r="I2407" s="4" t="e">
        <f ca="1">[1]!BexGetData("DP_1","003N8EMH8GTFRCSWKMPXRSAE6","GSON511")</f>
        <v>#NAME?</v>
      </c>
      <c r="J2407" s="4" t="e">
        <f ca="1">[1]!BexGetData("DP_1","003N8EMH8GTFRCSWKMPXRSGPQ","GSON511")</f>
        <v>#NAME?</v>
      </c>
      <c r="K2407" s="3" t="e">
        <f ca="1">[1]!BexGetData("DP_1","003N8EMH8GTFRIVNUPY288VJH","GSON511")</f>
        <v>#NAME?</v>
      </c>
      <c r="L2407" s="3" t="e">
        <f ca="1">[1]!BexGetData("DP_1","003N8EMH8GTFRIVNUPY2891V1","GSON511")</f>
        <v>#NAME?</v>
      </c>
      <c r="M2407" s="8" t="e">
        <f ca="1">[1]!BexGetData("DP_1","003N8EMH8GTFRIVOG7KG9IQXA","GSON511")</f>
        <v>#NAME?</v>
      </c>
      <c r="N2407" s="3" t="e">
        <f ca="1">[1]!BexGetData("DP_1","003N8EMH8GTFRIVOG7KG9IX8U","GSON511")</f>
        <v>#NAME?</v>
      </c>
      <c r="O2407" s="8" t="e">
        <f ca="1">[1]!BexGetData("DP_1","003N8EMH8GTFRIVOG7KG9J3KE","GSON511")</f>
        <v>#NAME?</v>
      </c>
      <c r="P2407" s="3" t="e">
        <f ca="1">[1]!BexGetData("DP_1","003N8EMH8GTFRIVOG7KG9J9VY","GSON511")</f>
        <v>#NAME?</v>
      </c>
      <c r="Q2407" s="4" t="e">
        <f ca="1">[1]!BexGetData("DP_1","00O2TNJGODT0G5Z4TTKYMM5MT","GSON511")</f>
        <v>#NAME?</v>
      </c>
      <c r="R2407" s="4" t="e">
        <f ca="1">[1]!BexGetData("DP_1","00O2TNJGODT0G5Z4TTKYMMBYD","GSON511")</f>
        <v>#NAME?</v>
      </c>
      <c r="S2407" s="4" t="e">
        <f ca="1">[1]!BexGetData("DP_1","00O2TNJGODT0G5Z4TTKYMMI9X","GSON511")</f>
        <v>#NAME?</v>
      </c>
      <c r="T2407" s="4" t="e">
        <f ca="1">[1]!BexGetData("DP_1","00O2TNJGODT0G5Z4TTKYMMOLH","GSON511")</f>
        <v>#NAME?</v>
      </c>
      <c r="U2407" s="4" t="e">
        <f ca="1">[1]!BexGetData("DP_1","00O2TNJGODT0G5Z4TTKYMMUX1","GSON511")</f>
        <v>#NAME?</v>
      </c>
      <c r="V2407" s="4" t="e">
        <f ca="1">[1]!BexGetData("DP_1","00O2TNJGODT0G5Z4TTKYMN18L","GSON511")</f>
        <v>#NAME?</v>
      </c>
      <c r="W2407" s="4" t="e">
        <f ca="1">[1]!BexGetData("DP_1","00O2TNJGODT0G5Z4TTKYMN7K5","GSON511")</f>
        <v>#NAME?</v>
      </c>
    </row>
    <row r="2408" spans="1:23" x14ac:dyDescent="0.2">
      <c r="A2408" s="15" t="s">
        <v>584</v>
      </c>
      <c r="B2408" s="7" t="s">
        <v>1541</v>
      </c>
      <c r="C2408" s="3" t="e">
        <f ca="1">[1]!BexGetData("DP_1","003N8EMH8GTFRCSWKMPXRR8GU","GSON5111")</f>
        <v>#NAME?</v>
      </c>
      <c r="D2408" s="3" t="e">
        <f ca="1">[1]!BexGetData("DP_1","003N8EMH8GTFRCSWKMPXRRESE","GSON5111")</f>
        <v>#NAME?</v>
      </c>
      <c r="E2408" s="3" t="e">
        <f ca="1">[1]!BexGetData("DP_1","003N8EMH8GTFRCSWKMPXRRL3Y","GSON5111")</f>
        <v>#NAME?</v>
      </c>
      <c r="F2408" s="4" t="e">
        <f ca="1">[1]!BexGetData("DP_1","003N8EMH8GTFRCSWKMPXRRRFI","GSON5111")</f>
        <v>#NAME?</v>
      </c>
      <c r="G2408" s="4" t="e">
        <f ca="1">[1]!BexGetData("DP_1","003N8EMH8GTFRCSWKMPXRRXR2","GSON5111")</f>
        <v>#NAME?</v>
      </c>
      <c r="H2408" s="4" t="e">
        <f ca="1">[1]!BexGetData("DP_1","003N8EMH8GTFRCSWKMPXRS42M","GSON5111")</f>
        <v>#NAME?</v>
      </c>
      <c r="I2408" s="4" t="e">
        <f ca="1">[1]!BexGetData("DP_1","003N8EMH8GTFRCSWKMPXRSAE6","GSON5111")</f>
        <v>#NAME?</v>
      </c>
      <c r="J2408" s="4" t="e">
        <f ca="1">[1]!BexGetData("DP_1","003N8EMH8GTFRCSWKMPXRSGPQ","GSON5111")</f>
        <v>#NAME?</v>
      </c>
      <c r="K2408" s="3" t="e">
        <f ca="1">[1]!BexGetData("DP_1","003N8EMH8GTFRIVNUPY288VJH","GSON5111")</f>
        <v>#NAME?</v>
      </c>
      <c r="L2408" s="3" t="e">
        <f ca="1">[1]!BexGetData("DP_1","003N8EMH8GTFRIVNUPY2891V1","GSON5111")</f>
        <v>#NAME?</v>
      </c>
      <c r="M2408" s="8" t="e">
        <f ca="1">[1]!BexGetData("DP_1","003N8EMH8GTFRIVOG7KG9IQXA","GSON5111")</f>
        <v>#NAME?</v>
      </c>
      <c r="N2408" s="3" t="e">
        <f ca="1">[1]!BexGetData("DP_1","003N8EMH8GTFRIVOG7KG9IX8U","GSON5111")</f>
        <v>#NAME?</v>
      </c>
      <c r="O2408" s="8" t="e">
        <f ca="1">[1]!BexGetData("DP_1","003N8EMH8GTFRIVOG7KG9J3KE","GSON5111")</f>
        <v>#NAME?</v>
      </c>
      <c r="P2408" s="3" t="e">
        <f ca="1">[1]!BexGetData("DP_1","003N8EMH8GTFRIVOG7KG9J9VY","GSON5111")</f>
        <v>#NAME?</v>
      </c>
      <c r="Q2408" s="4" t="e">
        <f ca="1">[1]!BexGetData("DP_1","00O2TNJGODT0G5Z4TTKYMM5MT","GSON5111")</f>
        <v>#NAME?</v>
      </c>
      <c r="R2408" s="4" t="e">
        <f ca="1">[1]!BexGetData("DP_1","00O2TNJGODT0G5Z4TTKYMMBYD","GSON5111")</f>
        <v>#NAME?</v>
      </c>
      <c r="S2408" s="4" t="e">
        <f ca="1">[1]!BexGetData("DP_1","00O2TNJGODT0G5Z4TTKYMMI9X","GSON5111")</f>
        <v>#NAME?</v>
      </c>
      <c r="T2408" s="4" t="e">
        <f ca="1">[1]!BexGetData("DP_1","00O2TNJGODT0G5Z4TTKYMMOLH","GSON5111")</f>
        <v>#NAME?</v>
      </c>
      <c r="U2408" s="4" t="e">
        <f ca="1">[1]!BexGetData("DP_1","00O2TNJGODT0G5Z4TTKYMMUX1","GSON5111")</f>
        <v>#NAME?</v>
      </c>
      <c r="V2408" s="4" t="e">
        <f ca="1">[1]!BexGetData("DP_1","00O2TNJGODT0G5Z4TTKYMN18L","GSON5111")</f>
        <v>#NAME?</v>
      </c>
      <c r="W2408" s="4" t="e">
        <f ca="1">[1]!BexGetData("DP_1","00O2TNJGODT0G5Z4TTKYMN7K5","GSON5111")</f>
        <v>#NAME?</v>
      </c>
    </row>
    <row r="2409" spans="1:23" x14ac:dyDescent="0.2">
      <c r="A2409" s="16" t="s">
        <v>1542</v>
      </c>
      <c r="B2409" s="7" t="s">
        <v>1543</v>
      </c>
      <c r="C2409" s="3" t="e">
        <f ca="1">[1]!BexGetData("DP_1","003N8EMH8GTFRCSWKMPXRR8GU","GSON5111113011")</f>
        <v>#NAME?</v>
      </c>
      <c r="D2409" s="3" t="e">
        <f ca="1">[1]!BexGetData("DP_1","003N8EMH8GTFRCSWKMPXRRESE","GSON5111113011")</f>
        <v>#NAME?</v>
      </c>
      <c r="E2409" s="3" t="e">
        <f ca="1">[1]!BexGetData("DP_1","003N8EMH8GTFRCSWKMPXRRL3Y","GSON5111113011")</f>
        <v>#NAME?</v>
      </c>
      <c r="F2409" s="4" t="e">
        <f ca="1">[1]!BexGetData("DP_1","003N8EMH8GTFRCSWKMPXRRRFI","GSON5111113011")</f>
        <v>#NAME?</v>
      </c>
      <c r="G2409" s="4" t="e">
        <f ca="1">[1]!BexGetData("DP_1","003N8EMH8GTFRCSWKMPXRRXR2","GSON5111113011")</f>
        <v>#NAME?</v>
      </c>
      <c r="H2409" s="4" t="e">
        <f ca="1">[1]!BexGetData("DP_1","003N8EMH8GTFRCSWKMPXRS42M","GSON5111113011")</f>
        <v>#NAME?</v>
      </c>
      <c r="I2409" s="4" t="e">
        <f ca="1">[1]!BexGetData("DP_1","003N8EMH8GTFRCSWKMPXRSAE6","GSON5111113011")</f>
        <v>#NAME?</v>
      </c>
      <c r="J2409" s="4" t="e">
        <f ca="1">[1]!BexGetData("DP_1","003N8EMH8GTFRCSWKMPXRSGPQ","GSON5111113011")</f>
        <v>#NAME?</v>
      </c>
      <c r="K2409" s="3" t="e">
        <f ca="1">[1]!BexGetData("DP_1","003N8EMH8GTFRIVNUPY288VJH","GSON5111113011")</f>
        <v>#NAME?</v>
      </c>
      <c r="L2409" s="3" t="e">
        <f ca="1">[1]!BexGetData("DP_1","003N8EMH8GTFRIVNUPY2891V1","GSON5111113011")</f>
        <v>#NAME?</v>
      </c>
      <c r="M2409" s="8" t="e">
        <f ca="1">[1]!BexGetData("DP_1","003N8EMH8GTFRIVOG7KG9IQXA","GSON5111113011")</f>
        <v>#NAME?</v>
      </c>
      <c r="N2409" s="3" t="e">
        <f ca="1">[1]!BexGetData("DP_1","003N8EMH8GTFRIVOG7KG9IX8U","GSON5111113011")</f>
        <v>#NAME?</v>
      </c>
      <c r="O2409" s="8" t="e">
        <f ca="1">[1]!BexGetData("DP_1","003N8EMH8GTFRIVOG7KG9J3KE","GSON5111113011")</f>
        <v>#NAME?</v>
      </c>
      <c r="P2409" s="3" t="e">
        <f ca="1">[1]!BexGetData("DP_1","003N8EMH8GTFRIVOG7KG9J9VY","GSON5111113011")</f>
        <v>#NAME?</v>
      </c>
      <c r="Q2409" s="4" t="e">
        <f ca="1">[1]!BexGetData("DP_1","00O2TNJGODT0G5Z4TTKYMM5MT","GSON5111113011")</f>
        <v>#NAME?</v>
      </c>
      <c r="R2409" s="4" t="e">
        <f ca="1">[1]!BexGetData("DP_1","00O2TNJGODT0G5Z4TTKYMMBYD","GSON5111113011")</f>
        <v>#NAME?</v>
      </c>
      <c r="S2409" s="4" t="e">
        <f ca="1">[1]!BexGetData("DP_1","00O2TNJGODT0G5Z4TTKYMMI9X","GSON5111113011")</f>
        <v>#NAME?</v>
      </c>
      <c r="T2409" s="4" t="e">
        <f ca="1">[1]!BexGetData("DP_1","00O2TNJGODT0G5Z4TTKYMMOLH","GSON5111113011")</f>
        <v>#NAME?</v>
      </c>
      <c r="U2409" s="4" t="e">
        <f ca="1">[1]!BexGetData("DP_1","00O2TNJGODT0G5Z4TTKYMMUX1","GSON5111113011")</f>
        <v>#NAME?</v>
      </c>
      <c r="V2409" s="4" t="e">
        <f ca="1">[1]!BexGetData("DP_1","00O2TNJGODT0G5Z4TTKYMN18L","GSON5111113011")</f>
        <v>#NAME?</v>
      </c>
      <c r="W2409" s="4" t="e">
        <f ca="1">[1]!BexGetData("DP_1","00O2TNJGODT0G5Z4TTKYMN7K5","GSON5111113011")</f>
        <v>#NAME?</v>
      </c>
    </row>
    <row r="2410" spans="1:23" x14ac:dyDescent="0.2">
      <c r="A2410" s="16" t="s">
        <v>5032</v>
      </c>
      <c r="B2410" s="7" t="s">
        <v>5033</v>
      </c>
      <c r="C2410" s="3" t="e">
        <f ca="1">[1]!BexGetData("DP_1","003N8EMH8GTFRCSWKMPXRR8GU","GSON5111113021")</f>
        <v>#NAME?</v>
      </c>
      <c r="D2410" s="8" t="e">
        <f ca="1">[1]!BexGetData("DP_1","003N8EMH8GTFRCSWKMPXRRESE","GSON5111113021")</f>
        <v>#NAME?</v>
      </c>
      <c r="E2410" s="3" t="e">
        <f ca="1">[1]!BexGetData("DP_1","003N8EMH8GTFRCSWKMPXRRL3Y","GSON5111113021")</f>
        <v>#NAME?</v>
      </c>
      <c r="F2410" s="4" t="e">
        <f ca="1">[1]!BexGetData("DP_1","003N8EMH8GTFRCSWKMPXRRRFI","GSON5111113021")</f>
        <v>#NAME?</v>
      </c>
      <c r="G2410" s="4" t="e">
        <f ca="1">[1]!BexGetData("DP_1","003N8EMH8GTFRCSWKMPXRRXR2","GSON5111113021")</f>
        <v>#NAME?</v>
      </c>
      <c r="H2410" s="4" t="e">
        <f ca="1">[1]!BexGetData("DP_1","003N8EMH8GTFRCSWKMPXRS42M","GSON5111113021")</f>
        <v>#NAME?</v>
      </c>
      <c r="I2410" s="4" t="e">
        <f ca="1">[1]!BexGetData("DP_1","003N8EMH8GTFRCSWKMPXRSAE6","GSON5111113021")</f>
        <v>#NAME?</v>
      </c>
      <c r="J2410" s="4" t="e">
        <f ca="1">[1]!BexGetData("DP_1","003N8EMH8GTFRCSWKMPXRSGPQ","GSON5111113021")</f>
        <v>#NAME?</v>
      </c>
      <c r="K2410" s="3" t="e">
        <f ca="1">[1]!BexGetData("DP_1","003N8EMH8GTFRIVNUPY288VJH","GSON5111113021")</f>
        <v>#NAME?</v>
      </c>
      <c r="L2410" s="3" t="e">
        <f ca="1">[1]!BexGetData("DP_1","003N8EMH8GTFRIVNUPY2891V1","GSON5111113021")</f>
        <v>#NAME?</v>
      </c>
      <c r="M2410" s="8" t="e">
        <f ca="1">[1]!BexGetData("DP_1","003N8EMH8GTFRIVOG7KG9IQXA","GSON5111113021")</f>
        <v>#NAME?</v>
      </c>
      <c r="N2410" s="3" t="e">
        <f ca="1">[1]!BexGetData("DP_1","003N8EMH8GTFRIVOG7KG9IX8U","GSON5111113021")</f>
        <v>#NAME?</v>
      </c>
      <c r="O2410" s="8" t="e">
        <f ca="1">[1]!BexGetData("DP_1","003N8EMH8GTFRIVOG7KG9J3KE","GSON5111113021")</f>
        <v>#NAME?</v>
      </c>
      <c r="P2410" s="3" t="e">
        <f ca="1">[1]!BexGetData("DP_1","003N8EMH8GTFRIVOG7KG9J9VY","GSON5111113021")</f>
        <v>#NAME?</v>
      </c>
      <c r="Q2410" s="4" t="e">
        <f ca="1">[1]!BexGetData("DP_1","00O2TNJGODT0G5Z4TTKYMM5MT","GSON5111113021")</f>
        <v>#NAME?</v>
      </c>
      <c r="R2410" s="4" t="e">
        <f ca="1">[1]!BexGetData("DP_1","00O2TNJGODT0G5Z4TTKYMMBYD","GSON5111113021")</f>
        <v>#NAME?</v>
      </c>
      <c r="S2410" s="4" t="e">
        <f ca="1">[1]!BexGetData("DP_1","00O2TNJGODT0G5Z4TTKYMMI9X","GSON5111113021")</f>
        <v>#NAME?</v>
      </c>
      <c r="T2410" s="4" t="e">
        <f ca="1">[1]!BexGetData("DP_1","00O2TNJGODT0G5Z4TTKYMMOLH","GSON5111113021")</f>
        <v>#NAME?</v>
      </c>
      <c r="U2410" s="4" t="e">
        <f ca="1">[1]!BexGetData("DP_1","00O2TNJGODT0G5Z4TTKYMMUX1","GSON5111113021")</f>
        <v>#NAME?</v>
      </c>
      <c r="V2410" s="4" t="e">
        <f ca="1">[1]!BexGetData("DP_1","00O2TNJGODT0G5Z4TTKYMN18L","GSON5111113021")</f>
        <v>#NAME?</v>
      </c>
      <c r="W2410" s="4" t="e">
        <f ca="1">[1]!BexGetData("DP_1","00O2TNJGODT0G5Z4TTKYMN7K5","GSON5111113021")</f>
        <v>#NAME?</v>
      </c>
    </row>
    <row r="2411" spans="1:23" x14ac:dyDescent="0.2">
      <c r="A2411" s="16" t="s">
        <v>5034</v>
      </c>
      <c r="B2411" s="7" t="s">
        <v>5035</v>
      </c>
      <c r="C2411" s="3" t="e">
        <f ca="1">[1]!BexGetData("DP_1","003N8EMH8GTFRCSWKMPXRR8GU","GSON5111113041")</f>
        <v>#NAME?</v>
      </c>
      <c r="D2411" s="8" t="e">
        <f ca="1">[1]!BexGetData("DP_1","003N8EMH8GTFRCSWKMPXRRESE","GSON5111113041")</f>
        <v>#NAME?</v>
      </c>
      <c r="E2411" s="3" t="e">
        <f ca="1">[1]!BexGetData("DP_1","003N8EMH8GTFRCSWKMPXRRL3Y","GSON5111113041")</f>
        <v>#NAME?</v>
      </c>
      <c r="F2411" s="4" t="e">
        <f ca="1">[1]!BexGetData("DP_1","003N8EMH8GTFRCSWKMPXRRRFI","GSON5111113041")</f>
        <v>#NAME?</v>
      </c>
      <c r="G2411" s="4" t="e">
        <f ca="1">[1]!BexGetData("DP_1","003N8EMH8GTFRCSWKMPXRRXR2","GSON5111113041")</f>
        <v>#NAME?</v>
      </c>
      <c r="H2411" s="4" t="e">
        <f ca="1">[1]!BexGetData("DP_1","003N8EMH8GTFRCSWKMPXRS42M","GSON5111113041")</f>
        <v>#NAME?</v>
      </c>
      <c r="I2411" s="4" t="e">
        <f ca="1">[1]!BexGetData("DP_1","003N8EMH8GTFRCSWKMPXRSAE6","GSON5111113041")</f>
        <v>#NAME?</v>
      </c>
      <c r="J2411" s="4" t="e">
        <f ca="1">[1]!BexGetData("DP_1","003N8EMH8GTFRCSWKMPXRSGPQ","GSON5111113041")</f>
        <v>#NAME?</v>
      </c>
      <c r="K2411" s="3" t="e">
        <f ca="1">[1]!BexGetData("DP_1","003N8EMH8GTFRIVNUPY288VJH","GSON5111113041")</f>
        <v>#NAME?</v>
      </c>
      <c r="L2411" s="3" t="e">
        <f ca="1">[1]!BexGetData("DP_1","003N8EMH8GTFRIVNUPY2891V1","GSON5111113041")</f>
        <v>#NAME?</v>
      </c>
      <c r="M2411" s="8" t="e">
        <f ca="1">[1]!BexGetData("DP_1","003N8EMH8GTFRIVOG7KG9IQXA","GSON5111113041")</f>
        <v>#NAME?</v>
      </c>
      <c r="N2411" s="3" t="e">
        <f ca="1">[1]!BexGetData("DP_1","003N8EMH8GTFRIVOG7KG9IX8U","GSON5111113041")</f>
        <v>#NAME?</v>
      </c>
      <c r="O2411" s="8" t="e">
        <f ca="1">[1]!BexGetData("DP_1","003N8EMH8GTFRIVOG7KG9J3KE","GSON5111113041")</f>
        <v>#NAME?</v>
      </c>
      <c r="P2411" s="3" t="e">
        <f ca="1">[1]!BexGetData("DP_1","003N8EMH8GTFRIVOG7KG9J9VY","GSON5111113041")</f>
        <v>#NAME?</v>
      </c>
      <c r="Q2411" s="4" t="e">
        <f ca="1">[1]!BexGetData("DP_1","00O2TNJGODT0G5Z4TTKYMM5MT","GSON5111113041")</f>
        <v>#NAME?</v>
      </c>
      <c r="R2411" s="4" t="e">
        <f ca="1">[1]!BexGetData("DP_1","00O2TNJGODT0G5Z4TTKYMMBYD","GSON5111113041")</f>
        <v>#NAME?</v>
      </c>
      <c r="S2411" s="4" t="e">
        <f ca="1">[1]!BexGetData("DP_1","00O2TNJGODT0G5Z4TTKYMMI9X","GSON5111113041")</f>
        <v>#NAME?</v>
      </c>
      <c r="T2411" s="4" t="e">
        <f ca="1">[1]!BexGetData("DP_1","00O2TNJGODT0G5Z4TTKYMMOLH","GSON5111113041")</f>
        <v>#NAME?</v>
      </c>
      <c r="U2411" s="4" t="e">
        <f ca="1">[1]!BexGetData("DP_1","00O2TNJGODT0G5Z4TTKYMMUX1","GSON5111113041")</f>
        <v>#NAME?</v>
      </c>
      <c r="V2411" s="4" t="e">
        <f ca="1">[1]!BexGetData("DP_1","00O2TNJGODT0G5Z4TTKYMN18L","GSON5111113041")</f>
        <v>#NAME?</v>
      </c>
      <c r="W2411" s="4" t="e">
        <f ca="1">[1]!BexGetData("DP_1","00O2TNJGODT0G5Z4TTKYMN7K5","GSON5111113041")</f>
        <v>#NAME?</v>
      </c>
    </row>
    <row r="2412" spans="1:23" x14ac:dyDescent="0.2">
      <c r="A2412" s="16" t="s">
        <v>5036</v>
      </c>
      <c r="B2412" s="7" t="s">
        <v>5037</v>
      </c>
      <c r="C2412" s="3" t="e">
        <f ca="1">[1]!BexGetData("DP_1","003N8EMH8GTFRCSWKMPXRR8GU","GSON5111113051")</f>
        <v>#NAME?</v>
      </c>
      <c r="D2412" s="8" t="e">
        <f ca="1">[1]!BexGetData("DP_1","003N8EMH8GTFRCSWKMPXRRESE","GSON5111113051")</f>
        <v>#NAME?</v>
      </c>
      <c r="E2412" s="3" t="e">
        <f ca="1">[1]!BexGetData("DP_1","003N8EMH8GTFRCSWKMPXRRL3Y","GSON5111113051")</f>
        <v>#NAME?</v>
      </c>
      <c r="F2412" s="4" t="e">
        <f ca="1">[1]!BexGetData("DP_1","003N8EMH8GTFRCSWKMPXRRRFI","GSON5111113051")</f>
        <v>#NAME?</v>
      </c>
      <c r="G2412" s="4" t="e">
        <f ca="1">[1]!BexGetData("DP_1","003N8EMH8GTFRCSWKMPXRRXR2","GSON5111113051")</f>
        <v>#NAME?</v>
      </c>
      <c r="H2412" s="4" t="e">
        <f ca="1">[1]!BexGetData("DP_1","003N8EMH8GTFRCSWKMPXRS42M","GSON5111113051")</f>
        <v>#NAME?</v>
      </c>
      <c r="I2412" s="4" t="e">
        <f ca="1">[1]!BexGetData("DP_1","003N8EMH8GTFRCSWKMPXRSAE6","GSON5111113051")</f>
        <v>#NAME?</v>
      </c>
      <c r="J2412" s="4" t="e">
        <f ca="1">[1]!BexGetData("DP_1","003N8EMH8GTFRCSWKMPXRSGPQ","GSON5111113051")</f>
        <v>#NAME?</v>
      </c>
      <c r="K2412" s="3" t="e">
        <f ca="1">[1]!BexGetData("DP_1","003N8EMH8GTFRIVNUPY288VJH","GSON5111113051")</f>
        <v>#NAME?</v>
      </c>
      <c r="L2412" s="3" t="e">
        <f ca="1">[1]!BexGetData("DP_1","003N8EMH8GTFRIVNUPY2891V1","GSON5111113051")</f>
        <v>#NAME?</v>
      </c>
      <c r="M2412" s="8" t="e">
        <f ca="1">[1]!BexGetData("DP_1","003N8EMH8GTFRIVOG7KG9IQXA","GSON5111113051")</f>
        <v>#NAME?</v>
      </c>
      <c r="N2412" s="3" t="e">
        <f ca="1">[1]!BexGetData("DP_1","003N8EMH8GTFRIVOG7KG9IX8U","GSON5111113051")</f>
        <v>#NAME?</v>
      </c>
      <c r="O2412" s="8" t="e">
        <f ca="1">[1]!BexGetData("DP_1","003N8EMH8GTFRIVOG7KG9J3KE","GSON5111113051")</f>
        <v>#NAME?</v>
      </c>
      <c r="P2412" s="3" t="e">
        <f ca="1">[1]!BexGetData("DP_1","003N8EMH8GTFRIVOG7KG9J9VY","GSON5111113051")</f>
        <v>#NAME?</v>
      </c>
      <c r="Q2412" s="4" t="e">
        <f ca="1">[1]!BexGetData("DP_1","00O2TNJGODT0G5Z4TTKYMM5MT","GSON5111113051")</f>
        <v>#NAME?</v>
      </c>
      <c r="R2412" s="4" t="e">
        <f ca="1">[1]!BexGetData("DP_1","00O2TNJGODT0G5Z4TTKYMMBYD","GSON5111113051")</f>
        <v>#NAME?</v>
      </c>
      <c r="S2412" s="4" t="e">
        <f ca="1">[1]!BexGetData("DP_1","00O2TNJGODT0G5Z4TTKYMMI9X","GSON5111113051")</f>
        <v>#NAME?</v>
      </c>
      <c r="T2412" s="4" t="e">
        <f ca="1">[1]!BexGetData("DP_1","00O2TNJGODT0G5Z4TTKYMMOLH","GSON5111113051")</f>
        <v>#NAME?</v>
      </c>
      <c r="U2412" s="4" t="e">
        <f ca="1">[1]!BexGetData("DP_1","00O2TNJGODT0G5Z4TTKYMMUX1","GSON5111113051")</f>
        <v>#NAME?</v>
      </c>
      <c r="V2412" s="4" t="e">
        <f ca="1">[1]!BexGetData("DP_1","00O2TNJGODT0G5Z4TTKYMN18L","GSON5111113051")</f>
        <v>#NAME?</v>
      </c>
      <c r="W2412" s="4" t="e">
        <f ca="1">[1]!BexGetData("DP_1","00O2TNJGODT0G5Z4TTKYMN7K5","GSON5111113051")</f>
        <v>#NAME?</v>
      </c>
    </row>
    <row r="2413" spans="1:23" x14ac:dyDescent="0.2">
      <c r="A2413" s="16" t="s">
        <v>5038</v>
      </c>
      <c r="B2413" s="7" t="s">
        <v>5039</v>
      </c>
      <c r="C2413" s="3" t="e">
        <f ca="1">[1]!BexGetData("DP_1","003N8EMH8GTFRCSWKMPXRR8GU","GSON5111113061")</f>
        <v>#NAME?</v>
      </c>
      <c r="D2413" s="3" t="e">
        <f ca="1">[1]!BexGetData("DP_1","003N8EMH8GTFRCSWKMPXRRESE","GSON5111113061")</f>
        <v>#NAME?</v>
      </c>
      <c r="E2413" s="3" t="e">
        <f ca="1">[1]!BexGetData("DP_1","003N8EMH8GTFRCSWKMPXRRL3Y","GSON5111113061")</f>
        <v>#NAME?</v>
      </c>
      <c r="F2413" s="4" t="e">
        <f ca="1">[1]!BexGetData("DP_1","003N8EMH8GTFRCSWKMPXRRRFI","GSON5111113061")</f>
        <v>#NAME?</v>
      </c>
      <c r="G2413" s="4" t="e">
        <f ca="1">[1]!BexGetData("DP_1","003N8EMH8GTFRCSWKMPXRRXR2","GSON5111113061")</f>
        <v>#NAME?</v>
      </c>
      <c r="H2413" s="4" t="e">
        <f ca="1">[1]!BexGetData("DP_1","003N8EMH8GTFRCSWKMPXRS42M","GSON5111113061")</f>
        <v>#NAME?</v>
      </c>
      <c r="I2413" s="4" t="e">
        <f ca="1">[1]!BexGetData("DP_1","003N8EMH8GTFRCSWKMPXRSAE6","GSON5111113061")</f>
        <v>#NAME?</v>
      </c>
      <c r="J2413" s="4" t="e">
        <f ca="1">[1]!BexGetData("DP_1","003N8EMH8GTFRCSWKMPXRSGPQ","GSON5111113061")</f>
        <v>#NAME?</v>
      </c>
      <c r="K2413" s="3" t="e">
        <f ca="1">[1]!BexGetData("DP_1","003N8EMH8GTFRIVNUPY288VJH","GSON5111113061")</f>
        <v>#NAME?</v>
      </c>
      <c r="L2413" s="3" t="e">
        <f ca="1">[1]!BexGetData("DP_1","003N8EMH8GTFRIVNUPY2891V1","GSON5111113061")</f>
        <v>#NAME?</v>
      </c>
      <c r="M2413" s="8" t="e">
        <f ca="1">[1]!BexGetData("DP_1","003N8EMH8GTFRIVOG7KG9IQXA","GSON5111113061")</f>
        <v>#NAME?</v>
      </c>
      <c r="N2413" s="3" t="e">
        <f ca="1">[1]!BexGetData("DP_1","003N8EMH8GTFRIVOG7KG9IX8U","GSON5111113061")</f>
        <v>#NAME?</v>
      </c>
      <c r="O2413" s="8" t="e">
        <f ca="1">[1]!BexGetData("DP_1","003N8EMH8GTFRIVOG7KG9J3KE","GSON5111113061")</f>
        <v>#NAME?</v>
      </c>
      <c r="P2413" s="3" t="e">
        <f ca="1">[1]!BexGetData("DP_1","003N8EMH8GTFRIVOG7KG9J9VY","GSON5111113061")</f>
        <v>#NAME?</v>
      </c>
      <c r="Q2413" s="4" t="e">
        <f ca="1">[1]!BexGetData("DP_1","00O2TNJGODT0G5Z4TTKYMM5MT","GSON5111113061")</f>
        <v>#NAME?</v>
      </c>
      <c r="R2413" s="4" t="e">
        <f ca="1">[1]!BexGetData("DP_1","00O2TNJGODT0G5Z4TTKYMMBYD","GSON5111113061")</f>
        <v>#NAME?</v>
      </c>
      <c r="S2413" s="4" t="e">
        <f ca="1">[1]!BexGetData("DP_1","00O2TNJGODT0G5Z4TTKYMMI9X","GSON5111113061")</f>
        <v>#NAME?</v>
      </c>
      <c r="T2413" s="4" t="e">
        <f ca="1">[1]!BexGetData("DP_1","00O2TNJGODT0G5Z4TTKYMMOLH","GSON5111113061")</f>
        <v>#NAME?</v>
      </c>
      <c r="U2413" s="4" t="e">
        <f ca="1">[1]!BexGetData("DP_1","00O2TNJGODT0G5Z4TTKYMMUX1","GSON5111113061")</f>
        <v>#NAME?</v>
      </c>
      <c r="V2413" s="4" t="e">
        <f ca="1">[1]!BexGetData("DP_1","00O2TNJGODT0G5Z4TTKYMN18L","GSON5111113061")</f>
        <v>#NAME?</v>
      </c>
      <c r="W2413" s="4" t="e">
        <f ca="1">[1]!BexGetData("DP_1","00O2TNJGODT0G5Z4TTKYMN7K5","GSON5111113061")</f>
        <v>#NAME?</v>
      </c>
    </row>
    <row r="2414" spans="1:23" x14ac:dyDescent="0.2">
      <c r="A2414" s="16" t="s">
        <v>5040</v>
      </c>
      <c r="B2414" s="7" t="s">
        <v>1544</v>
      </c>
      <c r="C2414" s="3" t="e">
        <f ca="1">[1]!BexGetData("DP_1","003N8EMH8GTFRCSWKMPXRR8GU","GSON5111113062")</f>
        <v>#NAME?</v>
      </c>
      <c r="D2414" s="3" t="e">
        <f ca="1">[1]!BexGetData("DP_1","003N8EMH8GTFRCSWKMPXRRESE","GSON5111113062")</f>
        <v>#NAME?</v>
      </c>
      <c r="E2414" s="8" t="e">
        <f ca="1">[1]!BexGetData("DP_1","003N8EMH8GTFRCSWKMPXRRL3Y","GSON5111113062")</f>
        <v>#NAME?</v>
      </c>
      <c r="F2414" s="4" t="e">
        <f ca="1">[1]!BexGetData("DP_1","003N8EMH8GTFRCSWKMPXRRRFI","GSON5111113062")</f>
        <v>#NAME?</v>
      </c>
      <c r="G2414" s="4" t="e">
        <f ca="1">[1]!BexGetData("DP_1","003N8EMH8GTFRCSWKMPXRRXR2","GSON5111113062")</f>
        <v>#NAME?</v>
      </c>
      <c r="H2414" s="4" t="e">
        <f ca="1">[1]!BexGetData("DP_1","003N8EMH8GTFRCSWKMPXRS42M","GSON5111113062")</f>
        <v>#NAME?</v>
      </c>
      <c r="I2414" s="4" t="e">
        <f ca="1">[1]!BexGetData("DP_1","003N8EMH8GTFRCSWKMPXRSAE6","GSON5111113062")</f>
        <v>#NAME?</v>
      </c>
      <c r="J2414" s="4" t="e">
        <f ca="1">[1]!BexGetData("DP_1","003N8EMH8GTFRCSWKMPXRSGPQ","GSON5111113062")</f>
        <v>#NAME?</v>
      </c>
      <c r="K2414" s="8" t="e">
        <f ca="1">[1]!BexGetData("DP_1","003N8EMH8GTFRIVNUPY288VJH","GSON5111113062")</f>
        <v>#NAME?</v>
      </c>
      <c r="L2414" s="8" t="e">
        <f ca="1">[1]!BexGetData("DP_1","003N8EMH8GTFRIVNUPY2891V1","GSON5111113062")</f>
        <v>#NAME?</v>
      </c>
      <c r="M2414" s="8" t="e">
        <f ca="1">[1]!BexGetData("DP_1","003N8EMH8GTFRIVOG7KG9IQXA","GSON5111113062")</f>
        <v>#NAME?</v>
      </c>
      <c r="N2414" s="8" t="e">
        <f ca="1">[1]!BexGetData("DP_1","003N8EMH8GTFRIVOG7KG9IX8U","GSON5111113062")</f>
        <v>#NAME?</v>
      </c>
      <c r="O2414" s="8" t="e">
        <f ca="1">[1]!BexGetData("DP_1","003N8EMH8GTFRIVOG7KG9J3KE","GSON5111113062")</f>
        <v>#NAME?</v>
      </c>
      <c r="P2414" s="8" t="e">
        <f ca="1">[1]!BexGetData("DP_1","003N8EMH8GTFRIVOG7KG9J9VY","GSON5111113062")</f>
        <v>#NAME?</v>
      </c>
      <c r="Q2414" s="4" t="e">
        <f ca="1">[1]!BexGetData("DP_1","00O2TNJGODT0G5Z4TTKYMM5MT","GSON5111113062")</f>
        <v>#NAME?</v>
      </c>
      <c r="R2414" s="4" t="e">
        <f ca="1">[1]!BexGetData("DP_1","00O2TNJGODT0G5Z4TTKYMMBYD","GSON5111113062")</f>
        <v>#NAME?</v>
      </c>
      <c r="S2414" s="4" t="e">
        <f ca="1">[1]!BexGetData("DP_1","00O2TNJGODT0G5Z4TTKYMMI9X","GSON5111113062")</f>
        <v>#NAME?</v>
      </c>
      <c r="T2414" s="4" t="e">
        <f ca="1">[1]!BexGetData("DP_1","00O2TNJGODT0G5Z4TTKYMMOLH","GSON5111113062")</f>
        <v>#NAME?</v>
      </c>
      <c r="U2414" s="4" t="e">
        <f ca="1">[1]!BexGetData("DP_1","00O2TNJGODT0G5Z4TTKYMMUX1","GSON5111113062")</f>
        <v>#NAME?</v>
      </c>
      <c r="V2414" s="4" t="e">
        <f ca="1">[1]!BexGetData("DP_1","00O2TNJGODT0G5Z4TTKYMN18L","GSON5111113062")</f>
        <v>#NAME?</v>
      </c>
      <c r="W2414" s="4" t="e">
        <f ca="1">[1]!BexGetData("DP_1","00O2TNJGODT0G5Z4TTKYMN7K5","GSON5111113062")</f>
        <v>#NAME?</v>
      </c>
    </row>
    <row r="2415" spans="1:23" x14ac:dyDescent="0.2">
      <c r="A2415" s="16" t="s">
        <v>5041</v>
      </c>
      <c r="B2415" s="7" t="s">
        <v>1545</v>
      </c>
      <c r="C2415" s="3" t="e">
        <f ca="1">[1]!BexGetData("DP_1","003N8EMH8GTFRCSWKMPXRR8GU","GSON5111113071")</f>
        <v>#NAME?</v>
      </c>
      <c r="D2415" s="3" t="e">
        <f ca="1">[1]!BexGetData("DP_1","003N8EMH8GTFRCSWKMPXRRESE","GSON5111113071")</f>
        <v>#NAME?</v>
      </c>
      <c r="E2415" s="3" t="e">
        <f ca="1">[1]!BexGetData("DP_1","003N8EMH8GTFRCSWKMPXRRL3Y","GSON5111113071")</f>
        <v>#NAME?</v>
      </c>
      <c r="F2415" s="4" t="e">
        <f ca="1">[1]!BexGetData("DP_1","003N8EMH8GTFRCSWKMPXRRRFI","GSON5111113071")</f>
        <v>#NAME?</v>
      </c>
      <c r="G2415" s="4" t="e">
        <f ca="1">[1]!BexGetData("DP_1","003N8EMH8GTFRCSWKMPXRRXR2","GSON5111113071")</f>
        <v>#NAME?</v>
      </c>
      <c r="H2415" s="4" t="e">
        <f ca="1">[1]!BexGetData("DP_1","003N8EMH8GTFRCSWKMPXRS42M","GSON5111113071")</f>
        <v>#NAME?</v>
      </c>
      <c r="I2415" s="4" t="e">
        <f ca="1">[1]!BexGetData("DP_1","003N8EMH8GTFRCSWKMPXRSAE6","GSON5111113071")</f>
        <v>#NAME?</v>
      </c>
      <c r="J2415" s="4" t="e">
        <f ca="1">[1]!BexGetData("DP_1","003N8EMH8GTFRCSWKMPXRSGPQ","GSON5111113071")</f>
        <v>#NAME?</v>
      </c>
      <c r="K2415" s="3" t="e">
        <f ca="1">[1]!BexGetData("DP_1","003N8EMH8GTFRIVNUPY288VJH","GSON5111113071")</f>
        <v>#NAME?</v>
      </c>
      <c r="L2415" s="3" t="e">
        <f ca="1">[1]!BexGetData("DP_1","003N8EMH8GTFRIVNUPY2891V1","GSON5111113071")</f>
        <v>#NAME?</v>
      </c>
      <c r="M2415" s="8" t="e">
        <f ca="1">[1]!BexGetData("DP_1","003N8EMH8GTFRIVOG7KG9IQXA","GSON5111113071")</f>
        <v>#NAME?</v>
      </c>
      <c r="N2415" s="3" t="e">
        <f ca="1">[1]!BexGetData("DP_1","003N8EMH8GTFRIVOG7KG9IX8U","GSON5111113071")</f>
        <v>#NAME?</v>
      </c>
      <c r="O2415" s="8" t="e">
        <f ca="1">[1]!BexGetData("DP_1","003N8EMH8GTFRIVOG7KG9J3KE","GSON5111113071")</f>
        <v>#NAME?</v>
      </c>
      <c r="P2415" s="3" t="e">
        <f ca="1">[1]!BexGetData("DP_1","003N8EMH8GTFRIVOG7KG9J9VY","GSON5111113071")</f>
        <v>#NAME?</v>
      </c>
      <c r="Q2415" s="4" t="e">
        <f ca="1">[1]!BexGetData("DP_1","00O2TNJGODT0G5Z4TTKYMM5MT","GSON5111113071")</f>
        <v>#NAME?</v>
      </c>
      <c r="R2415" s="4" t="e">
        <f ca="1">[1]!BexGetData("DP_1","00O2TNJGODT0G5Z4TTKYMMBYD","GSON5111113071")</f>
        <v>#NAME?</v>
      </c>
      <c r="S2415" s="4" t="e">
        <f ca="1">[1]!BexGetData("DP_1","00O2TNJGODT0G5Z4TTKYMMI9X","GSON5111113071")</f>
        <v>#NAME?</v>
      </c>
      <c r="T2415" s="4" t="e">
        <f ca="1">[1]!BexGetData("DP_1","00O2TNJGODT0G5Z4TTKYMMOLH","GSON5111113071")</f>
        <v>#NAME?</v>
      </c>
      <c r="U2415" s="4" t="e">
        <f ca="1">[1]!BexGetData("DP_1","00O2TNJGODT0G5Z4TTKYMMUX1","GSON5111113071")</f>
        <v>#NAME?</v>
      </c>
      <c r="V2415" s="4" t="e">
        <f ca="1">[1]!BexGetData("DP_1","00O2TNJGODT0G5Z4TTKYMN18L","GSON5111113071")</f>
        <v>#NAME?</v>
      </c>
      <c r="W2415" s="4" t="e">
        <f ca="1">[1]!BexGetData("DP_1","00O2TNJGODT0G5Z4TTKYMN7K5","GSON5111113071")</f>
        <v>#NAME?</v>
      </c>
    </row>
    <row r="2416" spans="1:23" x14ac:dyDescent="0.2">
      <c r="A2416" s="16" t="s">
        <v>5042</v>
      </c>
      <c r="B2416" s="7" t="s">
        <v>5043</v>
      </c>
      <c r="C2416" s="3" t="e">
        <f ca="1">[1]!BexGetData("DP_1","003N8EMH8GTFRCSWKMPXRR8GU","GSON5111113101")</f>
        <v>#NAME?</v>
      </c>
      <c r="D2416" s="3" t="e">
        <f ca="1">[1]!BexGetData("DP_1","003N8EMH8GTFRCSWKMPXRRESE","GSON5111113101")</f>
        <v>#NAME?</v>
      </c>
      <c r="E2416" s="3" t="e">
        <f ca="1">[1]!BexGetData("DP_1","003N8EMH8GTFRCSWKMPXRRL3Y","GSON5111113101")</f>
        <v>#NAME?</v>
      </c>
      <c r="F2416" s="4" t="e">
        <f ca="1">[1]!BexGetData("DP_1","003N8EMH8GTFRCSWKMPXRRRFI","GSON5111113101")</f>
        <v>#NAME?</v>
      </c>
      <c r="G2416" s="4" t="e">
        <f ca="1">[1]!BexGetData("DP_1","003N8EMH8GTFRCSWKMPXRRXR2","GSON5111113101")</f>
        <v>#NAME?</v>
      </c>
      <c r="H2416" s="4" t="e">
        <f ca="1">[1]!BexGetData("DP_1","003N8EMH8GTFRCSWKMPXRS42M","GSON5111113101")</f>
        <v>#NAME?</v>
      </c>
      <c r="I2416" s="4" t="e">
        <f ca="1">[1]!BexGetData("DP_1","003N8EMH8GTFRCSWKMPXRSAE6","GSON5111113101")</f>
        <v>#NAME?</v>
      </c>
      <c r="J2416" s="4" t="e">
        <f ca="1">[1]!BexGetData("DP_1","003N8EMH8GTFRCSWKMPXRSGPQ","GSON5111113101")</f>
        <v>#NAME?</v>
      </c>
      <c r="K2416" s="3" t="e">
        <f ca="1">[1]!BexGetData("DP_1","003N8EMH8GTFRIVNUPY288VJH","GSON5111113101")</f>
        <v>#NAME?</v>
      </c>
      <c r="L2416" s="3" t="e">
        <f ca="1">[1]!BexGetData("DP_1","003N8EMH8GTFRIVNUPY2891V1","GSON5111113101")</f>
        <v>#NAME?</v>
      </c>
      <c r="M2416" s="8" t="e">
        <f ca="1">[1]!BexGetData("DP_1","003N8EMH8GTFRIVOG7KG9IQXA","GSON5111113101")</f>
        <v>#NAME?</v>
      </c>
      <c r="N2416" s="3" t="e">
        <f ca="1">[1]!BexGetData("DP_1","003N8EMH8GTFRIVOG7KG9IX8U","GSON5111113101")</f>
        <v>#NAME?</v>
      </c>
      <c r="O2416" s="8" t="e">
        <f ca="1">[1]!BexGetData("DP_1","003N8EMH8GTFRIVOG7KG9J3KE","GSON5111113101")</f>
        <v>#NAME?</v>
      </c>
      <c r="P2416" s="3" t="e">
        <f ca="1">[1]!BexGetData("DP_1","003N8EMH8GTFRIVOG7KG9J9VY","GSON5111113101")</f>
        <v>#NAME?</v>
      </c>
      <c r="Q2416" s="4" t="e">
        <f ca="1">[1]!BexGetData("DP_1","00O2TNJGODT0G5Z4TTKYMM5MT","GSON5111113101")</f>
        <v>#NAME?</v>
      </c>
      <c r="R2416" s="4" t="e">
        <f ca="1">[1]!BexGetData("DP_1","00O2TNJGODT0G5Z4TTKYMMBYD","GSON5111113101")</f>
        <v>#NAME?</v>
      </c>
      <c r="S2416" s="4" t="e">
        <f ca="1">[1]!BexGetData("DP_1","00O2TNJGODT0G5Z4TTKYMMI9X","GSON5111113101")</f>
        <v>#NAME?</v>
      </c>
      <c r="T2416" s="4" t="e">
        <f ca="1">[1]!BexGetData("DP_1","00O2TNJGODT0G5Z4TTKYMMOLH","GSON5111113101")</f>
        <v>#NAME?</v>
      </c>
      <c r="U2416" s="4" t="e">
        <f ca="1">[1]!BexGetData("DP_1","00O2TNJGODT0G5Z4TTKYMMUX1","GSON5111113101")</f>
        <v>#NAME?</v>
      </c>
      <c r="V2416" s="4" t="e">
        <f ca="1">[1]!BexGetData("DP_1","00O2TNJGODT0G5Z4TTKYMN18L","GSON5111113101")</f>
        <v>#NAME?</v>
      </c>
      <c r="W2416" s="4" t="e">
        <f ca="1">[1]!BexGetData("DP_1","00O2TNJGODT0G5Z4TTKYMN7K5","GSON5111113101")</f>
        <v>#NAME?</v>
      </c>
    </row>
    <row r="2417" spans="1:23" x14ac:dyDescent="0.2">
      <c r="A2417" s="16" t="s">
        <v>5044</v>
      </c>
      <c r="B2417" s="7" t="s">
        <v>1546</v>
      </c>
      <c r="C2417" s="3" t="e">
        <f ca="1">[1]!BexGetData("DP_1","003N8EMH8GTFRCSWKMPXRR8GU","GSON5111113131")</f>
        <v>#NAME?</v>
      </c>
      <c r="D2417" s="3" t="e">
        <f ca="1">[1]!BexGetData("DP_1","003N8EMH8GTFRCSWKMPXRRESE","GSON5111113131")</f>
        <v>#NAME?</v>
      </c>
      <c r="E2417" s="3" t="e">
        <f ca="1">[1]!BexGetData("DP_1","003N8EMH8GTFRCSWKMPXRRL3Y","GSON5111113131")</f>
        <v>#NAME?</v>
      </c>
      <c r="F2417" s="4" t="e">
        <f ca="1">[1]!BexGetData("DP_1","003N8EMH8GTFRCSWKMPXRRRFI","GSON5111113131")</f>
        <v>#NAME?</v>
      </c>
      <c r="G2417" s="4" t="e">
        <f ca="1">[1]!BexGetData("DP_1","003N8EMH8GTFRCSWKMPXRRXR2","GSON5111113131")</f>
        <v>#NAME?</v>
      </c>
      <c r="H2417" s="4" t="e">
        <f ca="1">[1]!BexGetData("DP_1","003N8EMH8GTFRCSWKMPXRS42M","GSON5111113131")</f>
        <v>#NAME?</v>
      </c>
      <c r="I2417" s="4" t="e">
        <f ca="1">[1]!BexGetData("DP_1","003N8EMH8GTFRCSWKMPXRSAE6","GSON5111113131")</f>
        <v>#NAME?</v>
      </c>
      <c r="J2417" s="4" t="e">
        <f ca="1">[1]!BexGetData("DP_1","003N8EMH8GTFRCSWKMPXRSGPQ","GSON5111113131")</f>
        <v>#NAME?</v>
      </c>
      <c r="K2417" s="3" t="e">
        <f ca="1">[1]!BexGetData("DP_1","003N8EMH8GTFRIVNUPY288VJH","GSON5111113131")</f>
        <v>#NAME?</v>
      </c>
      <c r="L2417" s="3" t="e">
        <f ca="1">[1]!BexGetData("DP_1","003N8EMH8GTFRIVNUPY2891V1","GSON5111113131")</f>
        <v>#NAME?</v>
      </c>
      <c r="M2417" s="8" t="e">
        <f ca="1">[1]!BexGetData("DP_1","003N8EMH8GTFRIVOG7KG9IQXA","GSON5111113131")</f>
        <v>#NAME?</v>
      </c>
      <c r="N2417" s="3" t="e">
        <f ca="1">[1]!BexGetData("DP_1","003N8EMH8GTFRIVOG7KG9IX8U","GSON5111113131")</f>
        <v>#NAME?</v>
      </c>
      <c r="O2417" s="8" t="e">
        <f ca="1">[1]!BexGetData("DP_1","003N8EMH8GTFRIVOG7KG9J3KE","GSON5111113131")</f>
        <v>#NAME?</v>
      </c>
      <c r="P2417" s="3" t="e">
        <f ca="1">[1]!BexGetData("DP_1","003N8EMH8GTFRIVOG7KG9J9VY","GSON5111113131")</f>
        <v>#NAME?</v>
      </c>
      <c r="Q2417" s="4" t="e">
        <f ca="1">[1]!BexGetData("DP_1","00O2TNJGODT0G5Z4TTKYMM5MT","GSON5111113131")</f>
        <v>#NAME?</v>
      </c>
      <c r="R2417" s="4" t="e">
        <f ca="1">[1]!BexGetData("DP_1","00O2TNJGODT0G5Z4TTKYMMBYD","GSON5111113131")</f>
        <v>#NAME?</v>
      </c>
      <c r="S2417" s="4" t="e">
        <f ca="1">[1]!BexGetData("DP_1","00O2TNJGODT0G5Z4TTKYMMI9X","GSON5111113131")</f>
        <v>#NAME?</v>
      </c>
      <c r="T2417" s="4" t="e">
        <f ca="1">[1]!BexGetData("DP_1","00O2TNJGODT0G5Z4TTKYMMOLH","GSON5111113131")</f>
        <v>#NAME?</v>
      </c>
      <c r="U2417" s="4" t="e">
        <f ca="1">[1]!BexGetData("DP_1","00O2TNJGODT0G5Z4TTKYMMUX1","GSON5111113131")</f>
        <v>#NAME?</v>
      </c>
      <c r="V2417" s="4" t="e">
        <f ca="1">[1]!BexGetData("DP_1","00O2TNJGODT0G5Z4TTKYMN18L","GSON5111113131")</f>
        <v>#NAME?</v>
      </c>
      <c r="W2417" s="4" t="e">
        <f ca="1">[1]!BexGetData("DP_1","00O2TNJGODT0G5Z4TTKYMN7K5","GSON5111113131")</f>
        <v>#NAME?</v>
      </c>
    </row>
    <row r="2418" spans="1:23" x14ac:dyDescent="0.2">
      <c r="A2418" s="15" t="s">
        <v>584</v>
      </c>
      <c r="B2418" s="7" t="s">
        <v>585</v>
      </c>
      <c r="C2418" s="3" t="e">
        <f ca="1">[1]!BexGetData("DP_1","003N8EMH8GTFRCSWKMPXRR8GU","GSON5112")</f>
        <v>#NAME?</v>
      </c>
      <c r="D2418" s="3" t="e">
        <f ca="1">[1]!BexGetData("DP_1","003N8EMH8GTFRCSWKMPXRRESE","GSON5112")</f>
        <v>#NAME?</v>
      </c>
      <c r="E2418" s="3" t="e">
        <f ca="1">[1]!BexGetData("DP_1","003N8EMH8GTFRCSWKMPXRRL3Y","GSON5112")</f>
        <v>#NAME?</v>
      </c>
      <c r="F2418" s="4" t="e">
        <f ca="1">[1]!BexGetData("DP_1","003N8EMH8GTFRCSWKMPXRRRFI","GSON5112")</f>
        <v>#NAME?</v>
      </c>
      <c r="G2418" s="4" t="e">
        <f ca="1">[1]!BexGetData("DP_1","003N8EMH8GTFRCSWKMPXRRXR2","GSON5112")</f>
        <v>#NAME?</v>
      </c>
      <c r="H2418" s="4" t="e">
        <f ca="1">[1]!BexGetData("DP_1","003N8EMH8GTFRCSWKMPXRS42M","GSON5112")</f>
        <v>#NAME?</v>
      </c>
      <c r="I2418" s="4" t="e">
        <f ca="1">[1]!BexGetData("DP_1","003N8EMH8GTFRCSWKMPXRSAE6","GSON5112")</f>
        <v>#NAME?</v>
      </c>
      <c r="J2418" s="4" t="e">
        <f ca="1">[1]!BexGetData("DP_1","003N8EMH8GTFRCSWKMPXRSGPQ","GSON5112")</f>
        <v>#NAME?</v>
      </c>
      <c r="K2418" s="3" t="e">
        <f ca="1">[1]!BexGetData("DP_1","003N8EMH8GTFRIVNUPY288VJH","GSON5112")</f>
        <v>#NAME?</v>
      </c>
      <c r="L2418" s="3" t="e">
        <f ca="1">[1]!BexGetData("DP_1","003N8EMH8GTFRIVNUPY2891V1","GSON5112")</f>
        <v>#NAME?</v>
      </c>
      <c r="M2418" s="8" t="e">
        <f ca="1">[1]!BexGetData("DP_1","003N8EMH8GTFRIVOG7KG9IQXA","GSON5112")</f>
        <v>#NAME?</v>
      </c>
      <c r="N2418" s="3" t="e">
        <f ca="1">[1]!BexGetData("DP_1","003N8EMH8GTFRIVOG7KG9IX8U","GSON5112")</f>
        <v>#NAME?</v>
      </c>
      <c r="O2418" s="8" t="e">
        <f ca="1">[1]!BexGetData("DP_1","003N8EMH8GTFRIVOG7KG9J3KE","GSON5112")</f>
        <v>#NAME?</v>
      </c>
      <c r="P2418" s="3" t="e">
        <f ca="1">[1]!BexGetData("DP_1","003N8EMH8GTFRIVOG7KG9J9VY","GSON5112")</f>
        <v>#NAME?</v>
      </c>
      <c r="Q2418" s="4" t="e">
        <f ca="1">[1]!BexGetData("DP_1","00O2TNJGODT0G5Z4TTKYMM5MT","GSON5112")</f>
        <v>#NAME?</v>
      </c>
      <c r="R2418" s="4" t="e">
        <f ca="1">[1]!BexGetData("DP_1","00O2TNJGODT0G5Z4TTKYMMBYD","GSON5112")</f>
        <v>#NAME?</v>
      </c>
      <c r="S2418" s="4" t="e">
        <f ca="1">[1]!BexGetData("DP_1","00O2TNJGODT0G5Z4TTKYMMI9X","GSON5112")</f>
        <v>#NAME?</v>
      </c>
      <c r="T2418" s="4" t="e">
        <f ca="1">[1]!BexGetData("DP_1","00O2TNJGODT0G5Z4TTKYMMOLH","GSON5112")</f>
        <v>#NAME?</v>
      </c>
      <c r="U2418" s="4" t="e">
        <f ca="1">[1]!BexGetData("DP_1","00O2TNJGODT0G5Z4TTKYMMUX1","GSON5112")</f>
        <v>#NAME?</v>
      </c>
      <c r="V2418" s="4" t="e">
        <f ca="1">[1]!BexGetData("DP_1","00O2TNJGODT0G5Z4TTKYMN18L","GSON5112")</f>
        <v>#NAME?</v>
      </c>
      <c r="W2418" s="4" t="e">
        <f ca="1">[1]!BexGetData("DP_1","00O2TNJGODT0G5Z4TTKYMN7K5","GSON5112")</f>
        <v>#NAME?</v>
      </c>
    </row>
    <row r="2419" spans="1:23" x14ac:dyDescent="0.2">
      <c r="A2419" s="16" t="s">
        <v>586</v>
      </c>
      <c r="B2419" s="7" t="s">
        <v>587</v>
      </c>
      <c r="C2419" s="3" t="e">
        <f ca="1">[1]!BexGetData("DP_1","003N8EMH8GTFRCSWKMPXRR8GU","GSON5112121011")</f>
        <v>#NAME?</v>
      </c>
      <c r="D2419" s="3" t="e">
        <f ca="1">[1]!BexGetData("DP_1","003N8EMH8GTFRCSWKMPXRRESE","GSON5112121011")</f>
        <v>#NAME?</v>
      </c>
      <c r="E2419" s="3" t="e">
        <f ca="1">[1]!BexGetData("DP_1","003N8EMH8GTFRCSWKMPXRRL3Y","GSON5112121011")</f>
        <v>#NAME?</v>
      </c>
      <c r="F2419" s="4" t="e">
        <f ca="1">[1]!BexGetData("DP_1","003N8EMH8GTFRCSWKMPXRRRFI","GSON5112121011")</f>
        <v>#NAME?</v>
      </c>
      <c r="G2419" s="4" t="e">
        <f ca="1">[1]!BexGetData("DP_1","003N8EMH8GTFRCSWKMPXRRXR2","GSON5112121011")</f>
        <v>#NAME?</v>
      </c>
      <c r="H2419" s="4" t="e">
        <f ca="1">[1]!BexGetData("DP_1","003N8EMH8GTFRCSWKMPXRS42M","GSON5112121011")</f>
        <v>#NAME?</v>
      </c>
      <c r="I2419" s="4" t="e">
        <f ca="1">[1]!BexGetData("DP_1","003N8EMH8GTFRCSWKMPXRSAE6","GSON5112121011")</f>
        <v>#NAME?</v>
      </c>
      <c r="J2419" s="4" t="e">
        <f ca="1">[1]!BexGetData("DP_1","003N8EMH8GTFRCSWKMPXRSGPQ","GSON5112121011")</f>
        <v>#NAME?</v>
      </c>
      <c r="K2419" s="3" t="e">
        <f ca="1">[1]!BexGetData("DP_1","003N8EMH8GTFRIVNUPY288VJH","GSON5112121011")</f>
        <v>#NAME?</v>
      </c>
      <c r="L2419" s="3" t="e">
        <f ca="1">[1]!BexGetData("DP_1","003N8EMH8GTFRIVNUPY2891V1","GSON5112121011")</f>
        <v>#NAME?</v>
      </c>
      <c r="M2419" s="8" t="e">
        <f ca="1">[1]!BexGetData("DP_1","003N8EMH8GTFRIVOG7KG9IQXA","GSON5112121011")</f>
        <v>#NAME?</v>
      </c>
      <c r="N2419" s="3" t="e">
        <f ca="1">[1]!BexGetData("DP_1","003N8EMH8GTFRIVOG7KG9IX8U","GSON5112121011")</f>
        <v>#NAME?</v>
      </c>
      <c r="O2419" s="8" t="e">
        <f ca="1">[1]!BexGetData("DP_1","003N8EMH8GTFRIVOG7KG9J3KE","GSON5112121011")</f>
        <v>#NAME?</v>
      </c>
      <c r="P2419" s="3" t="e">
        <f ca="1">[1]!BexGetData("DP_1","003N8EMH8GTFRIVOG7KG9J9VY","GSON5112121011")</f>
        <v>#NAME?</v>
      </c>
      <c r="Q2419" s="4" t="e">
        <f ca="1">[1]!BexGetData("DP_1","00O2TNJGODT0G5Z4TTKYMM5MT","GSON5112121011")</f>
        <v>#NAME?</v>
      </c>
      <c r="R2419" s="4" t="e">
        <f ca="1">[1]!BexGetData("DP_1","00O2TNJGODT0G5Z4TTKYMMBYD","GSON5112121011")</f>
        <v>#NAME?</v>
      </c>
      <c r="S2419" s="4" t="e">
        <f ca="1">[1]!BexGetData("DP_1","00O2TNJGODT0G5Z4TTKYMMI9X","GSON5112121011")</f>
        <v>#NAME?</v>
      </c>
      <c r="T2419" s="4" t="e">
        <f ca="1">[1]!BexGetData("DP_1","00O2TNJGODT0G5Z4TTKYMMOLH","GSON5112121011")</f>
        <v>#NAME?</v>
      </c>
      <c r="U2419" s="4" t="e">
        <f ca="1">[1]!BexGetData("DP_1","00O2TNJGODT0G5Z4TTKYMMUX1","GSON5112121011")</f>
        <v>#NAME?</v>
      </c>
      <c r="V2419" s="4" t="e">
        <f ca="1">[1]!BexGetData("DP_1","00O2TNJGODT0G5Z4TTKYMN18L","GSON5112121011")</f>
        <v>#NAME?</v>
      </c>
      <c r="W2419" s="4" t="e">
        <f ca="1">[1]!BexGetData("DP_1","00O2TNJGODT0G5Z4TTKYMN7K5","GSON5112121011")</f>
        <v>#NAME?</v>
      </c>
    </row>
    <row r="2420" spans="1:23" x14ac:dyDescent="0.2">
      <c r="A2420" s="16" t="s">
        <v>5045</v>
      </c>
      <c r="B2420" s="7" t="s">
        <v>5046</v>
      </c>
      <c r="C2420" s="3" t="e">
        <f ca="1">[1]!BexGetData("DP_1","003N8EMH8GTFRCSWKMPXRR8GU","GSON5112121012")</f>
        <v>#NAME?</v>
      </c>
      <c r="D2420" s="3" t="e">
        <f ca="1">[1]!BexGetData("DP_1","003N8EMH8GTFRCSWKMPXRRESE","GSON5112121012")</f>
        <v>#NAME?</v>
      </c>
      <c r="E2420" s="3" t="e">
        <f ca="1">[1]!BexGetData("DP_1","003N8EMH8GTFRCSWKMPXRRL3Y","GSON5112121012")</f>
        <v>#NAME?</v>
      </c>
      <c r="F2420" s="4" t="e">
        <f ca="1">[1]!BexGetData("DP_1","003N8EMH8GTFRCSWKMPXRRRFI","GSON5112121012")</f>
        <v>#NAME?</v>
      </c>
      <c r="G2420" s="4" t="e">
        <f ca="1">[1]!BexGetData("DP_1","003N8EMH8GTFRCSWKMPXRRXR2","GSON5112121012")</f>
        <v>#NAME?</v>
      </c>
      <c r="H2420" s="4" t="e">
        <f ca="1">[1]!BexGetData("DP_1","003N8EMH8GTFRCSWKMPXRS42M","GSON5112121012")</f>
        <v>#NAME?</v>
      </c>
      <c r="I2420" s="4" t="e">
        <f ca="1">[1]!BexGetData("DP_1","003N8EMH8GTFRCSWKMPXRSAE6","GSON5112121012")</f>
        <v>#NAME?</v>
      </c>
      <c r="J2420" s="4" t="e">
        <f ca="1">[1]!BexGetData("DP_1","003N8EMH8GTFRCSWKMPXRSGPQ","GSON5112121012")</f>
        <v>#NAME?</v>
      </c>
      <c r="K2420" s="3" t="e">
        <f ca="1">[1]!BexGetData("DP_1","003N8EMH8GTFRIVNUPY288VJH","GSON5112121012")</f>
        <v>#NAME?</v>
      </c>
      <c r="L2420" s="3" t="e">
        <f ca="1">[1]!BexGetData("DP_1","003N8EMH8GTFRIVNUPY2891V1","GSON5112121012")</f>
        <v>#NAME?</v>
      </c>
      <c r="M2420" s="8" t="e">
        <f ca="1">[1]!BexGetData("DP_1","003N8EMH8GTFRIVOG7KG9IQXA","GSON5112121012")</f>
        <v>#NAME?</v>
      </c>
      <c r="N2420" s="3" t="e">
        <f ca="1">[1]!BexGetData("DP_1","003N8EMH8GTFRIVOG7KG9IX8U","GSON5112121012")</f>
        <v>#NAME?</v>
      </c>
      <c r="O2420" s="8" t="e">
        <f ca="1">[1]!BexGetData("DP_1","003N8EMH8GTFRIVOG7KG9J3KE","GSON5112121012")</f>
        <v>#NAME?</v>
      </c>
      <c r="P2420" s="3" t="e">
        <f ca="1">[1]!BexGetData("DP_1","003N8EMH8GTFRIVOG7KG9J9VY","GSON5112121012")</f>
        <v>#NAME?</v>
      </c>
      <c r="Q2420" s="4" t="e">
        <f ca="1">[1]!BexGetData("DP_1","00O2TNJGODT0G5Z4TTKYMM5MT","GSON5112121012")</f>
        <v>#NAME?</v>
      </c>
      <c r="R2420" s="4" t="e">
        <f ca="1">[1]!BexGetData("DP_1","00O2TNJGODT0G5Z4TTKYMMBYD","GSON5112121012")</f>
        <v>#NAME?</v>
      </c>
      <c r="S2420" s="4" t="e">
        <f ca="1">[1]!BexGetData("DP_1","00O2TNJGODT0G5Z4TTKYMMI9X","GSON5112121012")</f>
        <v>#NAME?</v>
      </c>
      <c r="T2420" s="4" t="e">
        <f ca="1">[1]!BexGetData("DP_1","00O2TNJGODT0G5Z4TTKYMMOLH","GSON5112121012")</f>
        <v>#NAME?</v>
      </c>
      <c r="U2420" s="4" t="e">
        <f ca="1">[1]!BexGetData("DP_1","00O2TNJGODT0G5Z4TTKYMMUX1","GSON5112121012")</f>
        <v>#NAME?</v>
      </c>
      <c r="V2420" s="4" t="e">
        <f ca="1">[1]!BexGetData("DP_1","00O2TNJGODT0G5Z4TTKYMN18L","GSON5112121012")</f>
        <v>#NAME?</v>
      </c>
      <c r="W2420" s="4" t="e">
        <f ca="1">[1]!BexGetData("DP_1","00O2TNJGODT0G5Z4TTKYMN7K5","GSON5112121012")</f>
        <v>#NAME?</v>
      </c>
    </row>
    <row r="2421" spans="1:23" x14ac:dyDescent="0.2">
      <c r="A2421" s="16" t="s">
        <v>1547</v>
      </c>
      <c r="B2421" s="7" t="s">
        <v>1548</v>
      </c>
      <c r="C2421" s="3" t="e">
        <f ca="1">[1]!BexGetData("DP_1","003N8EMH8GTFRCSWKMPXRR8GU","GSON5112122011")</f>
        <v>#NAME?</v>
      </c>
      <c r="D2421" s="8" t="e">
        <f ca="1">[1]!BexGetData("DP_1","003N8EMH8GTFRCSWKMPXRRESE","GSON5112122011")</f>
        <v>#NAME?</v>
      </c>
      <c r="E2421" s="3" t="e">
        <f ca="1">[1]!BexGetData("DP_1","003N8EMH8GTFRCSWKMPXRRL3Y","GSON5112122011")</f>
        <v>#NAME?</v>
      </c>
      <c r="F2421" s="4" t="e">
        <f ca="1">[1]!BexGetData("DP_1","003N8EMH8GTFRCSWKMPXRRRFI","GSON5112122011")</f>
        <v>#NAME?</v>
      </c>
      <c r="G2421" s="4" t="e">
        <f ca="1">[1]!BexGetData("DP_1","003N8EMH8GTFRCSWKMPXRRXR2","GSON5112122011")</f>
        <v>#NAME?</v>
      </c>
      <c r="H2421" s="4" t="e">
        <f ca="1">[1]!BexGetData("DP_1","003N8EMH8GTFRCSWKMPXRS42M","GSON5112122011")</f>
        <v>#NAME?</v>
      </c>
      <c r="I2421" s="4" t="e">
        <f ca="1">[1]!BexGetData("DP_1","003N8EMH8GTFRCSWKMPXRSAE6","GSON5112122011")</f>
        <v>#NAME?</v>
      </c>
      <c r="J2421" s="4" t="e">
        <f ca="1">[1]!BexGetData("DP_1","003N8EMH8GTFRCSWKMPXRSGPQ","GSON5112122011")</f>
        <v>#NAME?</v>
      </c>
      <c r="K2421" s="3" t="e">
        <f ca="1">[1]!BexGetData("DP_1","003N8EMH8GTFRIVNUPY288VJH","GSON5112122011")</f>
        <v>#NAME?</v>
      </c>
      <c r="L2421" s="3" t="e">
        <f ca="1">[1]!BexGetData("DP_1","003N8EMH8GTFRIVNUPY2891V1","GSON5112122011")</f>
        <v>#NAME?</v>
      </c>
      <c r="M2421" s="8" t="e">
        <f ca="1">[1]!BexGetData("DP_1","003N8EMH8GTFRIVOG7KG9IQXA","GSON5112122011")</f>
        <v>#NAME?</v>
      </c>
      <c r="N2421" s="3" t="e">
        <f ca="1">[1]!BexGetData("DP_1","003N8EMH8GTFRIVOG7KG9IX8U","GSON5112122011")</f>
        <v>#NAME?</v>
      </c>
      <c r="O2421" s="8" t="e">
        <f ca="1">[1]!BexGetData("DP_1","003N8EMH8GTFRIVOG7KG9J3KE","GSON5112122011")</f>
        <v>#NAME?</v>
      </c>
      <c r="P2421" s="3" t="e">
        <f ca="1">[1]!BexGetData("DP_1","003N8EMH8GTFRIVOG7KG9J9VY","GSON5112122011")</f>
        <v>#NAME?</v>
      </c>
      <c r="Q2421" s="4" t="e">
        <f ca="1">[1]!BexGetData("DP_1","00O2TNJGODT0G5Z4TTKYMM5MT","GSON5112122011")</f>
        <v>#NAME?</v>
      </c>
      <c r="R2421" s="4" t="e">
        <f ca="1">[1]!BexGetData("DP_1","00O2TNJGODT0G5Z4TTKYMMBYD","GSON5112122011")</f>
        <v>#NAME?</v>
      </c>
      <c r="S2421" s="4" t="e">
        <f ca="1">[1]!BexGetData("DP_1","00O2TNJGODT0G5Z4TTKYMMI9X","GSON5112122011")</f>
        <v>#NAME?</v>
      </c>
      <c r="T2421" s="4" t="e">
        <f ca="1">[1]!BexGetData("DP_1","00O2TNJGODT0G5Z4TTKYMMOLH","GSON5112122011")</f>
        <v>#NAME?</v>
      </c>
      <c r="U2421" s="4" t="e">
        <f ca="1">[1]!BexGetData("DP_1","00O2TNJGODT0G5Z4TTKYMMUX1","GSON5112122011")</f>
        <v>#NAME?</v>
      </c>
      <c r="V2421" s="4" t="e">
        <f ca="1">[1]!BexGetData("DP_1","00O2TNJGODT0G5Z4TTKYMN18L","GSON5112122011")</f>
        <v>#NAME?</v>
      </c>
      <c r="W2421" s="4" t="e">
        <f ca="1">[1]!BexGetData("DP_1","00O2TNJGODT0G5Z4TTKYMN7K5","GSON5112122011")</f>
        <v>#NAME?</v>
      </c>
    </row>
    <row r="2422" spans="1:23" x14ac:dyDescent="0.2">
      <c r="A2422" s="16" t="s">
        <v>5047</v>
      </c>
      <c r="B2422" s="7" t="s">
        <v>5048</v>
      </c>
      <c r="C2422" s="3" t="e">
        <f ca="1">[1]!BexGetData("DP_1","003N8EMH8GTFRCSWKMPXRR8GU","GSON5112122012")</f>
        <v>#NAME?</v>
      </c>
      <c r="D2422" s="3" t="e">
        <f ca="1">[1]!BexGetData("DP_1","003N8EMH8GTFRCSWKMPXRRESE","GSON5112122012")</f>
        <v>#NAME?</v>
      </c>
      <c r="E2422" s="3" t="e">
        <f ca="1">[1]!BexGetData("DP_1","003N8EMH8GTFRCSWKMPXRRL3Y","GSON5112122012")</f>
        <v>#NAME?</v>
      </c>
      <c r="F2422" s="4" t="e">
        <f ca="1">[1]!BexGetData("DP_1","003N8EMH8GTFRCSWKMPXRRRFI","GSON5112122012")</f>
        <v>#NAME?</v>
      </c>
      <c r="G2422" s="4" t="e">
        <f ca="1">[1]!BexGetData("DP_1","003N8EMH8GTFRCSWKMPXRRXR2","GSON5112122012")</f>
        <v>#NAME?</v>
      </c>
      <c r="H2422" s="4" t="e">
        <f ca="1">[1]!BexGetData("DP_1","003N8EMH8GTFRCSWKMPXRS42M","GSON5112122012")</f>
        <v>#NAME?</v>
      </c>
      <c r="I2422" s="4" t="e">
        <f ca="1">[1]!BexGetData("DP_1","003N8EMH8GTFRCSWKMPXRSAE6","GSON5112122012")</f>
        <v>#NAME?</v>
      </c>
      <c r="J2422" s="4" t="e">
        <f ca="1">[1]!BexGetData("DP_1","003N8EMH8GTFRCSWKMPXRSGPQ","GSON5112122012")</f>
        <v>#NAME?</v>
      </c>
      <c r="K2422" s="3" t="e">
        <f ca="1">[1]!BexGetData("DP_1","003N8EMH8GTFRIVNUPY288VJH","GSON5112122012")</f>
        <v>#NAME?</v>
      </c>
      <c r="L2422" s="3" t="e">
        <f ca="1">[1]!BexGetData("DP_1","003N8EMH8GTFRIVNUPY2891V1","GSON5112122012")</f>
        <v>#NAME?</v>
      </c>
      <c r="M2422" s="8" t="e">
        <f ca="1">[1]!BexGetData("DP_1","003N8EMH8GTFRIVOG7KG9IQXA","GSON5112122012")</f>
        <v>#NAME?</v>
      </c>
      <c r="N2422" s="3" t="e">
        <f ca="1">[1]!BexGetData("DP_1","003N8EMH8GTFRIVOG7KG9IX8U","GSON5112122012")</f>
        <v>#NAME?</v>
      </c>
      <c r="O2422" s="8" t="e">
        <f ca="1">[1]!BexGetData("DP_1","003N8EMH8GTFRIVOG7KG9J3KE","GSON5112122012")</f>
        <v>#NAME?</v>
      </c>
      <c r="P2422" s="3" t="e">
        <f ca="1">[1]!BexGetData("DP_1","003N8EMH8GTFRIVOG7KG9J9VY","GSON5112122012")</f>
        <v>#NAME?</v>
      </c>
      <c r="Q2422" s="4" t="e">
        <f ca="1">[1]!BexGetData("DP_1","00O2TNJGODT0G5Z4TTKYMM5MT","GSON5112122012")</f>
        <v>#NAME?</v>
      </c>
      <c r="R2422" s="4" t="e">
        <f ca="1">[1]!BexGetData("DP_1","00O2TNJGODT0G5Z4TTKYMMBYD","GSON5112122012")</f>
        <v>#NAME?</v>
      </c>
      <c r="S2422" s="4" t="e">
        <f ca="1">[1]!BexGetData("DP_1","00O2TNJGODT0G5Z4TTKYMMI9X","GSON5112122012")</f>
        <v>#NAME?</v>
      </c>
      <c r="T2422" s="4" t="e">
        <f ca="1">[1]!BexGetData("DP_1","00O2TNJGODT0G5Z4TTKYMMOLH","GSON5112122012")</f>
        <v>#NAME?</v>
      </c>
      <c r="U2422" s="4" t="e">
        <f ca="1">[1]!BexGetData("DP_1","00O2TNJGODT0G5Z4TTKYMMUX1","GSON5112122012")</f>
        <v>#NAME?</v>
      </c>
      <c r="V2422" s="4" t="e">
        <f ca="1">[1]!BexGetData("DP_1","00O2TNJGODT0G5Z4TTKYMN18L","GSON5112122012")</f>
        <v>#NAME?</v>
      </c>
      <c r="W2422" s="4" t="e">
        <f ca="1">[1]!BexGetData("DP_1","00O2TNJGODT0G5Z4TTKYMN7K5","GSON5112122012")</f>
        <v>#NAME?</v>
      </c>
    </row>
    <row r="2423" spans="1:23" x14ac:dyDescent="0.2">
      <c r="A2423" s="16" t="s">
        <v>5049</v>
      </c>
      <c r="B2423" s="7" t="s">
        <v>5050</v>
      </c>
      <c r="C2423" s="3" t="e">
        <f ca="1">[1]!BexGetData("DP_1","003N8EMH8GTFRCSWKMPXRR8GU","GSON5112124011")</f>
        <v>#NAME?</v>
      </c>
      <c r="D2423" s="8" t="e">
        <f ca="1">[1]!BexGetData("DP_1","003N8EMH8GTFRCSWKMPXRRESE","GSON5112124011")</f>
        <v>#NAME?</v>
      </c>
      <c r="E2423" s="3" t="e">
        <f ca="1">[1]!BexGetData("DP_1","003N8EMH8GTFRCSWKMPXRRL3Y","GSON5112124011")</f>
        <v>#NAME?</v>
      </c>
      <c r="F2423" s="4" t="e">
        <f ca="1">[1]!BexGetData("DP_1","003N8EMH8GTFRCSWKMPXRRRFI","GSON5112124011")</f>
        <v>#NAME?</v>
      </c>
      <c r="G2423" s="4" t="e">
        <f ca="1">[1]!BexGetData("DP_1","003N8EMH8GTFRCSWKMPXRRXR2","GSON5112124011")</f>
        <v>#NAME?</v>
      </c>
      <c r="H2423" s="4" t="e">
        <f ca="1">[1]!BexGetData("DP_1","003N8EMH8GTFRCSWKMPXRS42M","GSON5112124011")</f>
        <v>#NAME?</v>
      </c>
      <c r="I2423" s="4" t="e">
        <f ca="1">[1]!BexGetData("DP_1","003N8EMH8GTFRCSWKMPXRSAE6","GSON5112124011")</f>
        <v>#NAME?</v>
      </c>
      <c r="J2423" s="4" t="e">
        <f ca="1">[1]!BexGetData("DP_1","003N8EMH8GTFRCSWKMPXRSGPQ","GSON5112124011")</f>
        <v>#NAME?</v>
      </c>
      <c r="K2423" s="3" t="e">
        <f ca="1">[1]!BexGetData("DP_1","003N8EMH8GTFRIVNUPY288VJH","GSON5112124011")</f>
        <v>#NAME?</v>
      </c>
      <c r="L2423" s="3" t="e">
        <f ca="1">[1]!BexGetData("DP_1","003N8EMH8GTFRIVNUPY2891V1","GSON5112124011")</f>
        <v>#NAME?</v>
      </c>
      <c r="M2423" s="8" t="e">
        <f ca="1">[1]!BexGetData("DP_1","003N8EMH8GTFRIVOG7KG9IQXA","GSON5112124011")</f>
        <v>#NAME?</v>
      </c>
      <c r="N2423" s="3" t="e">
        <f ca="1">[1]!BexGetData("DP_1","003N8EMH8GTFRIVOG7KG9IX8U","GSON5112124011")</f>
        <v>#NAME?</v>
      </c>
      <c r="O2423" s="8" t="e">
        <f ca="1">[1]!BexGetData("DP_1","003N8EMH8GTFRIVOG7KG9J3KE","GSON5112124011")</f>
        <v>#NAME?</v>
      </c>
      <c r="P2423" s="3" t="e">
        <f ca="1">[1]!BexGetData("DP_1","003N8EMH8GTFRIVOG7KG9J9VY","GSON5112124011")</f>
        <v>#NAME?</v>
      </c>
      <c r="Q2423" s="4" t="e">
        <f ca="1">[1]!BexGetData("DP_1","00O2TNJGODT0G5Z4TTKYMM5MT","GSON5112124011")</f>
        <v>#NAME?</v>
      </c>
      <c r="R2423" s="4" t="e">
        <f ca="1">[1]!BexGetData("DP_1","00O2TNJGODT0G5Z4TTKYMMBYD","GSON5112124011")</f>
        <v>#NAME?</v>
      </c>
      <c r="S2423" s="4" t="e">
        <f ca="1">[1]!BexGetData("DP_1","00O2TNJGODT0G5Z4TTKYMMI9X","GSON5112124011")</f>
        <v>#NAME?</v>
      </c>
      <c r="T2423" s="4" t="e">
        <f ca="1">[1]!BexGetData("DP_1","00O2TNJGODT0G5Z4TTKYMMOLH","GSON5112124011")</f>
        <v>#NAME?</v>
      </c>
      <c r="U2423" s="4" t="e">
        <f ca="1">[1]!BexGetData("DP_1","00O2TNJGODT0G5Z4TTKYMMUX1","GSON5112124011")</f>
        <v>#NAME?</v>
      </c>
      <c r="V2423" s="4" t="e">
        <f ca="1">[1]!BexGetData("DP_1","00O2TNJGODT0G5Z4TTKYMN18L","GSON5112124011")</f>
        <v>#NAME?</v>
      </c>
      <c r="W2423" s="4" t="e">
        <f ca="1">[1]!BexGetData("DP_1","00O2TNJGODT0G5Z4TTKYMN7K5","GSON5112124011")</f>
        <v>#NAME?</v>
      </c>
    </row>
    <row r="2424" spans="1:23" x14ac:dyDescent="0.2">
      <c r="A2424" s="15" t="s">
        <v>1549</v>
      </c>
      <c r="B2424" s="7" t="s">
        <v>1550</v>
      </c>
      <c r="C2424" s="3" t="e">
        <f ca="1">[1]!BexGetData("DP_1","003N8EMH8GTFRCSWKMPXRR8GU","GSON5113")</f>
        <v>#NAME?</v>
      </c>
      <c r="D2424" s="3" t="e">
        <f ca="1">[1]!BexGetData("DP_1","003N8EMH8GTFRCSWKMPXRRESE","GSON5113")</f>
        <v>#NAME?</v>
      </c>
      <c r="E2424" s="3" t="e">
        <f ca="1">[1]!BexGetData("DP_1","003N8EMH8GTFRCSWKMPXRRL3Y","GSON5113")</f>
        <v>#NAME?</v>
      </c>
      <c r="F2424" s="4" t="e">
        <f ca="1">[1]!BexGetData("DP_1","003N8EMH8GTFRCSWKMPXRRRFI","GSON5113")</f>
        <v>#NAME?</v>
      </c>
      <c r="G2424" s="4" t="e">
        <f ca="1">[1]!BexGetData("DP_1","003N8EMH8GTFRCSWKMPXRRXR2","GSON5113")</f>
        <v>#NAME?</v>
      </c>
      <c r="H2424" s="4" t="e">
        <f ca="1">[1]!BexGetData("DP_1","003N8EMH8GTFRCSWKMPXRS42M","GSON5113")</f>
        <v>#NAME?</v>
      </c>
      <c r="I2424" s="4" t="e">
        <f ca="1">[1]!BexGetData("DP_1","003N8EMH8GTFRCSWKMPXRSAE6","GSON5113")</f>
        <v>#NAME?</v>
      </c>
      <c r="J2424" s="4" t="e">
        <f ca="1">[1]!BexGetData("DP_1","003N8EMH8GTFRCSWKMPXRSGPQ","GSON5113")</f>
        <v>#NAME?</v>
      </c>
      <c r="K2424" s="3" t="e">
        <f ca="1">[1]!BexGetData("DP_1","003N8EMH8GTFRIVNUPY288VJH","GSON5113")</f>
        <v>#NAME?</v>
      </c>
      <c r="L2424" s="3" t="e">
        <f ca="1">[1]!BexGetData("DP_1","003N8EMH8GTFRIVNUPY2891V1","GSON5113")</f>
        <v>#NAME?</v>
      </c>
      <c r="M2424" s="8" t="e">
        <f ca="1">[1]!BexGetData("DP_1","003N8EMH8GTFRIVOG7KG9IQXA","GSON5113")</f>
        <v>#NAME?</v>
      </c>
      <c r="N2424" s="3" t="e">
        <f ca="1">[1]!BexGetData("DP_1","003N8EMH8GTFRIVOG7KG9IX8U","GSON5113")</f>
        <v>#NAME?</v>
      </c>
      <c r="O2424" s="8" t="e">
        <f ca="1">[1]!BexGetData("DP_1","003N8EMH8GTFRIVOG7KG9J3KE","GSON5113")</f>
        <v>#NAME?</v>
      </c>
      <c r="P2424" s="3" t="e">
        <f ca="1">[1]!BexGetData("DP_1","003N8EMH8GTFRIVOG7KG9J9VY","GSON5113")</f>
        <v>#NAME?</v>
      </c>
      <c r="Q2424" s="4" t="e">
        <f ca="1">[1]!BexGetData("DP_1","00O2TNJGODT0G5Z4TTKYMM5MT","GSON5113")</f>
        <v>#NAME?</v>
      </c>
      <c r="R2424" s="4" t="e">
        <f ca="1">[1]!BexGetData("DP_1","00O2TNJGODT0G5Z4TTKYMMBYD","GSON5113")</f>
        <v>#NAME?</v>
      </c>
      <c r="S2424" s="4" t="e">
        <f ca="1">[1]!BexGetData("DP_1","00O2TNJGODT0G5Z4TTKYMMI9X","GSON5113")</f>
        <v>#NAME?</v>
      </c>
      <c r="T2424" s="4" t="e">
        <f ca="1">[1]!BexGetData("DP_1","00O2TNJGODT0G5Z4TTKYMMOLH","GSON5113")</f>
        <v>#NAME?</v>
      </c>
      <c r="U2424" s="4" t="e">
        <f ca="1">[1]!BexGetData("DP_1","00O2TNJGODT0G5Z4TTKYMMUX1","GSON5113")</f>
        <v>#NAME?</v>
      </c>
      <c r="V2424" s="4" t="e">
        <f ca="1">[1]!BexGetData("DP_1","00O2TNJGODT0G5Z4TTKYMN18L","GSON5113")</f>
        <v>#NAME?</v>
      </c>
      <c r="W2424" s="4" t="e">
        <f ca="1">[1]!BexGetData("DP_1","00O2TNJGODT0G5Z4TTKYMN7K5","GSON5113")</f>
        <v>#NAME?</v>
      </c>
    </row>
    <row r="2425" spans="1:23" x14ac:dyDescent="0.2">
      <c r="A2425" s="16" t="s">
        <v>5051</v>
      </c>
      <c r="B2425" s="7" t="s">
        <v>1551</v>
      </c>
      <c r="C2425" s="3" t="e">
        <f ca="1">[1]!BexGetData("DP_1","003N8EMH8GTFRCSWKMPXRR8GU","GSON5113131011")</f>
        <v>#NAME?</v>
      </c>
      <c r="D2425" s="3" t="e">
        <f ca="1">[1]!BexGetData("DP_1","003N8EMH8GTFRCSWKMPXRRESE","GSON5113131011")</f>
        <v>#NAME?</v>
      </c>
      <c r="E2425" s="3" t="e">
        <f ca="1">[1]!BexGetData("DP_1","003N8EMH8GTFRCSWKMPXRRL3Y","GSON5113131011")</f>
        <v>#NAME?</v>
      </c>
      <c r="F2425" s="4" t="e">
        <f ca="1">[1]!BexGetData("DP_1","003N8EMH8GTFRCSWKMPXRRRFI","GSON5113131011")</f>
        <v>#NAME?</v>
      </c>
      <c r="G2425" s="4" t="e">
        <f ca="1">[1]!BexGetData("DP_1","003N8EMH8GTFRCSWKMPXRRXR2","GSON5113131011")</f>
        <v>#NAME?</v>
      </c>
      <c r="H2425" s="4" t="e">
        <f ca="1">[1]!BexGetData("DP_1","003N8EMH8GTFRCSWKMPXRS42M","GSON5113131011")</f>
        <v>#NAME?</v>
      </c>
      <c r="I2425" s="4" t="e">
        <f ca="1">[1]!BexGetData("DP_1","003N8EMH8GTFRCSWKMPXRSAE6","GSON5113131011")</f>
        <v>#NAME?</v>
      </c>
      <c r="J2425" s="4" t="e">
        <f ca="1">[1]!BexGetData("DP_1","003N8EMH8GTFRCSWKMPXRSGPQ","GSON5113131011")</f>
        <v>#NAME?</v>
      </c>
      <c r="K2425" s="3" t="e">
        <f ca="1">[1]!BexGetData("DP_1","003N8EMH8GTFRIVNUPY288VJH","GSON5113131011")</f>
        <v>#NAME?</v>
      </c>
      <c r="L2425" s="3" t="e">
        <f ca="1">[1]!BexGetData("DP_1","003N8EMH8GTFRIVNUPY2891V1","GSON5113131011")</f>
        <v>#NAME?</v>
      </c>
      <c r="M2425" s="8" t="e">
        <f ca="1">[1]!BexGetData("DP_1","003N8EMH8GTFRIVOG7KG9IQXA","GSON5113131011")</f>
        <v>#NAME?</v>
      </c>
      <c r="N2425" s="3" t="e">
        <f ca="1">[1]!BexGetData("DP_1","003N8EMH8GTFRIVOG7KG9IX8U","GSON5113131011")</f>
        <v>#NAME?</v>
      </c>
      <c r="O2425" s="8" t="e">
        <f ca="1">[1]!BexGetData("DP_1","003N8EMH8GTFRIVOG7KG9J3KE","GSON5113131011")</f>
        <v>#NAME?</v>
      </c>
      <c r="P2425" s="3" t="e">
        <f ca="1">[1]!BexGetData("DP_1","003N8EMH8GTFRIVOG7KG9J9VY","GSON5113131011")</f>
        <v>#NAME?</v>
      </c>
      <c r="Q2425" s="4" t="e">
        <f ca="1">[1]!BexGetData("DP_1","00O2TNJGODT0G5Z4TTKYMM5MT","GSON5113131011")</f>
        <v>#NAME?</v>
      </c>
      <c r="R2425" s="4" t="e">
        <f ca="1">[1]!BexGetData("DP_1","00O2TNJGODT0G5Z4TTKYMMBYD","GSON5113131011")</f>
        <v>#NAME?</v>
      </c>
      <c r="S2425" s="4" t="e">
        <f ca="1">[1]!BexGetData("DP_1","00O2TNJGODT0G5Z4TTKYMMI9X","GSON5113131011")</f>
        <v>#NAME?</v>
      </c>
      <c r="T2425" s="4" t="e">
        <f ca="1">[1]!BexGetData("DP_1","00O2TNJGODT0G5Z4TTKYMMOLH","GSON5113131011")</f>
        <v>#NAME?</v>
      </c>
      <c r="U2425" s="4" t="e">
        <f ca="1">[1]!BexGetData("DP_1","00O2TNJGODT0G5Z4TTKYMMUX1","GSON5113131011")</f>
        <v>#NAME?</v>
      </c>
      <c r="V2425" s="4" t="e">
        <f ca="1">[1]!BexGetData("DP_1","00O2TNJGODT0G5Z4TTKYMN18L","GSON5113131011")</f>
        <v>#NAME?</v>
      </c>
      <c r="W2425" s="4" t="e">
        <f ca="1">[1]!BexGetData("DP_1","00O2TNJGODT0G5Z4TTKYMN7K5","GSON5113131011")</f>
        <v>#NAME?</v>
      </c>
    </row>
    <row r="2426" spans="1:23" x14ac:dyDescent="0.2">
      <c r="A2426" s="16" t="s">
        <v>5052</v>
      </c>
      <c r="B2426" s="7" t="s">
        <v>5053</v>
      </c>
      <c r="C2426" s="3" t="e">
        <f ca="1">[1]!BexGetData("DP_1","003N8EMH8GTFRCSWKMPXRR8GU","GSON5113131012")</f>
        <v>#NAME?</v>
      </c>
      <c r="D2426" s="3" t="e">
        <f ca="1">[1]!BexGetData("DP_1","003N8EMH8GTFRCSWKMPXRRESE","GSON5113131012")</f>
        <v>#NAME?</v>
      </c>
      <c r="E2426" s="8" t="e">
        <f ca="1">[1]!BexGetData("DP_1","003N8EMH8GTFRCSWKMPXRRL3Y","GSON5113131012")</f>
        <v>#NAME?</v>
      </c>
      <c r="F2426" s="4" t="e">
        <f ca="1">[1]!BexGetData("DP_1","003N8EMH8GTFRCSWKMPXRRRFI","GSON5113131012")</f>
        <v>#NAME?</v>
      </c>
      <c r="G2426" s="4" t="e">
        <f ca="1">[1]!BexGetData("DP_1","003N8EMH8GTFRCSWKMPXRRXR2","GSON5113131012")</f>
        <v>#NAME?</v>
      </c>
      <c r="H2426" s="4" t="e">
        <f ca="1">[1]!BexGetData("DP_1","003N8EMH8GTFRCSWKMPXRS42M","GSON5113131012")</f>
        <v>#NAME?</v>
      </c>
      <c r="I2426" s="4" t="e">
        <f ca="1">[1]!BexGetData("DP_1","003N8EMH8GTFRCSWKMPXRSAE6","GSON5113131012")</f>
        <v>#NAME?</v>
      </c>
      <c r="J2426" s="4" t="e">
        <f ca="1">[1]!BexGetData("DP_1","003N8EMH8GTFRCSWKMPXRSGPQ","GSON5113131012")</f>
        <v>#NAME?</v>
      </c>
      <c r="K2426" s="8" t="e">
        <f ca="1">[1]!BexGetData("DP_1","003N8EMH8GTFRIVNUPY288VJH","GSON5113131012")</f>
        <v>#NAME?</v>
      </c>
      <c r="L2426" s="8" t="e">
        <f ca="1">[1]!BexGetData("DP_1","003N8EMH8GTFRIVNUPY2891V1","GSON5113131012")</f>
        <v>#NAME?</v>
      </c>
      <c r="M2426" s="8" t="e">
        <f ca="1">[1]!BexGetData("DP_1","003N8EMH8GTFRIVOG7KG9IQXA","GSON5113131012")</f>
        <v>#NAME?</v>
      </c>
      <c r="N2426" s="8" t="e">
        <f ca="1">[1]!BexGetData("DP_1","003N8EMH8GTFRIVOG7KG9IX8U","GSON5113131012")</f>
        <v>#NAME?</v>
      </c>
      <c r="O2426" s="8" t="e">
        <f ca="1">[1]!BexGetData("DP_1","003N8EMH8GTFRIVOG7KG9J3KE","GSON5113131012")</f>
        <v>#NAME?</v>
      </c>
      <c r="P2426" s="8" t="e">
        <f ca="1">[1]!BexGetData("DP_1","003N8EMH8GTFRIVOG7KG9J9VY","GSON5113131012")</f>
        <v>#NAME?</v>
      </c>
      <c r="Q2426" s="4" t="e">
        <f ca="1">[1]!BexGetData("DP_1","00O2TNJGODT0G5Z4TTKYMM5MT","GSON5113131012")</f>
        <v>#NAME?</v>
      </c>
      <c r="R2426" s="4" t="e">
        <f ca="1">[1]!BexGetData("DP_1","00O2TNJGODT0G5Z4TTKYMMBYD","GSON5113131012")</f>
        <v>#NAME?</v>
      </c>
      <c r="S2426" s="4" t="e">
        <f ca="1">[1]!BexGetData("DP_1","00O2TNJGODT0G5Z4TTKYMMI9X","GSON5113131012")</f>
        <v>#NAME?</v>
      </c>
      <c r="T2426" s="4" t="e">
        <f ca="1">[1]!BexGetData("DP_1","00O2TNJGODT0G5Z4TTKYMMOLH","GSON5113131012")</f>
        <v>#NAME?</v>
      </c>
      <c r="U2426" s="4" t="e">
        <f ca="1">[1]!BexGetData("DP_1","00O2TNJGODT0G5Z4TTKYMMUX1","GSON5113131012")</f>
        <v>#NAME?</v>
      </c>
      <c r="V2426" s="4" t="e">
        <f ca="1">[1]!BexGetData("DP_1","00O2TNJGODT0G5Z4TTKYMN18L","GSON5113131012")</f>
        <v>#NAME?</v>
      </c>
      <c r="W2426" s="4" t="e">
        <f ca="1">[1]!BexGetData("DP_1","00O2TNJGODT0G5Z4TTKYMN7K5","GSON5113131012")</f>
        <v>#NAME?</v>
      </c>
    </row>
    <row r="2427" spans="1:23" x14ac:dyDescent="0.2">
      <c r="A2427" s="16" t="s">
        <v>5054</v>
      </c>
      <c r="B2427" s="7" t="s">
        <v>5055</v>
      </c>
      <c r="C2427" s="3" t="e">
        <f ca="1">[1]!BexGetData("DP_1","003N8EMH8GTFRCSWKMPXRR8GU","GSON5113132011")</f>
        <v>#NAME?</v>
      </c>
      <c r="D2427" s="3" t="e">
        <f ca="1">[1]!BexGetData("DP_1","003N8EMH8GTFRCSWKMPXRRESE","GSON5113132011")</f>
        <v>#NAME?</v>
      </c>
      <c r="E2427" s="3" t="e">
        <f ca="1">[1]!BexGetData("DP_1","003N8EMH8GTFRCSWKMPXRRL3Y","GSON5113132011")</f>
        <v>#NAME?</v>
      </c>
      <c r="F2427" s="4" t="e">
        <f ca="1">[1]!BexGetData("DP_1","003N8EMH8GTFRCSWKMPXRRRFI","GSON5113132011")</f>
        <v>#NAME?</v>
      </c>
      <c r="G2427" s="4" t="e">
        <f ca="1">[1]!BexGetData("DP_1","003N8EMH8GTFRCSWKMPXRRXR2","GSON5113132011")</f>
        <v>#NAME?</v>
      </c>
      <c r="H2427" s="4" t="e">
        <f ca="1">[1]!BexGetData("DP_1","003N8EMH8GTFRCSWKMPXRS42M","GSON5113132011")</f>
        <v>#NAME?</v>
      </c>
      <c r="I2427" s="4" t="e">
        <f ca="1">[1]!BexGetData("DP_1","003N8EMH8GTFRCSWKMPXRSAE6","GSON5113132011")</f>
        <v>#NAME?</v>
      </c>
      <c r="J2427" s="4" t="e">
        <f ca="1">[1]!BexGetData("DP_1","003N8EMH8GTFRCSWKMPXRSGPQ","GSON5113132011")</f>
        <v>#NAME?</v>
      </c>
      <c r="K2427" s="3" t="e">
        <f ca="1">[1]!BexGetData("DP_1","003N8EMH8GTFRIVNUPY288VJH","GSON5113132011")</f>
        <v>#NAME?</v>
      </c>
      <c r="L2427" s="3" t="e">
        <f ca="1">[1]!BexGetData("DP_1","003N8EMH8GTFRIVNUPY2891V1","GSON5113132011")</f>
        <v>#NAME?</v>
      </c>
      <c r="M2427" s="8" t="e">
        <f ca="1">[1]!BexGetData("DP_1","003N8EMH8GTFRIVOG7KG9IQXA","GSON5113132011")</f>
        <v>#NAME?</v>
      </c>
      <c r="N2427" s="3" t="e">
        <f ca="1">[1]!BexGetData("DP_1","003N8EMH8GTFRIVOG7KG9IX8U","GSON5113132011")</f>
        <v>#NAME?</v>
      </c>
      <c r="O2427" s="8" t="e">
        <f ca="1">[1]!BexGetData("DP_1","003N8EMH8GTFRIVOG7KG9J3KE","GSON5113132011")</f>
        <v>#NAME?</v>
      </c>
      <c r="P2427" s="3" t="e">
        <f ca="1">[1]!BexGetData("DP_1","003N8EMH8GTFRIVOG7KG9J9VY","GSON5113132011")</f>
        <v>#NAME?</v>
      </c>
      <c r="Q2427" s="4" t="e">
        <f ca="1">[1]!BexGetData("DP_1","00O2TNJGODT0G5Z4TTKYMM5MT","GSON5113132011")</f>
        <v>#NAME?</v>
      </c>
      <c r="R2427" s="4" t="e">
        <f ca="1">[1]!BexGetData("DP_1","00O2TNJGODT0G5Z4TTKYMMBYD","GSON5113132011")</f>
        <v>#NAME?</v>
      </c>
      <c r="S2427" s="4" t="e">
        <f ca="1">[1]!BexGetData("DP_1","00O2TNJGODT0G5Z4TTKYMMI9X","GSON5113132011")</f>
        <v>#NAME?</v>
      </c>
      <c r="T2427" s="4" t="e">
        <f ca="1">[1]!BexGetData("DP_1","00O2TNJGODT0G5Z4TTKYMMOLH","GSON5113132011")</f>
        <v>#NAME?</v>
      </c>
      <c r="U2427" s="4" t="e">
        <f ca="1">[1]!BexGetData("DP_1","00O2TNJGODT0G5Z4TTKYMMUX1","GSON5113132011")</f>
        <v>#NAME?</v>
      </c>
      <c r="V2427" s="4" t="e">
        <f ca="1">[1]!BexGetData("DP_1","00O2TNJGODT0G5Z4TTKYMN18L","GSON5113132011")</f>
        <v>#NAME?</v>
      </c>
      <c r="W2427" s="4" t="e">
        <f ca="1">[1]!BexGetData("DP_1","00O2TNJGODT0G5Z4TTKYMN7K5","GSON5113132011")</f>
        <v>#NAME?</v>
      </c>
    </row>
    <row r="2428" spans="1:23" x14ac:dyDescent="0.2">
      <c r="A2428" s="16" t="s">
        <v>5056</v>
      </c>
      <c r="B2428" s="7" t="s">
        <v>5057</v>
      </c>
      <c r="C2428" s="3" t="e">
        <f ca="1">[1]!BexGetData("DP_1","003N8EMH8GTFRCSWKMPXRR8GU","GSON5113132021")</f>
        <v>#NAME?</v>
      </c>
      <c r="D2428" s="3" t="e">
        <f ca="1">[1]!BexGetData("DP_1","003N8EMH8GTFRCSWKMPXRRESE","GSON5113132021")</f>
        <v>#NAME?</v>
      </c>
      <c r="E2428" s="3" t="e">
        <f ca="1">[1]!BexGetData("DP_1","003N8EMH8GTFRCSWKMPXRRL3Y","GSON5113132021")</f>
        <v>#NAME?</v>
      </c>
      <c r="F2428" s="4" t="e">
        <f ca="1">[1]!BexGetData("DP_1","003N8EMH8GTFRCSWKMPXRRRFI","GSON5113132021")</f>
        <v>#NAME?</v>
      </c>
      <c r="G2428" s="4" t="e">
        <f ca="1">[1]!BexGetData("DP_1","003N8EMH8GTFRCSWKMPXRRXR2","GSON5113132021")</f>
        <v>#NAME?</v>
      </c>
      <c r="H2428" s="4" t="e">
        <f ca="1">[1]!BexGetData("DP_1","003N8EMH8GTFRCSWKMPXRS42M","GSON5113132021")</f>
        <v>#NAME?</v>
      </c>
      <c r="I2428" s="4" t="e">
        <f ca="1">[1]!BexGetData("DP_1","003N8EMH8GTFRCSWKMPXRSAE6","GSON5113132021")</f>
        <v>#NAME?</v>
      </c>
      <c r="J2428" s="4" t="e">
        <f ca="1">[1]!BexGetData("DP_1","003N8EMH8GTFRCSWKMPXRSGPQ","GSON5113132021")</f>
        <v>#NAME?</v>
      </c>
      <c r="K2428" s="3" t="e">
        <f ca="1">[1]!BexGetData("DP_1","003N8EMH8GTFRIVNUPY288VJH","GSON5113132021")</f>
        <v>#NAME?</v>
      </c>
      <c r="L2428" s="3" t="e">
        <f ca="1">[1]!BexGetData("DP_1","003N8EMH8GTFRIVNUPY2891V1","GSON5113132021")</f>
        <v>#NAME?</v>
      </c>
      <c r="M2428" s="8" t="e">
        <f ca="1">[1]!BexGetData("DP_1","003N8EMH8GTFRIVOG7KG9IQXA","GSON5113132021")</f>
        <v>#NAME?</v>
      </c>
      <c r="N2428" s="3" t="e">
        <f ca="1">[1]!BexGetData("DP_1","003N8EMH8GTFRIVOG7KG9IX8U","GSON5113132021")</f>
        <v>#NAME?</v>
      </c>
      <c r="O2428" s="8" t="e">
        <f ca="1">[1]!BexGetData("DP_1","003N8EMH8GTFRIVOG7KG9J3KE","GSON5113132021")</f>
        <v>#NAME?</v>
      </c>
      <c r="P2428" s="3" t="e">
        <f ca="1">[1]!BexGetData("DP_1","003N8EMH8GTFRIVOG7KG9J9VY","GSON5113132021")</f>
        <v>#NAME?</v>
      </c>
      <c r="Q2428" s="4" t="e">
        <f ca="1">[1]!BexGetData("DP_1","00O2TNJGODT0G5Z4TTKYMM5MT","GSON5113132021")</f>
        <v>#NAME?</v>
      </c>
      <c r="R2428" s="4" t="e">
        <f ca="1">[1]!BexGetData("DP_1","00O2TNJGODT0G5Z4TTKYMMBYD","GSON5113132021")</f>
        <v>#NAME?</v>
      </c>
      <c r="S2428" s="4" t="e">
        <f ca="1">[1]!BexGetData("DP_1","00O2TNJGODT0G5Z4TTKYMMI9X","GSON5113132021")</f>
        <v>#NAME?</v>
      </c>
      <c r="T2428" s="4" t="e">
        <f ca="1">[1]!BexGetData("DP_1","00O2TNJGODT0G5Z4TTKYMMOLH","GSON5113132021")</f>
        <v>#NAME?</v>
      </c>
      <c r="U2428" s="4" t="e">
        <f ca="1">[1]!BexGetData("DP_1","00O2TNJGODT0G5Z4TTKYMMUX1","GSON5113132021")</f>
        <v>#NAME?</v>
      </c>
      <c r="V2428" s="4" t="e">
        <f ca="1">[1]!BexGetData("DP_1","00O2TNJGODT0G5Z4TTKYMN18L","GSON5113132021")</f>
        <v>#NAME?</v>
      </c>
      <c r="W2428" s="4" t="e">
        <f ca="1">[1]!BexGetData("DP_1","00O2TNJGODT0G5Z4TTKYMN7K5","GSON5113132021")</f>
        <v>#NAME?</v>
      </c>
    </row>
    <row r="2429" spans="1:23" x14ac:dyDescent="0.2">
      <c r="A2429" s="16" t="s">
        <v>5058</v>
      </c>
      <c r="B2429" s="7" t="s">
        <v>5059</v>
      </c>
      <c r="C2429" s="3" t="e">
        <f ca="1">[1]!BexGetData("DP_1","003N8EMH8GTFRCSWKMPXRR8GU","GSON5113132031")</f>
        <v>#NAME?</v>
      </c>
      <c r="D2429" s="3" t="e">
        <f ca="1">[1]!BexGetData("DP_1","003N8EMH8GTFRCSWKMPXRRESE","GSON5113132031")</f>
        <v>#NAME?</v>
      </c>
      <c r="E2429" s="3" t="e">
        <f ca="1">[1]!BexGetData("DP_1","003N8EMH8GTFRCSWKMPXRRL3Y","GSON5113132031")</f>
        <v>#NAME?</v>
      </c>
      <c r="F2429" s="4" t="e">
        <f ca="1">[1]!BexGetData("DP_1","003N8EMH8GTFRCSWKMPXRRRFI","GSON5113132031")</f>
        <v>#NAME?</v>
      </c>
      <c r="G2429" s="4" t="e">
        <f ca="1">[1]!BexGetData("DP_1","003N8EMH8GTFRCSWKMPXRRXR2","GSON5113132031")</f>
        <v>#NAME?</v>
      </c>
      <c r="H2429" s="4" t="e">
        <f ca="1">[1]!BexGetData("DP_1","003N8EMH8GTFRCSWKMPXRS42M","GSON5113132031")</f>
        <v>#NAME?</v>
      </c>
      <c r="I2429" s="4" t="e">
        <f ca="1">[1]!BexGetData("DP_1","003N8EMH8GTFRCSWKMPXRSAE6","GSON5113132031")</f>
        <v>#NAME?</v>
      </c>
      <c r="J2429" s="4" t="e">
        <f ca="1">[1]!BexGetData("DP_1","003N8EMH8GTFRCSWKMPXRSGPQ","GSON5113132031")</f>
        <v>#NAME?</v>
      </c>
      <c r="K2429" s="3" t="e">
        <f ca="1">[1]!BexGetData("DP_1","003N8EMH8GTFRIVNUPY288VJH","GSON5113132031")</f>
        <v>#NAME?</v>
      </c>
      <c r="L2429" s="3" t="e">
        <f ca="1">[1]!BexGetData("DP_1","003N8EMH8GTFRIVNUPY2891V1","GSON5113132031")</f>
        <v>#NAME?</v>
      </c>
      <c r="M2429" s="8" t="e">
        <f ca="1">[1]!BexGetData("DP_1","003N8EMH8GTFRIVOG7KG9IQXA","GSON5113132031")</f>
        <v>#NAME?</v>
      </c>
      <c r="N2429" s="3" t="e">
        <f ca="1">[1]!BexGetData("DP_1","003N8EMH8GTFRIVOG7KG9IX8U","GSON5113132031")</f>
        <v>#NAME?</v>
      </c>
      <c r="O2429" s="8" t="e">
        <f ca="1">[1]!BexGetData("DP_1","003N8EMH8GTFRIVOG7KG9J3KE","GSON5113132031")</f>
        <v>#NAME?</v>
      </c>
      <c r="P2429" s="3" t="e">
        <f ca="1">[1]!BexGetData("DP_1","003N8EMH8GTFRIVOG7KG9J9VY","GSON5113132031")</f>
        <v>#NAME?</v>
      </c>
      <c r="Q2429" s="4" t="e">
        <f ca="1">[1]!BexGetData("DP_1","00O2TNJGODT0G5Z4TTKYMM5MT","GSON5113132031")</f>
        <v>#NAME?</v>
      </c>
      <c r="R2429" s="4" t="e">
        <f ca="1">[1]!BexGetData("DP_1","00O2TNJGODT0G5Z4TTKYMMBYD","GSON5113132031")</f>
        <v>#NAME?</v>
      </c>
      <c r="S2429" s="4" t="e">
        <f ca="1">[1]!BexGetData("DP_1","00O2TNJGODT0G5Z4TTKYMMI9X","GSON5113132031")</f>
        <v>#NAME?</v>
      </c>
      <c r="T2429" s="4" t="e">
        <f ca="1">[1]!BexGetData("DP_1","00O2TNJGODT0G5Z4TTKYMMOLH","GSON5113132031")</f>
        <v>#NAME?</v>
      </c>
      <c r="U2429" s="4" t="e">
        <f ca="1">[1]!BexGetData("DP_1","00O2TNJGODT0G5Z4TTKYMMUX1","GSON5113132031")</f>
        <v>#NAME?</v>
      </c>
      <c r="V2429" s="4" t="e">
        <f ca="1">[1]!BexGetData("DP_1","00O2TNJGODT0G5Z4TTKYMN18L","GSON5113132031")</f>
        <v>#NAME?</v>
      </c>
      <c r="W2429" s="4" t="e">
        <f ca="1">[1]!BexGetData("DP_1","00O2TNJGODT0G5Z4TTKYMN7K5","GSON5113132031")</f>
        <v>#NAME?</v>
      </c>
    </row>
    <row r="2430" spans="1:23" x14ac:dyDescent="0.2">
      <c r="A2430" s="16" t="s">
        <v>5060</v>
      </c>
      <c r="B2430" s="7" t="s">
        <v>5061</v>
      </c>
      <c r="C2430" s="3" t="e">
        <f ca="1">[1]!BexGetData("DP_1","003N8EMH8GTFRCSWKMPXRR8GU","GSON5113132041")</f>
        <v>#NAME?</v>
      </c>
      <c r="D2430" s="3" t="e">
        <f ca="1">[1]!BexGetData("DP_1","003N8EMH8GTFRCSWKMPXRRESE","GSON5113132041")</f>
        <v>#NAME?</v>
      </c>
      <c r="E2430" s="3" t="e">
        <f ca="1">[1]!BexGetData("DP_1","003N8EMH8GTFRCSWKMPXRRL3Y","GSON5113132041")</f>
        <v>#NAME?</v>
      </c>
      <c r="F2430" s="4" t="e">
        <f ca="1">[1]!BexGetData("DP_1","003N8EMH8GTFRCSWKMPXRRRFI","GSON5113132041")</f>
        <v>#NAME?</v>
      </c>
      <c r="G2430" s="4" t="e">
        <f ca="1">[1]!BexGetData("DP_1","003N8EMH8GTFRCSWKMPXRRXR2","GSON5113132041")</f>
        <v>#NAME?</v>
      </c>
      <c r="H2430" s="4" t="e">
        <f ca="1">[1]!BexGetData("DP_1","003N8EMH8GTFRCSWKMPXRS42M","GSON5113132041")</f>
        <v>#NAME?</v>
      </c>
      <c r="I2430" s="4" t="e">
        <f ca="1">[1]!BexGetData("DP_1","003N8EMH8GTFRCSWKMPXRSAE6","GSON5113132041")</f>
        <v>#NAME?</v>
      </c>
      <c r="J2430" s="4" t="e">
        <f ca="1">[1]!BexGetData("DP_1","003N8EMH8GTFRCSWKMPXRSGPQ","GSON5113132041")</f>
        <v>#NAME?</v>
      </c>
      <c r="K2430" s="3" t="e">
        <f ca="1">[1]!BexGetData("DP_1","003N8EMH8GTFRIVNUPY288VJH","GSON5113132041")</f>
        <v>#NAME?</v>
      </c>
      <c r="L2430" s="3" t="e">
        <f ca="1">[1]!BexGetData("DP_1","003N8EMH8GTFRIVNUPY2891V1","GSON5113132041")</f>
        <v>#NAME?</v>
      </c>
      <c r="M2430" s="8" t="e">
        <f ca="1">[1]!BexGetData("DP_1","003N8EMH8GTFRIVOG7KG9IQXA","GSON5113132041")</f>
        <v>#NAME?</v>
      </c>
      <c r="N2430" s="3" t="e">
        <f ca="1">[1]!BexGetData("DP_1","003N8EMH8GTFRIVOG7KG9IX8U","GSON5113132041")</f>
        <v>#NAME?</v>
      </c>
      <c r="O2430" s="8" t="e">
        <f ca="1">[1]!BexGetData("DP_1","003N8EMH8GTFRIVOG7KG9J3KE","GSON5113132041")</f>
        <v>#NAME?</v>
      </c>
      <c r="P2430" s="3" t="e">
        <f ca="1">[1]!BexGetData("DP_1","003N8EMH8GTFRIVOG7KG9J9VY","GSON5113132041")</f>
        <v>#NAME?</v>
      </c>
      <c r="Q2430" s="4" t="e">
        <f ca="1">[1]!BexGetData("DP_1","00O2TNJGODT0G5Z4TTKYMM5MT","GSON5113132041")</f>
        <v>#NAME?</v>
      </c>
      <c r="R2430" s="4" t="e">
        <f ca="1">[1]!BexGetData("DP_1","00O2TNJGODT0G5Z4TTKYMMBYD","GSON5113132041")</f>
        <v>#NAME?</v>
      </c>
      <c r="S2430" s="4" t="e">
        <f ca="1">[1]!BexGetData("DP_1","00O2TNJGODT0G5Z4TTKYMMI9X","GSON5113132041")</f>
        <v>#NAME?</v>
      </c>
      <c r="T2430" s="4" t="e">
        <f ca="1">[1]!BexGetData("DP_1","00O2TNJGODT0G5Z4TTKYMMOLH","GSON5113132041")</f>
        <v>#NAME?</v>
      </c>
      <c r="U2430" s="4" t="e">
        <f ca="1">[1]!BexGetData("DP_1","00O2TNJGODT0G5Z4TTKYMMUX1","GSON5113132041")</f>
        <v>#NAME?</v>
      </c>
      <c r="V2430" s="4" t="e">
        <f ca="1">[1]!BexGetData("DP_1","00O2TNJGODT0G5Z4TTKYMN18L","GSON5113132041")</f>
        <v>#NAME?</v>
      </c>
      <c r="W2430" s="4" t="e">
        <f ca="1">[1]!BexGetData("DP_1","00O2TNJGODT0G5Z4TTKYMN7K5","GSON5113132041")</f>
        <v>#NAME?</v>
      </c>
    </row>
    <row r="2431" spans="1:23" x14ac:dyDescent="0.2">
      <c r="A2431" s="16" t="s">
        <v>5062</v>
      </c>
      <c r="B2431" s="7" t="s">
        <v>5063</v>
      </c>
      <c r="C2431" s="3" t="e">
        <f ca="1">[1]!BexGetData("DP_1","003N8EMH8GTFRCSWKMPXRR8GU","GSON5113132051")</f>
        <v>#NAME?</v>
      </c>
      <c r="D2431" s="3" t="e">
        <f ca="1">[1]!BexGetData("DP_1","003N8EMH8GTFRCSWKMPXRRESE","GSON5113132051")</f>
        <v>#NAME?</v>
      </c>
      <c r="E2431" s="3" t="e">
        <f ca="1">[1]!BexGetData("DP_1","003N8EMH8GTFRCSWKMPXRRL3Y","GSON5113132051")</f>
        <v>#NAME?</v>
      </c>
      <c r="F2431" s="4" t="e">
        <f ca="1">[1]!BexGetData("DP_1","003N8EMH8GTFRCSWKMPXRRRFI","GSON5113132051")</f>
        <v>#NAME?</v>
      </c>
      <c r="G2431" s="4" t="e">
        <f ca="1">[1]!BexGetData("DP_1","003N8EMH8GTFRCSWKMPXRRXR2","GSON5113132051")</f>
        <v>#NAME?</v>
      </c>
      <c r="H2431" s="4" t="e">
        <f ca="1">[1]!BexGetData("DP_1","003N8EMH8GTFRCSWKMPXRS42M","GSON5113132051")</f>
        <v>#NAME?</v>
      </c>
      <c r="I2431" s="4" t="e">
        <f ca="1">[1]!BexGetData("DP_1","003N8EMH8GTFRCSWKMPXRSAE6","GSON5113132051")</f>
        <v>#NAME?</v>
      </c>
      <c r="J2431" s="4" t="e">
        <f ca="1">[1]!BexGetData("DP_1","003N8EMH8GTFRCSWKMPXRSGPQ","GSON5113132051")</f>
        <v>#NAME?</v>
      </c>
      <c r="K2431" s="3" t="e">
        <f ca="1">[1]!BexGetData("DP_1","003N8EMH8GTFRIVNUPY288VJH","GSON5113132051")</f>
        <v>#NAME?</v>
      </c>
      <c r="L2431" s="3" t="e">
        <f ca="1">[1]!BexGetData("DP_1","003N8EMH8GTFRIVNUPY2891V1","GSON5113132051")</f>
        <v>#NAME?</v>
      </c>
      <c r="M2431" s="8" t="e">
        <f ca="1">[1]!BexGetData("DP_1","003N8EMH8GTFRIVOG7KG9IQXA","GSON5113132051")</f>
        <v>#NAME?</v>
      </c>
      <c r="N2431" s="3" t="e">
        <f ca="1">[1]!BexGetData("DP_1","003N8EMH8GTFRIVOG7KG9IX8U","GSON5113132051")</f>
        <v>#NAME?</v>
      </c>
      <c r="O2431" s="8" t="e">
        <f ca="1">[1]!BexGetData("DP_1","003N8EMH8GTFRIVOG7KG9J3KE","GSON5113132051")</f>
        <v>#NAME?</v>
      </c>
      <c r="P2431" s="3" t="e">
        <f ca="1">[1]!BexGetData("DP_1","003N8EMH8GTFRIVOG7KG9J9VY","GSON5113132051")</f>
        <v>#NAME?</v>
      </c>
      <c r="Q2431" s="4" t="e">
        <f ca="1">[1]!BexGetData("DP_1","00O2TNJGODT0G5Z4TTKYMM5MT","GSON5113132051")</f>
        <v>#NAME?</v>
      </c>
      <c r="R2431" s="4" t="e">
        <f ca="1">[1]!BexGetData("DP_1","00O2TNJGODT0G5Z4TTKYMMBYD","GSON5113132051")</f>
        <v>#NAME?</v>
      </c>
      <c r="S2431" s="4" t="e">
        <f ca="1">[1]!BexGetData("DP_1","00O2TNJGODT0G5Z4TTKYMMI9X","GSON5113132051")</f>
        <v>#NAME?</v>
      </c>
      <c r="T2431" s="4" t="e">
        <f ca="1">[1]!BexGetData("DP_1","00O2TNJGODT0G5Z4TTKYMMOLH","GSON5113132051")</f>
        <v>#NAME?</v>
      </c>
      <c r="U2431" s="4" t="e">
        <f ca="1">[1]!BexGetData("DP_1","00O2TNJGODT0G5Z4TTKYMMUX1","GSON5113132051")</f>
        <v>#NAME?</v>
      </c>
      <c r="V2431" s="4" t="e">
        <f ca="1">[1]!BexGetData("DP_1","00O2TNJGODT0G5Z4TTKYMN18L","GSON5113132051")</f>
        <v>#NAME?</v>
      </c>
      <c r="W2431" s="4" t="e">
        <f ca="1">[1]!BexGetData("DP_1","00O2TNJGODT0G5Z4TTKYMN7K5","GSON5113132051")</f>
        <v>#NAME?</v>
      </c>
    </row>
    <row r="2432" spans="1:23" x14ac:dyDescent="0.2">
      <c r="A2432" s="16" t="s">
        <v>5064</v>
      </c>
      <c r="B2432" s="7" t="s">
        <v>5065</v>
      </c>
      <c r="C2432" s="3" t="e">
        <f ca="1">[1]!BexGetData("DP_1","003N8EMH8GTFRCSWKMPXRR8GU","GSON5113134011")</f>
        <v>#NAME?</v>
      </c>
      <c r="D2432" s="3" t="e">
        <f ca="1">[1]!BexGetData("DP_1","003N8EMH8GTFRCSWKMPXRRESE","GSON5113134011")</f>
        <v>#NAME?</v>
      </c>
      <c r="E2432" s="3" t="e">
        <f ca="1">[1]!BexGetData("DP_1","003N8EMH8GTFRCSWKMPXRRL3Y","GSON5113134011")</f>
        <v>#NAME?</v>
      </c>
      <c r="F2432" s="4" t="e">
        <f ca="1">[1]!BexGetData("DP_1","003N8EMH8GTFRCSWKMPXRRRFI","GSON5113134011")</f>
        <v>#NAME?</v>
      </c>
      <c r="G2432" s="4" t="e">
        <f ca="1">[1]!BexGetData("DP_1","003N8EMH8GTFRCSWKMPXRRXR2","GSON5113134011")</f>
        <v>#NAME?</v>
      </c>
      <c r="H2432" s="4" t="e">
        <f ca="1">[1]!BexGetData("DP_1","003N8EMH8GTFRCSWKMPXRS42M","GSON5113134011")</f>
        <v>#NAME?</v>
      </c>
      <c r="I2432" s="4" t="e">
        <f ca="1">[1]!BexGetData("DP_1","003N8EMH8GTFRCSWKMPXRSAE6","GSON5113134011")</f>
        <v>#NAME?</v>
      </c>
      <c r="J2432" s="4" t="e">
        <f ca="1">[1]!BexGetData("DP_1","003N8EMH8GTFRCSWKMPXRSGPQ","GSON5113134011")</f>
        <v>#NAME?</v>
      </c>
      <c r="K2432" s="3" t="e">
        <f ca="1">[1]!BexGetData("DP_1","003N8EMH8GTFRIVNUPY288VJH","GSON5113134011")</f>
        <v>#NAME?</v>
      </c>
      <c r="L2432" s="3" t="e">
        <f ca="1">[1]!BexGetData("DP_1","003N8EMH8GTFRIVNUPY2891V1","GSON5113134011")</f>
        <v>#NAME?</v>
      </c>
      <c r="M2432" s="8" t="e">
        <f ca="1">[1]!BexGetData("DP_1","003N8EMH8GTFRIVOG7KG9IQXA","GSON5113134011")</f>
        <v>#NAME?</v>
      </c>
      <c r="N2432" s="3" t="e">
        <f ca="1">[1]!BexGetData("DP_1","003N8EMH8GTFRIVOG7KG9IX8U","GSON5113134011")</f>
        <v>#NAME?</v>
      </c>
      <c r="O2432" s="8" t="e">
        <f ca="1">[1]!BexGetData("DP_1","003N8EMH8GTFRIVOG7KG9J3KE","GSON5113134011")</f>
        <v>#NAME?</v>
      </c>
      <c r="P2432" s="3" t="e">
        <f ca="1">[1]!BexGetData("DP_1","003N8EMH8GTFRIVOG7KG9J9VY","GSON5113134011")</f>
        <v>#NAME?</v>
      </c>
      <c r="Q2432" s="4" t="e">
        <f ca="1">[1]!BexGetData("DP_1","00O2TNJGODT0G5Z4TTKYMM5MT","GSON5113134011")</f>
        <v>#NAME?</v>
      </c>
      <c r="R2432" s="4" t="e">
        <f ca="1">[1]!BexGetData("DP_1","00O2TNJGODT0G5Z4TTKYMMBYD","GSON5113134011")</f>
        <v>#NAME?</v>
      </c>
      <c r="S2432" s="4" t="e">
        <f ca="1">[1]!BexGetData("DP_1","00O2TNJGODT0G5Z4TTKYMMI9X","GSON5113134011")</f>
        <v>#NAME?</v>
      </c>
      <c r="T2432" s="4" t="e">
        <f ca="1">[1]!BexGetData("DP_1","00O2TNJGODT0G5Z4TTKYMMOLH","GSON5113134011")</f>
        <v>#NAME?</v>
      </c>
      <c r="U2432" s="4" t="e">
        <f ca="1">[1]!BexGetData("DP_1","00O2TNJGODT0G5Z4TTKYMMUX1","GSON5113134011")</f>
        <v>#NAME?</v>
      </c>
      <c r="V2432" s="4" t="e">
        <f ca="1">[1]!BexGetData("DP_1","00O2TNJGODT0G5Z4TTKYMN18L","GSON5113134011")</f>
        <v>#NAME?</v>
      </c>
      <c r="W2432" s="4" t="e">
        <f ca="1">[1]!BexGetData("DP_1","00O2TNJGODT0G5Z4TTKYMN7K5","GSON5113134011")</f>
        <v>#NAME?</v>
      </c>
    </row>
    <row r="2433" spans="1:23" x14ac:dyDescent="0.2">
      <c r="A2433" s="16" t="s">
        <v>5066</v>
      </c>
      <c r="B2433" s="7" t="s">
        <v>5067</v>
      </c>
      <c r="C2433" s="3" t="e">
        <f ca="1">[1]!BexGetData("DP_1","003N8EMH8GTFRCSWKMPXRR8GU","GSON5113134031")</f>
        <v>#NAME?</v>
      </c>
      <c r="D2433" s="3" t="e">
        <f ca="1">[1]!BexGetData("DP_1","003N8EMH8GTFRCSWKMPXRRESE","GSON5113134031")</f>
        <v>#NAME?</v>
      </c>
      <c r="E2433" s="3" t="e">
        <f ca="1">[1]!BexGetData("DP_1","003N8EMH8GTFRCSWKMPXRRL3Y","GSON5113134031")</f>
        <v>#NAME?</v>
      </c>
      <c r="F2433" s="4" t="e">
        <f ca="1">[1]!BexGetData("DP_1","003N8EMH8GTFRCSWKMPXRRRFI","GSON5113134031")</f>
        <v>#NAME?</v>
      </c>
      <c r="G2433" s="4" t="e">
        <f ca="1">[1]!BexGetData("DP_1","003N8EMH8GTFRCSWKMPXRRXR2","GSON5113134031")</f>
        <v>#NAME?</v>
      </c>
      <c r="H2433" s="4" t="e">
        <f ca="1">[1]!BexGetData("DP_1","003N8EMH8GTFRCSWKMPXRS42M","GSON5113134031")</f>
        <v>#NAME?</v>
      </c>
      <c r="I2433" s="4" t="e">
        <f ca="1">[1]!BexGetData("DP_1","003N8EMH8GTFRCSWKMPXRSAE6","GSON5113134031")</f>
        <v>#NAME?</v>
      </c>
      <c r="J2433" s="4" t="e">
        <f ca="1">[1]!BexGetData("DP_1","003N8EMH8GTFRCSWKMPXRSGPQ","GSON5113134031")</f>
        <v>#NAME?</v>
      </c>
      <c r="K2433" s="3" t="e">
        <f ca="1">[1]!BexGetData("DP_1","003N8EMH8GTFRIVNUPY288VJH","GSON5113134031")</f>
        <v>#NAME?</v>
      </c>
      <c r="L2433" s="3" t="e">
        <f ca="1">[1]!BexGetData("DP_1","003N8EMH8GTFRIVNUPY2891V1","GSON5113134031")</f>
        <v>#NAME?</v>
      </c>
      <c r="M2433" s="8" t="e">
        <f ca="1">[1]!BexGetData("DP_1","003N8EMH8GTFRIVOG7KG9IQXA","GSON5113134031")</f>
        <v>#NAME?</v>
      </c>
      <c r="N2433" s="3" t="e">
        <f ca="1">[1]!BexGetData("DP_1","003N8EMH8GTFRIVOG7KG9IX8U","GSON5113134031")</f>
        <v>#NAME?</v>
      </c>
      <c r="O2433" s="8" t="e">
        <f ca="1">[1]!BexGetData("DP_1","003N8EMH8GTFRIVOG7KG9J3KE","GSON5113134031")</f>
        <v>#NAME?</v>
      </c>
      <c r="P2433" s="3" t="e">
        <f ca="1">[1]!BexGetData("DP_1","003N8EMH8GTFRIVOG7KG9J9VY","GSON5113134031")</f>
        <v>#NAME?</v>
      </c>
      <c r="Q2433" s="4" t="e">
        <f ca="1">[1]!BexGetData("DP_1","00O2TNJGODT0G5Z4TTKYMM5MT","GSON5113134031")</f>
        <v>#NAME?</v>
      </c>
      <c r="R2433" s="4" t="e">
        <f ca="1">[1]!BexGetData("DP_1","00O2TNJGODT0G5Z4TTKYMMBYD","GSON5113134031")</f>
        <v>#NAME?</v>
      </c>
      <c r="S2433" s="4" t="e">
        <f ca="1">[1]!BexGetData("DP_1","00O2TNJGODT0G5Z4TTKYMMI9X","GSON5113134031")</f>
        <v>#NAME?</v>
      </c>
      <c r="T2433" s="4" t="e">
        <f ca="1">[1]!BexGetData("DP_1","00O2TNJGODT0G5Z4TTKYMMOLH","GSON5113134031")</f>
        <v>#NAME?</v>
      </c>
      <c r="U2433" s="4" t="e">
        <f ca="1">[1]!BexGetData("DP_1","00O2TNJGODT0G5Z4TTKYMMUX1","GSON5113134031")</f>
        <v>#NAME?</v>
      </c>
      <c r="V2433" s="4" t="e">
        <f ca="1">[1]!BexGetData("DP_1","00O2TNJGODT0G5Z4TTKYMN18L","GSON5113134031")</f>
        <v>#NAME?</v>
      </c>
      <c r="W2433" s="4" t="e">
        <f ca="1">[1]!BexGetData("DP_1","00O2TNJGODT0G5Z4TTKYMN7K5","GSON5113134031")</f>
        <v>#NAME?</v>
      </c>
    </row>
    <row r="2434" spans="1:23" x14ac:dyDescent="0.2">
      <c r="A2434" s="16" t="s">
        <v>5068</v>
      </c>
      <c r="B2434" s="7" t="s">
        <v>5069</v>
      </c>
      <c r="C2434" s="3" t="e">
        <f ca="1">[1]!BexGetData("DP_1","003N8EMH8GTFRCSWKMPXRR8GU","GSON5113134032")</f>
        <v>#NAME?</v>
      </c>
      <c r="D2434" s="8" t="e">
        <f ca="1">[1]!BexGetData("DP_1","003N8EMH8GTFRCSWKMPXRRESE","GSON5113134032")</f>
        <v>#NAME?</v>
      </c>
      <c r="E2434" s="3" t="e">
        <f ca="1">[1]!BexGetData("DP_1","003N8EMH8GTFRCSWKMPXRRL3Y","GSON5113134032")</f>
        <v>#NAME?</v>
      </c>
      <c r="F2434" s="4" t="e">
        <f ca="1">[1]!BexGetData("DP_1","003N8EMH8GTFRCSWKMPXRRRFI","GSON5113134032")</f>
        <v>#NAME?</v>
      </c>
      <c r="G2434" s="4" t="e">
        <f ca="1">[1]!BexGetData("DP_1","003N8EMH8GTFRCSWKMPXRRXR2","GSON5113134032")</f>
        <v>#NAME?</v>
      </c>
      <c r="H2434" s="4" t="e">
        <f ca="1">[1]!BexGetData("DP_1","003N8EMH8GTFRCSWKMPXRS42M","GSON5113134032")</f>
        <v>#NAME?</v>
      </c>
      <c r="I2434" s="4" t="e">
        <f ca="1">[1]!BexGetData("DP_1","003N8EMH8GTFRCSWKMPXRSAE6","GSON5113134032")</f>
        <v>#NAME?</v>
      </c>
      <c r="J2434" s="4" t="e">
        <f ca="1">[1]!BexGetData("DP_1","003N8EMH8GTFRCSWKMPXRSGPQ","GSON5113134032")</f>
        <v>#NAME?</v>
      </c>
      <c r="K2434" s="3" t="e">
        <f ca="1">[1]!BexGetData("DP_1","003N8EMH8GTFRIVNUPY288VJH","GSON5113134032")</f>
        <v>#NAME?</v>
      </c>
      <c r="L2434" s="3" t="e">
        <f ca="1">[1]!BexGetData("DP_1","003N8EMH8GTFRIVNUPY2891V1","GSON5113134032")</f>
        <v>#NAME?</v>
      </c>
      <c r="M2434" s="8" t="e">
        <f ca="1">[1]!BexGetData("DP_1","003N8EMH8GTFRIVOG7KG9IQXA","GSON5113134032")</f>
        <v>#NAME?</v>
      </c>
      <c r="N2434" s="3" t="e">
        <f ca="1">[1]!BexGetData("DP_1","003N8EMH8GTFRIVOG7KG9IX8U","GSON5113134032")</f>
        <v>#NAME?</v>
      </c>
      <c r="O2434" s="8" t="e">
        <f ca="1">[1]!BexGetData("DP_1","003N8EMH8GTFRIVOG7KG9J3KE","GSON5113134032")</f>
        <v>#NAME?</v>
      </c>
      <c r="P2434" s="3" t="e">
        <f ca="1">[1]!BexGetData("DP_1","003N8EMH8GTFRIVOG7KG9J9VY","GSON5113134032")</f>
        <v>#NAME?</v>
      </c>
      <c r="Q2434" s="4" t="e">
        <f ca="1">[1]!BexGetData("DP_1","00O2TNJGODT0G5Z4TTKYMM5MT","GSON5113134032")</f>
        <v>#NAME?</v>
      </c>
      <c r="R2434" s="4" t="e">
        <f ca="1">[1]!BexGetData("DP_1","00O2TNJGODT0G5Z4TTKYMMBYD","GSON5113134032")</f>
        <v>#NAME?</v>
      </c>
      <c r="S2434" s="4" t="e">
        <f ca="1">[1]!BexGetData("DP_1","00O2TNJGODT0G5Z4TTKYMMI9X","GSON5113134032")</f>
        <v>#NAME?</v>
      </c>
      <c r="T2434" s="4" t="e">
        <f ca="1">[1]!BexGetData("DP_1","00O2TNJGODT0G5Z4TTKYMMOLH","GSON5113134032")</f>
        <v>#NAME?</v>
      </c>
      <c r="U2434" s="4" t="e">
        <f ca="1">[1]!BexGetData("DP_1","00O2TNJGODT0G5Z4TTKYMMUX1","GSON5113134032")</f>
        <v>#NAME?</v>
      </c>
      <c r="V2434" s="4" t="e">
        <f ca="1">[1]!BexGetData("DP_1","00O2TNJGODT0G5Z4TTKYMN18L","GSON5113134032")</f>
        <v>#NAME?</v>
      </c>
      <c r="W2434" s="4" t="e">
        <f ca="1">[1]!BexGetData("DP_1","00O2TNJGODT0G5Z4TTKYMN7K5","GSON5113134032")</f>
        <v>#NAME?</v>
      </c>
    </row>
    <row r="2435" spans="1:23" x14ac:dyDescent="0.2">
      <c r="A2435" s="16" t="s">
        <v>5070</v>
      </c>
      <c r="B2435" s="7" t="s">
        <v>5071</v>
      </c>
      <c r="C2435" s="3" t="e">
        <f ca="1">[1]!BexGetData("DP_1","003N8EMH8GTFRCSWKMPXRR8GU","GSON5113134041")</f>
        <v>#NAME?</v>
      </c>
      <c r="D2435" s="3" t="e">
        <f ca="1">[1]!BexGetData("DP_1","003N8EMH8GTFRCSWKMPXRRESE","GSON5113134041")</f>
        <v>#NAME?</v>
      </c>
      <c r="E2435" s="3" t="e">
        <f ca="1">[1]!BexGetData("DP_1","003N8EMH8GTFRCSWKMPXRRL3Y","GSON5113134041")</f>
        <v>#NAME?</v>
      </c>
      <c r="F2435" s="4" t="e">
        <f ca="1">[1]!BexGetData("DP_1","003N8EMH8GTFRCSWKMPXRRRFI","GSON5113134041")</f>
        <v>#NAME?</v>
      </c>
      <c r="G2435" s="4" t="e">
        <f ca="1">[1]!BexGetData("DP_1","003N8EMH8GTFRCSWKMPXRRXR2","GSON5113134041")</f>
        <v>#NAME?</v>
      </c>
      <c r="H2435" s="4" t="e">
        <f ca="1">[1]!BexGetData("DP_1","003N8EMH8GTFRCSWKMPXRS42M","GSON5113134041")</f>
        <v>#NAME?</v>
      </c>
      <c r="I2435" s="4" t="e">
        <f ca="1">[1]!BexGetData("DP_1","003N8EMH8GTFRCSWKMPXRSAE6","GSON5113134041")</f>
        <v>#NAME?</v>
      </c>
      <c r="J2435" s="4" t="e">
        <f ca="1">[1]!BexGetData("DP_1","003N8EMH8GTFRCSWKMPXRSGPQ","GSON5113134041")</f>
        <v>#NAME?</v>
      </c>
      <c r="K2435" s="3" t="e">
        <f ca="1">[1]!BexGetData("DP_1","003N8EMH8GTFRIVNUPY288VJH","GSON5113134041")</f>
        <v>#NAME?</v>
      </c>
      <c r="L2435" s="3" t="e">
        <f ca="1">[1]!BexGetData("DP_1","003N8EMH8GTFRIVNUPY2891V1","GSON5113134041")</f>
        <v>#NAME?</v>
      </c>
      <c r="M2435" s="8" t="e">
        <f ca="1">[1]!BexGetData("DP_1","003N8EMH8GTFRIVOG7KG9IQXA","GSON5113134041")</f>
        <v>#NAME?</v>
      </c>
      <c r="N2435" s="3" t="e">
        <f ca="1">[1]!BexGetData("DP_1","003N8EMH8GTFRIVOG7KG9IX8U","GSON5113134041")</f>
        <v>#NAME?</v>
      </c>
      <c r="O2435" s="8" t="e">
        <f ca="1">[1]!BexGetData("DP_1","003N8EMH8GTFRIVOG7KG9J3KE","GSON5113134041")</f>
        <v>#NAME?</v>
      </c>
      <c r="P2435" s="3" t="e">
        <f ca="1">[1]!BexGetData("DP_1","003N8EMH8GTFRIVOG7KG9J9VY","GSON5113134041")</f>
        <v>#NAME?</v>
      </c>
      <c r="Q2435" s="4" t="e">
        <f ca="1">[1]!BexGetData("DP_1","00O2TNJGODT0G5Z4TTKYMM5MT","GSON5113134041")</f>
        <v>#NAME?</v>
      </c>
      <c r="R2435" s="4" t="e">
        <f ca="1">[1]!BexGetData("DP_1","00O2TNJGODT0G5Z4TTKYMMBYD","GSON5113134041")</f>
        <v>#NAME?</v>
      </c>
      <c r="S2435" s="4" t="e">
        <f ca="1">[1]!BexGetData("DP_1","00O2TNJGODT0G5Z4TTKYMMI9X","GSON5113134041")</f>
        <v>#NAME?</v>
      </c>
      <c r="T2435" s="4" t="e">
        <f ca="1">[1]!BexGetData("DP_1","00O2TNJGODT0G5Z4TTKYMMOLH","GSON5113134041")</f>
        <v>#NAME?</v>
      </c>
      <c r="U2435" s="4" t="e">
        <f ca="1">[1]!BexGetData("DP_1","00O2TNJGODT0G5Z4TTKYMMUX1","GSON5113134041")</f>
        <v>#NAME?</v>
      </c>
      <c r="V2435" s="4" t="e">
        <f ca="1">[1]!BexGetData("DP_1","00O2TNJGODT0G5Z4TTKYMN18L","GSON5113134041")</f>
        <v>#NAME?</v>
      </c>
      <c r="W2435" s="4" t="e">
        <f ca="1">[1]!BexGetData("DP_1","00O2TNJGODT0G5Z4TTKYMN7K5","GSON5113134041")</f>
        <v>#NAME?</v>
      </c>
    </row>
    <row r="2436" spans="1:23" x14ac:dyDescent="0.2">
      <c r="A2436" s="16" t="s">
        <v>5072</v>
      </c>
      <c r="B2436" s="7" t="s">
        <v>5073</v>
      </c>
      <c r="C2436" s="3" t="e">
        <f ca="1">[1]!BexGetData("DP_1","003N8EMH8GTFRCSWKMPXRR8GU","GSON5113137011")</f>
        <v>#NAME?</v>
      </c>
      <c r="D2436" s="8" t="e">
        <f ca="1">[1]!BexGetData("DP_1","003N8EMH8GTFRCSWKMPXRRESE","GSON5113137011")</f>
        <v>#NAME?</v>
      </c>
      <c r="E2436" s="3" t="e">
        <f ca="1">[1]!BexGetData("DP_1","003N8EMH8GTFRCSWKMPXRRL3Y","GSON5113137011")</f>
        <v>#NAME?</v>
      </c>
      <c r="F2436" s="4" t="e">
        <f ca="1">[1]!BexGetData("DP_1","003N8EMH8GTFRCSWKMPXRRRFI","GSON5113137011")</f>
        <v>#NAME?</v>
      </c>
      <c r="G2436" s="4" t="e">
        <f ca="1">[1]!BexGetData("DP_1","003N8EMH8GTFRCSWKMPXRRXR2","GSON5113137011")</f>
        <v>#NAME?</v>
      </c>
      <c r="H2436" s="4" t="e">
        <f ca="1">[1]!BexGetData("DP_1","003N8EMH8GTFRCSWKMPXRS42M","GSON5113137011")</f>
        <v>#NAME?</v>
      </c>
      <c r="I2436" s="4" t="e">
        <f ca="1">[1]!BexGetData("DP_1","003N8EMH8GTFRCSWKMPXRSAE6","GSON5113137011")</f>
        <v>#NAME?</v>
      </c>
      <c r="J2436" s="4" t="e">
        <f ca="1">[1]!BexGetData("DP_1","003N8EMH8GTFRCSWKMPXRSGPQ","GSON5113137011")</f>
        <v>#NAME?</v>
      </c>
      <c r="K2436" s="3" t="e">
        <f ca="1">[1]!BexGetData("DP_1","003N8EMH8GTFRIVNUPY288VJH","GSON5113137011")</f>
        <v>#NAME?</v>
      </c>
      <c r="L2436" s="3" t="e">
        <f ca="1">[1]!BexGetData("DP_1","003N8EMH8GTFRIVNUPY2891V1","GSON5113137011")</f>
        <v>#NAME?</v>
      </c>
      <c r="M2436" s="8" t="e">
        <f ca="1">[1]!BexGetData("DP_1","003N8EMH8GTFRIVOG7KG9IQXA","GSON5113137011")</f>
        <v>#NAME?</v>
      </c>
      <c r="N2436" s="3" t="e">
        <f ca="1">[1]!BexGetData("DP_1","003N8EMH8GTFRIVOG7KG9IX8U","GSON5113137011")</f>
        <v>#NAME?</v>
      </c>
      <c r="O2436" s="8" t="e">
        <f ca="1">[1]!BexGetData("DP_1","003N8EMH8GTFRIVOG7KG9J3KE","GSON5113137011")</f>
        <v>#NAME?</v>
      </c>
      <c r="P2436" s="3" t="e">
        <f ca="1">[1]!BexGetData("DP_1","003N8EMH8GTFRIVOG7KG9J9VY","GSON5113137011")</f>
        <v>#NAME?</v>
      </c>
      <c r="Q2436" s="4" t="e">
        <f ca="1">[1]!BexGetData("DP_1","00O2TNJGODT0G5Z4TTKYMM5MT","GSON5113137011")</f>
        <v>#NAME?</v>
      </c>
      <c r="R2436" s="4" t="e">
        <f ca="1">[1]!BexGetData("DP_1","00O2TNJGODT0G5Z4TTKYMMBYD","GSON5113137011")</f>
        <v>#NAME?</v>
      </c>
      <c r="S2436" s="4" t="e">
        <f ca="1">[1]!BexGetData("DP_1","00O2TNJGODT0G5Z4TTKYMMI9X","GSON5113137011")</f>
        <v>#NAME?</v>
      </c>
      <c r="T2436" s="4" t="e">
        <f ca="1">[1]!BexGetData("DP_1","00O2TNJGODT0G5Z4TTKYMMOLH","GSON5113137011")</f>
        <v>#NAME?</v>
      </c>
      <c r="U2436" s="4" t="e">
        <f ca="1">[1]!BexGetData("DP_1","00O2TNJGODT0G5Z4TTKYMMUX1","GSON5113137011")</f>
        <v>#NAME?</v>
      </c>
      <c r="V2436" s="4" t="e">
        <f ca="1">[1]!BexGetData("DP_1","00O2TNJGODT0G5Z4TTKYMN18L","GSON5113137011")</f>
        <v>#NAME?</v>
      </c>
      <c r="W2436" s="4" t="e">
        <f ca="1">[1]!BexGetData("DP_1","00O2TNJGODT0G5Z4TTKYMN7K5","GSON5113137011")</f>
        <v>#NAME?</v>
      </c>
    </row>
    <row r="2437" spans="1:23" x14ac:dyDescent="0.2">
      <c r="A2437" s="16" t="s">
        <v>5074</v>
      </c>
      <c r="B2437" s="7" t="s">
        <v>5075</v>
      </c>
      <c r="C2437" s="3" t="e">
        <f ca="1">[1]!BexGetData("DP_1","003N8EMH8GTFRCSWKMPXRR8GU","GSON5113137012")</f>
        <v>#NAME?</v>
      </c>
      <c r="D2437" s="3" t="e">
        <f ca="1">[1]!BexGetData("DP_1","003N8EMH8GTFRCSWKMPXRRESE","GSON5113137012")</f>
        <v>#NAME?</v>
      </c>
      <c r="E2437" s="8" t="e">
        <f ca="1">[1]!BexGetData("DP_1","003N8EMH8GTFRCSWKMPXRRL3Y","GSON5113137012")</f>
        <v>#NAME?</v>
      </c>
      <c r="F2437" s="4" t="e">
        <f ca="1">[1]!BexGetData("DP_1","003N8EMH8GTFRCSWKMPXRRRFI","GSON5113137012")</f>
        <v>#NAME?</v>
      </c>
      <c r="G2437" s="4" t="e">
        <f ca="1">[1]!BexGetData("DP_1","003N8EMH8GTFRCSWKMPXRRXR2","GSON5113137012")</f>
        <v>#NAME?</v>
      </c>
      <c r="H2437" s="4" t="e">
        <f ca="1">[1]!BexGetData("DP_1","003N8EMH8GTFRCSWKMPXRS42M","GSON5113137012")</f>
        <v>#NAME?</v>
      </c>
      <c r="I2437" s="4" t="e">
        <f ca="1">[1]!BexGetData("DP_1","003N8EMH8GTFRCSWKMPXRSAE6","GSON5113137012")</f>
        <v>#NAME?</v>
      </c>
      <c r="J2437" s="4" t="e">
        <f ca="1">[1]!BexGetData("DP_1","003N8EMH8GTFRCSWKMPXRSGPQ","GSON5113137012")</f>
        <v>#NAME?</v>
      </c>
      <c r="K2437" s="8" t="e">
        <f ca="1">[1]!BexGetData("DP_1","003N8EMH8GTFRIVNUPY288VJH","GSON5113137012")</f>
        <v>#NAME?</v>
      </c>
      <c r="L2437" s="8" t="e">
        <f ca="1">[1]!BexGetData("DP_1","003N8EMH8GTFRIVNUPY2891V1","GSON5113137012")</f>
        <v>#NAME?</v>
      </c>
      <c r="M2437" s="8" t="e">
        <f ca="1">[1]!BexGetData("DP_1","003N8EMH8GTFRIVOG7KG9IQXA","GSON5113137012")</f>
        <v>#NAME?</v>
      </c>
      <c r="N2437" s="8" t="e">
        <f ca="1">[1]!BexGetData("DP_1","003N8EMH8GTFRIVOG7KG9IX8U","GSON5113137012")</f>
        <v>#NAME?</v>
      </c>
      <c r="O2437" s="8" t="e">
        <f ca="1">[1]!BexGetData("DP_1","003N8EMH8GTFRIVOG7KG9J3KE","GSON5113137012")</f>
        <v>#NAME?</v>
      </c>
      <c r="P2437" s="8" t="e">
        <f ca="1">[1]!BexGetData("DP_1","003N8EMH8GTFRIVOG7KG9J9VY","GSON5113137012")</f>
        <v>#NAME?</v>
      </c>
      <c r="Q2437" s="4" t="e">
        <f ca="1">[1]!BexGetData("DP_1","00O2TNJGODT0G5Z4TTKYMM5MT","GSON5113137012")</f>
        <v>#NAME?</v>
      </c>
      <c r="R2437" s="4" t="e">
        <f ca="1">[1]!BexGetData("DP_1","00O2TNJGODT0G5Z4TTKYMMBYD","GSON5113137012")</f>
        <v>#NAME?</v>
      </c>
      <c r="S2437" s="4" t="e">
        <f ca="1">[1]!BexGetData("DP_1","00O2TNJGODT0G5Z4TTKYMMI9X","GSON5113137012")</f>
        <v>#NAME?</v>
      </c>
      <c r="T2437" s="4" t="e">
        <f ca="1">[1]!BexGetData("DP_1","00O2TNJGODT0G5Z4TTKYMMOLH","GSON5113137012")</f>
        <v>#NAME?</v>
      </c>
      <c r="U2437" s="4" t="e">
        <f ca="1">[1]!BexGetData("DP_1","00O2TNJGODT0G5Z4TTKYMMUX1","GSON5113137012")</f>
        <v>#NAME?</v>
      </c>
      <c r="V2437" s="4" t="e">
        <f ca="1">[1]!BexGetData("DP_1","00O2TNJGODT0G5Z4TTKYMN18L","GSON5113137012")</f>
        <v>#NAME?</v>
      </c>
      <c r="W2437" s="4" t="e">
        <f ca="1">[1]!BexGetData("DP_1","00O2TNJGODT0G5Z4TTKYMN7K5","GSON5113137012")</f>
        <v>#NAME?</v>
      </c>
    </row>
    <row r="2438" spans="1:23" x14ac:dyDescent="0.2">
      <c r="A2438" s="15" t="s">
        <v>1552</v>
      </c>
      <c r="B2438" s="7" t="s">
        <v>1553</v>
      </c>
      <c r="C2438" s="3" t="e">
        <f ca="1">[1]!BexGetData("DP_1","003N8EMH8GTFRCSWKMPXRR8GU","GSON5114")</f>
        <v>#NAME?</v>
      </c>
      <c r="D2438" s="3" t="e">
        <f ca="1">[1]!BexGetData("DP_1","003N8EMH8GTFRCSWKMPXRRESE","GSON5114")</f>
        <v>#NAME?</v>
      </c>
      <c r="E2438" s="3" t="e">
        <f ca="1">[1]!BexGetData("DP_1","003N8EMH8GTFRCSWKMPXRRL3Y","GSON5114")</f>
        <v>#NAME?</v>
      </c>
      <c r="F2438" s="4" t="e">
        <f ca="1">[1]!BexGetData("DP_1","003N8EMH8GTFRCSWKMPXRRRFI","GSON5114")</f>
        <v>#NAME?</v>
      </c>
      <c r="G2438" s="4" t="e">
        <f ca="1">[1]!BexGetData("DP_1","003N8EMH8GTFRCSWKMPXRRXR2","GSON5114")</f>
        <v>#NAME?</v>
      </c>
      <c r="H2438" s="4" t="e">
        <f ca="1">[1]!BexGetData("DP_1","003N8EMH8GTFRCSWKMPXRS42M","GSON5114")</f>
        <v>#NAME?</v>
      </c>
      <c r="I2438" s="4" t="e">
        <f ca="1">[1]!BexGetData("DP_1","003N8EMH8GTFRCSWKMPXRSAE6","GSON5114")</f>
        <v>#NAME?</v>
      </c>
      <c r="J2438" s="4" t="e">
        <f ca="1">[1]!BexGetData("DP_1","003N8EMH8GTFRCSWKMPXRSGPQ","GSON5114")</f>
        <v>#NAME?</v>
      </c>
      <c r="K2438" s="3" t="e">
        <f ca="1">[1]!BexGetData("DP_1","003N8EMH8GTFRIVNUPY288VJH","GSON5114")</f>
        <v>#NAME?</v>
      </c>
      <c r="L2438" s="3" t="e">
        <f ca="1">[1]!BexGetData("DP_1","003N8EMH8GTFRIVNUPY2891V1","GSON5114")</f>
        <v>#NAME?</v>
      </c>
      <c r="M2438" s="8" t="e">
        <f ca="1">[1]!BexGetData("DP_1","003N8EMH8GTFRIVOG7KG9IQXA","GSON5114")</f>
        <v>#NAME?</v>
      </c>
      <c r="N2438" s="3" t="e">
        <f ca="1">[1]!BexGetData("DP_1","003N8EMH8GTFRIVOG7KG9IX8U","GSON5114")</f>
        <v>#NAME?</v>
      </c>
      <c r="O2438" s="8" t="e">
        <f ca="1">[1]!BexGetData("DP_1","003N8EMH8GTFRIVOG7KG9J3KE","GSON5114")</f>
        <v>#NAME?</v>
      </c>
      <c r="P2438" s="3" t="e">
        <f ca="1">[1]!BexGetData("DP_1","003N8EMH8GTFRIVOG7KG9J9VY","GSON5114")</f>
        <v>#NAME?</v>
      </c>
      <c r="Q2438" s="4" t="e">
        <f ca="1">[1]!BexGetData("DP_1","00O2TNJGODT0G5Z4TTKYMM5MT","GSON5114")</f>
        <v>#NAME?</v>
      </c>
      <c r="R2438" s="4" t="e">
        <f ca="1">[1]!BexGetData("DP_1","00O2TNJGODT0G5Z4TTKYMMBYD","GSON5114")</f>
        <v>#NAME?</v>
      </c>
      <c r="S2438" s="4" t="e">
        <f ca="1">[1]!BexGetData("DP_1","00O2TNJGODT0G5Z4TTKYMMI9X","GSON5114")</f>
        <v>#NAME?</v>
      </c>
      <c r="T2438" s="4" t="e">
        <f ca="1">[1]!BexGetData("DP_1","00O2TNJGODT0G5Z4TTKYMMOLH","GSON5114")</f>
        <v>#NAME?</v>
      </c>
      <c r="U2438" s="4" t="e">
        <f ca="1">[1]!BexGetData("DP_1","00O2TNJGODT0G5Z4TTKYMMUX1","GSON5114")</f>
        <v>#NAME?</v>
      </c>
      <c r="V2438" s="4" t="e">
        <f ca="1">[1]!BexGetData("DP_1","00O2TNJGODT0G5Z4TTKYMN18L","GSON5114")</f>
        <v>#NAME?</v>
      </c>
      <c r="W2438" s="4" t="e">
        <f ca="1">[1]!BexGetData("DP_1","00O2TNJGODT0G5Z4TTKYMN7K5","GSON5114")</f>
        <v>#NAME?</v>
      </c>
    </row>
    <row r="2439" spans="1:23" x14ac:dyDescent="0.2">
      <c r="A2439" s="16" t="s">
        <v>5076</v>
      </c>
      <c r="B2439" s="7" t="s">
        <v>1554</v>
      </c>
      <c r="C2439" s="3" t="e">
        <f ca="1">[1]!BexGetData("DP_1","003N8EMH8GTFRCSWKMPXRR8GU","GSON5114141021")</f>
        <v>#NAME?</v>
      </c>
      <c r="D2439" s="3" t="e">
        <f ca="1">[1]!BexGetData("DP_1","003N8EMH8GTFRCSWKMPXRRESE","GSON5114141021")</f>
        <v>#NAME?</v>
      </c>
      <c r="E2439" s="3" t="e">
        <f ca="1">[1]!BexGetData("DP_1","003N8EMH8GTFRCSWKMPXRRL3Y","GSON5114141021")</f>
        <v>#NAME?</v>
      </c>
      <c r="F2439" s="4" t="e">
        <f ca="1">[1]!BexGetData("DP_1","003N8EMH8GTFRCSWKMPXRRRFI","GSON5114141021")</f>
        <v>#NAME?</v>
      </c>
      <c r="G2439" s="4" t="e">
        <f ca="1">[1]!BexGetData("DP_1","003N8EMH8GTFRCSWKMPXRRXR2","GSON5114141021")</f>
        <v>#NAME?</v>
      </c>
      <c r="H2439" s="4" t="e">
        <f ca="1">[1]!BexGetData("DP_1","003N8EMH8GTFRCSWKMPXRS42M","GSON5114141021")</f>
        <v>#NAME?</v>
      </c>
      <c r="I2439" s="4" t="e">
        <f ca="1">[1]!BexGetData("DP_1","003N8EMH8GTFRCSWKMPXRSAE6","GSON5114141021")</f>
        <v>#NAME?</v>
      </c>
      <c r="J2439" s="4" t="e">
        <f ca="1">[1]!BexGetData("DP_1","003N8EMH8GTFRCSWKMPXRSGPQ","GSON5114141021")</f>
        <v>#NAME?</v>
      </c>
      <c r="K2439" s="3" t="e">
        <f ca="1">[1]!BexGetData("DP_1","003N8EMH8GTFRIVNUPY288VJH","GSON5114141021")</f>
        <v>#NAME?</v>
      </c>
      <c r="L2439" s="3" t="e">
        <f ca="1">[1]!BexGetData("DP_1","003N8EMH8GTFRIVNUPY2891V1","GSON5114141021")</f>
        <v>#NAME?</v>
      </c>
      <c r="M2439" s="8" t="e">
        <f ca="1">[1]!BexGetData("DP_1","003N8EMH8GTFRIVOG7KG9IQXA","GSON5114141021")</f>
        <v>#NAME?</v>
      </c>
      <c r="N2439" s="3" t="e">
        <f ca="1">[1]!BexGetData("DP_1","003N8EMH8GTFRIVOG7KG9IX8U","GSON5114141021")</f>
        <v>#NAME?</v>
      </c>
      <c r="O2439" s="8" t="e">
        <f ca="1">[1]!BexGetData("DP_1","003N8EMH8GTFRIVOG7KG9J3KE","GSON5114141021")</f>
        <v>#NAME?</v>
      </c>
      <c r="P2439" s="3" t="e">
        <f ca="1">[1]!BexGetData("DP_1","003N8EMH8GTFRIVOG7KG9J9VY","GSON5114141021")</f>
        <v>#NAME?</v>
      </c>
      <c r="Q2439" s="4" t="e">
        <f ca="1">[1]!BexGetData("DP_1","00O2TNJGODT0G5Z4TTKYMM5MT","GSON5114141021")</f>
        <v>#NAME?</v>
      </c>
      <c r="R2439" s="4" t="e">
        <f ca="1">[1]!BexGetData("DP_1","00O2TNJGODT0G5Z4TTKYMMBYD","GSON5114141021")</f>
        <v>#NAME?</v>
      </c>
      <c r="S2439" s="4" t="e">
        <f ca="1">[1]!BexGetData("DP_1","00O2TNJGODT0G5Z4TTKYMMI9X","GSON5114141021")</f>
        <v>#NAME?</v>
      </c>
      <c r="T2439" s="4" t="e">
        <f ca="1">[1]!BexGetData("DP_1","00O2TNJGODT0G5Z4TTKYMMOLH","GSON5114141021")</f>
        <v>#NAME?</v>
      </c>
      <c r="U2439" s="4" t="e">
        <f ca="1">[1]!BexGetData("DP_1","00O2TNJGODT0G5Z4TTKYMMUX1","GSON5114141021")</f>
        <v>#NAME?</v>
      </c>
      <c r="V2439" s="4" t="e">
        <f ca="1">[1]!BexGetData("DP_1","00O2TNJGODT0G5Z4TTKYMN18L","GSON5114141021")</f>
        <v>#NAME?</v>
      </c>
      <c r="W2439" s="4" t="e">
        <f ca="1">[1]!BexGetData("DP_1","00O2TNJGODT0G5Z4TTKYMN7K5","GSON5114141021")</f>
        <v>#NAME?</v>
      </c>
    </row>
    <row r="2440" spans="1:23" x14ac:dyDescent="0.2">
      <c r="A2440" s="16" t="s">
        <v>5077</v>
      </c>
      <c r="B2440" s="7" t="s">
        <v>1555</v>
      </c>
      <c r="C2440" s="3" t="e">
        <f ca="1">[1]!BexGetData("DP_1","003N8EMH8GTFRCSWKMPXRR8GU","GSON5114141031")</f>
        <v>#NAME?</v>
      </c>
      <c r="D2440" s="3" t="e">
        <f ca="1">[1]!BexGetData("DP_1","003N8EMH8GTFRCSWKMPXRRESE","GSON5114141031")</f>
        <v>#NAME?</v>
      </c>
      <c r="E2440" s="3" t="e">
        <f ca="1">[1]!BexGetData("DP_1","003N8EMH8GTFRCSWKMPXRRL3Y","GSON5114141031")</f>
        <v>#NAME?</v>
      </c>
      <c r="F2440" s="4" t="e">
        <f ca="1">[1]!BexGetData("DP_1","003N8EMH8GTFRCSWKMPXRRRFI","GSON5114141031")</f>
        <v>#NAME?</v>
      </c>
      <c r="G2440" s="4" t="e">
        <f ca="1">[1]!BexGetData("DP_1","003N8EMH8GTFRCSWKMPXRRXR2","GSON5114141031")</f>
        <v>#NAME?</v>
      </c>
      <c r="H2440" s="4" t="e">
        <f ca="1">[1]!BexGetData("DP_1","003N8EMH8GTFRCSWKMPXRS42M","GSON5114141031")</f>
        <v>#NAME?</v>
      </c>
      <c r="I2440" s="4" t="e">
        <f ca="1">[1]!BexGetData("DP_1","003N8EMH8GTFRCSWKMPXRSAE6","GSON5114141031")</f>
        <v>#NAME?</v>
      </c>
      <c r="J2440" s="4" t="e">
        <f ca="1">[1]!BexGetData("DP_1","003N8EMH8GTFRCSWKMPXRSGPQ","GSON5114141031")</f>
        <v>#NAME?</v>
      </c>
      <c r="K2440" s="3" t="e">
        <f ca="1">[1]!BexGetData("DP_1","003N8EMH8GTFRIVNUPY288VJH","GSON5114141031")</f>
        <v>#NAME?</v>
      </c>
      <c r="L2440" s="3" t="e">
        <f ca="1">[1]!BexGetData("DP_1","003N8EMH8GTFRIVNUPY2891V1","GSON5114141031")</f>
        <v>#NAME?</v>
      </c>
      <c r="M2440" s="8" t="e">
        <f ca="1">[1]!BexGetData("DP_1","003N8EMH8GTFRIVOG7KG9IQXA","GSON5114141031")</f>
        <v>#NAME?</v>
      </c>
      <c r="N2440" s="3" t="e">
        <f ca="1">[1]!BexGetData("DP_1","003N8EMH8GTFRIVOG7KG9IX8U","GSON5114141031")</f>
        <v>#NAME?</v>
      </c>
      <c r="O2440" s="8" t="e">
        <f ca="1">[1]!BexGetData("DP_1","003N8EMH8GTFRIVOG7KG9J3KE","GSON5114141031")</f>
        <v>#NAME?</v>
      </c>
      <c r="P2440" s="3" t="e">
        <f ca="1">[1]!BexGetData("DP_1","003N8EMH8GTFRIVOG7KG9J9VY","GSON5114141031")</f>
        <v>#NAME?</v>
      </c>
      <c r="Q2440" s="4" t="e">
        <f ca="1">[1]!BexGetData("DP_1","00O2TNJGODT0G5Z4TTKYMM5MT","GSON5114141031")</f>
        <v>#NAME?</v>
      </c>
      <c r="R2440" s="4" t="e">
        <f ca="1">[1]!BexGetData("DP_1","00O2TNJGODT0G5Z4TTKYMMBYD","GSON5114141031")</f>
        <v>#NAME?</v>
      </c>
      <c r="S2440" s="4" t="e">
        <f ca="1">[1]!BexGetData("DP_1","00O2TNJGODT0G5Z4TTKYMMI9X","GSON5114141031")</f>
        <v>#NAME?</v>
      </c>
      <c r="T2440" s="4" t="e">
        <f ca="1">[1]!BexGetData("DP_1","00O2TNJGODT0G5Z4TTKYMMOLH","GSON5114141031")</f>
        <v>#NAME?</v>
      </c>
      <c r="U2440" s="4" t="e">
        <f ca="1">[1]!BexGetData("DP_1","00O2TNJGODT0G5Z4TTKYMMUX1","GSON5114141031")</f>
        <v>#NAME?</v>
      </c>
      <c r="V2440" s="4" t="e">
        <f ca="1">[1]!BexGetData("DP_1","00O2TNJGODT0G5Z4TTKYMN18L","GSON5114141031")</f>
        <v>#NAME?</v>
      </c>
      <c r="W2440" s="4" t="e">
        <f ca="1">[1]!BexGetData("DP_1","00O2TNJGODT0G5Z4TTKYMN7K5","GSON5114141031")</f>
        <v>#NAME?</v>
      </c>
    </row>
    <row r="2441" spans="1:23" x14ac:dyDescent="0.2">
      <c r="A2441" s="16" t="s">
        <v>5078</v>
      </c>
      <c r="B2441" s="7" t="s">
        <v>1556</v>
      </c>
      <c r="C2441" s="3" t="e">
        <f ca="1">[1]!BexGetData("DP_1","003N8EMH8GTFRCSWKMPXRR8GU","GSON5114141041")</f>
        <v>#NAME?</v>
      </c>
      <c r="D2441" s="3" t="e">
        <f ca="1">[1]!BexGetData("DP_1","003N8EMH8GTFRCSWKMPXRRESE","GSON5114141041")</f>
        <v>#NAME?</v>
      </c>
      <c r="E2441" s="3" t="e">
        <f ca="1">[1]!BexGetData("DP_1","003N8EMH8GTFRCSWKMPXRRL3Y","GSON5114141041")</f>
        <v>#NAME?</v>
      </c>
      <c r="F2441" s="4" t="e">
        <f ca="1">[1]!BexGetData("DP_1","003N8EMH8GTFRCSWKMPXRRRFI","GSON5114141041")</f>
        <v>#NAME?</v>
      </c>
      <c r="G2441" s="4" t="e">
        <f ca="1">[1]!BexGetData("DP_1","003N8EMH8GTFRCSWKMPXRRXR2","GSON5114141041")</f>
        <v>#NAME?</v>
      </c>
      <c r="H2441" s="4" t="e">
        <f ca="1">[1]!BexGetData("DP_1","003N8EMH8GTFRCSWKMPXRS42M","GSON5114141041")</f>
        <v>#NAME?</v>
      </c>
      <c r="I2441" s="4" t="e">
        <f ca="1">[1]!BexGetData("DP_1","003N8EMH8GTFRCSWKMPXRSAE6","GSON5114141041")</f>
        <v>#NAME?</v>
      </c>
      <c r="J2441" s="4" t="e">
        <f ca="1">[1]!BexGetData("DP_1","003N8EMH8GTFRCSWKMPXRSGPQ","GSON5114141041")</f>
        <v>#NAME?</v>
      </c>
      <c r="K2441" s="3" t="e">
        <f ca="1">[1]!BexGetData("DP_1","003N8EMH8GTFRIVNUPY288VJH","GSON5114141041")</f>
        <v>#NAME?</v>
      </c>
      <c r="L2441" s="3" t="e">
        <f ca="1">[1]!BexGetData("DP_1","003N8EMH8GTFRIVNUPY2891V1","GSON5114141041")</f>
        <v>#NAME?</v>
      </c>
      <c r="M2441" s="8" t="e">
        <f ca="1">[1]!BexGetData("DP_1","003N8EMH8GTFRIVOG7KG9IQXA","GSON5114141041")</f>
        <v>#NAME?</v>
      </c>
      <c r="N2441" s="3" t="e">
        <f ca="1">[1]!BexGetData("DP_1","003N8EMH8GTFRIVOG7KG9IX8U","GSON5114141041")</f>
        <v>#NAME?</v>
      </c>
      <c r="O2441" s="8" t="e">
        <f ca="1">[1]!BexGetData("DP_1","003N8EMH8GTFRIVOG7KG9J3KE","GSON5114141041")</f>
        <v>#NAME?</v>
      </c>
      <c r="P2441" s="3" t="e">
        <f ca="1">[1]!BexGetData("DP_1","003N8EMH8GTFRIVOG7KG9J9VY","GSON5114141041")</f>
        <v>#NAME?</v>
      </c>
      <c r="Q2441" s="4" t="e">
        <f ca="1">[1]!BexGetData("DP_1","00O2TNJGODT0G5Z4TTKYMM5MT","GSON5114141041")</f>
        <v>#NAME?</v>
      </c>
      <c r="R2441" s="4" t="e">
        <f ca="1">[1]!BexGetData("DP_1","00O2TNJGODT0G5Z4TTKYMMBYD","GSON5114141041")</f>
        <v>#NAME?</v>
      </c>
      <c r="S2441" s="4" t="e">
        <f ca="1">[1]!BexGetData("DP_1","00O2TNJGODT0G5Z4TTKYMMI9X","GSON5114141041")</f>
        <v>#NAME?</v>
      </c>
      <c r="T2441" s="4" t="e">
        <f ca="1">[1]!BexGetData("DP_1","00O2TNJGODT0G5Z4TTKYMMOLH","GSON5114141041")</f>
        <v>#NAME?</v>
      </c>
      <c r="U2441" s="4" t="e">
        <f ca="1">[1]!BexGetData("DP_1","00O2TNJGODT0G5Z4TTKYMMUX1","GSON5114141041")</f>
        <v>#NAME?</v>
      </c>
      <c r="V2441" s="4" t="e">
        <f ca="1">[1]!BexGetData("DP_1","00O2TNJGODT0G5Z4TTKYMN18L","GSON5114141041")</f>
        <v>#NAME?</v>
      </c>
      <c r="W2441" s="4" t="e">
        <f ca="1">[1]!BexGetData("DP_1","00O2TNJGODT0G5Z4TTKYMN7K5","GSON5114141041")</f>
        <v>#NAME?</v>
      </c>
    </row>
    <row r="2442" spans="1:23" x14ac:dyDescent="0.2">
      <c r="A2442" s="16" t="s">
        <v>5079</v>
      </c>
      <c r="B2442" s="7" t="s">
        <v>1557</v>
      </c>
      <c r="C2442" s="3" t="e">
        <f ca="1">[1]!BexGetData("DP_1","003N8EMH8GTFRCSWKMPXRR8GU","GSON5114141061")</f>
        <v>#NAME?</v>
      </c>
      <c r="D2442" s="3" t="e">
        <f ca="1">[1]!BexGetData("DP_1","003N8EMH8GTFRCSWKMPXRRESE","GSON5114141061")</f>
        <v>#NAME?</v>
      </c>
      <c r="E2442" s="3" t="e">
        <f ca="1">[1]!BexGetData("DP_1","003N8EMH8GTFRCSWKMPXRRL3Y","GSON5114141061")</f>
        <v>#NAME?</v>
      </c>
      <c r="F2442" s="4" t="e">
        <f ca="1">[1]!BexGetData("DP_1","003N8EMH8GTFRCSWKMPXRRRFI","GSON5114141061")</f>
        <v>#NAME?</v>
      </c>
      <c r="G2442" s="4" t="e">
        <f ca="1">[1]!BexGetData("DP_1","003N8EMH8GTFRCSWKMPXRRXR2","GSON5114141061")</f>
        <v>#NAME?</v>
      </c>
      <c r="H2442" s="4" t="e">
        <f ca="1">[1]!BexGetData("DP_1","003N8EMH8GTFRCSWKMPXRS42M","GSON5114141061")</f>
        <v>#NAME?</v>
      </c>
      <c r="I2442" s="4" t="e">
        <f ca="1">[1]!BexGetData("DP_1","003N8EMH8GTFRCSWKMPXRSAE6","GSON5114141061")</f>
        <v>#NAME?</v>
      </c>
      <c r="J2442" s="4" t="e">
        <f ca="1">[1]!BexGetData("DP_1","003N8EMH8GTFRCSWKMPXRSGPQ","GSON5114141061")</f>
        <v>#NAME?</v>
      </c>
      <c r="K2442" s="3" t="e">
        <f ca="1">[1]!BexGetData("DP_1","003N8EMH8GTFRIVNUPY288VJH","GSON5114141061")</f>
        <v>#NAME?</v>
      </c>
      <c r="L2442" s="3" t="e">
        <f ca="1">[1]!BexGetData("DP_1","003N8EMH8GTFRIVNUPY2891V1","GSON5114141061")</f>
        <v>#NAME?</v>
      </c>
      <c r="M2442" s="8" t="e">
        <f ca="1">[1]!BexGetData("DP_1","003N8EMH8GTFRIVOG7KG9IQXA","GSON5114141061")</f>
        <v>#NAME?</v>
      </c>
      <c r="N2442" s="3" t="e">
        <f ca="1">[1]!BexGetData("DP_1","003N8EMH8GTFRIVOG7KG9IX8U","GSON5114141061")</f>
        <v>#NAME?</v>
      </c>
      <c r="O2442" s="8" t="e">
        <f ca="1">[1]!BexGetData("DP_1","003N8EMH8GTFRIVOG7KG9J3KE","GSON5114141061")</f>
        <v>#NAME?</v>
      </c>
      <c r="P2442" s="3" t="e">
        <f ca="1">[1]!BexGetData("DP_1","003N8EMH8GTFRIVOG7KG9J9VY","GSON5114141061")</f>
        <v>#NAME?</v>
      </c>
      <c r="Q2442" s="4" t="e">
        <f ca="1">[1]!BexGetData("DP_1","00O2TNJGODT0G5Z4TTKYMM5MT","GSON5114141061")</f>
        <v>#NAME?</v>
      </c>
      <c r="R2442" s="4" t="e">
        <f ca="1">[1]!BexGetData("DP_1","00O2TNJGODT0G5Z4TTKYMMBYD","GSON5114141061")</f>
        <v>#NAME?</v>
      </c>
      <c r="S2442" s="4" t="e">
        <f ca="1">[1]!BexGetData("DP_1","00O2TNJGODT0G5Z4TTKYMMI9X","GSON5114141061")</f>
        <v>#NAME?</v>
      </c>
      <c r="T2442" s="4" t="e">
        <f ca="1">[1]!BexGetData("DP_1","00O2TNJGODT0G5Z4TTKYMMOLH","GSON5114141061")</f>
        <v>#NAME?</v>
      </c>
      <c r="U2442" s="4" t="e">
        <f ca="1">[1]!BexGetData("DP_1","00O2TNJGODT0G5Z4TTKYMMUX1","GSON5114141061")</f>
        <v>#NAME?</v>
      </c>
      <c r="V2442" s="4" t="e">
        <f ca="1">[1]!BexGetData("DP_1","00O2TNJGODT0G5Z4TTKYMN18L","GSON5114141061")</f>
        <v>#NAME?</v>
      </c>
      <c r="W2442" s="4" t="e">
        <f ca="1">[1]!BexGetData("DP_1","00O2TNJGODT0G5Z4TTKYMN7K5","GSON5114141061")</f>
        <v>#NAME?</v>
      </c>
    </row>
    <row r="2443" spans="1:23" x14ac:dyDescent="0.2">
      <c r="A2443" s="16" t="s">
        <v>5080</v>
      </c>
      <c r="B2443" s="7" t="s">
        <v>1558</v>
      </c>
      <c r="C2443" s="3" t="e">
        <f ca="1">[1]!BexGetData("DP_1","003N8EMH8GTFRCSWKMPXRR8GU","GSON5114141071")</f>
        <v>#NAME?</v>
      </c>
      <c r="D2443" s="3" t="e">
        <f ca="1">[1]!BexGetData("DP_1","003N8EMH8GTFRCSWKMPXRRESE","GSON5114141071")</f>
        <v>#NAME?</v>
      </c>
      <c r="E2443" s="3" t="e">
        <f ca="1">[1]!BexGetData("DP_1","003N8EMH8GTFRCSWKMPXRRL3Y","GSON5114141071")</f>
        <v>#NAME?</v>
      </c>
      <c r="F2443" s="4" t="e">
        <f ca="1">[1]!BexGetData("DP_1","003N8EMH8GTFRCSWKMPXRRRFI","GSON5114141071")</f>
        <v>#NAME?</v>
      </c>
      <c r="G2443" s="4" t="e">
        <f ca="1">[1]!BexGetData("DP_1","003N8EMH8GTFRCSWKMPXRRXR2","GSON5114141071")</f>
        <v>#NAME?</v>
      </c>
      <c r="H2443" s="4" t="e">
        <f ca="1">[1]!BexGetData("DP_1","003N8EMH8GTFRCSWKMPXRS42M","GSON5114141071")</f>
        <v>#NAME?</v>
      </c>
      <c r="I2443" s="4" t="e">
        <f ca="1">[1]!BexGetData("DP_1","003N8EMH8GTFRCSWKMPXRSAE6","GSON5114141071")</f>
        <v>#NAME?</v>
      </c>
      <c r="J2443" s="4" t="e">
        <f ca="1">[1]!BexGetData("DP_1","003N8EMH8GTFRCSWKMPXRSGPQ","GSON5114141071")</f>
        <v>#NAME?</v>
      </c>
      <c r="K2443" s="3" t="e">
        <f ca="1">[1]!BexGetData("DP_1","003N8EMH8GTFRIVNUPY288VJH","GSON5114141071")</f>
        <v>#NAME?</v>
      </c>
      <c r="L2443" s="3" t="e">
        <f ca="1">[1]!BexGetData("DP_1","003N8EMH8GTFRIVNUPY2891V1","GSON5114141071")</f>
        <v>#NAME?</v>
      </c>
      <c r="M2443" s="8" t="e">
        <f ca="1">[1]!BexGetData("DP_1","003N8EMH8GTFRIVOG7KG9IQXA","GSON5114141071")</f>
        <v>#NAME?</v>
      </c>
      <c r="N2443" s="3" t="e">
        <f ca="1">[1]!BexGetData("DP_1","003N8EMH8GTFRIVOG7KG9IX8U","GSON5114141071")</f>
        <v>#NAME?</v>
      </c>
      <c r="O2443" s="8" t="e">
        <f ca="1">[1]!BexGetData("DP_1","003N8EMH8GTFRIVOG7KG9J3KE","GSON5114141071")</f>
        <v>#NAME?</v>
      </c>
      <c r="P2443" s="3" t="e">
        <f ca="1">[1]!BexGetData("DP_1","003N8EMH8GTFRIVOG7KG9J9VY","GSON5114141071")</f>
        <v>#NAME?</v>
      </c>
      <c r="Q2443" s="4" t="e">
        <f ca="1">[1]!BexGetData("DP_1","00O2TNJGODT0G5Z4TTKYMM5MT","GSON5114141071")</f>
        <v>#NAME?</v>
      </c>
      <c r="R2443" s="4" t="e">
        <f ca="1">[1]!BexGetData("DP_1","00O2TNJGODT0G5Z4TTKYMMBYD","GSON5114141071")</f>
        <v>#NAME?</v>
      </c>
      <c r="S2443" s="4" t="e">
        <f ca="1">[1]!BexGetData("DP_1","00O2TNJGODT0G5Z4TTKYMMI9X","GSON5114141071")</f>
        <v>#NAME?</v>
      </c>
      <c r="T2443" s="4" t="e">
        <f ca="1">[1]!BexGetData("DP_1","00O2TNJGODT0G5Z4TTKYMMOLH","GSON5114141071")</f>
        <v>#NAME?</v>
      </c>
      <c r="U2443" s="4" t="e">
        <f ca="1">[1]!BexGetData("DP_1","00O2TNJGODT0G5Z4TTKYMMUX1","GSON5114141071")</f>
        <v>#NAME?</v>
      </c>
      <c r="V2443" s="4" t="e">
        <f ca="1">[1]!BexGetData("DP_1","00O2TNJGODT0G5Z4TTKYMN18L","GSON5114141071")</f>
        <v>#NAME?</v>
      </c>
      <c r="W2443" s="4" t="e">
        <f ca="1">[1]!BexGetData("DP_1","00O2TNJGODT0G5Z4TTKYMN7K5","GSON5114141071")</f>
        <v>#NAME?</v>
      </c>
    </row>
    <row r="2444" spans="1:23" x14ac:dyDescent="0.2">
      <c r="A2444" s="16" t="s">
        <v>5081</v>
      </c>
      <c r="B2444" s="7" t="s">
        <v>1559</v>
      </c>
      <c r="C2444" s="3" t="e">
        <f ca="1">[1]!BexGetData("DP_1","003N8EMH8GTFRCSWKMPXRR8GU","GSON5114141081")</f>
        <v>#NAME?</v>
      </c>
      <c r="D2444" s="3" t="e">
        <f ca="1">[1]!BexGetData("DP_1","003N8EMH8GTFRCSWKMPXRRESE","GSON5114141081")</f>
        <v>#NAME?</v>
      </c>
      <c r="E2444" s="3" t="e">
        <f ca="1">[1]!BexGetData("DP_1","003N8EMH8GTFRCSWKMPXRRL3Y","GSON5114141081")</f>
        <v>#NAME?</v>
      </c>
      <c r="F2444" s="4" t="e">
        <f ca="1">[1]!BexGetData("DP_1","003N8EMH8GTFRCSWKMPXRRRFI","GSON5114141081")</f>
        <v>#NAME?</v>
      </c>
      <c r="G2444" s="4" t="e">
        <f ca="1">[1]!BexGetData("DP_1","003N8EMH8GTFRCSWKMPXRRXR2","GSON5114141081")</f>
        <v>#NAME?</v>
      </c>
      <c r="H2444" s="4" t="e">
        <f ca="1">[1]!BexGetData("DP_1","003N8EMH8GTFRCSWKMPXRS42M","GSON5114141081")</f>
        <v>#NAME?</v>
      </c>
      <c r="I2444" s="4" t="e">
        <f ca="1">[1]!BexGetData("DP_1","003N8EMH8GTFRCSWKMPXRSAE6","GSON5114141081")</f>
        <v>#NAME?</v>
      </c>
      <c r="J2444" s="4" t="e">
        <f ca="1">[1]!BexGetData("DP_1","003N8EMH8GTFRCSWKMPXRSGPQ","GSON5114141081")</f>
        <v>#NAME?</v>
      </c>
      <c r="K2444" s="3" t="e">
        <f ca="1">[1]!BexGetData("DP_1","003N8EMH8GTFRIVNUPY288VJH","GSON5114141081")</f>
        <v>#NAME?</v>
      </c>
      <c r="L2444" s="3" t="e">
        <f ca="1">[1]!BexGetData("DP_1","003N8EMH8GTFRIVNUPY2891V1","GSON5114141081")</f>
        <v>#NAME?</v>
      </c>
      <c r="M2444" s="8" t="e">
        <f ca="1">[1]!BexGetData("DP_1","003N8EMH8GTFRIVOG7KG9IQXA","GSON5114141081")</f>
        <v>#NAME?</v>
      </c>
      <c r="N2444" s="3" t="e">
        <f ca="1">[1]!BexGetData("DP_1","003N8EMH8GTFRIVOG7KG9IX8U","GSON5114141081")</f>
        <v>#NAME?</v>
      </c>
      <c r="O2444" s="8" t="e">
        <f ca="1">[1]!BexGetData("DP_1","003N8EMH8GTFRIVOG7KG9J3KE","GSON5114141081")</f>
        <v>#NAME?</v>
      </c>
      <c r="P2444" s="3" t="e">
        <f ca="1">[1]!BexGetData("DP_1","003N8EMH8GTFRIVOG7KG9J9VY","GSON5114141081")</f>
        <v>#NAME?</v>
      </c>
      <c r="Q2444" s="4" t="e">
        <f ca="1">[1]!BexGetData("DP_1","00O2TNJGODT0G5Z4TTKYMM5MT","GSON5114141081")</f>
        <v>#NAME?</v>
      </c>
      <c r="R2444" s="4" t="e">
        <f ca="1">[1]!BexGetData("DP_1","00O2TNJGODT0G5Z4TTKYMMBYD","GSON5114141081")</f>
        <v>#NAME?</v>
      </c>
      <c r="S2444" s="4" t="e">
        <f ca="1">[1]!BexGetData("DP_1","00O2TNJGODT0G5Z4TTKYMMI9X","GSON5114141081")</f>
        <v>#NAME?</v>
      </c>
      <c r="T2444" s="4" t="e">
        <f ca="1">[1]!BexGetData("DP_1","00O2TNJGODT0G5Z4TTKYMMOLH","GSON5114141081")</f>
        <v>#NAME?</v>
      </c>
      <c r="U2444" s="4" t="e">
        <f ca="1">[1]!BexGetData("DP_1","00O2TNJGODT0G5Z4TTKYMMUX1","GSON5114141081")</f>
        <v>#NAME?</v>
      </c>
      <c r="V2444" s="4" t="e">
        <f ca="1">[1]!BexGetData("DP_1","00O2TNJGODT0G5Z4TTKYMN18L","GSON5114141081")</f>
        <v>#NAME?</v>
      </c>
      <c r="W2444" s="4" t="e">
        <f ca="1">[1]!BexGetData("DP_1","00O2TNJGODT0G5Z4TTKYMN7K5","GSON5114141081")</f>
        <v>#NAME?</v>
      </c>
    </row>
    <row r="2445" spans="1:23" x14ac:dyDescent="0.2">
      <c r="A2445" s="16" t="s">
        <v>5082</v>
      </c>
      <c r="B2445" s="7" t="s">
        <v>5083</v>
      </c>
      <c r="C2445" s="3" t="e">
        <f ca="1">[1]!BexGetData("DP_1","003N8EMH8GTFRCSWKMPXRR8GU","GSON5114141091")</f>
        <v>#NAME?</v>
      </c>
      <c r="D2445" s="3" t="e">
        <f ca="1">[1]!BexGetData("DP_1","003N8EMH8GTFRCSWKMPXRRESE","GSON5114141091")</f>
        <v>#NAME?</v>
      </c>
      <c r="E2445" s="3" t="e">
        <f ca="1">[1]!BexGetData("DP_1","003N8EMH8GTFRCSWKMPXRRL3Y","GSON5114141091")</f>
        <v>#NAME?</v>
      </c>
      <c r="F2445" s="4" t="e">
        <f ca="1">[1]!BexGetData("DP_1","003N8EMH8GTFRCSWKMPXRRRFI","GSON5114141091")</f>
        <v>#NAME?</v>
      </c>
      <c r="G2445" s="4" t="e">
        <f ca="1">[1]!BexGetData("DP_1","003N8EMH8GTFRCSWKMPXRRXR2","GSON5114141091")</f>
        <v>#NAME?</v>
      </c>
      <c r="H2445" s="4" t="e">
        <f ca="1">[1]!BexGetData("DP_1","003N8EMH8GTFRCSWKMPXRS42M","GSON5114141091")</f>
        <v>#NAME?</v>
      </c>
      <c r="I2445" s="4" t="e">
        <f ca="1">[1]!BexGetData("DP_1","003N8EMH8GTFRCSWKMPXRSAE6","GSON5114141091")</f>
        <v>#NAME?</v>
      </c>
      <c r="J2445" s="4" t="e">
        <f ca="1">[1]!BexGetData("DP_1","003N8EMH8GTFRCSWKMPXRSGPQ","GSON5114141091")</f>
        <v>#NAME?</v>
      </c>
      <c r="K2445" s="3" t="e">
        <f ca="1">[1]!BexGetData("DP_1","003N8EMH8GTFRIVNUPY288VJH","GSON5114141091")</f>
        <v>#NAME?</v>
      </c>
      <c r="L2445" s="3" t="e">
        <f ca="1">[1]!BexGetData("DP_1","003N8EMH8GTFRIVNUPY2891V1","GSON5114141091")</f>
        <v>#NAME?</v>
      </c>
      <c r="M2445" s="8" t="e">
        <f ca="1">[1]!BexGetData("DP_1","003N8EMH8GTFRIVOG7KG9IQXA","GSON5114141091")</f>
        <v>#NAME?</v>
      </c>
      <c r="N2445" s="3" t="e">
        <f ca="1">[1]!BexGetData("DP_1","003N8EMH8GTFRIVOG7KG9IX8U","GSON5114141091")</f>
        <v>#NAME?</v>
      </c>
      <c r="O2445" s="8" t="e">
        <f ca="1">[1]!BexGetData("DP_1","003N8EMH8GTFRIVOG7KG9J3KE","GSON5114141091")</f>
        <v>#NAME?</v>
      </c>
      <c r="P2445" s="3" t="e">
        <f ca="1">[1]!BexGetData("DP_1","003N8EMH8GTFRIVOG7KG9J9VY","GSON5114141091")</f>
        <v>#NAME?</v>
      </c>
      <c r="Q2445" s="4" t="e">
        <f ca="1">[1]!BexGetData("DP_1","00O2TNJGODT0G5Z4TTKYMM5MT","GSON5114141091")</f>
        <v>#NAME?</v>
      </c>
      <c r="R2445" s="4" t="e">
        <f ca="1">[1]!BexGetData("DP_1","00O2TNJGODT0G5Z4TTKYMMBYD","GSON5114141091")</f>
        <v>#NAME?</v>
      </c>
      <c r="S2445" s="4" t="e">
        <f ca="1">[1]!BexGetData("DP_1","00O2TNJGODT0G5Z4TTKYMMI9X","GSON5114141091")</f>
        <v>#NAME?</v>
      </c>
      <c r="T2445" s="4" t="e">
        <f ca="1">[1]!BexGetData("DP_1","00O2TNJGODT0G5Z4TTKYMMOLH","GSON5114141091")</f>
        <v>#NAME?</v>
      </c>
      <c r="U2445" s="4" t="e">
        <f ca="1">[1]!BexGetData("DP_1","00O2TNJGODT0G5Z4TTKYMMUX1","GSON5114141091")</f>
        <v>#NAME?</v>
      </c>
      <c r="V2445" s="4" t="e">
        <f ca="1">[1]!BexGetData("DP_1","00O2TNJGODT0G5Z4TTKYMN18L","GSON5114141091")</f>
        <v>#NAME?</v>
      </c>
      <c r="W2445" s="4" t="e">
        <f ca="1">[1]!BexGetData("DP_1","00O2TNJGODT0G5Z4TTKYMN7K5","GSON5114141091")</f>
        <v>#NAME?</v>
      </c>
    </row>
    <row r="2446" spans="1:23" x14ac:dyDescent="0.2">
      <c r="A2446" s="16" t="s">
        <v>5084</v>
      </c>
      <c r="B2446" s="7" t="s">
        <v>5085</v>
      </c>
      <c r="C2446" s="3" t="e">
        <f ca="1">[1]!BexGetData("DP_1","003N8EMH8GTFRCSWKMPXRR8GU","GSON5114141101")</f>
        <v>#NAME?</v>
      </c>
      <c r="D2446" s="3" t="e">
        <f ca="1">[1]!BexGetData("DP_1","003N8EMH8GTFRCSWKMPXRRESE","GSON5114141101")</f>
        <v>#NAME?</v>
      </c>
      <c r="E2446" s="3" t="e">
        <f ca="1">[1]!BexGetData("DP_1","003N8EMH8GTFRCSWKMPXRRL3Y","GSON5114141101")</f>
        <v>#NAME?</v>
      </c>
      <c r="F2446" s="4" t="e">
        <f ca="1">[1]!BexGetData("DP_1","003N8EMH8GTFRCSWKMPXRRRFI","GSON5114141101")</f>
        <v>#NAME?</v>
      </c>
      <c r="G2446" s="4" t="e">
        <f ca="1">[1]!BexGetData("DP_1","003N8EMH8GTFRCSWKMPXRRXR2","GSON5114141101")</f>
        <v>#NAME?</v>
      </c>
      <c r="H2446" s="4" t="e">
        <f ca="1">[1]!BexGetData("DP_1","003N8EMH8GTFRCSWKMPXRS42M","GSON5114141101")</f>
        <v>#NAME?</v>
      </c>
      <c r="I2446" s="4" t="e">
        <f ca="1">[1]!BexGetData("DP_1","003N8EMH8GTFRCSWKMPXRSAE6","GSON5114141101")</f>
        <v>#NAME?</v>
      </c>
      <c r="J2446" s="4" t="e">
        <f ca="1">[1]!BexGetData("DP_1","003N8EMH8GTFRCSWKMPXRSGPQ","GSON5114141101")</f>
        <v>#NAME?</v>
      </c>
      <c r="K2446" s="3" t="e">
        <f ca="1">[1]!BexGetData("DP_1","003N8EMH8GTFRIVNUPY288VJH","GSON5114141101")</f>
        <v>#NAME?</v>
      </c>
      <c r="L2446" s="3" t="e">
        <f ca="1">[1]!BexGetData("DP_1","003N8EMH8GTFRIVNUPY2891V1","GSON5114141101")</f>
        <v>#NAME?</v>
      </c>
      <c r="M2446" s="8" t="e">
        <f ca="1">[1]!BexGetData("DP_1","003N8EMH8GTFRIVOG7KG9IQXA","GSON5114141101")</f>
        <v>#NAME?</v>
      </c>
      <c r="N2446" s="3" t="e">
        <f ca="1">[1]!BexGetData("DP_1","003N8EMH8GTFRIVOG7KG9IX8U","GSON5114141101")</f>
        <v>#NAME?</v>
      </c>
      <c r="O2446" s="8" t="e">
        <f ca="1">[1]!BexGetData("DP_1","003N8EMH8GTFRIVOG7KG9J3KE","GSON5114141101")</f>
        <v>#NAME?</v>
      </c>
      <c r="P2446" s="3" t="e">
        <f ca="1">[1]!BexGetData("DP_1","003N8EMH8GTFRIVOG7KG9J9VY","GSON5114141101")</f>
        <v>#NAME?</v>
      </c>
      <c r="Q2446" s="4" t="e">
        <f ca="1">[1]!BexGetData("DP_1","00O2TNJGODT0G5Z4TTKYMM5MT","GSON5114141101")</f>
        <v>#NAME?</v>
      </c>
      <c r="R2446" s="4" t="e">
        <f ca="1">[1]!BexGetData("DP_1","00O2TNJGODT0G5Z4TTKYMMBYD","GSON5114141101")</f>
        <v>#NAME?</v>
      </c>
      <c r="S2446" s="4" t="e">
        <f ca="1">[1]!BexGetData("DP_1","00O2TNJGODT0G5Z4TTKYMMI9X","GSON5114141101")</f>
        <v>#NAME?</v>
      </c>
      <c r="T2446" s="4" t="e">
        <f ca="1">[1]!BexGetData("DP_1","00O2TNJGODT0G5Z4TTKYMMOLH","GSON5114141101")</f>
        <v>#NAME?</v>
      </c>
      <c r="U2446" s="4" t="e">
        <f ca="1">[1]!BexGetData("DP_1","00O2TNJGODT0G5Z4TTKYMMUX1","GSON5114141101")</f>
        <v>#NAME?</v>
      </c>
      <c r="V2446" s="4" t="e">
        <f ca="1">[1]!BexGetData("DP_1","00O2TNJGODT0G5Z4TTKYMN18L","GSON5114141101")</f>
        <v>#NAME?</v>
      </c>
      <c r="W2446" s="4" t="e">
        <f ca="1">[1]!BexGetData("DP_1","00O2TNJGODT0G5Z4TTKYMN7K5","GSON5114141101")</f>
        <v>#NAME?</v>
      </c>
    </row>
    <row r="2447" spans="1:23" x14ac:dyDescent="0.2">
      <c r="A2447" s="16" t="s">
        <v>5086</v>
      </c>
      <c r="B2447" s="7" t="s">
        <v>5087</v>
      </c>
      <c r="C2447" s="3" t="e">
        <f ca="1">[1]!BexGetData("DP_1","003N8EMH8GTFRCSWKMPXRR8GU","GSON5114142021")</f>
        <v>#NAME?</v>
      </c>
      <c r="D2447" s="3" t="e">
        <f ca="1">[1]!BexGetData("DP_1","003N8EMH8GTFRCSWKMPXRRESE","GSON5114142021")</f>
        <v>#NAME?</v>
      </c>
      <c r="E2447" s="3" t="e">
        <f ca="1">[1]!BexGetData("DP_1","003N8EMH8GTFRCSWKMPXRRL3Y","GSON5114142021")</f>
        <v>#NAME?</v>
      </c>
      <c r="F2447" s="4" t="e">
        <f ca="1">[1]!BexGetData("DP_1","003N8EMH8GTFRCSWKMPXRRRFI","GSON5114142021")</f>
        <v>#NAME?</v>
      </c>
      <c r="G2447" s="4" t="e">
        <f ca="1">[1]!BexGetData("DP_1","003N8EMH8GTFRCSWKMPXRRXR2","GSON5114142021")</f>
        <v>#NAME?</v>
      </c>
      <c r="H2447" s="4" t="e">
        <f ca="1">[1]!BexGetData("DP_1","003N8EMH8GTFRCSWKMPXRS42M","GSON5114142021")</f>
        <v>#NAME?</v>
      </c>
      <c r="I2447" s="4" t="e">
        <f ca="1">[1]!BexGetData("DP_1","003N8EMH8GTFRCSWKMPXRSAE6","GSON5114142021")</f>
        <v>#NAME?</v>
      </c>
      <c r="J2447" s="4" t="e">
        <f ca="1">[1]!BexGetData("DP_1","003N8EMH8GTFRCSWKMPXRSGPQ","GSON5114142021")</f>
        <v>#NAME?</v>
      </c>
      <c r="K2447" s="3" t="e">
        <f ca="1">[1]!BexGetData("DP_1","003N8EMH8GTFRIVNUPY288VJH","GSON5114142021")</f>
        <v>#NAME?</v>
      </c>
      <c r="L2447" s="3" t="e">
        <f ca="1">[1]!BexGetData("DP_1","003N8EMH8GTFRIVNUPY2891V1","GSON5114142021")</f>
        <v>#NAME?</v>
      </c>
      <c r="M2447" s="8" t="e">
        <f ca="1">[1]!BexGetData("DP_1","003N8EMH8GTFRIVOG7KG9IQXA","GSON5114142021")</f>
        <v>#NAME?</v>
      </c>
      <c r="N2447" s="3" t="e">
        <f ca="1">[1]!BexGetData("DP_1","003N8EMH8GTFRIVOG7KG9IX8U","GSON5114142021")</f>
        <v>#NAME?</v>
      </c>
      <c r="O2447" s="8" t="e">
        <f ca="1">[1]!BexGetData("DP_1","003N8EMH8GTFRIVOG7KG9J3KE","GSON5114142021")</f>
        <v>#NAME?</v>
      </c>
      <c r="P2447" s="3" t="e">
        <f ca="1">[1]!BexGetData("DP_1","003N8EMH8GTFRIVOG7KG9J9VY","GSON5114142021")</f>
        <v>#NAME?</v>
      </c>
      <c r="Q2447" s="4" t="e">
        <f ca="1">[1]!BexGetData("DP_1","00O2TNJGODT0G5Z4TTKYMM5MT","GSON5114142021")</f>
        <v>#NAME?</v>
      </c>
      <c r="R2447" s="4" t="e">
        <f ca="1">[1]!BexGetData("DP_1","00O2TNJGODT0G5Z4TTKYMMBYD","GSON5114142021")</f>
        <v>#NAME?</v>
      </c>
      <c r="S2447" s="4" t="e">
        <f ca="1">[1]!BexGetData("DP_1","00O2TNJGODT0G5Z4TTKYMMI9X","GSON5114142021")</f>
        <v>#NAME?</v>
      </c>
      <c r="T2447" s="4" t="e">
        <f ca="1">[1]!BexGetData("DP_1","00O2TNJGODT0G5Z4TTKYMMOLH","GSON5114142021")</f>
        <v>#NAME?</v>
      </c>
      <c r="U2447" s="4" t="e">
        <f ca="1">[1]!BexGetData("DP_1","00O2TNJGODT0G5Z4TTKYMMUX1","GSON5114142021")</f>
        <v>#NAME?</v>
      </c>
      <c r="V2447" s="4" t="e">
        <f ca="1">[1]!BexGetData("DP_1","00O2TNJGODT0G5Z4TTKYMN18L","GSON5114142021")</f>
        <v>#NAME?</v>
      </c>
      <c r="W2447" s="4" t="e">
        <f ca="1">[1]!BexGetData("DP_1","00O2TNJGODT0G5Z4TTKYMN7K5","GSON5114142021")</f>
        <v>#NAME?</v>
      </c>
    </row>
    <row r="2448" spans="1:23" x14ac:dyDescent="0.2">
      <c r="A2448" s="16" t="s">
        <v>5088</v>
      </c>
      <c r="B2448" s="7" t="s">
        <v>5089</v>
      </c>
      <c r="C2448" s="3" t="e">
        <f ca="1">[1]!BexGetData("DP_1","003N8EMH8GTFRCSWKMPXRR8GU","GSON5114143031")</f>
        <v>#NAME?</v>
      </c>
      <c r="D2448" s="3" t="e">
        <f ca="1">[1]!BexGetData("DP_1","003N8EMH8GTFRCSWKMPXRRESE","GSON5114143031")</f>
        <v>#NAME?</v>
      </c>
      <c r="E2448" s="3" t="e">
        <f ca="1">[1]!BexGetData("DP_1","003N8EMH8GTFRCSWKMPXRRL3Y","GSON5114143031")</f>
        <v>#NAME?</v>
      </c>
      <c r="F2448" s="4" t="e">
        <f ca="1">[1]!BexGetData("DP_1","003N8EMH8GTFRCSWKMPXRRRFI","GSON5114143031")</f>
        <v>#NAME?</v>
      </c>
      <c r="G2448" s="4" t="e">
        <f ca="1">[1]!BexGetData("DP_1","003N8EMH8GTFRCSWKMPXRRXR2","GSON5114143031")</f>
        <v>#NAME?</v>
      </c>
      <c r="H2448" s="4" t="e">
        <f ca="1">[1]!BexGetData("DP_1","003N8EMH8GTFRCSWKMPXRS42M","GSON5114143031")</f>
        <v>#NAME?</v>
      </c>
      <c r="I2448" s="4" t="e">
        <f ca="1">[1]!BexGetData("DP_1","003N8EMH8GTFRCSWKMPXRSAE6","GSON5114143031")</f>
        <v>#NAME?</v>
      </c>
      <c r="J2448" s="4" t="e">
        <f ca="1">[1]!BexGetData("DP_1","003N8EMH8GTFRCSWKMPXRSGPQ","GSON5114143031")</f>
        <v>#NAME?</v>
      </c>
      <c r="K2448" s="3" t="e">
        <f ca="1">[1]!BexGetData("DP_1","003N8EMH8GTFRIVNUPY288VJH","GSON5114143031")</f>
        <v>#NAME?</v>
      </c>
      <c r="L2448" s="3" t="e">
        <f ca="1">[1]!BexGetData("DP_1","003N8EMH8GTFRIVNUPY2891V1","GSON5114143031")</f>
        <v>#NAME?</v>
      </c>
      <c r="M2448" s="8" t="e">
        <f ca="1">[1]!BexGetData("DP_1","003N8EMH8GTFRIVOG7KG9IQXA","GSON5114143031")</f>
        <v>#NAME?</v>
      </c>
      <c r="N2448" s="3" t="e">
        <f ca="1">[1]!BexGetData("DP_1","003N8EMH8GTFRIVOG7KG9IX8U","GSON5114143031")</f>
        <v>#NAME?</v>
      </c>
      <c r="O2448" s="8" t="e">
        <f ca="1">[1]!BexGetData("DP_1","003N8EMH8GTFRIVOG7KG9J3KE","GSON5114143031")</f>
        <v>#NAME?</v>
      </c>
      <c r="P2448" s="3" t="e">
        <f ca="1">[1]!BexGetData("DP_1","003N8EMH8GTFRIVOG7KG9J9VY","GSON5114143031")</f>
        <v>#NAME?</v>
      </c>
      <c r="Q2448" s="4" t="e">
        <f ca="1">[1]!BexGetData("DP_1","00O2TNJGODT0G5Z4TTKYMM5MT","GSON5114143031")</f>
        <v>#NAME?</v>
      </c>
      <c r="R2448" s="4" t="e">
        <f ca="1">[1]!BexGetData("DP_1","00O2TNJGODT0G5Z4TTKYMMBYD","GSON5114143031")</f>
        <v>#NAME?</v>
      </c>
      <c r="S2448" s="4" t="e">
        <f ca="1">[1]!BexGetData("DP_1","00O2TNJGODT0G5Z4TTKYMMI9X","GSON5114143031")</f>
        <v>#NAME?</v>
      </c>
      <c r="T2448" s="4" t="e">
        <f ca="1">[1]!BexGetData("DP_1","00O2TNJGODT0G5Z4TTKYMMOLH","GSON5114143031")</f>
        <v>#NAME?</v>
      </c>
      <c r="U2448" s="4" t="e">
        <f ca="1">[1]!BexGetData("DP_1","00O2TNJGODT0G5Z4TTKYMMUX1","GSON5114143031")</f>
        <v>#NAME?</v>
      </c>
      <c r="V2448" s="4" t="e">
        <f ca="1">[1]!BexGetData("DP_1","00O2TNJGODT0G5Z4TTKYMN18L","GSON5114143031")</f>
        <v>#NAME?</v>
      </c>
      <c r="W2448" s="4" t="e">
        <f ca="1">[1]!BexGetData("DP_1","00O2TNJGODT0G5Z4TTKYMN7K5","GSON5114143031")</f>
        <v>#NAME?</v>
      </c>
    </row>
    <row r="2449" spans="1:23" x14ac:dyDescent="0.2">
      <c r="A2449" s="16" t="s">
        <v>5090</v>
      </c>
      <c r="B2449" s="7" t="s">
        <v>1560</v>
      </c>
      <c r="C2449" s="3" t="e">
        <f ca="1">[1]!BexGetData("DP_1","003N8EMH8GTFRCSWKMPXRR8GU","GSON5114144021")</f>
        <v>#NAME?</v>
      </c>
      <c r="D2449" s="3" t="e">
        <f ca="1">[1]!BexGetData("DP_1","003N8EMH8GTFRCSWKMPXRRESE","GSON5114144021")</f>
        <v>#NAME?</v>
      </c>
      <c r="E2449" s="3" t="e">
        <f ca="1">[1]!BexGetData("DP_1","003N8EMH8GTFRCSWKMPXRRL3Y","GSON5114144021")</f>
        <v>#NAME?</v>
      </c>
      <c r="F2449" s="4" t="e">
        <f ca="1">[1]!BexGetData("DP_1","003N8EMH8GTFRCSWKMPXRRRFI","GSON5114144021")</f>
        <v>#NAME?</v>
      </c>
      <c r="G2449" s="4" t="e">
        <f ca="1">[1]!BexGetData("DP_1","003N8EMH8GTFRCSWKMPXRRXR2","GSON5114144021")</f>
        <v>#NAME?</v>
      </c>
      <c r="H2449" s="4" t="e">
        <f ca="1">[1]!BexGetData("DP_1","003N8EMH8GTFRCSWKMPXRS42M","GSON5114144021")</f>
        <v>#NAME?</v>
      </c>
      <c r="I2449" s="4" t="e">
        <f ca="1">[1]!BexGetData("DP_1","003N8EMH8GTFRCSWKMPXRSAE6","GSON5114144021")</f>
        <v>#NAME?</v>
      </c>
      <c r="J2449" s="4" t="e">
        <f ca="1">[1]!BexGetData("DP_1","003N8EMH8GTFRCSWKMPXRSGPQ","GSON5114144021")</f>
        <v>#NAME?</v>
      </c>
      <c r="K2449" s="3" t="e">
        <f ca="1">[1]!BexGetData("DP_1","003N8EMH8GTFRIVNUPY288VJH","GSON5114144021")</f>
        <v>#NAME?</v>
      </c>
      <c r="L2449" s="3" t="e">
        <f ca="1">[1]!BexGetData("DP_1","003N8EMH8GTFRIVNUPY2891V1","GSON5114144021")</f>
        <v>#NAME?</v>
      </c>
      <c r="M2449" s="8" t="e">
        <f ca="1">[1]!BexGetData("DP_1","003N8EMH8GTFRIVOG7KG9IQXA","GSON5114144021")</f>
        <v>#NAME?</v>
      </c>
      <c r="N2449" s="3" t="e">
        <f ca="1">[1]!BexGetData("DP_1","003N8EMH8GTFRIVOG7KG9IX8U","GSON5114144021")</f>
        <v>#NAME?</v>
      </c>
      <c r="O2449" s="8" t="e">
        <f ca="1">[1]!BexGetData("DP_1","003N8EMH8GTFRIVOG7KG9J3KE","GSON5114144021")</f>
        <v>#NAME?</v>
      </c>
      <c r="P2449" s="3" t="e">
        <f ca="1">[1]!BexGetData("DP_1","003N8EMH8GTFRIVOG7KG9J9VY","GSON5114144021")</f>
        <v>#NAME?</v>
      </c>
      <c r="Q2449" s="4" t="e">
        <f ca="1">[1]!BexGetData("DP_1","00O2TNJGODT0G5Z4TTKYMM5MT","GSON5114144021")</f>
        <v>#NAME?</v>
      </c>
      <c r="R2449" s="4" t="e">
        <f ca="1">[1]!BexGetData("DP_1","00O2TNJGODT0G5Z4TTKYMMBYD","GSON5114144021")</f>
        <v>#NAME?</v>
      </c>
      <c r="S2449" s="4" t="e">
        <f ca="1">[1]!BexGetData("DP_1","00O2TNJGODT0G5Z4TTKYMMI9X","GSON5114144021")</f>
        <v>#NAME?</v>
      </c>
      <c r="T2449" s="4" t="e">
        <f ca="1">[1]!BexGetData("DP_1","00O2TNJGODT0G5Z4TTKYMMOLH","GSON5114144021")</f>
        <v>#NAME?</v>
      </c>
      <c r="U2449" s="4" t="e">
        <f ca="1">[1]!BexGetData("DP_1","00O2TNJGODT0G5Z4TTKYMMUX1","GSON5114144021")</f>
        <v>#NAME?</v>
      </c>
      <c r="V2449" s="4" t="e">
        <f ca="1">[1]!BexGetData("DP_1","00O2TNJGODT0G5Z4TTKYMN18L","GSON5114144021")</f>
        <v>#NAME?</v>
      </c>
      <c r="W2449" s="4" t="e">
        <f ca="1">[1]!BexGetData("DP_1","00O2TNJGODT0G5Z4TTKYMN7K5","GSON5114144021")</f>
        <v>#NAME?</v>
      </c>
    </row>
    <row r="2450" spans="1:23" x14ac:dyDescent="0.2">
      <c r="A2450" s="16" t="s">
        <v>5091</v>
      </c>
      <c r="B2450" s="7" t="s">
        <v>5092</v>
      </c>
      <c r="C2450" s="3" t="e">
        <f ca="1">[1]!BexGetData("DP_1","003N8EMH8GTFRCSWKMPXRR8GU","GSON5114144031")</f>
        <v>#NAME?</v>
      </c>
      <c r="D2450" s="8" t="e">
        <f ca="1">[1]!BexGetData("DP_1","003N8EMH8GTFRCSWKMPXRRESE","GSON5114144031")</f>
        <v>#NAME?</v>
      </c>
      <c r="E2450" s="3" t="e">
        <f ca="1">[1]!BexGetData("DP_1","003N8EMH8GTFRCSWKMPXRRL3Y","GSON5114144031")</f>
        <v>#NAME?</v>
      </c>
      <c r="F2450" s="4" t="e">
        <f ca="1">[1]!BexGetData("DP_1","003N8EMH8GTFRCSWKMPXRRRFI","GSON5114144031")</f>
        <v>#NAME?</v>
      </c>
      <c r="G2450" s="4" t="e">
        <f ca="1">[1]!BexGetData("DP_1","003N8EMH8GTFRCSWKMPXRRXR2","GSON5114144031")</f>
        <v>#NAME?</v>
      </c>
      <c r="H2450" s="4" t="e">
        <f ca="1">[1]!BexGetData("DP_1","003N8EMH8GTFRCSWKMPXRS42M","GSON5114144031")</f>
        <v>#NAME?</v>
      </c>
      <c r="I2450" s="4" t="e">
        <f ca="1">[1]!BexGetData("DP_1","003N8EMH8GTFRCSWKMPXRSAE6","GSON5114144031")</f>
        <v>#NAME?</v>
      </c>
      <c r="J2450" s="4" t="e">
        <f ca="1">[1]!BexGetData("DP_1","003N8EMH8GTFRCSWKMPXRSGPQ","GSON5114144031")</f>
        <v>#NAME?</v>
      </c>
      <c r="K2450" s="3" t="e">
        <f ca="1">[1]!BexGetData("DP_1","003N8EMH8GTFRIVNUPY288VJH","GSON5114144031")</f>
        <v>#NAME?</v>
      </c>
      <c r="L2450" s="3" t="e">
        <f ca="1">[1]!BexGetData("DP_1","003N8EMH8GTFRIVNUPY2891V1","GSON5114144031")</f>
        <v>#NAME?</v>
      </c>
      <c r="M2450" s="8" t="e">
        <f ca="1">[1]!BexGetData("DP_1","003N8EMH8GTFRIVOG7KG9IQXA","GSON5114144031")</f>
        <v>#NAME?</v>
      </c>
      <c r="N2450" s="3" t="e">
        <f ca="1">[1]!BexGetData("DP_1","003N8EMH8GTFRIVOG7KG9IX8U","GSON5114144031")</f>
        <v>#NAME?</v>
      </c>
      <c r="O2450" s="8" t="e">
        <f ca="1">[1]!BexGetData("DP_1","003N8EMH8GTFRIVOG7KG9J3KE","GSON5114144031")</f>
        <v>#NAME?</v>
      </c>
      <c r="P2450" s="3" t="e">
        <f ca="1">[1]!BexGetData("DP_1","003N8EMH8GTFRIVOG7KG9J9VY","GSON5114144031")</f>
        <v>#NAME?</v>
      </c>
      <c r="Q2450" s="4" t="e">
        <f ca="1">[1]!BexGetData("DP_1","00O2TNJGODT0G5Z4TTKYMM5MT","GSON5114144031")</f>
        <v>#NAME?</v>
      </c>
      <c r="R2450" s="4" t="e">
        <f ca="1">[1]!BexGetData("DP_1","00O2TNJGODT0G5Z4TTKYMMBYD","GSON5114144031")</f>
        <v>#NAME?</v>
      </c>
      <c r="S2450" s="4" t="e">
        <f ca="1">[1]!BexGetData("DP_1","00O2TNJGODT0G5Z4TTKYMMI9X","GSON5114144031")</f>
        <v>#NAME?</v>
      </c>
      <c r="T2450" s="4" t="e">
        <f ca="1">[1]!BexGetData("DP_1","00O2TNJGODT0G5Z4TTKYMMOLH","GSON5114144031")</f>
        <v>#NAME?</v>
      </c>
      <c r="U2450" s="4" t="e">
        <f ca="1">[1]!BexGetData("DP_1","00O2TNJGODT0G5Z4TTKYMMUX1","GSON5114144031")</f>
        <v>#NAME?</v>
      </c>
      <c r="V2450" s="4" t="e">
        <f ca="1">[1]!BexGetData("DP_1","00O2TNJGODT0G5Z4TTKYMN18L","GSON5114144031")</f>
        <v>#NAME?</v>
      </c>
      <c r="W2450" s="4" t="e">
        <f ca="1">[1]!BexGetData("DP_1","00O2TNJGODT0G5Z4TTKYMN7K5","GSON5114144031")</f>
        <v>#NAME?</v>
      </c>
    </row>
    <row r="2451" spans="1:23" x14ac:dyDescent="0.2">
      <c r="A2451" s="16" t="s">
        <v>5093</v>
      </c>
      <c r="B2451" s="7" t="s">
        <v>5094</v>
      </c>
      <c r="C2451" s="3" t="e">
        <f ca="1">[1]!BexGetData("DP_1","003N8EMH8GTFRCSWKMPXRR8GU","GSON5114144041")</f>
        <v>#NAME?</v>
      </c>
      <c r="D2451" s="8" t="e">
        <f ca="1">[1]!BexGetData("DP_1","003N8EMH8GTFRCSWKMPXRRESE","GSON5114144041")</f>
        <v>#NAME?</v>
      </c>
      <c r="E2451" s="3" t="e">
        <f ca="1">[1]!BexGetData("DP_1","003N8EMH8GTFRCSWKMPXRRL3Y","GSON5114144041")</f>
        <v>#NAME?</v>
      </c>
      <c r="F2451" s="4" t="e">
        <f ca="1">[1]!BexGetData("DP_1","003N8EMH8GTFRCSWKMPXRRRFI","GSON5114144041")</f>
        <v>#NAME?</v>
      </c>
      <c r="G2451" s="4" t="e">
        <f ca="1">[1]!BexGetData("DP_1","003N8EMH8GTFRCSWKMPXRRXR2","GSON5114144041")</f>
        <v>#NAME?</v>
      </c>
      <c r="H2451" s="4" t="e">
        <f ca="1">[1]!BexGetData("DP_1","003N8EMH8GTFRCSWKMPXRS42M","GSON5114144041")</f>
        <v>#NAME?</v>
      </c>
      <c r="I2451" s="4" t="e">
        <f ca="1">[1]!BexGetData("DP_1","003N8EMH8GTFRCSWKMPXRSAE6","GSON5114144041")</f>
        <v>#NAME?</v>
      </c>
      <c r="J2451" s="4" t="e">
        <f ca="1">[1]!BexGetData("DP_1","003N8EMH8GTFRCSWKMPXRSGPQ","GSON5114144041")</f>
        <v>#NAME?</v>
      </c>
      <c r="K2451" s="3" t="e">
        <f ca="1">[1]!BexGetData("DP_1","003N8EMH8GTFRIVNUPY288VJH","GSON5114144041")</f>
        <v>#NAME?</v>
      </c>
      <c r="L2451" s="3" t="e">
        <f ca="1">[1]!BexGetData("DP_1","003N8EMH8GTFRIVNUPY2891V1","GSON5114144041")</f>
        <v>#NAME?</v>
      </c>
      <c r="M2451" s="8" t="e">
        <f ca="1">[1]!BexGetData("DP_1","003N8EMH8GTFRIVOG7KG9IQXA","GSON5114144041")</f>
        <v>#NAME?</v>
      </c>
      <c r="N2451" s="3" t="e">
        <f ca="1">[1]!BexGetData("DP_1","003N8EMH8GTFRIVOG7KG9IX8U","GSON5114144041")</f>
        <v>#NAME?</v>
      </c>
      <c r="O2451" s="8" t="e">
        <f ca="1">[1]!BexGetData("DP_1","003N8EMH8GTFRIVOG7KG9J3KE","GSON5114144041")</f>
        <v>#NAME?</v>
      </c>
      <c r="P2451" s="3" t="e">
        <f ca="1">[1]!BexGetData("DP_1","003N8EMH8GTFRIVOG7KG9J9VY","GSON5114144041")</f>
        <v>#NAME?</v>
      </c>
      <c r="Q2451" s="4" t="e">
        <f ca="1">[1]!BexGetData("DP_1","00O2TNJGODT0G5Z4TTKYMM5MT","GSON5114144041")</f>
        <v>#NAME?</v>
      </c>
      <c r="R2451" s="4" t="e">
        <f ca="1">[1]!BexGetData("DP_1","00O2TNJGODT0G5Z4TTKYMMBYD","GSON5114144041")</f>
        <v>#NAME?</v>
      </c>
      <c r="S2451" s="4" t="e">
        <f ca="1">[1]!BexGetData("DP_1","00O2TNJGODT0G5Z4TTKYMMI9X","GSON5114144041")</f>
        <v>#NAME?</v>
      </c>
      <c r="T2451" s="4" t="e">
        <f ca="1">[1]!BexGetData("DP_1","00O2TNJGODT0G5Z4TTKYMMOLH","GSON5114144041")</f>
        <v>#NAME?</v>
      </c>
      <c r="U2451" s="4" t="e">
        <f ca="1">[1]!BexGetData("DP_1","00O2TNJGODT0G5Z4TTKYMMUX1","GSON5114144041")</f>
        <v>#NAME?</v>
      </c>
      <c r="V2451" s="4" t="e">
        <f ca="1">[1]!BexGetData("DP_1","00O2TNJGODT0G5Z4TTKYMN18L","GSON5114144041")</f>
        <v>#NAME?</v>
      </c>
      <c r="W2451" s="4" t="e">
        <f ca="1">[1]!BexGetData("DP_1","00O2TNJGODT0G5Z4TTKYMN7K5","GSON5114144041")</f>
        <v>#NAME?</v>
      </c>
    </row>
    <row r="2452" spans="1:23" x14ac:dyDescent="0.2">
      <c r="A2452" s="16" t="s">
        <v>5095</v>
      </c>
      <c r="B2452" s="7" t="s">
        <v>5096</v>
      </c>
      <c r="C2452" s="3" t="e">
        <f ca="1">[1]!BexGetData("DP_1","003N8EMH8GTFRCSWKMPXRR8GU","GSON5114144061")</f>
        <v>#NAME?</v>
      </c>
      <c r="D2452" s="8" t="e">
        <f ca="1">[1]!BexGetData("DP_1","003N8EMH8GTFRCSWKMPXRRESE","GSON5114144061")</f>
        <v>#NAME?</v>
      </c>
      <c r="E2452" s="3" t="e">
        <f ca="1">[1]!BexGetData("DP_1","003N8EMH8GTFRCSWKMPXRRL3Y","GSON5114144061")</f>
        <v>#NAME?</v>
      </c>
      <c r="F2452" s="4" t="e">
        <f ca="1">[1]!BexGetData("DP_1","003N8EMH8GTFRCSWKMPXRRRFI","GSON5114144061")</f>
        <v>#NAME?</v>
      </c>
      <c r="G2452" s="4" t="e">
        <f ca="1">[1]!BexGetData("DP_1","003N8EMH8GTFRCSWKMPXRRXR2","GSON5114144061")</f>
        <v>#NAME?</v>
      </c>
      <c r="H2452" s="4" t="e">
        <f ca="1">[1]!BexGetData("DP_1","003N8EMH8GTFRCSWKMPXRS42M","GSON5114144061")</f>
        <v>#NAME?</v>
      </c>
      <c r="I2452" s="4" t="e">
        <f ca="1">[1]!BexGetData("DP_1","003N8EMH8GTFRCSWKMPXRSAE6","GSON5114144061")</f>
        <v>#NAME?</v>
      </c>
      <c r="J2452" s="4" t="e">
        <f ca="1">[1]!BexGetData("DP_1","003N8EMH8GTFRCSWKMPXRSGPQ","GSON5114144061")</f>
        <v>#NAME?</v>
      </c>
      <c r="K2452" s="3" t="e">
        <f ca="1">[1]!BexGetData("DP_1","003N8EMH8GTFRIVNUPY288VJH","GSON5114144061")</f>
        <v>#NAME?</v>
      </c>
      <c r="L2452" s="3" t="e">
        <f ca="1">[1]!BexGetData("DP_1","003N8EMH8GTFRIVNUPY2891V1","GSON5114144061")</f>
        <v>#NAME?</v>
      </c>
      <c r="M2452" s="8" t="e">
        <f ca="1">[1]!BexGetData("DP_1","003N8EMH8GTFRIVOG7KG9IQXA","GSON5114144061")</f>
        <v>#NAME?</v>
      </c>
      <c r="N2452" s="3" t="e">
        <f ca="1">[1]!BexGetData("DP_1","003N8EMH8GTFRIVOG7KG9IX8U","GSON5114144061")</f>
        <v>#NAME?</v>
      </c>
      <c r="O2452" s="8" t="e">
        <f ca="1">[1]!BexGetData("DP_1","003N8EMH8GTFRIVOG7KG9J3KE","GSON5114144061")</f>
        <v>#NAME?</v>
      </c>
      <c r="P2452" s="3" t="e">
        <f ca="1">[1]!BexGetData("DP_1","003N8EMH8GTFRIVOG7KG9J9VY","GSON5114144061")</f>
        <v>#NAME?</v>
      </c>
      <c r="Q2452" s="4" t="e">
        <f ca="1">[1]!BexGetData("DP_1","00O2TNJGODT0G5Z4TTKYMM5MT","GSON5114144061")</f>
        <v>#NAME?</v>
      </c>
      <c r="R2452" s="4" t="e">
        <f ca="1">[1]!BexGetData("DP_1","00O2TNJGODT0G5Z4TTKYMMBYD","GSON5114144061")</f>
        <v>#NAME?</v>
      </c>
      <c r="S2452" s="4" t="e">
        <f ca="1">[1]!BexGetData("DP_1","00O2TNJGODT0G5Z4TTKYMMI9X","GSON5114144061")</f>
        <v>#NAME?</v>
      </c>
      <c r="T2452" s="4" t="e">
        <f ca="1">[1]!BexGetData("DP_1","00O2TNJGODT0G5Z4TTKYMMOLH","GSON5114144061")</f>
        <v>#NAME?</v>
      </c>
      <c r="U2452" s="4" t="e">
        <f ca="1">[1]!BexGetData("DP_1","00O2TNJGODT0G5Z4TTKYMMUX1","GSON5114144061")</f>
        <v>#NAME?</v>
      </c>
      <c r="V2452" s="4" t="e">
        <f ca="1">[1]!BexGetData("DP_1","00O2TNJGODT0G5Z4TTKYMN18L","GSON5114144061")</f>
        <v>#NAME?</v>
      </c>
      <c r="W2452" s="4" t="e">
        <f ca="1">[1]!BexGetData("DP_1","00O2TNJGODT0G5Z4TTKYMN7K5","GSON5114144061")</f>
        <v>#NAME?</v>
      </c>
    </row>
    <row r="2453" spans="1:23" x14ac:dyDescent="0.2">
      <c r="A2453" s="15" t="s">
        <v>1561</v>
      </c>
      <c r="B2453" s="7" t="s">
        <v>1562</v>
      </c>
      <c r="C2453" s="3" t="e">
        <f ca="1">[1]!BexGetData("DP_1","003N8EMH8GTFRCSWKMPXRR8GU","GSON5115")</f>
        <v>#NAME?</v>
      </c>
      <c r="D2453" s="3" t="e">
        <f ca="1">[1]!BexGetData("DP_1","003N8EMH8GTFRCSWKMPXRRESE","GSON5115")</f>
        <v>#NAME?</v>
      </c>
      <c r="E2453" s="3" t="e">
        <f ca="1">[1]!BexGetData("DP_1","003N8EMH8GTFRCSWKMPXRRL3Y","GSON5115")</f>
        <v>#NAME?</v>
      </c>
      <c r="F2453" s="4" t="e">
        <f ca="1">[1]!BexGetData("DP_1","003N8EMH8GTFRCSWKMPXRRRFI","GSON5115")</f>
        <v>#NAME?</v>
      </c>
      <c r="G2453" s="4" t="e">
        <f ca="1">[1]!BexGetData("DP_1","003N8EMH8GTFRCSWKMPXRRXR2","GSON5115")</f>
        <v>#NAME?</v>
      </c>
      <c r="H2453" s="4" t="e">
        <f ca="1">[1]!BexGetData("DP_1","003N8EMH8GTFRCSWKMPXRS42M","GSON5115")</f>
        <v>#NAME?</v>
      </c>
      <c r="I2453" s="4" t="e">
        <f ca="1">[1]!BexGetData("DP_1","003N8EMH8GTFRCSWKMPXRSAE6","GSON5115")</f>
        <v>#NAME?</v>
      </c>
      <c r="J2453" s="4" t="e">
        <f ca="1">[1]!BexGetData("DP_1","003N8EMH8GTFRCSWKMPXRSGPQ","GSON5115")</f>
        <v>#NAME?</v>
      </c>
      <c r="K2453" s="3" t="e">
        <f ca="1">[1]!BexGetData("DP_1","003N8EMH8GTFRIVNUPY288VJH","GSON5115")</f>
        <v>#NAME?</v>
      </c>
      <c r="L2453" s="3" t="e">
        <f ca="1">[1]!BexGetData("DP_1","003N8EMH8GTFRIVNUPY2891V1","GSON5115")</f>
        <v>#NAME?</v>
      </c>
      <c r="M2453" s="8" t="e">
        <f ca="1">[1]!BexGetData("DP_1","003N8EMH8GTFRIVOG7KG9IQXA","GSON5115")</f>
        <v>#NAME?</v>
      </c>
      <c r="N2453" s="3" t="e">
        <f ca="1">[1]!BexGetData("DP_1","003N8EMH8GTFRIVOG7KG9IX8U","GSON5115")</f>
        <v>#NAME?</v>
      </c>
      <c r="O2453" s="8" t="e">
        <f ca="1">[1]!BexGetData("DP_1","003N8EMH8GTFRIVOG7KG9J3KE","GSON5115")</f>
        <v>#NAME?</v>
      </c>
      <c r="P2453" s="3" t="e">
        <f ca="1">[1]!BexGetData("DP_1","003N8EMH8GTFRIVOG7KG9J9VY","GSON5115")</f>
        <v>#NAME?</v>
      </c>
      <c r="Q2453" s="4" t="e">
        <f ca="1">[1]!BexGetData("DP_1","00O2TNJGODT0G5Z4TTKYMM5MT","GSON5115")</f>
        <v>#NAME?</v>
      </c>
      <c r="R2453" s="4" t="e">
        <f ca="1">[1]!BexGetData("DP_1","00O2TNJGODT0G5Z4TTKYMMBYD","GSON5115")</f>
        <v>#NAME?</v>
      </c>
      <c r="S2453" s="4" t="e">
        <f ca="1">[1]!BexGetData("DP_1","00O2TNJGODT0G5Z4TTKYMMI9X","GSON5115")</f>
        <v>#NAME?</v>
      </c>
      <c r="T2453" s="4" t="e">
        <f ca="1">[1]!BexGetData("DP_1","00O2TNJGODT0G5Z4TTKYMMOLH","GSON5115")</f>
        <v>#NAME?</v>
      </c>
      <c r="U2453" s="4" t="e">
        <f ca="1">[1]!BexGetData("DP_1","00O2TNJGODT0G5Z4TTKYMMUX1","GSON5115")</f>
        <v>#NAME?</v>
      </c>
      <c r="V2453" s="4" t="e">
        <f ca="1">[1]!BexGetData("DP_1","00O2TNJGODT0G5Z4TTKYMN18L","GSON5115")</f>
        <v>#NAME?</v>
      </c>
      <c r="W2453" s="4" t="e">
        <f ca="1">[1]!BexGetData("DP_1","00O2TNJGODT0G5Z4TTKYMN7K5","GSON5115")</f>
        <v>#NAME?</v>
      </c>
    </row>
    <row r="2454" spans="1:23" x14ac:dyDescent="0.2">
      <c r="A2454" s="16" t="s">
        <v>5097</v>
      </c>
      <c r="B2454" s="7" t="s">
        <v>1563</v>
      </c>
      <c r="C2454" s="3" t="e">
        <f ca="1">[1]!BexGetData("DP_1","003N8EMH8GTFRCSWKMPXRR8GU","GSON5115151011")</f>
        <v>#NAME?</v>
      </c>
      <c r="D2454" s="8" t="e">
        <f ca="1">[1]!BexGetData("DP_1","003N8EMH8GTFRCSWKMPXRRESE","GSON5115151011")</f>
        <v>#NAME?</v>
      </c>
      <c r="E2454" s="3" t="e">
        <f ca="1">[1]!BexGetData("DP_1","003N8EMH8GTFRCSWKMPXRRL3Y","GSON5115151011")</f>
        <v>#NAME?</v>
      </c>
      <c r="F2454" s="4" t="e">
        <f ca="1">[1]!BexGetData("DP_1","003N8EMH8GTFRCSWKMPXRRRFI","GSON5115151011")</f>
        <v>#NAME?</v>
      </c>
      <c r="G2454" s="4" t="e">
        <f ca="1">[1]!BexGetData("DP_1","003N8EMH8GTFRCSWKMPXRRXR2","GSON5115151011")</f>
        <v>#NAME?</v>
      </c>
      <c r="H2454" s="4" t="e">
        <f ca="1">[1]!BexGetData("DP_1","003N8EMH8GTFRCSWKMPXRS42M","GSON5115151011")</f>
        <v>#NAME?</v>
      </c>
      <c r="I2454" s="4" t="e">
        <f ca="1">[1]!BexGetData("DP_1","003N8EMH8GTFRCSWKMPXRSAE6","GSON5115151011")</f>
        <v>#NAME?</v>
      </c>
      <c r="J2454" s="4" t="e">
        <f ca="1">[1]!BexGetData("DP_1","003N8EMH8GTFRCSWKMPXRSGPQ","GSON5115151011")</f>
        <v>#NAME?</v>
      </c>
      <c r="K2454" s="3" t="e">
        <f ca="1">[1]!BexGetData("DP_1","003N8EMH8GTFRIVNUPY288VJH","GSON5115151011")</f>
        <v>#NAME?</v>
      </c>
      <c r="L2454" s="3" t="e">
        <f ca="1">[1]!BexGetData("DP_1","003N8EMH8GTFRIVNUPY2891V1","GSON5115151011")</f>
        <v>#NAME?</v>
      </c>
      <c r="M2454" s="8" t="e">
        <f ca="1">[1]!BexGetData("DP_1","003N8EMH8GTFRIVOG7KG9IQXA","GSON5115151011")</f>
        <v>#NAME?</v>
      </c>
      <c r="N2454" s="3" t="e">
        <f ca="1">[1]!BexGetData("DP_1","003N8EMH8GTFRIVOG7KG9IX8U","GSON5115151011")</f>
        <v>#NAME?</v>
      </c>
      <c r="O2454" s="8" t="e">
        <f ca="1">[1]!BexGetData("DP_1","003N8EMH8GTFRIVOG7KG9J3KE","GSON5115151011")</f>
        <v>#NAME?</v>
      </c>
      <c r="P2454" s="3" t="e">
        <f ca="1">[1]!BexGetData("DP_1","003N8EMH8GTFRIVOG7KG9J9VY","GSON5115151011")</f>
        <v>#NAME?</v>
      </c>
      <c r="Q2454" s="4" t="e">
        <f ca="1">[1]!BexGetData("DP_1","00O2TNJGODT0G5Z4TTKYMM5MT","GSON5115151011")</f>
        <v>#NAME?</v>
      </c>
      <c r="R2454" s="4" t="e">
        <f ca="1">[1]!BexGetData("DP_1","00O2TNJGODT0G5Z4TTKYMMBYD","GSON5115151011")</f>
        <v>#NAME?</v>
      </c>
      <c r="S2454" s="4" t="e">
        <f ca="1">[1]!BexGetData("DP_1","00O2TNJGODT0G5Z4TTKYMMI9X","GSON5115151011")</f>
        <v>#NAME?</v>
      </c>
      <c r="T2454" s="4" t="e">
        <f ca="1">[1]!BexGetData("DP_1","00O2TNJGODT0G5Z4TTKYMMOLH","GSON5115151011")</f>
        <v>#NAME?</v>
      </c>
      <c r="U2454" s="4" t="e">
        <f ca="1">[1]!BexGetData("DP_1","00O2TNJGODT0G5Z4TTKYMMUX1","GSON5115151011")</f>
        <v>#NAME?</v>
      </c>
      <c r="V2454" s="4" t="e">
        <f ca="1">[1]!BexGetData("DP_1","00O2TNJGODT0G5Z4TTKYMN18L","GSON5115151011")</f>
        <v>#NAME?</v>
      </c>
      <c r="W2454" s="4" t="e">
        <f ca="1">[1]!BexGetData("DP_1","00O2TNJGODT0G5Z4TTKYMN7K5","GSON5115151011")</f>
        <v>#NAME?</v>
      </c>
    </row>
    <row r="2455" spans="1:23" x14ac:dyDescent="0.2">
      <c r="A2455" s="16" t="s">
        <v>5098</v>
      </c>
      <c r="B2455" s="7" t="s">
        <v>5099</v>
      </c>
      <c r="C2455" s="3" t="e">
        <f ca="1">[1]!BexGetData("DP_1","003N8EMH8GTFRCSWKMPXRR8GU","GSON5115152011")</f>
        <v>#NAME?</v>
      </c>
      <c r="D2455" s="8" t="e">
        <f ca="1">[1]!BexGetData("DP_1","003N8EMH8GTFRCSWKMPXRRESE","GSON5115152011")</f>
        <v>#NAME?</v>
      </c>
      <c r="E2455" s="3" t="e">
        <f ca="1">[1]!BexGetData("DP_1","003N8EMH8GTFRCSWKMPXRRL3Y","GSON5115152011")</f>
        <v>#NAME?</v>
      </c>
      <c r="F2455" s="4" t="e">
        <f ca="1">[1]!BexGetData("DP_1","003N8EMH8GTFRCSWKMPXRRRFI","GSON5115152011")</f>
        <v>#NAME?</v>
      </c>
      <c r="G2455" s="4" t="e">
        <f ca="1">[1]!BexGetData("DP_1","003N8EMH8GTFRCSWKMPXRRXR2","GSON5115152011")</f>
        <v>#NAME?</v>
      </c>
      <c r="H2455" s="4" t="e">
        <f ca="1">[1]!BexGetData("DP_1","003N8EMH8GTFRCSWKMPXRS42M","GSON5115152011")</f>
        <v>#NAME?</v>
      </c>
      <c r="I2455" s="4" t="e">
        <f ca="1">[1]!BexGetData("DP_1","003N8EMH8GTFRCSWKMPXRSAE6","GSON5115152011")</f>
        <v>#NAME?</v>
      </c>
      <c r="J2455" s="4" t="e">
        <f ca="1">[1]!BexGetData("DP_1","003N8EMH8GTFRCSWKMPXRSGPQ","GSON5115152011")</f>
        <v>#NAME?</v>
      </c>
      <c r="K2455" s="3" t="e">
        <f ca="1">[1]!BexGetData("DP_1","003N8EMH8GTFRIVNUPY288VJH","GSON5115152011")</f>
        <v>#NAME?</v>
      </c>
      <c r="L2455" s="3" t="e">
        <f ca="1">[1]!BexGetData("DP_1","003N8EMH8GTFRIVNUPY2891V1","GSON5115152011")</f>
        <v>#NAME?</v>
      </c>
      <c r="M2455" s="8" t="e">
        <f ca="1">[1]!BexGetData("DP_1","003N8EMH8GTFRIVOG7KG9IQXA","GSON5115152011")</f>
        <v>#NAME?</v>
      </c>
      <c r="N2455" s="3" t="e">
        <f ca="1">[1]!BexGetData("DP_1","003N8EMH8GTFRIVOG7KG9IX8U","GSON5115152011")</f>
        <v>#NAME?</v>
      </c>
      <c r="O2455" s="8" t="e">
        <f ca="1">[1]!BexGetData("DP_1","003N8EMH8GTFRIVOG7KG9J3KE","GSON5115152011")</f>
        <v>#NAME?</v>
      </c>
      <c r="P2455" s="3" t="e">
        <f ca="1">[1]!BexGetData("DP_1","003N8EMH8GTFRIVOG7KG9J9VY","GSON5115152011")</f>
        <v>#NAME?</v>
      </c>
      <c r="Q2455" s="4" t="e">
        <f ca="1">[1]!BexGetData("DP_1","00O2TNJGODT0G5Z4TTKYMM5MT","GSON5115152011")</f>
        <v>#NAME?</v>
      </c>
      <c r="R2455" s="4" t="e">
        <f ca="1">[1]!BexGetData("DP_1","00O2TNJGODT0G5Z4TTKYMMBYD","GSON5115152011")</f>
        <v>#NAME?</v>
      </c>
      <c r="S2455" s="4" t="e">
        <f ca="1">[1]!BexGetData("DP_1","00O2TNJGODT0G5Z4TTKYMMI9X","GSON5115152011")</f>
        <v>#NAME?</v>
      </c>
      <c r="T2455" s="4" t="e">
        <f ca="1">[1]!BexGetData("DP_1","00O2TNJGODT0G5Z4TTKYMMOLH","GSON5115152011")</f>
        <v>#NAME?</v>
      </c>
      <c r="U2455" s="4" t="e">
        <f ca="1">[1]!BexGetData("DP_1","00O2TNJGODT0G5Z4TTKYMMUX1","GSON5115152011")</f>
        <v>#NAME?</v>
      </c>
      <c r="V2455" s="4" t="e">
        <f ca="1">[1]!BexGetData("DP_1","00O2TNJGODT0G5Z4TTKYMN18L","GSON5115152011")</f>
        <v>#NAME?</v>
      </c>
      <c r="W2455" s="4" t="e">
        <f ca="1">[1]!BexGetData("DP_1","00O2TNJGODT0G5Z4TTKYMN7K5","GSON5115152011")</f>
        <v>#NAME?</v>
      </c>
    </row>
    <row r="2456" spans="1:23" x14ac:dyDescent="0.2">
      <c r="A2456" s="16" t="s">
        <v>5100</v>
      </c>
      <c r="B2456" s="7" t="s">
        <v>5101</v>
      </c>
      <c r="C2456" s="3" t="e">
        <f ca="1">[1]!BexGetData("DP_1","003N8EMH8GTFRCSWKMPXRR8GU","GSON5115152021")</f>
        <v>#NAME?</v>
      </c>
      <c r="D2456" s="3" t="e">
        <f ca="1">[1]!BexGetData("DP_1","003N8EMH8GTFRCSWKMPXRRESE","GSON5115152021")</f>
        <v>#NAME?</v>
      </c>
      <c r="E2456" s="3" t="e">
        <f ca="1">[1]!BexGetData("DP_1","003N8EMH8GTFRCSWKMPXRRL3Y","GSON5115152021")</f>
        <v>#NAME?</v>
      </c>
      <c r="F2456" s="4" t="e">
        <f ca="1">[1]!BexGetData("DP_1","003N8EMH8GTFRCSWKMPXRRRFI","GSON5115152021")</f>
        <v>#NAME?</v>
      </c>
      <c r="G2456" s="4" t="e">
        <f ca="1">[1]!BexGetData("DP_1","003N8EMH8GTFRCSWKMPXRRXR2","GSON5115152021")</f>
        <v>#NAME?</v>
      </c>
      <c r="H2456" s="4" t="e">
        <f ca="1">[1]!BexGetData("DP_1","003N8EMH8GTFRCSWKMPXRS42M","GSON5115152021")</f>
        <v>#NAME?</v>
      </c>
      <c r="I2456" s="4" t="e">
        <f ca="1">[1]!BexGetData("DP_1","003N8EMH8GTFRCSWKMPXRSAE6","GSON5115152021")</f>
        <v>#NAME?</v>
      </c>
      <c r="J2456" s="4" t="e">
        <f ca="1">[1]!BexGetData("DP_1","003N8EMH8GTFRCSWKMPXRSGPQ","GSON5115152021")</f>
        <v>#NAME?</v>
      </c>
      <c r="K2456" s="3" t="e">
        <f ca="1">[1]!BexGetData("DP_1","003N8EMH8GTFRIVNUPY288VJH","GSON5115152021")</f>
        <v>#NAME?</v>
      </c>
      <c r="L2456" s="3" t="e">
        <f ca="1">[1]!BexGetData("DP_1","003N8EMH8GTFRIVNUPY2891V1","GSON5115152021")</f>
        <v>#NAME?</v>
      </c>
      <c r="M2456" s="8" t="e">
        <f ca="1">[1]!BexGetData("DP_1","003N8EMH8GTFRIVOG7KG9IQXA","GSON5115152021")</f>
        <v>#NAME?</v>
      </c>
      <c r="N2456" s="3" t="e">
        <f ca="1">[1]!BexGetData("DP_1","003N8EMH8GTFRIVOG7KG9IX8U","GSON5115152021")</f>
        <v>#NAME?</v>
      </c>
      <c r="O2456" s="8" t="e">
        <f ca="1">[1]!BexGetData("DP_1","003N8EMH8GTFRIVOG7KG9J3KE","GSON5115152021")</f>
        <v>#NAME?</v>
      </c>
      <c r="P2456" s="3" t="e">
        <f ca="1">[1]!BexGetData("DP_1","003N8EMH8GTFRIVOG7KG9J9VY","GSON5115152021")</f>
        <v>#NAME?</v>
      </c>
      <c r="Q2456" s="4" t="e">
        <f ca="1">[1]!BexGetData("DP_1","00O2TNJGODT0G5Z4TTKYMM5MT","GSON5115152021")</f>
        <v>#NAME?</v>
      </c>
      <c r="R2456" s="4" t="e">
        <f ca="1">[1]!BexGetData("DP_1","00O2TNJGODT0G5Z4TTKYMMBYD","GSON5115152021")</f>
        <v>#NAME?</v>
      </c>
      <c r="S2456" s="4" t="e">
        <f ca="1">[1]!BexGetData("DP_1","00O2TNJGODT0G5Z4TTKYMMI9X","GSON5115152021")</f>
        <v>#NAME?</v>
      </c>
      <c r="T2456" s="4" t="e">
        <f ca="1">[1]!BexGetData("DP_1","00O2TNJGODT0G5Z4TTKYMMOLH","GSON5115152021")</f>
        <v>#NAME?</v>
      </c>
      <c r="U2456" s="4" t="e">
        <f ca="1">[1]!BexGetData("DP_1","00O2TNJGODT0G5Z4TTKYMMUX1","GSON5115152021")</f>
        <v>#NAME?</v>
      </c>
      <c r="V2456" s="4" t="e">
        <f ca="1">[1]!BexGetData("DP_1","00O2TNJGODT0G5Z4TTKYMN18L","GSON5115152021")</f>
        <v>#NAME?</v>
      </c>
      <c r="W2456" s="4" t="e">
        <f ca="1">[1]!BexGetData("DP_1","00O2TNJGODT0G5Z4TTKYMN7K5","GSON5115152021")</f>
        <v>#NAME?</v>
      </c>
    </row>
    <row r="2457" spans="1:23" x14ac:dyDescent="0.2">
      <c r="A2457" s="16" t="s">
        <v>5102</v>
      </c>
      <c r="B2457" s="7" t="s">
        <v>5103</v>
      </c>
      <c r="C2457" s="3" t="e">
        <f ca="1">[1]!BexGetData("DP_1","003N8EMH8GTFRCSWKMPXRR8GU","GSON5115153011")</f>
        <v>#NAME?</v>
      </c>
      <c r="D2457" s="3" t="e">
        <f ca="1">[1]!BexGetData("DP_1","003N8EMH8GTFRCSWKMPXRRESE","GSON5115153011")</f>
        <v>#NAME?</v>
      </c>
      <c r="E2457" s="3" t="e">
        <f ca="1">[1]!BexGetData("DP_1","003N8EMH8GTFRCSWKMPXRRL3Y","GSON5115153011")</f>
        <v>#NAME?</v>
      </c>
      <c r="F2457" s="4" t="e">
        <f ca="1">[1]!BexGetData("DP_1","003N8EMH8GTFRCSWKMPXRRRFI","GSON5115153011")</f>
        <v>#NAME?</v>
      </c>
      <c r="G2457" s="4" t="e">
        <f ca="1">[1]!BexGetData("DP_1","003N8EMH8GTFRCSWKMPXRRXR2","GSON5115153011")</f>
        <v>#NAME?</v>
      </c>
      <c r="H2457" s="4" t="e">
        <f ca="1">[1]!BexGetData("DP_1","003N8EMH8GTFRCSWKMPXRS42M","GSON5115153011")</f>
        <v>#NAME?</v>
      </c>
      <c r="I2457" s="4" t="e">
        <f ca="1">[1]!BexGetData("DP_1","003N8EMH8GTFRCSWKMPXRSAE6","GSON5115153011")</f>
        <v>#NAME?</v>
      </c>
      <c r="J2457" s="4" t="e">
        <f ca="1">[1]!BexGetData("DP_1","003N8EMH8GTFRCSWKMPXRSGPQ","GSON5115153011")</f>
        <v>#NAME?</v>
      </c>
      <c r="K2457" s="3" t="e">
        <f ca="1">[1]!BexGetData("DP_1","003N8EMH8GTFRIVNUPY288VJH","GSON5115153011")</f>
        <v>#NAME?</v>
      </c>
      <c r="L2457" s="3" t="e">
        <f ca="1">[1]!BexGetData("DP_1","003N8EMH8GTFRIVNUPY2891V1","GSON5115153011")</f>
        <v>#NAME?</v>
      </c>
      <c r="M2457" s="8" t="e">
        <f ca="1">[1]!BexGetData("DP_1","003N8EMH8GTFRIVOG7KG9IQXA","GSON5115153011")</f>
        <v>#NAME?</v>
      </c>
      <c r="N2457" s="3" t="e">
        <f ca="1">[1]!BexGetData("DP_1","003N8EMH8GTFRIVOG7KG9IX8U","GSON5115153011")</f>
        <v>#NAME?</v>
      </c>
      <c r="O2457" s="8" t="e">
        <f ca="1">[1]!BexGetData("DP_1","003N8EMH8GTFRIVOG7KG9J3KE","GSON5115153011")</f>
        <v>#NAME?</v>
      </c>
      <c r="P2457" s="3" t="e">
        <f ca="1">[1]!BexGetData("DP_1","003N8EMH8GTFRIVOG7KG9J9VY","GSON5115153011")</f>
        <v>#NAME?</v>
      </c>
      <c r="Q2457" s="4" t="e">
        <f ca="1">[1]!BexGetData("DP_1","00O2TNJGODT0G5Z4TTKYMM5MT","GSON5115153011")</f>
        <v>#NAME?</v>
      </c>
      <c r="R2457" s="4" t="e">
        <f ca="1">[1]!BexGetData("DP_1","00O2TNJGODT0G5Z4TTKYMMBYD","GSON5115153011")</f>
        <v>#NAME?</v>
      </c>
      <c r="S2457" s="4" t="e">
        <f ca="1">[1]!BexGetData("DP_1","00O2TNJGODT0G5Z4TTKYMMI9X","GSON5115153011")</f>
        <v>#NAME?</v>
      </c>
      <c r="T2457" s="4" t="e">
        <f ca="1">[1]!BexGetData("DP_1","00O2TNJGODT0G5Z4TTKYMMOLH","GSON5115153011")</f>
        <v>#NAME?</v>
      </c>
      <c r="U2457" s="4" t="e">
        <f ca="1">[1]!BexGetData("DP_1","00O2TNJGODT0G5Z4TTKYMMUX1","GSON5115153011")</f>
        <v>#NAME?</v>
      </c>
      <c r="V2457" s="4" t="e">
        <f ca="1">[1]!BexGetData("DP_1","00O2TNJGODT0G5Z4TTKYMN18L","GSON5115153011")</f>
        <v>#NAME?</v>
      </c>
      <c r="W2457" s="4" t="e">
        <f ca="1">[1]!BexGetData("DP_1","00O2TNJGODT0G5Z4TTKYMN7K5","GSON5115153011")</f>
        <v>#NAME?</v>
      </c>
    </row>
    <row r="2458" spans="1:23" x14ac:dyDescent="0.2">
      <c r="A2458" s="16" t="s">
        <v>5104</v>
      </c>
      <c r="B2458" s="7" t="s">
        <v>5105</v>
      </c>
      <c r="C2458" s="3" t="e">
        <f ca="1">[1]!BexGetData("DP_1","003N8EMH8GTFRCSWKMPXRR8GU","GSON5115154021")</f>
        <v>#NAME?</v>
      </c>
      <c r="D2458" s="3" t="e">
        <f ca="1">[1]!BexGetData("DP_1","003N8EMH8GTFRCSWKMPXRRESE","GSON5115154021")</f>
        <v>#NAME?</v>
      </c>
      <c r="E2458" s="3" t="e">
        <f ca="1">[1]!BexGetData("DP_1","003N8EMH8GTFRCSWKMPXRRL3Y","GSON5115154021")</f>
        <v>#NAME?</v>
      </c>
      <c r="F2458" s="4" t="e">
        <f ca="1">[1]!BexGetData("DP_1","003N8EMH8GTFRCSWKMPXRRRFI","GSON5115154021")</f>
        <v>#NAME?</v>
      </c>
      <c r="G2458" s="4" t="e">
        <f ca="1">[1]!BexGetData("DP_1","003N8EMH8GTFRCSWKMPXRRXR2","GSON5115154021")</f>
        <v>#NAME?</v>
      </c>
      <c r="H2458" s="4" t="e">
        <f ca="1">[1]!BexGetData("DP_1","003N8EMH8GTFRCSWKMPXRS42M","GSON5115154021")</f>
        <v>#NAME?</v>
      </c>
      <c r="I2458" s="4" t="e">
        <f ca="1">[1]!BexGetData("DP_1","003N8EMH8GTFRCSWKMPXRSAE6","GSON5115154021")</f>
        <v>#NAME?</v>
      </c>
      <c r="J2458" s="4" t="e">
        <f ca="1">[1]!BexGetData("DP_1","003N8EMH8GTFRCSWKMPXRSGPQ","GSON5115154021")</f>
        <v>#NAME?</v>
      </c>
      <c r="K2458" s="3" t="e">
        <f ca="1">[1]!BexGetData("DP_1","003N8EMH8GTFRIVNUPY288VJH","GSON5115154021")</f>
        <v>#NAME?</v>
      </c>
      <c r="L2458" s="3" t="e">
        <f ca="1">[1]!BexGetData("DP_1","003N8EMH8GTFRIVNUPY2891V1","GSON5115154021")</f>
        <v>#NAME?</v>
      </c>
      <c r="M2458" s="8" t="e">
        <f ca="1">[1]!BexGetData("DP_1","003N8EMH8GTFRIVOG7KG9IQXA","GSON5115154021")</f>
        <v>#NAME?</v>
      </c>
      <c r="N2458" s="3" t="e">
        <f ca="1">[1]!BexGetData("DP_1","003N8EMH8GTFRIVOG7KG9IX8U","GSON5115154021")</f>
        <v>#NAME?</v>
      </c>
      <c r="O2458" s="8" t="e">
        <f ca="1">[1]!BexGetData("DP_1","003N8EMH8GTFRIVOG7KG9J3KE","GSON5115154021")</f>
        <v>#NAME?</v>
      </c>
      <c r="P2458" s="3" t="e">
        <f ca="1">[1]!BexGetData("DP_1","003N8EMH8GTFRIVOG7KG9J9VY","GSON5115154021")</f>
        <v>#NAME?</v>
      </c>
      <c r="Q2458" s="4" t="e">
        <f ca="1">[1]!BexGetData("DP_1","00O2TNJGODT0G5Z4TTKYMM5MT","GSON5115154021")</f>
        <v>#NAME?</v>
      </c>
      <c r="R2458" s="4" t="e">
        <f ca="1">[1]!BexGetData("DP_1","00O2TNJGODT0G5Z4TTKYMMBYD","GSON5115154021")</f>
        <v>#NAME?</v>
      </c>
      <c r="S2458" s="4" t="e">
        <f ca="1">[1]!BexGetData("DP_1","00O2TNJGODT0G5Z4TTKYMMI9X","GSON5115154021")</f>
        <v>#NAME?</v>
      </c>
      <c r="T2458" s="4" t="e">
        <f ca="1">[1]!BexGetData("DP_1","00O2TNJGODT0G5Z4TTKYMMOLH","GSON5115154021")</f>
        <v>#NAME?</v>
      </c>
      <c r="U2458" s="4" t="e">
        <f ca="1">[1]!BexGetData("DP_1","00O2TNJGODT0G5Z4TTKYMMUX1","GSON5115154021")</f>
        <v>#NAME?</v>
      </c>
      <c r="V2458" s="4" t="e">
        <f ca="1">[1]!BexGetData("DP_1","00O2TNJGODT0G5Z4TTKYMN18L","GSON5115154021")</f>
        <v>#NAME?</v>
      </c>
      <c r="W2458" s="4" t="e">
        <f ca="1">[1]!BexGetData("DP_1","00O2TNJGODT0G5Z4TTKYMN7K5","GSON5115154021")</f>
        <v>#NAME?</v>
      </c>
    </row>
    <row r="2459" spans="1:23" x14ac:dyDescent="0.2">
      <c r="A2459" s="16" t="s">
        <v>5106</v>
      </c>
      <c r="B2459" s="7" t="s">
        <v>5107</v>
      </c>
      <c r="C2459" s="3" t="e">
        <f ca="1">[1]!BexGetData("DP_1","003N8EMH8GTFRCSWKMPXRR8GU","GSON5115154031")</f>
        <v>#NAME?</v>
      </c>
      <c r="D2459" s="3" t="e">
        <f ca="1">[1]!BexGetData("DP_1","003N8EMH8GTFRCSWKMPXRRESE","GSON5115154031")</f>
        <v>#NAME?</v>
      </c>
      <c r="E2459" s="3" t="e">
        <f ca="1">[1]!BexGetData("DP_1","003N8EMH8GTFRCSWKMPXRRL3Y","GSON5115154031")</f>
        <v>#NAME?</v>
      </c>
      <c r="F2459" s="4" t="e">
        <f ca="1">[1]!BexGetData("DP_1","003N8EMH8GTFRCSWKMPXRRRFI","GSON5115154031")</f>
        <v>#NAME?</v>
      </c>
      <c r="G2459" s="4" t="e">
        <f ca="1">[1]!BexGetData("DP_1","003N8EMH8GTFRCSWKMPXRRXR2","GSON5115154031")</f>
        <v>#NAME?</v>
      </c>
      <c r="H2459" s="4" t="e">
        <f ca="1">[1]!BexGetData("DP_1","003N8EMH8GTFRCSWKMPXRS42M","GSON5115154031")</f>
        <v>#NAME?</v>
      </c>
      <c r="I2459" s="4" t="e">
        <f ca="1">[1]!BexGetData("DP_1","003N8EMH8GTFRCSWKMPXRSAE6","GSON5115154031")</f>
        <v>#NAME?</v>
      </c>
      <c r="J2459" s="4" t="e">
        <f ca="1">[1]!BexGetData("DP_1","003N8EMH8GTFRCSWKMPXRSGPQ","GSON5115154031")</f>
        <v>#NAME?</v>
      </c>
      <c r="K2459" s="3" t="e">
        <f ca="1">[1]!BexGetData("DP_1","003N8EMH8GTFRIVNUPY288VJH","GSON5115154031")</f>
        <v>#NAME?</v>
      </c>
      <c r="L2459" s="3" t="e">
        <f ca="1">[1]!BexGetData("DP_1","003N8EMH8GTFRIVNUPY2891V1","GSON5115154031")</f>
        <v>#NAME?</v>
      </c>
      <c r="M2459" s="8" t="e">
        <f ca="1">[1]!BexGetData("DP_1","003N8EMH8GTFRIVOG7KG9IQXA","GSON5115154031")</f>
        <v>#NAME?</v>
      </c>
      <c r="N2459" s="3" t="e">
        <f ca="1">[1]!BexGetData("DP_1","003N8EMH8GTFRIVOG7KG9IX8U","GSON5115154031")</f>
        <v>#NAME?</v>
      </c>
      <c r="O2459" s="8" t="e">
        <f ca="1">[1]!BexGetData("DP_1","003N8EMH8GTFRIVOG7KG9J3KE","GSON5115154031")</f>
        <v>#NAME?</v>
      </c>
      <c r="P2459" s="3" t="e">
        <f ca="1">[1]!BexGetData("DP_1","003N8EMH8GTFRIVOG7KG9J9VY","GSON5115154031")</f>
        <v>#NAME?</v>
      </c>
      <c r="Q2459" s="4" t="e">
        <f ca="1">[1]!BexGetData("DP_1","00O2TNJGODT0G5Z4TTKYMM5MT","GSON5115154031")</f>
        <v>#NAME?</v>
      </c>
      <c r="R2459" s="4" t="e">
        <f ca="1">[1]!BexGetData("DP_1","00O2TNJGODT0G5Z4TTKYMMBYD","GSON5115154031")</f>
        <v>#NAME?</v>
      </c>
      <c r="S2459" s="4" t="e">
        <f ca="1">[1]!BexGetData("DP_1","00O2TNJGODT0G5Z4TTKYMMI9X","GSON5115154031")</f>
        <v>#NAME?</v>
      </c>
      <c r="T2459" s="4" t="e">
        <f ca="1">[1]!BexGetData("DP_1","00O2TNJGODT0G5Z4TTKYMMOLH","GSON5115154031")</f>
        <v>#NAME?</v>
      </c>
      <c r="U2459" s="4" t="e">
        <f ca="1">[1]!BexGetData("DP_1","00O2TNJGODT0G5Z4TTKYMMUX1","GSON5115154031")</f>
        <v>#NAME?</v>
      </c>
      <c r="V2459" s="4" t="e">
        <f ca="1">[1]!BexGetData("DP_1","00O2TNJGODT0G5Z4TTKYMN18L","GSON5115154031")</f>
        <v>#NAME?</v>
      </c>
      <c r="W2459" s="4" t="e">
        <f ca="1">[1]!BexGetData("DP_1","00O2TNJGODT0G5Z4TTKYMN7K5","GSON5115154031")</f>
        <v>#NAME?</v>
      </c>
    </row>
    <row r="2460" spans="1:23" x14ac:dyDescent="0.2">
      <c r="A2460" s="16" t="s">
        <v>5108</v>
      </c>
      <c r="B2460" s="7" t="s">
        <v>5109</v>
      </c>
      <c r="C2460" s="3" t="e">
        <f ca="1">[1]!BexGetData("DP_1","003N8EMH8GTFRCSWKMPXRR8GU","GSON5115154041")</f>
        <v>#NAME?</v>
      </c>
      <c r="D2460" s="3" t="e">
        <f ca="1">[1]!BexGetData("DP_1","003N8EMH8GTFRCSWKMPXRRESE","GSON5115154041")</f>
        <v>#NAME?</v>
      </c>
      <c r="E2460" s="3" t="e">
        <f ca="1">[1]!BexGetData("DP_1","003N8EMH8GTFRCSWKMPXRRL3Y","GSON5115154041")</f>
        <v>#NAME?</v>
      </c>
      <c r="F2460" s="4" t="e">
        <f ca="1">[1]!BexGetData("DP_1","003N8EMH8GTFRCSWKMPXRRRFI","GSON5115154041")</f>
        <v>#NAME?</v>
      </c>
      <c r="G2460" s="4" t="e">
        <f ca="1">[1]!BexGetData("DP_1","003N8EMH8GTFRCSWKMPXRRXR2","GSON5115154041")</f>
        <v>#NAME?</v>
      </c>
      <c r="H2460" s="4" t="e">
        <f ca="1">[1]!BexGetData("DP_1","003N8EMH8GTFRCSWKMPXRS42M","GSON5115154041")</f>
        <v>#NAME?</v>
      </c>
      <c r="I2460" s="4" t="e">
        <f ca="1">[1]!BexGetData("DP_1","003N8EMH8GTFRCSWKMPXRSAE6","GSON5115154041")</f>
        <v>#NAME?</v>
      </c>
      <c r="J2460" s="4" t="e">
        <f ca="1">[1]!BexGetData("DP_1","003N8EMH8GTFRCSWKMPXRSGPQ","GSON5115154041")</f>
        <v>#NAME?</v>
      </c>
      <c r="K2460" s="3" t="e">
        <f ca="1">[1]!BexGetData("DP_1","003N8EMH8GTFRIVNUPY288VJH","GSON5115154041")</f>
        <v>#NAME?</v>
      </c>
      <c r="L2460" s="3" t="e">
        <f ca="1">[1]!BexGetData("DP_1","003N8EMH8GTFRIVNUPY2891V1","GSON5115154041")</f>
        <v>#NAME?</v>
      </c>
      <c r="M2460" s="8" t="e">
        <f ca="1">[1]!BexGetData("DP_1","003N8EMH8GTFRIVOG7KG9IQXA","GSON5115154041")</f>
        <v>#NAME?</v>
      </c>
      <c r="N2460" s="3" t="e">
        <f ca="1">[1]!BexGetData("DP_1","003N8EMH8GTFRIVOG7KG9IX8U","GSON5115154041")</f>
        <v>#NAME?</v>
      </c>
      <c r="O2460" s="8" t="e">
        <f ca="1">[1]!BexGetData("DP_1","003N8EMH8GTFRIVOG7KG9J3KE","GSON5115154041")</f>
        <v>#NAME?</v>
      </c>
      <c r="P2460" s="3" t="e">
        <f ca="1">[1]!BexGetData("DP_1","003N8EMH8GTFRIVOG7KG9J9VY","GSON5115154041")</f>
        <v>#NAME?</v>
      </c>
      <c r="Q2460" s="4" t="e">
        <f ca="1">[1]!BexGetData("DP_1","00O2TNJGODT0G5Z4TTKYMM5MT","GSON5115154041")</f>
        <v>#NAME?</v>
      </c>
      <c r="R2460" s="4" t="e">
        <f ca="1">[1]!BexGetData("DP_1","00O2TNJGODT0G5Z4TTKYMMBYD","GSON5115154041")</f>
        <v>#NAME?</v>
      </c>
      <c r="S2460" s="4" t="e">
        <f ca="1">[1]!BexGetData("DP_1","00O2TNJGODT0G5Z4TTKYMMI9X","GSON5115154041")</f>
        <v>#NAME?</v>
      </c>
      <c r="T2460" s="4" t="e">
        <f ca="1">[1]!BexGetData("DP_1","00O2TNJGODT0G5Z4TTKYMMOLH","GSON5115154041")</f>
        <v>#NAME?</v>
      </c>
      <c r="U2460" s="4" t="e">
        <f ca="1">[1]!BexGetData("DP_1","00O2TNJGODT0G5Z4TTKYMMUX1","GSON5115154041")</f>
        <v>#NAME?</v>
      </c>
      <c r="V2460" s="4" t="e">
        <f ca="1">[1]!BexGetData("DP_1","00O2TNJGODT0G5Z4TTKYMN18L","GSON5115154041")</f>
        <v>#NAME?</v>
      </c>
      <c r="W2460" s="4" t="e">
        <f ca="1">[1]!BexGetData("DP_1","00O2TNJGODT0G5Z4TTKYMN7K5","GSON5115154041")</f>
        <v>#NAME?</v>
      </c>
    </row>
    <row r="2461" spans="1:23" x14ac:dyDescent="0.2">
      <c r="A2461" s="16" t="s">
        <v>5110</v>
      </c>
      <c r="B2461" s="7" t="s">
        <v>5111</v>
      </c>
      <c r="C2461" s="3" t="e">
        <f ca="1">[1]!BexGetData("DP_1","003N8EMH8GTFRCSWKMPXRR8GU","GSON5115154051")</f>
        <v>#NAME?</v>
      </c>
      <c r="D2461" s="8" t="e">
        <f ca="1">[1]!BexGetData("DP_1","003N8EMH8GTFRCSWKMPXRRESE","GSON5115154051")</f>
        <v>#NAME?</v>
      </c>
      <c r="E2461" s="3" t="e">
        <f ca="1">[1]!BexGetData("DP_1","003N8EMH8GTFRCSWKMPXRRL3Y","GSON5115154051")</f>
        <v>#NAME?</v>
      </c>
      <c r="F2461" s="4" t="e">
        <f ca="1">[1]!BexGetData("DP_1","003N8EMH8GTFRCSWKMPXRRRFI","GSON5115154051")</f>
        <v>#NAME?</v>
      </c>
      <c r="G2461" s="4" t="e">
        <f ca="1">[1]!BexGetData("DP_1","003N8EMH8GTFRCSWKMPXRRXR2","GSON5115154051")</f>
        <v>#NAME?</v>
      </c>
      <c r="H2461" s="4" t="e">
        <f ca="1">[1]!BexGetData("DP_1","003N8EMH8GTFRCSWKMPXRS42M","GSON5115154051")</f>
        <v>#NAME?</v>
      </c>
      <c r="I2461" s="4" t="e">
        <f ca="1">[1]!BexGetData("DP_1","003N8EMH8GTFRCSWKMPXRSAE6","GSON5115154051")</f>
        <v>#NAME?</v>
      </c>
      <c r="J2461" s="4" t="e">
        <f ca="1">[1]!BexGetData("DP_1","003N8EMH8GTFRCSWKMPXRSGPQ","GSON5115154051")</f>
        <v>#NAME?</v>
      </c>
      <c r="K2461" s="3" t="e">
        <f ca="1">[1]!BexGetData("DP_1","003N8EMH8GTFRIVNUPY288VJH","GSON5115154051")</f>
        <v>#NAME?</v>
      </c>
      <c r="L2461" s="3" t="e">
        <f ca="1">[1]!BexGetData("DP_1","003N8EMH8GTFRIVNUPY2891V1","GSON5115154051")</f>
        <v>#NAME?</v>
      </c>
      <c r="M2461" s="8" t="e">
        <f ca="1">[1]!BexGetData("DP_1","003N8EMH8GTFRIVOG7KG9IQXA","GSON5115154051")</f>
        <v>#NAME?</v>
      </c>
      <c r="N2461" s="3" t="e">
        <f ca="1">[1]!BexGetData("DP_1","003N8EMH8GTFRIVOG7KG9IX8U","GSON5115154051")</f>
        <v>#NAME?</v>
      </c>
      <c r="O2461" s="8" t="e">
        <f ca="1">[1]!BexGetData("DP_1","003N8EMH8GTFRIVOG7KG9J3KE","GSON5115154051")</f>
        <v>#NAME?</v>
      </c>
      <c r="P2461" s="3" t="e">
        <f ca="1">[1]!BexGetData("DP_1","003N8EMH8GTFRIVOG7KG9J9VY","GSON5115154051")</f>
        <v>#NAME?</v>
      </c>
      <c r="Q2461" s="4" t="e">
        <f ca="1">[1]!BexGetData("DP_1","00O2TNJGODT0G5Z4TTKYMM5MT","GSON5115154051")</f>
        <v>#NAME?</v>
      </c>
      <c r="R2461" s="4" t="e">
        <f ca="1">[1]!BexGetData("DP_1","00O2TNJGODT0G5Z4TTKYMMBYD","GSON5115154051")</f>
        <v>#NAME?</v>
      </c>
      <c r="S2461" s="4" t="e">
        <f ca="1">[1]!BexGetData("DP_1","00O2TNJGODT0G5Z4TTKYMMI9X","GSON5115154051")</f>
        <v>#NAME?</v>
      </c>
      <c r="T2461" s="4" t="e">
        <f ca="1">[1]!BexGetData("DP_1","00O2TNJGODT0G5Z4TTKYMMOLH","GSON5115154051")</f>
        <v>#NAME?</v>
      </c>
      <c r="U2461" s="4" t="e">
        <f ca="1">[1]!BexGetData("DP_1","00O2TNJGODT0G5Z4TTKYMMUX1","GSON5115154051")</f>
        <v>#NAME?</v>
      </c>
      <c r="V2461" s="4" t="e">
        <f ca="1">[1]!BexGetData("DP_1","00O2TNJGODT0G5Z4TTKYMN18L","GSON5115154051")</f>
        <v>#NAME?</v>
      </c>
      <c r="W2461" s="4" t="e">
        <f ca="1">[1]!BexGetData("DP_1","00O2TNJGODT0G5Z4TTKYMN7K5","GSON5115154051")</f>
        <v>#NAME?</v>
      </c>
    </row>
    <row r="2462" spans="1:23" x14ac:dyDescent="0.2">
      <c r="A2462" s="16" t="s">
        <v>5112</v>
      </c>
      <c r="B2462" s="7" t="s">
        <v>5113</v>
      </c>
      <c r="C2462" s="3" t="e">
        <f ca="1">[1]!BexGetData("DP_1","003N8EMH8GTFRCSWKMPXRR8GU","GSON5115154061")</f>
        <v>#NAME?</v>
      </c>
      <c r="D2462" s="3" t="e">
        <f ca="1">[1]!BexGetData("DP_1","003N8EMH8GTFRCSWKMPXRRESE","GSON5115154061")</f>
        <v>#NAME?</v>
      </c>
      <c r="E2462" s="3" t="e">
        <f ca="1">[1]!BexGetData("DP_1","003N8EMH8GTFRCSWKMPXRRL3Y","GSON5115154061")</f>
        <v>#NAME?</v>
      </c>
      <c r="F2462" s="4" t="e">
        <f ca="1">[1]!BexGetData("DP_1","003N8EMH8GTFRCSWKMPXRRRFI","GSON5115154061")</f>
        <v>#NAME?</v>
      </c>
      <c r="G2462" s="4" t="e">
        <f ca="1">[1]!BexGetData("DP_1","003N8EMH8GTFRCSWKMPXRRXR2","GSON5115154061")</f>
        <v>#NAME?</v>
      </c>
      <c r="H2462" s="4" t="e">
        <f ca="1">[1]!BexGetData("DP_1","003N8EMH8GTFRCSWKMPXRS42M","GSON5115154061")</f>
        <v>#NAME?</v>
      </c>
      <c r="I2462" s="4" t="e">
        <f ca="1">[1]!BexGetData("DP_1","003N8EMH8GTFRCSWKMPXRSAE6","GSON5115154061")</f>
        <v>#NAME?</v>
      </c>
      <c r="J2462" s="4" t="e">
        <f ca="1">[1]!BexGetData("DP_1","003N8EMH8GTFRCSWKMPXRSGPQ","GSON5115154061")</f>
        <v>#NAME?</v>
      </c>
      <c r="K2462" s="3" t="e">
        <f ca="1">[1]!BexGetData("DP_1","003N8EMH8GTFRIVNUPY288VJH","GSON5115154061")</f>
        <v>#NAME?</v>
      </c>
      <c r="L2462" s="3" t="e">
        <f ca="1">[1]!BexGetData("DP_1","003N8EMH8GTFRIVNUPY2891V1","GSON5115154061")</f>
        <v>#NAME?</v>
      </c>
      <c r="M2462" s="8" t="e">
        <f ca="1">[1]!BexGetData("DP_1","003N8EMH8GTFRIVOG7KG9IQXA","GSON5115154061")</f>
        <v>#NAME?</v>
      </c>
      <c r="N2462" s="3" t="e">
        <f ca="1">[1]!BexGetData("DP_1","003N8EMH8GTFRIVOG7KG9IX8U","GSON5115154061")</f>
        <v>#NAME?</v>
      </c>
      <c r="O2462" s="8" t="e">
        <f ca="1">[1]!BexGetData("DP_1","003N8EMH8GTFRIVOG7KG9J3KE","GSON5115154061")</f>
        <v>#NAME?</v>
      </c>
      <c r="P2462" s="3" t="e">
        <f ca="1">[1]!BexGetData("DP_1","003N8EMH8GTFRIVOG7KG9J9VY","GSON5115154061")</f>
        <v>#NAME?</v>
      </c>
      <c r="Q2462" s="4" t="e">
        <f ca="1">[1]!BexGetData("DP_1","00O2TNJGODT0G5Z4TTKYMM5MT","GSON5115154061")</f>
        <v>#NAME?</v>
      </c>
      <c r="R2462" s="4" t="e">
        <f ca="1">[1]!BexGetData("DP_1","00O2TNJGODT0G5Z4TTKYMMBYD","GSON5115154061")</f>
        <v>#NAME?</v>
      </c>
      <c r="S2462" s="4" t="e">
        <f ca="1">[1]!BexGetData("DP_1","00O2TNJGODT0G5Z4TTKYMMI9X","GSON5115154061")</f>
        <v>#NAME?</v>
      </c>
      <c r="T2462" s="4" t="e">
        <f ca="1">[1]!BexGetData("DP_1","00O2TNJGODT0G5Z4TTKYMMOLH","GSON5115154061")</f>
        <v>#NAME?</v>
      </c>
      <c r="U2462" s="4" t="e">
        <f ca="1">[1]!BexGetData("DP_1","00O2TNJGODT0G5Z4TTKYMMUX1","GSON5115154061")</f>
        <v>#NAME?</v>
      </c>
      <c r="V2462" s="4" t="e">
        <f ca="1">[1]!BexGetData("DP_1","00O2TNJGODT0G5Z4TTKYMN18L","GSON5115154061")</f>
        <v>#NAME?</v>
      </c>
      <c r="W2462" s="4" t="e">
        <f ca="1">[1]!BexGetData("DP_1","00O2TNJGODT0G5Z4TTKYMN7K5","GSON5115154061")</f>
        <v>#NAME?</v>
      </c>
    </row>
    <row r="2463" spans="1:23" x14ac:dyDescent="0.2">
      <c r="A2463" s="16" t="s">
        <v>5114</v>
      </c>
      <c r="B2463" s="7" t="s">
        <v>5115</v>
      </c>
      <c r="C2463" s="3" t="e">
        <f ca="1">[1]!BexGetData("DP_1","003N8EMH8GTFRCSWKMPXRR8GU","GSON5115154071")</f>
        <v>#NAME?</v>
      </c>
      <c r="D2463" s="3" t="e">
        <f ca="1">[1]!BexGetData("DP_1","003N8EMH8GTFRCSWKMPXRRESE","GSON5115154071")</f>
        <v>#NAME?</v>
      </c>
      <c r="E2463" s="3" t="e">
        <f ca="1">[1]!BexGetData("DP_1","003N8EMH8GTFRCSWKMPXRRL3Y","GSON5115154071")</f>
        <v>#NAME?</v>
      </c>
      <c r="F2463" s="4" t="e">
        <f ca="1">[1]!BexGetData("DP_1","003N8EMH8GTFRCSWKMPXRRRFI","GSON5115154071")</f>
        <v>#NAME?</v>
      </c>
      <c r="G2463" s="4" t="e">
        <f ca="1">[1]!BexGetData("DP_1","003N8EMH8GTFRCSWKMPXRRXR2","GSON5115154071")</f>
        <v>#NAME?</v>
      </c>
      <c r="H2463" s="4" t="e">
        <f ca="1">[1]!BexGetData("DP_1","003N8EMH8GTFRCSWKMPXRS42M","GSON5115154071")</f>
        <v>#NAME?</v>
      </c>
      <c r="I2463" s="4" t="e">
        <f ca="1">[1]!BexGetData("DP_1","003N8EMH8GTFRCSWKMPXRSAE6","GSON5115154071")</f>
        <v>#NAME?</v>
      </c>
      <c r="J2463" s="4" t="e">
        <f ca="1">[1]!BexGetData("DP_1","003N8EMH8GTFRCSWKMPXRSGPQ","GSON5115154071")</f>
        <v>#NAME?</v>
      </c>
      <c r="K2463" s="3" t="e">
        <f ca="1">[1]!BexGetData("DP_1","003N8EMH8GTFRIVNUPY288VJH","GSON5115154071")</f>
        <v>#NAME?</v>
      </c>
      <c r="L2463" s="3" t="e">
        <f ca="1">[1]!BexGetData("DP_1","003N8EMH8GTFRIVNUPY2891V1","GSON5115154071")</f>
        <v>#NAME?</v>
      </c>
      <c r="M2463" s="8" t="e">
        <f ca="1">[1]!BexGetData("DP_1","003N8EMH8GTFRIVOG7KG9IQXA","GSON5115154071")</f>
        <v>#NAME?</v>
      </c>
      <c r="N2463" s="3" t="e">
        <f ca="1">[1]!BexGetData("DP_1","003N8EMH8GTFRIVOG7KG9IX8U","GSON5115154071")</f>
        <v>#NAME?</v>
      </c>
      <c r="O2463" s="8" t="e">
        <f ca="1">[1]!BexGetData("DP_1","003N8EMH8GTFRIVOG7KG9J3KE","GSON5115154071")</f>
        <v>#NAME?</v>
      </c>
      <c r="P2463" s="3" t="e">
        <f ca="1">[1]!BexGetData("DP_1","003N8EMH8GTFRIVOG7KG9J9VY","GSON5115154071")</f>
        <v>#NAME?</v>
      </c>
      <c r="Q2463" s="4" t="e">
        <f ca="1">[1]!BexGetData("DP_1","00O2TNJGODT0G5Z4TTKYMM5MT","GSON5115154071")</f>
        <v>#NAME?</v>
      </c>
      <c r="R2463" s="4" t="e">
        <f ca="1">[1]!BexGetData("DP_1","00O2TNJGODT0G5Z4TTKYMMBYD","GSON5115154071")</f>
        <v>#NAME?</v>
      </c>
      <c r="S2463" s="4" t="e">
        <f ca="1">[1]!BexGetData("DP_1","00O2TNJGODT0G5Z4TTKYMMI9X","GSON5115154071")</f>
        <v>#NAME?</v>
      </c>
      <c r="T2463" s="4" t="e">
        <f ca="1">[1]!BexGetData("DP_1","00O2TNJGODT0G5Z4TTKYMMOLH","GSON5115154071")</f>
        <v>#NAME?</v>
      </c>
      <c r="U2463" s="4" t="e">
        <f ca="1">[1]!BexGetData("DP_1","00O2TNJGODT0G5Z4TTKYMMUX1","GSON5115154071")</f>
        <v>#NAME?</v>
      </c>
      <c r="V2463" s="4" t="e">
        <f ca="1">[1]!BexGetData("DP_1","00O2TNJGODT0G5Z4TTKYMN18L","GSON5115154071")</f>
        <v>#NAME?</v>
      </c>
      <c r="W2463" s="4" t="e">
        <f ca="1">[1]!BexGetData("DP_1","00O2TNJGODT0G5Z4TTKYMN7K5","GSON5115154071")</f>
        <v>#NAME?</v>
      </c>
    </row>
    <row r="2464" spans="1:23" x14ac:dyDescent="0.2">
      <c r="A2464" s="16" t="s">
        <v>5116</v>
      </c>
      <c r="B2464" s="7" t="s">
        <v>5117</v>
      </c>
      <c r="C2464" s="3" t="e">
        <f ca="1">[1]!BexGetData("DP_1","003N8EMH8GTFRCSWKMPXRR8GU","GSON5115154091")</f>
        <v>#NAME?</v>
      </c>
      <c r="D2464" s="8" t="e">
        <f ca="1">[1]!BexGetData("DP_1","003N8EMH8GTFRCSWKMPXRRESE","GSON5115154091")</f>
        <v>#NAME?</v>
      </c>
      <c r="E2464" s="3" t="e">
        <f ca="1">[1]!BexGetData("DP_1","003N8EMH8GTFRCSWKMPXRRL3Y","GSON5115154091")</f>
        <v>#NAME?</v>
      </c>
      <c r="F2464" s="4" t="e">
        <f ca="1">[1]!BexGetData("DP_1","003N8EMH8GTFRCSWKMPXRRRFI","GSON5115154091")</f>
        <v>#NAME?</v>
      </c>
      <c r="G2464" s="4" t="e">
        <f ca="1">[1]!BexGetData("DP_1","003N8EMH8GTFRCSWKMPXRRXR2","GSON5115154091")</f>
        <v>#NAME?</v>
      </c>
      <c r="H2464" s="4" t="e">
        <f ca="1">[1]!BexGetData("DP_1","003N8EMH8GTFRCSWKMPXRS42M","GSON5115154091")</f>
        <v>#NAME?</v>
      </c>
      <c r="I2464" s="4" t="e">
        <f ca="1">[1]!BexGetData("DP_1","003N8EMH8GTFRCSWKMPXRSAE6","GSON5115154091")</f>
        <v>#NAME?</v>
      </c>
      <c r="J2464" s="4" t="e">
        <f ca="1">[1]!BexGetData("DP_1","003N8EMH8GTFRCSWKMPXRSGPQ","GSON5115154091")</f>
        <v>#NAME?</v>
      </c>
      <c r="K2464" s="3" t="e">
        <f ca="1">[1]!BexGetData("DP_1","003N8EMH8GTFRIVNUPY288VJH","GSON5115154091")</f>
        <v>#NAME?</v>
      </c>
      <c r="L2464" s="3" t="e">
        <f ca="1">[1]!BexGetData("DP_1","003N8EMH8GTFRIVNUPY2891V1","GSON5115154091")</f>
        <v>#NAME?</v>
      </c>
      <c r="M2464" s="8" t="e">
        <f ca="1">[1]!BexGetData("DP_1","003N8EMH8GTFRIVOG7KG9IQXA","GSON5115154091")</f>
        <v>#NAME?</v>
      </c>
      <c r="N2464" s="3" t="e">
        <f ca="1">[1]!BexGetData("DP_1","003N8EMH8GTFRIVOG7KG9IX8U","GSON5115154091")</f>
        <v>#NAME?</v>
      </c>
      <c r="O2464" s="8" t="e">
        <f ca="1">[1]!BexGetData("DP_1","003N8EMH8GTFRIVOG7KG9J3KE","GSON5115154091")</f>
        <v>#NAME?</v>
      </c>
      <c r="P2464" s="3" t="e">
        <f ca="1">[1]!BexGetData("DP_1","003N8EMH8GTFRIVOG7KG9J9VY","GSON5115154091")</f>
        <v>#NAME?</v>
      </c>
      <c r="Q2464" s="4" t="e">
        <f ca="1">[1]!BexGetData("DP_1","00O2TNJGODT0G5Z4TTKYMM5MT","GSON5115154091")</f>
        <v>#NAME?</v>
      </c>
      <c r="R2464" s="4" t="e">
        <f ca="1">[1]!BexGetData("DP_1","00O2TNJGODT0G5Z4TTKYMMBYD","GSON5115154091")</f>
        <v>#NAME?</v>
      </c>
      <c r="S2464" s="4" t="e">
        <f ca="1">[1]!BexGetData("DP_1","00O2TNJGODT0G5Z4TTKYMMI9X","GSON5115154091")</f>
        <v>#NAME?</v>
      </c>
      <c r="T2464" s="4" t="e">
        <f ca="1">[1]!BexGetData("DP_1","00O2TNJGODT0G5Z4TTKYMMOLH","GSON5115154091")</f>
        <v>#NAME?</v>
      </c>
      <c r="U2464" s="4" t="e">
        <f ca="1">[1]!BexGetData("DP_1","00O2TNJGODT0G5Z4TTKYMMUX1","GSON5115154091")</f>
        <v>#NAME?</v>
      </c>
      <c r="V2464" s="4" t="e">
        <f ca="1">[1]!BexGetData("DP_1","00O2TNJGODT0G5Z4TTKYMN18L","GSON5115154091")</f>
        <v>#NAME?</v>
      </c>
      <c r="W2464" s="4" t="e">
        <f ca="1">[1]!BexGetData("DP_1","00O2TNJGODT0G5Z4TTKYMN7K5","GSON5115154091")</f>
        <v>#NAME?</v>
      </c>
    </row>
    <row r="2465" spans="1:23" x14ac:dyDescent="0.2">
      <c r="A2465" s="16" t="s">
        <v>5118</v>
      </c>
      <c r="B2465" s="7" t="s">
        <v>5119</v>
      </c>
      <c r="C2465" s="3" t="e">
        <f ca="1">[1]!BexGetData("DP_1","003N8EMH8GTFRCSWKMPXRR8GU","GSON5115154111")</f>
        <v>#NAME?</v>
      </c>
      <c r="D2465" s="3" t="e">
        <f ca="1">[1]!BexGetData("DP_1","003N8EMH8GTFRCSWKMPXRRESE","GSON5115154111")</f>
        <v>#NAME?</v>
      </c>
      <c r="E2465" s="3" t="e">
        <f ca="1">[1]!BexGetData("DP_1","003N8EMH8GTFRCSWKMPXRRL3Y","GSON5115154111")</f>
        <v>#NAME?</v>
      </c>
      <c r="F2465" s="4" t="e">
        <f ca="1">[1]!BexGetData("DP_1","003N8EMH8GTFRCSWKMPXRRRFI","GSON5115154111")</f>
        <v>#NAME?</v>
      </c>
      <c r="G2465" s="4" t="e">
        <f ca="1">[1]!BexGetData("DP_1","003N8EMH8GTFRCSWKMPXRRXR2","GSON5115154111")</f>
        <v>#NAME?</v>
      </c>
      <c r="H2465" s="4" t="e">
        <f ca="1">[1]!BexGetData("DP_1","003N8EMH8GTFRCSWKMPXRS42M","GSON5115154111")</f>
        <v>#NAME?</v>
      </c>
      <c r="I2465" s="4" t="e">
        <f ca="1">[1]!BexGetData("DP_1","003N8EMH8GTFRCSWKMPXRSAE6","GSON5115154111")</f>
        <v>#NAME?</v>
      </c>
      <c r="J2465" s="4" t="e">
        <f ca="1">[1]!BexGetData("DP_1","003N8EMH8GTFRCSWKMPXRSGPQ","GSON5115154111")</f>
        <v>#NAME?</v>
      </c>
      <c r="K2465" s="3" t="e">
        <f ca="1">[1]!BexGetData("DP_1","003N8EMH8GTFRIVNUPY288VJH","GSON5115154111")</f>
        <v>#NAME?</v>
      </c>
      <c r="L2465" s="3" t="e">
        <f ca="1">[1]!BexGetData("DP_1","003N8EMH8GTFRIVNUPY2891V1","GSON5115154111")</f>
        <v>#NAME?</v>
      </c>
      <c r="M2465" s="8" t="e">
        <f ca="1">[1]!BexGetData("DP_1","003N8EMH8GTFRIVOG7KG9IQXA","GSON5115154111")</f>
        <v>#NAME?</v>
      </c>
      <c r="N2465" s="3" t="e">
        <f ca="1">[1]!BexGetData("DP_1","003N8EMH8GTFRIVOG7KG9IX8U","GSON5115154111")</f>
        <v>#NAME?</v>
      </c>
      <c r="O2465" s="8" t="e">
        <f ca="1">[1]!BexGetData("DP_1","003N8EMH8GTFRIVOG7KG9J3KE","GSON5115154111")</f>
        <v>#NAME?</v>
      </c>
      <c r="P2465" s="3" t="e">
        <f ca="1">[1]!BexGetData("DP_1","003N8EMH8GTFRIVOG7KG9J9VY","GSON5115154111")</f>
        <v>#NAME?</v>
      </c>
      <c r="Q2465" s="4" t="e">
        <f ca="1">[1]!BexGetData("DP_1","00O2TNJGODT0G5Z4TTKYMM5MT","GSON5115154111")</f>
        <v>#NAME?</v>
      </c>
      <c r="R2465" s="4" t="e">
        <f ca="1">[1]!BexGetData("DP_1","00O2TNJGODT0G5Z4TTKYMMBYD","GSON5115154111")</f>
        <v>#NAME?</v>
      </c>
      <c r="S2465" s="4" t="e">
        <f ca="1">[1]!BexGetData("DP_1","00O2TNJGODT0G5Z4TTKYMMI9X","GSON5115154111")</f>
        <v>#NAME?</v>
      </c>
      <c r="T2465" s="4" t="e">
        <f ca="1">[1]!BexGetData("DP_1","00O2TNJGODT0G5Z4TTKYMMOLH","GSON5115154111")</f>
        <v>#NAME?</v>
      </c>
      <c r="U2465" s="4" t="e">
        <f ca="1">[1]!BexGetData("DP_1","00O2TNJGODT0G5Z4TTKYMMUX1","GSON5115154111")</f>
        <v>#NAME?</v>
      </c>
      <c r="V2465" s="4" t="e">
        <f ca="1">[1]!BexGetData("DP_1","00O2TNJGODT0G5Z4TTKYMN18L","GSON5115154111")</f>
        <v>#NAME?</v>
      </c>
      <c r="W2465" s="4" t="e">
        <f ca="1">[1]!BexGetData("DP_1","00O2TNJGODT0G5Z4TTKYMN7K5","GSON5115154111")</f>
        <v>#NAME?</v>
      </c>
    </row>
    <row r="2466" spans="1:23" x14ac:dyDescent="0.2">
      <c r="A2466" s="16" t="s">
        <v>5120</v>
      </c>
      <c r="B2466" s="7" t="s">
        <v>5121</v>
      </c>
      <c r="C2466" s="3" t="e">
        <f ca="1">[1]!BexGetData("DP_1","003N8EMH8GTFRCSWKMPXRR8GU","GSON5115154121")</f>
        <v>#NAME?</v>
      </c>
      <c r="D2466" s="3" t="e">
        <f ca="1">[1]!BexGetData("DP_1","003N8EMH8GTFRCSWKMPXRRESE","GSON5115154121")</f>
        <v>#NAME?</v>
      </c>
      <c r="E2466" s="3" t="e">
        <f ca="1">[1]!BexGetData("DP_1","003N8EMH8GTFRCSWKMPXRRL3Y","GSON5115154121")</f>
        <v>#NAME?</v>
      </c>
      <c r="F2466" s="4" t="e">
        <f ca="1">[1]!BexGetData("DP_1","003N8EMH8GTFRCSWKMPXRRRFI","GSON5115154121")</f>
        <v>#NAME?</v>
      </c>
      <c r="G2466" s="4" t="e">
        <f ca="1">[1]!BexGetData("DP_1","003N8EMH8GTFRCSWKMPXRRXR2","GSON5115154121")</f>
        <v>#NAME?</v>
      </c>
      <c r="H2466" s="4" t="e">
        <f ca="1">[1]!BexGetData("DP_1","003N8EMH8GTFRCSWKMPXRS42M","GSON5115154121")</f>
        <v>#NAME?</v>
      </c>
      <c r="I2466" s="4" t="e">
        <f ca="1">[1]!BexGetData("DP_1","003N8EMH8GTFRCSWKMPXRSAE6","GSON5115154121")</f>
        <v>#NAME?</v>
      </c>
      <c r="J2466" s="4" t="e">
        <f ca="1">[1]!BexGetData("DP_1","003N8EMH8GTFRCSWKMPXRSGPQ","GSON5115154121")</f>
        <v>#NAME?</v>
      </c>
      <c r="K2466" s="3" t="e">
        <f ca="1">[1]!BexGetData("DP_1","003N8EMH8GTFRIVNUPY288VJH","GSON5115154121")</f>
        <v>#NAME?</v>
      </c>
      <c r="L2466" s="3" t="e">
        <f ca="1">[1]!BexGetData("DP_1","003N8EMH8GTFRIVNUPY2891V1","GSON5115154121")</f>
        <v>#NAME?</v>
      </c>
      <c r="M2466" s="8" t="e">
        <f ca="1">[1]!BexGetData("DP_1","003N8EMH8GTFRIVOG7KG9IQXA","GSON5115154121")</f>
        <v>#NAME?</v>
      </c>
      <c r="N2466" s="3" t="e">
        <f ca="1">[1]!BexGetData("DP_1","003N8EMH8GTFRIVOG7KG9IX8U","GSON5115154121")</f>
        <v>#NAME?</v>
      </c>
      <c r="O2466" s="8" t="e">
        <f ca="1">[1]!BexGetData("DP_1","003N8EMH8GTFRIVOG7KG9J3KE","GSON5115154121")</f>
        <v>#NAME?</v>
      </c>
      <c r="P2466" s="3" t="e">
        <f ca="1">[1]!BexGetData("DP_1","003N8EMH8GTFRIVOG7KG9J9VY","GSON5115154121")</f>
        <v>#NAME?</v>
      </c>
      <c r="Q2466" s="4" t="e">
        <f ca="1">[1]!BexGetData("DP_1","00O2TNJGODT0G5Z4TTKYMM5MT","GSON5115154121")</f>
        <v>#NAME?</v>
      </c>
      <c r="R2466" s="4" t="e">
        <f ca="1">[1]!BexGetData("DP_1","00O2TNJGODT0G5Z4TTKYMMBYD","GSON5115154121")</f>
        <v>#NAME?</v>
      </c>
      <c r="S2466" s="4" t="e">
        <f ca="1">[1]!BexGetData("DP_1","00O2TNJGODT0G5Z4TTKYMMI9X","GSON5115154121")</f>
        <v>#NAME?</v>
      </c>
      <c r="T2466" s="4" t="e">
        <f ca="1">[1]!BexGetData("DP_1","00O2TNJGODT0G5Z4TTKYMMOLH","GSON5115154121")</f>
        <v>#NAME?</v>
      </c>
      <c r="U2466" s="4" t="e">
        <f ca="1">[1]!BexGetData("DP_1","00O2TNJGODT0G5Z4TTKYMMUX1","GSON5115154121")</f>
        <v>#NAME?</v>
      </c>
      <c r="V2466" s="4" t="e">
        <f ca="1">[1]!BexGetData("DP_1","00O2TNJGODT0G5Z4TTKYMN18L","GSON5115154121")</f>
        <v>#NAME?</v>
      </c>
      <c r="W2466" s="4" t="e">
        <f ca="1">[1]!BexGetData("DP_1","00O2TNJGODT0G5Z4TTKYMN7K5","GSON5115154121")</f>
        <v>#NAME?</v>
      </c>
    </row>
    <row r="2467" spans="1:23" x14ac:dyDescent="0.2">
      <c r="A2467" s="16" t="s">
        <v>5122</v>
      </c>
      <c r="B2467" s="7" t="s">
        <v>5123</v>
      </c>
      <c r="C2467" s="3" t="e">
        <f ca="1">[1]!BexGetData("DP_1","003N8EMH8GTFRCSWKMPXRR8GU","GSON5115154141")</f>
        <v>#NAME?</v>
      </c>
      <c r="D2467" s="3" t="e">
        <f ca="1">[1]!BexGetData("DP_1","003N8EMH8GTFRCSWKMPXRRESE","GSON5115154141")</f>
        <v>#NAME?</v>
      </c>
      <c r="E2467" s="3" t="e">
        <f ca="1">[1]!BexGetData("DP_1","003N8EMH8GTFRCSWKMPXRRL3Y","GSON5115154141")</f>
        <v>#NAME?</v>
      </c>
      <c r="F2467" s="4" t="e">
        <f ca="1">[1]!BexGetData("DP_1","003N8EMH8GTFRCSWKMPXRRRFI","GSON5115154141")</f>
        <v>#NAME?</v>
      </c>
      <c r="G2467" s="4" t="e">
        <f ca="1">[1]!BexGetData("DP_1","003N8EMH8GTFRCSWKMPXRRXR2","GSON5115154141")</f>
        <v>#NAME?</v>
      </c>
      <c r="H2467" s="4" t="e">
        <f ca="1">[1]!BexGetData("DP_1","003N8EMH8GTFRCSWKMPXRS42M","GSON5115154141")</f>
        <v>#NAME?</v>
      </c>
      <c r="I2467" s="4" t="e">
        <f ca="1">[1]!BexGetData("DP_1","003N8EMH8GTFRCSWKMPXRSAE6","GSON5115154141")</f>
        <v>#NAME?</v>
      </c>
      <c r="J2467" s="4" t="e">
        <f ca="1">[1]!BexGetData("DP_1","003N8EMH8GTFRCSWKMPXRSGPQ","GSON5115154141")</f>
        <v>#NAME?</v>
      </c>
      <c r="K2467" s="3" t="e">
        <f ca="1">[1]!BexGetData("DP_1","003N8EMH8GTFRIVNUPY288VJH","GSON5115154141")</f>
        <v>#NAME?</v>
      </c>
      <c r="L2467" s="3" t="e">
        <f ca="1">[1]!BexGetData("DP_1","003N8EMH8GTFRIVNUPY2891V1","GSON5115154141")</f>
        <v>#NAME?</v>
      </c>
      <c r="M2467" s="8" t="e">
        <f ca="1">[1]!BexGetData("DP_1","003N8EMH8GTFRIVOG7KG9IQXA","GSON5115154141")</f>
        <v>#NAME?</v>
      </c>
      <c r="N2467" s="3" t="e">
        <f ca="1">[1]!BexGetData("DP_1","003N8EMH8GTFRIVOG7KG9IX8U","GSON5115154141")</f>
        <v>#NAME?</v>
      </c>
      <c r="O2467" s="8" t="e">
        <f ca="1">[1]!BexGetData("DP_1","003N8EMH8GTFRIVOG7KG9J3KE","GSON5115154141")</f>
        <v>#NAME?</v>
      </c>
      <c r="P2467" s="3" t="e">
        <f ca="1">[1]!BexGetData("DP_1","003N8EMH8GTFRIVOG7KG9J9VY","GSON5115154141")</f>
        <v>#NAME?</v>
      </c>
      <c r="Q2467" s="4" t="e">
        <f ca="1">[1]!BexGetData("DP_1","00O2TNJGODT0G5Z4TTKYMM5MT","GSON5115154141")</f>
        <v>#NAME?</v>
      </c>
      <c r="R2467" s="4" t="e">
        <f ca="1">[1]!BexGetData("DP_1","00O2TNJGODT0G5Z4TTKYMMBYD","GSON5115154141")</f>
        <v>#NAME?</v>
      </c>
      <c r="S2467" s="4" t="e">
        <f ca="1">[1]!BexGetData("DP_1","00O2TNJGODT0G5Z4TTKYMMI9X","GSON5115154141")</f>
        <v>#NAME?</v>
      </c>
      <c r="T2467" s="4" t="e">
        <f ca="1">[1]!BexGetData("DP_1","00O2TNJGODT0G5Z4TTKYMMOLH","GSON5115154141")</f>
        <v>#NAME?</v>
      </c>
      <c r="U2467" s="4" t="e">
        <f ca="1">[1]!BexGetData("DP_1","00O2TNJGODT0G5Z4TTKYMMUX1","GSON5115154141")</f>
        <v>#NAME?</v>
      </c>
      <c r="V2467" s="4" t="e">
        <f ca="1">[1]!BexGetData("DP_1","00O2TNJGODT0G5Z4TTKYMN18L","GSON5115154141")</f>
        <v>#NAME?</v>
      </c>
      <c r="W2467" s="4" t="e">
        <f ca="1">[1]!BexGetData("DP_1","00O2TNJGODT0G5Z4TTKYMN7K5","GSON5115154141")</f>
        <v>#NAME?</v>
      </c>
    </row>
    <row r="2468" spans="1:23" x14ac:dyDescent="0.2">
      <c r="A2468" s="16" t="s">
        <v>5124</v>
      </c>
      <c r="B2468" s="7" t="s">
        <v>5125</v>
      </c>
      <c r="C2468" s="3" t="e">
        <f ca="1">[1]!BexGetData("DP_1","003N8EMH8GTFRCSWKMPXRR8GU","GSON5115154151")</f>
        <v>#NAME?</v>
      </c>
      <c r="D2468" s="3" t="e">
        <f ca="1">[1]!BexGetData("DP_1","003N8EMH8GTFRCSWKMPXRRESE","GSON5115154151")</f>
        <v>#NAME?</v>
      </c>
      <c r="E2468" s="3" t="e">
        <f ca="1">[1]!BexGetData("DP_1","003N8EMH8GTFRCSWKMPXRRL3Y","GSON5115154151")</f>
        <v>#NAME?</v>
      </c>
      <c r="F2468" s="4" t="e">
        <f ca="1">[1]!BexGetData("DP_1","003N8EMH8GTFRCSWKMPXRRRFI","GSON5115154151")</f>
        <v>#NAME?</v>
      </c>
      <c r="G2468" s="4" t="e">
        <f ca="1">[1]!BexGetData("DP_1","003N8EMH8GTFRCSWKMPXRRXR2","GSON5115154151")</f>
        <v>#NAME?</v>
      </c>
      <c r="H2468" s="4" t="e">
        <f ca="1">[1]!BexGetData("DP_1","003N8EMH8GTFRCSWKMPXRS42M","GSON5115154151")</f>
        <v>#NAME?</v>
      </c>
      <c r="I2468" s="4" t="e">
        <f ca="1">[1]!BexGetData("DP_1","003N8EMH8GTFRCSWKMPXRSAE6","GSON5115154151")</f>
        <v>#NAME?</v>
      </c>
      <c r="J2468" s="4" t="e">
        <f ca="1">[1]!BexGetData("DP_1","003N8EMH8GTFRCSWKMPXRSGPQ","GSON5115154151")</f>
        <v>#NAME?</v>
      </c>
      <c r="K2468" s="3" t="e">
        <f ca="1">[1]!BexGetData("DP_1","003N8EMH8GTFRIVNUPY288VJH","GSON5115154151")</f>
        <v>#NAME?</v>
      </c>
      <c r="L2468" s="3" t="e">
        <f ca="1">[1]!BexGetData("DP_1","003N8EMH8GTFRIVNUPY2891V1","GSON5115154151")</f>
        <v>#NAME?</v>
      </c>
      <c r="M2468" s="8" t="e">
        <f ca="1">[1]!BexGetData("DP_1","003N8EMH8GTFRIVOG7KG9IQXA","GSON5115154151")</f>
        <v>#NAME?</v>
      </c>
      <c r="N2468" s="3" t="e">
        <f ca="1">[1]!BexGetData("DP_1","003N8EMH8GTFRIVOG7KG9IX8U","GSON5115154151")</f>
        <v>#NAME?</v>
      </c>
      <c r="O2468" s="8" t="e">
        <f ca="1">[1]!BexGetData("DP_1","003N8EMH8GTFRIVOG7KG9J3KE","GSON5115154151")</f>
        <v>#NAME?</v>
      </c>
      <c r="P2468" s="3" t="e">
        <f ca="1">[1]!BexGetData("DP_1","003N8EMH8GTFRIVOG7KG9J9VY","GSON5115154151")</f>
        <v>#NAME?</v>
      </c>
      <c r="Q2468" s="4" t="e">
        <f ca="1">[1]!BexGetData("DP_1","00O2TNJGODT0G5Z4TTKYMM5MT","GSON5115154151")</f>
        <v>#NAME?</v>
      </c>
      <c r="R2468" s="4" t="e">
        <f ca="1">[1]!BexGetData("DP_1","00O2TNJGODT0G5Z4TTKYMMBYD","GSON5115154151")</f>
        <v>#NAME?</v>
      </c>
      <c r="S2468" s="4" t="e">
        <f ca="1">[1]!BexGetData("DP_1","00O2TNJGODT0G5Z4TTKYMMI9X","GSON5115154151")</f>
        <v>#NAME?</v>
      </c>
      <c r="T2468" s="4" t="e">
        <f ca="1">[1]!BexGetData("DP_1","00O2TNJGODT0G5Z4TTKYMMOLH","GSON5115154151")</f>
        <v>#NAME?</v>
      </c>
      <c r="U2468" s="4" t="e">
        <f ca="1">[1]!BexGetData("DP_1","00O2TNJGODT0G5Z4TTKYMMUX1","GSON5115154151")</f>
        <v>#NAME?</v>
      </c>
      <c r="V2468" s="4" t="e">
        <f ca="1">[1]!BexGetData("DP_1","00O2TNJGODT0G5Z4TTKYMN18L","GSON5115154151")</f>
        <v>#NAME?</v>
      </c>
      <c r="W2468" s="4" t="e">
        <f ca="1">[1]!BexGetData("DP_1","00O2TNJGODT0G5Z4TTKYMN7K5","GSON5115154151")</f>
        <v>#NAME?</v>
      </c>
    </row>
    <row r="2469" spans="1:23" x14ac:dyDescent="0.2">
      <c r="A2469" s="16" t="s">
        <v>5126</v>
      </c>
      <c r="B2469" s="7" t="s">
        <v>5127</v>
      </c>
      <c r="C2469" s="3" t="e">
        <f ca="1">[1]!BexGetData("DP_1","003N8EMH8GTFRCSWKMPXRR8GU","GSON5115154161")</f>
        <v>#NAME?</v>
      </c>
      <c r="D2469" s="3" t="e">
        <f ca="1">[1]!BexGetData("DP_1","003N8EMH8GTFRCSWKMPXRRESE","GSON5115154161")</f>
        <v>#NAME?</v>
      </c>
      <c r="E2469" s="3" t="e">
        <f ca="1">[1]!BexGetData("DP_1","003N8EMH8GTFRCSWKMPXRRL3Y","GSON5115154161")</f>
        <v>#NAME?</v>
      </c>
      <c r="F2469" s="4" t="e">
        <f ca="1">[1]!BexGetData("DP_1","003N8EMH8GTFRCSWKMPXRRRFI","GSON5115154161")</f>
        <v>#NAME?</v>
      </c>
      <c r="G2469" s="4" t="e">
        <f ca="1">[1]!BexGetData("DP_1","003N8EMH8GTFRCSWKMPXRRXR2","GSON5115154161")</f>
        <v>#NAME?</v>
      </c>
      <c r="H2469" s="4" t="e">
        <f ca="1">[1]!BexGetData("DP_1","003N8EMH8GTFRCSWKMPXRS42M","GSON5115154161")</f>
        <v>#NAME?</v>
      </c>
      <c r="I2469" s="4" t="e">
        <f ca="1">[1]!BexGetData("DP_1","003N8EMH8GTFRCSWKMPXRSAE6","GSON5115154161")</f>
        <v>#NAME?</v>
      </c>
      <c r="J2469" s="4" t="e">
        <f ca="1">[1]!BexGetData("DP_1","003N8EMH8GTFRCSWKMPXRSGPQ","GSON5115154161")</f>
        <v>#NAME?</v>
      </c>
      <c r="K2469" s="3" t="e">
        <f ca="1">[1]!BexGetData("DP_1","003N8EMH8GTFRIVNUPY288VJH","GSON5115154161")</f>
        <v>#NAME?</v>
      </c>
      <c r="L2469" s="3" t="e">
        <f ca="1">[1]!BexGetData("DP_1","003N8EMH8GTFRIVNUPY2891V1","GSON5115154161")</f>
        <v>#NAME?</v>
      </c>
      <c r="M2469" s="8" t="e">
        <f ca="1">[1]!BexGetData("DP_1","003N8EMH8GTFRIVOG7KG9IQXA","GSON5115154161")</f>
        <v>#NAME?</v>
      </c>
      <c r="N2469" s="3" t="e">
        <f ca="1">[1]!BexGetData("DP_1","003N8EMH8GTFRIVOG7KG9IX8U","GSON5115154161")</f>
        <v>#NAME?</v>
      </c>
      <c r="O2469" s="8" t="e">
        <f ca="1">[1]!BexGetData("DP_1","003N8EMH8GTFRIVOG7KG9J3KE","GSON5115154161")</f>
        <v>#NAME?</v>
      </c>
      <c r="P2469" s="3" t="e">
        <f ca="1">[1]!BexGetData("DP_1","003N8EMH8GTFRIVOG7KG9J9VY","GSON5115154161")</f>
        <v>#NAME?</v>
      </c>
      <c r="Q2469" s="4" t="e">
        <f ca="1">[1]!BexGetData("DP_1","00O2TNJGODT0G5Z4TTKYMM5MT","GSON5115154161")</f>
        <v>#NAME?</v>
      </c>
      <c r="R2469" s="4" t="e">
        <f ca="1">[1]!BexGetData("DP_1","00O2TNJGODT0G5Z4TTKYMMBYD","GSON5115154161")</f>
        <v>#NAME?</v>
      </c>
      <c r="S2469" s="4" t="e">
        <f ca="1">[1]!BexGetData("DP_1","00O2TNJGODT0G5Z4TTKYMMI9X","GSON5115154161")</f>
        <v>#NAME?</v>
      </c>
      <c r="T2469" s="4" t="e">
        <f ca="1">[1]!BexGetData("DP_1","00O2TNJGODT0G5Z4TTKYMMOLH","GSON5115154161")</f>
        <v>#NAME?</v>
      </c>
      <c r="U2469" s="4" t="e">
        <f ca="1">[1]!BexGetData("DP_1","00O2TNJGODT0G5Z4TTKYMMUX1","GSON5115154161")</f>
        <v>#NAME?</v>
      </c>
      <c r="V2469" s="4" t="e">
        <f ca="1">[1]!BexGetData("DP_1","00O2TNJGODT0G5Z4TTKYMN18L","GSON5115154161")</f>
        <v>#NAME?</v>
      </c>
      <c r="W2469" s="4" t="e">
        <f ca="1">[1]!BexGetData("DP_1","00O2TNJGODT0G5Z4TTKYMN7K5","GSON5115154161")</f>
        <v>#NAME?</v>
      </c>
    </row>
    <row r="2470" spans="1:23" x14ac:dyDescent="0.2">
      <c r="A2470" s="16" t="s">
        <v>5128</v>
      </c>
      <c r="B2470" s="7" t="s">
        <v>5129</v>
      </c>
      <c r="C2470" s="3" t="e">
        <f ca="1">[1]!BexGetData("DP_1","003N8EMH8GTFRCSWKMPXRR8GU","GSON5115154181")</f>
        <v>#NAME?</v>
      </c>
      <c r="D2470" s="8" t="e">
        <f ca="1">[1]!BexGetData("DP_1","003N8EMH8GTFRCSWKMPXRRESE","GSON5115154181")</f>
        <v>#NAME?</v>
      </c>
      <c r="E2470" s="3" t="e">
        <f ca="1">[1]!BexGetData("DP_1","003N8EMH8GTFRCSWKMPXRRL3Y","GSON5115154181")</f>
        <v>#NAME?</v>
      </c>
      <c r="F2470" s="4" t="e">
        <f ca="1">[1]!BexGetData("DP_1","003N8EMH8GTFRCSWKMPXRRRFI","GSON5115154181")</f>
        <v>#NAME?</v>
      </c>
      <c r="G2470" s="4" t="e">
        <f ca="1">[1]!BexGetData("DP_1","003N8EMH8GTFRCSWKMPXRRXR2","GSON5115154181")</f>
        <v>#NAME?</v>
      </c>
      <c r="H2470" s="4" t="e">
        <f ca="1">[1]!BexGetData("DP_1","003N8EMH8GTFRCSWKMPXRS42M","GSON5115154181")</f>
        <v>#NAME?</v>
      </c>
      <c r="I2470" s="4" t="e">
        <f ca="1">[1]!BexGetData("DP_1","003N8EMH8GTFRCSWKMPXRSAE6","GSON5115154181")</f>
        <v>#NAME?</v>
      </c>
      <c r="J2470" s="4" t="e">
        <f ca="1">[1]!BexGetData("DP_1","003N8EMH8GTFRCSWKMPXRSGPQ","GSON5115154181")</f>
        <v>#NAME?</v>
      </c>
      <c r="K2470" s="3" t="e">
        <f ca="1">[1]!BexGetData("DP_1","003N8EMH8GTFRIVNUPY288VJH","GSON5115154181")</f>
        <v>#NAME?</v>
      </c>
      <c r="L2470" s="3" t="e">
        <f ca="1">[1]!BexGetData("DP_1","003N8EMH8GTFRIVNUPY2891V1","GSON5115154181")</f>
        <v>#NAME?</v>
      </c>
      <c r="M2470" s="8" t="e">
        <f ca="1">[1]!BexGetData("DP_1","003N8EMH8GTFRIVOG7KG9IQXA","GSON5115154181")</f>
        <v>#NAME?</v>
      </c>
      <c r="N2470" s="3" t="e">
        <f ca="1">[1]!BexGetData("DP_1","003N8EMH8GTFRIVOG7KG9IX8U","GSON5115154181")</f>
        <v>#NAME?</v>
      </c>
      <c r="O2470" s="8" t="e">
        <f ca="1">[1]!BexGetData("DP_1","003N8EMH8GTFRIVOG7KG9J3KE","GSON5115154181")</f>
        <v>#NAME?</v>
      </c>
      <c r="P2470" s="3" t="e">
        <f ca="1">[1]!BexGetData("DP_1","003N8EMH8GTFRIVOG7KG9J9VY","GSON5115154181")</f>
        <v>#NAME?</v>
      </c>
      <c r="Q2470" s="4" t="e">
        <f ca="1">[1]!BexGetData("DP_1","00O2TNJGODT0G5Z4TTKYMM5MT","GSON5115154181")</f>
        <v>#NAME?</v>
      </c>
      <c r="R2470" s="4" t="e">
        <f ca="1">[1]!BexGetData("DP_1","00O2TNJGODT0G5Z4TTKYMMBYD","GSON5115154181")</f>
        <v>#NAME?</v>
      </c>
      <c r="S2470" s="4" t="e">
        <f ca="1">[1]!BexGetData("DP_1","00O2TNJGODT0G5Z4TTKYMMI9X","GSON5115154181")</f>
        <v>#NAME?</v>
      </c>
      <c r="T2470" s="4" t="e">
        <f ca="1">[1]!BexGetData("DP_1","00O2TNJGODT0G5Z4TTKYMMOLH","GSON5115154181")</f>
        <v>#NAME?</v>
      </c>
      <c r="U2470" s="4" t="e">
        <f ca="1">[1]!BexGetData("DP_1","00O2TNJGODT0G5Z4TTKYMMUX1","GSON5115154181")</f>
        <v>#NAME?</v>
      </c>
      <c r="V2470" s="4" t="e">
        <f ca="1">[1]!BexGetData("DP_1","00O2TNJGODT0G5Z4TTKYMN18L","GSON5115154181")</f>
        <v>#NAME?</v>
      </c>
      <c r="W2470" s="4" t="e">
        <f ca="1">[1]!BexGetData("DP_1","00O2TNJGODT0G5Z4TTKYMN7K5","GSON5115154181")</f>
        <v>#NAME?</v>
      </c>
    </row>
    <row r="2471" spans="1:23" x14ac:dyDescent="0.2">
      <c r="A2471" s="16" t="s">
        <v>5130</v>
      </c>
      <c r="B2471" s="7" t="s">
        <v>5131</v>
      </c>
      <c r="C2471" s="3" t="e">
        <f ca="1">[1]!BexGetData("DP_1","003N8EMH8GTFRCSWKMPXRR8GU","GSON5115154211")</f>
        <v>#NAME?</v>
      </c>
      <c r="D2471" s="8" t="e">
        <f ca="1">[1]!BexGetData("DP_1","003N8EMH8GTFRCSWKMPXRRESE","GSON5115154211")</f>
        <v>#NAME?</v>
      </c>
      <c r="E2471" s="3" t="e">
        <f ca="1">[1]!BexGetData("DP_1","003N8EMH8GTFRCSWKMPXRRL3Y","GSON5115154211")</f>
        <v>#NAME?</v>
      </c>
      <c r="F2471" s="4" t="e">
        <f ca="1">[1]!BexGetData("DP_1","003N8EMH8GTFRCSWKMPXRRRFI","GSON5115154211")</f>
        <v>#NAME?</v>
      </c>
      <c r="G2471" s="4" t="e">
        <f ca="1">[1]!BexGetData("DP_1","003N8EMH8GTFRCSWKMPXRRXR2","GSON5115154211")</f>
        <v>#NAME?</v>
      </c>
      <c r="H2471" s="4" t="e">
        <f ca="1">[1]!BexGetData("DP_1","003N8EMH8GTFRCSWKMPXRS42M","GSON5115154211")</f>
        <v>#NAME?</v>
      </c>
      <c r="I2471" s="4" t="e">
        <f ca="1">[1]!BexGetData("DP_1","003N8EMH8GTFRCSWKMPXRSAE6","GSON5115154211")</f>
        <v>#NAME?</v>
      </c>
      <c r="J2471" s="4" t="e">
        <f ca="1">[1]!BexGetData("DP_1","003N8EMH8GTFRCSWKMPXRSGPQ","GSON5115154211")</f>
        <v>#NAME?</v>
      </c>
      <c r="K2471" s="3" t="e">
        <f ca="1">[1]!BexGetData("DP_1","003N8EMH8GTFRIVNUPY288VJH","GSON5115154211")</f>
        <v>#NAME?</v>
      </c>
      <c r="L2471" s="3" t="e">
        <f ca="1">[1]!BexGetData("DP_1","003N8EMH8GTFRIVNUPY2891V1","GSON5115154211")</f>
        <v>#NAME?</v>
      </c>
      <c r="M2471" s="8" t="e">
        <f ca="1">[1]!BexGetData("DP_1","003N8EMH8GTFRIVOG7KG9IQXA","GSON5115154211")</f>
        <v>#NAME?</v>
      </c>
      <c r="N2471" s="3" t="e">
        <f ca="1">[1]!BexGetData("DP_1","003N8EMH8GTFRIVOG7KG9IX8U","GSON5115154211")</f>
        <v>#NAME?</v>
      </c>
      <c r="O2471" s="8" t="e">
        <f ca="1">[1]!BexGetData("DP_1","003N8EMH8GTFRIVOG7KG9J3KE","GSON5115154211")</f>
        <v>#NAME?</v>
      </c>
      <c r="P2471" s="3" t="e">
        <f ca="1">[1]!BexGetData("DP_1","003N8EMH8GTFRIVOG7KG9J9VY","GSON5115154211")</f>
        <v>#NAME?</v>
      </c>
      <c r="Q2471" s="4" t="e">
        <f ca="1">[1]!BexGetData("DP_1","00O2TNJGODT0G5Z4TTKYMM5MT","GSON5115154211")</f>
        <v>#NAME?</v>
      </c>
      <c r="R2471" s="4" t="e">
        <f ca="1">[1]!BexGetData("DP_1","00O2TNJGODT0G5Z4TTKYMMBYD","GSON5115154211")</f>
        <v>#NAME?</v>
      </c>
      <c r="S2471" s="4" t="e">
        <f ca="1">[1]!BexGetData("DP_1","00O2TNJGODT0G5Z4TTKYMMI9X","GSON5115154211")</f>
        <v>#NAME?</v>
      </c>
      <c r="T2471" s="4" t="e">
        <f ca="1">[1]!BexGetData("DP_1","00O2TNJGODT0G5Z4TTKYMMOLH","GSON5115154211")</f>
        <v>#NAME?</v>
      </c>
      <c r="U2471" s="4" t="e">
        <f ca="1">[1]!BexGetData("DP_1","00O2TNJGODT0G5Z4TTKYMMUX1","GSON5115154211")</f>
        <v>#NAME?</v>
      </c>
      <c r="V2471" s="4" t="e">
        <f ca="1">[1]!BexGetData("DP_1","00O2TNJGODT0G5Z4TTKYMN18L","GSON5115154211")</f>
        <v>#NAME?</v>
      </c>
      <c r="W2471" s="4" t="e">
        <f ca="1">[1]!BexGetData("DP_1","00O2TNJGODT0G5Z4TTKYMN7K5","GSON5115154211")</f>
        <v>#NAME?</v>
      </c>
    </row>
    <row r="2472" spans="1:23" x14ac:dyDescent="0.2">
      <c r="A2472" s="16" t="s">
        <v>5132</v>
      </c>
      <c r="B2472" s="7" t="s">
        <v>5133</v>
      </c>
      <c r="C2472" s="3" t="e">
        <f ca="1">[1]!BexGetData("DP_1","003N8EMH8GTFRCSWKMPXRR8GU","GSON5115154221")</f>
        <v>#NAME?</v>
      </c>
      <c r="D2472" s="3" t="e">
        <f ca="1">[1]!BexGetData("DP_1","003N8EMH8GTFRCSWKMPXRRESE","GSON5115154221")</f>
        <v>#NAME?</v>
      </c>
      <c r="E2472" s="3" t="e">
        <f ca="1">[1]!BexGetData("DP_1","003N8EMH8GTFRCSWKMPXRRL3Y","GSON5115154221")</f>
        <v>#NAME?</v>
      </c>
      <c r="F2472" s="4" t="e">
        <f ca="1">[1]!BexGetData("DP_1","003N8EMH8GTFRCSWKMPXRRRFI","GSON5115154221")</f>
        <v>#NAME?</v>
      </c>
      <c r="G2472" s="4" t="e">
        <f ca="1">[1]!BexGetData("DP_1","003N8EMH8GTFRCSWKMPXRRXR2","GSON5115154221")</f>
        <v>#NAME?</v>
      </c>
      <c r="H2472" s="4" t="e">
        <f ca="1">[1]!BexGetData("DP_1","003N8EMH8GTFRCSWKMPXRS42M","GSON5115154221")</f>
        <v>#NAME?</v>
      </c>
      <c r="I2472" s="4" t="e">
        <f ca="1">[1]!BexGetData("DP_1","003N8EMH8GTFRCSWKMPXRSAE6","GSON5115154221")</f>
        <v>#NAME?</v>
      </c>
      <c r="J2472" s="4" t="e">
        <f ca="1">[1]!BexGetData("DP_1","003N8EMH8GTFRCSWKMPXRSGPQ","GSON5115154221")</f>
        <v>#NAME?</v>
      </c>
      <c r="K2472" s="3" t="e">
        <f ca="1">[1]!BexGetData("DP_1","003N8EMH8GTFRIVNUPY288VJH","GSON5115154221")</f>
        <v>#NAME?</v>
      </c>
      <c r="L2472" s="3" t="e">
        <f ca="1">[1]!BexGetData("DP_1","003N8EMH8GTFRIVNUPY2891V1","GSON5115154221")</f>
        <v>#NAME?</v>
      </c>
      <c r="M2472" s="8" t="e">
        <f ca="1">[1]!BexGetData("DP_1","003N8EMH8GTFRIVOG7KG9IQXA","GSON5115154221")</f>
        <v>#NAME?</v>
      </c>
      <c r="N2472" s="3" t="e">
        <f ca="1">[1]!BexGetData("DP_1","003N8EMH8GTFRIVOG7KG9IX8U","GSON5115154221")</f>
        <v>#NAME?</v>
      </c>
      <c r="O2472" s="8" t="e">
        <f ca="1">[1]!BexGetData("DP_1","003N8EMH8GTFRIVOG7KG9J3KE","GSON5115154221")</f>
        <v>#NAME?</v>
      </c>
      <c r="P2472" s="3" t="e">
        <f ca="1">[1]!BexGetData("DP_1","003N8EMH8GTFRIVOG7KG9J9VY","GSON5115154221")</f>
        <v>#NAME?</v>
      </c>
      <c r="Q2472" s="4" t="e">
        <f ca="1">[1]!BexGetData("DP_1","00O2TNJGODT0G5Z4TTKYMM5MT","GSON5115154221")</f>
        <v>#NAME?</v>
      </c>
      <c r="R2472" s="4" t="e">
        <f ca="1">[1]!BexGetData("DP_1","00O2TNJGODT0G5Z4TTKYMMBYD","GSON5115154221")</f>
        <v>#NAME?</v>
      </c>
      <c r="S2472" s="4" t="e">
        <f ca="1">[1]!BexGetData("DP_1","00O2TNJGODT0G5Z4TTKYMMI9X","GSON5115154221")</f>
        <v>#NAME?</v>
      </c>
      <c r="T2472" s="4" t="e">
        <f ca="1">[1]!BexGetData("DP_1","00O2TNJGODT0G5Z4TTKYMMOLH","GSON5115154221")</f>
        <v>#NAME?</v>
      </c>
      <c r="U2472" s="4" t="e">
        <f ca="1">[1]!BexGetData("DP_1","00O2TNJGODT0G5Z4TTKYMMUX1","GSON5115154221")</f>
        <v>#NAME?</v>
      </c>
      <c r="V2472" s="4" t="e">
        <f ca="1">[1]!BexGetData("DP_1","00O2TNJGODT0G5Z4TTKYMN18L","GSON5115154221")</f>
        <v>#NAME?</v>
      </c>
      <c r="W2472" s="4" t="e">
        <f ca="1">[1]!BexGetData("DP_1","00O2TNJGODT0G5Z4TTKYMN7K5","GSON5115154221")</f>
        <v>#NAME?</v>
      </c>
    </row>
    <row r="2473" spans="1:23" x14ac:dyDescent="0.2">
      <c r="A2473" s="16" t="s">
        <v>5134</v>
      </c>
      <c r="B2473" s="7" t="s">
        <v>1564</v>
      </c>
      <c r="C2473" s="3" t="e">
        <f ca="1">[1]!BexGetData("DP_1","003N8EMH8GTFRCSWKMPXRR8GU","GSON5115159011")</f>
        <v>#NAME?</v>
      </c>
      <c r="D2473" s="3" t="e">
        <f ca="1">[1]!BexGetData("DP_1","003N8EMH8GTFRCSWKMPXRRESE","GSON5115159011")</f>
        <v>#NAME?</v>
      </c>
      <c r="E2473" s="3" t="e">
        <f ca="1">[1]!BexGetData("DP_1","003N8EMH8GTFRCSWKMPXRRL3Y","GSON5115159011")</f>
        <v>#NAME?</v>
      </c>
      <c r="F2473" s="4" t="e">
        <f ca="1">[1]!BexGetData("DP_1","003N8EMH8GTFRCSWKMPXRRRFI","GSON5115159011")</f>
        <v>#NAME?</v>
      </c>
      <c r="G2473" s="4" t="e">
        <f ca="1">[1]!BexGetData("DP_1","003N8EMH8GTFRCSWKMPXRRXR2","GSON5115159011")</f>
        <v>#NAME?</v>
      </c>
      <c r="H2473" s="4" t="e">
        <f ca="1">[1]!BexGetData("DP_1","003N8EMH8GTFRCSWKMPXRS42M","GSON5115159011")</f>
        <v>#NAME?</v>
      </c>
      <c r="I2473" s="4" t="e">
        <f ca="1">[1]!BexGetData("DP_1","003N8EMH8GTFRCSWKMPXRSAE6","GSON5115159011")</f>
        <v>#NAME?</v>
      </c>
      <c r="J2473" s="4" t="e">
        <f ca="1">[1]!BexGetData("DP_1","003N8EMH8GTFRCSWKMPXRSGPQ","GSON5115159011")</f>
        <v>#NAME?</v>
      </c>
      <c r="K2473" s="3" t="e">
        <f ca="1">[1]!BexGetData("DP_1","003N8EMH8GTFRIVNUPY288VJH","GSON5115159011")</f>
        <v>#NAME?</v>
      </c>
      <c r="L2473" s="3" t="e">
        <f ca="1">[1]!BexGetData("DP_1","003N8EMH8GTFRIVNUPY2891V1","GSON5115159011")</f>
        <v>#NAME?</v>
      </c>
      <c r="M2473" s="8" t="e">
        <f ca="1">[1]!BexGetData("DP_1","003N8EMH8GTFRIVOG7KG9IQXA","GSON5115159011")</f>
        <v>#NAME?</v>
      </c>
      <c r="N2473" s="3" t="e">
        <f ca="1">[1]!BexGetData("DP_1","003N8EMH8GTFRIVOG7KG9IX8U","GSON5115159011")</f>
        <v>#NAME?</v>
      </c>
      <c r="O2473" s="8" t="e">
        <f ca="1">[1]!BexGetData("DP_1","003N8EMH8GTFRIVOG7KG9J3KE","GSON5115159011")</f>
        <v>#NAME?</v>
      </c>
      <c r="P2473" s="3" t="e">
        <f ca="1">[1]!BexGetData("DP_1","003N8EMH8GTFRIVOG7KG9J9VY","GSON5115159011")</f>
        <v>#NAME?</v>
      </c>
      <c r="Q2473" s="4" t="e">
        <f ca="1">[1]!BexGetData("DP_1","00O2TNJGODT0G5Z4TTKYMM5MT","GSON5115159011")</f>
        <v>#NAME?</v>
      </c>
      <c r="R2473" s="4" t="e">
        <f ca="1">[1]!BexGetData("DP_1","00O2TNJGODT0G5Z4TTKYMMBYD","GSON5115159011")</f>
        <v>#NAME?</v>
      </c>
      <c r="S2473" s="4" t="e">
        <f ca="1">[1]!BexGetData("DP_1","00O2TNJGODT0G5Z4TTKYMMI9X","GSON5115159011")</f>
        <v>#NAME?</v>
      </c>
      <c r="T2473" s="4" t="e">
        <f ca="1">[1]!BexGetData("DP_1","00O2TNJGODT0G5Z4TTKYMMOLH","GSON5115159011")</f>
        <v>#NAME?</v>
      </c>
      <c r="U2473" s="4" t="e">
        <f ca="1">[1]!BexGetData("DP_1","00O2TNJGODT0G5Z4TTKYMMUX1","GSON5115159011")</f>
        <v>#NAME?</v>
      </c>
      <c r="V2473" s="4" t="e">
        <f ca="1">[1]!BexGetData("DP_1","00O2TNJGODT0G5Z4TTKYMN18L","GSON5115159011")</f>
        <v>#NAME?</v>
      </c>
      <c r="W2473" s="4" t="e">
        <f ca="1">[1]!BexGetData("DP_1","00O2TNJGODT0G5Z4TTKYMN7K5","GSON5115159011")</f>
        <v>#NAME?</v>
      </c>
    </row>
    <row r="2474" spans="1:23" x14ac:dyDescent="0.2">
      <c r="A2474" s="16" t="s">
        <v>5135</v>
      </c>
      <c r="B2474" s="7" t="s">
        <v>5136</v>
      </c>
      <c r="C2474" s="3" t="e">
        <f ca="1">[1]!BexGetData("DP_1","003N8EMH8GTFRCSWKMPXRR8GU","GSON5115159021")</f>
        <v>#NAME?</v>
      </c>
      <c r="D2474" s="8" t="e">
        <f ca="1">[1]!BexGetData("DP_1","003N8EMH8GTFRCSWKMPXRRESE","GSON5115159021")</f>
        <v>#NAME?</v>
      </c>
      <c r="E2474" s="3" t="e">
        <f ca="1">[1]!BexGetData("DP_1","003N8EMH8GTFRCSWKMPXRRL3Y","GSON5115159021")</f>
        <v>#NAME?</v>
      </c>
      <c r="F2474" s="4" t="e">
        <f ca="1">[1]!BexGetData("DP_1","003N8EMH8GTFRCSWKMPXRRRFI","GSON5115159021")</f>
        <v>#NAME?</v>
      </c>
      <c r="G2474" s="4" t="e">
        <f ca="1">[1]!BexGetData("DP_1","003N8EMH8GTFRCSWKMPXRRXR2","GSON5115159021")</f>
        <v>#NAME?</v>
      </c>
      <c r="H2474" s="4" t="e">
        <f ca="1">[1]!BexGetData("DP_1","003N8EMH8GTFRCSWKMPXRS42M","GSON5115159021")</f>
        <v>#NAME?</v>
      </c>
      <c r="I2474" s="4" t="e">
        <f ca="1">[1]!BexGetData("DP_1","003N8EMH8GTFRCSWKMPXRSAE6","GSON5115159021")</f>
        <v>#NAME?</v>
      </c>
      <c r="J2474" s="4" t="e">
        <f ca="1">[1]!BexGetData("DP_1","003N8EMH8GTFRCSWKMPXRSGPQ","GSON5115159021")</f>
        <v>#NAME?</v>
      </c>
      <c r="K2474" s="3" t="e">
        <f ca="1">[1]!BexGetData("DP_1","003N8EMH8GTFRIVNUPY288VJH","GSON5115159021")</f>
        <v>#NAME?</v>
      </c>
      <c r="L2474" s="3" t="e">
        <f ca="1">[1]!BexGetData("DP_1","003N8EMH8GTFRIVNUPY2891V1","GSON5115159021")</f>
        <v>#NAME?</v>
      </c>
      <c r="M2474" s="8" t="e">
        <f ca="1">[1]!BexGetData("DP_1","003N8EMH8GTFRIVOG7KG9IQXA","GSON5115159021")</f>
        <v>#NAME?</v>
      </c>
      <c r="N2474" s="3" t="e">
        <f ca="1">[1]!BexGetData("DP_1","003N8EMH8GTFRIVOG7KG9IX8U","GSON5115159021")</f>
        <v>#NAME?</v>
      </c>
      <c r="O2474" s="8" t="e">
        <f ca="1">[1]!BexGetData("DP_1","003N8EMH8GTFRIVOG7KG9J3KE","GSON5115159021")</f>
        <v>#NAME?</v>
      </c>
      <c r="P2474" s="3" t="e">
        <f ca="1">[1]!BexGetData("DP_1","003N8EMH8GTFRIVOG7KG9J9VY","GSON5115159021")</f>
        <v>#NAME?</v>
      </c>
      <c r="Q2474" s="4" t="e">
        <f ca="1">[1]!BexGetData("DP_1","00O2TNJGODT0G5Z4TTKYMM5MT","GSON5115159021")</f>
        <v>#NAME?</v>
      </c>
      <c r="R2474" s="4" t="e">
        <f ca="1">[1]!BexGetData("DP_1","00O2TNJGODT0G5Z4TTKYMMBYD","GSON5115159021")</f>
        <v>#NAME?</v>
      </c>
      <c r="S2474" s="4" t="e">
        <f ca="1">[1]!BexGetData("DP_1","00O2TNJGODT0G5Z4TTKYMMI9X","GSON5115159021")</f>
        <v>#NAME?</v>
      </c>
      <c r="T2474" s="4" t="e">
        <f ca="1">[1]!BexGetData("DP_1","00O2TNJGODT0G5Z4TTKYMMOLH","GSON5115159021")</f>
        <v>#NAME?</v>
      </c>
      <c r="U2474" s="4" t="e">
        <f ca="1">[1]!BexGetData("DP_1","00O2TNJGODT0G5Z4TTKYMMUX1","GSON5115159021")</f>
        <v>#NAME?</v>
      </c>
      <c r="V2474" s="4" t="e">
        <f ca="1">[1]!BexGetData("DP_1","00O2TNJGODT0G5Z4TTKYMN18L","GSON5115159021")</f>
        <v>#NAME?</v>
      </c>
      <c r="W2474" s="4" t="e">
        <f ca="1">[1]!BexGetData("DP_1","00O2TNJGODT0G5Z4TTKYMN7K5","GSON5115159021")</f>
        <v>#NAME?</v>
      </c>
    </row>
    <row r="2475" spans="1:23" x14ac:dyDescent="0.2">
      <c r="A2475" s="16" t="s">
        <v>5137</v>
      </c>
      <c r="B2475" s="7" t="s">
        <v>5138</v>
      </c>
      <c r="C2475" s="3" t="e">
        <f ca="1">[1]!BexGetData("DP_1","003N8EMH8GTFRCSWKMPXRR8GU","GSON5115159022")</f>
        <v>#NAME?</v>
      </c>
      <c r="D2475" s="3" t="e">
        <f ca="1">[1]!BexGetData("DP_1","003N8EMH8GTFRCSWKMPXRRESE","GSON5115159022")</f>
        <v>#NAME?</v>
      </c>
      <c r="E2475" s="8" t="e">
        <f ca="1">[1]!BexGetData("DP_1","003N8EMH8GTFRCSWKMPXRRL3Y","GSON5115159022")</f>
        <v>#NAME?</v>
      </c>
      <c r="F2475" s="4" t="e">
        <f ca="1">[1]!BexGetData("DP_1","003N8EMH8GTFRCSWKMPXRRRFI","GSON5115159022")</f>
        <v>#NAME?</v>
      </c>
      <c r="G2475" s="4" t="e">
        <f ca="1">[1]!BexGetData("DP_1","003N8EMH8GTFRCSWKMPXRRXR2","GSON5115159022")</f>
        <v>#NAME?</v>
      </c>
      <c r="H2475" s="4" t="e">
        <f ca="1">[1]!BexGetData("DP_1","003N8EMH8GTFRCSWKMPXRS42M","GSON5115159022")</f>
        <v>#NAME?</v>
      </c>
      <c r="I2475" s="4" t="e">
        <f ca="1">[1]!BexGetData("DP_1","003N8EMH8GTFRCSWKMPXRSAE6","GSON5115159022")</f>
        <v>#NAME?</v>
      </c>
      <c r="J2475" s="4" t="e">
        <f ca="1">[1]!BexGetData("DP_1","003N8EMH8GTFRCSWKMPXRSGPQ","GSON5115159022")</f>
        <v>#NAME?</v>
      </c>
      <c r="K2475" s="8" t="e">
        <f ca="1">[1]!BexGetData("DP_1","003N8EMH8GTFRIVNUPY288VJH","GSON5115159022")</f>
        <v>#NAME?</v>
      </c>
      <c r="L2475" s="8" t="e">
        <f ca="1">[1]!BexGetData("DP_1","003N8EMH8GTFRIVNUPY2891V1","GSON5115159022")</f>
        <v>#NAME?</v>
      </c>
      <c r="M2475" s="8" t="e">
        <f ca="1">[1]!BexGetData("DP_1","003N8EMH8GTFRIVOG7KG9IQXA","GSON5115159022")</f>
        <v>#NAME?</v>
      </c>
      <c r="N2475" s="8" t="e">
        <f ca="1">[1]!BexGetData("DP_1","003N8EMH8GTFRIVOG7KG9IX8U","GSON5115159022")</f>
        <v>#NAME?</v>
      </c>
      <c r="O2475" s="8" t="e">
        <f ca="1">[1]!BexGetData("DP_1","003N8EMH8GTFRIVOG7KG9J3KE","GSON5115159022")</f>
        <v>#NAME?</v>
      </c>
      <c r="P2475" s="8" t="e">
        <f ca="1">[1]!BexGetData("DP_1","003N8EMH8GTFRIVOG7KG9J9VY","GSON5115159022")</f>
        <v>#NAME?</v>
      </c>
      <c r="Q2475" s="4" t="e">
        <f ca="1">[1]!BexGetData("DP_1","00O2TNJGODT0G5Z4TTKYMM5MT","GSON5115159022")</f>
        <v>#NAME?</v>
      </c>
      <c r="R2475" s="4" t="e">
        <f ca="1">[1]!BexGetData("DP_1","00O2TNJGODT0G5Z4TTKYMMBYD","GSON5115159022")</f>
        <v>#NAME?</v>
      </c>
      <c r="S2475" s="4" t="e">
        <f ca="1">[1]!BexGetData("DP_1","00O2TNJGODT0G5Z4TTKYMMI9X","GSON5115159022")</f>
        <v>#NAME?</v>
      </c>
      <c r="T2475" s="4" t="e">
        <f ca="1">[1]!BexGetData("DP_1","00O2TNJGODT0G5Z4TTKYMMOLH","GSON5115159022")</f>
        <v>#NAME?</v>
      </c>
      <c r="U2475" s="4" t="e">
        <f ca="1">[1]!BexGetData("DP_1","00O2TNJGODT0G5Z4TTKYMMUX1","GSON5115159022")</f>
        <v>#NAME?</v>
      </c>
      <c r="V2475" s="4" t="e">
        <f ca="1">[1]!BexGetData("DP_1","00O2TNJGODT0G5Z4TTKYMN18L","GSON5115159022")</f>
        <v>#NAME?</v>
      </c>
      <c r="W2475" s="4" t="e">
        <f ca="1">[1]!BexGetData("DP_1","00O2TNJGODT0G5Z4TTKYMN7K5","GSON5115159022")</f>
        <v>#NAME?</v>
      </c>
    </row>
    <row r="2476" spans="1:23" x14ac:dyDescent="0.2">
      <c r="A2476" s="15" t="s">
        <v>5139</v>
      </c>
      <c r="B2476" s="7" t="s">
        <v>5140</v>
      </c>
      <c r="C2476" s="3" t="e">
        <f ca="1">[1]!BexGetData("DP_1","003N8EMH8GTFRCSWKMPXRR8GU","GSON5116")</f>
        <v>#NAME?</v>
      </c>
      <c r="D2476" s="3" t="e">
        <f ca="1">[1]!BexGetData("DP_1","003N8EMH8GTFRCSWKMPXRRESE","GSON5116")</f>
        <v>#NAME?</v>
      </c>
      <c r="E2476" s="3" t="e">
        <f ca="1">[1]!BexGetData("DP_1","003N8EMH8GTFRCSWKMPXRRL3Y","GSON5116")</f>
        <v>#NAME?</v>
      </c>
      <c r="F2476" s="4" t="e">
        <f ca="1">[1]!BexGetData("DP_1","003N8EMH8GTFRCSWKMPXRRRFI","GSON5116")</f>
        <v>#NAME?</v>
      </c>
      <c r="G2476" s="4" t="e">
        <f ca="1">[1]!BexGetData("DP_1","003N8EMH8GTFRCSWKMPXRRXR2","GSON5116")</f>
        <v>#NAME?</v>
      </c>
      <c r="H2476" s="4" t="e">
        <f ca="1">[1]!BexGetData("DP_1","003N8EMH8GTFRCSWKMPXRS42M","GSON5116")</f>
        <v>#NAME?</v>
      </c>
      <c r="I2476" s="4" t="e">
        <f ca="1">[1]!BexGetData("DP_1","003N8EMH8GTFRCSWKMPXRSAE6","GSON5116")</f>
        <v>#NAME?</v>
      </c>
      <c r="J2476" s="4" t="e">
        <f ca="1">[1]!BexGetData("DP_1","003N8EMH8GTFRCSWKMPXRSGPQ","GSON5116")</f>
        <v>#NAME?</v>
      </c>
      <c r="K2476" s="3" t="e">
        <f ca="1">[1]!BexGetData("DP_1","003N8EMH8GTFRIVNUPY288VJH","GSON5116")</f>
        <v>#NAME?</v>
      </c>
      <c r="L2476" s="3" t="e">
        <f ca="1">[1]!BexGetData("DP_1","003N8EMH8GTFRIVNUPY2891V1","GSON5116")</f>
        <v>#NAME?</v>
      </c>
      <c r="M2476" s="8" t="e">
        <f ca="1">[1]!BexGetData("DP_1","003N8EMH8GTFRIVOG7KG9IQXA","GSON5116")</f>
        <v>#NAME?</v>
      </c>
      <c r="N2476" s="3" t="e">
        <f ca="1">[1]!BexGetData("DP_1","003N8EMH8GTFRIVOG7KG9IX8U","GSON5116")</f>
        <v>#NAME?</v>
      </c>
      <c r="O2476" s="8" t="e">
        <f ca="1">[1]!BexGetData("DP_1","003N8EMH8GTFRIVOG7KG9J3KE","GSON5116")</f>
        <v>#NAME?</v>
      </c>
      <c r="P2476" s="3" t="e">
        <f ca="1">[1]!BexGetData("DP_1","003N8EMH8GTFRIVOG7KG9J9VY","GSON5116")</f>
        <v>#NAME?</v>
      </c>
      <c r="Q2476" s="4" t="e">
        <f ca="1">[1]!BexGetData("DP_1","00O2TNJGODT0G5Z4TTKYMM5MT","GSON5116")</f>
        <v>#NAME?</v>
      </c>
      <c r="R2476" s="4" t="e">
        <f ca="1">[1]!BexGetData("DP_1","00O2TNJGODT0G5Z4TTKYMMBYD","GSON5116")</f>
        <v>#NAME?</v>
      </c>
      <c r="S2476" s="4" t="e">
        <f ca="1">[1]!BexGetData("DP_1","00O2TNJGODT0G5Z4TTKYMMI9X","GSON5116")</f>
        <v>#NAME?</v>
      </c>
      <c r="T2476" s="4" t="e">
        <f ca="1">[1]!BexGetData("DP_1","00O2TNJGODT0G5Z4TTKYMMOLH","GSON5116")</f>
        <v>#NAME?</v>
      </c>
      <c r="U2476" s="4" t="e">
        <f ca="1">[1]!BexGetData("DP_1","00O2TNJGODT0G5Z4TTKYMMUX1","GSON5116")</f>
        <v>#NAME?</v>
      </c>
      <c r="V2476" s="4" t="e">
        <f ca="1">[1]!BexGetData("DP_1","00O2TNJGODT0G5Z4TTKYMN18L","GSON5116")</f>
        <v>#NAME?</v>
      </c>
      <c r="W2476" s="4" t="e">
        <f ca="1">[1]!BexGetData("DP_1","00O2TNJGODT0G5Z4TTKYMN7K5","GSON5116")</f>
        <v>#NAME?</v>
      </c>
    </row>
    <row r="2477" spans="1:23" x14ac:dyDescent="0.2">
      <c r="A2477" s="16" t="s">
        <v>5141</v>
      </c>
      <c r="B2477" s="7" t="s">
        <v>5142</v>
      </c>
      <c r="C2477" s="3" t="e">
        <f ca="1">[1]!BexGetData("DP_1","003N8EMH8GTFRCSWKMPXRR8GU","GSON5116171011")</f>
        <v>#NAME?</v>
      </c>
      <c r="D2477" s="3" t="e">
        <f ca="1">[1]!BexGetData("DP_1","003N8EMH8GTFRCSWKMPXRRESE","GSON5116171011")</f>
        <v>#NAME?</v>
      </c>
      <c r="E2477" s="3" t="e">
        <f ca="1">[1]!BexGetData("DP_1","003N8EMH8GTFRCSWKMPXRRL3Y","GSON5116171011")</f>
        <v>#NAME?</v>
      </c>
      <c r="F2477" s="4" t="e">
        <f ca="1">[1]!BexGetData("DP_1","003N8EMH8GTFRCSWKMPXRRRFI","GSON5116171011")</f>
        <v>#NAME?</v>
      </c>
      <c r="G2477" s="4" t="e">
        <f ca="1">[1]!BexGetData("DP_1","003N8EMH8GTFRCSWKMPXRRXR2","GSON5116171011")</f>
        <v>#NAME?</v>
      </c>
      <c r="H2477" s="4" t="e">
        <f ca="1">[1]!BexGetData("DP_1","003N8EMH8GTFRCSWKMPXRS42M","GSON5116171011")</f>
        <v>#NAME?</v>
      </c>
      <c r="I2477" s="4" t="e">
        <f ca="1">[1]!BexGetData("DP_1","003N8EMH8GTFRCSWKMPXRSAE6","GSON5116171011")</f>
        <v>#NAME?</v>
      </c>
      <c r="J2477" s="4" t="e">
        <f ca="1">[1]!BexGetData("DP_1","003N8EMH8GTFRCSWKMPXRSGPQ","GSON5116171011")</f>
        <v>#NAME?</v>
      </c>
      <c r="K2477" s="3" t="e">
        <f ca="1">[1]!BexGetData("DP_1","003N8EMH8GTFRIVNUPY288VJH","GSON5116171011")</f>
        <v>#NAME?</v>
      </c>
      <c r="L2477" s="3" t="e">
        <f ca="1">[1]!BexGetData("DP_1","003N8EMH8GTFRIVNUPY2891V1","GSON5116171011")</f>
        <v>#NAME?</v>
      </c>
      <c r="M2477" s="8" t="e">
        <f ca="1">[1]!BexGetData("DP_1","003N8EMH8GTFRIVOG7KG9IQXA","GSON5116171011")</f>
        <v>#NAME?</v>
      </c>
      <c r="N2477" s="3" t="e">
        <f ca="1">[1]!BexGetData("DP_1","003N8EMH8GTFRIVOG7KG9IX8U","GSON5116171011")</f>
        <v>#NAME?</v>
      </c>
      <c r="O2477" s="8" t="e">
        <f ca="1">[1]!BexGetData("DP_1","003N8EMH8GTFRIVOG7KG9J3KE","GSON5116171011")</f>
        <v>#NAME?</v>
      </c>
      <c r="P2477" s="3" t="e">
        <f ca="1">[1]!BexGetData("DP_1","003N8EMH8GTFRIVOG7KG9J9VY","GSON5116171011")</f>
        <v>#NAME?</v>
      </c>
      <c r="Q2477" s="4" t="e">
        <f ca="1">[1]!BexGetData("DP_1","00O2TNJGODT0G5Z4TTKYMM5MT","GSON5116171011")</f>
        <v>#NAME?</v>
      </c>
      <c r="R2477" s="4" t="e">
        <f ca="1">[1]!BexGetData("DP_1","00O2TNJGODT0G5Z4TTKYMMBYD","GSON5116171011")</f>
        <v>#NAME?</v>
      </c>
      <c r="S2477" s="4" t="e">
        <f ca="1">[1]!BexGetData("DP_1","00O2TNJGODT0G5Z4TTKYMMI9X","GSON5116171011")</f>
        <v>#NAME?</v>
      </c>
      <c r="T2477" s="4" t="e">
        <f ca="1">[1]!BexGetData("DP_1","00O2TNJGODT0G5Z4TTKYMMOLH","GSON5116171011")</f>
        <v>#NAME?</v>
      </c>
      <c r="U2477" s="4" t="e">
        <f ca="1">[1]!BexGetData("DP_1","00O2TNJGODT0G5Z4TTKYMMUX1","GSON5116171011")</f>
        <v>#NAME?</v>
      </c>
      <c r="V2477" s="4" t="e">
        <f ca="1">[1]!BexGetData("DP_1","00O2TNJGODT0G5Z4TTKYMN18L","GSON5116171011")</f>
        <v>#NAME?</v>
      </c>
      <c r="W2477" s="4" t="e">
        <f ca="1">[1]!BexGetData("DP_1","00O2TNJGODT0G5Z4TTKYMN7K5","GSON5116171011")</f>
        <v>#NAME?</v>
      </c>
    </row>
    <row r="2478" spans="1:23" x14ac:dyDescent="0.2">
      <c r="A2478" s="16" t="s">
        <v>5132</v>
      </c>
      <c r="B2478" s="7" t="s">
        <v>5143</v>
      </c>
      <c r="C2478" s="3" t="e">
        <f ca="1">[1]!BexGetData("DP_1","003N8EMH8GTFRCSWKMPXRR8GU","GSON5116171021")</f>
        <v>#NAME?</v>
      </c>
      <c r="D2478" s="3" t="e">
        <f ca="1">[1]!BexGetData("DP_1","003N8EMH8GTFRCSWKMPXRRESE","GSON5116171021")</f>
        <v>#NAME?</v>
      </c>
      <c r="E2478" s="3" t="e">
        <f ca="1">[1]!BexGetData("DP_1","003N8EMH8GTFRCSWKMPXRRL3Y","GSON5116171021")</f>
        <v>#NAME?</v>
      </c>
      <c r="F2478" s="4" t="e">
        <f ca="1">[1]!BexGetData("DP_1","003N8EMH8GTFRCSWKMPXRRRFI","GSON5116171021")</f>
        <v>#NAME?</v>
      </c>
      <c r="G2478" s="4" t="e">
        <f ca="1">[1]!BexGetData("DP_1","003N8EMH8GTFRCSWKMPXRRXR2","GSON5116171021")</f>
        <v>#NAME?</v>
      </c>
      <c r="H2478" s="4" t="e">
        <f ca="1">[1]!BexGetData("DP_1","003N8EMH8GTFRCSWKMPXRS42M","GSON5116171021")</f>
        <v>#NAME?</v>
      </c>
      <c r="I2478" s="4" t="e">
        <f ca="1">[1]!BexGetData("DP_1","003N8EMH8GTFRCSWKMPXRSAE6","GSON5116171021")</f>
        <v>#NAME?</v>
      </c>
      <c r="J2478" s="4" t="e">
        <f ca="1">[1]!BexGetData("DP_1","003N8EMH8GTFRCSWKMPXRSGPQ","GSON5116171021")</f>
        <v>#NAME?</v>
      </c>
      <c r="K2478" s="3" t="e">
        <f ca="1">[1]!BexGetData("DP_1","003N8EMH8GTFRIVNUPY288VJH","GSON5116171021")</f>
        <v>#NAME?</v>
      </c>
      <c r="L2478" s="3" t="e">
        <f ca="1">[1]!BexGetData("DP_1","003N8EMH8GTFRIVNUPY2891V1","GSON5116171021")</f>
        <v>#NAME?</v>
      </c>
      <c r="M2478" s="8" t="e">
        <f ca="1">[1]!BexGetData("DP_1","003N8EMH8GTFRIVOG7KG9IQXA","GSON5116171021")</f>
        <v>#NAME?</v>
      </c>
      <c r="N2478" s="3" t="e">
        <f ca="1">[1]!BexGetData("DP_1","003N8EMH8GTFRIVOG7KG9IX8U","GSON5116171021")</f>
        <v>#NAME?</v>
      </c>
      <c r="O2478" s="8" t="e">
        <f ca="1">[1]!BexGetData("DP_1","003N8EMH8GTFRIVOG7KG9J3KE","GSON5116171021")</f>
        <v>#NAME?</v>
      </c>
      <c r="P2478" s="3" t="e">
        <f ca="1">[1]!BexGetData("DP_1","003N8EMH8GTFRIVOG7KG9J9VY","GSON5116171021")</f>
        <v>#NAME?</v>
      </c>
      <c r="Q2478" s="4" t="e">
        <f ca="1">[1]!BexGetData("DP_1","00O2TNJGODT0G5Z4TTKYMM5MT","GSON5116171021")</f>
        <v>#NAME?</v>
      </c>
      <c r="R2478" s="4" t="e">
        <f ca="1">[1]!BexGetData("DP_1","00O2TNJGODT0G5Z4TTKYMMBYD","GSON5116171021")</f>
        <v>#NAME?</v>
      </c>
      <c r="S2478" s="4" t="e">
        <f ca="1">[1]!BexGetData("DP_1","00O2TNJGODT0G5Z4TTKYMMI9X","GSON5116171021")</f>
        <v>#NAME?</v>
      </c>
      <c r="T2478" s="4" t="e">
        <f ca="1">[1]!BexGetData("DP_1","00O2TNJGODT0G5Z4TTKYMMOLH","GSON5116171021")</f>
        <v>#NAME?</v>
      </c>
      <c r="U2478" s="4" t="e">
        <f ca="1">[1]!BexGetData("DP_1","00O2TNJGODT0G5Z4TTKYMMUX1","GSON5116171021")</f>
        <v>#NAME?</v>
      </c>
      <c r="V2478" s="4" t="e">
        <f ca="1">[1]!BexGetData("DP_1","00O2TNJGODT0G5Z4TTKYMN18L","GSON5116171021")</f>
        <v>#NAME?</v>
      </c>
      <c r="W2478" s="4" t="e">
        <f ca="1">[1]!BexGetData("DP_1","00O2TNJGODT0G5Z4TTKYMN7K5","GSON5116171021")</f>
        <v>#NAME?</v>
      </c>
    </row>
    <row r="2479" spans="1:23" x14ac:dyDescent="0.2">
      <c r="A2479" s="16" t="s">
        <v>5144</v>
      </c>
      <c r="B2479" s="7" t="s">
        <v>5145</v>
      </c>
      <c r="C2479" s="3" t="e">
        <f ca="1">[1]!BexGetData("DP_1","003N8EMH8GTFRCSWKMPXRR8GU","GSON5116171031")</f>
        <v>#NAME?</v>
      </c>
      <c r="D2479" s="3" t="e">
        <f ca="1">[1]!BexGetData("DP_1","003N8EMH8GTFRCSWKMPXRRESE","GSON5116171031")</f>
        <v>#NAME?</v>
      </c>
      <c r="E2479" s="3" t="e">
        <f ca="1">[1]!BexGetData("DP_1","003N8EMH8GTFRCSWKMPXRRL3Y","GSON5116171031")</f>
        <v>#NAME?</v>
      </c>
      <c r="F2479" s="4" t="e">
        <f ca="1">[1]!BexGetData("DP_1","003N8EMH8GTFRCSWKMPXRRRFI","GSON5116171031")</f>
        <v>#NAME?</v>
      </c>
      <c r="G2479" s="4" t="e">
        <f ca="1">[1]!BexGetData("DP_1","003N8EMH8GTFRCSWKMPXRRXR2","GSON5116171031")</f>
        <v>#NAME?</v>
      </c>
      <c r="H2479" s="4" t="e">
        <f ca="1">[1]!BexGetData("DP_1","003N8EMH8GTFRCSWKMPXRS42M","GSON5116171031")</f>
        <v>#NAME?</v>
      </c>
      <c r="I2479" s="4" t="e">
        <f ca="1">[1]!BexGetData("DP_1","003N8EMH8GTFRCSWKMPXRSAE6","GSON5116171031")</f>
        <v>#NAME?</v>
      </c>
      <c r="J2479" s="4" t="e">
        <f ca="1">[1]!BexGetData("DP_1","003N8EMH8GTFRCSWKMPXRSGPQ","GSON5116171031")</f>
        <v>#NAME?</v>
      </c>
      <c r="K2479" s="3" t="e">
        <f ca="1">[1]!BexGetData("DP_1","003N8EMH8GTFRIVNUPY288VJH","GSON5116171031")</f>
        <v>#NAME?</v>
      </c>
      <c r="L2479" s="3" t="e">
        <f ca="1">[1]!BexGetData("DP_1","003N8EMH8GTFRIVNUPY2891V1","GSON5116171031")</f>
        <v>#NAME?</v>
      </c>
      <c r="M2479" s="8" t="e">
        <f ca="1">[1]!BexGetData("DP_1","003N8EMH8GTFRIVOG7KG9IQXA","GSON5116171031")</f>
        <v>#NAME?</v>
      </c>
      <c r="N2479" s="3" t="e">
        <f ca="1">[1]!BexGetData("DP_1","003N8EMH8GTFRIVOG7KG9IX8U","GSON5116171031")</f>
        <v>#NAME?</v>
      </c>
      <c r="O2479" s="8" t="e">
        <f ca="1">[1]!BexGetData("DP_1","003N8EMH8GTFRIVOG7KG9J3KE","GSON5116171031")</f>
        <v>#NAME?</v>
      </c>
      <c r="P2479" s="3" t="e">
        <f ca="1">[1]!BexGetData("DP_1","003N8EMH8GTFRIVOG7KG9J9VY","GSON5116171031")</f>
        <v>#NAME?</v>
      </c>
      <c r="Q2479" s="4" t="e">
        <f ca="1">[1]!BexGetData("DP_1","00O2TNJGODT0G5Z4TTKYMM5MT","GSON5116171031")</f>
        <v>#NAME?</v>
      </c>
      <c r="R2479" s="4" t="e">
        <f ca="1">[1]!BexGetData("DP_1","00O2TNJGODT0G5Z4TTKYMMBYD","GSON5116171031")</f>
        <v>#NAME?</v>
      </c>
      <c r="S2479" s="4" t="e">
        <f ca="1">[1]!BexGetData("DP_1","00O2TNJGODT0G5Z4TTKYMMI9X","GSON5116171031")</f>
        <v>#NAME?</v>
      </c>
      <c r="T2479" s="4" t="e">
        <f ca="1">[1]!BexGetData("DP_1","00O2TNJGODT0G5Z4TTKYMMOLH","GSON5116171031")</f>
        <v>#NAME?</v>
      </c>
      <c r="U2479" s="4" t="e">
        <f ca="1">[1]!BexGetData("DP_1","00O2TNJGODT0G5Z4TTKYMMUX1","GSON5116171031")</f>
        <v>#NAME?</v>
      </c>
      <c r="V2479" s="4" t="e">
        <f ca="1">[1]!BexGetData("DP_1","00O2TNJGODT0G5Z4TTKYMN18L","GSON5116171031")</f>
        <v>#NAME?</v>
      </c>
      <c r="W2479" s="4" t="e">
        <f ca="1">[1]!BexGetData("DP_1","00O2TNJGODT0G5Z4TTKYMN7K5","GSON5116171031")</f>
        <v>#NAME?</v>
      </c>
    </row>
    <row r="2480" spans="1:23" x14ac:dyDescent="0.2">
      <c r="A2480" s="16" t="s">
        <v>5146</v>
      </c>
      <c r="B2480" s="7" t="s">
        <v>5147</v>
      </c>
      <c r="C2480" s="3" t="e">
        <f ca="1">[1]!BexGetData("DP_1","003N8EMH8GTFRCSWKMPXRR8GU","GSON5116171041")</f>
        <v>#NAME?</v>
      </c>
      <c r="D2480" s="3" t="e">
        <f ca="1">[1]!BexGetData("DP_1","003N8EMH8GTFRCSWKMPXRRESE","GSON5116171041")</f>
        <v>#NAME?</v>
      </c>
      <c r="E2480" s="3" t="e">
        <f ca="1">[1]!BexGetData("DP_1","003N8EMH8GTFRCSWKMPXRRL3Y","GSON5116171041")</f>
        <v>#NAME?</v>
      </c>
      <c r="F2480" s="4" t="e">
        <f ca="1">[1]!BexGetData("DP_1","003N8EMH8GTFRCSWKMPXRRRFI","GSON5116171041")</f>
        <v>#NAME?</v>
      </c>
      <c r="G2480" s="4" t="e">
        <f ca="1">[1]!BexGetData("DP_1","003N8EMH8GTFRCSWKMPXRRXR2","GSON5116171041")</f>
        <v>#NAME?</v>
      </c>
      <c r="H2480" s="4" t="e">
        <f ca="1">[1]!BexGetData("DP_1","003N8EMH8GTFRCSWKMPXRS42M","GSON5116171041")</f>
        <v>#NAME?</v>
      </c>
      <c r="I2480" s="4" t="e">
        <f ca="1">[1]!BexGetData("DP_1","003N8EMH8GTFRCSWKMPXRSAE6","GSON5116171041")</f>
        <v>#NAME?</v>
      </c>
      <c r="J2480" s="4" t="e">
        <f ca="1">[1]!BexGetData("DP_1","003N8EMH8GTFRCSWKMPXRSGPQ","GSON5116171041")</f>
        <v>#NAME?</v>
      </c>
      <c r="K2480" s="3" t="e">
        <f ca="1">[1]!BexGetData("DP_1","003N8EMH8GTFRIVNUPY288VJH","GSON5116171041")</f>
        <v>#NAME?</v>
      </c>
      <c r="L2480" s="3" t="e">
        <f ca="1">[1]!BexGetData("DP_1","003N8EMH8GTFRIVNUPY2891V1","GSON5116171041")</f>
        <v>#NAME?</v>
      </c>
      <c r="M2480" s="8" t="e">
        <f ca="1">[1]!BexGetData("DP_1","003N8EMH8GTFRIVOG7KG9IQXA","GSON5116171041")</f>
        <v>#NAME?</v>
      </c>
      <c r="N2480" s="3" t="e">
        <f ca="1">[1]!BexGetData("DP_1","003N8EMH8GTFRIVOG7KG9IX8U","GSON5116171041")</f>
        <v>#NAME?</v>
      </c>
      <c r="O2480" s="8" t="e">
        <f ca="1">[1]!BexGetData("DP_1","003N8EMH8GTFRIVOG7KG9J3KE","GSON5116171041")</f>
        <v>#NAME?</v>
      </c>
      <c r="P2480" s="3" t="e">
        <f ca="1">[1]!BexGetData("DP_1","003N8EMH8GTFRIVOG7KG9J9VY","GSON5116171041")</f>
        <v>#NAME?</v>
      </c>
      <c r="Q2480" s="4" t="e">
        <f ca="1">[1]!BexGetData("DP_1","00O2TNJGODT0G5Z4TTKYMM5MT","GSON5116171041")</f>
        <v>#NAME?</v>
      </c>
      <c r="R2480" s="4" t="e">
        <f ca="1">[1]!BexGetData("DP_1","00O2TNJGODT0G5Z4TTKYMMBYD","GSON5116171041")</f>
        <v>#NAME?</v>
      </c>
      <c r="S2480" s="4" t="e">
        <f ca="1">[1]!BexGetData("DP_1","00O2TNJGODT0G5Z4TTKYMMI9X","GSON5116171041")</f>
        <v>#NAME?</v>
      </c>
      <c r="T2480" s="4" t="e">
        <f ca="1">[1]!BexGetData("DP_1","00O2TNJGODT0G5Z4TTKYMMOLH","GSON5116171041")</f>
        <v>#NAME?</v>
      </c>
      <c r="U2480" s="4" t="e">
        <f ca="1">[1]!BexGetData("DP_1","00O2TNJGODT0G5Z4TTKYMMUX1","GSON5116171041")</f>
        <v>#NAME?</v>
      </c>
      <c r="V2480" s="4" t="e">
        <f ca="1">[1]!BexGetData("DP_1","00O2TNJGODT0G5Z4TTKYMN18L","GSON5116171041")</f>
        <v>#NAME?</v>
      </c>
      <c r="W2480" s="4" t="e">
        <f ca="1">[1]!BexGetData("DP_1","00O2TNJGODT0G5Z4TTKYMN7K5","GSON5116171041")</f>
        <v>#NAME?</v>
      </c>
    </row>
    <row r="2481" spans="1:23" x14ac:dyDescent="0.2">
      <c r="A2481" s="14" t="s">
        <v>108</v>
      </c>
      <c r="B2481" s="7" t="s">
        <v>109</v>
      </c>
      <c r="C2481" s="3" t="e">
        <f ca="1">[1]!BexGetData("DP_1","003N8EMH8GTFRCSWKMPXRR8GU","GSON512")</f>
        <v>#NAME?</v>
      </c>
      <c r="D2481" s="3" t="e">
        <f ca="1">[1]!BexGetData("DP_1","003N8EMH8GTFRCSWKMPXRRESE","GSON512")</f>
        <v>#NAME?</v>
      </c>
      <c r="E2481" s="3" t="e">
        <f ca="1">[1]!BexGetData("DP_1","003N8EMH8GTFRCSWKMPXRRL3Y","GSON512")</f>
        <v>#NAME?</v>
      </c>
      <c r="F2481" s="4" t="e">
        <f ca="1">[1]!BexGetData("DP_1","003N8EMH8GTFRCSWKMPXRRRFI","GSON512")</f>
        <v>#NAME?</v>
      </c>
      <c r="G2481" s="4" t="e">
        <f ca="1">[1]!BexGetData("DP_1","003N8EMH8GTFRCSWKMPXRRXR2","GSON512")</f>
        <v>#NAME?</v>
      </c>
      <c r="H2481" s="4" t="e">
        <f ca="1">[1]!BexGetData("DP_1","003N8EMH8GTFRCSWKMPXRS42M","GSON512")</f>
        <v>#NAME?</v>
      </c>
      <c r="I2481" s="4" t="e">
        <f ca="1">[1]!BexGetData("DP_1","003N8EMH8GTFRCSWKMPXRSAE6","GSON512")</f>
        <v>#NAME?</v>
      </c>
      <c r="J2481" s="4" t="e">
        <f ca="1">[1]!BexGetData("DP_1","003N8EMH8GTFRCSWKMPXRSGPQ","GSON512")</f>
        <v>#NAME?</v>
      </c>
      <c r="K2481" s="3" t="e">
        <f ca="1">[1]!BexGetData("DP_1","003N8EMH8GTFRIVNUPY288VJH","GSON512")</f>
        <v>#NAME?</v>
      </c>
      <c r="L2481" s="3" t="e">
        <f ca="1">[1]!BexGetData("DP_1","003N8EMH8GTFRIVNUPY2891V1","GSON512")</f>
        <v>#NAME?</v>
      </c>
      <c r="M2481" s="8" t="e">
        <f ca="1">[1]!BexGetData("DP_1","003N8EMH8GTFRIVOG7KG9IQXA","GSON512")</f>
        <v>#NAME?</v>
      </c>
      <c r="N2481" s="3" t="e">
        <f ca="1">[1]!BexGetData("DP_1","003N8EMH8GTFRIVOG7KG9IX8U","GSON512")</f>
        <v>#NAME?</v>
      </c>
      <c r="O2481" s="8" t="e">
        <f ca="1">[1]!BexGetData("DP_1","003N8EMH8GTFRIVOG7KG9J3KE","GSON512")</f>
        <v>#NAME?</v>
      </c>
      <c r="P2481" s="3" t="e">
        <f ca="1">[1]!BexGetData("DP_1","003N8EMH8GTFRIVOG7KG9J9VY","GSON512")</f>
        <v>#NAME?</v>
      </c>
      <c r="Q2481" s="4" t="e">
        <f ca="1">[1]!BexGetData("DP_1","00O2TNJGODT0G5Z4TTKYMM5MT","GSON512")</f>
        <v>#NAME?</v>
      </c>
      <c r="R2481" s="4" t="e">
        <f ca="1">[1]!BexGetData("DP_1","00O2TNJGODT0G5Z4TTKYMMBYD","GSON512")</f>
        <v>#NAME?</v>
      </c>
      <c r="S2481" s="4" t="e">
        <f ca="1">[1]!BexGetData("DP_1","00O2TNJGODT0G5Z4TTKYMMI9X","GSON512")</f>
        <v>#NAME?</v>
      </c>
      <c r="T2481" s="4" t="e">
        <f ca="1">[1]!BexGetData("DP_1","00O2TNJGODT0G5Z4TTKYMMOLH","GSON512")</f>
        <v>#NAME?</v>
      </c>
      <c r="U2481" s="4" t="e">
        <f ca="1">[1]!BexGetData("DP_1","00O2TNJGODT0G5Z4TTKYMMUX1","GSON512")</f>
        <v>#NAME?</v>
      </c>
      <c r="V2481" s="4" t="e">
        <f ca="1">[1]!BexGetData("DP_1","00O2TNJGODT0G5Z4TTKYMN18L","GSON512")</f>
        <v>#NAME?</v>
      </c>
      <c r="W2481" s="4" t="e">
        <f ca="1">[1]!BexGetData("DP_1","00O2TNJGODT0G5Z4TTKYMN7K5","GSON512")</f>
        <v>#NAME?</v>
      </c>
    </row>
    <row r="2482" spans="1:23" x14ac:dyDescent="0.2">
      <c r="A2482" s="15" t="s">
        <v>110</v>
      </c>
      <c r="B2482" s="7" t="s">
        <v>111</v>
      </c>
      <c r="C2482" s="3" t="e">
        <f ca="1">[1]!BexGetData("DP_1","003N8EMH8GTFRCSWKMPXRR8GU","GSON5121")</f>
        <v>#NAME?</v>
      </c>
      <c r="D2482" s="3" t="e">
        <f ca="1">[1]!BexGetData("DP_1","003N8EMH8GTFRCSWKMPXRRESE","GSON5121")</f>
        <v>#NAME?</v>
      </c>
      <c r="E2482" s="3" t="e">
        <f ca="1">[1]!BexGetData("DP_1","003N8EMH8GTFRCSWKMPXRRL3Y","GSON5121")</f>
        <v>#NAME?</v>
      </c>
      <c r="F2482" s="4" t="e">
        <f ca="1">[1]!BexGetData("DP_1","003N8EMH8GTFRCSWKMPXRRRFI","GSON5121")</f>
        <v>#NAME?</v>
      </c>
      <c r="G2482" s="4" t="e">
        <f ca="1">[1]!BexGetData("DP_1","003N8EMH8GTFRCSWKMPXRRXR2","GSON5121")</f>
        <v>#NAME?</v>
      </c>
      <c r="H2482" s="4" t="e">
        <f ca="1">[1]!BexGetData("DP_1","003N8EMH8GTFRCSWKMPXRS42M","GSON5121")</f>
        <v>#NAME?</v>
      </c>
      <c r="I2482" s="4" t="e">
        <f ca="1">[1]!BexGetData("DP_1","003N8EMH8GTFRCSWKMPXRSAE6","GSON5121")</f>
        <v>#NAME?</v>
      </c>
      <c r="J2482" s="4" t="e">
        <f ca="1">[1]!BexGetData("DP_1","003N8EMH8GTFRCSWKMPXRSGPQ","GSON5121")</f>
        <v>#NAME?</v>
      </c>
      <c r="K2482" s="3" t="e">
        <f ca="1">[1]!BexGetData("DP_1","003N8EMH8GTFRIVNUPY288VJH","GSON5121")</f>
        <v>#NAME?</v>
      </c>
      <c r="L2482" s="3" t="e">
        <f ca="1">[1]!BexGetData("DP_1","003N8EMH8GTFRIVNUPY2891V1","GSON5121")</f>
        <v>#NAME?</v>
      </c>
      <c r="M2482" s="8" t="e">
        <f ca="1">[1]!BexGetData("DP_1","003N8EMH8GTFRIVOG7KG9IQXA","GSON5121")</f>
        <v>#NAME?</v>
      </c>
      <c r="N2482" s="3" t="e">
        <f ca="1">[1]!BexGetData("DP_1","003N8EMH8GTFRIVOG7KG9IX8U","GSON5121")</f>
        <v>#NAME?</v>
      </c>
      <c r="O2482" s="8" t="e">
        <f ca="1">[1]!BexGetData("DP_1","003N8EMH8GTFRIVOG7KG9J3KE","GSON5121")</f>
        <v>#NAME?</v>
      </c>
      <c r="P2482" s="3" t="e">
        <f ca="1">[1]!BexGetData("DP_1","003N8EMH8GTFRIVOG7KG9J9VY","GSON5121")</f>
        <v>#NAME?</v>
      </c>
      <c r="Q2482" s="4" t="e">
        <f ca="1">[1]!BexGetData("DP_1","00O2TNJGODT0G5Z4TTKYMM5MT","GSON5121")</f>
        <v>#NAME?</v>
      </c>
      <c r="R2482" s="4" t="e">
        <f ca="1">[1]!BexGetData("DP_1","00O2TNJGODT0G5Z4TTKYMMBYD","GSON5121")</f>
        <v>#NAME?</v>
      </c>
      <c r="S2482" s="4" t="e">
        <f ca="1">[1]!BexGetData("DP_1","00O2TNJGODT0G5Z4TTKYMMI9X","GSON5121")</f>
        <v>#NAME?</v>
      </c>
      <c r="T2482" s="4" t="e">
        <f ca="1">[1]!BexGetData("DP_1","00O2TNJGODT0G5Z4TTKYMMOLH","GSON5121")</f>
        <v>#NAME?</v>
      </c>
      <c r="U2482" s="4" t="e">
        <f ca="1">[1]!BexGetData("DP_1","00O2TNJGODT0G5Z4TTKYMMUX1","GSON5121")</f>
        <v>#NAME?</v>
      </c>
      <c r="V2482" s="4" t="e">
        <f ca="1">[1]!BexGetData("DP_1","00O2TNJGODT0G5Z4TTKYMN18L","GSON5121")</f>
        <v>#NAME?</v>
      </c>
      <c r="W2482" s="4" t="e">
        <f ca="1">[1]!BexGetData("DP_1","00O2TNJGODT0G5Z4TTKYMN7K5","GSON5121")</f>
        <v>#NAME?</v>
      </c>
    </row>
    <row r="2483" spans="1:23" x14ac:dyDescent="0.2">
      <c r="A2483" s="16" t="s">
        <v>5148</v>
      </c>
      <c r="B2483" s="7" t="s">
        <v>381</v>
      </c>
      <c r="C2483" s="3" t="e">
        <f ca="1">[1]!BexGetData("DP_1","003N8EMH8GTFRCSWKMPXRR8GU","GSON5121211011")</f>
        <v>#NAME?</v>
      </c>
      <c r="D2483" s="3" t="e">
        <f ca="1">[1]!BexGetData("DP_1","003N8EMH8GTFRCSWKMPXRRESE","GSON5121211011")</f>
        <v>#NAME?</v>
      </c>
      <c r="E2483" s="3" t="e">
        <f ca="1">[1]!BexGetData("DP_1","003N8EMH8GTFRCSWKMPXRRL3Y","GSON5121211011")</f>
        <v>#NAME?</v>
      </c>
      <c r="F2483" s="4" t="e">
        <f ca="1">[1]!BexGetData("DP_1","003N8EMH8GTFRCSWKMPXRRRFI","GSON5121211011")</f>
        <v>#NAME?</v>
      </c>
      <c r="G2483" s="4" t="e">
        <f ca="1">[1]!BexGetData("DP_1","003N8EMH8GTFRCSWKMPXRRXR2","GSON5121211011")</f>
        <v>#NAME?</v>
      </c>
      <c r="H2483" s="4" t="e">
        <f ca="1">[1]!BexGetData("DP_1","003N8EMH8GTFRCSWKMPXRS42M","GSON5121211011")</f>
        <v>#NAME?</v>
      </c>
      <c r="I2483" s="4" t="e">
        <f ca="1">[1]!BexGetData("DP_1","003N8EMH8GTFRCSWKMPXRSAE6","GSON5121211011")</f>
        <v>#NAME?</v>
      </c>
      <c r="J2483" s="4" t="e">
        <f ca="1">[1]!BexGetData("DP_1","003N8EMH8GTFRCSWKMPXRSGPQ","GSON5121211011")</f>
        <v>#NAME?</v>
      </c>
      <c r="K2483" s="3" t="e">
        <f ca="1">[1]!BexGetData("DP_1","003N8EMH8GTFRIVNUPY288VJH","GSON5121211011")</f>
        <v>#NAME?</v>
      </c>
      <c r="L2483" s="3" t="e">
        <f ca="1">[1]!BexGetData("DP_1","003N8EMH8GTFRIVNUPY2891V1","GSON5121211011")</f>
        <v>#NAME?</v>
      </c>
      <c r="M2483" s="8" t="e">
        <f ca="1">[1]!BexGetData("DP_1","003N8EMH8GTFRIVOG7KG9IQXA","GSON5121211011")</f>
        <v>#NAME?</v>
      </c>
      <c r="N2483" s="3" t="e">
        <f ca="1">[1]!BexGetData("DP_1","003N8EMH8GTFRIVOG7KG9IX8U","GSON5121211011")</f>
        <v>#NAME?</v>
      </c>
      <c r="O2483" s="8" t="e">
        <f ca="1">[1]!BexGetData("DP_1","003N8EMH8GTFRIVOG7KG9J3KE","GSON5121211011")</f>
        <v>#NAME?</v>
      </c>
      <c r="P2483" s="3" t="e">
        <f ca="1">[1]!BexGetData("DP_1","003N8EMH8GTFRIVOG7KG9J9VY","GSON5121211011")</f>
        <v>#NAME?</v>
      </c>
      <c r="Q2483" s="4" t="e">
        <f ca="1">[1]!BexGetData("DP_1","00O2TNJGODT0G5Z4TTKYMM5MT","GSON5121211011")</f>
        <v>#NAME?</v>
      </c>
      <c r="R2483" s="4" t="e">
        <f ca="1">[1]!BexGetData("DP_1","00O2TNJGODT0G5Z4TTKYMMBYD","GSON5121211011")</f>
        <v>#NAME?</v>
      </c>
      <c r="S2483" s="4" t="e">
        <f ca="1">[1]!BexGetData("DP_1","00O2TNJGODT0G5Z4TTKYMMI9X","GSON5121211011")</f>
        <v>#NAME?</v>
      </c>
      <c r="T2483" s="4" t="e">
        <f ca="1">[1]!BexGetData("DP_1","00O2TNJGODT0G5Z4TTKYMMOLH","GSON5121211011")</f>
        <v>#NAME?</v>
      </c>
      <c r="U2483" s="4" t="e">
        <f ca="1">[1]!BexGetData("DP_1","00O2TNJGODT0G5Z4TTKYMMUX1","GSON5121211011")</f>
        <v>#NAME?</v>
      </c>
      <c r="V2483" s="4" t="e">
        <f ca="1">[1]!BexGetData("DP_1","00O2TNJGODT0G5Z4TTKYMN18L","GSON5121211011")</f>
        <v>#NAME?</v>
      </c>
      <c r="W2483" s="4" t="e">
        <f ca="1">[1]!BexGetData("DP_1","00O2TNJGODT0G5Z4TTKYMN7K5","GSON5121211011")</f>
        <v>#NAME?</v>
      </c>
    </row>
    <row r="2484" spans="1:23" x14ac:dyDescent="0.2">
      <c r="A2484" s="16" t="s">
        <v>5149</v>
      </c>
      <c r="B2484" s="7" t="s">
        <v>382</v>
      </c>
      <c r="C2484" s="3" t="e">
        <f ca="1">[1]!BexGetData("DP_1","003N8EMH8GTFRCSWKMPXRR8GU","GSON5121212011")</f>
        <v>#NAME?</v>
      </c>
      <c r="D2484" s="3" t="e">
        <f ca="1">[1]!BexGetData("DP_1","003N8EMH8GTFRCSWKMPXRRESE","GSON5121212011")</f>
        <v>#NAME?</v>
      </c>
      <c r="E2484" s="3" t="e">
        <f ca="1">[1]!BexGetData("DP_1","003N8EMH8GTFRCSWKMPXRRL3Y","GSON5121212011")</f>
        <v>#NAME?</v>
      </c>
      <c r="F2484" s="4" t="e">
        <f ca="1">[1]!BexGetData("DP_1","003N8EMH8GTFRCSWKMPXRRRFI","GSON5121212011")</f>
        <v>#NAME?</v>
      </c>
      <c r="G2484" s="4" t="e">
        <f ca="1">[1]!BexGetData("DP_1","003N8EMH8GTFRCSWKMPXRRXR2","GSON5121212011")</f>
        <v>#NAME?</v>
      </c>
      <c r="H2484" s="4" t="e">
        <f ca="1">[1]!BexGetData("DP_1","003N8EMH8GTFRCSWKMPXRS42M","GSON5121212011")</f>
        <v>#NAME?</v>
      </c>
      <c r="I2484" s="4" t="e">
        <f ca="1">[1]!BexGetData("DP_1","003N8EMH8GTFRCSWKMPXRSAE6","GSON5121212011")</f>
        <v>#NAME?</v>
      </c>
      <c r="J2484" s="4" t="e">
        <f ca="1">[1]!BexGetData("DP_1","003N8EMH8GTFRCSWKMPXRSGPQ","GSON5121212011")</f>
        <v>#NAME?</v>
      </c>
      <c r="K2484" s="3" t="e">
        <f ca="1">[1]!BexGetData("DP_1","003N8EMH8GTFRIVNUPY288VJH","GSON5121212011")</f>
        <v>#NAME?</v>
      </c>
      <c r="L2484" s="3" t="e">
        <f ca="1">[1]!BexGetData("DP_1","003N8EMH8GTFRIVNUPY2891V1","GSON5121212011")</f>
        <v>#NAME?</v>
      </c>
      <c r="M2484" s="8" t="e">
        <f ca="1">[1]!BexGetData("DP_1","003N8EMH8GTFRIVOG7KG9IQXA","GSON5121212011")</f>
        <v>#NAME?</v>
      </c>
      <c r="N2484" s="3" t="e">
        <f ca="1">[1]!BexGetData("DP_1","003N8EMH8GTFRIVOG7KG9IX8U","GSON5121212011")</f>
        <v>#NAME?</v>
      </c>
      <c r="O2484" s="8" t="e">
        <f ca="1">[1]!BexGetData("DP_1","003N8EMH8GTFRIVOG7KG9J3KE","GSON5121212011")</f>
        <v>#NAME?</v>
      </c>
      <c r="P2484" s="3" t="e">
        <f ca="1">[1]!BexGetData("DP_1","003N8EMH8GTFRIVOG7KG9J9VY","GSON5121212011")</f>
        <v>#NAME?</v>
      </c>
      <c r="Q2484" s="4" t="e">
        <f ca="1">[1]!BexGetData("DP_1","00O2TNJGODT0G5Z4TTKYMM5MT","GSON5121212011")</f>
        <v>#NAME?</v>
      </c>
      <c r="R2484" s="4" t="e">
        <f ca="1">[1]!BexGetData("DP_1","00O2TNJGODT0G5Z4TTKYMMBYD","GSON5121212011")</f>
        <v>#NAME?</v>
      </c>
      <c r="S2484" s="4" t="e">
        <f ca="1">[1]!BexGetData("DP_1","00O2TNJGODT0G5Z4TTKYMMI9X","GSON5121212011")</f>
        <v>#NAME?</v>
      </c>
      <c r="T2484" s="4" t="e">
        <f ca="1">[1]!BexGetData("DP_1","00O2TNJGODT0G5Z4TTKYMMOLH","GSON5121212011")</f>
        <v>#NAME?</v>
      </c>
      <c r="U2484" s="4" t="e">
        <f ca="1">[1]!BexGetData("DP_1","00O2TNJGODT0G5Z4TTKYMMUX1","GSON5121212011")</f>
        <v>#NAME?</v>
      </c>
      <c r="V2484" s="4" t="e">
        <f ca="1">[1]!BexGetData("DP_1","00O2TNJGODT0G5Z4TTKYMN18L","GSON5121212011")</f>
        <v>#NAME?</v>
      </c>
      <c r="W2484" s="4" t="e">
        <f ca="1">[1]!BexGetData("DP_1","00O2TNJGODT0G5Z4TTKYMN7K5","GSON5121212011")</f>
        <v>#NAME?</v>
      </c>
    </row>
    <row r="2485" spans="1:23" x14ac:dyDescent="0.2">
      <c r="A2485" s="16" t="s">
        <v>5150</v>
      </c>
      <c r="B2485" s="7" t="s">
        <v>588</v>
      </c>
      <c r="C2485" s="3" t="e">
        <f ca="1">[1]!BexGetData("DP_1","003N8EMH8GTFRCSWKMPXRR8GU","GSON5121214011")</f>
        <v>#NAME?</v>
      </c>
      <c r="D2485" s="3" t="e">
        <f ca="1">[1]!BexGetData("DP_1","003N8EMH8GTFRCSWKMPXRRESE","GSON5121214011")</f>
        <v>#NAME?</v>
      </c>
      <c r="E2485" s="3" t="e">
        <f ca="1">[1]!BexGetData("DP_1","003N8EMH8GTFRCSWKMPXRRL3Y","GSON5121214011")</f>
        <v>#NAME?</v>
      </c>
      <c r="F2485" s="4" t="e">
        <f ca="1">[1]!BexGetData("DP_1","003N8EMH8GTFRCSWKMPXRRRFI","GSON5121214011")</f>
        <v>#NAME?</v>
      </c>
      <c r="G2485" s="4" t="e">
        <f ca="1">[1]!BexGetData("DP_1","003N8EMH8GTFRCSWKMPXRRXR2","GSON5121214011")</f>
        <v>#NAME?</v>
      </c>
      <c r="H2485" s="4" t="e">
        <f ca="1">[1]!BexGetData("DP_1","003N8EMH8GTFRCSWKMPXRS42M","GSON5121214011")</f>
        <v>#NAME?</v>
      </c>
      <c r="I2485" s="4" t="e">
        <f ca="1">[1]!BexGetData("DP_1","003N8EMH8GTFRCSWKMPXRSAE6","GSON5121214011")</f>
        <v>#NAME?</v>
      </c>
      <c r="J2485" s="4" t="e">
        <f ca="1">[1]!BexGetData("DP_1","003N8EMH8GTFRCSWKMPXRSGPQ","GSON5121214011")</f>
        <v>#NAME?</v>
      </c>
      <c r="K2485" s="3" t="e">
        <f ca="1">[1]!BexGetData("DP_1","003N8EMH8GTFRIVNUPY288VJH","GSON5121214011")</f>
        <v>#NAME?</v>
      </c>
      <c r="L2485" s="3" t="e">
        <f ca="1">[1]!BexGetData("DP_1","003N8EMH8GTFRIVNUPY2891V1","GSON5121214011")</f>
        <v>#NAME?</v>
      </c>
      <c r="M2485" s="8" t="e">
        <f ca="1">[1]!BexGetData("DP_1","003N8EMH8GTFRIVOG7KG9IQXA","GSON5121214011")</f>
        <v>#NAME?</v>
      </c>
      <c r="N2485" s="3" t="e">
        <f ca="1">[1]!BexGetData("DP_1","003N8EMH8GTFRIVOG7KG9IX8U","GSON5121214011")</f>
        <v>#NAME?</v>
      </c>
      <c r="O2485" s="8" t="e">
        <f ca="1">[1]!BexGetData("DP_1","003N8EMH8GTFRIVOG7KG9J3KE","GSON5121214011")</f>
        <v>#NAME?</v>
      </c>
      <c r="P2485" s="3" t="e">
        <f ca="1">[1]!BexGetData("DP_1","003N8EMH8GTFRIVOG7KG9J9VY","GSON5121214011")</f>
        <v>#NAME?</v>
      </c>
      <c r="Q2485" s="4" t="e">
        <f ca="1">[1]!BexGetData("DP_1","00O2TNJGODT0G5Z4TTKYMM5MT","GSON5121214011")</f>
        <v>#NAME?</v>
      </c>
      <c r="R2485" s="4" t="e">
        <f ca="1">[1]!BexGetData("DP_1","00O2TNJGODT0G5Z4TTKYMMBYD","GSON5121214011")</f>
        <v>#NAME?</v>
      </c>
      <c r="S2485" s="4" t="e">
        <f ca="1">[1]!BexGetData("DP_1","00O2TNJGODT0G5Z4TTKYMMI9X","GSON5121214011")</f>
        <v>#NAME?</v>
      </c>
      <c r="T2485" s="4" t="e">
        <f ca="1">[1]!BexGetData("DP_1","00O2TNJGODT0G5Z4TTKYMMOLH","GSON5121214011")</f>
        <v>#NAME?</v>
      </c>
      <c r="U2485" s="4" t="e">
        <f ca="1">[1]!BexGetData("DP_1","00O2TNJGODT0G5Z4TTKYMMUX1","GSON5121214011")</f>
        <v>#NAME?</v>
      </c>
      <c r="V2485" s="4" t="e">
        <f ca="1">[1]!BexGetData("DP_1","00O2TNJGODT0G5Z4TTKYMN18L","GSON5121214011")</f>
        <v>#NAME?</v>
      </c>
      <c r="W2485" s="4" t="e">
        <f ca="1">[1]!BexGetData("DP_1","00O2TNJGODT0G5Z4TTKYMN7K5","GSON5121214011")</f>
        <v>#NAME?</v>
      </c>
    </row>
    <row r="2486" spans="1:23" x14ac:dyDescent="0.2">
      <c r="A2486" s="16" t="s">
        <v>5151</v>
      </c>
      <c r="B2486" s="7" t="s">
        <v>5152</v>
      </c>
      <c r="C2486" s="3" t="e">
        <f ca="1">[1]!BexGetData("DP_1","003N8EMH8GTFRCSWKMPXRR8GU","GSON5121215011")</f>
        <v>#NAME?</v>
      </c>
      <c r="D2486" s="3" t="e">
        <f ca="1">[1]!BexGetData("DP_1","003N8EMH8GTFRCSWKMPXRRESE","GSON5121215011")</f>
        <v>#NAME?</v>
      </c>
      <c r="E2486" s="3" t="e">
        <f ca="1">[1]!BexGetData("DP_1","003N8EMH8GTFRCSWKMPXRRL3Y","GSON5121215011")</f>
        <v>#NAME?</v>
      </c>
      <c r="F2486" s="4" t="e">
        <f ca="1">[1]!BexGetData("DP_1","003N8EMH8GTFRCSWKMPXRRRFI","GSON5121215011")</f>
        <v>#NAME?</v>
      </c>
      <c r="G2486" s="4" t="e">
        <f ca="1">[1]!BexGetData("DP_1","003N8EMH8GTFRCSWKMPXRRXR2","GSON5121215011")</f>
        <v>#NAME?</v>
      </c>
      <c r="H2486" s="4" t="e">
        <f ca="1">[1]!BexGetData("DP_1","003N8EMH8GTFRCSWKMPXRS42M","GSON5121215011")</f>
        <v>#NAME?</v>
      </c>
      <c r="I2486" s="4" t="e">
        <f ca="1">[1]!BexGetData("DP_1","003N8EMH8GTFRCSWKMPXRSAE6","GSON5121215011")</f>
        <v>#NAME?</v>
      </c>
      <c r="J2486" s="4" t="e">
        <f ca="1">[1]!BexGetData("DP_1","003N8EMH8GTFRCSWKMPXRSGPQ","GSON5121215011")</f>
        <v>#NAME?</v>
      </c>
      <c r="K2486" s="3" t="e">
        <f ca="1">[1]!BexGetData("DP_1","003N8EMH8GTFRIVNUPY288VJH","GSON5121215011")</f>
        <v>#NAME?</v>
      </c>
      <c r="L2486" s="3" t="e">
        <f ca="1">[1]!BexGetData("DP_1","003N8EMH8GTFRIVNUPY2891V1","GSON5121215011")</f>
        <v>#NAME?</v>
      </c>
      <c r="M2486" s="8" t="e">
        <f ca="1">[1]!BexGetData("DP_1","003N8EMH8GTFRIVOG7KG9IQXA","GSON5121215011")</f>
        <v>#NAME?</v>
      </c>
      <c r="N2486" s="3" t="e">
        <f ca="1">[1]!BexGetData("DP_1","003N8EMH8GTFRIVOG7KG9IX8U","GSON5121215011")</f>
        <v>#NAME?</v>
      </c>
      <c r="O2486" s="8" t="e">
        <f ca="1">[1]!BexGetData("DP_1","003N8EMH8GTFRIVOG7KG9J3KE","GSON5121215011")</f>
        <v>#NAME?</v>
      </c>
      <c r="P2486" s="3" t="e">
        <f ca="1">[1]!BexGetData("DP_1","003N8EMH8GTFRIVOG7KG9J9VY","GSON5121215011")</f>
        <v>#NAME?</v>
      </c>
      <c r="Q2486" s="4" t="e">
        <f ca="1">[1]!BexGetData("DP_1","00O2TNJGODT0G5Z4TTKYMM5MT","GSON5121215011")</f>
        <v>#NAME?</v>
      </c>
      <c r="R2486" s="4" t="e">
        <f ca="1">[1]!BexGetData("DP_1","00O2TNJGODT0G5Z4TTKYMMBYD","GSON5121215011")</f>
        <v>#NAME?</v>
      </c>
      <c r="S2486" s="4" t="e">
        <f ca="1">[1]!BexGetData("DP_1","00O2TNJGODT0G5Z4TTKYMMI9X","GSON5121215011")</f>
        <v>#NAME?</v>
      </c>
      <c r="T2486" s="4" t="e">
        <f ca="1">[1]!BexGetData("DP_1","00O2TNJGODT0G5Z4TTKYMMOLH","GSON5121215011")</f>
        <v>#NAME?</v>
      </c>
      <c r="U2486" s="4" t="e">
        <f ca="1">[1]!BexGetData("DP_1","00O2TNJGODT0G5Z4TTKYMMUX1","GSON5121215011")</f>
        <v>#NAME?</v>
      </c>
      <c r="V2486" s="4" t="e">
        <f ca="1">[1]!BexGetData("DP_1","00O2TNJGODT0G5Z4TTKYMN18L","GSON5121215011")</f>
        <v>#NAME?</v>
      </c>
      <c r="W2486" s="4" t="e">
        <f ca="1">[1]!BexGetData("DP_1","00O2TNJGODT0G5Z4TTKYMN7K5","GSON5121215011")</f>
        <v>#NAME?</v>
      </c>
    </row>
    <row r="2487" spans="1:23" x14ac:dyDescent="0.2">
      <c r="A2487" s="16" t="s">
        <v>5153</v>
      </c>
      <c r="B2487" s="7" t="s">
        <v>383</v>
      </c>
      <c r="C2487" s="3" t="e">
        <f ca="1">[1]!BexGetData("DP_1","003N8EMH8GTFRCSWKMPXRR8GU","GSON5121216011")</f>
        <v>#NAME?</v>
      </c>
      <c r="D2487" s="3" t="e">
        <f ca="1">[1]!BexGetData("DP_1","003N8EMH8GTFRCSWKMPXRRESE","GSON5121216011")</f>
        <v>#NAME?</v>
      </c>
      <c r="E2487" s="3" t="e">
        <f ca="1">[1]!BexGetData("DP_1","003N8EMH8GTFRCSWKMPXRRL3Y","GSON5121216011")</f>
        <v>#NAME?</v>
      </c>
      <c r="F2487" s="4" t="e">
        <f ca="1">[1]!BexGetData("DP_1","003N8EMH8GTFRCSWKMPXRRRFI","GSON5121216011")</f>
        <v>#NAME?</v>
      </c>
      <c r="G2487" s="4" t="e">
        <f ca="1">[1]!BexGetData("DP_1","003N8EMH8GTFRCSWKMPXRRXR2","GSON5121216011")</f>
        <v>#NAME?</v>
      </c>
      <c r="H2487" s="4" t="e">
        <f ca="1">[1]!BexGetData("DP_1","003N8EMH8GTFRCSWKMPXRS42M","GSON5121216011")</f>
        <v>#NAME?</v>
      </c>
      <c r="I2487" s="4" t="e">
        <f ca="1">[1]!BexGetData("DP_1","003N8EMH8GTFRCSWKMPXRSAE6","GSON5121216011")</f>
        <v>#NAME?</v>
      </c>
      <c r="J2487" s="4" t="e">
        <f ca="1">[1]!BexGetData("DP_1","003N8EMH8GTFRCSWKMPXRSGPQ","GSON5121216011")</f>
        <v>#NAME?</v>
      </c>
      <c r="K2487" s="3" t="e">
        <f ca="1">[1]!BexGetData("DP_1","003N8EMH8GTFRIVNUPY288VJH","GSON5121216011")</f>
        <v>#NAME?</v>
      </c>
      <c r="L2487" s="3" t="e">
        <f ca="1">[1]!BexGetData("DP_1","003N8EMH8GTFRIVNUPY2891V1","GSON5121216011")</f>
        <v>#NAME?</v>
      </c>
      <c r="M2487" s="8" t="e">
        <f ca="1">[1]!BexGetData("DP_1","003N8EMH8GTFRIVOG7KG9IQXA","GSON5121216011")</f>
        <v>#NAME?</v>
      </c>
      <c r="N2487" s="3" t="e">
        <f ca="1">[1]!BexGetData("DP_1","003N8EMH8GTFRIVOG7KG9IX8U","GSON5121216011")</f>
        <v>#NAME?</v>
      </c>
      <c r="O2487" s="8" t="e">
        <f ca="1">[1]!BexGetData("DP_1","003N8EMH8GTFRIVOG7KG9J3KE","GSON5121216011")</f>
        <v>#NAME?</v>
      </c>
      <c r="P2487" s="3" t="e">
        <f ca="1">[1]!BexGetData("DP_1","003N8EMH8GTFRIVOG7KG9J9VY","GSON5121216011")</f>
        <v>#NAME?</v>
      </c>
      <c r="Q2487" s="4" t="e">
        <f ca="1">[1]!BexGetData("DP_1","00O2TNJGODT0G5Z4TTKYMM5MT","GSON5121216011")</f>
        <v>#NAME?</v>
      </c>
      <c r="R2487" s="4" t="e">
        <f ca="1">[1]!BexGetData("DP_1","00O2TNJGODT0G5Z4TTKYMMBYD","GSON5121216011")</f>
        <v>#NAME?</v>
      </c>
      <c r="S2487" s="4" t="e">
        <f ca="1">[1]!BexGetData("DP_1","00O2TNJGODT0G5Z4TTKYMMI9X","GSON5121216011")</f>
        <v>#NAME?</v>
      </c>
      <c r="T2487" s="4" t="e">
        <f ca="1">[1]!BexGetData("DP_1","00O2TNJGODT0G5Z4TTKYMMOLH","GSON5121216011")</f>
        <v>#NAME?</v>
      </c>
      <c r="U2487" s="4" t="e">
        <f ca="1">[1]!BexGetData("DP_1","00O2TNJGODT0G5Z4TTKYMMUX1","GSON5121216011")</f>
        <v>#NAME?</v>
      </c>
      <c r="V2487" s="4" t="e">
        <f ca="1">[1]!BexGetData("DP_1","00O2TNJGODT0G5Z4TTKYMN18L","GSON5121216011")</f>
        <v>#NAME?</v>
      </c>
      <c r="W2487" s="4" t="e">
        <f ca="1">[1]!BexGetData("DP_1","00O2TNJGODT0G5Z4TTKYMN7K5","GSON5121216011")</f>
        <v>#NAME?</v>
      </c>
    </row>
    <row r="2488" spans="1:23" x14ac:dyDescent="0.2">
      <c r="A2488" s="16" t="s">
        <v>5154</v>
      </c>
      <c r="B2488" s="7" t="s">
        <v>1565</v>
      </c>
      <c r="C2488" s="3" t="e">
        <f ca="1">[1]!BexGetData("DP_1","003N8EMH8GTFRCSWKMPXRR8GU","GSON5121217011")</f>
        <v>#NAME?</v>
      </c>
      <c r="D2488" s="8" t="e">
        <f ca="1">[1]!BexGetData("DP_1","003N8EMH8GTFRCSWKMPXRRESE","GSON5121217011")</f>
        <v>#NAME?</v>
      </c>
      <c r="E2488" s="3" t="e">
        <f ca="1">[1]!BexGetData("DP_1","003N8EMH8GTFRCSWKMPXRRL3Y","GSON5121217011")</f>
        <v>#NAME?</v>
      </c>
      <c r="F2488" s="4" t="e">
        <f ca="1">[1]!BexGetData("DP_1","003N8EMH8GTFRCSWKMPXRRRFI","GSON5121217011")</f>
        <v>#NAME?</v>
      </c>
      <c r="G2488" s="4" t="e">
        <f ca="1">[1]!BexGetData("DP_1","003N8EMH8GTFRCSWKMPXRRXR2","GSON5121217011")</f>
        <v>#NAME?</v>
      </c>
      <c r="H2488" s="4" t="e">
        <f ca="1">[1]!BexGetData("DP_1","003N8EMH8GTFRCSWKMPXRS42M","GSON5121217011")</f>
        <v>#NAME?</v>
      </c>
      <c r="I2488" s="4" t="e">
        <f ca="1">[1]!BexGetData("DP_1","003N8EMH8GTFRCSWKMPXRSAE6","GSON5121217011")</f>
        <v>#NAME?</v>
      </c>
      <c r="J2488" s="4" t="e">
        <f ca="1">[1]!BexGetData("DP_1","003N8EMH8GTFRCSWKMPXRSGPQ","GSON5121217011")</f>
        <v>#NAME?</v>
      </c>
      <c r="K2488" s="3" t="e">
        <f ca="1">[1]!BexGetData("DP_1","003N8EMH8GTFRIVNUPY288VJH","GSON5121217011")</f>
        <v>#NAME?</v>
      </c>
      <c r="L2488" s="3" t="e">
        <f ca="1">[1]!BexGetData("DP_1","003N8EMH8GTFRIVNUPY2891V1","GSON5121217011")</f>
        <v>#NAME?</v>
      </c>
      <c r="M2488" s="8" t="e">
        <f ca="1">[1]!BexGetData("DP_1","003N8EMH8GTFRIVOG7KG9IQXA","GSON5121217011")</f>
        <v>#NAME?</v>
      </c>
      <c r="N2488" s="3" t="e">
        <f ca="1">[1]!BexGetData("DP_1","003N8EMH8GTFRIVOG7KG9IX8U","GSON5121217011")</f>
        <v>#NAME?</v>
      </c>
      <c r="O2488" s="8" t="e">
        <f ca="1">[1]!BexGetData("DP_1","003N8EMH8GTFRIVOG7KG9J3KE","GSON5121217011")</f>
        <v>#NAME?</v>
      </c>
      <c r="P2488" s="3" t="e">
        <f ca="1">[1]!BexGetData("DP_1","003N8EMH8GTFRIVOG7KG9J9VY","GSON5121217011")</f>
        <v>#NAME?</v>
      </c>
      <c r="Q2488" s="4" t="e">
        <f ca="1">[1]!BexGetData("DP_1","00O2TNJGODT0G5Z4TTKYMM5MT","GSON5121217011")</f>
        <v>#NAME?</v>
      </c>
      <c r="R2488" s="4" t="e">
        <f ca="1">[1]!BexGetData("DP_1","00O2TNJGODT0G5Z4TTKYMMBYD","GSON5121217011")</f>
        <v>#NAME?</v>
      </c>
      <c r="S2488" s="4" t="e">
        <f ca="1">[1]!BexGetData("DP_1","00O2TNJGODT0G5Z4TTKYMMI9X","GSON5121217011")</f>
        <v>#NAME?</v>
      </c>
      <c r="T2488" s="4" t="e">
        <f ca="1">[1]!BexGetData("DP_1","00O2TNJGODT0G5Z4TTKYMMOLH","GSON5121217011")</f>
        <v>#NAME?</v>
      </c>
      <c r="U2488" s="4" t="e">
        <f ca="1">[1]!BexGetData("DP_1","00O2TNJGODT0G5Z4TTKYMMUX1","GSON5121217011")</f>
        <v>#NAME?</v>
      </c>
      <c r="V2488" s="4" t="e">
        <f ca="1">[1]!BexGetData("DP_1","00O2TNJGODT0G5Z4TTKYMN18L","GSON5121217011")</f>
        <v>#NAME?</v>
      </c>
      <c r="W2488" s="4" t="e">
        <f ca="1">[1]!BexGetData("DP_1","00O2TNJGODT0G5Z4TTKYMN7K5","GSON5121217011")</f>
        <v>#NAME?</v>
      </c>
    </row>
    <row r="2489" spans="1:23" x14ac:dyDescent="0.2">
      <c r="A2489" s="16" t="s">
        <v>5155</v>
      </c>
      <c r="B2489" s="7" t="s">
        <v>1616</v>
      </c>
      <c r="C2489" s="3" t="e">
        <f ca="1">[1]!BexGetData("DP_1","003N8EMH8GTFRCSWKMPXRR8GU","GSON5121217021")</f>
        <v>#NAME?</v>
      </c>
      <c r="D2489" s="8" t="e">
        <f ca="1">[1]!BexGetData("DP_1","003N8EMH8GTFRCSWKMPXRRESE","GSON5121217021")</f>
        <v>#NAME?</v>
      </c>
      <c r="E2489" s="3" t="e">
        <f ca="1">[1]!BexGetData("DP_1","003N8EMH8GTFRCSWKMPXRRL3Y","GSON5121217021")</f>
        <v>#NAME?</v>
      </c>
      <c r="F2489" s="4" t="e">
        <f ca="1">[1]!BexGetData("DP_1","003N8EMH8GTFRCSWKMPXRRRFI","GSON5121217021")</f>
        <v>#NAME?</v>
      </c>
      <c r="G2489" s="4" t="e">
        <f ca="1">[1]!BexGetData("DP_1","003N8EMH8GTFRCSWKMPXRRXR2","GSON5121217021")</f>
        <v>#NAME?</v>
      </c>
      <c r="H2489" s="4" t="e">
        <f ca="1">[1]!BexGetData("DP_1","003N8EMH8GTFRCSWKMPXRS42M","GSON5121217021")</f>
        <v>#NAME?</v>
      </c>
      <c r="I2489" s="4" t="e">
        <f ca="1">[1]!BexGetData("DP_1","003N8EMH8GTFRCSWKMPXRSAE6","GSON5121217021")</f>
        <v>#NAME?</v>
      </c>
      <c r="J2489" s="4" t="e">
        <f ca="1">[1]!BexGetData("DP_1","003N8EMH8GTFRCSWKMPXRSGPQ","GSON5121217021")</f>
        <v>#NAME?</v>
      </c>
      <c r="K2489" s="3" t="e">
        <f ca="1">[1]!BexGetData("DP_1","003N8EMH8GTFRIVNUPY288VJH","GSON5121217021")</f>
        <v>#NAME?</v>
      </c>
      <c r="L2489" s="3" t="e">
        <f ca="1">[1]!BexGetData("DP_1","003N8EMH8GTFRIVNUPY2891V1","GSON5121217021")</f>
        <v>#NAME?</v>
      </c>
      <c r="M2489" s="8" t="e">
        <f ca="1">[1]!BexGetData("DP_1","003N8EMH8GTFRIVOG7KG9IQXA","GSON5121217021")</f>
        <v>#NAME?</v>
      </c>
      <c r="N2489" s="3" t="e">
        <f ca="1">[1]!BexGetData("DP_1","003N8EMH8GTFRIVOG7KG9IX8U","GSON5121217021")</f>
        <v>#NAME?</v>
      </c>
      <c r="O2489" s="8" t="e">
        <f ca="1">[1]!BexGetData("DP_1","003N8EMH8GTFRIVOG7KG9J3KE","GSON5121217021")</f>
        <v>#NAME?</v>
      </c>
      <c r="P2489" s="3" t="e">
        <f ca="1">[1]!BexGetData("DP_1","003N8EMH8GTFRIVOG7KG9J9VY","GSON5121217021")</f>
        <v>#NAME?</v>
      </c>
      <c r="Q2489" s="4" t="e">
        <f ca="1">[1]!BexGetData("DP_1","00O2TNJGODT0G5Z4TTKYMM5MT","GSON5121217021")</f>
        <v>#NAME?</v>
      </c>
      <c r="R2489" s="4" t="e">
        <f ca="1">[1]!BexGetData("DP_1","00O2TNJGODT0G5Z4TTKYMMBYD","GSON5121217021")</f>
        <v>#NAME?</v>
      </c>
      <c r="S2489" s="4" t="e">
        <f ca="1">[1]!BexGetData("DP_1","00O2TNJGODT0G5Z4TTKYMMI9X","GSON5121217021")</f>
        <v>#NAME?</v>
      </c>
      <c r="T2489" s="4" t="e">
        <f ca="1">[1]!BexGetData("DP_1","00O2TNJGODT0G5Z4TTKYMMOLH","GSON5121217021")</f>
        <v>#NAME?</v>
      </c>
      <c r="U2489" s="4" t="e">
        <f ca="1">[1]!BexGetData("DP_1","00O2TNJGODT0G5Z4TTKYMMUX1","GSON5121217021")</f>
        <v>#NAME?</v>
      </c>
      <c r="V2489" s="4" t="e">
        <f ca="1">[1]!BexGetData("DP_1","00O2TNJGODT0G5Z4TTKYMN18L","GSON5121217021")</f>
        <v>#NAME?</v>
      </c>
      <c r="W2489" s="4" t="e">
        <f ca="1">[1]!BexGetData("DP_1","00O2TNJGODT0G5Z4TTKYMN7K5","GSON5121217021")</f>
        <v>#NAME?</v>
      </c>
    </row>
    <row r="2490" spans="1:23" x14ac:dyDescent="0.2">
      <c r="A2490" s="16" t="s">
        <v>5156</v>
      </c>
      <c r="B2490" s="7" t="s">
        <v>5157</v>
      </c>
      <c r="C2490" s="3" t="e">
        <f ca="1">[1]!BexGetData("DP_1","003N8EMH8GTFRCSWKMPXRR8GU","GSON5121218011")</f>
        <v>#NAME?</v>
      </c>
      <c r="D2490" s="3" t="e">
        <f ca="1">[1]!BexGetData("DP_1","003N8EMH8GTFRCSWKMPXRRESE","GSON5121218011")</f>
        <v>#NAME?</v>
      </c>
      <c r="E2490" s="3" t="e">
        <f ca="1">[1]!BexGetData("DP_1","003N8EMH8GTFRCSWKMPXRRL3Y","GSON5121218011")</f>
        <v>#NAME?</v>
      </c>
      <c r="F2490" s="4" t="e">
        <f ca="1">[1]!BexGetData("DP_1","003N8EMH8GTFRCSWKMPXRRRFI","GSON5121218011")</f>
        <v>#NAME?</v>
      </c>
      <c r="G2490" s="4" t="e">
        <f ca="1">[1]!BexGetData("DP_1","003N8EMH8GTFRCSWKMPXRRXR2","GSON5121218011")</f>
        <v>#NAME?</v>
      </c>
      <c r="H2490" s="4" t="e">
        <f ca="1">[1]!BexGetData("DP_1","003N8EMH8GTFRCSWKMPXRS42M","GSON5121218011")</f>
        <v>#NAME?</v>
      </c>
      <c r="I2490" s="4" t="e">
        <f ca="1">[1]!BexGetData("DP_1","003N8EMH8GTFRCSWKMPXRSAE6","GSON5121218011")</f>
        <v>#NAME?</v>
      </c>
      <c r="J2490" s="4" t="e">
        <f ca="1">[1]!BexGetData("DP_1","003N8EMH8GTFRCSWKMPXRSGPQ","GSON5121218011")</f>
        <v>#NAME?</v>
      </c>
      <c r="K2490" s="3" t="e">
        <f ca="1">[1]!BexGetData("DP_1","003N8EMH8GTFRIVNUPY288VJH","GSON5121218011")</f>
        <v>#NAME?</v>
      </c>
      <c r="L2490" s="3" t="e">
        <f ca="1">[1]!BexGetData("DP_1","003N8EMH8GTFRIVNUPY2891V1","GSON5121218011")</f>
        <v>#NAME?</v>
      </c>
      <c r="M2490" s="8" t="e">
        <f ca="1">[1]!BexGetData("DP_1","003N8EMH8GTFRIVOG7KG9IQXA","GSON5121218011")</f>
        <v>#NAME?</v>
      </c>
      <c r="N2490" s="3" t="e">
        <f ca="1">[1]!BexGetData("DP_1","003N8EMH8GTFRIVOG7KG9IX8U","GSON5121218011")</f>
        <v>#NAME?</v>
      </c>
      <c r="O2490" s="8" t="e">
        <f ca="1">[1]!BexGetData("DP_1","003N8EMH8GTFRIVOG7KG9J3KE","GSON5121218011")</f>
        <v>#NAME?</v>
      </c>
      <c r="P2490" s="3" t="e">
        <f ca="1">[1]!BexGetData("DP_1","003N8EMH8GTFRIVOG7KG9J9VY","GSON5121218011")</f>
        <v>#NAME?</v>
      </c>
      <c r="Q2490" s="4" t="e">
        <f ca="1">[1]!BexGetData("DP_1","00O2TNJGODT0G5Z4TTKYMM5MT","GSON5121218011")</f>
        <v>#NAME?</v>
      </c>
      <c r="R2490" s="4" t="e">
        <f ca="1">[1]!BexGetData("DP_1","00O2TNJGODT0G5Z4TTKYMMBYD","GSON5121218011")</f>
        <v>#NAME?</v>
      </c>
      <c r="S2490" s="4" t="e">
        <f ca="1">[1]!BexGetData("DP_1","00O2TNJGODT0G5Z4TTKYMMI9X","GSON5121218011")</f>
        <v>#NAME?</v>
      </c>
      <c r="T2490" s="4" t="e">
        <f ca="1">[1]!BexGetData("DP_1","00O2TNJGODT0G5Z4TTKYMMOLH","GSON5121218011")</f>
        <v>#NAME?</v>
      </c>
      <c r="U2490" s="4" t="e">
        <f ca="1">[1]!BexGetData("DP_1","00O2TNJGODT0G5Z4TTKYMMUX1","GSON5121218011")</f>
        <v>#NAME?</v>
      </c>
      <c r="V2490" s="4" t="e">
        <f ca="1">[1]!BexGetData("DP_1","00O2TNJGODT0G5Z4TTKYMN18L","GSON5121218011")</f>
        <v>#NAME?</v>
      </c>
      <c r="W2490" s="4" t="e">
        <f ca="1">[1]!BexGetData("DP_1","00O2TNJGODT0G5Z4TTKYMN7K5","GSON5121218011")</f>
        <v>#NAME?</v>
      </c>
    </row>
    <row r="2491" spans="1:23" x14ac:dyDescent="0.2">
      <c r="A2491" s="16" t="s">
        <v>5158</v>
      </c>
      <c r="B2491" s="7" t="s">
        <v>5159</v>
      </c>
      <c r="C2491" s="3" t="e">
        <f ca="1">[1]!BexGetData("DP_1","003N8EMH8GTFRCSWKMPXRR8GU","GSON5121218021")</f>
        <v>#NAME?</v>
      </c>
      <c r="D2491" s="3" t="e">
        <f ca="1">[1]!BexGetData("DP_1","003N8EMH8GTFRCSWKMPXRRESE","GSON5121218021")</f>
        <v>#NAME?</v>
      </c>
      <c r="E2491" s="3" t="e">
        <f ca="1">[1]!BexGetData("DP_1","003N8EMH8GTFRCSWKMPXRRL3Y","GSON5121218021")</f>
        <v>#NAME?</v>
      </c>
      <c r="F2491" s="4" t="e">
        <f ca="1">[1]!BexGetData("DP_1","003N8EMH8GTFRCSWKMPXRRRFI","GSON5121218021")</f>
        <v>#NAME?</v>
      </c>
      <c r="G2491" s="4" t="e">
        <f ca="1">[1]!BexGetData("DP_1","003N8EMH8GTFRCSWKMPXRRXR2","GSON5121218021")</f>
        <v>#NAME?</v>
      </c>
      <c r="H2491" s="4" t="e">
        <f ca="1">[1]!BexGetData("DP_1","003N8EMH8GTFRCSWKMPXRS42M","GSON5121218021")</f>
        <v>#NAME?</v>
      </c>
      <c r="I2491" s="4" t="e">
        <f ca="1">[1]!BexGetData("DP_1","003N8EMH8GTFRCSWKMPXRSAE6","GSON5121218021")</f>
        <v>#NAME?</v>
      </c>
      <c r="J2491" s="4" t="e">
        <f ca="1">[1]!BexGetData("DP_1","003N8EMH8GTFRCSWKMPXRSGPQ","GSON5121218021")</f>
        <v>#NAME?</v>
      </c>
      <c r="K2491" s="3" t="e">
        <f ca="1">[1]!BexGetData("DP_1","003N8EMH8GTFRIVNUPY288VJH","GSON5121218021")</f>
        <v>#NAME?</v>
      </c>
      <c r="L2491" s="3" t="e">
        <f ca="1">[1]!BexGetData("DP_1","003N8EMH8GTFRIVNUPY2891V1","GSON5121218021")</f>
        <v>#NAME?</v>
      </c>
      <c r="M2491" s="8" t="e">
        <f ca="1">[1]!BexGetData("DP_1","003N8EMH8GTFRIVOG7KG9IQXA","GSON5121218021")</f>
        <v>#NAME?</v>
      </c>
      <c r="N2491" s="3" t="e">
        <f ca="1">[1]!BexGetData("DP_1","003N8EMH8GTFRIVOG7KG9IX8U","GSON5121218021")</f>
        <v>#NAME?</v>
      </c>
      <c r="O2491" s="8" t="e">
        <f ca="1">[1]!BexGetData("DP_1","003N8EMH8GTFRIVOG7KG9J3KE","GSON5121218021")</f>
        <v>#NAME?</v>
      </c>
      <c r="P2491" s="3" t="e">
        <f ca="1">[1]!BexGetData("DP_1","003N8EMH8GTFRIVOG7KG9J9VY","GSON5121218021")</f>
        <v>#NAME?</v>
      </c>
      <c r="Q2491" s="4" t="e">
        <f ca="1">[1]!BexGetData("DP_1","00O2TNJGODT0G5Z4TTKYMM5MT","GSON5121218021")</f>
        <v>#NAME?</v>
      </c>
      <c r="R2491" s="4" t="e">
        <f ca="1">[1]!BexGetData("DP_1","00O2TNJGODT0G5Z4TTKYMMBYD","GSON5121218021")</f>
        <v>#NAME?</v>
      </c>
      <c r="S2491" s="4" t="e">
        <f ca="1">[1]!BexGetData("DP_1","00O2TNJGODT0G5Z4TTKYMMI9X","GSON5121218021")</f>
        <v>#NAME?</v>
      </c>
      <c r="T2491" s="4" t="e">
        <f ca="1">[1]!BexGetData("DP_1","00O2TNJGODT0G5Z4TTKYMMOLH","GSON5121218021")</f>
        <v>#NAME?</v>
      </c>
      <c r="U2491" s="4" t="e">
        <f ca="1">[1]!BexGetData("DP_1","00O2TNJGODT0G5Z4TTKYMMUX1","GSON5121218021")</f>
        <v>#NAME?</v>
      </c>
      <c r="V2491" s="4" t="e">
        <f ca="1">[1]!BexGetData("DP_1","00O2TNJGODT0G5Z4TTKYMN18L","GSON5121218021")</f>
        <v>#NAME?</v>
      </c>
      <c r="W2491" s="4" t="e">
        <f ca="1">[1]!BexGetData("DP_1","00O2TNJGODT0G5Z4TTKYMN7K5","GSON5121218021")</f>
        <v>#NAME?</v>
      </c>
    </row>
    <row r="2492" spans="1:23" x14ac:dyDescent="0.2">
      <c r="A2492" s="15" t="s">
        <v>5160</v>
      </c>
      <c r="B2492" s="7" t="s">
        <v>5161</v>
      </c>
      <c r="C2492" s="3" t="e">
        <f ca="1">[1]!BexGetData("DP_1","003N8EMH8GTFRCSWKMPXRR8GU","GSON5122")</f>
        <v>#NAME?</v>
      </c>
      <c r="D2492" s="3" t="e">
        <f ca="1">[1]!BexGetData("DP_1","003N8EMH8GTFRCSWKMPXRRESE","GSON5122")</f>
        <v>#NAME?</v>
      </c>
      <c r="E2492" s="3" t="e">
        <f ca="1">[1]!BexGetData("DP_1","003N8EMH8GTFRCSWKMPXRRL3Y","GSON5122")</f>
        <v>#NAME?</v>
      </c>
      <c r="F2492" s="4" t="e">
        <f ca="1">[1]!BexGetData("DP_1","003N8EMH8GTFRCSWKMPXRRRFI","GSON5122")</f>
        <v>#NAME?</v>
      </c>
      <c r="G2492" s="4" t="e">
        <f ca="1">[1]!BexGetData("DP_1","003N8EMH8GTFRCSWKMPXRRXR2","GSON5122")</f>
        <v>#NAME?</v>
      </c>
      <c r="H2492" s="4" t="e">
        <f ca="1">[1]!BexGetData("DP_1","003N8EMH8GTFRCSWKMPXRS42M","GSON5122")</f>
        <v>#NAME?</v>
      </c>
      <c r="I2492" s="4" t="e">
        <f ca="1">[1]!BexGetData("DP_1","003N8EMH8GTFRCSWKMPXRSAE6","GSON5122")</f>
        <v>#NAME?</v>
      </c>
      <c r="J2492" s="4" t="e">
        <f ca="1">[1]!BexGetData("DP_1","003N8EMH8GTFRCSWKMPXRSGPQ","GSON5122")</f>
        <v>#NAME?</v>
      </c>
      <c r="K2492" s="3" t="e">
        <f ca="1">[1]!BexGetData("DP_1","003N8EMH8GTFRIVNUPY288VJH","GSON5122")</f>
        <v>#NAME?</v>
      </c>
      <c r="L2492" s="3" t="e">
        <f ca="1">[1]!BexGetData("DP_1","003N8EMH8GTFRIVNUPY2891V1","GSON5122")</f>
        <v>#NAME?</v>
      </c>
      <c r="M2492" s="8" t="e">
        <f ca="1">[1]!BexGetData("DP_1","003N8EMH8GTFRIVOG7KG9IQXA","GSON5122")</f>
        <v>#NAME?</v>
      </c>
      <c r="N2492" s="3" t="e">
        <f ca="1">[1]!BexGetData("DP_1","003N8EMH8GTFRIVOG7KG9IX8U","GSON5122")</f>
        <v>#NAME?</v>
      </c>
      <c r="O2492" s="8" t="e">
        <f ca="1">[1]!BexGetData("DP_1","003N8EMH8GTFRIVOG7KG9J3KE","GSON5122")</f>
        <v>#NAME?</v>
      </c>
      <c r="P2492" s="3" t="e">
        <f ca="1">[1]!BexGetData("DP_1","003N8EMH8GTFRIVOG7KG9J9VY","GSON5122")</f>
        <v>#NAME?</v>
      </c>
      <c r="Q2492" s="4" t="e">
        <f ca="1">[1]!BexGetData("DP_1","00O2TNJGODT0G5Z4TTKYMM5MT","GSON5122")</f>
        <v>#NAME?</v>
      </c>
      <c r="R2492" s="4" t="e">
        <f ca="1">[1]!BexGetData("DP_1","00O2TNJGODT0G5Z4TTKYMMBYD","GSON5122")</f>
        <v>#NAME?</v>
      </c>
      <c r="S2492" s="4" t="e">
        <f ca="1">[1]!BexGetData("DP_1","00O2TNJGODT0G5Z4TTKYMMI9X","GSON5122")</f>
        <v>#NAME?</v>
      </c>
      <c r="T2492" s="4" t="e">
        <f ca="1">[1]!BexGetData("DP_1","00O2TNJGODT0G5Z4TTKYMMOLH","GSON5122")</f>
        <v>#NAME?</v>
      </c>
      <c r="U2492" s="4" t="e">
        <f ca="1">[1]!BexGetData("DP_1","00O2TNJGODT0G5Z4TTKYMMUX1","GSON5122")</f>
        <v>#NAME?</v>
      </c>
      <c r="V2492" s="4" t="e">
        <f ca="1">[1]!BexGetData("DP_1","00O2TNJGODT0G5Z4TTKYMN18L","GSON5122")</f>
        <v>#NAME?</v>
      </c>
      <c r="W2492" s="4" t="e">
        <f ca="1">[1]!BexGetData("DP_1","00O2TNJGODT0G5Z4TTKYMN7K5","GSON5122")</f>
        <v>#NAME?</v>
      </c>
    </row>
    <row r="2493" spans="1:23" x14ac:dyDescent="0.2">
      <c r="A2493" s="16" t="s">
        <v>5162</v>
      </c>
      <c r="B2493" s="7" t="s">
        <v>5163</v>
      </c>
      <c r="C2493" s="3" t="e">
        <f ca="1">[1]!BexGetData("DP_1","003N8EMH8GTFRCSWKMPXRR8GU","GSON5122221011")</f>
        <v>#NAME?</v>
      </c>
      <c r="D2493" s="3" t="e">
        <f ca="1">[1]!BexGetData("DP_1","003N8EMH8GTFRCSWKMPXRRESE","GSON5122221011")</f>
        <v>#NAME?</v>
      </c>
      <c r="E2493" s="3" t="e">
        <f ca="1">[1]!BexGetData("DP_1","003N8EMH8GTFRCSWKMPXRRL3Y","GSON5122221011")</f>
        <v>#NAME?</v>
      </c>
      <c r="F2493" s="4" t="e">
        <f ca="1">[1]!BexGetData("DP_1","003N8EMH8GTFRCSWKMPXRRRFI","GSON5122221011")</f>
        <v>#NAME?</v>
      </c>
      <c r="G2493" s="4" t="e">
        <f ca="1">[1]!BexGetData("DP_1","003N8EMH8GTFRCSWKMPXRRXR2","GSON5122221011")</f>
        <v>#NAME?</v>
      </c>
      <c r="H2493" s="4" t="e">
        <f ca="1">[1]!BexGetData("DP_1","003N8EMH8GTFRCSWKMPXRS42M","GSON5122221011")</f>
        <v>#NAME?</v>
      </c>
      <c r="I2493" s="4" t="e">
        <f ca="1">[1]!BexGetData("DP_1","003N8EMH8GTFRCSWKMPXRSAE6","GSON5122221011")</f>
        <v>#NAME?</v>
      </c>
      <c r="J2493" s="4" t="e">
        <f ca="1">[1]!BexGetData("DP_1","003N8EMH8GTFRCSWKMPXRSGPQ","GSON5122221011")</f>
        <v>#NAME?</v>
      </c>
      <c r="K2493" s="3" t="e">
        <f ca="1">[1]!BexGetData("DP_1","003N8EMH8GTFRIVNUPY288VJH","GSON5122221011")</f>
        <v>#NAME?</v>
      </c>
      <c r="L2493" s="3" t="e">
        <f ca="1">[1]!BexGetData("DP_1","003N8EMH8GTFRIVNUPY2891V1","GSON5122221011")</f>
        <v>#NAME?</v>
      </c>
      <c r="M2493" s="8" t="e">
        <f ca="1">[1]!BexGetData("DP_1","003N8EMH8GTFRIVOG7KG9IQXA","GSON5122221011")</f>
        <v>#NAME?</v>
      </c>
      <c r="N2493" s="3" t="e">
        <f ca="1">[1]!BexGetData("DP_1","003N8EMH8GTFRIVOG7KG9IX8U","GSON5122221011")</f>
        <v>#NAME?</v>
      </c>
      <c r="O2493" s="8" t="e">
        <f ca="1">[1]!BexGetData("DP_1","003N8EMH8GTFRIVOG7KG9J3KE","GSON5122221011")</f>
        <v>#NAME?</v>
      </c>
      <c r="P2493" s="3" t="e">
        <f ca="1">[1]!BexGetData("DP_1","003N8EMH8GTFRIVOG7KG9J9VY","GSON5122221011")</f>
        <v>#NAME?</v>
      </c>
      <c r="Q2493" s="4" t="e">
        <f ca="1">[1]!BexGetData("DP_1","00O2TNJGODT0G5Z4TTKYMM5MT","GSON5122221011")</f>
        <v>#NAME?</v>
      </c>
      <c r="R2493" s="4" t="e">
        <f ca="1">[1]!BexGetData("DP_1","00O2TNJGODT0G5Z4TTKYMMBYD","GSON5122221011")</f>
        <v>#NAME?</v>
      </c>
      <c r="S2493" s="4" t="e">
        <f ca="1">[1]!BexGetData("DP_1","00O2TNJGODT0G5Z4TTKYMMI9X","GSON5122221011")</f>
        <v>#NAME?</v>
      </c>
      <c r="T2493" s="4" t="e">
        <f ca="1">[1]!BexGetData("DP_1","00O2TNJGODT0G5Z4TTKYMMOLH","GSON5122221011")</f>
        <v>#NAME?</v>
      </c>
      <c r="U2493" s="4" t="e">
        <f ca="1">[1]!BexGetData("DP_1","00O2TNJGODT0G5Z4TTKYMMUX1","GSON5122221011")</f>
        <v>#NAME?</v>
      </c>
      <c r="V2493" s="4" t="e">
        <f ca="1">[1]!BexGetData("DP_1","00O2TNJGODT0G5Z4TTKYMN18L","GSON5122221011")</f>
        <v>#NAME?</v>
      </c>
      <c r="W2493" s="4" t="e">
        <f ca="1">[1]!BexGetData("DP_1","00O2TNJGODT0G5Z4TTKYMN7K5","GSON5122221011")</f>
        <v>#NAME?</v>
      </c>
    </row>
    <row r="2494" spans="1:23" x14ac:dyDescent="0.2">
      <c r="A2494" s="16" t="s">
        <v>5164</v>
      </c>
      <c r="B2494" s="7" t="s">
        <v>5165</v>
      </c>
      <c r="C2494" s="3" t="e">
        <f ca="1">[1]!BexGetData("DP_1","003N8EMH8GTFRCSWKMPXRR8GU","GSON5122221021")</f>
        <v>#NAME?</v>
      </c>
      <c r="D2494" s="3" t="e">
        <f ca="1">[1]!BexGetData("DP_1","003N8EMH8GTFRCSWKMPXRRESE","GSON5122221021")</f>
        <v>#NAME?</v>
      </c>
      <c r="E2494" s="3" t="e">
        <f ca="1">[1]!BexGetData("DP_1","003N8EMH8GTFRCSWKMPXRRL3Y","GSON5122221021")</f>
        <v>#NAME?</v>
      </c>
      <c r="F2494" s="4" t="e">
        <f ca="1">[1]!BexGetData("DP_1","003N8EMH8GTFRCSWKMPXRRRFI","GSON5122221021")</f>
        <v>#NAME?</v>
      </c>
      <c r="G2494" s="4" t="e">
        <f ca="1">[1]!BexGetData("DP_1","003N8EMH8GTFRCSWKMPXRRXR2","GSON5122221021")</f>
        <v>#NAME?</v>
      </c>
      <c r="H2494" s="4" t="e">
        <f ca="1">[1]!BexGetData("DP_1","003N8EMH8GTFRCSWKMPXRS42M","GSON5122221021")</f>
        <v>#NAME?</v>
      </c>
      <c r="I2494" s="4" t="e">
        <f ca="1">[1]!BexGetData("DP_1","003N8EMH8GTFRCSWKMPXRSAE6","GSON5122221021")</f>
        <v>#NAME?</v>
      </c>
      <c r="J2494" s="4" t="e">
        <f ca="1">[1]!BexGetData("DP_1","003N8EMH8GTFRCSWKMPXRSGPQ","GSON5122221021")</f>
        <v>#NAME?</v>
      </c>
      <c r="K2494" s="3" t="e">
        <f ca="1">[1]!BexGetData("DP_1","003N8EMH8GTFRIVNUPY288VJH","GSON5122221021")</f>
        <v>#NAME?</v>
      </c>
      <c r="L2494" s="3" t="e">
        <f ca="1">[1]!BexGetData("DP_1","003N8EMH8GTFRIVNUPY2891V1","GSON5122221021")</f>
        <v>#NAME?</v>
      </c>
      <c r="M2494" s="8" t="e">
        <f ca="1">[1]!BexGetData("DP_1","003N8EMH8GTFRIVOG7KG9IQXA","GSON5122221021")</f>
        <v>#NAME?</v>
      </c>
      <c r="N2494" s="3" t="e">
        <f ca="1">[1]!BexGetData("DP_1","003N8EMH8GTFRIVOG7KG9IX8U","GSON5122221021")</f>
        <v>#NAME?</v>
      </c>
      <c r="O2494" s="8" t="e">
        <f ca="1">[1]!BexGetData("DP_1","003N8EMH8GTFRIVOG7KG9J3KE","GSON5122221021")</f>
        <v>#NAME?</v>
      </c>
      <c r="P2494" s="3" t="e">
        <f ca="1">[1]!BexGetData("DP_1","003N8EMH8GTFRIVOG7KG9J9VY","GSON5122221021")</f>
        <v>#NAME?</v>
      </c>
      <c r="Q2494" s="4" t="e">
        <f ca="1">[1]!BexGetData("DP_1","00O2TNJGODT0G5Z4TTKYMM5MT","GSON5122221021")</f>
        <v>#NAME?</v>
      </c>
      <c r="R2494" s="4" t="e">
        <f ca="1">[1]!BexGetData("DP_1","00O2TNJGODT0G5Z4TTKYMMBYD","GSON5122221021")</f>
        <v>#NAME?</v>
      </c>
      <c r="S2494" s="4" t="e">
        <f ca="1">[1]!BexGetData("DP_1","00O2TNJGODT0G5Z4TTKYMMI9X","GSON5122221021")</f>
        <v>#NAME?</v>
      </c>
      <c r="T2494" s="4" t="e">
        <f ca="1">[1]!BexGetData("DP_1","00O2TNJGODT0G5Z4TTKYMMOLH","GSON5122221021")</f>
        <v>#NAME?</v>
      </c>
      <c r="U2494" s="4" t="e">
        <f ca="1">[1]!BexGetData("DP_1","00O2TNJGODT0G5Z4TTKYMMUX1","GSON5122221021")</f>
        <v>#NAME?</v>
      </c>
      <c r="V2494" s="4" t="e">
        <f ca="1">[1]!BexGetData("DP_1","00O2TNJGODT0G5Z4TTKYMN18L","GSON5122221021")</f>
        <v>#NAME?</v>
      </c>
      <c r="W2494" s="4" t="e">
        <f ca="1">[1]!BexGetData("DP_1","00O2TNJGODT0G5Z4TTKYMN7K5","GSON5122221021")</f>
        <v>#NAME?</v>
      </c>
    </row>
    <row r="2495" spans="1:23" x14ac:dyDescent="0.2">
      <c r="A2495" s="16" t="s">
        <v>5166</v>
      </c>
      <c r="B2495" s="7" t="s">
        <v>5167</v>
      </c>
      <c r="C2495" s="3" t="e">
        <f ca="1">[1]!BexGetData("DP_1","003N8EMH8GTFRCSWKMPXRR8GU","GSON5122221041")</f>
        <v>#NAME?</v>
      </c>
      <c r="D2495" s="3" t="e">
        <f ca="1">[1]!BexGetData("DP_1","003N8EMH8GTFRCSWKMPXRRESE","GSON5122221041")</f>
        <v>#NAME?</v>
      </c>
      <c r="E2495" s="3" t="e">
        <f ca="1">[1]!BexGetData("DP_1","003N8EMH8GTFRCSWKMPXRRL3Y","GSON5122221041")</f>
        <v>#NAME?</v>
      </c>
      <c r="F2495" s="4" t="e">
        <f ca="1">[1]!BexGetData("DP_1","003N8EMH8GTFRCSWKMPXRRRFI","GSON5122221041")</f>
        <v>#NAME?</v>
      </c>
      <c r="G2495" s="4" t="e">
        <f ca="1">[1]!BexGetData("DP_1","003N8EMH8GTFRCSWKMPXRRXR2","GSON5122221041")</f>
        <v>#NAME?</v>
      </c>
      <c r="H2495" s="4" t="e">
        <f ca="1">[1]!BexGetData("DP_1","003N8EMH8GTFRCSWKMPXRS42M","GSON5122221041")</f>
        <v>#NAME?</v>
      </c>
      <c r="I2495" s="4" t="e">
        <f ca="1">[1]!BexGetData("DP_1","003N8EMH8GTFRCSWKMPXRSAE6","GSON5122221041")</f>
        <v>#NAME?</v>
      </c>
      <c r="J2495" s="4" t="e">
        <f ca="1">[1]!BexGetData("DP_1","003N8EMH8GTFRCSWKMPXRSGPQ","GSON5122221041")</f>
        <v>#NAME?</v>
      </c>
      <c r="K2495" s="3" t="e">
        <f ca="1">[1]!BexGetData("DP_1","003N8EMH8GTFRIVNUPY288VJH","GSON5122221041")</f>
        <v>#NAME?</v>
      </c>
      <c r="L2495" s="3" t="e">
        <f ca="1">[1]!BexGetData("DP_1","003N8EMH8GTFRIVNUPY2891V1","GSON5122221041")</f>
        <v>#NAME?</v>
      </c>
      <c r="M2495" s="8" t="e">
        <f ca="1">[1]!BexGetData("DP_1","003N8EMH8GTFRIVOG7KG9IQXA","GSON5122221041")</f>
        <v>#NAME?</v>
      </c>
      <c r="N2495" s="3" t="e">
        <f ca="1">[1]!BexGetData("DP_1","003N8EMH8GTFRIVOG7KG9IX8U","GSON5122221041")</f>
        <v>#NAME?</v>
      </c>
      <c r="O2495" s="8" t="e">
        <f ca="1">[1]!BexGetData("DP_1","003N8EMH8GTFRIVOG7KG9J3KE","GSON5122221041")</f>
        <v>#NAME?</v>
      </c>
      <c r="P2495" s="3" t="e">
        <f ca="1">[1]!BexGetData("DP_1","003N8EMH8GTFRIVOG7KG9J9VY","GSON5122221041")</f>
        <v>#NAME?</v>
      </c>
      <c r="Q2495" s="4" t="e">
        <f ca="1">[1]!BexGetData("DP_1","00O2TNJGODT0G5Z4TTKYMM5MT","GSON5122221041")</f>
        <v>#NAME?</v>
      </c>
      <c r="R2495" s="4" t="e">
        <f ca="1">[1]!BexGetData("DP_1","00O2TNJGODT0G5Z4TTKYMMBYD","GSON5122221041")</f>
        <v>#NAME?</v>
      </c>
      <c r="S2495" s="4" t="e">
        <f ca="1">[1]!BexGetData("DP_1","00O2TNJGODT0G5Z4TTKYMMI9X","GSON5122221041")</f>
        <v>#NAME?</v>
      </c>
      <c r="T2495" s="4" t="e">
        <f ca="1">[1]!BexGetData("DP_1","00O2TNJGODT0G5Z4TTKYMMOLH","GSON5122221041")</f>
        <v>#NAME?</v>
      </c>
      <c r="U2495" s="4" t="e">
        <f ca="1">[1]!BexGetData("DP_1","00O2TNJGODT0G5Z4TTKYMMUX1","GSON5122221041")</f>
        <v>#NAME?</v>
      </c>
      <c r="V2495" s="4" t="e">
        <f ca="1">[1]!BexGetData("DP_1","00O2TNJGODT0G5Z4TTKYMN18L","GSON5122221041")</f>
        <v>#NAME?</v>
      </c>
      <c r="W2495" s="4" t="e">
        <f ca="1">[1]!BexGetData("DP_1","00O2TNJGODT0G5Z4TTKYMN7K5","GSON5122221041")</f>
        <v>#NAME?</v>
      </c>
    </row>
    <row r="2496" spans="1:23" x14ac:dyDescent="0.2">
      <c r="A2496" s="16" t="s">
        <v>5168</v>
      </c>
      <c r="B2496" s="7" t="s">
        <v>5169</v>
      </c>
      <c r="C2496" s="3" t="e">
        <f ca="1">[1]!BexGetData("DP_1","003N8EMH8GTFRCSWKMPXRR8GU","GSON5122221051")</f>
        <v>#NAME?</v>
      </c>
      <c r="D2496" s="3" t="e">
        <f ca="1">[1]!BexGetData("DP_1","003N8EMH8GTFRCSWKMPXRRESE","GSON5122221051")</f>
        <v>#NAME?</v>
      </c>
      <c r="E2496" s="3" t="e">
        <f ca="1">[1]!BexGetData("DP_1","003N8EMH8GTFRCSWKMPXRRL3Y","GSON5122221051")</f>
        <v>#NAME?</v>
      </c>
      <c r="F2496" s="4" t="e">
        <f ca="1">[1]!BexGetData("DP_1","003N8EMH8GTFRCSWKMPXRRRFI","GSON5122221051")</f>
        <v>#NAME?</v>
      </c>
      <c r="G2496" s="4" t="e">
        <f ca="1">[1]!BexGetData("DP_1","003N8EMH8GTFRCSWKMPXRRXR2","GSON5122221051")</f>
        <v>#NAME?</v>
      </c>
      <c r="H2496" s="4" t="e">
        <f ca="1">[1]!BexGetData("DP_1","003N8EMH8GTFRCSWKMPXRS42M","GSON5122221051")</f>
        <v>#NAME?</v>
      </c>
      <c r="I2496" s="4" t="e">
        <f ca="1">[1]!BexGetData("DP_1","003N8EMH8GTFRCSWKMPXRSAE6","GSON5122221051")</f>
        <v>#NAME?</v>
      </c>
      <c r="J2496" s="4" t="e">
        <f ca="1">[1]!BexGetData("DP_1","003N8EMH8GTFRCSWKMPXRSGPQ","GSON5122221051")</f>
        <v>#NAME?</v>
      </c>
      <c r="K2496" s="3" t="e">
        <f ca="1">[1]!BexGetData("DP_1","003N8EMH8GTFRIVNUPY288VJH","GSON5122221051")</f>
        <v>#NAME?</v>
      </c>
      <c r="L2496" s="3" t="e">
        <f ca="1">[1]!BexGetData("DP_1","003N8EMH8GTFRIVNUPY2891V1","GSON5122221051")</f>
        <v>#NAME?</v>
      </c>
      <c r="M2496" s="8" t="e">
        <f ca="1">[1]!BexGetData("DP_1","003N8EMH8GTFRIVOG7KG9IQXA","GSON5122221051")</f>
        <v>#NAME?</v>
      </c>
      <c r="N2496" s="3" t="e">
        <f ca="1">[1]!BexGetData("DP_1","003N8EMH8GTFRIVOG7KG9IX8U","GSON5122221051")</f>
        <v>#NAME?</v>
      </c>
      <c r="O2496" s="8" t="e">
        <f ca="1">[1]!BexGetData("DP_1","003N8EMH8GTFRIVOG7KG9J3KE","GSON5122221051")</f>
        <v>#NAME?</v>
      </c>
      <c r="P2496" s="3" t="e">
        <f ca="1">[1]!BexGetData("DP_1","003N8EMH8GTFRIVOG7KG9J9VY","GSON5122221051")</f>
        <v>#NAME?</v>
      </c>
      <c r="Q2496" s="4" t="e">
        <f ca="1">[1]!BexGetData("DP_1","00O2TNJGODT0G5Z4TTKYMM5MT","GSON5122221051")</f>
        <v>#NAME?</v>
      </c>
      <c r="R2496" s="4" t="e">
        <f ca="1">[1]!BexGetData("DP_1","00O2TNJGODT0G5Z4TTKYMMBYD","GSON5122221051")</f>
        <v>#NAME?</v>
      </c>
      <c r="S2496" s="4" t="e">
        <f ca="1">[1]!BexGetData("DP_1","00O2TNJGODT0G5Z4TTKYMMI9X","GSON5122221051")</f>
        <v>#NAME?</v>
      </c>
      <c r="T2496" s="4" t="e">
        <f ca="1">[1]!BexGetData("DP_1","00O2TNJGODT0G5Z4TTKYMMOLH","GSON5122221051")</f>
        <v>#NAME?</v>
      </c>
      <c r="U2496" s="4" t="e">
        <f ca="1">[1]!BexGetData("DP_1","00O2TNJGODT0G5Z4TTKYMMUX1","GSON5122221051")</f>
        <v>#NAME?</v>
      </c>
      <c r="V2496" s="4" t="e">
        <f ca="1">[1]!BexGetData("DP_1","00O2TNJGODT0G5Z4TTKYMN18L","GSON5122221051")</f>
        <v>#NAME?</v>
      </c>
      <c r="W2496" s="4" t="e">
        <f ca="1">[1]!BexGetData("DP_1","00O2TNJGODT0G5Z4TTKYMN7K5","GSON5122221051")</f>
        <v>#NAME?</v>
      </c>
    </row>
    <row r="2497" spans="1:23" x14ac:dyDescent="0.2">
      <c r="A2497" s="16" t="s">
        <v>5170</v>
      </c>
      <c r="B2497" s="7" t="s">
        <v>5171</v>
      </c>
      <c r="C2497" s="3" t="e">
        <f ca="1">[1]!BexGetData("DP_1","003N8EMH8GTFRCSWKMPXRR8GU","GSON5122221061")</f>
        <v>#NAME?</v>
      </c>
      <c r="D2497" s="3" t="e">
        <f ca="1">[1]!BexGetData("DP_1","003N8EMH8GTFRCSWKMPXRRESE","GSON5122221061")</f>
        <v>#NAME?</v>
      </c>
      <c r="E2497" s="3" t="e">
        <f ca="1">[1]!BexGetData("DP_1","003N8EMH8GTFRCSWKMPXRRL3Y","GSON5122221061")</f>
        <v>#NAME?</v>
      </c>
      <c r="F2497" s="4" t="e">
        <f ca="1">[1]!BexGetData("DP_1","003N8EMH8GTFRCSWKMPXRRRFI","GSON5122221061")</f>
        <v>#NAME?</v>
      </c>
      <c r="G2497" s="4" t="e">
        <f ca="1">[1]!BexGetData("DP_1","003N8EMH8GTFRCSWKMPXRRXR2","GSON5122221061")</f>
        <v>#NAME?</v>
      </c>
      <c r="H2497" s="4" t="e">
        <f ca="1">[1]!BexGetData("DP_1","003N8EMH8GTFRCSWKMPXRS42M","GSON5122221061")</f>
        <v>#NAME?</v>
      </c>
      <c r="I2497" s="4" t="e">
        <f ca="1">[1]!BexGetData("DP_1","003N8EMH8GTFRCSWKMPXRSAE6","GSON5122221061")</f>
        <v>#NAME?</v>
      </c>
      <c r="J2497" s="4" t="e">
        <f ca="1">[1]!BexGetData("DP_1","003N8EMH8GTFRCSWKMPXRSGPQ","GSON5122221061")</f>
        <v>#NAME?</v>
      </c>
      <c r="K2497" s="3" t="e">
        <f ca="1">[1]!BexGetData("DP_1","003N8EMH8GTFRIVNUPY288VJH","GSON5122221061")</f>
        <v>#NAME?</v>
      </c>
      <c r="L2497" s="3" t="e">
        <f ca="1">[1]!BexGetData("DP_1","003N8EMH8GTFRIVNUPY2891V1","GSON5122221061")</f>
        <v>#NAME?</v>
      </c>
      <c r="M2497" s="8" t="e">
        <f ca="1">[1]!BexGetData("DP_1","003N8EMH8GTFRIVOG7KG9IQXA","GSON5122221061")</f>
        <v>#NAME?</v>
      </c>
      <c r="N2497" s="3" t="e">
        <f ca="1">[1]!BexGetData("DP_1","003N8EMH8GTFRIVOG7KG9IX8U","GSON5122221061")</f>
        <v>#NAME?</v>
      </c>
      <c r="O2497" s="8" t="e">
        <f ca="1">[1]!BexGetData("DP_1","003N8EMH8GTFRIVOG7KG9J3KE","GSON5122221061")</f>
        <v>#NAME?</v>
      </c>
      <c r="P2497" s="3" t="e">
        <f ca="1">[1]!BexGetData("DP_1","003N8EMH8GTFRIVOG7KG9J9VY","GSON5122221061")</f>
        <v>#NAME?</v>
      </c>
      <c r="Q2497" s="4" t="e">
        <f ca="1">[1]!BexGetData("DP_1","00O2TNJGODT0G5Z4TTKYMM5MT","GSON5122221061")</f>
        <v>#NAME?</v>
      </c>
      <c r="R2497" s="4" t="e">
        <f ca="1">[1]!BexGetData("DP_1","00O2TNJGODT0G5Z4TTKYMMBYD","GSON5122221061")</f>
        <v>#NAME?</v>
      </c>
      <c r="S2497" s="4" t="e">
        <f ca="1">[1]!BexGetData("DP_1","00O2TNJGODT0G5Z4TTKYMMI9X","GSON5122221061")</f>
        <v>#NAME?</v>
      </c>
      <c r="T2497" s="4" t="e">
        <f ca="1">[1]!BexGetData("DP_1","00O2TNJGODT0G5Z4TTKYMMOLH","GSON5122221061")</f>
        <v>#NAME?</v>
      </c>
      <c r="U2497" s="4" t="e">
        <f ca="1">[1]!BexGetData("DP_1","00O2TNJGODT0G5Z4TTKYMMUX1","GSON5122221061")</f>
        <v>#NAME?</v>
      </c>
      <c r="V2497" s="4" t="e">
        <f ca="1">[1]!BexGetData("DP_1","00O2TNJGODT0G5Z4TTKYMN18L","GSON5122221061")</f>
        <v>#NAME?</v>
      </c>
      <c r="W2497" s="4" t="e">
        <f ca="1">[1]!BexGetData("DP_1","00O2TNJGODT0G5Z4TTKYMN7K5","GSON5122221061")</f>
        <v>#NAME?</v>
      </c>
    </row>
    <row r="2498" spans="1:23" x14ac:dyDescent="0.2">
      <c r="A2498" s="16" t="s">
        <v>5172</v>
      </c>
      <c r="B2498" s="7" t="s">
        <v>5173</v>
      </c>
      <c r="C2498" s="3" t="e">
        <f ca="1">[1]!BexGetData("DP_1","003N8EMH8GTFRCSWKMPXRR8GU","GSON5122221081")</f>
        <v>#NAME?</v>
      </c>
      <c r="D2498" s="3" t="e">
        <f ca="1">[1]!BexGetData("DP_1","003N8EMH8GTFRCSWKMPXRRESE","GSON5122221081")</f>
        <v>#NAME?</v>
      </c>
      <c r="E2498" s="3" t="e">
        <f ca="1">[1]!BexGetData("DP_1","003N8EMH8GTFRCSWKMPXRRL3Y","GSON5122221081")</f>
        <v>#NAME?</v>
      </c>
      <c r="F2498" s="4" t="e">
        <f ca="1">[1]!BexGetData("DP_1","003N8EMH8GTFRCSWKMPXRRRFI","GSON5122221081")</f>
        <v>#NAME?</v>
      </c>
      <c r="G2498" s="4" t="e">
        <f ca="1">[1]!BexGetData("DP_1","003N8EMH8GTFRCSWKMPXRRXR2","GSON5122221081")</f>
        <v>#NAME?</v>
      </c>
      <c r="H2498" s="4" t="e">
        <f ca="1">[1]!BexGetData("DP_1","003N8EMH8GTFRCSWKMPXRS42M","GSON5122221081")</f>
        <v>#NAME?</v>
      </c>
      <c r="I2498" s="4" t="e">
        <f ca="1">[1]!BexGetData("DP_1","003N8EMH8GTFRCSWKMPXRSAE6","GSON5122221081")</f>
        <v>#NAME?</v>
      </c>
      <c r="J2498" s="4" t="e">
        <f ca="1">[1]!BexGetData("DP_1","003N8EMH8GTFRCSWKMPXRSGPQ","GSON5122221081")</f>
        <v>#NAME?</v>
      </c>
      <c r="K2498" s="3" t="e">
        <f ca="1">[1]!BexGetData("DP_1","003N8EMH8GTFRIVNUPY288VJH","GSON5122221081")</f>
        <v>#NAME?</v>
      </c>
      <c r="L2498" s="3" t="e">
        <f ca="1">[1]!BexGetData("DP_1","003N8EMH8GTFRIVNUPY2891V1","GSON5122221081")</f>
        <v>#NAME?</v>
      </c>
      <c r="M2498" s="8" t="e">
        <f ca="1">[1]!BexGetData("DP_1","003N8EMH8GTFRIVOG7KG9IQXA","GSON5122221081")</f>
        <v>#NAME?</v>
      </c>
      <c r="N2498" s="3" t="e">
        <f ca="1">[1]!BexGetData("DP_1","003N8EMH8GTFRIVOG7KG9IX8U","GSON5122221081")</f>
        <v>#NAME?</v>
      </c>
      <c r="O2498" s="8" t="e">
        <f ca="1">[1]!BexGetData("DP_1","003N8EMH8GTFRIVOG7KG9J3KE","GSON5122221081")</f>
        <v>#NAME?</v>
      </c>
      <c r="P2498" s="3" t="e">
        <f ca="1">[1]!BexGetData("DP_1","003N8EMH8GTFRIVOG7KG9J9VY","GSON5122221081")</f>
        <v>#NAME?</v>
      </c>
      <c r="Q2498" s="4" t="e">
        <f ca="1">[1]!BexGetData("DP_1","00O2TNJGODT0G5Z4TTKYMM5MT","GSON5122221081")</f>
        <v>#NAME?</v>
      </c>
      <c r="R2498" s="4" t="e">
        <f ca="1">[1]!BexGetData("DP_1","00O2TNJGODT0G5Z4TTKYMMBYD","GSON5122221081")</f>
        <v>#NAME?</v>
      </c>
      <c r="S2498" s="4" t="e">
        <f ca="1">[1]!BexGetData("DP_1","00O2TNJGODT0G5Z4TTKYMMI9X","GSON5122221081")</f>
        <v>#NAME?</v>
      </c>
      <c r="T2498" s="4" t="e">
        <f ca="1">[1]!BexGetData("DP_1","00O2TNJGODT0G5Z4TTKYMMOLH","GSON5122221081")</f>
        <v>#NAME?</v>
      </c>
      <c r="U2498" s="4" t="e">
        <f ca="1">[1]!BexGetData("DP_1","00O2TNJGODT0G5Z4TTKYMMUX1","GSON5122221081")</f>
        <v>#NAME?</v>
      </c>
      <c r="V2498" s="4" t="e">
        <f ca="1">[1]!BexGetData("DP_1","00O2TNJGODT0G5Z4TTKYMN18L","GSON5122221081")</f>
        <v>#NAME?</v>
      </c>
      <c r="W2498" s="4" t="e">
        <f ca="1">[1]!BexGetData("DP_1","00O2TNJGODT0G5Z4TTKYMN7K5","GSON5122221081")</f>
        <v>#NAME?</v>
      </c>
    </row>
    <row r="2499" spans="1:23" x14ac:dyDescent="0.2">
      <c r="A2499" s="16" t="s">
        <v>5174</v>
      </c>
      <c r="B2499" s="7" t="s">
        <v>5175</v>
      </c>
      <c r="C2499" s="3" t="e">
        <f ca="1">[1]!BexGetData("DP_1","003N8EMH8GTFRCSWKMPXRR8GU","GSON5122222011")</f>
        <v>#NAME?</v>
      </c>
      <c r="D2499" s="8" t="e">
        <f ca="1">[1]!BexGetData("DP_1","003N8EMH8GTFRCSWKMPXRRESE","GSON5122222011")</f>
        <v>#NAME?</v>
      </c>
      <c r="E2499" s="3" t="e">
        <f ca="1">[1]!BexGetData("DP_1","003N8EMH8GTFRCSWKMPXRRL3Y","GSON5122222011")</f>
        <v>#NAME?</v>
      </c>
      <c r="F2499" s="4" t="e">
        <f ca="1">[1]!BexGetData("DP_1","003N8EMH8GTFRCSWKMPXRRRFI","GSON5122222011")</f>
        <v>#NAME?</v>
      </c>
      <c r="G2499" s="4" t="e">
        <f ca="1">[1]!BexGetData("DP_1","003N8EMH8GTFRCSWKMPXRRXR2","GSON5122222011")</f>
        <v>#NAME?</v>
      </c>
      <c r="H2499" s="4" t="e">
        <f ca="1">[1]!BexGetData("DP_1","003N8EMH8GTFRCSWKMPXRS42M","GSON5122222011")</f>
        <v>#NAME?</v>
      </c>
      <c r="I2499" s="4" t="e">
        <f ca="1">[1]!BexGetData("DP_1","003N8EMH8GTFRCSWKMPXRSAE6","GSON5122222011")</f>
        <v>#NAME?</v>
      </c>
      <c r="J2499" s="4" t="e">
        <f ca="1">[1]!BexGetData("DP_1","003N8EMH8GTFRCSWKMPXRSGPQ","GSON5122222011")</f>
        <v>#NAME?</v>
      </c>
      <c r="K2499" s="3" t="e">
        <f ca="1">[1]!BexGetData("DP_1","003N8EMH8GTFRIVNUPY288VJH","GSON5122222011")</f>
        <v>#NAME?</v>
      </c>
      <c r="L2499" s="3" t="e">
        <f ca="1">[1]!BexGetData("DP_1","003N8EMH8GTFRIVNUPY2891V1","GSON5122222011")</f>
        <v>#NAME?</v>
      </c>
      <c r="M2499" s="8" t="e">
        <f ca="1">[1]!BexGetData("DP_1","003N8EMH8GTFRIVOG7KG9IQXA","GSON5122222011")</f>
        <v>#NAME?</v>
      </c>
      <c r="N2499" s="3" t="e">
        <f ca="1">[1]!BexGetData("DP_1","003N8EMH8GTFRIVOG7KG9IX8U","GSON5122222011")</f>
        <v>#NAME?</v>
      </c>
      <c r="O2499" s="8" t="e">
        <f ca="1">[1]!BexGetData("DP_1","003N8EMH8GTFRIVOG7KG9J3KE","GSON5122222011")</f>
        <v>#NAME?</v>
      </c>
      <c r="P2499" s="3" t="e">
        <f ca="1">[1]!BexGetData("DP_1","003N8EMH8GTFRIVOG7KG9J9VY","GSON5122222011")</f>
        <v>#NAME?</v>
      </c>
      <c r="Q2499" s="4" t="e">
        <f ca="1">[1]!BexGetData("DP_1","00O2TNJGODT0G5Z4TTKYMM5MT","GSON5122222011")</f>
        <v>#NAME?</v>
      </c>
      <c r="R2499" s="4" t="e">
        <f ca="1">[1]!BexGetData("DP_1","00O2TNJGODT0G5Z4TTKYMMBYD","GSON5122222011")</f>
        <v>#NAME?</v>
      </c>
      <c r="S2499" s="4" t="e">
        <f ca="1">[1]!BexGetData("DP_1","00O2TNJGODT0G5Z4TTKYMMI9X","GSON5122222011")</f>
        <v>#NAME?</v>
      </c>
      <c r="T2499" s="4" t="e">
        <f ca="1">[1]!BexGetData("DP_1","00O2TNJGODT0G5Z4TTKYMMOLH","GSON5122222011")</f>
        <v>#NAME?</v>
      </c>
      <c r="U2499" s="4" t="e">
        <f ca="1">[1]!BexGetData("DP_1","00O2TNJGODT0G5Z4TTKYMMUX1","GSON5122222011")</f>
        <v>#NAME?</v>
      </c>
      <c r="V2499" s="4" t="e">
        <f ca="1">[1]!BexGetData("DP_1","00O2TNJGODT0G5Z4TTKYMN18L","GSON5122222011")</f>
        <v>#NAME?</v>
      </c>
      <c r="W2499" s="4" t="e">
        <f ca="1">[1]!BexGetData("DP_1","00O2TNJGODT0G5Z4TTKYMN7K5","GSON5122222011")</f>
        <v>#NAME?</v>
      </c>
    </row>
    <row r="2500" spans="1:23" x14ac:dyDescent="0.2">
      <c r="A2500" s="16" t="s">
        <v>5176</v>
      </c>
      <c r="B2500" s="7" t="s">
        <v>5177</v>
      </c>
      <c r="C2500" s="3" t="e">
        <f ca="1">[1]!BexGetData("DP_1","003N8EMH8GTFRCSWKMPXRR8GU","GSON5122223011")</f>
        <v>#NAME?</v>
      </c>
      <c r="D2500" s="3" t="e">
        <f ca="1">[1]!BexGetData("DP_1","003N8EMH8GTFRCSWKMPXRRESE","GSON5122223011")</f>
        <v>#NAME?</v>
      </c>
      <c r="E2500" s="3" t="e">
        <f ca="1">[1]!BexGetData("DP_1","003N8EMH8GTFRCSWKMPXRRL3Y","GSON5122223011")</f>
        <v>#NAME?</v>
      </c>
      <c r="F2500" s="4" t="e">
        <f ca="1">[1]!BexGetData("DP_1","003N8EMH8GTFRCSWKMPXRRRFI","GSON5122223011")</f>
        <v>#NAME?</v>
      </c>
      <c r="G2500" s="4" t="e">
        <f ca="1">[1]!BexGetData("DP_1","003N8EMH8GTFRCSWKMPXRRXR2","GSON5122223011")</f>
        <v>#NAME?</v>
      </c>
      <c r="H2500" s="4" t="e">
        <f ca="1">[1]!BexGetData("DP_1","003N8EMH8GTFRCSWKMPXRS42M","GSON5122223011")</f>
        <v>#NAME?</v>
      </c>
      <c r="I2500" s="4" t="e">
        <f ca="1">[1]!BexGetData("DP_1","003N8EMH8GTFRCSWKMPXRSAE6","GSON5122223011")</f>
        <v>#NAME?</v>
      </c>
      <c r="J2500" s="4" t="e">
        <f ca="1">[1]!BexGetData("DP_1","003N8EMH8GTFRCSWKMPXRSGPQ","GSON5122223011")</f>
        <v>#NAME?</v>
      </c>
      <c r="K2500" s="3" t="e">
        <f ca="1">[1]!BexGetData("DP_1","003N8EMH8GTFRIVNUPY288VJH","GSON5122223011")</f>
        <v>#NAME?</v>
      </c>
      <c r="L2500" s="3" t="e">
        <f ca="1">[1]!BexGetData("DP_1","003N8EMH8GTFRIVNUPY2891V1","GSON5122223011")</f>
        <v>#NAME?</v>
      </c>
      <c r="M2500" s="8" t="e">
        <f ca="1">[1]!BexGetData("DP_1","003N8EMH8GTFRIVOG7KG9IQXA","GSON5122223011")</f>
        <v>#NAME?</v>
      </c>
      <c r="N2500" s="3" t="e">
        <f ca="1">[1]!BexGetData("DP_1","003N8EMH8GTFRIVOG7KG9IX8U","GSON5122223011")</f>
        <v>#NAME?</v>
      </c>
      <c r="O2500" s="8" t="e">
        <f ca="1">[1]!BexGetData("DP_1","003N8EMH8GTFRIVOG7KG9J3KE","GSON5122223011")</f>
        <v>#NAME?</v>
      </c>
      <c r="P2500" s="3" t="e">
        <f ca="1">[1]!BexGetData("DP_1","003N8EMH8GTFRIVOG7KG9J9VY","GSON5122223011")</f>
        <v>#NAME?</v>
      </c>
      <c r="Q2500" s="4" t="e">
        <f ca="1">[1]!BexGetData("DP_1","00O2TNJGODT0G5Z4TTKYMM5MT","GSON5122223011")</f>
        <v>#NAME?</v>
      </c>
      <c r="R2500" s="4" t="e">
        <f ca="1">[1]!BexGetData("DP_1","00O2TNJGODT0G5Z4TTKYMMBYD","GSON5122223011")</f>
        <v>#NAME?</v>
      </c>
      <c r="S2500" s="4" t="e">
        <f ca="1">[1]!BexGetData("DP_1","00O2TNJGODT0G5Z4TTKYMMI9X","GSON5122223011")</f>
        <v>#NAME?</v>
      </c>
      <c r="T2500" s="4" t="e">
        <f ca="1">[1]!BexGetData("DP_1","00O2TNJGODT0G5Z4TTKYMMOLH","GSON5122223011")</f>
        <v>#NAME?</v>
      </c>
      <c r="U2500" s="4" t="e">
        <f ca="1">[1]!BexGetData("DP_1","00O2TNJGODT0G5Z4TTKYMMUX1","GSON5122223011")</f>
        <v>#NAME?</v>
      </c>
      <c r="V2500" s="4" t="e">
        <f ca="1">[1]!BexGetData("DP_1","00O2TNJGODT0G5Z4TTKYMN18L","GSON5122223011")</f>
        <v>#NAME?</v>
      </c>
      <c r="W2500" s="4" t="e">
        <f ca="1">[1]!BexGetData("DP_1","00O2TNJGODT0G5Z4TTKYMN7K5","GSON5122223011")</f>
        <v>#NAME?</v>
      </c>
    </row>
    <row r="2501" spans="1:23" x14ac:dyDescent="0.2">
      <c r="A2501" s="15" t="s">
        <v>384</v>
      </c>
      <c r="B2501" s="7" t="s">
        <v>385</v>
      </c>
      <c r="C2501" s="3" t="e">
        <f ca="1">[1]!BexGetData("DP_1","003N8EMH8GTFRCSWKMPXRR8GU","GSON5124")</f>
        <v>#NAME?</v>
      </c>
      <c r="D2501" s="3" t="e">
        <f ca="1">[1]!BexGetData("DP_1","003N8EMH8GTFRCSWKMPXRRESE","GSON5124")</f>
        <v>#NAME?</v>
      </c>
      <c r="E2501" s="3" t="e">
        <f ca="1">[1]!BexGetData("DP_1","003N8EMH8GTFRCSWKMPXRRL3Y","GSON5124")</f>
        <v>#NAME?</v>
      </c>
      <c r="F2501" s="4" t="e">
        <f ca="1">[1]!BexGetData("DP_1","003N8EMH8GTFRCSWKMPXRRRFI","GSON5124")</f>
        <v>#NAME?</v>
      </c>
      <c r="G2501" s="4" t="e">
        <f ca="1">[1]!BexGetData("DP_1","003N8EMH8GTFRCSWKMPXRRXR2","GSON5124")</f>
        <v>#NAME?</v>
      </c>
      <c r="H2501" s="4" t="e">
        <f ca="1">[1]!BexGetData("DP_1","003N8EMH8GTFRCSWKMPXRS42M","GSON5124")</f>
        <v>#NAME?</v>
      </c>
      <c r="I2501" s="4" t="e">
        <f ca="1">[1]!BexGetData("DP_1","003N8EMH8GTFRCSWKMPXRSAE6","GSON5124")</f>
        <v>#NAME?</v>
      </c>
      <c r="J2501" s="4" t="e">
        <f ca="1">[1]!BexGetData("DP_1","003N8EMH8GTFRCSWKMPXRSGPQ","GSON5124")</f>
        <v>#NAME?</v>
      </c>
      <c r="K2501" s="3" t="e">
        <f ca="1">[1]!BexGetData("DP_1","003N8EMH8GTFRIVNUPY288VJH","GSON5124")</f>
        <v>#NAME?</v>
      </c>
      <c r="L2501" s="3" t="e">
        <f ca="1">[1]!BexGetData("DP_1","003N8EMH8GTFRIVNUPY2891V1","GSON5124")</f>
        <v>#NAME?</v>
      </c>
      <c r="M2501" s="8" t="e">
        <f ca="1">[1]!BexGetData("DP_1","003N8EMH8GTFRIVOG7KG9IQXA","GSON5124")</f>
        <v>#NAME?</v>
      </c>
      <c r="N2501" s="3" t="e">
        <f ca="1">[1]!BexGetData("DP_1","003N8EMH8GTFRIVOG7KG9IX8U","GSON5124")</f>
        <v>#NAME?</v>
      </c>
      <c r="O2501" s="8" t="e">
        <f ca="1">[1]!BexGetData("DP_1","003N8EMH8GTFRIVOG7KG9J3KE","GSON5124")</f>
        <v>#NAME?</v>
      </c>
      <c r="P2501" s="3" t="e">
        <f ca="1">[1]!BexGetData("DP_1","003N8EMH8GTFRIVOG7KG9J9VY","GSON5124")</f>
        <v>#NAME?</v>
      </c>
      <c r="Q2501" s="4" t="e">
        <f ca="1">[1]!BexGetData("DP_1","00O2TNJGODT0G5Z4TTKYMM5MT","GSON5124")</f>
        <v>#NAME?</v>
      </c>
      <c r="R2501" s="4" t="e">
        <f ca="1">[1]!BexGetData("DP_1","00O2TNJGODT0G5Z4TTKYMMBYD","GSON5124")</f>
        <v>#NAME?</v>
      </c>
      <c r="S2501" s="4" t="e">
        <f ca="1">[1]!BexGetData("DP_1","00O2TNJGODT0G5Z4TTKYMMI9X","GSON5124")</f>
        <v>#NAME?</v>
      </c>
      <c r="T2501" s="4" t="e">
        <f ca="1">[1]!BexGetData("DP_1","00O2TNJGODT0G5Z4TTKYMMOLH","GSON5124")</f>
        <v>#NAME?</v>
      </c>
      <c r="U2501" s="4" t="e">
        <f ca="1">[1]!BexGetData("DP_1","00O2TNJGODT0G5Z4TTKYMMUX1","GSON5124")</f>
        <v>#NAME?</v>
      </c>
      <c r="V2501" s="4" t="e">
        <f ca="1">[1]!BexGetData("DP_1","00O2TNJGODT0G5Z4TTKYMN18L","GSON5124")</f>
        <v>#NAME?</v>
      </c>
      <c r="W2501" s="4" t="e">
        <f ca="1">[1]!BexGetData("DP_1","00O2TNJGODT0G5Z4TTKYMN7K5","GSON5124")</f>
        <v>#NAME?</v>
      </c>
    </row>
    <row r="2502" spans="1:23" x14ac:dyDescent="0.2">
      <c r="A2502" s="16" t="s">
        <v>5178</v>
      </c>
      <c r="B2502" s="7" t="s">
        <v>5179</v>
      </c>
      <c r="C2502" s="3" t="e">
        <f ca="1">[1]!BexGetData("DP_1","003N8EMH8GTFRCSWKMPXRR8GU","GSON5124241011")</f>
        <v>#NAME?</v>
      </c>
      <c r="D2502" s="8" t="e">
        <f ca="1">[1]!BexGetData("DP_1","003N8EMH8GTFRCSWKMPXRRESE","GSON5124241011")</f>
        <v>#NAME?</v>
      </c>
      <c r="E2502" s="3" t="e">
        <f ca="1">[1]!BexGetData("DP_1","003N8EMH8GTFRCSWKMPXRRL3Y","GSON5124241011")</f>
        <v>#NAME?</v>
      </c>
      <c r="F2502" s="4" t="e">
        <f ca="1">[1]!BexGetData("DP_1","003N8EMH8GTFRCSWKMPXRRRFI","GSON5124241011")</f>
        <v>#NAME?</v>
      </c>
      <c r="G2502" s="4" t="e">
        <f ca="1">[1]!BexGetData("DP_1","003N8EMH8GTFRCSWKMPXRRXR2","GSON5124241011")</f>
        <v>#NAME?</v>
      </c>
      <c r="H2502" s="4" t="e">
        <f ca="1">[1]!BexGetData("DP_1","003N8EMH8GTFRCSWKMPXRS42M","GSON5124241011")</f>
        <v>#NAME?</v>
      </c>
      <c r="I2502" s="4" t="e">
        <f ca="1">[1]!BexGetData("DP_1","003N8EMH8GTFRCSWKMPXRSAE6","GSON5124241011")</f>
        <v>#NAME?</v>
      </c>
      <c r="J2502" s="4" t="e">
        <f ca="1">[1]!BexGetData("DP_1","003N8EMH8GTFRCSWKMPXRSGPQ","GSON5124241011")</f>
        <v>#NAME?</v>
      </c>
      <c r="K2502" s="3" t="e">
        <f ca="1">[1]!BexGetData("DP_1","003N8EMH8GTFRIVNUPY288VJH","GSON5124241011")</f>
        <v>#NAME?</v>
      </c>
      <c r="L2502" s="3" t="e">
        <f ca="1">[1]!BexGetData("DP_1","003N8EMH8GTFRIVNUPY2891V1","GSON5124241011")</f>
        <v>#NAME?</v>
      </c>
      <c r="M2502" s="8" t="e">
        <f ca="1">[1]!BexGetData("DP_1","003N8EMH8GTFRIVOG7KG9IQXA","GSON5124241011")</f>
        <v>#NAME?</v>
      </c>
      <c r="N2502" s="3" t="e">
        <f ca="1">[1]!BexGetData("DP_1","003N8EMH8GTFRIVOG7KG9IX8U","GSON5124241011")</f>
        <v>#NAME?</v>
      </c>
      <c r="O2502" s="8" t="e">
        <f ca="1">[1]!BexGetData("DP_1","003N8EMH8GTFRIVOG7KG9J3KE","GSON5124241011")</f>
        <v>#NAME?</v>
      </c>
      <c r="P2502" s="3" t="e">
        <f ca="1">[1]!BexGetData("DP_1","003N8EMH8GTFRIVOG7KG9J9VY","GSON5124241011")</f>
        <v>#NAME?</v>
      </c>
      <c r="Q2502" s="4" t="e">
        <f ca="1">[1]!BexGetData("DP_1","00O2TNJGODT0G5Z4TTKYMM5MT","GSON5124241011")</f>
        <v>#NAME?</v>
      </c>
      <c r="R2502" s="4" t="e">
        <f ca="1">[1]!BexGetData("DP_1","00O2TNJGODT0G5Z4TTKYMMBYD","GSON5124241011")</f>
        <v>#NAME?</v>
      </c>
      <c r="S2502" s="4" t="e">
        <f ca="1">[1]!BexGetData("DP_1","00O2TNJGODT0G5Z4TTKYMMI9X","GSON5124241011")</f>
        <v>#NAME?</v>
      </c>
      <c r="T2502" s="4" t="e">
        <f ca="1">[1]!BexGetData("DP_1","00O2TNJGODT0G5Z4TTKYMMOLH","GSON5124241011")</f>
        <v>#NAME?</v>
      </c>
      <c r="U2502" s="4" t="e">
        <f ca="1">[1]!BexGetData("DP_1","00O2TNJGODT0G5Z4TTKYMMUX1","GSON5124241011")</f>
        <v>#NAME?</v>
      </c>
      <c r="V2502" s="4" t="e">
        <f ca="1">[1]!BexGetData("DP_1","00O2TNJGODT0G5Z4TTKYMN18L","GSON5124241011")</f>
        <v>#NAME?</v>
      </c>
      <c r="W2502" s="4" t="e">
        <f ca="1">[1]!BexGetData("DP_1","00O2TNJGODT0G5Z4TTKYMN7K5","GSON5124241011")</f>
        <v>#NAME?</v>
      </c>
    </row>
    <row r="2503" spans="1:23" x14ac:dyDescent="0.2">
      <c r="A2503" s="16" t="s">
        <v>5180</v>
      </c>
      <c r="B2503" s="7" t="s">
        <v>5181</v>
      </c>
      <c r="C2503" s="3" t="e">
        <f ca="1">[1]!BexGetData("DP_1","003N8EMH8GTFRCSWKMPXRR8GU","GSON5124242011")</f>
        <v>#NAME?</v>
      </c>
      <c r="D2503" s="8" t="e">
        <f ca="1">[1]!BexGetData("DP_1","003N8EMH8GTFRCSWKMPXRRESE","GSON5124242011")</f>
        <v>#NAME?</v>
      </c>
      <c r="E2503" s="3" t="e">
        <f ca="1">[1]!BexGetData("DP_1","003N8EMH8GTFRCSWKMPXRRL3Y","GSON5124242011")</f>
        <v>#NAME?</v>
      </c>
      <c r="F2503" s="4" t="e">
        <f ca="1">[1]!BexGetData("DP_1","003N8EMH8GTFRCSWKMPXRRRFI","GSON5124242011")</f>
        <v>#NAME?</v>
      </c>
      <c r="G2503" s="4" t="e">
        <f ca="1">[1]!BexGetData("DP_1","003N8EMH8GTFRCSWKMPXRRXR2","GSON5124242011")</f>
        <v>#NAME?</v>
      </c>
      <c r="H2503" s="4" t="e">
        <f ca="1">[1]!BexGetData("DP_1","003N8EMH8GTFRCSWKMPXRS42M","GSON5124242011")</f>
        <v>#NAME?</v>
      </c>
      <c r="I2503" s="4" t="e">
        <f ca="1">[1]!BexGetData("DP_1","003N8EMH8GTFRCSWKMPXRSAE6","GSON5124242011")</f>
        <v>#NAME?</v>
      </c>
      <c r="J2503" s="4" t="e">
        <f ca="1">[1]!BexGetData("DP_1","003N8EMH8GTFRCSWKMPXRSGPQ","GSON5124242011")</f>
        <v>#NAME?</v>
      </c>
      <c r="K2503" s="3" t="e">
        <f ca="1">[1]!BexGetData("DP_1","003N8EMH8GTFRIVNUPY288VJH","GSON5124242011")</f>
        <v>#NAME?</v>
      </c>
      <c r="L2503" s="3" t="e">
        <f ca="1">[1]!BexGetData("DP_1","003N8EMH8GTFRIVNUPY2891V1","GSON5124242011")</f>
        <v>#NAME?</v>
      </c>
      <c r="M2503" s="8" t="e">
        <f ca="1">[1]!BexGetData("DP_1","003N8EMH8GTFRIVOG7KG9IQXA","GSON5124242011")</f>
        <v>#NAME?</v>
      </c>
      <c r="N2503" s="3" t="e">
        <f ca="1">[1]!BexGetData("DP_1","003N8EMH8GTFRIVOG7KG9IX8U","GSON5124242011")</f>
        <v>#NAME?</v>
      </c>
      <c r="O2503" s="8" t="e">
        <f ca="1">[1]!BexGetData("DP_1","003N8EMH8GTFRIVOG7KG9J3KE","GSON5124242011")</f>
        <v>#NAME?</v>
      </c>
      <c r="P2503" s="3" t="e">
        <f ca="1">[1]!BexGetData("DP_1","003N8EMH8GTFRIVOG7KG9J9VY","GSON5124242011")</f>
        <v>#NAME?</v>
      </c>
      <c r="Q2503" s="4" t="e">
        <f ca="1">[1]!BexGetData("DP_1","00O2TNJGODT0G5Z4TTKYMM5MT","GSON5124242011")</f>
        <v>#NAME?</v>
      </c>
      <c r="R2503" s="4" t="e">
        <f ca="1">[1]!BexGetData("DP_1","00O2TNJGODT0G5Z4TTKYMMBYD","GSON5124242011")</f>
        <v>#NAME?</v>
      </c>
      <c r="S2503" s="4" t="e">
        <f ca="1">[1]!BexGetData("DP_1","00O2TNJGODT0G5Z4TTKYMMI9X","GSON5124242011")</f>
        <v>#NAME?</v>
      </c>
      <c r="T2503" s="4" t="e">
        <f ca="1">[1]!BexGetData("DP_1","00O2TNJGODT0G5Z4TTKYMMOLH","GSON5124242011")</f>
        <v>#NAME?</v>
      </c>
      <c r="U2503" s="4" t="e">
        <f ca="1">[1]!BexGetData("DP_1","00O2TNJGODT0G5Z4TTKYMMUX1","GSON5124242011")</f>
        <v>#NAME?</v>
      </c>
      <c r="V2503" s="4" t="e">
        <f ca="1">[1]!BexGetData("DP_1","00O2TNJGODT0G5Z4TTKYMN18L","GSON5124242011")</f>
        <v>#NAME?</v>
      </c>
      <c r="W2503" s="4" t="e">
        <f ca="1">[1]!BexGetData("DP_1","00O2TNJGODT0G5Z4TTKYMN7K5","GSON5124242011")</f>
        <v>#NAME?</v>
      </c>
    </row>
    <row r="2504" spans="1:23" x14ac:dyDescent="0.2">
      <c r="A2504" s="16" t="s">
        <v>5182</v>
      </c>
      <c r="B2504" s="7" t="s">
        <v>5183</v>
      </c>
      <c r="C2504" s="3" t="e">
        <f ca="1">[1]!BexGetData("DP_1","003N8EMH8GTFRCSWKMPXRR8GU","GSON5124243011")</f>
        <v>#NAME?</v>
      </c>
      <c r="D2504" s="8" t="e">
        <f ca="1">[1]!BexGetData("DP_1","003N8EMH8GTFRCSWKMPXRRESE","GSON5124243011")</f>
        <v>#NAME?</v>
      </c>
      <c r="E2504" s="3" t="e">
        <f ca="1">[1]!BexGetData("DP_1","003N8EMH8GTFRCSWKMPXRRL3Y","GSON5124243011")</f>
        <v>#NAME?</v>
      </c>
      <c r="F2504" s="4" t="e">
        <f ca="1">[1]!BexGetData("DP_1","003N8EMH8GTFRCSWKMPXRRRFI","GSON5124243011")</f>
        <v>#NAME?</v>
      </c>
      <c r="G2504" s="4" t="e">
        <f ca="1">[1]!BexGetData("DP_1","003N8EMH8GTFRCSWKMPXRRXR2","GSON5124243011")</f>
        <v>#NAME?</v>
      </c>
      <c r="H2504" s="4" t="e">
        <f ca="1">[1]!BexGetData("DP_1","003N8EMH8GTFRCSWKMPXRS42M","GSON5124243011")</f>
        <v>#NAME?</v>
      </c>
      <c r="I2504" s="4" t="e">
        <f ca="1">[1]!BexGetData("DP_1","003N8EMH8GTFRCSWKMPXRSAE6","GSON5124243011")</f>
        <v>#NAME?</v>
      </c>
      <c r="J2504" s="4" t="e">
        <f ca="1">[1]!BexGetData("DP_1","003N8EMH8GTFRCSWKMPXRSGPQ","GSON5124243011")</f>
        <v>#NAME?</v>
      </c>
      <c r="K2504" s="3" t="e">
        <f ca="1">[1]!BexGetData("DP_1","003N8EMH8GTFRIVNUPY288VJH","GSON5124243011")</f>
        <v>#NAME?</v>
      </c>
      <c r="L2504" s="3" t="e">
        <f ca="1">[1]!BexGetData("DP_1","003N8EMH8GTFRIVNUPY2891V1","GSON5124243011")</f>
        <v>#NAME?</v>
      </c>
      <c r="M2504" s="8" t="e">
        <f ca="1">[1]!BexGetData("DP_1","003N8EMH8GTFRIVOG7KG9IQXA","GSON5124243011")</f>
        <v>#NAME?</v>
      </c>
      <c r="N2504" s="3" t="e">
        <f ca="1">[1]!BexGetData("DP_1","003N8EMH8GTFRIVOG7KG9IX8U","GSON5124243011")</f>
        <v>#NAME?</v>
      </c>
      <c r="O2504" s="8" t="e">
        <f ca="1">[1]!BexGetData("DP_1","003N8EMH8GTFRIVOG7KG9J3KE","GSON5124243011")</f>
        <v>#NAME?</v>
      </c>
      <c r="P2504" s="3" t="e">
        <f ca="1">[1]!BexGetData("DP_1","003N8EMH8GTFRIVOG7KG9J9VY","GSON5124243011")</f>
        <v>#NAME?</v>
      </c>
      <c r="Q2504" s="4" t="e">
        <f ca="1">[1]!BexGetData("DP_1","00O2TNJGODT0G5Z4TTKYMM5MT","GSON5124243011")</f>
        <v>#NAME?</v>
      </c>
      <c r="R2504" s="4" t="e">
        <f ca="1">[1]!BexGetData("DP_1","00O2TNJGODT0G5Z4TTKYMMBYD","GSON5124243011")</f>
        <v>#NAME?</v>
      </c>
      <c r="S2504" s="4" t="e">
        <f ca="1">[1]!BexGetData("DP_1","00O2TNJGODT0G5Z4TTKYMMI9X","GSON5124243011")</f>
        <v>#NAME?</v>
      </c>
      <c r="T2504" s="4" t="e">
        <f ca="1">[1]!BexGetData("DP_1","00O2TNJGODT0G5Z4TTKYMMOLH","GSON5124243011")</f>
        <v>#NAME?</v>
      </c>
      <c r="U2504" s="4" t="e">
        <f ca="1">[1]!BexGetData("DP_1","00O2TNJGODT0G5Z4TTKYMMUX1","GSON5124243011")</f>
        <v>#NAME?</v>
      </c>
      <c r="V2504" s="4" t="e">
        <f ca="1">[1]!BexGetData("DP_1","00O2TNJGODT0G5Z4TTKYMN18L","GSON5124243011")</f>
        <v>#NAME?</v>
      </c>
      <c r="W2504" s="4" t="e">
        <f ca="1">[1]!BexGetData("DP_1","00O2TNJGODT0G5Z4TTKYMN7K5","GSON5124243011")</f>
        <v>#NAME?</v>
      </c>
    </row>
    <row r="2505" spans="1:23" x14ac:dyDescent="0.2">
      <c r="A2505" s="16" t="s">
        <v>5184</v>
      </c>
      <c r="B2505" s="7" t="s">
        <v>5185</v>
      </c>
      <c r="C2505" s="3" t="e">
        <f ca="1">[1]!BexGetData("DP_1","003N8EMH8GTFRCSWKMPXRR8GU","GSON5124244011")</f>
        <v>#NAME?</v>
      </c>
      <c r="D2505" s="8" t="e">
        <f ca="1">[1]!BexGetData("DP_1","003N8EMH8GTFRCSWKMPXRRESE","GSON5124244011")</f>
        <v>#NAME?</v>
      </c>
      <c r="E2505" s="3" t="e">
        <f ca="1">[1]!BexGetData("DP_1","003N8EMH8GTFRCSWKMPXRRL3Y","GSON5124244011")</f>
        <v>#NAME?</v>
      </c>
      <c r="F2505" s="4" t="e">
        <f ca="1">[1]!BexGetData("DP_1","003N8EMH8GTFRCSWKMPXRRRFI","GSON5124244011")</f>
        <v>#NAME?</v>
      </c>
      <c r="G2505" s="4" t="e">
        <f ca="1">[1]!BexGetData("DP_1","003N8EMH8GTFRCSWKMPXRRXR2","GSON5124244011")</f>
        <v>#NAME?</v>
      </c>
      <c r="H2505" s="4" t="e">
        <f ca="1">[1]!BexGetData("DP_1","003N8EMH8GTFRCSWKMPXRS42M","GSON5124244011")</f>
        <v>#NAME?</v>
      </c>
      <c r="I2505" s="4" t="e">
        <f ca="1">[1]!BexGetData("DP_1","003N8EMH8GTFRCSWKMPXRSAE6","GSON5124244011")</f>
        <v>#NAME?</v>
      </c>
      <c r="J2505" s="4" t="e">
        <f ca="1">[1]!BexGetData("DP_1","003N8EMH8GTFRCSWKMPXRSGPQ","GSON5124244011")</f>
        <v>#NAME?</v>
      </c>
      <c r="K2505" s="3" t="e">
        <f ca="1">[1]!BexGetData("DP_1","003N8EMH8GTFRIVNUPY288VJH","GSON5124244011")</f>
        <v>#NAME?</v>
      </c>
      <c r="L2505" s="3" t="e">
        <f ca="1">[1]!BexGetData("DP_1","003N8EMH8GTFRIVNUPY2891V1","GSON5124244011")</f>
        <v>#NAME?</v>
      </c>
      <c r="M2505" s="8" t="e">
        <f ca="1">[1]!BexGetData("DP_1","003N8EMH8GTFRIVOG7KG9IQXA","GSON5124244011")</f>
        <v>#NAME?</v>
      </c>
      <c r="N2505" s="3" t="e">
        <f ca="1">[1]!BexGetData("DP_1","003N8EMH8GTFRIVOG7KG9IX8U","GSON5124244011")</f>
        <v>#NAME?</v>
      </c>
      <c r="O2505" s="8" t="e">
        <f ca="1">[1]!BexGetData("DP_1","003N8EMH8GTFRIVOG7KG9J3KE","GSON5124244011")</f>
        <v>#NAME?</v>
      </c>
      <c r="P2505" s="3" t="e">
        <f ca="1">[1]!BexGetData("DP_1","003N8EMH8GTFRIVOG7KG9J9VY","GSON5124244011")</f>
        <v>#NAME?</v>
      </c>
      <c r="Q2505" s="4" t="e">
        <f ca="1">[1]!BexGetData("DP_1","00O2TNJGODT0G5Z4TTKYMM5MT","GSON5124244011")</f>
        <v>#NAME?</v>
      </c>
      <c r="R2505" s="4" t="e">
        <f ca="1">[1]!BexGetData("DP_1","00O2TNJGODT0G5Z4TTKYMMBYD","GSON5124244011")</f>
        <v>#NAME?</v>
      </c>
      <c r="S2505" s="4" t="e">
        <f ca="1">[1]!BexGetData("DP_1","00O2TNJGODT0G5Z4TTKYMMI9X","GSON5124244011")</f>
        <v>#NAME?</v>
      </c>
      <c r="T2505" s="4" t="e">
        <f ca="1">[1]!BexGetData("DP_1","00O2TNJGODT0G5Z4TTKYMMOLH","GSON5124244011")</f>
        <v>#NAME?</v>
      </c>
      <c r="U2505" s="4" t="e">
        <f ca="1">[1]!BexGetData("DP_1","00O2TNJGODT0G5Z4TTKYMMUX1","GSON5124244011")</f>
        <v>#NAME?</v>
      </c>
      <c r="V2505" s="4" t="e">
        <f ca="1">[1]!BexGetData("DP_1","00O2TNJGODT0G5Z4TTKYMN18L","GSON5124244011")</f>
        <v>#NAME?</v>
      </c>
      <c r="W2505" s="4" t="e">
        <f ca="1">[1]!BexGetData("DP_1","00O2TNJGODT0G5Z4TTKYMN7K5","GSON5124244011")</f>
        <v>#NAME?</v>
      </c>
    </row>
    <row r="2506" spans="1:23" x14ac:dyDescent="0.2">
      <c r="A2506" s="16" t="s">
        <v>5186</v>
      </c>
      <c r="B2506" s="7" t="s">
        <v>5187</v>
      </c>
      <c r="C2506" s="3" t="e">
        <f ca="1">[1]!BexGetData("DP_1","003N8EMH8GTFRCSWKMPXRR8GU","GSON5124245011")</f>
        <v>#NAME?</v>
      </c>
      <c r="D2506" s="8" t="e">
        <f ca="1">[1]!BexGetData("DP_1","003N8EMH8GTFRCSWKMPXRRESE","GSON5124245011")</f>
        <v>#NAME?</v>
      </c>
      <c r="E2506" s="3" t="e">
        <f ca="1">[1]!BexGetData("DP_1","003N8EMH8GTFRCSWKMPXRRL3Y","GSON5124245011")</f>
        <v>#NAME?</v>
      </c>
      <c r="F2506" s="4" t="e">
        <f ca="1">[1]!BexGetData("DP_1","003N8EMH8GTFRCSWKMPXRRRFI","GSON5124245011")</f>
        <v>#NAME?</v>
      </c>
      <c r="G2506" s="4" t="e">
        <f ca="1">[1]!BexGetData("DP_1","003N8EMH8GTFRCSWKMPXRRXR2","GSON5124245011")</f>
        <v>#NAME?</v>
      </c>
      <c r="H2506" s="4" t="e">
        <f ca="1">[1]!BexGetData("DP_1","003N8EMH8GTFRCSWKMPXRS42M","GSON5124245011")</f>
        <v>#NAME?</v>
      </c>
      <c r="I2506" s="4" t="e">
        <f ca="1">[1]!BexGetData("DP_1","003N8EMH8GTFRCSWKMPXRSAE6","GSON5124245011")</f>
        <v>#NAME?</v>
      </c>
      <c r="J2506" s="4" t="e">
        <f ca="1">[1]!BexGetData("DP_1","003N8EMH8GTFRCSWKMPXRSGPQ","GSON5124245011")</f>
        <v>#NAME?</v>
      </c>
      <c r="K2506" s="3" t="e">
        <f ca="1">[1]!BexGetData("DP_1","003N8EMH8GTFRIVNUPY288VJH","GSON5124245011")</f>
        <v>#NAME?</v>
      </c>
      <c r="L2506" s="3" t="e">
        <f ca="1">[1]!BexGetData("DP_1","003N8EMH8GTFRIVNUPY2891V1","GSON5124245011")</f>
        <v>#NAME?</v>
      </c>
      <c r="M2506" s="8" t="e">
        <f ca="1">[1]!BexGetData("DP_1","003N8EMH8GTFRIVOG7KG9IQXA","GSON5124245011")</f>
        <v>#NAME?</v>
      </c>
      <c r="N2506" s="3" t="e">
        <f ca="1">[1]!BexGetData("DP_1","003N8EMH8GTFRIVOG7KG9IX8U","GSON5124245011")</f>
        <v>#NAME?</v>
      </c>
      <c r="O2506" s="8" t="e">
        <f ca="1">[1]!BexGetData("DP_1","003N8EMH8GTFRIVOG7KG9J3KE","GSON5124245011")</f>
        <v>#NAME?</v>
      </c>
      <c r="P2506" s="3" t="e">
        <f ca="1">[1]!BexGetData("DP_1","003N8EMH8GTFRIVOG7KG9J9VY","GSON5124245011")</f>
        <v>#NAME?</v>
      </c>
      <c r="Q2506" s="4" t="e">
        <f ca="1">[1]!BexGetData("DP_1","00O2TNJGODT0G5Z4TTKYMM5MT","GSON5124245011")</f>
        <v>#NAME?</v>
      </c>
      <c r="R2506" s="4" t="e">
        <f ca="1">[1]!BexGetData("DP_1","00O2TNJGODT0G5Z4TTKYMMBYD","GSON5124245011")</f>
        <v>#NAME?</v>
      </c>
      <c r="S2506" s="4" t="e">
        <f ca="1">[1]!BexGetData("DP_1","00O2TNJGODT0G5Z4TTKYMMI9X","GSON5124245011")</f>
        <v>#NAME?</v>
      </c>
      <c r="T2506" s="4" t="e">
        <f ca="1">[1]!BexGetData("DP_1","00O2TNJGODT0G5Z4TTKYMMOLH","GSON5124245011")</f>
        <v>#NAME?</v>
      </c>
      <c r="U2506" s="4" t="e">
        <f ca="1">[1]!BexGetData("DP_1","00O2TNJGODT0G5Z4TTKYMMUX1","GSON5124245011")</f>
        <v>#NAME?</v>
      </c>
      <c r="V2506" s="4" t="e">
        <f ca="1">[1]!BexGetData("DP_1","00O2TNJGODT0G5Z4TTKYMN18L","GSON5124245011")</f>
        <v>#NAME?</v>
      </c>
      <c r="W2506" s="4" t="e">
        <f ca="1">[1]!BexGetData("DP_1","00O2TNJGODT0G5Z4TTKYMN7K5","GSON5124245011")</f>
        <v>#NAME?</v>
      </c>
    </row>
    <row r="2507" spans="1:23" x14ac:dyDescent="0.2">
      <c r="A2507" s="16" t="s">
        <v>5188</v>
      </c>
      <c r="B2507" s="7" t="s">
        <v>5189</v>
      </c>
      <c r="C2507" s="3" t="e">
        <f ca="1">[1]!BexGetData("DP_1","003N8EMH8GTFRCSWKMPXRR8GU","GSON5124246011")</f>
        <v>#NAME?</v>
      </c>
      <c r="D2507" s="3" t="e">
        <f ca="1">[1]!BexGetData("DP_1","003N8EMH8GTFRCSWKMPXRRESE","GSON5124246011")</f>
        <v>#NAME?</v>
      </c>
      <c r="E2507" s="3" t="e">
        <f ca="1">[1]!BexGetData("DP_1","003N8EMH8GTFRCSWKMPXRRL3Y","GSON5124246011")</f>
        <v>#NAME?</v>
      </c>
      <c r="F2507" s="4" t="e">
        <f ca="1">[1]!BexGetData("DP_1","003N8EMH8GTFRCSWKMPXRRRFI","GSON5124246011")</f>
        <v>#NAME?</v>
      </c>
      <c r="G2507" s="4" t="e">
        <f ca="1">[1]!BexGetData("DP_1","003N8EMH8GTFRCSWKMPXRRXR2","GSON5124246011")</f>
        <v>#NAME?</v>
      </c>
      <c r="H2507" s="4" t="e">
        <f ca="1">[1]!BexGetData("DP_1","003N8EMH8GTFRCSWKMPXRS42M","GSON5124246011")</f>
        <v>#NAME?</v>
      </c>
      <c r="I2507" s="4" t="e">
        <f ca="1">[1]!BexGetData("DP_1","003N8EMH8GTFRCSWKMPXRSAE6","GSON5124246011")</f>
        <v>#NAME?</v>
      </c>
      <c r="J2507" s="4" t="e">
        <f ca="1">[1]!BexGetData("DP_1","003N8EMH8GTFRCSWKMPXRSGPQ","GSON5124246011")</f>
        <v>#NAME?</v>
      </c>
      <c r="K2507" s="3" t="e">
        <f ca="1">[1]!BexGetData("DP_1","003N8EMH8GTFRIVNUPY288VJH","GSON5124246011")</f>
        <v>#NAME?</v>
      </c>
      <c r="L2507" s="3" t="e">
        <f ca="1">[1]!BexGetData("DP_1","003N8EMH8GTFRIVNUPY2891V1","GSON5124246011")</f>
        <v>#NAME?</v>
      </c>
      <c r="M2507" s="8" t="e">
        <f ca="1">[1]!BexGetData("DP_1","003N8EMH8GTFRIVOG7KG9IQXA","GSON5124246011")</f>
        <v>#NAME?</v>
      </c>
      <c r="N2507" s="3" t="e">
        <f ca="1">[1]!BexGetData("DP_1","003N8EMH8GTFRIVOG7KG9IX8U","GSON5124246011")</f>
        <v>#NAME?</v>
      </c>
      <c r="O2507" s="8" t="e">
        <f ca="1">[1]!BexGetData("DP_1","003N8EMH8GTFRIVOG7KG9J3KE","GSON5124246011")</f>
        <v>#NAME?</v>
      </c>
      <c r="P2507" s="3" t="e">
        <f ca="1">[1]!BexGetData("DP_1","003N8EMH8GTFRIVOG7KG9J9VY","GSON5124246011")</f>
        <v>#NAME?</v>
      </c>
      <c r="Q2507" s="4" t="e">
        <f ca="1">[1]!BexGetData("DP_1","00O2TNJGODT0G5Z4TTKYMM5MT","GSON5124246011")</f>
        <v>#NAME?</v>
      </c>
      <c r="R2507" s="4" t="e">
        <f ca="1">[1]!BexGetData("DP_1","00O2TNJGODT0G5Z4TTKYMMBYD","GSON5124246011")</f>
        <v>#NAME?</v>
      </c>
      <c r="S2507" s="4" t="e">
        <f ca="1">[1]!BexGetData("DP_1","00O2TNJGODT0G5Z4TTKYMMI9X","GSON5124246011")</f>
        <v>#NAME?</v>
      </c>
      <c r="T2507" s="4" t="e">
        <f ca="1">[1]!BexGetData("DP_1","00O2TNJGODT0G5Z4TTKYMMOLH","GSON5124246011")</f>
        <v>#NAME?</v>
      </c>
      <c r="U2507" s="4" t="e">
        <f ca="1">[1]!BexGetData("DP_1","00O2TNJGODT0G5Z4TTKYMMUX1","GSON5124246011")</f>
        <v>#NAME?</v>
      </c>
      <c r="V2507" s="4" t="e">
        <f ca="1">[1]!BexGetData("DP_1","00O2TNJGODT0G5Z4TTKYMN18L","GSON5124246011")</f>
        <v>#NAME?</v>
      </c>
      <c r="W2507" s="4" t="e">
        <f ca="1">[1]!BexGetData("DP_1","00O2TNJGODT0G5Z4TTKYMN7K5","GSON5124246011")</f>
        <v>#NAME?</v>
      </c>
    </row>
    <row r="2508" spans="1:23" x14ac:dyDescent="0.2">
      <c r="A2508" s="16" t="s">
        <v>5190</v>
      </c>
      <c r="B2508" s="7" t="s">
        <v>5191</v>
      </c>
      <c r="C2508" s="3" t="e">
        <f ca="1">[1]!BexGetData("DP_1","003N8EMH8GTFRCSWKMPXRR8GU","GSON5124247011")</f>
        <v>#NAME?</v>
      </c>
      <c r="D2508" s="3" t="e">
        <f ca="1">[1]!BexGetData("DP_1","003N8EMH8GTFRCSWKMPXRRESE","GSON5124247011")</f>
        <v>#NAME?</v>
      </c>
      <c r="E2508" s="3" t="e">
        <f ca="1">[1]!BexGetData("DP_1","003N8EMH8GTFRCSWKMPXRRL3Y","GSON5124247011")</f>
        <v>#NAME?</v>
      </c>
      <c r="F2508" s="4" t="e">
        <f ca="1">[1]!BexGetData("DP_1","003N8EMH8GTFRCSWKMPXRRRFI","GSON5124247011")</f>
        <v>#NAME?</v>
      </c>
      <c r="G2508" s="4" t="e">
        <f ca="1">[1]!BexGetData("DP_1","003N8EMH8GTFRCSWKMPXRRXR2","GSON5124247011")</f>
        <v>#NAME?</v>
      </c>
      <c r="H2508" s="4" t="e">
        <f ca="1">[1]!BexGetData("DP_1","003N8EMH8GTFRCSWKMPXRS42M","GSON5124247011")</f>
        <v>#NAME?</v>
      </c>
      <c r="I2508" s="4" t="e">
        <f ca="1">[1]!BexGetData("DP_1","003N8EMH8GTFRCSWKMPXRSAE6","GSON5124247011")</f>
        <v>#NAME?</v>
      </c>
      <c r="J2508" s="4" t="e">
        <f ca="1">[1]!BexGetData("DP_1","003N8EMH8GTFRCSWKMPXRSGPQ","GSON5124247011")</f>
        <v>#NAME?</v>
      </c>
      <c r="K2508" s="3" t="e">
        <f ca="1">[1]!BexGetData("DP_1","003N8EMH8GTFRIVNUPY288VJH","GSON5124247011")</f>
        <v>#NAME?</v>
      </c>
      <c r="L2508" s="3" t="e">
        <f ca="1">[1]!BexGetData("DP_1","003N8EMH8GTFRIVNUPY2891V1","GSON5124247011")</f>
        <v>#NAME?</v>
      </c>
      <c r="M2508" s="8" t="e">
        <f ca="1">[1]!BexGetData("DP_1","003N8EMH8GTFRIVOG7KG9IQXA","GSON5124247011")</f>
        <v>#NAME?</v>
      </c>
      <c r="N2508" s="3" t="e">
        <f ca="1">[1]!BexGetData("DP_1","003N8EMH8GTFRIVOG7KG9IX8U","GSON5124247011")</f>
        <v>#NAME?</v>
      </c>
      <c r="O2508" s="8" t="e">
        <f ca="1">[1]!BexGetData("DP_1","003N8EMH8GTFRIVOG7KG9J3KE","GSON5124247011")</f>
        <v>#NAME?</v>
      </c>
      <c r="P2508" s="3" t="e">
        <f ca="1">[1]!BexGetData("DP_1","003N8EMH8GTFRIVOG7KG9J9VY","GSON5124247011")</f>
        <v>#NAME?</v>
      </c>
      <c r="Q2508" s="4" t="e">
        <f ca="1">[1]!BexGetData("DP_1","00O2TNJGODT0G5Z4TTKYMM5MT","GSON5124247011")</f>
        <v>#NAME?</v>
      </c>
      <c r="R2508" s="4" t="e">
        <f ca="1">[1]!BexGetData("DP_1","00O2TNJGODT0G5Z4TTKYMMBYD","GSON5124247011")</f>
        <v>#NAME?</v>
      </c>
      <c r="S2508" s="4" t="e">
        <f ca="1">[1]!BexGetData("DP_1","00O2TNJGODT0G5Z4TTKYMMI9X","GSON5124247011")</f>
        <v>#NAME?</v>
      </c>
      <c r="T2508" s="4" t="e">
        <f ca="1">[1]!BexGetData("DP_1","00O2TNJGODT0G5Z4TTKYMMOLH","GSON5124247011")</f>
        <v>#NAME?</v>
      </c>
      <c r="U2508" s="4" t="e">
        <f ca="1">[1]!BexGetData("DP_1","00O2TNJGODT0G5Z4TTKYMMUX1","GSON5124247011")</f>
        <v>#NAME?</v>
      </c>
      <c r="V2508" s="4" t="e">
        <f ca="1">[1]!BexGetData("DP_1","00O2TNJGODT0G5Z4TTKYMN18L","GSON5124247011")</f>
        <v>#NAME?</v>
      </c>
      <c r="W2508" s="4" t="e">
        <f ca="1">[1]!BexGetData("DP_1","00O2TNJGODT0G5Z4TTKYMN7K5","GSON5124247011")</f>
        <v>#NAME?</v>
      </c>
    </row>
    <row r="2509" spans="1:23" x14ac:dyDescent="0.2">
      <c r="A2509" s="16" t="s">
        <v>5192</v>
      </c>
      <c r="B2509" s="7" t="s">
        <v>5193</v>
      </c>
      <c r="C2509" s="3" t="e">
        <f ca="1">[1]!BexGetData("DP_1","003N8EMH8GTFRCSWKMPXRR8GU","GSON5124248011")</f>
        <v>#NAME?</v>
      </c>
      <c r="D2509" s="3" t="e">
        <f ca="1">[1]!BexGetData("DP_1","003N8EMH8GTFRCSWKMPXRRESE","GSON5124248011")</f>
        <v>#NAME?</v>
      </c>
      <c r="E2509" s="3" t="e">
        <f ca="1">[1]!BexGetData("DP_1","003N8EMH8GTFRCSWKMPXRRL3Y","GSON5124248011")</f>
        <v>#NAME?</v>
      </c>
      <c r="F2509" s="4" t="e">
        <f ca="1">[1]!BexGetData("DP_1","003N8EMH8GTFRCSWKMPXRRRFI","GSON5124248011")</f>
        <v>#NAME?</v>
      </c>
      <c r="G2509" s="4" t="e">
        <f ca="1">[1]!BexGetData("DP_1","003N8EMH8GTFRCSWKMPXRRXR2","GSON5124248011")</f>
        <v>#NAME?</v>
      </c>
      <c r="H2509" s="4" t="e">
        <f ca="1">[1]!BexGetData("DP_1","003N8EMH8GTFRCSWKMPXRS42M","GSON5124248011")</f>
        <v>#NAME?</v>
      </c>
      <c r="I2509" s="4" t="e">
        <f ca="1">[1]!BexGetData("DP_1","003N8EMH8GTFRCSWKMPXRSAE6","GSON5124248011")</f>
        <v>#NAME?</v>
      </c>
      <c r="J2509" s="4" t="e">
        <f ca="1">[1]!BexGetData("DP_1","003N8EMH8GTFRCSWKMPXRSGPQ","GSON5124248011")</f>
        <v>#NAME?</v>
      </c>
      <c r="K2509" s="3" t="e">
        <f ca="1">[1]!BexGetData("DP_1","003N8EMH8GTFRIVNUPY288VJH","GSON5124248011")</f>
        <v>#NAME?</v>
      </c>
      <c r="L2509" s="3" t="e">
        <f ca="1">[1]!BexGetData("DP_1","003N8EMH8GTFRIVNUPY2891V1","GSON5124248011")</f>
        <v>#NAME?</v>
      </c>
      <c r="M2509" s="8" t="e">
        <f ca="1">[1]!BexGetData("DP_1","003N8EMH8GTFRIVOG7KG9IQXA","GSON5124248011")</f>
        <v>#NAME?</v>
      </c>
      <c r="N2509" s="3" t="e">
        <f ca="1">[1]!BexGetData("DP_1","003N8EMH8GTFRIVOG7KG9IX8U","GSON5124248011")</f>
        <v>#NAME?</v>
      </c>
      <c r="O2509" s="8" t="e">
        <f ca="1">[1]!BexGetData("DP_1","003N8EMH8GTFRIVOG7KG9J3KE","GSON5124248011")</f>
        <v>#NAME?</v>
      </c>
      <c r="P2509" s="3" t="e">
        <f ca="1">[1]!BexGetData("DP_1","003N8EMH8GTFRIVOG7KG9J9VY","GSON5124248011")</f>
        <v>#NAME?</v>
      </c>
      <c r="Q2509" s="4" t="e">
        <f ca="1">[1]!BexGetData("DP_1","00O2TNJGODT0G5Z4TTKYMM5MT","GSON5124248011")</f>
        <v>#NAME?</v>
      </c>
      <c r="R2509" s="4" t="e">
        <f ca="1">[1]!BexGetData("DP_1","00O2TNJGODT0G5Z4TTKYMMBYD","GSON5124248011")</f>
        <v>#NAME?</v>
      </c>
      <c r="S2509" s="4" t="e">
        <f ca="1">[1]!BexGetData("DP_1","00O2TNJGODT0G5Z4TTKYMMI9X","GSON5124248011")</f>
        <v>#NAME?</v>
      </c>
      <c r="T2509" s="4" t="e">
        <f ca="1">[1]!BexGetData("DP_1","00O2TNJGODT0G5Z4TTKYMMOLH","GSON5124248011")</f>
        <v>#NAME?</v>
      </c>
      <c r="U2509" s="4" t="e">
        <f ca="1">[1]!BexGetData("DP_1","00O2TNJGODT0G5Z4TTKYMMUX1","GSON5124248011")</f>
        <v>#NAME?</v>
      </c>
      <c r="V2509" s="4" t="e">
        <f ca="1">[1]!BexGetData("DP_1","00O2TNJGODT0G5Z4TTKYMN18L","GSON5124248011")</f>
        <v>#NAME?</v>
      </c>
      <c r="W2509" s="4" t="e">
        <f ca="1">[1]!BexGetData("DP_1","00O2TNJGODT0G5Z4TTKYMN7K5","GSON5124248011")</f>
        <v>#NAME?</v>
      </c>
    </row>
    <row r="2510" spans="1:23" x14ac:dyDescent="0.2">
      <c r="A2510" s="16" t="s">
        <v>5194</v>
      </c>
      <c r="B2510" s="7" t="s">
        <v>5195</v>
      </c>
      <c r="C2510" s="3" t="e">
        <f ca="1">[1]!BexGetData("DP_1","003N8EMH8GTFRCSWKMPXRR8GU","GSON5124249011")</f>
        <v>#NAME?</v>
      </c>
      <c r="D2510" s="3" t="e">
        <f ca="1">[1]!BexGetData("DP_1","003N8EMH8GTFRCSWKMPXRRESE","GSON5124249011")</f>
        <v>#NAME?</v>
      </c>
      <c r="E2510" s="3" t="e">
        <f ca="1">[1]!BexGetData("DP_1","003N8EMH8GTFRCSWKMPXRRL3Y","GSON5124249011")</f>
        <v>#NAME?</v>
      </c>
      <c r="F2510" s="4" t="e">
        <f ca="1">[1]!BexGetData("DP_1","003N8EMH8GTFRCSWKMPXRRRFI","GSON5124249011")</f>
        <v>#NAME?</v>
      </c>
      <c r="G2510" s="4" t="e">
        <f ca="1">[1]!BexGetData("DP_1","003N8EMH8GTFRCSWKMPXRRXR2","GSON5124249011")</f>
        <v>#NAME?</v>
      </c>
      <c r="H2510" s="4" t="e">
        <f ca="1">[1]!BexGetData("DP_1","003N8EMH8GTFRCSWKMPXRS42M","GSON5124249011")</f>
        <v>#NAME?</v>
      </c>
      <c r="I2510" s="4" t="e">
        <f ca="1">[1]!BexGetData("DP_1","003N8EMH8GTFRCSWKMPXRSAE6","GSON5124249011")</f>
        <v>#NAME?</v>
      </c>
      <c r="J2510" s="4" t="e">
        <f ca="1">[1]!BexGetData("DP_1","003N8EMH8GTFRCSWKMPXRSGPQ","GSON5124249011")</f>
        <v>#NAME?</v>
      </c>
      <c r="K2510" s="3" t="e">
        <f ca="1">[1]!BexGetData("DP_1","003N8EMH8GTFRIVNUPY288VJH","GSON5124249011")</f>
        <v>#NAME?</v>
      </c>
      <c r="L2510" s="3" t="e">
        <f ca="1">[1]!BexGetData("DP_1","003N8EMH8GTFRIVNUPY2891V1","GSON5124249011")</f>
        <v>#NAME?</v>
      </c>
      <c r="M2510" s="8" t="e">
        <f ca="1">[1]!BexGetData("DP_1","003N8EMH8GTFRIVOG7KG9IQXA","GSON5124249011")</f>
        <v>#NAME?</v>
      </c>
      <c r="N2510" s="3" t="e">
        <f ca="1">[1]!BexGetData("DP_1","003N8EMH8GTFRIVOG7KG9IX8U","GSON5124249011")</f>
        <v>#NAME?</v>
      </c>
      <c r="O2510" s="8" t="e">
        <f ca="1">[1]!BexGetData("DP_1","003N8EMH8GTFRIVOG7KG9J3KE","GSON5124249011")</f>
        <v>#NAME?</v>
      </c>
      <c r="P2510" s="3" t="e">
        <f ca="1">[1]!BexGetData("DP_1","003N8EMH8GTFRIVOG7KG9J9VY","GSON5124249011")</f>
        <v>#NAME?</v>
      </c>
      <c r="Q2510" s="4" t="e">
        <f ca="1">[1]!BexGetData("DP_1","00O2TNJGODT0G5Z4TTKYMM5MT","GSON5124249011")</f>
        <v>#NAME?</v>
      </c>
      <c r="R2510" s="4" t="e">
        <f ca="1">[1]!BexGetData("DP_1","00O2TNJGODT0G5Z4TTKYMMBYD","GSON5124249011")</f>
        <v>#NAME?</v>
      </c>
      <c r="S2510" s="4" t="e">
        <f ca="1">[1]!BexGetData("DP_1","00O2TNJGODT0G5Z4TTKYMMI9X","GSON5124249011")</f>
        <v>#NAME?</v>
      </c>
      <c r="T2510" s="4" t="e">
        <f ca="1">[1]!BexGetData("DP_1","00O2TNJGODT0G5Z4TTKYMMOLH","GSON5124249011")</f>
        <v>#NAME?</v>
      </c>
      <c r="U2510" s="4" t="e">
        <f ca="1">[1]!BexGetData("DP_1","00O2TNJGODT0G5Z4TTKYMMUX1","GSON5124249011")</f>
        <v>#NAME?</v>
      </c>
      <c r="V2510" s="4" t="e">
        <f ca="1">[1]!BexGetData("DP_1","00O2TNJGODT0G5Z4TTKYMN18L","GSON5124249011")</f>
        <v>#NAME?</v>
      </c>
      <c r="W2510" s="4" t="e">
        <f ca="1">[1]!BexGetData("DP_1","00O2TNJGODT0G5Z4TTKYMN7K5","GSON5124249011")</f>
        <v>#NAME?</v>
      </c>
    </row>
    <row r="2511" spans="1:23" x14ac:dyDescent="0.2">
      <c r="A2511" s="15" t="s">
        <v>5196</v>
      </c>
      <c r="B2511" s="7" t="s">
        <v>5197</v>
      </c>
      <c r="C2511" s="3" t="e">
        <f ca="1">[1]!BexGetData("DP_1","003N8EMH8GTFRCSWKMPXRR8GU","GSON5125")</f>
        <v>#NAME?</v>
      </c>
      <c r="D2511" s="3" t="e">
        <f ca="1">[1]!BexGetData("DP_1","003N8EMH8GTFRCSWKMPXRRESE","GSON5125")</f>
        <v>#NAME?</v>
      </c>
      <c r="E2511" s="3" t="e">
        <f ca="1">[1]!BexGetData("DP_1","003N8EMH8GTFRCSWKMPXRRL3Y","GSON5125")</f>
        <v>#NAME?</v>
      </c>
      <c r="F2511" s="4" t="e">
        <f ca="1">[1]!BexGetData("DP_1","003N8EMH8GTFRCSWKMPXRRRFI","GSON5125")</f>
        <v>#NAME?</v>
      </c>
      <c r="G2511" s="4" t="e">
        <f ca="1">[1]!BexGetData("DP_1","003N8EMH8GTFRCSWKMPXRRXR2","GSON5125")</f>
        <v>#NAME?</v>
      </c>
      <c r="H2511" s="4" t="e">
        <f ca="1">[1]!BexGetData("DP_1","003N8EMH8GTFRCSWKMPXRS42M","GSON5125")</f>
        <v>#NAME?</v>
      </c>
      <c r="I2511" s="4" t="e">
        <f ca="1">[1]!BexGetData("DP_1","003N8EMH8GTFRCSWKMPXRSAE6","GSON5125")</f>
        <v>#NAME?</v>
      </c>
      <c r="J2511" s="4" t="e">
        <f ca="1">[1]!BexGetData("DP_1","003N8EMH8GTFRCSWKMPXRSGPQ","GSON5125")</f>
        <v>#NAME?</v>
      </c>
      <c r="K2511" s="3" t="e">
        <f ca="1">[1]!BexGetData("DP_1","003N8EMH8GTFRIVNUPY288VJH","GSON5125")</f>
        <v>#NAME?</v>
      </c>
      <c r="L2511" s="3" t="e">
        <f ca="1">[1]!BexGetData("DP_1","003N8EMH8GTFRIVNUPY2891V1","GSON5125")</f>
        <v>#NAME?</v>
      </c>
      <c r="M2511" s="8" t="e">
        <f ca="1">[1]!BexGetData("DP_1","003N8EMH8GTFRIVOG7KG9IQXA","GSON5125")</f>
        <v>#NAME?</v>
      </c>
      <c r="N2511" s="3" t="e">
        <f ca="1">[1]!BexGetData("DP_1","003N8EMH8GTFRIVOG7KG9IX8U","GSON5125")</f>
        <v>#NAME?</v>
      </c>
      <c r="O2511" s="8" t="e">
        <f ca="1">[1]!BexGetData("DP_1","003N8EMH8GTFRIVOG7KG9J3KE","GSON5125")</f>
        <v>#NAME?</v>
      </c>
      <c r="P2511" s="3" t="e">
        <f ca="1">[1]!BexGetData("DP_1","003N8EMH8GTFRIVOG7KG9J9VY","GSON5125")</f>
        <v>#NAME?</v>
      </c>
      <c r="Q2511" s="4" t="e">
        <f ca="1">[1]!BexGetData("DP_1","00O2TNJGODT0G5Z4TTKYMM5MT","GSON5125")</f>
        <v>#NAME?</v>
      </c>
      <c r="R2511" s="4" t="e">
        <f ca="1">[1]!BexGetData("DP_1","00O2TNJGODT0G5Z4TTKYMMBYD","GSON5125")</f>
        <v>#NAME?</v>
      </c>
      <c r="S2511" s="4" t="e">
        <f ca="1">[1]!BexGetData("DP_1","00O2TNJGODT0G5Z4TTKYMMI9X","GSON5125")</f>
        <v>#NAME?</v>
      </c>
      <c r="T2511" s="4" t="e">
        <f ca="1">[1]!BexGetData("DP_1","00O2TNJGODT0G5Z4TTKYMMOLH","GSON5125")</f>
        <v>#NAME?</v>
      </c>
      <c r="U2511" s="4" t="e">
        <f ca="1">[1]!BexGetData("DP_1","00O2TNJGODT0G5Z4TTKYMMUX1","GSON5125")</f>
        <v>#NAME?</v>
      </c>
      <c r="V2511" s="4" t="e">
        <f ca="1">[1]!BexGetData("DP_1","00O2TNJGODT0G5Z4TTKYMN18L","GSON5125")</f>
        <v>#NAME?</v>
      </c>
      <c r="W2511" s="4" t="e">
        <f ca="1">[1]!BexGetData("DP_1","00O2TNJGODT0G5Z4TTKYMN7K5","GSON5125")</f>
        <v>#NAME?</v>
      </c>
    </row>
    <row r="2512" spans="1:23" x14ac:dyDescent="0.2">
      <c r="A2512" s="16" t="s">
        <v>5198</v>
      </c>
      <c r="B2512" s="7" t="s">
        <v>5199</v>
      </c>
      <c r="C2512" s="3" t="e">
        <f ca="1">[1]!BexGetData("DP_1","003N8EMH8GTFRCSWKMPXRR8GU","GSON5125251011")</f>
        <v>#NAME?</v>
      </c>
      <c r="D2512" s="3" t="e">
        <f ca="1">[1]!BexGetData("DP_1","003N8EMH8GTFRCSWKMPXRRESE","GSON5125251011")</f>
        <v>#NAME?</v>
      </c>
      <c r="E2512" s="3" t="e">
        <f ca="1">[1]!BexGetData("DP_1","003N8EMH8GTFRCSWKMPXRRL3Y","GSON5125251011")</f>
        <v>#NAME?</v>
      </c>
      <c r="F2512" s="4" t="e">
        <f ca="1">[1]!BexGetData("DP_1","003N8EMH8GTFRCSWKMPXRRRFI","GSON5125251011")</f>
        <v>#NAME?</v>
      </c>
      <c r="G2512" s="4" t="e">
        <f ca="1">[1]!BexGetData("DP_1","003N8EMH8GTFRCSWKMPXRRXR2","GSON5125251011")</f>
        <v>#NAME?</v>
      </c>
      <c r="H2512" s="4" t="e">
        <f ca="1">[1]!BexGetData("DP_1","003N8EMH8GTFRCSWKMPXRS42M","GSON5125251011")</f>
        <v>#NAME?</v>
      </c>
      <c r="I2512" s="4" t="e">
        <f ca="1">[1]!BexGetData("DP_1","003N8EMH8GTFRCSWKMPXRSAE6","GSON5125251011")</f>
        <v>#NAME?</v>
      </c>
      <c r="J2512" s="4" t="e">
        <f ca="1">[1]!BexGetData("DP_1","003N8EMH8GTFRCSWKMPXRSGPQ","GSON5125251011")</f>
        <v>#NAME?</v>
      </c>
      <c r="K2512" s="3" t="e">
        <f ca="1">[1]!BexGetData("DP_1","003N8EMH8GTFRIVNUPY288VJH","GSON5125251011")</f>
        <v>#NAME?</v>
      </c>
      <c r="L2512" s="3" t="e">
        <f ca="1">[1]!BexGetData("DP_1","003N8EMH8GTFRIVNUPY2891V1","GSON5125251011")</f>
        <v>#NAME?</v>
      </c>
      <c r="M2512" s="8" t="e">
        <f ca="1">[1]!BexGetData("DP_1","003N8EMH8GTFRIVOG7KG9IQXA","GSON5125251011")</f>
        <v>#NAME?</v>
      </c>
      <c r="N2512" s="3" t="e">
        <f ca="1">[1]!BexGetData("DP_1","003N8EMH8GTFRIVOG7KG9IX8U","GSON5125251011")</f>
        <v>#NAME?</v>
      </c>
      <c r="O2512" s="8" t="e">
        <f ca="1">[1]!BexGetData("DP_1","003N8EMH8GTFRIVOG7KG9J3KE","GSON5125251011")</f>
        <v>#NAME?</v>
      </c>
      <c r="P2512" s="3" t="e">
        <f ca="1">[1]!BexGetData("DP_1","003N8EMH8GTFRIVOG7KG9J9VY","GSON5125251011")</f>
        <v>#NAME?</v>
      </c>
      <c r="Q2512" s="4" t="e">
        <f ca="1">[1]!BexGetData("DP_1","00O2TNJGODT0G5Z4TTKYMM5MT","GSON5125251011")</f>
        <v>#NAME?</v>
      </c>
      <c r="R2512" s="4" t="e">
        <f ca="1">[1]!BexGetData("DP_1","00O2TNJGODT0G5Z4TTKYMMBYD","GSON5125251011")</f>
        <v>#NAME?</v>
      </c>
      <c r="S2512" s="4" t="e">
        <f ca="1">[1]!BexGetData("DP_1","00O2TNJGODT0G5Z4TTKYMMI9X","GSON5125251011")</f>
        <v>#NAME?</v>
      </c>
      <c r="T2512" s="4" t="e">
        <f ca="1">[1]!BexGetData("DP_1","00O2TNJGODT0G5Z4TTKYMMOLH","GSON5125251011")</f>
        <v>#NAME?</v>
      </c>
      <c r="U2512" s="4" t="e">
        <f ca="1">[1]!BexGetData("DP_1","00O2TNJGODT0G5Z4TTKYMMUX1","GSON5125251011")</f>
        <v>#NAME?</v>
      </c>
      <c r="V2512" s="4" t="e">
        <f ca="1">[1]!BexGetData("DP_1","00O2TNJGODT0G5Z4TTKYMN18L","GSON5125251011")</f>
        <v>#NAME?</v>
      </c>
      <c r="W2512" s="4" t="e">
        <f ca="1">[1]!BexGetData("DP_1","00O2TNJGODT0G5Z4TTKYMN7K5","GSON5125251011")</f>
        <v>#NAME?</v>
      </c>
    </row>
    <row r="2513" spans="1:23" x14ac:dyDescent="0.2">
      <c r="A2513" s="16" t="s">
        <v>5200</v>
      </c>
      <c r="B2513" s="7" t="s">
        <v>5201</v>
      </c>
      <c r="C2513" s="3" t="e">
        <f ca="1">[1]!BexGetData("DP_1","003N8EMH8GTFRCSWKMPXRR8GU","GSON5125252011")</f>
        <v>#NAME?</v>
      </c>
      <c r="D2513" s="3" t="e">
        <f ca="1">[1]!BexGetData("DP_1","003N8EMH8GTFRCSWKMPXRRESE","GSON5125252011")</f>
        <v>#NAME?</v>
      </c>
      <c r="E2513" s="3" t="e">
        <f ca="1">[1]!BexGetData("DP_1","003N8EMH8GTFRCSWKMPXRRL3Y","GSON5125252011")</f>
        <v>#NAME?</v>
      </c>
      <c r="F2513" s="4" t="e">
        <f ca="1">[1]!BexGetData("DP_1","003N8EMH8GTFRCSWKMPXRRRFI","GSON5125252011")</f>
        <v>#NAME?</v>
      </c>
      <c r="G2513" s="4" t="e">
        <f ca="1">[1]!BexGetData("DP_1","003N8EMH8GTFRCSWKMPXRRXR2","GSON5125252011")</f>
        <v>#NAME?</v>
      </c>
      <c r="H2513" s="4" t="e">
        <f ca="1">[1]!BexGetData("DP_1","003N8EMH8GTFRCSWKMPXRS42M","GSON5125252011")</f>
        <v>#NAME?</v>
      </c>
      <c r="I2513" s="4" t="e">
        <f ca="1">[1]!BexGetData("DP_1","003N8EMH8GTFRCSWKMPXRSAE6","GSON5125252011")</f>
        <v>#NAME?</v>
      </c>
      <c r="J2513" s="4" t="e">
        <f ca="1">[1]!BexGetData("DP_1","003N8EMH8GTFRCSWKMPXRSGPQ","GSON5125252011")</f>
        <v>#NAME?</v>
      </c>
      <c r="K2513" s="3" t="e">
        <f ca="1">[1]!BexGetData("DP_1","003N8EMH8GTFRIVNUPY288VJH","GSON5125252011")</f>
        <v>#NAME?</v>
      </c>
      <c r="L2513" s="3" t="e">
        <f ca="1">[1]!BexGetData("DP_1","003N8EMH8GTFRIVNUPY2891V1","GSON5125252011")</f>
        <v>#NAME?</v>
      </c>
      <c r="M2513" s="8" t="e">
        <f ca="1">[1]!BexGetData("DP_1","003N8EMH8GTFRIVOG7KG9IQXA","GSON5125252011")</f>
        <v>#NAME?</v>
      </c>
      <c r="N2513" s="3" t="e">
        <f ca="1">[1]!BexGetData("DP_1","003N8EMH8GTFRIVOG7KG9IX8U","GSON5125252011")</f>
        <v>#NAME?</v>
      </c>
      <c r="O2513" s="8" t="e">
        <f ca="1">[1]!BexGetData("DP_1","003N8EMH8GTFRIVOG7KG9J3KE","GSON5125252011")</f>
        <v>#NAME?</v>
      </c>
      <c r="P2513" s="3" t="e">
        <f ca="1">[1]!BexGetData("DP_1","003N8EMH8GTFRIVOG7KG9J9VY","GSON5125252011")</f>
        <v>#NAME?</v>
      </c>
      <c r="Q2513" s="4" t="e">
        <f ca="1">[1]!BexGetData("DP_1","00O2TNJGODT0G5Z4TTKYMM5MT","GSON5125252011")</f>
        <v>#NAME?</v>
      </c>
      <c r="R2513" s="4" t="e">
        <f ca="1">[1]!BexGetData("DP_1","00O2TNJGODT0G5Z4TTKYMMBYD","GSON5125252011")</f>
        <v>#NAME?</v>
      </c>
      <c r="S2513" s="4" t="e">
        <f ca="1">[1]!BexGetData("DP_1","00O2TNJGODT0G5Z4TTKYMMI9X","GSON5125252011")</f>
        <v>#NAME?</v>
      </c>
      <c r="T2513" s="4" t="e">
        <f ca="1">[1]!BexGetData("DP_1","00O2TNJGODT0G5Z4TTKYMMOLH","GSON5125252011")</f>
        <v>#NAME?</v>
      </c>
      <c r="U2513" s="4" t="e">
        <f ca="1">[1]!BexGetData("DP_1","00O2TNJGODT0G5Z4TTKYMMUX1","GSON5125252011")</f>
        <v>#NAME?</v>
      </c>
      <c r="V2513" s="4" t="e">
        <f ca="1">[1]!BexGetData("DP_1","00O2TNJGODT0G5Z4TTKYMN18L","GSON5125252011")</f>
        <v>#NAME?</v>
      </c>
      <c r="W2513" s="4" t="e">
        <f ca="1">[1]!BexGetData("DP_1","00O2TNJGODT0G5Z4TTKYMN7K5","GSON5125252011")</f>
        <v>#NAME?</v>
      </c>
    </row>
    <row r="2514" spans="1:23" x14ac:dyDescent="0.2">
      <c r="A2514" s="16" t="s">
        <v>5202</v>
      </c>
      <c r="B2514" s="7" t="s">
        <v>5203</v>
      </c>
      <c r="C2514" s="3" t="e">
        <f ca="1">[1]!BexGetData("DP_1","003N8EMH8GTFRCSWKMPXRR8GU","GSON5125253011")</f>
        <v>#NAME?</v>
      </c>
      <c r="D2514" s="3" t="e">
        <f ca="1">[1]!BexGetData("DP_1","003N8EMH8GTFRCSWKMPXRRESE","GSON5125253011")</f>
        <v>#NAME?</v>
      </c>
      <c r="E2514" s="3" t="e">
        <f ca="1">[1]!BexGetData("DP_1","003N8EMH8GTFRCSWKMPXRRL3Y","GSON5125253011")</f>
        <v>#NAME?</v>
      </c>
      <c r="F2514" s="4" t="e">
        <f ca="1">[1]!BexGetData("DP_1","003N8EMH8GTFRCSWKMPXRRRFI","GSON5125253011")</f>
        <v>#NAME?</v>
      </c>
      <c r="G2514" s="4" t="e">
        <f ca="1">[1]!BexGetData("DP_1","003N8EMH8GTFRCSWKMPXRRXR2","GSON5125253011")</f>
        <v>#NAME?</v>
      </c>
      <c r="H2514" s="4" t="e">
        <f ca="1">[1]!BexGetData("DP_1","003N8EMH8GTFRCSWKMPXRS42M","GSON5125253011")</f>
        <v>#NAME?</v>
      </c>
      <c r="I2514" s="4" t="e">
        <f ca="1">[1]!BexGetData("DP_1","003N8EMH8GTFRCSWKMPXRSAE6","GSON5125253011")</f>
        <v>#NAME?</v>
      </c>
      <c r="J2514" s="4" t="e">
        <f ca="1">[1]!BexGetData("DP_1","003N8EMH8GTFRCSWKMPXRSGPQ","GSON5125253011")</f>
        <v>#NAME?</v>
      </c>
      <c r="K2514" s="3" t="e">
        <f ca="1">[1]!BexGetData("DP_1","003N8EMH8GTFRIVNUPY288VJH","GSON5125253011")</f>
        <v>#NAME?</v>
      </c>
      <c r="L2514" s="3" t="e">
        <f ca="1">[1]!BexGetData("DP_1","003N8EMH8GTFRIVNUPY2891V1","GSON5125253011")</f>
        <v>#NAME?</v>
      </c>
      <c r="M2514" s="8" t="e">
        <f ca="1">[1]!BexGetData("DP_1","003N8EMH8GTFRIVOG7KG9IQXA","GSON5125253011")</f>
        <v>#NAME?</v>
      </c>
      <c r="N2514" s="3" t="e">
        <f ca="1">[1]!BexGetData("DP_1","003N8EMH8GTFRIVOG7KG9IX8U","GSON5125253011")</f>
        <v>#NAME?</v>
      </c>
      <c r="O2514" s="8" t="e">
        <f ca="1">[1]!BexGetData("DP_1","003N8EMH8GTFRIVOG7KG9J3KE","GSON5125253011")</f>
        <v>#NAME?</v>
      </c>
      <c r="P2514" s="3" t="e">
        <f ca="1">[1]!BexGetData("DP_1","003N8EMH8GTFRIVOG7KG9J9VY","GSON5125253011")</f>
        <v>#NAME?</v>
      </c>
      <c r="Q2514" s="4" t="e">
        <f ca="1">[1]!BexGetData("DP_1","00O2TNJGODT0G5Z4TTKYMM5MT","GSON5125253011")</f>
        <v>#NAME?</v>
      </c>
      <c r="R2514" s="4" t="e">
        <f ca="1">[1]!BexGetData("DP_1","00O2TNJGODT0G5Z4TTKYMMBYD","GSON5125253011")</f>
        <v>#NAME?</v>
      </c>
      <c r="S2514" s="4" t="e">
        <f ca="1">[1]!BexGetData("DP_1","00O2TNJGODT0G5Z4TTKYMMI9X","GSON5125253011")</f>
        <v>#NAME?</v>
      </c>
      <c r="T2514" s="4" t="e">
        <f ca="1">[1]!BexGetData("DP_1","00O2TNJGODT0G5Z4TTKYMMOLH","GSON5125253011")</f>
        <v>#NAME?</v>
      </c>
      <c r="U2514" s="4" t="e">
        <f ca="1">[1]!BexGetData("DP_1","00O2TNJGODT0G5Z4TTKYMMUX1","GSON5125253011")</f>
        <v>#NAME?</v>
      </c>
      <c r="V2514" s="4" t="e">
        <f ca="1">[1]!BexGetData("DP_1","00O2TNJGODT0G5Z4TTKYMN18L","GSON5125253011")</f>
        <v>#NAME?</v>
      </c>
      <c r="W2514" s="4" t="e">
        <f ca="1">[1]!BexGetData("DP_1","00O2TNJGODT0G5Z4TTKYMN7K5","GSON5125253011")</f>
        <v>#NAME?</v>
      </c>
    </row>
    <row r="2515" spans="1:23" x14ac:dyDescent="0.2">
      <c r="A2515" s="16" t="s">
        <v>5204</v>
      </c>
      <c r="B2515" s="7" t="s">
        <v>5205</v>
      </c>
      <c r="C2515" s="3" t="e">
        <f ca="1">[1]!BexGetData("DP_1","003N8EMH8GTFRCSWKMPXRR8GU","GSON5125254011")</f>
        <v>#NAME?</v>
      </c>
      <c r="D2515" s="3" t="e">
        <f ca="1">[1]!BexGetData("DP_1","003N8EMH8GTFRCSWKMPXRRESE","GSON5125254011")</f>
        <v>#NAME?</v>
      </c>
      <c r="E2515" s="3" t="e">
        <f ca="1">[1]!BexGetData("DP_1","003N8EMH8GTFRCSWKMPXRRL3Y","GSON5125254011")</f>
        <v>#NAME?</v>
      </c>
      <c r="F2515" s="4" t="e">
        <f ca="1">[1]!BexGetData("DP_1","003N8EMH8GTFRCSWKMPXRRRFI","GSON5125254011")</f>
        <v>#NAME?</v>
      </c>
      <c r="G2515" s="4" t="e">
        <f ca="1">[1]!BexGetData("DP_1","003N8EMH8GTFRCSWKMPXRRXR2","GSON5125254011")</f>
        <v>#NAME?</v>
      </c>
      <c r="H2515" s="4" t="e">
        <f ca="1">[1]!BexGetData("DP_1","003N8EMH8GTFRCSWKMPXRS42M","GSON5125254011")</f>
        <v>#NAME?</v>
      </c>
      <c r="I2515" s="4" t="e">
        <f ca="1">[1]!BexGetData("DP_1","003N8EMH8GTFRCSWKMPXRSAE6","GSON5125254011")</f>
        <v>#NAME?</v>
      </c>
      <c r="J2515" s="4" t="e">
        <f ca="1">[1]!BexGetData("DP_1","003N8EMH8GTFRCSWKMPXRSGPQ","GSON5125254011")</f>
        <v>#NAME?</v>
      </c>
      <c r="K2515" s="3" t="e">
        <f ca="1">[1]!BexGetData("DP_1","003N8EMH8GTFRIVNUPY288VJH","GSON5125254011")</f>
        <v>#NAME?</v>
      </c>
      <c r="L2515" s="3" t="e">
        <f ca="1">[1]!BexGetData("DP_1","003N8EMH8GTFRIVNUPY2891V1","GSON5125254011")</f>
        <v>#NAME?</v>
      </c>
      <c r="M2515" s="8" t="e">
        <f ca="1">[1]!BexGetData("DP_1","003N8EMH8GTFRIVOG7KG9IQXA","GSON5125254011")</f>
        <v>#NAME?</v>
      </c>
      <c r="N2515" s="3" t="e">
        <f ca="1">[1]!BexGetData("DP_1","003N8EMH8GTFRIVOG7KG9IX8U","GSON5125254011")</f>
        <v>#NAME?</v>
      </c>
      <c r="O2515" s="8" t="e">
        <f ca="1">[1]!BexGetData("DP_1","003N8EMH8GTFRIVOG7KG9J3KE","GSON5125254011")</f>
        <v>#NAME?</v>
      </c>
      <c r="P2515" s="3" t="e">
        <f ca="1">[1]!BexGetData("DP_1","003N8EMH8GTFRIVOG7KG9J9VY","GSON5125254011")</f>
        <v>#NAME?</v>
      </c>
      <c r="Q2515" s="4" t="e">
        <f ca="1">[1]!BexGetData("DP_1","00O2TNJGODT0G5Z4TTKYMM5MT","GSON5125254011")</f>
        <v>#NAME?</v>
      </c>
      <c r="R2515" s="4" t="e">
        <f ca="1">[1]!BexGetData("DP_1","00O2TNJGODT0G5Z4TTKYMMBYD","GSON5125254011")</f>
        <v>#NAME?</v>
      </c>
      <c r="S2515" s="4" t="e">
        <f ca="1">[1]!BexGetData("DP_1","00O2TNJGODT0G5Z4TTKYMMI9X","GSON5125254011")</f>
        <v>#NAME?</v>
      </c>
      <c r="T2515" s="4" t="e">
        <f ca="1">[1]!BexGetData("DP_1","00O2TNJGODT0G5Z4TTKYMMOLH","GSON5125254011")</f>
        <v>#NAME?</v>
      </c>
      <c r="U2515" s="4" t="e">
        <f ca="1">[1]!BexGetData("DP_1","00O2TNJGODT0G5Z4TTKYMMUX1","GSON5125254011")</f>
        <v>#NAME?</v>
      </c>
      <c r="V2515" s="4" t="e">
        <f ca="1">[1]!BexGetData("DP_1","00O2TNJGODT0G5Z4TTKYMN18L","GSON5125254011")</f>
        <v>#NAME?</v>
      </c>
      <c r="W2515" s="4" t="e">
        <f ca="1">[1]!BexGetData("DP_1","00O2TNJGODT0G5Z4TTKYMN7K5","GSON5125254011")</f>
        <v>#NAME?</v>
      </c>
    </row>
    <row r="2516" spans="1:23" x14ac:dyDescent="0.2">
      <c r="A2516" s="16" t="s">
        <v>5206</v>
      </c>
      <c r="B2516" s="7" t="s">
        <v>5207</v>
      </c>
      <c r="C2516" s="3" t="e">
        <f ca="1">[1]!BexGetData("DP_1","003N8EMH8GTFRCSWKMPXRR8GU","GSON5125255011")</f>
        <v>#NAME?</v>
      </c>
      <c r="D2516" s="3" t="e">
        <f ca="1">[1]!BexGetData("DP_1","003N8EMH8GTFRCSWKMPXRRESE","GSON5125255011")</f>
        <v>#NAME?</v>
      </c>
      <c r="E2516" s="3" t="e">
        <f ca="1">[1]!BexGetData("DP_1","003N8EMH8GTFRCSWKMPXRRL3Y","GSON5125255011")</f>
        <v>#NAME?</v>
      </c>
      <c r="F2516" s="4" t="e">
        <f ca="1">[1]!BexGetData("DP_1","003N8EMH8GTFRCSWKMPXRRRFI","GSON5125255011")</f>
        <v>#NAME?</v>
      </c>
      <c r="G2516" s="4" t="e">
        <f ca="1">[1]!BexGetData("DP_1","003N8EMH8GTFRCSWKMPXRRXR2","GSON5125255011")</f>
        <v>#NAME?</v>
      </c>
      <c r="H2516" s="4" t="e">
        <f ca="1">[1]!BexGetData("DP_1","003N8EMH8GTFRCSWKMPXRS42M","GSON5125255011")</f>
        <v>#NAME?</v>
      </c>
      <c r="I2516" s="4" t="e">
        <f ca="1">[1]!BexGetData("DP_1","003N8EMH8GTFRCSWKMPXRSAE6","GSON5125255011")</f>
        <v>#NAME?</v>
      </c>
      <c r="J2516" s="4" t="e">
        <f ca="1">[1]!BexGetData("DP_1","003N8EMH8GTFRCSWKMPXRSGPQ","GSON5125255011")</f>
        <v>#NAME?</v>
      </c>
      <c r="K2516" s="3" t="e">
        <f ca="1">[1]!BexGetData("DP_1","003N8EMH8GTFRIVNUPY288VJH","GSON5125255011")</f>
        <v>#NAME?</v>
      </c>
      <c r="L2516" s="3" t="e">
        <f ca="1">[1]!BexGetData("DP_1","003N8EMH8GTFRIVNUPY2891V1","GSON5125255011")</f>
        <v>#NAME?</v>
      </c>
      <c r="M2516" s="8" t="e">
        <f ca="1">[1]!BexGetData("DP_1","003N8EMH8GTFRIVOG7KG9IQXA","GSON5125255011")</f>
        <v>#NAME?</v>
      </c>
      <c r="N2516" s="3" t="e">
        <f ca="1">[1]!BexGetData("DP_1","003N8EMH8GTFRIVOG7KG9IX8U","GSON5125255011")</f>
        <v>#NAME?</v>
      </c>
      <c r="O2516" s="8" t="e">
        <f ca="1">[1]!BexGetData("DP_1","003N8EMH8GTFRIVOG7KG9J3KE","GSON5125255011")</f>
        <v>#NAME?</v>
      </c>
      <c r="P2516" s="3" t="e">
        <f ca="1">[1]!BexGetData("DP_1","003N8EMH8GTFRIVOG7KG9J9VY","GSON5125255011")</f>
        <v>#NAME?</v>
      </c>
      <c r="Q2516" s="4" t="e">
        <f ca="1">[1]!BexGetData("DP_1","00O2TNJGODT0G5Z4TTKYMM5MT","GSON5125255011")</f>
        <v>#NAME?</v>
      </c>
      <c r="R2516" s="4" t="e">
        <f ca="1">[1]!BexGetData("DP_1","00O2TNJGODT0G5Z4TTKYMMBYD","GSON5125255011")</f>
        <v>#NAME?</v>
      </c>
      <c r="S2516" s="4" t="e">
        <f ca="1">[1]!BexGetData("DP_1","00O2TNJGODT0G5Z4TTKYMMI9X","GSON5125255011")</f>
        <v>#NAME?</v>
      </c>
      <c r="T2516" s="4" t="e">
        <f ca="1">[1]!BexGetData("DP_1","00O2TNJGODT0G5Z4TTKYMMOLH","GSON5125255011")</f>
        <v>#NAME?</v>
      </c>
      <c r="U2516" s="4" t="e">
        <f ca="1">[1]!BexGetData("DP_1","00O2TNJGODT0G5Z4TTKYMMUX1","GSON5125255011")</f>
        <v>#NAME?</v>
      </c>
      <c r="V2516" s="4" t="e">
        <f ca="1">[1]!BexGetData("DP_1","00O2TNJGODT0G5Z4TTKYMN18L","GSON5125255011")</f>
        <v>#NAME?</v>
      </c>
      <c r="W2516" s="4" t="e">
        <f ca="1">[1]!BexGetData("DP_1","00O2TNJGODT0G5Z4TTKYMN7K5","GSON5125255011")</f>
        <v>#NAME?</v>
      </c>
    </row>
    <row r="2517" spans="1:23" x14ac:dyDescent="0.2">
      <c r="A2517" s="16" t="s">
        <v>5208</v>
      </c>
      <c r="B2517" s="7" t="s">
        <v>5209</v>
      </c>
      <c r="C2517" s="3" t="e">
        <f ca="1">[1]!BexGetData("DP_1","003N8EMH8GTFRCSWKMPXRR8GU","GSON5125256011")</f>
        <v>#NAME?</v>
      </c>
      <c r="D2517" s="3" t="e">
        <f ca="1">[1]!BexGetData("DP_1","003N8EMH8GTFRCSWKMPXRRESE","GSON5125256011")</f>
        <v>#NAME?</v>
      </c>
      <c r="E2517" s="3" t="e">
        <f ca="1">[1]!BexGetData("DP_1","003N8EMH8GTFRCSWKMPXRRL3Y","GSON5125256011")</f>
        <v>#NAME?</v>
      </c>
      <c r="F2517" s="4" t="e">
        <f ca="1">[1]!BexGetData("DP_1","003N8EMH8GTFRCSWKMPXRRRFI","GSON5125256011")</f>
        <v>#NAME?</v>
      </c>
      <c r="G2517" s="4" t="e">
        <f ca="1">[1]!BexGetData("DP_1","003N8EMH8GTFRCSWKMPXRRXR2","GSON5125256011")</f>
        <v>#NAME?</v>
      </c>
      <c r="H2517" s="4" t="e">
        <f ca="1">[1]!BexGetData("DP_1","003N8EMH8GTFRCSWKMPXRS42M","GSON5125256011")</f>
        <v>#NAME?</v>
      </c>
      <c r="I2517" s="4" t="e">
        <f ca="1">[1]!BexGetData("DP_1","003N8EMH8GTFRCSWKMPXRSAE6","GSON5125256011")</f>
        <v>#NAME?</v>
      </c>
      <c r="J2517" s="4" t="e">
        <f ca="1">[1]!BexGetData("DP_1","003N8EMH8GTFRCSWKMPXRSGPQ","GSON5125256011")</f>
        <v>#NAME?</v>
      </c>
      <c r="K2517" s="3" t="e">
        <f ca="1">[1]!BexGetData("DP_1","003N8EMH8GTFRIVNUPY288VJH","GSON5125256011")</f>
        <v>#NAME?</v>
      </c>
      <c r="L2517" s="3" t="e">
        <f ca="1">[1]!BexGetData("DP_1","003N8EMH8GTFRIVNUPY2891V1","GSON5125256011")</f>
        <v>#NAME?</v>
      </c>
      <c r="M2517" s="8" t="e">
        <f ca="1">[1]!BexGetData("DP_1","003N8EMH8GTFRIVOG7KG9IQXA","GSON5125256011")</f>
        <v>#NAME?</v>
      </c>
      <c r="N2517" s="3" t="e">
        <f ca="1">[1]!BexGetData("DP_1","003N8EMH8GTFRIVOG7KG9IX8U","GSON5125256011")</f>
        <v>#NAME?</v>
      </c>
      <c r="O2517" s="8" t="e">
        <f ca="1">[1]!BexGetData("DP_1","003N8EMH8GTFRIVOG7KG9J3KE","GSON5125256011")</f>
        <v>#NAME?</v>
      </c>
      <c r="P2517" s="3" t="e">
        <f ca="1">[1]!BexGetData("DP_1","003N8EMH8GTFRIVOG7KG9J9VY","GSON5125256011")</f>
        <v>#NAME?</v>
      </c>
      <c r="Q2517" s="4" t="e">
        <f ca="1">[1]!BexGetData("DP_1","00O2TNJGODT0G5Z4TTKYMM5MT","GSON5125256011")</f>
        <v>#NAME?</v>
      </c>
      <c r="R2517" s="4" t="e">
        <f ca="1">[1]!BexGetData("DP_1","00O2TNJGODT0G5Z4TTKYMMBYD","GSON5125256011")</f>
        <v>#NAME?</v>
      </c>
      <c r="S2517" s="4" t="e">
        <f ca="1">[1]!BexGetData("DP_1","00O2TNJGODT0G5Z4TTKYMMI9X","GSON5125256011")</f>
        <v>#NAME?</v>
      </c>
      <c r="T2517" s="4" t="e">
        <f ca="1">[1]!BexGetData("DP_1","00O2TNJGODT0G5Z4TTKYMMOLH","GSON5125256011")</f>
        <v>#NAME?</v>
      </c>
      <c r="U2517" s="4" t="e">
        <f ca="1">[1]!BexGetData("DP_1","00O2TNJGODT0G5Z4TTKYMMUX1","GSON5125256011")</f>
        <v>#NAME?</v>
      </c>
      <c r="V2517" s="4" t="e">
        <f ca="1">[1]!BexGetData("DP_1","00O2TNJGODT0G5Z4TTKYMN18L","GSON5125256011")</f>
        <v>#NAME?</v>
      </c>
      <c r="W2517" s="4" t="e">
        <f ca="1">[1]!BexGetData("DP_1","00O2TNJGODT0G5Z4TTKYMN7K5","GSON5125256011")</f>
        <v>#NAME?</v>
      </c>
    </row>
    <row r="2518" spans="1:23" x14ac:dyDescent="0.2">
      <c r="A2518" s="15" t="s">
        <v>386</v>
      </c>
      <c r="B2518" s="7" t="s">
        <v>387</v>
      </c>
      <c r="C2518" s="3" t="e">
        <f ca="1">[1]!BexGetData("DP_1","003N8EMH8GTFRCSWKMPXRR8GU","GSON5126")</f>
        <v>#NAME?</v>
      </c>
      <c r="D2518" s="3" t="e">
        <f ca="1">[1]!BexGetData("DP_1","003N8EMH8GTFRCSWKMPXRRESE","GSON5126")</f>
        <v>#NAME?</v>
      </c>
      <c r="E2518" s="3" t="e">
        <f ca="1">[1]!BexGetData("DP_1","003N8EMH8GTFRCSWKMPXRRL3Y","GSON5126")</f>
        <v>#NAME?</v>
      </c>
      <c r="F2518" s="4" t="e">
        <f ca="1">[1]!BexGetData("DP_1","003N8EMH8GTFRCSWKMPXRRRFI","GSON5126")</f>
        <v>#NAME?</v>
      </c>
      <c r="G2518" s="4" t="e">
        <f ca="1">[1]!BexGetData("DP_1","003N8EMH8GTFRCSWKMPXRRXR2","GSON5126")</f>
        <v>#NAME?</v>
      </c>
      <c r="H2518" s="4" t="e">
        <f ca="1">[1]!BexGetData("DP_1","003N8EMH8GTFRCSWKMPXRS42M","GSON5126")</f>
        <v>#NAME?</v>
      </c>
      <c r="I2518" s="4" t="e">
        <f ca="1">[1]!BexGetData("DP_1","003N8EMH8GTFRCSWKMPXRSAE6","GSON5126")</f>
        <v>#NAME?</v>
      </c>
      <c r="J2518" s="4" t="e">
        <f ca="1">[1]!BexGetData("DP_1","003N8EMH8GTFRCSWKMPXRSGPQ","GSON5126")</f>
        <v>#NAME?</v>
      </c>
      <c r="K2518" s="3" t="e">
        <f ca="1">[1]!BexGetData("DP_1","003N8EMH8GTFRIVNUPY288VJH","GSON5126")</f>
        <v>#NAME?</v>
      </c>
      <c r="L2518" s="3" t="e">
        <f ca="1">[1]!BexGetData("DP_1","003N8EMH8GTFRIVNUPY2891V1","GSON5126")</f>
        <v>#NAME?</v>
      </c>
      <c r="M2518" s="8" t="e">
        <f ca="1">[1]!BexGetData("DP_1","003N8EMH8GTFRIVOG7KG9IQXA","GSON5126")</f>
        <v>#NAME?</v>
      </c>
      <c r="N2518" s="3" t="e">
        <f ca="1">[1]!BexGetData("DP_1","003N8EMH8GTFRIVOG7KG9IX8U","GSON5126")</f>
        <v>#NAME?</v>
      </c>
      <c r="O2518" s="8" t="e">
        <f ca="1">[1]!BexGetData("DP_1","003N8EMH8GTFRIVOG7KG9J3KE","GSON5126")</f>
        <v>#NAME?</v>
      </c>
      <c r="P2518" s="3" t="e">
        <f ca="1">[1]!BexGetData("DP_1","003N8EMH8GTFRIVOG7KG9J9VY","GSON5126")</f>
        <v>#NAME?</v>
      </c>
      <c r="Q2518" s="4" t="e">
        <f ca="1">[1]!BexGetData("DP_1","00O2TNJGODT0G5Z4TTKYMM5MT","GSON5126")</f>
        <v>#NAME?</v>
      </c>
      <c r="R2518" s="4" t="e">
        <f ca="1">[1]!BexGetData("DP_1","00O2TNJGODT0G5Z4TTKYMMBYD","GSON5126")</f>
        <v>#NAME?</v>
      </c>
      <c r="S2518" s="4" t="e">
        <f ca="1">[1]!BexGetData("DP_1","00O2TNJGODT0G5Z4TTKYMMI9X","GSON5126")</f>
        <v>#NAME?</v>
      </c>
      <c r="T2518" s="4" t="e">
        <f ca="1">[1]!BexGetData("DP_1","00O2TNJGODT0G5Z4TTKYMMOLH","GSON5126")</f>
        <v>#NAME?</v>
      </c>
      <c r="U2518" s="4" t="e">
        <f ca="1">[1]!BexGetData("DP_1","00O2TNJGODT0G5Z4TTKYMMUX1","GSON5126")</f>
        <v>#NAME?</v>
      </c>
      <c r="V2518" s="4" t="e">
        <f ca="1">[1]!BexGetData("DP_1","00O2TNJGODT0G5Z4TTKYMN18L","GSON5126")</f>
        <v>#NAME?</v>
      </c>
      <c r="W2518" s="4" t="e">
        <f ca="1">[1]!BexGetData("DP_1","00O2TNJGODT0G5Z4TTKYMN7K5","GSON5126")</f>
        <v>#NAME?</v>
      </c>
    </row>
    <row r="2519" spans="1:23" x14ac:dyDescent="0.2">
      <c r="A2519" s="16" t="s">
        <v>388</v>
      </c>
      <c r="B2519" s="7" t="s">
        <v>389</v>
      </c>
      <c r="C2519" s="3" t="e">
        <f ca="1">[1]!BexGetData("DP_1","003N8EMH8GTFRCSWKMPXRR8GU","GSON5126261011")</f>
        <v>#NAME?</v>
      </c>
      <c r="D2519" s="3" t="e">
        <f ca="1">[1]!BexGetData("DP_1","003N8EMH8GTFRCSWKMPXRRESE","GSON5126261011")</f>
        <v>#NAME?</v>
      </c>
      <c r="E2519" s="3" t="e">
        <f ca="1">[1]!BexGetData("DP_1","003N8EMH8GTFRCSWKMPXRRL3Y","GSON5126261011")</f>
        <v>#NAME?</v>
      </c>
      <c r="F2519" s="4" t="e">
        <f ca="1">[1]!BexGetData("DP_1","003N8EMH8GTFRCSWKMPXRRRFI","GSON5126261011")</f>
        <v>#NAME?</v>
      </c>
      <c r="G2519" s="4" t="e">
        <f ca="1">[1]!BexGetData("DP_1","003N8EMH8GTFRCSWKMPXRRXR2","GSON5126261011")</f>
        <v>#NAME?</v>
      </c>
      <c r="H2519" s="4" t="e">
        <f ca="1">[1]!BexGetData("DP_1","003N8EMH8GTFRCSWKMPXRS42M","GSON5126261011")</f>
        <v>#NAME?</v>
      </c>
      <c r="I2519" s="4" t="e">
        <f ca="1">[1]!BexGetData("DP_1","003N8EMH8GTFRCSWKMPXRSAE6","GSON5126261011")</f>
        <v>#NAME?</v>
      </c>
      <c r="J2519" s="4" t="e">
        <f ca="1">[1]!BexGetData("DP_1","003N8EMH8GTFRCSWKMPXRSGPQ","GSON5126261011")</f>
        <v>#NAME?</v>
      </c>
      <c r="K2519" s="3" t="e">
        <f ca="1">[1]!BexGetData("DP_1","003N8EMH8GTFRIVNUPY288VJH","GSON5126261011")</f>
        <v>#NAME?</v>
      </c>
      <c r="L2519" s="3" t="e">
        <f ca="1">[1]!BexGetData("DP_1","003N8EMH8GTFRIVNUPY2891V1","GSON5126261011")</f>
        <v>#NAME?</v>
      </c>
      <c r="M2519" s="8" t="e">
        <f ca="1">[1]!BexGetData("DP_1","003N8EMH8GTFRIVOG7KG9IQXA","GSON5126261011")</f>
        <v>#NAME?</v>
      </c>
      <c r="N2519" s="3" t="e">
        <f ca="1">[1]!BexGetData("DP_1","003N8EMH8GTFRIVOG7KG9IX8U","GSON5126261011")</f>
        <v>#NAME?</v>
      </c>
      <c r="O2519" s="8" t="e">
        <f ca="1">[1]!BexGetData("DP_1","003N8EMH8GTFRIVOG7KG9J3KE","GSON5126261011")</f>
        <v>#NAME?</v>
      </c>
      <c r="P2519" s="3" t="e">
        <f ca="1">[1]!BexGetData("DP_1","003N8EMH8GTFRIVOG7KG9J9VY","GSON5126261011")</f>
        <v>#NAME?</v>
      </c>
      <c r="Q2519" s="4" t="e">
        <f ca="1">[1]!BexGetData("DP_1","00O2TNJGODT0G5Z4TTKYMM5MT","GSON5126261011")</f>
        <v>#NAME?</v>
      </c>
      <c r="R2519" s="4" t="e">
        <f ca="1">[1]!BexGetData("DP_1","00O2TNJGODT0G5Z4TTKYMMBYD","GSON5126261011")</f>
        <v>#NAME?</v>
      </c>
      <c r="S2519" s="4" t="e">
        <f ca="1">[1]!BexGetData("DP_1","00O2TNJGODT0G5Z4TTKYMMI9X","GSON5126261011")</f>
        <v>#NAME?</v>
      </c>
      <c r="T2519" s="4" t="e">
        <f ca="1">[1]!BexGetData("DP_1","00O2TNJGODT0G5Z4TTKYMMOLH","GSON5126261011")</f>
        <v>#NAME?</v>
      </c>
      <c r="U2519" s="4" t="e">
        <f ca="1">[1]!BexGetData("DP_1","00O2TNJGODT0G5Z4TTKYMMUX1","GSON5126261011")</f>
        <v>#NAME?</v>
      </c>
      <c r="V2519" s="4" t="e">
        <f ca="1">[1]!BexGetData("DP_1","00O2TNJGODT0G5Z4TTKYMN18L","GSON5126261011")</f>
        <v>#NAME?</v>
      </c>
      <c r="W2519" s="4" t="e">
        <f ca="1">[1]!BexGetData("DP_1","00O2TNJGODT0G5Z4TTKYMN7K5","GSON5126261011")</f>
        <v>#NAME?</v>
      </c>
    </row>
    <row r="2520" spans="1:23" x14ac:dyDescent="0.2">
      <c r="A2520" s="16" t="s">
        <v>5210</v>
      </c>
      <c r="B2520" s="7" t="s">
        <v>5211</v>
      </c>
      <c r="C2520" s="3" t="e">
        <f ca="1">[1]!BexGetData("DP_1","003N8EMH8GTFRCSWKMPXRR8GU","GSON5126261012")</f>
        <v>#NAME?</v>
      </c>
      <c r="D2520" s="3" t="e">
        <f ca="1">[1]!BexGetData("DP_1","003N8EMH8GTFRCSWKMPXRRESE","GSON5126261012")</f>
        <v>#NAME?</v>
      </c>
      <c r="E2520" s="3" t="e">
        <f ca="1">[1]!BexGetData("DP_1","003N8EMH8GTFRCSWKMPXRRL3Y","GSON5126261012")</f>
        <v>#NAME?</v>
      </c>
      <c r="F2520" s="4" t="e">
        <f ca="1">[1]!BexGetData("DP_1","003N8EMH8GTFRCSWKMPXRRRFI","GSON5126261012")</f>
        <v>#NAME?</v>
      </c>
      <c r="G2520" s="4" t="e">
        <f ca="1">[1]!BexGetData("DP_1","003N8EMH8GTFRCSWKMPXRRXR2","GSON5126261012")</f>
        <v>#NAME?</v>
      </c>
      <c r="H2520" s="4" t="e">
        <f ca="1">[1]!BexGetData("DP_1","003N8EMH8GTFRCSWKMPXRS42M","GSON5126261012")</f>
        <v>#NAME?</v>
      </c>
      <c r="I2520" s="4" t="e">
        <f ca="1">[1]!BexGetData("DP_1","003N8EMH8GTFRCSWKMPXRSAE6","GSON5126261012")</f>
        <v>#NAME?</v>
      </c>
      <c r="J2520" s="4" t="e">
        <f ca="1">[1]!BexGetData("DP_1","003N8EMH8GTFRCSWKMPXRSGPQ","GSON5126261012")</f>
        <v>#NAME?</v>
      </c>
      <c r="K2520" s="3" t="e">
        <f ca="1">[1]!BexGetData("DP_1","003N8EMH8GTFRIVNUPY288VJH","GSON5126261012")</f>
        <v>#NAME?</v>
      </c>
      <c r="L2520" s="3" t="e">
        <f ca="1">[1]!BexGetData("DP_1","003N8EMH8GTFRIVNUPY2891V1","GSON5126261012")</f>
        <v>#NAME?</v>
      </c>
      <c r="M2520" s="8" t="e">
        <f ca="1">[1]!BexGetData("DP_1","003N8EMH8GTFRIVOG7KG9IQXA","GSON5126261012")</f>
        <v>#NAME?</v>
      </c>
      <c r="N2520" s="3" t="e">
        <f ca="1">[1]!BexGetData("DP_1","003N8EMH8GTFRIVOG7KG9IX8U","GSON5126261012")</f>
        <v>#NAME?</v>
      </c>
      <c r="O2520" s="8" t="e">
        <f ca="1">[1]!BexGetData("DP_1","003N8EMH8GTFRIVOG7KG9J3KE","GSON5126261012")</f>
        <v>#NAME?</v>
      </c>
      <c r="P2520" s="3" t="e">
        <f ca="1">[1]!BexGetData("DP_1","003N8EMH8GTFRIVOG7KG9J9VY","GSON5126261012")</f>
        <v>#NAME?</v>
      </c>
      <c r="Q2520" s="4" t="e">
        <f ca="1">[1]!BexGetData("DP_1","00O2TNJGODT0G5Z4TTKYMM5MT","GSON5126261012")</f>
        <v>#NAME?</v>
      </c>
      <c r="R2520" s="4" t="e">
        <f ca="1">[1]!BexGetData("DP_1","00O2TNJGODT0G5Z4TTKYMMBYD","GSON5126261012")</f>
        <v>#NAME?</v>
      </c>
      <c r="S2520" s="4" t="e">
        <f ca="1">[1]!BexGetData("DP_1","00O2TNJGODT0G5Z4TTKYMMI9X","GSON5126261012")</f>
        <v>#NAME?</v>
      </c>
      <c r="T2520" s="4" t="e">
        <f ca="1">[1]!BexGetData("DP_1","00O2TNJGODT0G5Z4TTKYMMOLH","GSON5126261012")</f>
        <v>#NAME?</v>
      </c>
      <c r="U2520" s="4" t="e">
        <f ca="1">[1]!BexGetData("DP_1","00O2TNJGODT0G5Z4TTKYMMUX1","GSON5126261012")</f>
        <v>#NAME?</v>
      </c>
      <c r="V2520" s="4" t="e">
        <f ca="1">[1]!BexGetData("DP_1","00O2TNJGODT0G5Z4TTKYMN18L","GSON5126261012")</f>
        <v>#NAME?</v>
      </c>
      <c r="W2520" s="4" t="e">
        <f ca="1">[1]!BexGetData("DP_1","00O2TNJGODT0G5Z4TTKYMN7K5","GSON5126261012")</f>
        <v>#NAME?</v>
      </c>
    </row>
    <row r="2521" spans="1:23" x14ac:dyDescent="0.2">
      <c r="A2521" s="16" t="s">
        <v>5212</v>
      </c>
      <c r="B2521" s="7" t="s">
        <v>5213</v>
      </c>
      <c r="C2521" s="3" t="e">
        <f ca="1">[1]!BexGetData("DP_1","003N8EMH8GTFRCSWKMPXRR8GU","GSON5126261021")</f>
        <v>#NAME?</v>
      </c>
      <c r="D2521" s="3" t="e">
        <f ca="1">[1]!BexGetData("DP_1","003N8EMH8GTFRCSWKMPXRRESE","GSON5126261021")</f>
        <v>#NAME?</v>
      </c>
      <c r="E2521" s="3" t="e">
        <f ca="1">[1]!BexGetData("DP_1","003N8EMH8GTFRCSWKMPXRRL3Y","GSON5126261021")</f>
        <v>#NAME?</v>
      </c>
      <c r="F2521" s="4" t="e">
        <f ca="1">[1]!BexGetData("DP_1","003N8EMH8GTFRCSWKMPXRRRFI","GSON5126261021")</f>
        <v>#NAME?</v>
      </c>
      <c r="G2521" s="4" t="e">
        <f ca="1">[1]!BexGetData("DP_1","003N8EMH8GTFRCSWKMPXRRXR2","GSON5126261021")</f>
        <v>#NAME?</v>
      </c>
      <c r="H2521" s="4" t="e">
        <f ca="1">[1]!BexGetData("DP_1","003N8EMH8GTFRCSWKMPXRS42M","GSON5126261021")</f>
        <v>#NAME?</v>
      </c>
      <c r="I2521" s="4" t="e">
        <f ca="1">[1]!BexGetData("DP_1","003N8EMH8GTFRCSWKMPXRSAE6","GSON5126261021")</f>
        <v>#NAME?</v>
      </c>
      <c r="J2521" s="4" t="e">
        <f ca="1">[1]!BexGetData("DP_1","003N8EMH8GTFRCSWKMPXRSGPQ","GSON5126261021")</f>
        <v>#NAME?</v>
      </c>
      <c r="K2521" s="3" t="e">
        <f ca="1">[1]!BexGetData("DP_1","003N8EMH8GTFRIVNUPY288VJH","GSON5126261021")</f>
        <v>#NAME?</v>
      </c>
      <c r="L2521" s="3" t="e">
        <f ca="1">[1]!BexGetData("DP_1","003N8EMH8GTFRIVNUPY2891V1","GSON5126261021")</f>
        <v>#NAME?</v>
      </c>
      <c r="M2521" s="8" t="e">
        <f ca="1">[1]!BexGetData("DP_1","003N8EMH8GTFRIVOG7KG9IQXA","GSON5126261021")</f>
        <v>#NAME?</v>
      </c>
      <c r="N2521" s="3" t="e">
        <f ca="1">[1]!BexGetData("DP_1","003N8EMH8GTFRIVOG7KG9IX8U","GSON5126261021")</f>
        <v>#NAME?</v>
      </c>
      <c r="O2521" s="8" t="e">
        <f ca="1">[1]!BexGetData("DP_1","003N8EMH8GTFRIVOG7KG9J3KE","GSON5126261021")</f>
        <v>#NAME?</v>
      </c>
      <c r="P2521" s="3" t="e">
        <f ca="1">[1]!BexGetData("DP_1","003N8EMH8GTFRIVOG7KG9J9VY","GSON5126261021")</f>
        <v>#NAME?</v>
      </c>
      <c r="Q2521" s="4" t="e">
        <f ca="1">[1]!BexGetData("DP_1","00O2TNJGODT0G5Z4TTKYMM5MT","GSON5126261021")</f>
        <v>#NAME?</v>
      </c>
      <c r="R2521" s="4" t="e">
        <f ca="1">[1]!BexGetData("DP_1","00O2TNJGODT0G5Z4TTKYMMBYD","GSON5126261021")</f>
        <v>#NAME?</v>
      </c>
      <c r="S2521" s="4" t="e">
        <f ca="1">[1]!BexGetData("DP_1","00O2TNJGODT0G5Z4TTKYMMI9X","GSON5126261021")</f>
        <v>#NAME?</v>
      </c>
      <c r="T2521" s="4" t="e">
        <f ca="1">[1]!BexGetData("DP_1","00O2TNJGODT0G5Z4TTKYMMOLH","GSON5126261021")</f>
        <v>#NAME?</v>
      </c>
      <c r="U2521" s="4" t="e">
        <f ca="1">[1]!BexGetData("DP_1","00O2TNJGODT0G5Z4TTKYMMUX1","GSON5126261021")</f>
        <v>#NAME?</v>
      </c>
      <c r="V2521" s="4" t="e">
        <f ca="1">[1]!BexGetData("DP_1","00O2TNJGODT0G5Z4TTKYMN18L","GSON5126261021")</f>
        <v>#NAME?</v>
      </c>
      <c r="W2521" s="4" t="e">
        <f ca="1">[1]!BexGetData("DP_1","00O2TNJGODT0G5Z4TTKYMN7K5","GSON5126261021")</f>
        <v>#NAME?</v>
      </c>
    </row>
    <row r="2522" spans="1:23" x14ac:dyDescent="0.2">
      <c r="A2522" s="15" t="s">
        <v>5214</v>
      </c>
      <c r="B2522" s="7" t="s">
        <v>5215</v>
      </c>
      <c r="C2522" s="3" t="e">
        <f ca="1">[1]!BexGetData("DP_1","003N8EMH8GTFRCSWKMPXRR8GU","GSON5127")</f>
        <v>#NAME?</v>
      </c>
      <c r="D2522" s="3" t="e">
        <f ca="1">[1]!BexGetData("DP_1","003N8EMH8GTFRCSWKMPXRRESE","GSON5127")</f>
        <v>#NAME?</v>
      </c>
      <c r="E2522" s="3" t="e">
        <f ca="1">[1]!BexGetData("DP_1","003N8EMH8GTFRCSWKMPXRRL3Y","GSON5127")</f>
        <v>#NAME?</v>
      </c>
      <c r="F2522" s="4" t="e">
        <f ca="1">[1]!BexGetData("DP_1","003N8EMH8GTFRCSWKMPXRRRFI","GSON5127")</f>
        <v>#NAME?</v>
      </c>
      <c r="G2522" s="4" t="e">
        <f ca="1">[1]!BexGetData("DP_1","003N8EMH8GTFRCSWKMPXRRXR2","GSON5127")</f>
        <v>#NAME?</v>
      </c>
      <c r="H2522" s="4" t="e">
        <f ca="1">[1]!BexGetData("DP_1","003N8EMH8GTFRCSWKMPXRS42M","GSON5127")</f>
        <v>#NAME?</v>
      </c>
      <c r="I2522" s="4" t="e">
        <f ca="1">[1]!BexGetData("DP_1","003N8EMH8GTFRCSWKMPXRSAE6","GSON5127")</f>
        <v>#NAME?</v>
      </c>
      <c r="J2522" s="4" t="e">
        <f ca="1">[1]!BexGetData("DP_1","003N8EMH8GTFRCSWKMPXRSGPQ","GSON5127")</f>
        <v>#NAME?</v>
      </c>
      <c r="K2522" s="3" t="e">
        <f ca="1">[1]!BexGetData("DP_1","003N8EMH8GTFRIVNUPY288VJH","GSON5127")</f>
        <v>#NAME?</v>
      </c>
      <c r="L2522" s="3" t="e">
        <f ca="1">[1]!BexGetData("DP_1","003N8EMH8GTFRIVNUPY2891V1","GSON5127")</f>
        <v>#NAME?</v>
      </c>
      <c r="M2522" s="8" t="e">
        <f ca="1">[1]!BexGetData("DP_1","003N8EMH8GTFRIVOG7KG9IQXA","GSON5127")</f>
        <v>#NAME?</v>
      </c>
      <c r="N2522" s="3" t="e">
        <f ca="1">[1]!BexGetData("DP_1","003N8EMH8GTFRIVOG7KG9IX8U","GSON5127")</f>
        <v>#NAME?</v>
      </c>
      <c r="O2522" s="8" t="e">
        <f ca="1">[1]!BexGetData("DP_1","003N8EMH8GTFRIVOG7KG9J3KE","GSON5127")</f>
        <v>#NAME?</v>
      </c>
      <c r="P2522" s="3" t="e">
        <f ca="1">[1]!BexGetData("DP_1","003N8EMH8GTFRIVOG7KG9J9VY","GSON5127")</f>
        <v>#NAME?</v>
      </c>
      <c r="Q2522" s="4" t="e">
        <f ca="1">[1]!BexGetData("DP_1","00O2TNJGODT0G5Z4TTKYMM5MT","GSON5127")</f>
        <v>#NAME?</v>
      </c>
      <c r="R2522" s="4" t="e">
        <f ca="1">[1]!BexGetData("DP_1","00O2TNJGODT0G5Z4TTKYMMBYD","GSON5127")</f>
        <v>#NAME?</v>
      </c>
      <c r="S2522" s="4" t="e">
        <f ca="1">[1]!BexGetData("DP_1","00O2TNJGODT0G5Z4TTKYMMI9X","GSON5127")</f>
        <v>#NAME?</v>
      </c>
      <c r="T2522" s="4" t="e">
        <f ca="1">[1]!BexGetData("DP_1","00O2TNJGODT0G5Z4TTKYMMOLH","GSON5127")</f>
        <v>#NAME?</v>
      </c>
      <c r="U2522" s="4" t="e">
        <f ca="1">[1]!BexGetData("DP_1","00O2TNJGODT0G5Z4TTKYMMUX1","GSON5127")</f>
        <v>#NAME?</v>
      </c>
      <c r="V2522" s="4" t="e">
        <f ca="1">[1]!BexGetData("DP_1","00O2TNJGODT0G5Z4TTKYMN18L","GSON5127")</f>
        <v>#NAME?</v>
      </c>
      <c r="W2522" s="4" t="e">
        <f ca="1">[1]!BexGetData("DP_1","00O2TNJGODT0G5Z4TTKYMN7K5","GSON5127")</f>
        <v>#NAME?</v>
      </c>
    </row>
    <row r="2523" spans="1:23" x14ac:dyDescent="0.2">
      <c r="A2523" s="16" t="s">
        <v>5216</v>
      </c>
      <c r="B2523" s="7" t="s">
        <v>5217</v>
      </c>
      <c r="C2523" s="3" t="e">
        <f ca="1">[1]!BexGetData("DP_1","003N8EMH8GTFRCSWKMPXRR8GU","GSON5127271011")</f>
        <v>#NAME?</v>
      </c>
      <c r="D2523" s="3" t="e">
        <f ca="1">[1]!BexGetData("DP_1","003N8EMH8GTFRCSWKMPXRRESE","GSON5127271011")</f>
        <v>#NAME?</v>
      </c>
      <c r="E2523" s="3" t="e">
        <f ca="1">[1]!BexGetData("DP_1","003N8EMH8GTFRCSWKMPXRRL3Y","GSON5127271011")</f>
        <v>#NAME?</v>
      </c>
      <c r="F2523" s="4" t="e">
        <f ca="1">[1]!BexGetData("DP_1","003N8EMH8GTFRCSWKMPXRRRFI","GSON5127271011")</f>
        <v>#NAME?</v>
      </c>
      <c r="G2523" s="4" t="e">
        <f ca="1">[1]!BexGetData("DP_1","003N8EMH8GTFRCSWKMPXRRXR2","GSON5127271011")</f>
        <v>#NAME?</v>
      </c>
      <c r="H2523" s="4" t="e">
        <f ca="1">[1]!BexGetData("DP_1","003N8EMH8GTFRCSWKMPXRS42M","GSON5127271011")</f>
        <v>#NAME?</v>
      </c>
      <c r="I2523" s="4" t="e">
        <f ca="1">[1]!BexGetData("DP_1","003N8EMH8GTFRCSWKMPXRSAE6","GSON5127271011")</f>
        <v>#NAME?</v>
      </c>
      <c r="J2523" s="4" t="e">
        <f ca="1">[1]!BexGetData("DP_1","003N8EMH8GTFRCSWKMPXRSGPQ","GSON5127271011")</f>
        <v>#NAME?</v>
      </c>
      <c r="K2523" s="3" t="e">
        <f ca="1">[1]!BexGetData("DP_1","003N8EMH8GTFRIVNUPY288VJH","GSON5127271011")</f>
        <v>#NAME?</v>
      </c>
      <c r="L2523" s="3" t="e">
        <f ca="1">[1]!BexGetData("DP_1","003N8EMH8GTFRIVNUPY2891V1","GSON5127271011")</f>
        <v>#NAME?</v>
      </c>
      <c r="M2523" s="8" t="e">
        <f ca="1">[1]!BexGetData("DP_1","003N8EMH8GTFRIVOG7KG9IQXA","GSON5127271011")</f>
        <v>#NAME?</v>
      </c>
      <c r="N2523" s="3" t="e">
        <f ca="1">[1]!BexGetData("DP_1","003N8EMH8GTFRIVOG7KG9IX8U","GSON5127271011")</f>
        <v>#NAME?</v>
      </c>
      <c r="O2523" s="8" t="e">
        <f ca="1">[1]!BexGetData("DP_1","003N8EMH8GTFRIVOG7KG9J3KE","GSON5127271011")</f>
        <v>#NAME?</v>
      </c>
      <c r="P2523" s="3" t="e">
        <f ca="1">[1]!BexGetData("DP_1","003N8EMH8GTFRIVOG7KG9J9VY","GSON5127271011")</f>
        <v>#NAME?</v>
      </c>
      <c r="Q2523" s="4" t="e">
        <f ca="1">[1]!BexGetData("DP_1","00O2TNJGODT0G5Z4TTKYMM5MT","GSON5127271011")</f>
        <v>#NAME?</v>
      </c>
      <c r="R2523" s="4" t="e">
        <f ca="1">[1]!BexGetData("DP_1","00O2TNJGODT0G5Z4TTKYMMBYD","GSON5127271011")</f>
        <v>#NAME?</v>
      </c>
      <c r="S2523" s="4" t="e">
        <f ca="1">[1]!BexGetData("DP_1","00O2TNJGODT0G5Z4TTKYMMI9X","GSON5127271011")</f>
        <v>#NAME?</v>
      </c>
      <c r="T2523" s="4" t="e">
        <f ca="1">[1]!BexGetData("DP_1","00O2TNJGODT0G5Z4TTKYMMOLH","GSON5127271011")</f>
        <v>#NAME?</v>
      </c>
      <c r="U2523" s="4" t="e">
        <f ca="1">[1]!BexGetData("DP_1","00O2TNJGODT0G5Z4TTKYMMUX1","GSON5127271011")</f>
        <v>#NAME?</v>
      </c>
      <c r="V2523" s="4" t="e">
        <f ca="1">[1]!BexGetData("DP_1","00O2TNJGODT0G5Z4TTKYMN18L","GSON5127271011")</f>
        <v>#NAME?</v>
      </c>
      <c r="W2523" s="4" t="e">
        <f ca="1">[1]!BexGetData("DP_1","00O2TNJGODT0G5Z4TTKYMN7K5","GSON5127271011")</f>
        <v>#NAME?</v>
      </c>
    </row>
    <row r="2524" spans="1:23" x14ac:dyDescent="0.2">
      <c r="A2524" s="16" t="s">
        <v>5218</v>
      </c>
      <c r="B2524" s="7" t="s">
        <v>5219</v>
      </c>
      <c r="C2524" s="3" t="e">
        <f ca="1">[1]!BexGetData("DP_1","003N8EMH8GTFRCSWKMPXRR8GU","GSON5127272011")</f>
        <v>#NAME?</v>
      </c>
      <c r="D2524" s="3" t="e">
        <f ca="1">[1]!BexGetData("DP_1","003N8EMH8GTFRCSWKMPXRRESE","GSON5127272011")</f>
        <v>#NAME?</v>
      </c>
      <c r="E2524" s="3" t="e">
        <f ca="1">[1]!BexGetData("DP_1","003N8EMH8GTFRCSWKMPXRRL3Y","GSON5127272011")</f>
        <v>#NAME?</v>
      </c>
      <c r="F2524" s="4" t="e">
        <f ca="1">[1]!BexGetData("DP_1","003N8EMH8GTFRCSWKMPXRRRFI","GSON5127272011")</f>
        <v>#NAME?</v>
      </c>
      <c r="G2524" s="4" t="e">
        <f ca="1">[1]!BexGetData("DP_1","003N8EMH8GTFRCSWKMPXRRXR2","GSON5127272011")</f>
        <v>#NAME?</v>
      </c>
      <c r="H2524" s="4" t="e">
        <f ca="1">[1]!BexGetData("DP_1","003N8EMH8GTFRCSWKMPXRS42M","GSON5127272011")</f>
        <v>#NAME?</v>
      </c>
      <c r="I2524" s="4" t="e">
        <f ca="1">[1]!BexGetData("DP_1","003N8EMH8GTFRCSWKMPXRSAE6","GSON5127272011")</f>
        <v>#NAME?</v>
      </c>
      <c r="J2524" s="4" t="e">
        <f ca="1">[1]!BexGetData("DP_1","003N8EMH8GTFRCSWKMPXRSGPQ","GSON5127272011")</f>
        <v>#NAME?</v>
      </c>
      <c r="K2524" s="3" t="e">
        <f ca="1">[1]!BexGetData("DP_1","003N8EMH8GTFRIVNUPY288VJH","GSON5127272011")</f>
        <v>#NAME?</v>
      </c>
      <c r="L2524" s="3" t="e">
        <f ca="1">[1]!BexGetData("DP_1","003N8EMH8GTFRIVNUPY2891V1","GSON5127272011")</f>
        <v>#NAME?</v>
      </c>
      <c r="M2524" s="8" t="e">
        <f ca="1">[1]!BexGetData("DP_1","003N8EMH8GTFRIVOG7KG9IQXA","GSON5127272011")</f>
        <v>#NAME?</v>
      </c>
      <c r="N2524" s="3" t="e">
        <f ca="1">[1]!BexGetData("DP_1","003N8EMH8GTFRIVOG7KG9IX8U","GSON5127272011")</f>
        <v>#NAME?</v>
      </c>
      <c r="O2524" s="8" t="e">
        <f ca="1">[1]!BexGetData("DP_1","003N8EMH8GTFRIVOG7KG9J3KE","GSON5127272011")</f>
        <v>#NAME?</v>
      </c>
      <c r="P2524" s="3" t="e">
        <f ca="1">[1]!BexGetData("DP_1","003N8EMH8GTFRIVOG7KG9J9VY","GSON5127272011")</f>
        <v>#NAME?</v>
      </c>
      <c r="Q2524" s="4" t="e">
        <f ca="1">[1]!BexGetData("DP_1","00O2TNJGODT0G5Z4TTKYMM5MT","GSON5127272011")</f>
        <v>#NAME?</v>
      </c>
      <c r="R2524" s="4" t="e">
        <f ca="1">[1]!BexGetData("DP_1","00O2TNJGODT0G5Z4TTKYMMBYD","GSON5127272011")</f>
        <v>#NAME?</v>
      </c>
      <c r="S2524" s="4" t="e">
        <f ca="1">[1]!BexGetData("DP_1","00O2TNJGODT0G5Z4TTKYMMI9X","GSON5127272011")</f>
        <v>#NAME?</v>
      </c>
      <c r="T2524" s="4" t="e">
        <f ca="1">[1]!BexGetData("DP_1","00O2TNJGODT0G5Z4TTKYMMOLH","GSON5127272011")</f>
        <v>#NAME?</v>
      </c>
      <c r="U2524" s="4" t="e">
        <f ca="1">[1]!BexGetData("DP_1","00O2TNJGODT0G5Z4TTKYMMUX1","GSON5127272011")</f>
        <v>#NAME?</v>
      </c>
      <c r="V2524" s="4" t="e">
        <f ca="1">[1]!BexGetData("DP_1","00O2TNJGODT0G5Z4TTKYMN18L","GSON5127272011")</f>
        <v>#NAME?</v>
      </c>
      <c r="W2524" s="4" t="e">
        <f ca="1">[1]!BexGetData("DP_1","00O2TNJGODT0G5Z4TTKYMN7K5","GSON5127272011")</f>
        <v>#NAME?</v>
      </c>
    </row>
    <row r="2525" spans="1:23" x14ac:dyDescent="0.2">
      <c r="A2525" s="16" t="s">
        <v>5220</v>
      </c>
      <c r="B2525" s="7" t="s">
        <v>5221</v>
      </c>
      <c r="C2525" s="3" t="e">
        <f ca="1">[1]!BexGetData("DP_1","003N8EMH8GTFRCSWKMPXRR8GU","GSON5127273011")</f>
        <v>#NAME?</v>
      </c>
      <c r="D2525" s="8" t="e">
        <f ca="1">[1]!BexGetData("DP_1","003N8EMH8GTFRCSWKMPXRRESE","GSON5127273011")</f>
        <v>#NAME?</v>
      </c>
      <c r="E2525" s="3" t="e">
        <f ca="1">[1]!BexGetData("DP_1","003N8EMH8GTFRCSWKMPXRRL3Y","GSON5127273011")</f>
        <v>#NAME?</v>
      </c>
      <c r="F2525" s="4" t="e">
        <f ca="1">[1]!BexGetData("DP_1","003N8EMH8GTFRCSWKMPXRRRFI","GSON5127273011")</f>
        <v>#NAME?</v>
      </c>
      <c r="G2525" s="4" t="e">
        <f ca="1">[1]!BexGetData("DP_1","003N8EMH8GTFRCSWKMPXRRXR2","GSON5127273011")</f>
        <v>#NAME?</v>
      </c>
      <c r="H2525" s="4" t="e">
        <f ca="1">[1]!BexGetData("DP_1","003N8EMH8GTFRCSWKMPXRS42M","GSON5127273011")</f>
        <v>#NAME?</v>
      </c>
      <c r="I2525" s="4" t="e">
        <f ca="1">[1]!BexGetData("DP_1","003N8EMH8GTFRCSWKMPXRSAE6","GSON5127273011")</f>
        <v>#NAME?</v>
      </c>
      <c r="J2525" s="4" t="e">
        <f ca="1">[1]!BexGetData("DP_1","003N8EMH8GTFRCSWKMPXRSGPQ","GSON5127273011")</f>
        <v>#NAME?</v>
      </c>
      <c r="K2525" s="3" t="e">
        <f ca="1">[1]!BexGetData("DP_1","003N8EMH8GTFRIVNUPY288VJH","GSON5127273011")</f>
        <v>#NAME?</v>
      </c>
      <c r="L2525" s="3" t="e">
        <f ca="1">[1]!BexGetData("DP_1","003N8EMH8GTFRIVNUPY2891V1","GSON5127273011")</f>
        <v>#NAME?</v>
      </c>
      <c r="M2525" s="8" t="e">
        <f ca="1">[1]!BexGetData("DP_1","003N8EMH8GTFRIVOG7KG9IQXA","GSON5127273011")</f>
        <v>#NAME?</v>
      </c>
      <c r="N2525" s="3" t="e">
        <f ca="1">[1]!BexGetData("DP_1","003N8EMH8GTFRIVOG7KG9IX8U","GSON5127273011")</f>
        <v>#NAME?</v>
      </c>
      <c r="O2525" s="8" t="e">
        <f ca="1">[1]!BexGetData("DP_1","003N8EMH8GTFRIVOG7KG9J3KE","GSON5127273011")</f>
        <v>#NAME?</v>
      </c>
      <c r="P2525" s="3" t="e">
        <f ca="1">[1]!BexGetData("DP_1","003N8EMH8GTFRIVOG7KG9J9VY","GSON5127273011")</f>
        <v>#NAME?</v>
      </c>
      <c r="Q2525" s="4" t="e">
        <f ca="1">[1]!BexGetData("DP_1","00O2TNJGODT0G5Z4TTKYMM5MT","GSON5127273011")</f>
        <v>#NAME?</v>
      </c>
      <c r="R2525" s="4" t="e">
        <f ca="1">[1]!BexGetData("DP_1","00O2TNJGODT0G5Z4TTKYMMBYD","GSON5127273011")</f>
        <v>#NAME?</v>
      </c>
      <c r="S2525" s="4" t="e">
        <f ca="1">[1]!BexGetData("DP_1","00O2TNJGODT0G5Z4TTKYMMI9X","GSON5127273011")</f>
        <v>#NAME?</v>
      </c>
      <c r="T2525" s="4" t="e">
        <f ca="1">[1]!BexGetData("DP_1","00O2TNJGODT0G5Z4TTKYMMOLH","GSON5127273011")</f>
        <v>#NAME?</v>
      </c>
      <c r="U2525" s="4" t="e">
        <f ca="1">[1]!BexGetData("DP_1","00O2TNJGODT0G5Z4TTKYMMUX1","GSON5127273011")</f>
        <v>#NAME?</v>
      </c>
      <c r="V2525" s="4" t="e">
        <f ca="1">[1]!BexGetData("DP_1","00O2TNJGODT0G5Z4TTKYMN18L","GSON5127273011")</f>
        <v>#NAME?</v>
      </c>
      <c r="W2525" s="4" t="e">
        <f ca="1">[1]!BexGetData("DP_1","00O2TNJGODT0G5Z4TTKYMN7K5","GSON5127273011")</f>
        <v>#NAME?</v>
      </c>
    </row>
    <row r="2526" spans="1:23" x14ac:dyDescent="0.2">
      <c r="A2526" s="16" t="s">
        <v>5222</v>
      </c>
      <c r="B2526" s="7" t="s">
        <v>5223</v>
      </c>
      <c r="C2526" s="3" t="e">
        <f ca="1">[1]!BexGetData("DP_1","003N8EMH8GTFRCSWKMPXRR8GU","GSON5127274011")</f>
        <v>#NAME?</v>
      </c>
      <c r="D2526" s="3" t="e">
        <f ca="1">[1]!BexGetData("DP_1","003N8EMH8GTFRCSWKMPXRRESE","GSON5127274011")</f>
        <v>#NAME?</v>
      </c>
      <c r="E2526" s="3" t="e">
        <f ca="1">[1]!BexGetData("DP_1","003N8EMH8GTFRCSWKMPXRRL3Y","GSON5127274011")</f>
        <v>#NAME?</v>
      </c>
      <c r="F2526" s="4" t="e">
        <f ca="1">[1]!BexGetData("DP_1","003N8EMH8GTFRCSWKMPXRRRFI","GSON5127274011")</f>
        <v>#NAME?</v>
      </c>
      <c r="G2526" s="4" t="e">
        <f ca="1">[1]!BexGetData("DP_1","003N8EMH8GTFRCSWKMPXRRXR2","GSON5127274011")</f>
        <v>#NAME?</v>
      </c>
      <c r="H2526" s="4" t="e">
        <f ca="1">[1]!BexGetData("DP_1","003N8EMH8GTFRCSWKMPXRS42M","GSON5127274011")</f>
        <v>#NAME?</v>
      </c>
      <c r="I2526" s="4" t="e">
        <f ca="1">[1]!BexGetData("DP_1","003N8EMH8GTFRCSWKMPXRSAE6","GSON5127274011")</f>
        <v>#NAME?</v>
      </c>
      <c r="J2526" s="4" t="e">
        <f ca="1">[1]!BexGetData("DP_1","003N8EMH8GTFRCSWKMPXRSGPQ","GSON5127274011")</f>
        <v>#NAME?</v>
      </c>
      <c r="K2526" s="3" t="e">
        <f ca="1">[1]!BexGetData("DP_1","003N8EMH8GTFRIVNUPY288VJH","GSON5127274011")</f>
        <v>#NAME?</v>
      </c>
      <c r="L2526" s="3" t="e">
        <f ca="1">[1]!BexGetData("DP_1","003N8EMH8GTFRIVNUPY2891V1","GSON5127274011")</f>
        <v>#NAME?</v>
      </c>
      <c r="M2526" s="8" t="e">
        <f ca="1">[1]!BexGetData("DP_1","003N8EMH8GTFRIVOG7KG9IQXA","GSON5127274011")</f>
        <v>#NAME?</v>
      </c>
      <c r="N2526" s="3" t="e">
        <f ca="1">[1]!BexGetData("DP_1","003N8EMH8GTFRIVOG7KG9IX8U","GSON5127274011")</f>
        <v>#NAME?</v>
      </c>
      <c r="O2526" s="8" t="e">
        <f ca="1">[1]!BexGetData("DP_1","003N8EMH8GTFRIVOG7KG9J3KE","GSON5127274011")</f>
        <v>#NAME?</v>
      </c>
      <c r="P2526" s="3" t="e">
        <f ca="1">[1]!BexGetData("DP_1","003N8EMH8GTFRIVOG7KG9J9VY","GSON5127274011")</f>
        <v>#NAME?</v>
      </c>
      <c r="Q2526" s="4" t="e">
        <f ca="1">[1]!BexGetData("DP_1","00O2TNJGODT0G5Z4TTKYMM5MT","GSON5127274011")</f>
        <v>#NAME?</v>
      </c>
      <c r="R2526" s="4" t="e">
        <f ca="1">[1]!BexGetData("DP_1","00O2TNJGODT0G5Z4TTKYMMBYD","GSON5127274011")</f>
        <v>#NAME?</v>
      </c>
      <c r="S2526" s="4" t="e">
        <f ca="1">[1]!BexGetData("DP_1","00O2TNJGODT0G5Z4TTKYMMI9X","GSON5127274011")</f>
        <v>#NAME?</v>
      </c>
      <c r="T2526" s="4" t="e">
        <f ca="1">[1]!BexGetData("DP_1","00O2TNJGODT0G5Z4TTKYMMOLH","GSON5127274011")</f>
        <v>#NAME?</v>
      </c>
      <c r="U2526" s="4" t="e">
        <f ca="1">[1]!BexGetData("DP_1","00O2TNJGODT0G5Z4TTKYMMUX1","GSON5127274011")</f>
        <v>#NAME?</v>
      </c>
      <c r="V2526" s="4" t="e">
        <f ca="1">[1]!BexGetData("DP_1","00O2TNJGODT0G5Z4TTKYMN18L","GSON5127274011")</f>
        <v>#NAME?</v>
      </c>
      <c r="W2526" s="4" t="e">
        <f ca="1">[1]!BexGetData("DP_1","00O2TNJGODT0G5Z4TTKYMN7K5","GSON5127274011")</f>
        <v>#NAME?</v>
      </c>
    </row>
    <row r="2527" spans="1:23" x14ac:dyDescent="0.2">
      <c r="A2527" s="15" t="s">
        <v>108</v>
      </c>
      <c r="B2527" s="7" t="s">
        <v>5224</v>
      </c>
      <c r="C2527" s="3" t="e">
        <f ca="1">[1]!BexGetData("DP_1","003N8EMH8GTFRCSWKMPXRR8GU","GSON5128")</f>
        <v>#NAME?</v>
      </c>
      <c r="D2527" s="3" t="e">
        <f ca="1">[1]!BexGetData("DP_1","003N8EMH8GTFRCSWKMPXRRESE","GSON5128")</f>
        <v>#NAME?</v>
      </c>
      <c r="E2527" s="3" t="e">
        <f ca="1">[1]!BexGetData("DP_1","003N8EMH8GTFRCSWKMPXRRL3Y","GSON5128")</f>
        <v>#NAME?</v>
      </c>
      <c r="F2527" s="4" t="e">
        <f ca="1">[1]!BexGetData("DP_1","003N8EMH8GTFRCSWKMPXRRRFI","GSON5128")</f>
        <v>#NAME?</v>
      </c>
      <c r="G2527" s="4" t="e">
        <f ca="1">[1]!BexGetData("DP_1","003N8EMH8GTFRCSWKMPXRRXR2","GSON5128")</f>
        <v>#NAME?</v>
      </c>
      <c r="H2527" s="4" t="e">
        <f ca="1">[1]!BexGetData("DP_1","003N8EMH8GTFRCSWKMPXRS42M","GSON5128")</f>
        <v>#NAME?</v>
      </c>
      <c r="I2527" s="4" t="e">
        <f ca="1">[1]!BexGetData("DP_1","003N8EMH8GTFRCSWKMPXRSAE6","GSON5128")</f>
        <v>#NAME?</v>
      </c>
      <c r="J2527" s="4" t="e">
        <f ca="1">[1]!BexGetData("DP_1","003N8EMH8GTFRCSWKMPXRSGPQ","GSON5128")</f>
        <v>#NAME?</v>
      </c>
      <c r="K2527" s="3" t="e">
        <f ca="1">[1]!BexGetData("DP_1","003N8EMH8GTFRIVNUPY288VJH","GSON5128")</f>
        <v>#NAME?</v>
      </c>
      <c r="L2527" s="3" t="e">
        <f ca="1">[1]!BexGetData("DP_1","003N8EMH8GTFRIVNUPY2891V1","GSON5128")</f>
        <v>#NAME?</v>
      </c>
      <c r="M2527" s="8" t="e">
        <f ca="1">[1]!BexGetData("DP_1","003N8EMH8GTFRIVOG7KG9IQXA","GSON5128")</f>
        <v>#NAME?</v>
      </c>
      <c r="N2527" s="3" t="e">
        <f ca="1">[1]!BexGetData("DP_1","003N8EMH8GTFRIVOG7KG9IX8U","GSON5128")</f>
        <v>#NAME?</v>
      </c>
      <c r="O2527" s="8" t="e">
        <f ca="1">[1]!BexGetData("DP_1","003N8EMH8GTFRIVOG7KG9J3KE","GSON5128")</f>
        <v>#NAME?</v>
      </c>
      <c r="P2527" s="3" t="e">
        <f ca="1">[1]!BexGetData("DP_1","003N8EMH8GTFRIVOG7KG9J9VY","GSON5128")</f>
        <v>#NAME?</v>
      </c>
      <c r="Q2527" s="4" t="e">
        <f ca="1">[1]!BexGetData("DP_1","00O2TNJGODT0G5Z4TTKYMM5MT","GSON5128")</f>
        <v>#NAME?</v>
      </c>
      <c r="R2527" s="4" t="e">
        <f ca="1">[1]!BexGetData("DP_1","00O2TNJGODT0G5Z4TTKYMMBYD","GSON5128")</f>
        <v>#NAME?</v>
      </c>
      <c r="S2527" s="4" t="e">
        <f ca="1">[1]!BexGetData("DP_1","00O2TNJGODT0G5Z4TTKYMMI9X","GSON5128")</f>
        <v>#NAME?</v>
      </c>
      <c r="T2527" s="4" t="e">
        <f ca="1">[1]!BexGetData("DP_1","00O2TNJGODT0G5Z4TTKYMMOLH","GSON5128")</f>
        <v>#NAME?</v>
      </c>
      <c r="U2527" s="4" t="e">
        <f ca="1">[1]!BexGetData("DP_1","00O2TNJGODT0G5Z4TTKYMMUX1","GSON5128")</f>
        <v>#NAME?</v>
      </c>
      <c r="V2527" s="4" t="e">
        <f ca="1">[1]!BexGetData("DP_1","00O2TNJGODT0G5Z4TTKYMN18L","GSON5128")</f>
        <v>#NAME?</v>
      </c>
      <c r="W2527" s="4" t="e">
        <f ca="1">[1]!BexGetData("DP_1","00O2TNJGODT0G5Z4TTKYMN7K5","GSON5128")</f>
        <v>#NAME?</v>
      </c>
    </row>
    <row r="2528" spans="1:23" x14ac:dyDescent="0.2">
      <c r="A2528" s="16" t="s">
        <v>5225</v>
      </c>
      <c r="B2528" s="7" t="s">
        <v>5226</v>
      </c>
      <c r="C2528" s="3" t="e">
        <f ca="1">[1]!BexGetData("DP_1","003N8EMH8GTFRCSWKMPXRR8GU","GSON5128282011")</f>
        <v>#NAME?</v>
      </c>
      <c r="D2528" s="3" t="e">
        <f ca="1">[1]!BexGetData("DP_1","003N8EMH8GTFRCSWKMPXRRESE","GSON5128282011")</f>
        <v>#NAME?</v>
      </c>
      <c r="E2528" s="3" t="e">
        <f ca="1">[1]!BexGetData("DP_1","003N8EMH8GTFRCSWKMPXRRL3Y","GSON5128282011")</f>
        <v>#NAME?</v>
      </c>
      <c r="F2528" s="4" t="e">
        <f ca="1">[1]!BexGetData("DP_1","003N8EMH8GTFRCSWKMPXRRRFI","GSON5128282011")</f>
        <v>#NAME?</v>
      </c>
      <c r="G2528" s="4" t="e">
        <f ca="1">[1]!BexGetData("DP_1","003N8EMH8GTFRCSWKMPXRRXR2","GSON5128282011")</f>
        <v>#NAME?</v>
      </c>
      <c r="H2528" s="4" t="e">
        <f ca="1">[1]!BexGetData("DP_1","003N8EMH8GTFRCSWKMPXRS42M","GSON5128282011")</f>
        <v>#NAME?</v>
      </c>
      <c r="I2528" s="4" t="e">
        <f ca="1">[1]!BexGetData("DP_1","003N8EMH8GTFRCSWKMPXRSAE6","GSON5128282011")</f>
        <v>#NAME?</v>
      </c>
      <c r="J2528" s="4" t="e">
        <f ca="1">[1]!BexGetData("DP_1","003N8EMH8GTFRCSWKMPXRSGPQ","GSON5128282011")</f>
        <v>#NAME?</v>
      </c>
      <c r="K2528" s="3" t="e">
        <f ca="1">[1]!BexGetData("DP_1","003N8EMH8GTFRIVNUPY288VJH","GSON5128282011")</f>
        <v>#NAME?</v>
      </c>
      <c r="L2528" s="3" t="e">
        <f ca="1">[1]!BexGetData("DP_1","003N8EMH8GTFRIVNUPY2891V1","GSON5128282011")</f>
        <v>#NAME?</v>
      </c>
      <c r="M2528" s="8" t="e">
        <f ca="1">[1]!BexGetData("DP_1","003N8EMH8GTFRIVOG7KG9IQXA","GSON5128282011")</f>
        <v>#NAME?</v>
      </c>
      <c r="N2528" s="3" t="e">
        <f ca="1">[1]!BexGetData("DP_1","003N8EMH8GTFRIVOG7KG9IX8U","GSON5128282011")</f>
        <v>#NAME?</v>
      </c>
      <c r="O2528" s="8" t="e">
        <f ca="1">[1]!BexGetData("DP_1","003N8EMH8GTFRIVOG7KG9J3KE","GSON5128282011")</f>
        <v>#NAME?</v>
      </c>
      <c r="P2528" s="3" t="e">
        <f ca="1">[1]!BexGetData("DP_1","003N8EMH8GTFRIVOG7KG9J9VY","GSON5128282011")</f>
        <v>#NAME?</v>
      </c>
      <c r="Q2528" s="4" t="e">
        <f ca="1">[1]!BexGetData("DP_1","00O2TNJGODT0G5Z4TTKYMM5MT","GSON5128282011")</f>
        <v>#NAME?</v>
      </c>
      <c r="R2528" s="4" t="e">
        <f ca="1">[1]!BexGetData("DP_1","00O2TNJGODT0G5Z4TTKYMMBYD","GSON5128282011")</f>
        <v>#NAME?</v>
      </c>
      <c r="S2528" s="4" t="e">
        <f ca="1">[1]!BexGetData("DP_1","00O2TNJGODT0G5Z4TTKYMMI9X","GSON5128282011")</f>
        <v>#NAME?</v>
      </c>
      <c r="T2528" s="4" t="e">
        <f ca="1">[1]!BexGetData("DP_1","00O2TNJGODT0G5Z4TTKYMMOLH","GSON5128282011")</f>
        <v>#NAME?</v>
      </c>
      <c r="U2528" s="4" t="e">
        <f ca="1">[1]!BexGetData("DP_1","00O2TNJGODT0G5Z4TTKYMMUX1","GSON5128282011")</f>
        <v>#NAME?</v>
      </c>
      <c r="V2528" s="4" t="e">
        <f ca="1">[1]!BexGetData("DP_1","00O2TNJGODT0G5Z4TTKYMN18L","GSON5128282011")</f>
        <v>#NAME?</v>
      </c>
      <c r="W2528" s="4" t="e">
        <f ca="1">[1]!BexGetData("DP_1","00O2TNJGODT0G5Z4TTKYMN7K5","GSON5128282011")</f>
        <v>#NAME?</v>
      </c>
    </row>
    <row r="2529" spans="1:23" x14ac:dyDescent="0.2">
      <c r="A2529" s="16" t="s">
        <v>5227</v>
      </c>
      <c r="B2529" s="7" t="s">
        <v>5228</v>
      </c>
      <c r="C2529" s="3" t="e">
        <f ca="1">[1]!BexGetData("DP_1","003N8EMH8GTFRCSWKMPXRR8GU","GSON5128283011")</f>
        <v>#NAME?</v>
      </c>
      <c r="D2529" s="8" t="e">
        <f ca="1">[1]!BexGetData("DP_1","003N8EMH8GTFRCSWKMPXRRESE","GSON5128283011")</f>
        <v>#NAME?</v>
      </c>
      <c r="E2529" s="3" t="e">
        <f ca="1">[1]!BexGetData("DP_1","003N8EMH8GTFRCSWKMPXRRL3Y","GSON5128283011")</f>
        <v>#NAME?</v>
      </c>
      <c r="F2529" s="4" t="e">
        <f ca="1">[1]!BexGetData("DP_1","003N8EMH8GTFRCSWKMPXRRRFI","GSON5128283011")</f>
        <v>#NAME?</v>
      </c>
      <c r="G2529" s="4" t="e">
        <f ca="1">[1]!BexGetData("DP_1","003N8EMH8GTFRCSWKMPXRRXR2","GSON5128283011")</f>
        <v>#NAME?</v>
      </c>
      <c r="H2529" s="4" t="e">
        <f ca="1">[1]!BexGetData("DP_1","003N8EMH8GTFRCSWKMPXRS42M","GSON5128283011")</f>
        <v>#NAME?</v>
      </c>
      <c r="I2529" s="4" t="e">
        <f ca="1">[1]!BexGetData("DP_1","003N8EMH8GTFRCSWKMPXRSAE6","GSON5128283011")</f>
        <v>#NAME?</v>
      </c>
      <c r="J2529" s="4" t="e">
        <f ca="1">[1]!BexGetData("DP_1","003N8EMH8GTFRCSWKMPXRSGPQ","GSON5128283011")</f>
        <v>#NAME?</v>
      </c>
      <c r="K2529" s="3" t="e">
        <f ca="1">[1]!BexGetData("DP_1","003N8EMH8GTFRIVNUPY288VJH","GSON5128283011")</f>
        <v>#NAME?</v>
      </c>
      <c r="L2529" s="3" t="e">
        <f ca="1">[1]!BexGetData("DP_1","003N8EMH8GTFRIVNUPY2891V1","GSON5128283011")</f>
        <v>#NAME?</v>
      </c>
      <c r="M2529" s="8" t="e">
        <f ca="1">[1]!BexGetData("DP_1","003N8EMH8GTFRIVOG7KG9IQXA","GSON5128283011")</f>
        <v>#NAME?</v>
      </c>
      <c r="N2529" s="3" t="e">
        <f ca="1">[1]!BexGetData("DP_1","003N8EMH8GTFRIVOG7KG9IX8U","GSON5128283011")</f>
        <v>#NAME?</v>
      </c>
      <c r="O2529" s="8" t="e">
        <f ca="1">[1]!BexGetData("DP_1","003N8EMH8GTFRIVOG7KG9J3KE","GSON5128283011")</f>
        <v>#NAME?</v>
      </c>
      <c r="P2529" s="3" t="e">
        <f ca="1">[1]!BexGetData("DP_1","003N8EMH8GTFRIVOG7KG9J9VY","GSON5128283011")</f>
        <v>#NAME?</v>
      </c>
      <c r="Q2529" s="4" t="e">
        <f ca="1">[1]!BexGetData("DP_1","00O2TNJGODT0G5Z4TTKYMM5MT","GSON5128283011")</f>
        <v>#NAME?</v>
      </c>
      <c r="R2529" s="4" t="e">
        <f ca="1">[1]!BexGetData("DP_1","00O2TNJGODT0G5Z4TTKYMMBYD","GSON5128283011")</f>
        <v>#NAME?</v>
      </c>
      <c r="S2529" s="4" t="e">
        <f ca="1">[1]!BexGetData("DP_1","00O2TNJGODT0G5Z4TTKYMMI9X","GSON5128283011")</f>
        <v>#NAME?</v>
      </c>
      <c r="T2529" s="4" t="e">
        <f ca="1">[1]!BexGetData("DP_1","00O2TNJGODT0G5Z4TTKYMMOLH","GSON5128283011")</f>
        <v>#NAME?</v>
      </c>
      <c r="U2529" s="4" t="e">
        <f ca="1">[1]!BexGetData("DP_1","00O2TNJGODT0G5Z4TTKYMMUX1","GSON5128283011")</f>
        <v>#NAME?</v>
      </c>
      <c r="V2529" s="4" t="e">
        <f ca="1">[1]!BexGetData("DP_1","00O2TNJGODT0G5Z4TTKYMN18L","GSON5128283011")</f>
        <v>#NAME?</v>
      </c>
      <c r="W2529" s="4" t="e">
        <f ca="1">[1]!BexGetData("DP_1","00O2TNJGODT0G5Z4TTKYMN7K5","GSON5128283011")</f>
        <v>#NAME?</v>
      </c>
    </row>
    <row r="2530" spans="1:23" x14ac:dyDescent="0.2">
      <c r="A2530" s="15" t="s">
        <v>5229</v>
      </c>
      <c r="B2530" s="7" t="s">
        <v>5230</v>
      </c>
      <c r="C2530" s="3" t="e">
        <f ca="1">[1]!BexGetData("DP_1","003N8EMH8GTFRCSWKMPXRR8GU","GSON5129")</f>
        <v>#NAME?</v>
      </c>
      <c r="D2530" s="3" t="e">
        <f ca="1">[1]!BexGetData("DP_1","003N8EMH8GTFRCSWKMPXRRESE","GSON5129")</f>
        <v>#NAME?</v>
      </c>
      <c r="E2530" s="3" t="e">
        <f ca="1">[1]!BexGetData("DP_1","003N8EMH8GTFRCSWKMPXRRL3Y","GSON5129")</f>
        <v>#NAME?</v>
      </c>
      <c r="F2530" s="4" t="e">
        <f ca="1">[1]!BexGetData("DP_1","003N8EMH8GTFRCSWKMPXRRRFI","GSON5129")</f>
        <v>#NAME?</v>
      </c>
      <c r="G2530" s="4" t="e">
        <f ca="1">[1]!BexGetData("DP_1","003N8EMH8GTFRCSWKMPXRRXR2","GSON5129")</f>
        <v>#NAME?</v>
      </c>
      <c r="H2530" s="4" t="e">
        <f ca="1">[1]!BexGetData("DP_1","003N8EMH8GTFRCSWKMPXRS42M","GSON5129")</f>
        <v>#NAME?</v>
      </c>
      <c r="I2530" s="4" t="e">
        <f ca="1">[1]!BexGetData("DP_1","003N8EMH8GTFRCSWKMPXRSAE6","GSON5129")</f>
        <v>#NAME?</v>
      </c>
      <c r="J2530" s="4" t="e">
        <f ca="1">[1]!BexGetData("DP_1","003N8EMH8GTFRCSWKMPXRSGPQ","GSON5129")</f>
        <v>#NAME?</v>
      </c>
      <c r="K2530" s="3" t="e">
        <f ca="1">[1]!BexGetData("DP_1","003N8EMH8GTFRIVNUPY288VJH","GSON5129")</f>
        <v>#NAME?</v>
      </c>
      <c r="L2530" s="3" t="e">
        <f ca="1">[1]!BexGetData("DP_1","003N8EMH8GTFRIVNUPY2891V1","GSON5129")</f>
        <v>#NAME?</v>
      </c>
      <c r="M2530" s="8" t="e">
        <f ca="1">[1]!BexGetData("DP_1","003N8EMH8GTFRIVOG7KG9IQXA","GSON5129")</f>
        <v>#NAME?</v>
      </c>
      <c r="N2530" s="3" t="e">
        <f ca="1">[1]!BexGetData("DP_1","003N8EMH8GTFRIVOG7KG9IX8U","GSON5129")</f>
        <v>#NAME?</v>
      </c>
      <c r="O2530" s="8" t="e">
        <f ca="1">[1]!BexGetData("DP_1","003N8EMH8GTFRIVOG7KG9J3KE","GSON5129")</f>
        <v>#NAME?</v>
      </c>
      <c r="P2530" s="3" t="e">
        <f ca="1">[1]!BexGetData("DP_1","003N8EMH8GTFRIVOG7KG9J9VY","GSON5129")</f>
        <v>#NAME?</v>
      </c>
      <c r="Q2530" s="4" t="e">
        <f ca="1">[1]!BexGetData("DP_1","00O2TNJGODT0G5Z4TTKYMM5MT","GSON5129")</f>
        <v>#NAME?</v>
      </c>
      <c r="R2530" s="4" t="e">
        <f ca="1">[1]!BexGetData("DP_1","00O2TNJGODT0G5Z4TTKYMMBYD","GSON5129")</f>
        <v>#NAME?</v>
      </c>
      <c r="S2530" s="4" t="e">
        <f ca="1">[1]!BexGetData("DP_1","00O2TNJGODT0G5Z4TTKYMMI9X","GSON5129")</f>
        <v>#NAME?</v>
      </c>
      <c r="T2530" s="4" t="e">
        <f ca="1">[1]!BexGetData("DP_1","00O2TNJGODT0G5Z4TTKYMMOLH","GSON5129")</f>
        <v>#NAME?</v>
      </c>
      <c r="U2530" s="4" t="e">
        <f ca="1">[1]!BexGetData("DP_1","00O2TNJGODT0G5Z4TTKYMMUX1","GSON5129")</f>
        <v>#NAME?</v>
      </c>
      <c r="V2530" s="4" t="e">
        <f ca="1">[1]!BexGetData("DP_1","00O2TNJGODT0G5Z4TTKYMN18L","GSON5129")</f>
        <v>#NAME?</v>
      </c>
      <c r="W2530" s="4" t="e">
        <f ca="1">[1]!BexGetData("DP_1","00O2TNJGODT0G5Z4TTKYMN7K5","GSON5129")</f>
        <v>#NAME?</v>
      </c>
    </row>
    <row r="2531" spans="1:23" x14ac:dyDescent="0.2">
      <c r="A2531" s="16" t="s">
        <v>5231</v>
      </c>
      <c r="B2531" s="7" t="s">
        <v>5232</v>
      </c>
      <c r="C2531" s="3" t="e">
        <f ca="1">[1]!BexGetData("DP_1","003N8EMH8GTFRCSWKMPXRR8GU","GSON5129291011")</f>
        <v>#NAME?</v>
      </c>
      <c r="D2531" s="3" t="e">
        <f ca="1">[1]!BexGetData("DP_1","003N8EMH8GTFRCSWKMPXRRESE","GSON5129291011")</f>
        <v>#NAME?</v>
      </c>
      <c r="E2531" s="3" t="e">
        <f ca="1">[1]!BexGetData("DP_1","003N8EMH8GTFRCSWKMPXRRL3Y","GSON5129291011")</f>
        <v>#NAME?</v>
      </c>
      <c r="F2531" s="4" t="e">
        <f ca="1">[1]!BexGetData("DP_1","003N8EMH8GTFRCSWKMPXRRRFI","GSON5129291011")</f>
        <v>#NAME?</v>
      </c>
      <c r="G2531" s="4" t="e">
        <f ca="1">[1]!BexGetData("DP_1","003N8EMH8GTFRCSWKMPXRRXR2","GSON5129291011")</f>
        <v>#NAME?</v>
      </c>
      <c r="H2531" s="4" t="e">
        <f ca="1">[1]!BexGetData("DP_1","003N8EMH8GTFRCSWKMPXRS42M","GSON5129291011")</f>
        <v>#NAME?</v>
      </c>
      <c r="I2531" s="4" t="e">
        <f ca="1">[1]!BexGetData("DP_1","003N8EMH8GTFRCSWKMPXRSAE6","GSON5129291011")</f>
        <v>#NAME?</v>
      </c>
      <c r="J2531" s="4" t="e">
        <f ca="1">[1]!BexGetData("DP_1","003N8EMH8GTFRCSWKMPXRSGPQ","GSON5129291011")</f>
        <v>#NAME?</v>
      </c>
      <c r="K2531" s="3" t="e">
        <f ca="1">[1]!BexGetData("DP_1","003N8EMH8GTFRIVNUPY288VJH","GSON5129291011")</f>
        <v>#NAME?</v>
      </c>
      <c r="L2531" s="3" t="e">
        <f ca="1">[1]!BexGetData("DP_1","003N8EMH8GTFRIVNUPY2891V1","GSON5129291011")</f>
        <v>#NAME?</v>
      </c>
      <c r="M2531" s="8" t="e">
        <f ca="1">[1]!BexGetData("DP_1","003N8EMH8GTFRIVOG7KG9IQXA","GSON5129291011")</f>
        <v>#NAME?</v>
      </c>
      <c r="N2531" s="3" t="e">
        <f ca="1">[1]!BexGetData("DP_1","003N8EMH8GTFRIVOG7KG9IX8U","GSON5129291011")</f>
        <v>#NAME?</v>
      </c>
      <c r="O2531" s="8" t="e">
        <f ca="1">[1]!BexGetData("DP_1","003N8EMH8GTFRIVOG7KG9J3KE","GSON5129291011")</f>
        <v>#NAME?</v>
      </c>
      <c r="P2531" s="3" t="e">
        <f ca="1">[1]!BexGetData("DP_1","003N8EMH8GTFRIVOG7KG9J9VY","GSON5129291011")</f>
        <v>#NAME?</v>
      </c>
      <c r="Q2531" s="4" t="e">
        <f ca="1">[1]!BexGetData("DP_1","00O2TNJGODT0G5Z4TTKYMM5MT","GSON5129291011")</f>
        <v>#NAME?</v>
      </c>
      <c r="R2531" s="4" t="e">
        <f ca="1">[1]!BexGetData("DP_1","00O2TNJGODT0G5Z4TTKYMMBYD","GSON5129291011")</f>
        <v>#NAME?</v>
      </c>
      <c r="S2531" s="4" t="e">
        <f ca="1">[1]!BexGetData("DP_1","00O2TNJGODT0G5Z4TTKYMMI9X","GSON5129291011")</f>
        <v>#NAME?</v>
      </c>
      <c r="T2531" s="4" t="e">
        <f ca="1">[1]!BexGetData("DP_1","00O2TNJGODT0G5Z4TTKYMMOLH","GSON5129291011")</f>
        <v>#NAME?</v>
      </c>
      <c r="U2531" s="4" t="e">
        <f ca="1">[1]!BexGetData("DP_1","00O2TNJGODT0G5Z4TTKYMMUX1","GSON5129291011")</f>
        <v>#NAME?</v>
      </c>
      <c r="V2531" s="4" t="e">
        <f ca="1">[1]!BexGetData("DP_1","00O2TNJGODT0G5Z4TTKYMN18L","GSON5129291011")</f>
        <v>#NAME?</v>
      </c>
      <c r="W2531" s="4" t="e">
        <f ca="1">[1]!BexGetData("DP_1","00O2TNJGODT0G5Z4TTKYMN7K5","GSON5129291011")</f>
        <v>#NAME?</v>
      </c>
    </row>
    <row r="2532" spans="1:23" x14ac:dyDescent="0.2">
      <c r="A2532" s="16" t="s">
        <v>5233</v>
      </c>
      <c r="B2532" s="7" t="s">
        <v>5234</v>
      </c>
      <c r="C2532" s="3" t="e">
        <f ca="1">[1]!BexGetData("DP_1","003N8EMH8GTFRCSWKMPXRR8GU","GSON5129292011")</f>
        <v>#NAME?</v>
      </c>
      <c r="D2532" s="3" t="e">
        <f ca="1">[1]!BexGetData("DP_1","003N8EMH8GTFRCSWKMPXRRESE","GSON5129292011")</f>
        <v>#NAME?</v>
      </c>
      <c r="E2532" s="3" t="e">
        <f ca="1">[1]!BexGetData("DP_1","003N8EMH8GTFRCSWKMPXRRL3Y","GSON5129292011")</f>
        <v>#NAME?</v>
      </c>
      <c r="F2532" s="4" t="e">
        <f ca="1">[1]!BexGetData("DP_1","003N8EMH8GTFRCSWKMPXRRRFI","GSON5129292011")</f>
        <v>#NAME?</v>
      </c>
      <c r="G2532" s="4" t="e">
        <f ca="1">[1]!BexGetData("DP_1","003N8EMH8GTFRCSWKMPXRRXR2","GSON5129292011")</f>
        <v>#NAME?</v>
      </c>
      <c r="H2532" s="4" t="e">
        <f ca="1">[1]!BexGetData("DP_1","003N8EMH8GTFRCSWKMPXRS42M","GSON5129292011")</f>
        <v>#NAME?</v>
      </c>
      <c r="I2532" s="4" t="e">
        <f ca="1">[1]!BexGetData("DP_1","003N8EMH8GTFRCSWKMPXRSAE6","GSON5129292011")</f>
        <v>#NAME?</v>
      </c>
      <c r="J2532" s="4" t="e">
        <f ca="1">[1]!BexGetData("DP_1","003N8EMH8GTFRCSWKMPXRSGPQ","GSON5129292011")</f>
        <v>#NAME?</v>
      </c>
      <c r="K2532" s="3" t="e">
        <f ca="1">[1]!BexGetData("DP_1","003N8EMH8GTFRIVNUPY288VJH","GSON5129292011")</f>
        <v>#NAME?</v>
      </c>
      <c r="L2532" s="3" t="e">
        <f ca="1">[1]!BexGetData("DP_1","003N8EMH8GTFRIVNUPY2891V1","GSON5129292011")</f>
        <v>#NAME?</v>
      </c>
      <c r="M2532" s="8" t="e">
        <f ca="1">[1]!BexGetData("DP_1","003N8EMH8GTFRIVOG7KG9IQXA","GSON5129292011")</f>
        <v>#NAME?</v>
      </c>
      <c r="N2532" s="3" t="e">
        <f ca="1">[1]!BexGetData("DP_1","003N8EMH8GTFRIVOG7KG9IX8U","GSON5129292011")</f>
        <v>#NAME?</v>
      </c>
      <c r="O2532" s="8" t="e">
        <f ca="1">[1]!BexGetData("DP_1","003N8EMH8GTFRIVOG7KG9J3KE","GSON5129292011")</f>
        <v>#NAME?</v>
      </c>
      <c r="P2532" s="3" t="e">
        <f ca="1">[1]!BexGetData("DP_1","003N8EMH8GTFRIVOG7KG9J9VY","GSON5129292011")</f>
        <v>#NAME?</v>
      </c>
      <c r="Q2532" s="4" t="e">
        <f ca="1">[1]!BexGetData("DP_1","00O2TNJGODT0G5Z4TTKYMM5MT","GSON5129292011")</f>
        <v>#NAME?</v>
      </c>
      <c r="R2532" s="4" t="e">
        <f ca="1">[1]!BexGetData("DP_1","00O2TNJGODT0G5Z4TTKYMMBYD","GSON5129292011")</f>
        <v>#NAME?</v>
      </c>
      <c r="S2532" s="4" t="e">
        <f ca="1">[1]!BexGetData("DP_1","00O2TNJGODT0G5Z4TTKYMMI9X","GSON5129292011")</f>
        <v>#NAME?</v>
      </c>
      <c r="T2532" s="4" t="e">
        <f ca="1">[1]!BexGetData("DP_1","00O2TNJGODT0G5Z4TTKYMMOLH","GSON5129292011")</f>
        <v>#NAME?</v>
      </c>
      <c r="U2532" s="4" t="e">
        <f ca="1">[1]!BexGetData("DP_1","00O2TNJGODT0G5Z4TTKYMMUX1","GSON5129292011")</f>
        <v>#NAME?</v>
      </c>
      <c r="V2532" s="4" t="e">
        <f ca="1">[1]!BexGetData("DP_1","00O2TNJGODT0G5Z4TTKYMN18L","GSON5129292011")</f>
        <v>#NAME?</v>
      </c>
      <c r="W2532" s="4" t="e">
        <f ca="1">[1]!BexGetData("DP_1","00O2TNJGODT0G5Z4TTKYMN7K5","GSON5129292011")</f>
        <v>#NAME?</v>
      </c>
    </row>
    <row r="2533" spans="1:23" x14ac:dyDescent="0.2">
      <c r="A2533" s="16" t="s">
        <v>5235</v>
      </c>
      <c r="B2533" s="7" t="s">
        <v>5236</v>
      </c>
      <c r="C2533" s="3" t="e">
        <f ca="1">[1]!BexGetData("DP_1","003N8EMH8GTFRCSWKMPXRR8GU","GSON5129293011")</f>
        <v>#NAME?</v>
      </c>
      <c r="D2533" s="8" t="e">
        <f ca="1">[1]!BexGetData("DP_1","003N8EMH8GTFRCSWKMPXRRESE","GSON5129293011")</f>
        <v>#NAME?</v>
      </c>
      <c r="E2533" s="3" t="e">
        <f ca="1">[1]!BexGetData("DP_1","003N8EMH8GTFRCSWKMPXRRL3Y","GSON5129293011")</f>
        <v>#NAME?</v>
      </c>
      <c r="F2533" s="4" t="e">
        <f ca="1">[1]!BexGetData("DP_1","003N8EMH8GTFRCSWKMPXRRRFI","GSON5129293011")</f>
        <v>#NAME?</v>
      </c>
      <c r="G2533" s="4" t="e">
        <f ca="1">[1]!BexGetData("DP_1","003N8EMH8GTFRCSWKMPXRRXR2","GSON5129293011")</f>
        <v>#NAME?</v>
      </c>
      <c r="H2533" s="4" t="e">
        <f ca="1">[1]!BexGetData("DP_1","003N8EMH8GTFRCSWKMPXRS42M","GSON5129293011")</f>
        <v>#NAME?</v>
      </c>
      <c r="I2533" s="4" t="e">
        <f ca="1">[1]!BexGetData("DP_1","003N8EMH8GTFRCSWKMPXRSAE6","GSON5129293011")</f>
        <v>#NAME?</v>
      </c>
      <c r="J2533" s="4" t="e">
        <f ca="1">[1]!BexGetData("DP_1","003N8EMH8GTFRCSWKMPXRSGPQ","GSON5129293011")</f>
        <v>#NAME?</v>
      </c>
      <c r="K2533" s="3" t="e">
        <f ca="1">[1]!BexGetData("DP_1","003N8EMH8GTFRIVNUPY288VJH","GSON5129293011")</f>
        <v>#NAME?</v>
      </c>
      <c r="L2533" s="3" t="e">
        <f ca="1">[1]!BexGetData("DP_1","003N8EMH8GTFRIVNUPY2891V1","GSON5129293011")</f>
        <v>#NAME?</v>
      </c>
      <c r="M2533" s="8" t="e">
        <f ca="1">[1]!BexGetData("DP_1","003N8EMH8GTFRIVOG7KG9IQXA","GSON5129293011")</f>
        <v>#NAME?</v>
      </c>
      <c r="N2533" s="3" t="e">
        <f ca="1">[1]!BexGetData("DP_1","003N8EMH8GTFRIVOG7KG9IX8U","GSON5129293011")</f>
        <v>#NAME?</v>
      </c>
      <c r="O2533" s="8" t="e">
        <f ca="1">[1]!BexGetData("DP_1","003N8EMH8GTFRIVOG7KG9J3KE","GSON5129293011")</f>
        <v>#NAME?</v>
      </c>
      <c r="P2533" s="3" t="e">
        <f ca="1">[1]!BexGetData("DP_1","003N8EMH8GTFRIVOG7KG9J9VY","GSON5129293011")</f>
        <v>#NAME?</v>
      </c>
      <c r="Q2533" s="4" t="e">
        <f ca="1">[1]!BexGetData("DP_1","00O2TNJGODT0G5Z4TTKYMM5MT","GSON5129293011")</f>
        <v>#NAME?</v>
      </c>
      <c r="R2533" s="4" t="e">
        <f ca="1">[1]!BexGetData("DP_1","00O2TNJGODT0G5Z4TTKYMMBYD","GSON5129293011")</f>
        <v>#NAME?</v>
      </c>
      <c r="S2533" s="4" t="e">
        <f ca="1">[1]!BexGetData("DP_1","00O2TNJGODT0G5Z4TTKYMMI9X","GSON5129293011")</f>
        <v>#NAME?</v>
      </c>
      <c r="T2533" s="4" t="e">
        <f ca="1">[1]!BexGetData("DP_1","00O2TNJGODT0G5Z4TTKYMMOLH","GSON5129293011")</f>
        <v>#NAME?</v>
      </c>
      <c r="U2533" s="4" t="e">
        <f ca="1">[1]!BexGetData("DP_1","00O2TNJGODT0G5Z4TTKYMMUX1","GSON5129293011")</f>
        <v>#NAME?</v>
      </c>
      <c r="V2533" s="4" t="e">
        <f ca="1">[1]!BexGetData("DP_1","00O2TNJGODT0G5Z4TTKYMN18L","GSON5129293011")</f>
        <v>#NAME?</v>
      </c>
      <c r="W2533" s="4" t="e">
        <f ca="1">[1]!BexGetData("DP_1","00O2TNJGODT0G5Z4TTKYMN7K5","GSON5129293011")</f>
        <v>#NAME?</v>
      </c>
    </row>
    <row r="2534" spans="1:23" x14ac:dyDescent="0.2">
      <c r="A2534" s="16" t="s">
        <v>5237</v>
      </c>
      <c r="B2534" s="7" t="s">
        <v>5238</v>
      </c>
      <c r="C2534" s="3" t="e">
        <f ca="1">[1]!BexGetData("DP_1","003N8EMH8GTFRCSWKMPXRR8GU","GSON5129294011")</f>
        <v>#NAME?</v>
      </c>
      <c r="D2534" s="3" t="e">
        <f ca="1">[1]!BexGetData("DP_1","003N8EMH8GTFRCSWKMPXRRESE","GSON5129294011")</f>
        <v>#NAME?</v>
      </c>
      <c r="E2534" s="3" t="e">
        <f ca="1">[1]!BexGetData("DP_1","003N8EMH8GTFRCSWKMPXRRL3Y","GSON5129294011")</f>
        <v>#NAME?</v>
      </c>
      <c r="F2534" s="4" t="e">
        <f ca="1">[1]!BexGetData("DP_1","003N8EMH8GTFRCSWKMPXRRRFI","GSON5129294011")</f>
        <v>#NAME?</v>
      </c>
      <c r="G2534" s="4" t="e">
        <f ca="1">[1]!BexGetData("DP_1","003N8EMH8GTFRCSWKMPXRRXR2","GSON5129294011")</f>
        <v>#NAME?</v>
      </c>
      <c r="H2534" s="4" t="e">
        <f ca="1">[1]!BexGetData("DP_1","003N8EMH8GTFRCSWKMPXRS42M","GSON5129294011")</f>
        <v>#NAME?</v>
      </c>
      <c r="I2534" s="4" t="e">
        <f ca="1">[1]!BexGetData("DP_1","003N8EMH8GTFRCSWKMPXRSAE6","GSON5129294011")</f>
        <v>#NAME?</v>
      </c>
      <c r="J2534" s="4" t="e">
        <f ca="1">[1]!BexGetData("DP_1","003N8EMH8GTFRCSWKMPXRSGPQ","GSON5129294011")</f>
        <v>#NAME?</v>
      </c>
      <c r="K2534" s="3" t="e">
        <f ca="1">[1]!BexGetData("DP_1","003N8EMH8GTFRIVNUPY288VJH","GSON5129294011")</f>
        <v>#NAME?</v>
      </c>
      <c r="L2534" s="3" t="e">
        <f ca="1">[1]!BexGetData("DP_1","003N8EMH8GTFRIVNUPY2891V1","GSON5129294011")</f>
        <v>#NAME?</v>
      </c>
      <c r="M2534" s="8" t="e">
        <f ca="1">[1]!BexGetData("DP_1","003N8EMH8GTFRIVOG7KG9IQXA","GSON5129294011")</f>
        <v>#NAME?</v>
      </c>
      <c r="N2534" s="3" t="e">
        <f ca="1">[1]!BexGetData("DP_1","003N8EMH8GTFRIVOG7KG9IX8U","GSON5129294011")</f>
        <v>#NAME?</v>
      </c>
      <c r="O2534" s="8" t="e">
        <f ca="1">[1]!BexGetData("DP_1","003N8EMH8GTFRIVOG7KG9J3KE","GSON5129294011")</f>
        <v>#NAME?</v>
      </c>
      <c r="P2534" s="3" t="e">
        <f ca="1">[1]!BexGetData("DP_1","003N8EMH8GTFRIVOG7KG9J9VY","GSON5129294011")</f>
        <v>#NAME?</v>
      </c>
      <c r="Q2534" s="4" t="e">
        <f ca="1">[1]!BexGetData("DP_1","00O2TNJGODT0G5Z4TTKYMM5MT","GSON5129294011")</f>
        <v>#NAME?</v>
      </c>
      <c r="R2534" s="4" t="e">
        <f ca="1">[1]!BexGetData("DP_1","00O2TNJGODT0G5Z4TTKYMMBYD","GSON5129294011")</f>
        <v>#NAME?</v>
      </c>
      <c r="S2534" s="4" t="e">
        <f ca="1">[1]!BexGetData("DP_1","00O2TNJGODT0G5Z4TTKYMMI9X","GSON5129294011")</f>
        <v>#NAME?</v>
      </c>
      <c r="T2534" s="4" t="e">
        <f ca="1">[1]!BexGetData("DP_1","00O2TNJGODT0G5Z4TTKYMMOLH","GSON5129294011")</f>
        <v>#NAME?</v>
      </c>
      <c r="U2534" s="4" t="e">
        <f ca="1">[1]!BexGetData("DP_1","00O2TNJGODT0G5Z4TTKYMMUX1","GSON5129294011")</f>
        <v>#NAME?</v>
      </c>
      <c r="V2534" s="4" t="e">
        <f ca="1">[1]!BexGetData("DP_1","00O2TNJGODT0G5Z4TTKYMN18L","GSON5129294011")</f>
        <v>#NAME?</v>
      </c>
      <c r="W2534" s="4" t="e">
        <f ca="1">[1]!BexGetData("DP_1","00O2TNJGODT0G5Z4TTKYMN7K5","GSON5129294011")</f>
        <v>#NAME?</v>
      </c>
    </row>
    <row r="2535" spans="1:23" x14ac:dyDescent="0.2">
      <c r="A2535" s="16" t="s">
        <v>5239</v>
      </c>
      <c r="B2535" s="7" t="s">
        <v>5240</v>
      </c>
      <c r="C2535" s="3" t="e">
        <f ca="1">[1]!BexGetData("DP_1","003N8EMH8GTFRCSWKMPXRR8GU","GSON5129295011")</f>
        <v>#NAME?</v>
      </c>
      <c r="D2535" s="8" t="e">
        <f ca="1">[1]!BexGetData("DP_1","003N8EMH8GTFRCSWKMPXRRESE","GSON5129295011")</f>
        <v>#NAME?</v>
      </c>
      <c r="E2535" s="3" t="e">
        <f ca="1">[1]!BexGetData("DP_1","003N8EMH8GTFRCSWKMPXRRL3Y","GSON5129295011")</f>
        <v>#NAME?</v>
      </c>
      <c r="F2535" s="4" t="e">
        <f ca="1">[1]!BexGetData("DP_1","003N8EMH8GTFRCSWKMPXRRRFI","GSON5129295011")</f>
        <v>#NAME?</v>
      </c>
      <c r="G2535" s="4" t="e">
        <f ca="1">[1]!BexGetData("DP_1","003N8EMH8GTFRCSWKMPXRRXR2","GSON5129295011")</f>
        <v>#NAME?</v>
      </c>
      <c r="H2535" s="4" t="e">
        <f ca="1">[1]!BexGetData("DP_1","003N8EMH8GTFRCSWKMPXRS42M","GSON5129295011")</f>
        <v>#NAME?</v>
      </c>
      <c r="I2535" s="4" t="e">
        <f ca="1">[1]!BexGetData("DP_1","003N8EMH8GTFRCSWKMPXRSAE6","GSON5129295011")</f>
        <v>#NAME?</v>
      </c>
      <c r="J2535" s="4" t="e">
        <f ca="1">[1]!BexGetData("DP_1","003N8EMH8GTFRCSWKMPXRSGPQ","GSON5129295011")</f>
        <v>#NAME?</v>
      </c>
      <c r="K2535" s="3" t="e">
        <f ca="1">[1]!BexGetData("DP_1","003N8EMH8GTFRIVNUPY288VJH","GSON5129295011")</f>
        <v>#NAME?</v>
      </c>
      <c r="L2535" s="3" t="e">
        <f ca="1">[1]!BexGetData("DP_1","003N8EMH8GTFRIVNUPY2891V1","GSON5129295011")</f>
        <v>#NAME?</v>
      </c>
      <c r="M2535" s="8" t="e">
        <f ca="1">[1]!BexGetData("DP_1","003N8EMH8GTFRIVOG7KG9IQXA","GSON5129295011")</f>
        <v>#NAME?</v>
      </c>
      <c r="N2535" s="3" t="e">
        <f ca="1">[1]!BexGetData("DP_1","003N8EMH8GTFRIVOG7KG9IX8U","GSON5129295011")</f>
        <v>#NAME?</v>
      </c>
      <c r="O2535" s="8" t="e">
        <f ca="1">[1]!BexGetData("DP_1","003N8EMH8GTFRIVOG7KG9J3KE","GSON5129295011")</f>
        <v>#NAME?</v>
      </c>
      <c r="P2535" s="3" t="e">
        <f ca="1">[1]!BexGetData("DP_1","003N8EMH8GTFRIVOG7KG9J9VY","GSON5129295011")</f>
        <v>#NAME?</v>
      </c>
      <c r="Q2535" s="4" t="e">
        <f ca="1">[1]!BexGetData("DP_1","00O2TNJGODT0G5Z4TTKYMM5MT","GSON5129295011")</f>
        <v>#NAME?</v>
      </c>
      <c r="R2535" s="4" t="e">
        <f ca="1">[1]!BexGetData("DP_1","00O2TNJGODT0G5Z4TTKYMMBYD","GSON5129295011")</f>
        <v>#NAME?</v>
      </c>
      <c r="S2535" s="4" t="e">
        <f ca="1">[1]!BexGetData("DP_1","00O2TNJGODT0G5Z4TTKYMMI9X","GSON5129295011")</f>
        <v>#NAME?</v>
      </c>
      <c r="T2535" s="4" t="e">
        <f ca="1">[1]!BexGetData("DP_1","00O2TNJGODT0G5Z4TTKYMMOLH","GSON5129295011")</f>
        <v>#NAME?</v>
      </c>
      <c r="U2535" s="4" t="e">
        <f ca="1">[1]!BexGetData("DP_1","00O2TNJGODT0G5Z4TTKYMMUX1","GSON5129295011")</f>
        <v>#NAME?</v>
      </c>
      <c r="V2535" s="4" t="e">
        <f ca="1">[1]!BexGetData("DP_1","00O2TNJGODT0G5Z4TTKYMN18L","GSON5129295011")</f>
        <v>#NAME?</v>
      </c>
      <c r="W2535" s="4" t="e">
        <f ca="1">[1]!BexGetData("DP_1","00O2TNJGODT0G5Z4TTKYMN7K5","GSON5129295011")</f>
        <v>#NAME?</v>
      </c>
    </row>
    <row r="2536" spans="1:23" x14ac:dyDescent="0.2">
      <c r="A2536" s="16" t="s">
        <v>5241</v>
      </c>
      <c r="B2536" s="7" t="s">
        <v>5242</v>
      </c>
      <c r="C2536" s="3" t="e">
        <f ca="1">[1]!BexGetData("DP_1","003N8EMH8GTFRCSWKMPXRR8GU","GSON5129296011")</f>
        <v>#NAME?</v>
      </c>
      <c r="D2536" s="3" t="e">
        <f ca="1">[1]!BexGetData("DP_1","003N8EMH8GTFRCSWKMPXRRESE","GSON5129296011")</f>
        <v>#NAME?</v>
      </c>
      <c r="E2536" s="3" t="e">
        <f ca="1">[1]!BexGetData("DP_1","003N8EMH8GTFRCSWKMPXRRL3Y","GSON5129296011")</f>
        <v>#NAME?</v>
      </c>
      <c r="F2536" s="4" t="e">
        <f ca="1">[1]!BexGetData("DP_1","003N8EMH8GTFRCSWKMPXRRRFI","GSON5129296011")</f>
        <v>#NAME?</v>
      </c>
      <c r="G2536" s="4" t="e">
        <f ca="1">[1]!BexGetData("DP_1","003N8EMH8GTFRCSWKMPXRRXR2","GSON5129296011")</f>
        <v>#NAME?</v>
      </c>
      <c r="H2536" s="4" t="e">
        <f ca="1">[1]!BexGetData("DP_1","003N8EMH8GTFRCSWKMPXRS42M","GSON5129296011")</f>
        <v>#NAME?</v>
      </c>
      <c r="I2536" s="4" t="e">
        <f ca="1">[1]!BexGetData("DP_1","003N8EMH8GTFRCSWKMPXRSAE6","GSON5129296011")</f>
        <v>#NAME?</v>
      </c>
      <c r="J2536" s="4" t="e">
        <f ca="1">[1]!BexGetData("DP_1","003N8EMH8GTFRCSWKMPXRSGPQ","GSON5129296011")</f>
        <v>#NAME?</v>
      </c>
      <c r="K2536" s="3" t="e">
        <f ca="1">[1]!BexGetData("DP_1","003N8EMH8GTFRIVNUPY288VJH","GSON5129296011")</f>
        <v>#NAME?</v>
      </c>
      <c r="L2536" s="3" t="e">
        <f ca="1">[1]!BexGetData("DP_1","003N8EMH8GTFRIVNUPY2891V1","GSON5129296011")</f>
        <v>#NAME?</v>
      </c>
      <c r="M2536" s="8" t="e">
        <f ca="1">[1]!BexGetData("DP_1","003N8EMH8GTFRIVOG7KG9IQXA","GSON5129296011")</f>
        <v>#NAME?</v>
      </c>
      <c r="N2536" s="3" t="e">
        <f ca="1">[1]!BexGetData("DP_1","003N8EMH8GTFRIVOG7KG9IX8U","GSON5129296011")</f>
        <v>#NAME?</v>
      </c>
      <c r="O2536" s="8" t="e">
        <f ca="1">[1]!BexGetData("DP_1","003N8EMH8GTFRIVOG7KG9J3KE","GSON5129296011")</f>
        <v>#NAME?</v>
      </c>
      <c r="P2536" s="3" t="e">
        <f ca="1">[1]!BexGetData("DP_1","003N8EMH8GTFRIVOG7KG9J9VY","GSON5129296011")</f>
        <v>#NAME?</v>
      </c>
      <c r="Q2536" s="4" t="e">
        <f ca="1">[1]!BexGetData("DP_1","00O2TNJGODT0G5Z4TTKYMM5MT","GSON5129296011")</f>
        <v>#NAME?</v>
      </c>
      <c r="R2536" s="4" t="e">
        <f ca="1">[1]!BexGetData("DP_1","00O2TNJGODT0G5Z4TTKYMMBYD","GSON5129296011")</f>
        <v>#NAME?</v>
      </c>
      <c r="S2536" s="4" t="e">
        <f ca="1">[1]!BexGetData("DP_1","00O2TNJGODT0G5Z4TTKYMMI9X","GSON5129296011")</f>
        <v>#NAME?</v>
      </c>
      <c r="T2536" s="4" t="e">
        <f ca="1">[1]!BexGetData("DP_1","00O2TNJGODT0G5Z4TTKYMMOLH","GSON5129296011")</f>
        <v>#NAME?</v>
      </c>
      <c r="U2536" s="4" t="e">
        <f ca="1">[1]!BexGetData("DP_1","00O2TNJGODT0G5Z4TTKYMMUX1","GSON5129296011")</f>
        <v>#NAME?</v>
      </c>
      <c r="V2536" s="4" t="e">
        <f ca="1">[1]!BexGetData("DP_1","00O2TNJGODT0G5Z4TTKYMN18L","GSON5129296011")</f>
        <v>#NAME?</v>
      </c>
      <c r="W2536" s="4" t="e">
        <f ca="1">[1]!BexGetData("DP_1","00O2TNJGODT0G5Z4TTKYMN7K5","GSON5129296011")</f>
        <v>#NAME?</v>
      </c>
    </row>
    <row r="2537" spans="1:23" x14ac:dyDescent="0.2">
      <c r="A2537" s="16" t="s">
        <v>5243</v>
      </c>
      <c r="B2537" s="7" t="s">
        <v>5244</v>
      </c>
      <c r="C2537" s="3" t="e">
        <f ca="1">[1]!BexGetData("DP_1","003N8EMH8GTFRCSWKMPXRR8GU","GSON5129296012")</f>
        <v>#NAME?</v>
      </c>
      <c r="D2537" s="8" t="e">
        <f ca="1">[1]!BexGetData("DP_1","003N8EMH8GTFRCSWKMPXRRESE","GSON5129296012")</f>
        <v>#NAME?</v>
      </c>
      <c r="E2537" s="3" t="e">
        <f ca="1">[1]!BexGetData("DP_1","003N8EMH8GTFRCSWKMPXRRL3Y","GSON5129296012")</f>
        <v>#NAME?</v>
      </c>
      <c r="F2537" s="4" t="e">
        <f ca="1">[1]!BexGetData("DP_1","003N8EMH8GTFRCSWKMPXRRRFI","GSON5129296012")</f>
        <v>#NAME?</v>
      </c>
      <c r="G2537" s="4" t="e">
        <f ca="1">[1]!BexGetData("DP_1","003N8EMH8GTFRCSWKMPXRRXR2","GSON5129296012")</f>
        <v>#NAME?</v>
      </c>
      <c r="H2537" s="4" t="e">
        <f ca="1">[1]!BexGetData("DP_1","003N8EMH8GTFRCSWKMPXRS42M","GSON5129296012")</f>
        <v>#NAME?</v>
      </c>
      <c r="I2537" s="4" t="e">
        <f ca="1">[1]!BexGetData("DP_1","003N8EMH8GTFRCSWKMPXRSAE6","GSON5129296012")</f>
        <v>#NAME?</v>
      </c>
      <c r="J2537" s="4" t="e">
        <f ca="1">[1]!BexGetData("DP_1","003N8EMH8GTFRCSWKMPXRSGPQ","GSON5129296012")</f>
        <v>#NAME?</v>
      </c>
      <c r="K2537" s="3" t="e">
        <f ca="1">[1]!BexGetData("DP_1","003N8EMH8GTFRIVNUPY288VJH","GSON5129296012")</f>
        <v>#NAME?</v>
      </c>
      <c r="L2537" s="3" t="e">
        <f ca="1">[1]!BexGetData("DP_1","003N8EMH8GTFRIVNUPY2891V1","GSON5129296012")</f>
        <v>#NAME?</v>
      </c>
      <c r="M2537" s="8" t="e">
        <f ca="1">[1]!BexGetData("DP_1","003N8EMH8GTFRIVOG7KG9IQXA","GSON5129296012")</f>
        <v>#NAME?</v>
      </c>
      <c r="N2537" s="3" t="e">
        <f ca="1">[1]!BexGetData("DP_1","003N8EMH8GTFRIVOG7KG9IX8U","GSON5129296012")</f>
        <v>#NAME?</v>
      </c>
      <c r="O2537" s="8" t="e">
        <f ca="1">[1]!BexGetData("DP_1","003N8EMH8GTFRIVOG7KG9J3KE","GSON5129296012")</f>
        <v>#NAME?</v>
      </c>
      <c r="P2537" s="3" t="e">
        <f ca="1">[1]!BexGetData("DP_1","003N8EMH8GTFRIVOG7KG9J9VY","GSON5129296012")</f>
        <v>#NAME?</v>
      </c>
      <c r="Q2537" s="4" t="e">
        <f ca="1">[1]!BexGetData("DP_1","00O2TNJGODT0G5Z4TTKYMM5MT","GSON5129296012")</f>
        <v>#NAME?</v>
      </c>
      <c r="R2537" s="4" t="e">
        <f ca="1">[1]!BexGetData("DP_1","00O2TNJGODT0G5Z4TTKYMMBYD","GSON5129296012")</f>
        <v>#NAME?</v>
      </c>
      <c r="S2537" s="4" t="e">
        <f ca="1">[1]!BexGetData("DP_1","00O2TNJGODT0G5Z4TTKYMMI9X","GSON5129296012")</f>
        <v>#NAME?</v>
      </c>
      <c r="T2537" s="4" t="e">
        <f ca="1">[1]!BexGetData("DP_1","00O2TNJGODT0G5Z4TTKYMMOLH","GSON5129296012")</f>
        <v>#NAME?</v>
      </c>
      <c r="U2537" s="4" t="e">
        <f ca="1">[1]!BexGetData("DP_1","00O2TNJGODT0G5Z4TTKYMMUX1","GSON5129296012")</f>
        <v>#NAME?</v>
      </c>
      <c r="V2537" s="4" t="e">
        <f ca="1">[1]!BexGetData("DP_1","00O2TNJGODT0G5Z4TTKYMN18L","GSON5129296012")</f>
        <v>#NAME?</v>
      </c>
      <c r="W2537" s="4" t="e">
        <f ca="1">[1]!BexGetData("DP_1","00O2TNJGODT0G5Z4TTKYMN7K5","GSON5129296012")</f>
        <v>#NAME?</v>
      </c>
    </row>
    <row r="2538" spans="1:23" x14ac:dyDescent="0.2">
      <c r="A2538" s="16" t="s">
        <v>5245</v>
      </c>
      <c r="B2538" s="7" t="s">
        <v>5246</v>
      </c>
      <c r="C2538" s="3" t="e">
        <f ca="1">[1]!BexGetData("DP_1","003N8EMH8GTFRCSWKMPXRR8GU","GSON5129298011")</f>
        <v>#NAME?</v>
      </c>
      <c r="D2538" s="3" t="e">
        <f ca="1">[1]!BexGetData("DP_1","003N8EMH8GTFRCSWKMPXRRESE","GSON5129298011")</f>
        <v>#NAME?</v>
      </c>
      <c r="E2538" s="3" t="e">
        <f ca="1">[1]!BexGetData("DP_1","003N8EMH8GTFRCSWKMPXRRL3Y","GSON5129298011")</f>
        <v>#NAME?</v>
      </c>
      <c r="F2538" s="4" t="e">
        <f ca="1">[1]!BexGetData("DP_1","003N8EMH8GTFRCSWKMPXRRRFI","GSON5129298011")</f>
        <v>#NAME?</v>
      </c>
      <c r="G2538" s="4" t="e">
        <f ca="1">[1]!BexGetData("DP_1","003N8EMH8GTFRCSWKMPXRRXR2","GSON5129298011")</f>
        <v>#NAME?</v>
      </c>
      <c r="H2538" s="4" t="e">
        <f ca="1">[1]!BexGetData("DP_1","003N8EMH8GTFRCSWKMPXRS42M","GSON5129298011")</f>
        <v>#NAME?</v>
      </c>
      <c r="I2538" s="4" t="e">
        <f ca="1">[1]!BexGetData("DP_1","003N8EMH8GTFRCSWKMPXRSAE6","GSON5129298011")</f>
        <v>#NAME?</v>
      </c>
      <c r="J2538" s="4" t="e">
        <f ca="1">[1]!BexGetData("DP_1","003N8EMH8GTFRCSWKMPXRSGPQ","GSON5129298011")</f>
        <v>#NAME?</v>
      </c>
      <c r="K2538" s="3" t="e">
        <f ca="1">[1]!BexGetData("DP_1","003N8EMH8GTFRIVNUPY288VJH","GSON5129298011")</f>
        <v>#NAME?</v>
      </c>
      <c r="L2538" s="3" t="e">
        <f ca="1">[1]!BexGetData("DP_1","003N8EMH8GTFRIVNUPY2891V1","GSON5129298011")</f>
        <v>#NAME?</v>
      </c>
      <c r="M2538" s="8" t="e">
        <f ca="1">[1]!BexGetData("DP_1","003N8EMH8GTFRIVOG7KG9IQXA","GSON5129298011")</f>
        <v>#NAME?</v>
      </c>
      <c r="N2538" s="3" t="e">
        <f ca="1">[1]!BexGetData("DP_1","003N8EMH8GTFRIVOG7KG9IX8U","GSON5129298011")</f>
        <v>#NAME?</v>
      </c>
      <c r="O2538" s="8" t="e">
        <f ca="1">[1]!BexGetData("DP_1","003N8EMH8GTFRIVOG7KG9J3KE","GSON5129298011")</f>
        <v>#NAME?</v>
      </c>
      <c r="P2538" s="3" t="e">
        <f ca="1">[1]!BexGetData("DP_1","003N8EMH8GTFRIVOG7KG9J9VY","GSON5129298011")</f>
        <v>#NAME?</v>
      </c>
      <c r="Q2538" s="4" t="e">
        <f ca="1">[1]!BexGetData("DP_1","00O2TNJGODT0G5Z4TTKYMM5MT","GSON5129298011")</f>
        <v>#NAME?</v>
      </c>
      <c r="R2538" s="4" t="e">
        <f ca="1">[1]!BexGetData("DP_1","00O2TNJGODT0G5Z4TTKYMMBYD","GSON5129298011")</f>
        <v>#NAME?</v>
      </c>
      <c r="S2538" s="4" t="e">
        <f ca="1">[1]!BexGetData("DP_1","00O2TNJGODT0G5Z4TTKYMMI9X","GSON5129298011")</f>
        <v>#NAME?</v>
      </c>
      <c r="T2538" s="4" t="e">
        <f ca="1">[1]!BexGetData("DP_1","00O2TNJGODT0G5Z4TTKYMMOLH","GSON5129298011")</f>
        <v>#NAME?</v>
      </c>
      <c r="U2538" s="4" t="e">
        <f ca="1">[1]!BexGetData("DP_1","00O2TNJGODT0G5Z4TTKYMMUX1","GSON5129298011")</f>
        <v>#NAME?</v>
      </c>
      <c r="V2538" s="4" t="e">
        <f ca="1">[1]!BexGetData("DP_1","00O2TNJGODT0G5Z4TTKYMN18L","GSON5129298011")</f>
        <v>#NAME?</v>
      </c>
      <c r="W2538" s="4" t="e">
        <f ca="1">[1]!BexGetData("DP_1","00O2TNJGODT0G5Z4TTKYMN7K5","GSON5129298011")</f>
        <v>#NAME?</v>
      </c>
    </row>
    <row r="2539" spans="1:23" x14ac:dyDescent="0.2">
      <c r="A2539" s="16" t="s">
        <v>5247</v>
      </c>
      <c r="B2539" s="7" t="s">
        <v>5248</v>
      </c>
      <c r="C2539" s="3" t="e">
        <f ca="1">[1]!BexGetData("DP_1","003N8EMH8GTFRCSWKMPXRR8GU","GSON5129299011")</f>
        <v>#NAME?</v>
      </c>
      <c r="D2539" s="8" t="e">
        <f ca="1">[1]!BexGetData("DP_1","003N8EMH8GTFRCSWKMPXRRESE","GSON5129299011")</f>
        <v>#NAME?</v>
      </c>
      <c r="E2539" s="3" t="e">
        <f ca="1">[1]!BexGetData("DP_1","003N8EMH8GTFRCSWKMPXRRL3Y","GSON5129299011")</f>
        <v>#NAME?</v>
      </c>
      <c r="F2539" s="4" t="e">
        <f ca="1">[1]!BexGetData("DP_1","003N8EMH8GTFRCSWKMPXRRRFI","GSON5129299011")</f>
        <v>#NAME?</v>
      </c>
      <c r="G2539" s="4" t="e">
        <f ca="1">[1]!BexGetData("DP_1","003N8EMH8GTFRCSWKMPXRRXR2","GSON5129299011")</f>
        <v>#NAME?</v>
      </c>
      <c r="H2539" s="4" t="e">
        <f ca="1">[1]!BexGetData("DP_1","003N8EMH8GTFRCSWKMPXRS42M","GSON5129299011")</f>
        <v>#NAME?</v>
      </c>
      <c r="I2539" s="4" t="e">
        <f ca="1">[1]!BexGetData("DP_1","003N8EMH8GTFRCSWKMPXRSAE6","GSON5129299011")</f>
        <v>#NAME?</v>
      </c>
      <c r="J2539" s="4" t="e">
        <f ca="1">[1]!BexGetData("DP_1","003N8EMH8GTFRCSWKMPXRSGPQ","GSON5129299011")</f>
        <v>#NAME?</v>
      </c>
      <c r="K2539" s="3" t="e">
        <f ca="1">[1]!BexGetData("DP_1","003N8EMH8GTFRIVNUPY288VJH","GSON5129299011")</f>
        <v>#NAME?</v>
      </c>
      <c r="L2539" s="3" t="e">
        <f ca="1">[1]!BexGetData("DP_1","003N8EMH8GTFRIVNUPY2891V1","GSON5129299011")</f>
        <v>#NAME?</v>
      </c>
      <c r="M2539" s="8" t="e">
        <f ca="1">[1]!BexGetData("DP_1","003N8EMH8GTFRIVOG7KG9IQXA","GSON5129299011")</f>
        <v>#NAME?</v>
      </c>
      <c r="N2539" s="3" t="e">
        <f ca="1">[1]!BexGetData("DP_1","003N8EMH8GTFRIVOG7KG9IX8U","GSON5129299011")</f>
        <v>#NAME?</v>
      </c>
      <c r="O2539" s="8" t="e">
        <f ca="1">[1]!BexGetData("DP_1","003N8EMH8GTFRIVOG7KG9J3KE","GSON5129299011")</f>
        <v>#NAME?</v>
      </c>
      <c r="P2539" s="3" t="e">
        <f ca="1">[1]!BexGetData("DP_1","003N8EMH8GTFRIVOG7KG9J9VY","GSON5129299011")</f>
        <v>#NAME?</v>
      </c>
      <c r="Q2539" s="4" t="e">
        <f ca="1">[1]!BexGetData("DP_1","00O2TNJGODT0G5Z4TTKYMM5MT","GSON5129299011")</f>
        <v>#NAME?</v>
      </c>
      <c r="R2539" s="4" t="e">
        <f ca="1">[1]!BexGetData("DP_1","00O2TNJGODT0G5Z4TTKYMMBYD","GSON5129299011")</f>
        <v>#NAME?</v>
      </c>
      <c r="S2539" s="4" t="e">
        <f ca="1">[1]!BexGetData("DP_1","00O2TNJGODT0G5Z4TTKYMMI9X","GSON5129299011")</f>
        <v>#NAME?</v>
      </c>
      <c r="T2539" s="4" t="e">
        <f ca="1">[1]!BexGetData("DP_1","00O2TNJGODT0G5Z4TTKYMMOLH","GSON5129299011")</f>
        <v>#NAME?</v>
      </c>
      <c r="U2539" s="4" t="e">
        <f ca="1">[1]!BexGetData("DP_1","00O2TNJGODT0G5Z4TTKYMMUX1","GSON5129299011")</f>
        <v>#NAME?</v>
      </c>
      <c r="V2539" s="4" t="e">
        <f ca="1">[1]!BexGetData("DP_1","00O2TNJGODT0G5Z4TTKYMN18L","GSON5129299011")</f>
        <v>#NAME?</v>
      </c>
      <c r="W2539" s="4" t="e">
        <f ca="1">[1]!BexGetData("DP_1","00O2TNJGODT0G5Z4TTKYMN7K5","GSON5129299011")</f>
        <v>#NAME?</v>
      </c>
    </row>
    <row r="2540" spans="1:23" x14ac:dyDescent="0.2">
      <c r="A2540" s="14" t="s">
        <v>390</v>
      </c>
      <c r="B2540" s="7" t="s">
        <v>391</v>
      </c>
      <c r="C2540" s="3" t="e">
        <f ca="1">[1]!BexGetData("DP_1","003N8EMH8GTFRCSWKMPXRR8GU","GSON513")</f>
        <v>#NAME?</v>
      </c>
      <c r="D2540" s="3" t="e">
        <f ca="1">[1]!BexGetData("DP_1","003N8EMH8GTFRCSWKMPXRRESE","GSON513")</f>
        <v>#NAME?</v>
      </c>
      <c r="E2540" s="3" t="e">
        <f ca="1">[1]!BexGetData("DP_1","003N8EMH8GTFRCSWKMPXRRL3Y","GSON513")</f>
        <v>#NAME?</v>
      </c>
      <c r="F2540" s="4" t="e">
        <f ca="1">[1]!BexGetData("DP_1","003N8EMH8GTFRCSWKMPXRRRFI","GSON513")</f>
        <v>#NAME?</v>
      </c>
      <c r="G2540" s="4" t="e">
        <f ca="1">[1]!BexGetData("DP_1","003N8EMH8GTFRCSWKMPXRRXR2","GSON513")</f>
        <v>#NAME?</v>
      </c>
      <c r="H2540" s="4" t="e">
        <f ca="1">[1]!BexGetData("DP_1","003N8EMH8GTFRCSWKMPXRS42M","GSON513")</f>
        <v>#NAME?</v>
      </c>
      <c r="I2540" s="4" t="e">
        <f ca="1">[1]!BexGetData("DP_1","003N8EMH8GTFRCSWKMPXRSAE6","GSON513")</f>
        <v>#NAME?</v>
      </c>
      <c r="J2540" s="4" t="e">
        <f ca="1">[1]!BexGetData("DP_1","003N8EMH8GTFRCSWKMPXRSGPQ","GSON513")</f>
        <v>#NAME?</v>
      </c>
      <c r="K2540" s="3" t="e">
        <f ca="1">[1]!BexGetData("DP_1","003N8EMH8GTFRIVNUPY288VJH","GSON513")</f>
        <v>#NAME?</v>
      </c>
      <c r="L2540" s="3" t="e">
        <f ca="1">[1]!BexGetData("DP_1","003N8EMH8GTFRIVNUPY2891V1","GSON513")</f>
        <v>#NAME?</v>
      </c>
      <c r="M2540" s="8" t="e">
        <f ca="1">[1]!BexGetData("DP_1","003N8EMH8GTFRIVOG7KG9IQXA","GSON513")</f>
        <v>#NAME?</v>
      </c>
      <c r="N2540" s="3" t="e">
        <f ca="1">[1]!BexGetData("DP_1","003N8EMH8GTFRIVOG7KG9IX8U","GSON513")</f>
        <v>#NAME?</v>
      </c>
      <c r="O2540" s="8" t="e">
        <f ca="1">[1]!BexGetData("DP_1","003N8EMH8GTFRIVOG7KG9J3KE","GSON513")</f>
        <v>#NAME?</v>
      </c>
      <c r="P2540" s="3" t="e">
        <f ca="1">[1]!BexGetData("DP_1","003N8EMH8GTFRIVOG7KG9J9VY","GSON513")</f>
        <v>#NAME?</v>
      </c>
      <c r="Q2540" s="4" t="e">
        <f ca="1">[1]!BexGetData("DP_1","00O2TNJGODT0G5Z4TTKYMM5MT","GSON513")</f>
        <v>#NAME?</v>
      </c>
      <c r="R2540" s="4" t="e">
        <f ca="1">[1]!BexGetData("DP_1","00O2TNJGODT0G5Z4TTKYMMBYD","GSON513")</f>
        <v>#NAME?</v>
      </c>
      <c r="S2540" s="4" t="e">
        <f ca="1">[1]!BexGetData("DP_1","00O2TNJGODT0G5Z4TTKYMMI9X","GSON513")</f>
        <v>#NAME?</v>
      </c>
      <c r="T2540" s="4" t="e">
        <f ca="1">[1]!BexGetData("DP_1","00O2TNJGODT0G5Z4TTKYMMOLH","GSON513")</f>
        <v>#NAME?</v>
      </c>
      <c r="U2540" s="4" t="e">
        <f ca="1">[1]!BexGetData("DP_1","00O2TNJGODT0G5Z4TTKYMMUX1","GSON513")</f>
        <v>#NAME?</v>
      </c>
      <c r="V2540" s="4" t="e">
        <f ca="1">[1]!BexGetData("DP_1","00O2TNJGODT0G5Z4TTKYMN18L","GSON513")</f>
        <v>#NAME?</v>
      </c>
      <c r="W2540" s="4" t="e">
        <f ca="1">[1]!BexGetData("DP_1","00O2TNJGODT0G5Z4TTKYMN7K5","GSON513")</f>
        <v>#NAME?</v>
      </c>
    </row>
    <row r="2541" spans="1:23" x14ac:dyDescent="0.2">
      <c r="A2541" s="15" t="s">
        <v>392</v>
      </c>
      <c r="B2541" s="7" t="s">
        <v>393</v>
      </c>
      <c r="C2541" s="3" t="e">
        <f ca="1">[1]!BexGetData("DP_1","003N8EMH8GTFRCSWKMPXRR8GU","GSON5131")</f>
        <v>#NAME?</v>
      </c>
      <c r="D2541" s="3" t="e">
        <f ca="1">[1]!BexGetData("DP_1","003N8EMH8GTFRCSWKMPXRRESE","GSON5131")</f>
        <v>#NAME?</v>
      </c>
      <c r="E2541" s="3" t="e">
        <f ca="1">[1]!BexGetData("DP_1","003N8EMH8GTFRCSWKMPXRRL3Y","GSON5131")</f>
        <v>#NAME?</v>
      </c>
      <c r="F2541" s="4" t="e">
        <f ca="1">[1]!BexGetData("DP_1","003N8EMH8GTFRCSWKMPXRRRFI","GSON5131")</f>
        <v>#NAME?</v>
      </c>
      <c r="G2541" s="4" t="e">
        <f ca="1">[1]!BexGetData("DP_1","003N8EMH8GTFRCSWKMPXRRXR2","GSON5131")</f>
        <v>#NAME?</v>
      </c>
      <c r="H2541" s="4" t="e">
        <f ca="1">[1]!BexGetData("DP_1","003N8EMH8GTFRCSWKMPXRS42M","GSON5131")</f>
        <v>#NAME?</v>
      </c>
      <c r="I2541" s="4" t="e">
        <f ca="1">[1]!BexGetData("DP_1","003N8EMH8GTFRCSWKMPXRSAE6","GSON5131")</f>
        <v>#NAME?</v>
      </c>
      <c r="J2541" s="4" t="e">
        <f ca="1">[1]!BexGetData("DP_1","003N8EMH8GTFRCSWKMPXRSGPQ","GSON5131")</f>
        <v>#NAME?</v>
      </c>
      <c r="K2541" s="3" t="e">
        <f ca="1">[1]!BexGetData("DP_1","003N8EMH8GTFRIVNUPY288VJH","GSON5131")</f>
        <v>#NAME?</v>
      </c>
      <c r="L2541" s="3" t="e">
        <f ca="1">[1]!BexGetData("DP_1","003N8EMH8GTFRIVNUPY2891V1","GSON5131")</f>
        <v>#NAME?</v>
      </c>
      <c r="M2541" s="8" t="e">
        <f ca="1">[1]!BexGetData("DP_1","003N8EMH8GTFRIVOG7KG9IQXA","GSON5131")</f>
        <v>#NAME?</v>
      </c>
      <c r="N2541" s="3" t="e">
        <f ca="1">[1]!BexGetData("DP_1","003N8EMH8GTFRIVOG7KG9IX8U","GSON5131")</f>
        <v>#NAME?</v>
      </c>
      <c r="O2541" s="8" t="e">
        <f ca="1">[1]!BexGetData("DP_1","003N8EMH8GTFRIVOG7KG9J3KE","GSON5131")</f>
        <v>#NAME?</v>
      </c>
      <c r="P2541" s="3" t="e">
        <f ca="1">[1]!BexGetData("DP_1","003N8EMH8GTFRIVOG7KG9J9VY","GSON5131")</f>
        <v>#NAME?</v>
      </c>
      <c r="Q2541" s="4" t="e">
        <f ca="1">[1]!BexGetData("DP_1","00O2TNJGODT0G5Z4TTKYMM5MT","GSON5131")</f>
        <v>#NAME?</v>
      </c>
      <c r="R2541" s="4" t="e">
        <f ca="1">[1]!BexGetData("DP_1","00O2TNJGODT0G5Z4TTKYMMBYD","GSON5131")</f>
        <v>#NAME?</v>
      </c>
      <c r="S2541" s="4" t="e">
        <f ca="1">[1]!BexGetData("DP_1","00O2TNJGODT0G5Z4TTKYMMI9X","GSON5131")</f>
        <v>#NAME?</v>
      </c>
      <c r="T2541" s="4" t="e">
        <f ca="1">[1]!BexGetData("DP_1","00O2TNJGODT0G5Z4TTKYMMOLH","GSON5131")</f>
        <v>#NAME?</v>
      </c>
      <c r="U2541" s="4" t="e">
        <f ca="1">[1]!BexGetData("DP_1","00O2TNJGODT0G5Z4TTKYMMUX1","GSON5131")</f>
        <v>#NAME?</v>
      </c>
      <c r="V2541" s="4" t="e">
        <f ca="1">[1]!BexGetData("DP_1","00O2TNJGODT0G5Z4TTKYMN18L","GSON5131")</f>
        <v>#NAME?</v>
      </c>
      <c r="W2541" s="4" t="e">
        <f ca="1">[1]!BexGetData("DP_1","00O2TNJGODT0G5Z4TTKYMN7K5","GSON5131")</f>
        <v>#NAME?</v>
      </c>
    </row>
    <row r="2542" spans="1:23" x14ac:dyDescent="0.2">
      <c r="A2542" s="16" t="s">
        <v>1708</v>
      </c>
      <c r="B2542" s="7" t="s">
        <v>394</v>
      </c>
      <c r="C2542" s="3" t="e">
        <f ca="1">[1]!BexGetData("DP_1","003N8EMH8GTFRCSWKMPXRR8GU","GSON5131311011")</f>
        <v>#NAME?</v>
      </c>
      <c r="D2542" s="3" t="e">
        <f ca="1">[1]!BexGetData("DP_1","003N8EMH8GTFRCSWKMPXRRESE","GSON5131311011")</f>
        <v>#NAME?</v>
      </c>
      <c r="E2542" s="3" t="e">
        <f ca="1">[1]!BexGetData("DP_1","003N8EMH8GTFRCSWKMPXRRL3Y","GSON5131311011")</f>
        <v>#NAME?</v>
      </c>
      <c r="F2542" s="4" t="e">
        <f ca="1">[1]!BexGetData("DP_1","003N8EMH8GTFRCSWKMPXRRRFI","GSON5131311011")</f>
        <v>#NAME?</v>
      </c>
      <c r="G2542" s="4" t="e">
        <f ca="1">[1]!BexGetData("DP_1","003N8EMH8GTFRCSWKMPXRRXR2","GSON5131311011")</f>
        <v>#NAME?</v>
      </c>
      <c r="H2542" s="4" t="e">
        <f ca="1">[1]!BexGetData("DP_1","003N8EMH8GTFRCSWKMPXRS42M","GSON5131311011")</f>
        <v>#NAME?</v>
      </c>
      <c r="I2542" s="4" t="e">
        <f ca="1">[1]!BexGetData("DP_1","003N8EMH8GTFRCSWKMPXRSAE6","GSON5131311011")</f>
        <v>#NAME?</v>
      </c>
      <c r="J2542" s="4" t="e">
        <f ca="1">[1]!BexGetData("DP_1","003N8EMH8GTFRCSWKMPXRSGPQ","GSON5131311011")</f>
        <v>#NAME?</v>
      </c>
      <c r="K2542" s="3" t="e">
        <f ca="1">[1]!BexGetData("DP_1","003N8EMH8GTFRIVNUPY288VJH","GSON5131311011")</f>
        <v>#NAME?</v>
      </c>
      <c r="L2542" s="3" t="e">
        <f ca="1">[1]!BexGetData("DP_1","003N8EMH8GTFRIVNUPY2891V1","GSON5131311011")</f>
        <v>#NAME?</v>
      </c>
      <c r="M2542" s="8" t="e">
        <f ca="1">[1]!BexGetData("DP_1","003N8EMH8GTFRIVOG7KG9IQXA","GSON5131311011")</f>
        <v>#NAME?</v>
      </c>
      <c r="N2542" s="3" t="e">
        <f ca="1">[1]!BexGetData("DP_1","003N8EMH8GTFRIVOG7KG9IX8U","GSON5131311011")</f>
        <v>#NAME?</v>
      </c>
      <c r="O2542" s="8" t="e">
        <f ca="1">[1]!BexGetData("DP_1","003N8EMH8GTFRIVOG7KG9J3KE","GSON5131311011")</f>
        <v>#NAME?</v>
      </c>
      <c r="P2542" s="3" t="e">
        <f ca="1">[1]!BexGetData("DP_1","003N8EMH8GTFRIVOG7KG9J9VY","GSON5131311011")</f>
        <v>#NAME?</v>
      </c>
      <c r="Q2542" s="4" t="e">
        <f ca="1">[1]!BexGetData("DP_1","00O2TNJGODT0G5Z4TTKYMM5MT","GSON5131311011")</f>
        <v>#NAME?</v>
      </c>
      <c r="R2542" s="4" t="e">
        <f ca="1">[1]!BexGetData("DP_1","00O2TNJGODT0G5Z4TTKYMMBYD","GSON5131311011")</f>
        <v>#NAME?</v>
      </c>
      <c r="S2542" s="4" t="e">
        <f ca="1">[1]!BexGetData("DP_1","00O2TNJGODT0G5Z4TTKYMMI9X","GSON5131311011")</f>
        <v>#NAME?</v>
      </c>
      <c r="T2542" s="4" t="e">
        <f ca="1">[1]!BexGetData("DP_1","00O2TNJGODT0G5Z4TTKYMMOLH","GSON5131311011")</f>
        <v>#NAME?</v>
      </c>
      <c r="U2542" s="4" t="e">
        <f ca="1">[1]!BexGetData("DP_1","00O2TNJGODT0G5Z4TTKYMMUX1","GSON5131311011")</f>
        <v>#NAME?</v>
      </c>
      <c r="V2542" s="4" t="e">
        <f ca="1">[1]!BexGetData("DP_1","00O2TNJGODT0G5Z4TTKYMN18L","GSON5131311011")</f>
        <v>#NAME?</v>
      </c>
      <c r="W2542" s="4" t="e">
        <f ca="1">[1]!BexGetData("DP_1","00O2TNJGODT0G5Z4TTKYMN7K5","GSON5131311011")</f>
        <v>#NAME?</v>
      </c>
    </row>
    <row r="2543" spans="1:23" x14ac:dyDescent="0.2">
      <c r="A2543" s="16" t="s">
        <v>1566</v>
      </c>
      <c r="B2543" s="7" t="s">
        <v>1567</v>
      </c>
      <c r="C2543" s="3" t="e">
        <f ca="1">[1]!BexGetData("DP_1","003N8EMH8GTFRCSWKMPXRR8GU","GSON5131312011")</f>
        <v>#NAME?</v>
      </c>
      <c r="D2543" s="3" t="e">
        <f ca="1">[1]!BexGetData("DP_1","003N8EMH8GTFRCSWKMPXRRESE","GSON5131312011")</f>
        <v>#NAME?</v>
      </c>
      <c r="E2543" s="3" t="e">
        <f ca="1">[1]!BexGetData("DP_1","003N8EMH8GTFRCSWKMPXRRL3Y","GSON5131312011")</f>
        <v>#NAME?</v>
      </c>
      <c r="F2543" s="4" t="e">
        <f ca="1">[1]!BexGetData("DP_1","003N8EMH8GTFRCSWKMPXRRRFI","GSON5131312011")</f>
        <v>#NAME?</v>
      </c>
      <c r="G2543" s="4" t="e">
        <f ca="1">[1]!BexGetData("DP_1","003N8EMH8GTFRCSWKMPXRRXR2","GSON5131312011")</f>
        <v>#NAME?</v>
      </c>
      <c r="H2543" s="4" t="e">
        <f ca="1">[1]!BexGetData("DP_1","003N8EMH8GTFRCSWKMPXRS42M","GSON5131312011")</f>
        <v>#NAME?</v>
      </c>
      <c r="I2543" s="4" t="e">
        <f ca="1">[1]!BexGetData("DP_1","003N8EMH8GTFRCSWKMPXRSAE6","GSON5131312011")</f>
        <v>#NAME?</v>
      </c>
      <c r="J2543" s="4" t="e">
        <f ca="1">[1]!BexGetData("DP_1","003N8EMH8GTFRCSWKMPXRSGPQ","GSON5131312011")</f>
        <v>#NAME?</v>
      </c>
      <c r="K2543" s="3" t="e">
        <f ca="1">[1]!BexGetData("DP_1","003N8EMH8GTFRIVNUPY288VJH","GSON5131312011")</f>
        <v>#NAME?</v>
      </c>
      <c r="L2543" s="3" t="e">
        <f ca="1">[1]!BexGetData("DP_1","003N8EMH8GTFRIVNUPY2891V1","GSON5131312011")</f>
        <v>#NAME?</v>
      </c>
      <c r="M2543" s="8" t="e">
        <f ca="1">[1]!BexGetData("DP_1","003N8EMH8GTFRIVOG7KG9IQXA","GSON5131312011")</f>
        <v>#NAME?</v>
      </c>
      <c r="N2543" s="3" t="e">
        <f ca="1">[1]!BexGetData("DP_1","003N8EMH8GTFRIVOG7KG9IX8U","GSON5131312011")</f>
        <v>#NAME?</v>
      </c>
      <c r="O2543" s="8" t="e">
        <f ca="1">[1]!BexGetData("DP_1","003N8EMH8GTFRIVOG7KG9J3KE","GSON5131312011")</f>
        <v>#NAME?</v>
      </c>
      <c r="P2543" s="3" t="e">
        <f ca="1">[1]!BexGetData("DP_1","003N8EMH8GTFRIVOG7KG9J9VY","GSON5131312011")</f>
        <v>#NAME?</v>
      </c>
      <c r="Q2543" s="4" t="e">
        <f ca="1">[1]!BexGetData("DP_1","00O2TNJGODT0G5Z4TTKYMM5MT","GSON5131312011")</f>
        <v>#NAME?</v>
      </c>
      <c r="R2543" s="4" t="e">
        <f ca="1">[1]!BexGetData("DP_1","00O2TNJGODT0G5Z4TTKYMMBYD","GSON5131312011")</f>
        <v>#NAME?</v>
      </c>
      <c r="S2543" s="4" t="e">
        <f ca="1">[1]!BexGetData("DP_1","00O2TNJGODT0G5Z4TTKYMMI9X","GSON5131312011")</f>
        <v>#NAME?</v>
      </c>
      <c r="T2543" s="4" t="e">
        <f ca="1">[1]!BexGetData("DP_1","00O2TNJGODT0G5Z4TTKYMMOLH","GSON5131312011")</f>
        <v>#NAME?</v>
      </c>
      <c r="U2543" s="4" t="e">
        <f ca="1">[1]!BexGetData("DP_1","00O2TNJGODT0G5Z4TTKYMMUX1","GSON5131312011")</f>
        <v>#NAME?</v>
      </c>
      <c r="V2543" s="4" t="e">
        <f ca="1">[1]!BexGetData("DP_1","00O2TNJGODT0G5Z4TTKYMN18L","GSON5131312011")</f>
        <v>#NAME?</v>
      </c>
      <c r="W2543" s="4" t="e">
        <f ca="1">[1]!BexGetData("DP_1","00O2TNJGODT0G5Z4TTKYMN7K5","GSON5131312011")</f>
        <v>#NAME?</v>
      </c>
    </row>
    <row r="2544" spans="1:23" x14ac:dyDescent="0.2">
      <c r="A2544" s="16" t="s">
        <v>5249</v>
      </c>
      <c r="B2544" s="7" t="s">
        <v>1568</v>
      </c>
      <c r="C2544" s="3" t="e">
        <f ca="1">[1]!BexGetData("DP_1","003N8EMH8GTFRCSWKMPXRR8GU","GSON5131313011")</f>
        <v>#NAME?</v>
      </c>
      <c r="D2544" s="3" t="e">
        <f ca="1">[1]!BexGetData("DP_1","003N8EMH8GTFRCSWKMPXRRESE","GSON5131313011")</f>
        <v>#NAME?</v>
      </c>
      <c r="E2544" s="3" t="e">
        <f ca="1">[1]!BexGetData("DP_1","003N8EMH8GTFRCSWKMPXRRL3Y","GSON5131313011")</f>
        <v>#NAME?</v>
      </c>
      <c r="F2544" s="4" t="e">
        <f ca="1">[1]!BexGetData("DP_1","003N8EMH8GTFRCSWKMPXRRRFI","GSON5131313011")</f>
        <v>#NAME?</v>
      </c>
      <c r="G2544" s="4" t="e">
        <f ca="1">[1]!BexGetData("DP_1","003N8EMH8GTFRCSWKMPXRRXR2","GSON5131313011")</f>
        <v>#NAME?</v>
      </c>
      <c r="H2544" s="4" t="e">
        <f ca="1">[1]!BexGetData("DP_1","003N8EMH8GTFRCSWKMPXRS42M","GSON5131313011")</f>
        <v>#NAME?</v>
      </c>
      <c r="I2544" s="4" t="e">
        <f ca="1">[1]!BexGetData("DP_1","003N8EMH8GTFRCSWKMPXRSAE6","GSON5131313011")</f>
        <v>#NAME?</v>
      </c>
      <c r="J2544" s="4" t="e">
        <f ca="1">[1]!BexGetData("DP_1","003N8EMH8GTFRCSWKMPXRSGPQ","GSON5131313011")</f>
        <v>#NAME?</v>
      </c>
      <c r="K2544" s="3" t="e">
        <f ca="1">[1]!BexGetData("DP_1","003N8EMH8GTFRIVNUPY288VJH","GSON5131313011")</f>
        <v>#NAME?</v>
      </c>
      <c r="L2544" s="3" t="e">
        <f ca="1">[1]!BexGetData("DP_1","003N8EMH8GTFRIVNUPY2891V1","GSON5131313011")</f>
        <v>#NAME?</v>
      </c>
      <c r="M2544" s="8" t="e">
        <f ca="1">[1]!BexGetData("DP_1","003N8EMH8GTFRIVOG7KG9IQXA","GSON5131313011")</f>
        <v>#NAME?</v>
      </c>
      <c r="N2544" s="3" t="e">
        <f ca="1">[1]!BexGetData("DP_1","003N8EMH8GTFRIVOG7KG9IX8U","GSON5131313011")</f>
        <v>#NAME?</v>
      </c>
      <c r="O2544" s="8" t="e">
        <f ca="1">[1]!BexGetData("DP_1","003N8EMH8GTFRIVOG7KG9J3KE","GSON5131313011")</f>
        <v>#NAME?</v>
      </c>
      <c r="P2544" s="3" t="e">
        <f ca="1">[1]!BexGetData("DP_1","003N8EMH8GTFRIVOG7KG9J9VY","GSON5131313011")</f>
        <v>#NAME?</v>
      </c>
      <c r="Q2544" s="4" t="e">
        <f ca="1">[1]!BexGetData("DP_1","00O2TNJGODT0G5Z4TTKYMM5MT","GSON5131313011")</f>
        <v>#NAME?</v>
      </c>
      <c r="R2544" s="4" t="e">
        <f ca="1">[1]!BexGetData("DP_1","00O2TNJGODT0G5Z4TTKYMMBYD","GSON5131313011")</f>
        <v>#NAME?</v>
      </c>
      <c r="S2544" s="4" t="e">
        <f ca="1">[1]!BexGetData("DP_1","00O2TNJGODT0G5Z4TTKYMMI9X","GSON5131313011")</f>
        <v>#NAME?</v>
      </c>
      <c r="T2544" s="4" t="e">
        <f ca="1">[1]!BexGetData("DP_1","00O2TNJGODT0G5Z4TTKYMMOLH","GSON5131313011")</f>
        <v>#NAME?</v>
      </c>
      <c r="U2544" s="4" t="e">
        <f ca="1">[1]!BexGetData("DP_1","00O2TNJGODT0G5Z4TTKYMMUX1","GSON5131313011")</f>
        <v>#NAME?</v>
      </c>
      <c r="V2544" s="4" t="e">
        <f ca="1">[1]!BexGetData("DP_1","00O2TNJGODT0G5Z4TTKYMN18L","GSON5131313011")</f>
        <v>#NAME?</v>
      </c>
      <c r="W2544" s="4" t="e">
        <f ca="1">[1]!BexGetData("DP_1","00O2TNJGODT0G5Z4TTKYMN7K5","GSON5131313011")</f>
        <v>#NAME?</v>
      </c>
    </row>
    <row r="2545" spans="1:23" x14ac:dyDescent="0.2">
      <c r="A2545" s="16" t="s">
        <v>5250</v>
      </c>
      <c r="B2545" s="7" t="s">
        <v>5251</v>
      </c>
      <c r="C2545" s="3" t="e">
        <f ca="1">[1]!BexGetData("DP_1","003N8EMH8GTFRCSWKMPXRR8GU","GSON5131314011")</f>
        <v>#NAME?</v>
      </c>
      <c r="D2545" s="3" t="e">
        <f ca="1">[1]!BexGetData("DP_1","003N8EMH8GTFRCSWKMPXRRESE","GSON5131314011")</f>
        <v>#NAME?</v>
      </c>
      <c r="E2545" s="3" t="e">
        <f ca="1">[1]!BexGetData("DP_1","003N8EMH8GTFRCSWKMPXRRL3Y","GSON5131314011")</f>
        <v>#NAME?</v>
      </c>
      <c r="F2545" s="4" t="e">
        <f ca="1">[1]!BexGetData("DP_1","003N8EMH8GTFRCSWKMPXRRRFI","GSON5131314011")</f>
        <v>#NAME?</v>
      </c>
      <c r="G2545" s="4" t="e">
        <f ca="1">[1]!BexGetData("DP_1","003N8EMH8GTFRCSWKMPXRRXR2","GSON5131314011")</f>
        <v>#NAME?</v>
      </c>
      <c r="H2545" s="4" t="e">
        <f ca="1">[1]!BexGetData("DP_1","003N8EMH8GTFRCSWKMPXRS42M","GSON5131314011")</f>
        <v>#NAME?</v>
      </c>
      <c r="I2545" s="4" t="e">
        <f ca="1">[1]!BexGetData("DP_1","003N8EMH8GTFRCSWKMPXRSAE6","GSON5131314011")</f>
        <v>#NAME?</v>
      </c>
      <c r="J2545" s="4" t="e">
        <f ca="1">[1]!BexGetData("DP_1","003N8EMH8GTFRCSWKMPXRSGPQ","GSON5131314011")</f>
        <v>#NAME?</v>
      </c>
      <c r="K2545" s="3" t="e">
        <f ca="1">[1]!BexGetData("DP_1","003N8EMH8GTFRIVNUPY288VJH","GSON5131314011")</f>
        <v>#NAME?</v>
      </c>
      <c r="L2545" s="3" t="e">
        <f ca="1">[1]!BexGetData("DP_1","003N8EMH8GTFRIVNUPY2891V1","GSON5131314011")</f>
        <v>#NAME?</v>
      </c>
      <c r="M2545" s="8" t="e">
        <f ca="1">[1]!BexGetData("DP_1","003N8EMH8GTFRIVOG7KG9IQXA","GSON5131314011")</f>
        <v>#NAME?</v>
      </c>
      <c r="N2545" s="3" t="e">
        <f ca="1">[1]!BexGetData("DP_1","003N8EMH8GTFRIVOG7KG9IX8U","GSON5131314011")</f>
        <v>#NAME?</v>
      </c>
      <c r="O2545" s="8" t="e">
        <f ca="1">[1]!BexGetData("DP_1","003N8EMH8GTFRIVOG7KG9J3KE","GSON5131314011")</f>
        <v>#NAME?</v>
      </c>
      <c r="P2545" s="3" t="e">
        <f ca="1">[1]!BexGetData("DP_1","003N8EMH8GTFRIVOG7KG9J9VY","GSON5131314011")</f>
        <v>#NAME?</v>
      </c>
      <c r="Q2545" s="4" t="e">
        <f ca="1">[1]!BexGetData("DP_1","00O2TNJGODT0G5Z4TTKYMM5MT","GSON5131314011")</f>
        <v>#NAME?</v>
      </c>
      <c r="R2545" s="4" t="e">
        <f ca="1">[1]!BexGetData("DP_1","00O2TNJGODT0G5Z4TTKYMMBYD","GSON5131314011")</f>
        <v>#NAME?</v>
      </c>
      <c r="S2545" s="4" t="e">
        <f ca="1">[1]!BexGetData("DP_1","00O2TNJGODT0G5Z4TTKYMMI9X","GSON5131314011")</f>
        <v>#NAME?</v>
      </c>
      <c r="T2545" s="4" t="e">
        <f ca="1">[1]!BexGetData("DP_1","00O2TNJGODT0G5Z4TTKYMMOLH","GSON5131314011")</f>
        <v>#NAME?</v>
      </c>
      <c r="U2545" s="4" t="e">
        <f ca="1">[1]!BexGetData("DP_1","00O2TNJGODT0G5Z4TTKYMMUX1","GSON5131314011")</f>
        <v>#NAME?</v>
      </c>
      <c r="V2545" s="4" t="e">
        <f ca="1">[1]!BexGetData("DP_1","00O2TNJGODT0G5Z4TTKYMN18L","GSON5131314011")</f>
        <v>#NAME?</v>
      </c>
      <c r="W2545" s="4" t="e">
        <f ca="1">[1]!BexGetData("DP_1","00O2TNJGODT0G5Z4TTKYMN7K5","GSON5131314011")</f>
        <v>#NAME?</v>
      </c>
    </row>
    <row r="2546" spans="1:23" x14ac:dyDescent="0.2">
      <c r="A2546" s="16" t="s">
        <v>5252</v>
      </c>
      <c r="B2546" s="7" t="s">
        <v>395</v>
      </c>
      <c r="C2546" s="3" t="e">
        <f ca="1">[1]!BexGetData("DP_1","003N8EMH8GTFRCSWKMPXRR8GU","GSON5131315011")</f>
        <v>#NAME?</v>
      </c>
      <c r="D2546" s="3" t="e">
        <f ca="1">[1]!BexGetData("DP_1","003N8EMH8GTFRCSWKMPXRRESE","GSON5131315011")</f>
        <v>#NAME?</v>
      </c>
      <c r="E2546" s="3" t="e">
        <f ca="1">[1]!BexGetData("DP_1","003N8EMH8GTFRCSWKMPXRRL3Y","GSON5131315011")</f>
        <v>#NAME?</v>
      </c>
      <c r="F2546" s="4" t="e">
        <f ca="1">[1]!BexGetData("DP_1","003N8EMH8GTFRCSWKMPXRRRFI","GSON5131315011")</f>
        <v>#NAME?</v>
      </c>
      <c r="G2546" s="4" t="e">
        <f ca="1">[1]!BexGetData("DP_1","003N8EMH8GTFRCSWKMPXRRXR2","GSON5131315011")</f>
        <v>#NAME?</v>
      </c>
      <c r="H2546" s="4" t="e">
        <f ca="1">[1]!BexGetData("DP_1","003N8EMH8GTFRCSWKMPXRS42M","GSON5131315011")</f>
        <v>#NAME?</v>
      </c>
      <c r="I2546" s="4" t="e">
        <f ca="1">[1]!BexGetData("DP_1","003N8EMH8GTFRCSWKMPXRSAE6","GSON5131315011")</f>
        <v>#NAME?</v>
      </c>
      <c r="J2546" s="4" t="e">
        <f ca="1">[1]!BexGetData("DP_1","003N8EMH8GTFRCSWKMPXRSGPQ","GSON5131315011")</f>
        <v>#NAME?</v>
      </c>
      <c r="K2546" s="3" t="e">
        <f ca="1">[1]!BexGetData("DP_1","003N8EMH8GTFRIVNUPY288VJH","GSON5131315011")</f>
        <v>#NAME?</v>
      </c>
      <c r="L2546" s="3" t="e">
        <f ca="1">[1]!BexGetData("DP_1","003N8EMH8GTFRIVNUPY2891V1","GSON5131315011")</f>
        <v>#NAME?</v>
      </c>
      <c r="M2546" s="8" t="e">
        <f ca="1">[1]!BexGetData("DP_1","003N8EMH8GTFRIVOG7KG9IQXA","GSON5131315011")</f>
        <v>#NAME?</v>
      </c>
      <c r="N2546" s="3" t="e">
        <f ca="1">[1]!BexGetData("DP_1","003N8EMH8GTFRIVOG7KG9IX8U","GSON5131315011")</f>
        <v>#NAME?</v>
      </c>
      <c r="O2546" s="8" t="e">
        <f ca="1">[1]!BexGetData("DP_1","003N8EMH8GTFRIVOG7KG9J3KE","GSON5131315011")</f>
        <v>#NAME?</v>
      </c>
      <c r="P2546" s="3" t="e">
        <f ca="1">[1]!BexGetData("DP_1","003N8EMH8GTFRIVOG7KG9J9VY","GSON5131315011")</f>
        <v>#NAME?</v>
      </c>
      <c r="Q2546" s="4" t="e">
        <f ca="1">[1]!BexGetData("DP_1","00O2TNJGODT0G5Z4TTKYMM5MT","GSON5131315011")</f>
        <v>#NAME?</v>
      </c>
      <c r="R2546" s="4" t="e">
        <f ca="1">[1]!BexGetData("DP_1","00O2TNJGODT0G5Z4TTKYMMBYD","GSON5131315011")</f>
        <v>#NAME?</v>
      </c>
      <c r="S2546" s="4" t="e">
        <f ca="1">[1]!BexGetData("DP_1","00O2TNJGODT0G5Z4TTKYMMI9X","GSON5131315011")</f>
        <v>#NAME?</v>
      </c>
      <c r="T2546" s="4" t="e">
        <f ca="1">[1]!BexGetData("DP_1","00O2TNJGODT0G5Z4TTKYMMOLH","GSON5131315011")</f>
        <v>#NAME?</v>
      </c>
      <c r="U2546" s="4" t="e">
        <f ca="1">[1]!BexGetData("DP_1","00O2TNJGODT0G5Z4TTKYMMUX1","GSON5131315011")</f>
        <v>#NAME?</v>
      </c>
      <c r="V2546" s="4" t="e">
        <f ca="1">[1]!BexGetData("DP_1","00O2TNJGODT0G5Z4TTKYMN18L","GSON5131315011")</f>
        <v>#NAME?</v>
      </c>
      <c r="W2546" s="4" t="e">
        <f ca="1">[1]!BexGetData("DP_1","00O2TNJGODT0G5Z4TTKYMN7K5","GSON5131315011")</f>
        <v>#NAME?</v>
      </c>
    </row>
    <row r="2547" spans="1:23" x14ac:dyDescent="0.2">
      <c r="A2547" s="16" t="s">
        <v>5253</v>
      </c>
      <c r="B2547" s="7" t="s">
        <v>5254</v>
      </c>
      <c r="C2547" s="3" t="e">
        <f ca="1">[1]!BexGetData("DP_1","003N8EMH8GTFRCSWKMPXRR8GU","GSON5131316011")</f>
        <v>#NAME?</v>
      </c>
      <c r="D2547" s="3" t="e">
        <f ca="1">[1]!BexGetData("DP_1","003N8EMH8GTFRCSWKMPXRRESE","GSON5131316011")</f>
        <v>#NAME?</v>
      </c>
      <c r="E2547" s="3" t="e">
        <f ca="1">[1]!BexGetData("DP_1","003N8EMH8GTFRCSWKMPXRRL3Y","GSON5131316011")</f>
        <v>#NAME?</v>
      </c>
      <c r="F2547" s="4" t="e">
        <f ca="1">[1]!BexGetData("DP_1","003N8EMH8GTFRCSWKMPXRRRFI","GSON5131316011")</f>
        <v>#NAME?</v>
      </c>
      <c r="G2547" s="4" t="e">
        <f ca="1">[1]!BexGetData("DP_1","003N8EMH8GTFRCSWKMPXRRXR2","GSON5131316011")</f>
        <v>#NAME?</v>
      </c>
      <c r="H2547" s="4" t="e">
        <f ca="1">[1]!BexGetData("DP_1","003N8EMH8GTFRCSWKMPXRS42M","GSON5131316011")</f>
        <v>#NAME?</v>
      </c>
      <c r="I2547" s="4" t="e">
        <f ca="1">[1]!BexGetData("DP_1","003N8EMH8GTFRCSWKMPXRSAE6","GSON5131316011")</f>
        <v>#NAME?</v>
      </c>
      <c r="J2547" s="4" t="e">
        <f ca="1">[1]!BexGetData("DP_1","003N8EMH8GTFRCSWKMPXRSGPQ","GSON5131316011")</f>
        <v>#NAME?</v>
      </c>
      <c r="K2547" s="3" t="e">
        <f ca="1">[1]!BexGetData("DP_1","003N8EMH8GTFRIVNUPY288VJH","GSON5131316011")</f>
        <v>#NAME?</v>
      </c>
      <c r="L2547" s="3" t="e">
        <f ca="1">[1]!BexGetData("DP_1","003N8EMH8GTFRIVNUPY2891V1","GSON5131316011")</f>
        <v>#NAME?</v>
      </c>
      <c r="M2547" s="8" t="e">
        <f ca="1">[1]!BexGetData("DP_1","003N8EMH8GTFRIVOG7KG9IQXA","GSON5131316011")</f>
        <v>#NAME?</v>
      </c>
      <c r="N2547" s="3" t="e">
        <f ca="1">[1]!BexGetData("DP_1","003N8EMH8GTFRIVOG7KG9IX8U","GSON5131316011")</f>
        <v>#NAME?</v>
      </c>
      <c r="O2547" s="8" t="e">
        <f ca="1">[1]!BexGetData("DP_1","003N8EMH8GTFRIVOG7KG9J3KE","GSON5131316011")</f>
        <v>#NAME?</v>
      </c>
      <c r="P2547" s="3" t="e">
        <f ca="1">[1]!BexGetData("DP_1","003N8EMH8GTFRIVOG7KG9J9VY","GSON5131316011")</f>
        <v>#NAME?</v>
      </c>
      <c r="Q2547" s="4" t="e">
        <f ca="1">[1]!BexGetData("DP_1","00O2TNJGODT0G5Z4TTKYMM5MT","GSON5131316011")</f>
        <v>#NAME?</v>
      </c>
      <c r="R2547" s="4" t="e">
        <f ca="1">[1]!BexGetData("DP_1","00O2TNJGODT0G5Z4TTKYMMBYD","GSON5131316011")</f>
        <v>#NAME?</v>
      </c>
      <c r="S2547" s="4" t="e">
        <f ca="1">[1]!BexGetData("DP_1","00O2TNJGODT0G5Z4TTKYMMI9X","GSON5131316011")</f>
        <v>#NAME?</v>
      </c>
      <c r="T2547" s="4" t="e">
        <f ca="1">[1]!BexGetData("DP_1","00O2TNJGODT0G5Z4TTKYMMOLH","GSON5131316011")</f>
        <v>#NAME?</v>
      </c>
      <c r="U2547" s="4" t="e">
        <f ca="1">[1]!BexGetData("DP_1","00O2TNJGODT0G5Z4TTKYMMUX1","GSON5131316011")</f>
        <v>#NAME?</v>
      </c>
      <c r="V2547" s="4" t="e">
        <f ca="1">[1]!BexGetData("DP_1","00O2TNJGODT0G5Z4TTKYMN18L","GSON5131316011")</f>
        <v>#NAME?</v>
      </c>
      <c r="W2547" s="4" t="e">
        <f ca="1">[1]!BexGetData("DP_1","00O2TNJGODT0G5Z4TTKYMN7K5","GSON5131316011")</f>
        <v>#NAME?</v>
      </c>
    </row>
    <row r="2548" spans="1:23" x14ac:dyDescent="0.2">
      <c r="A2548" s="16" t="s">
        <v>5255</v>
      </c>
      <c r="B2548" s="7" t="s">
        <v>5256</v>
      </c>
      <c r="C2548" s="3" t="e">
        <f ca="1">[1]!BexGetData("DP_1","003N8EMH8GTFRCSWKMPXRR8GU","GSON5131317011")</f>
        <v>#NAME?</v>
      </c>
      <c r="D2548" s="3" t="e">
        <f ca="1">[1]!BexGetData("DP_1","003N8EMH8GTFRCSWKMPXRRESE","GSON5131317011")</f>
        <v>#NAME?</v>
      </c>
      <c r="E2548" s="3" t="e">
        <f ca="1">[1]!BexGetData("DP_1","003N8EMH8GTFRCSWKMPXRRL3Y","GSON5131317011")</f>
        <v>#NAME?</v>
      </c>
      <c r="F2548" s="4" t="e">
        <f ca="1">[1]!BexGetData("DP_1","003N8EMH8GTFRCSWKMPXRRRFI","GSON5131317011")</f>
        <v>#NAME?</v>
      </c>
      <c r="G2548" s="4" t="e">
        <f ca="1">[1]!BexGetData("DP_1","003N8EMH8GTFRCSWKMPXRRXR2","GSON5131317011")</f>
        <v>#NAME?</v>
      </c>
      <c r="H2548" s="4" t="e">
        <f ca="1">[1]!BexGetData("DP_1","003N8EMH8GTFRCSWKMPXRS42M","GSON5131317011")</f>
        <v>#NAME?</v>
      </c>
      <c r="I2548" s="4" t="e">
        <f ca="1">[1]!BexGetData("DP_1","003N8EMH8GTFRCSWKMPXRSAE6","GSON5131317011")</f>
        <v>#NAME?</v>
      </c>
      <c r="J2548" s="4" t="e">
        <f ca="1">[1]!BexGetData("DP_1","003N8EMH8GTFRCSWKMPXRSGPQ","GSON5131317011")</f>
        <v>#NAME?</v>
      </c>
      <c r="K2548" s="3" t="e">
        <f ca="1">[1]!BexGetData("DP_1","003N8EMH8GTFRIVNUPY288VJH","GSON5131317011")</f>
        <v>#NAME?</v>
      </c>
      <c r="L2548" s="3" t="e">
        <f ca="1">[1]!BexGetData("DP_1","003N8EMH8GTFRIVNUPY2891V1","GSON5131317011")</f>
        <v>#NAME?</v>
      </c>
      <c r="M2548" s="8" t="e">
        <f ca="1">[1]!BexGetData("DP_1","003N8EMH8GTFRIVOG7KG9IQXA","GSON5131317011")</f>
        <v>#NAME?</v>
      </c>
      <c r="N2548" s="3" t="e">
        <f ca="1">[1]!BexGetData("DP_1","003N8EMH8GTFRIVOG7KG9IX8U","GSON5131317011")</f>
        <v>#NAME?</v>
      </c>
      <c r="O2548" s="8" t="e">
        <f ca="1">[1]!BexGetData("DP_1","003N8EMH8GTFRIVOG7KG9J3KE","GSON5131317011")</f>
        <v>#NAME?</v>
      </c>
      <c r="P2548" s="3" t="e">
        <f ca="1">[1]!BexGetData("DP_1","003N8EMH8GTFRIVOG7KG9J9VY","GSON5131317011")</f>
        <v>#NAME?</v>
      </c>
      <c r="Q2548" s="4" t="e">
        <f ca="1">[1]!BexGetData("DP_1","00O2TNJGODT0G5Z4TTKYMM5MT","GSON5131317011")</f>
        <v>#NAME?</v>
      </c>
      <c r="R2548" s="4" t="e">
        <f ca="1">[1]!BexGetData("DP_1","00O2TNJGODT0G5Z4TTKYMMBYD","GSON5131317011")</f>
        <v>#NAME?</v>
      </c>
      <c r="S2548" s="4" t="e">
        <f ca="1">[1]!BexGetData("DP_1","00O2TNJGODT0G5Z4TTKYMMI9X","GSON5131317011")</f>
        <v>#NAME?</v>
      </c>
      <c r="T2548" s="4" t="e">
        <f ca="1">[1]!BexGetData("DP_1","00O2TNJGODT0G5Z4TTKYMMOLH","GSON5131317011")</f>
        <v>#NAME?</v>
      </c>
      <c r="U2548" s="4" t="e">
        <f ca="1">[1]!BexGetData("DP_1","00O2TNJGODT0G5Z4TTKYMMUX1","GSON5131317011")</f>
        <v>#NAME?</v>
      </c>
      <c r="V2548" s="4" t="e">
        <f ca="1">[1]!BexGetData("DP_1","00O2TNJGODT0G5Z4TTKYMN18L","GSON5131317011")</f>
        <v>#NAME?</v>
      </c>
      <c r="W2548" s="4" t="e">
        <f ca="1">[1]!BexGetData("DP_1","00O2TNJGODT0G5Z4TTKYMN7K5","GSON5131317011")</f>
        <v>#NAME?</v>
      </c>
    </row>
    <row r="2549" spans="1:23" x14ac:dyDescent="0.2">
      <c r="A2549" s="16" t="s">
        <v>5257</v>
      </c>
      <c r="B2549" s="7" t="s">
        <v>5258</v>
      </c>
      <c r="C2549" s="3" t="e">
        <f ca="1">[1]!BexGetData("DP_1","003N8EMH8GTFRCSWKMPXRR8GU","GSON5131318011")</f>
        <v>#NAME?</v>
      </c>
      <c r="D2549" s="3" t="e">
        <f ca="1">[1]!BexGetData("DP_1","003N8EMH8GTFRCSWKMPXRRESE","GSON5131318011")</f>
        <v>#NAME?</v>
      </c>
      <c r="E2549" s="3" t="e">
        <f ca="1">[1]!BexGetData("DP_1","003N8EMH8GTFRCSWKMPXRRL3Y","GSON5131318011")</f>
        <v>#NAME?</v>
      </c>
      <c r="F2549" s="4" t="e">
        <f ca="1">[1]!BexGetData("DP_1","003N8EMH8GTFRCSWKMPXRRRFI","GSON5131318011")</f>
        <v>#NAME?</v>
      </c>
      <c r="G2549" s="4" t="e">
        <f ca="1">[1]!BexGetData("DP_1","003N8EMH8GTFRCSWKMPXRRXR2","GSON5131318011")</f>
        <v>#NAME?</v>
      </c>
      <c r="H2549" s="4" t="e">
        <f ca="1">[1]!BexGetData("DP_1","003N8EMH8GTFRCSWKMPXRS42M","GSON5131318011")</f>
        <v>#NAME?</v>
      </c>
      <c r="I2549" s="4" t="e">
        <f ca="1">[1]!BexGetData("DP_1","003N8EMH8GTFRCSWKMPXRSAE6","GSON5131318011")</f>
        <v>#NAME?</v>
      </c>
      <c r="J2549" s="4" t="e">
        <f ca="1">[1]!BexGetData("DP_1","003N8EMH8GTFRCSWKMPXRSGPQ","GSON5131318011")</f>
        <v>#NAME?</v>
      </c>
      <c r="K2549" s="3" t="e">
        <f ca="1">[1]!BexGetData("DP_1","003N8EMH8GTFRIVNUPY288VJH","GSON5131318011")</f>
        <v>#NAME?</v>
      </c>
      <c r="L2549" s="3" t="e">
        <f ca="1">[1]!BexGetData("DP_1","003N8EMH8GTFRIVNUPY2891V1","GSON5131318011")</f>
        <v>#NAME?</v>
      </c>
      <c r="M2549" s="8" t="e">
        <f ca="1">[1]!BexGetData("DP_1","003N8EMH8GTFRIVOG7KG9IQXA","GSON5131318011")</f>
        <v>#NAME?</v>
      </c>
      <c r="N2549" s="3" t="e">
        <f ca="1">[1]!BexGetData("DP_1","003N8EMH8GTFRIVOG7KG9IX8U","GSON5131318011")</f>
        <v>#NAME?</v>
      </c>
      <c r="O2549" s="8" t="e">
        <f ca="1">[1]!BexGetData("DP_1","003N8EMH8GTFRIVOG7KG9J3KE","GSON5131318011")</f>
        <v>#NAME?</v>
      </c>
      <c r="P2549" s="3" t="e">
        <f ca="1">[1]!BexGetData("DP_1","003N8EMH8GTFRIVOG7KG9J9VY","GSON5131318011")</f>
        <v>#NAME?</v>
      </c>
      <c r="Q2549" s="4" t="e">
        <f ca="1">[1]!BexGetData("DP_1","00O2TNJGODT0G5Z4TTKYMM5MT","GSON5131318011")</f>
        <v>#NAME?</v>
      </c>
      <c r="R2549" s="4" t="e">
        <f ca="1">[1]!BexGetData("DP_1","00O2TNJGODT0G5Z4TTKYMMBYD","GSON5131318011")</f>
        <v>#NAME?</v>
      </c>
      <c r="S2549" s="4" t="e">
        <f ca="1">[1]!BexGetData("DP_1","00O2TNJGODT0G5Z4TTKYMMI9X","GSON5131318011")</f>
        <v>#NAME?</v>
      </c>
      <c r="T2549" s="4" t="e">
        <f ca="1">[1]!BexGetData("DP_1","00O2TNJGODT0G5Z4TTKYMMOLH","GSON5131318011")</f>
        <v>#NAME?</v>
      </c>
      <c r="U2549" s="4" t="e">
        <f ca="1">[1]!BexGetData("DP_1","00O2TNJGODT0G5Z4TTKYMMUX1","GSON5131318011")</f>
        <v>#NAME?</v>
      </c>
      <c r="V2549" s="4" t="e">
        <f ca="1">[1]!BexGetData("DP_1","00O2TNJGODT0G5Z4TTKYMN18L","GSON5131318011")</f>
        <v>#NAME?</v>
      </c>
      <c r="W2549" s="4" t="e">
        <f ca="1">[1]!BexGetData("DP_1","00O2TNJGODT0G5Z4TTKYMN7K5","GSON5131318011")</f>
        <v>#NAME?</v>
      </c>
    </row>
    <row r="2550" spans="1:23" x14ac:dyDescent="0.2">
      <c r="A2550" s="16" t="s">
        <v>5259</v>
      </c>
      <c r="B2550" s="7" t="s">
        <v>5260</v>
      </c>
      <c r="C2550" s="3" t="e">
        <f ca="1">[1]!BexGetData("DP_1","003N8EMH8GTFRCSWKMPXRR8GU","GSON5131319011")</f>
        <v>#NAME?</v>
      </c>
      <c r="D2550" s="3" t="e">
        <f ca="1">[1]!BexGetData("DP_1","003N8EMH8GTFRCSWKMPXRRESE","GSON5131319011")</f>
        <v>#NAME?</v>
      </c>
      <c r="E2550" s="3" t="e">
        <f ca="1">[1]!BexGetData("DP_1","003N8EMH8GTFRCSWKMPXRRL3Y","GSON5131319011")</f>
        <v>#NAME?</v>
      </c>
      <c r="F2550" s="4" t="e">
        <f ca="1">[1]!BexGetData("DP_1","003N8EMH8GTFRCSWKMPXRRRFI","GSON5131319011")</f>
        <v>#NAME?</v>
      </c>
      <c r="G2550" s="4" t="e">
        <f ca="1">[1]!BexGetData("DP_1","003N8EMH8GTFRCSWKMPXRRXR2","GSON5131319011")</f>
        <v>#NAME?</v>
      </c>
      <c r="H2550" s="4" t="e">
        <f ca="1">[1]!BexGetData("DP_1","003N8EMH8GTFRCSWKMPXRS42M","GSON5131319011")</f>
        <v>#NAME?</v>
      </c>
      <c r="I2550" s="4" t="e">
        <f ca="1">[1]!BexGetData("DP_1","003N8EMH8GTFRCSWKMPXRSAE6","GSON5131319011")</f>
        <v>#NAME?</v>
      </c>
      <c r="J2550" s="4" t="e">
        <f ca="1">[1]!BexGetData("DP_1","003N8EMH8GTFRCSWKMPXRSGPQ","GSON5131319011")</f>
        <v>#NAME?</v>
      </c>
      <c r="K2550" s="3" t="e">
        <f ca="1">[1]!BexGetData("DP_1","003N8EMH8GTFRIVNUPY288VJH","GSON5131319011")</f>
        <v>#NAME?</v>
      </c>
      <c r="L2550" s="3" t="e">
        <f ca="1">[1]!BexGetData("DP_1","003N8EMH8GTFRIVNUPY2891V1","GSON5131319011")</f>
        <v>#NAME?</v>
      </c>
      <c r="M2550" s="8" t="e">
        <f ca="1">[1]!BexGetData("DP_1","003N8EMH8GTFRIVOG7KG9IQXA","GSON5131319011")</f>
        <v>#NAME?</v>
      </c>
      <c r="N2550" s="3" t="e">
        <f ca="1">[1]!BexGetData("DP_1","003N8EMH8GTFRIVOG7KG9IX8U","GSON5131319011")</f>
        <v>#NAME?</v>
      </c>
      <c r="O2550" s="8" t="e">
        <f ca="1">[1]!BexGetData("DP_1","003N8EMH8GTFRIVOG7KG9J3KE","GSON5131319011")</f>
        <v>#NAME?</v>
      </c>
      <c r="P2550" s="3" t="e">
        <f ca="1">[1]!BexGetData("DP_1","003N8EMH8GTFRIVOG7KG9J9VY","GSON5131319011")</f>
        <v>#NAME?</v>
      </c>
      <c r="Q2550" s="4" t="e">
        <f ca="1">[1]!BexGetData("DP_1","00O2TNJGODT0G5Z4TTKYMM5MT","GSON5131319011")</f>
        <v>#NAME?</v>
      </c>
      <c r="R2550" s="4" t="e">
        <f ca="1">[1]!BexGetData("DP_1","00O2TNJGODT0G5Z4TTKYMMBYD","GSON5131319011")</f>
        <v>#NAME?</v>
      </c>
      <c r="S2550" s="4" t="e">
        <f ca="1">[1]!BexGetData("DP_1","00O2TNJGODT0G5Z4TTKYMMI9X","GSON5131319011")</f>
        <v>#NAME?</v>
      </c>
      <c r="T2550" s="4" t="e">
        <f ca="1">[1]!BexGetData("DP_1","00O2TNJGODT0G5Z4TTKYMMOLH","GSON5131319011")</f>
        <v>#NAME?</v>
      </c>
      <c r="U2550" s="4" t="e">
        <f ca="1">[1]!BexGetData("DP_1","00O2TNJGODT0G5Z4TTKYMMUX1","GSON5131319011")</f>
        <v>#NAME?</v>
      </c>
      <c r="V2550" s="4" t="e">
        <f ca="1">[1]!BexGetData("DP_1","00O2TNJGODT0G5Z4TTKYMN18L","GSON5131319011")</f>
        <v>#NAME?</v>
      </c>
      <c r="W2550" s="4" t="e">
        <f ca="1">[1]!BexGetData("DP_1","00O2TNJGODT0G5Z4TTKYMN7K5","GSON5131319011")</f>
        <v>#NAME?</v>
      </c>
    </row>
    <row r="2551" spans="1:23" x14ac:dyDescent="0.2">
      <c r="A2551" s="15" t="s">
        <v>396</v>
      </c>
      <c r="B2551" s="7" t="s">
        <v>397</v>
      </c>
      <c r="C2551" s="3" t="e">
        <f ca="1">[1]!BexGetData("DP_1","003N8EMH8GTFRCSWKMPXRR8GU","GSON5132")</f>
        <v>#NAME?</v>
      </c>
      <c r="D2551" s="3" t="e">
        <f ca="1">[1]!BexGetData("DP_1","003N8EMH8GTFRCSWKMPXRRESE","GSON5132")</f>
        <v>#NAME?</v>
      </c>
      <c r="E2551" s="3" t="e">
        <f ca="1">[1]!BexGetData("DP_1","003N8EMH8GTFRCSWKMPXRRL3Y","GSON5132")</f>
        <v>#NAME?</v>
      </c>
      <c r="F2551" s="4" t="e">
        <f ca="1">[1]!BexGetData("DP_1","003N8EMH8GTFRCSWKMPXRRRFI","GSON5132")</f>
        <v>#NAME?</v>
      </c>
      <c r="G2551" s="4" t="e">
        <f ca="1">[1]!BexGetData("DP_1","003N8EMH8GTFRCSWKMPXRRXR2","GSON5132")</f>
        <v>#NAME?</v>
      </c>
      <c r="H2551" s="4" t="e">
        <f ca="1">[1]!BexGetData("DP_1","003N8EMH8GTFRCSWKMPXRS42M","GSON5132")</f>
        <v>#NAME?</v>
      </c>
      <c r="I2551" s="4" t="e">
        <f ca="1">[1]!BexGetData("DP_1","003N8EMH8GTFRCSWKMPXRSAE6","GSON5132")</f>
        <v>#NAME?</v>
      </c>
      <c r="J2551" s="4" t="e">
        <f ca="1">[1]!BexGetData("DP_1","003N8EMH8GTFRCSWKMPXRSGPQ","GSON5132")</f>
        <v>#NAME?</v>
      </c>
      <c r="K2551" s="3" t="e">
        <f ca="1">[1]!BexGetData("DP_1","003N8EMH8GTFRIVNUPY288VJH","GSON5132")</f>
        <v>#NAME?</v>
      </c>
      <c r="L2551" s="3" t="e">
        <f ca="1">[1]!BexGetData("DP_1","003N8EMH8GTFRIVNUPY2891V1","GSON5132")</f>
        <v>#NAME?</v>
      </c>
      <c r="M2551" s="8" t="e">
        <f ca="1">[1]!BexGetData("DP_1","003N8EMH8GTFRIVOG7KG9IQXA","GSON5132")</f>
        <v>#NAME?</v>
      </c>
      <c r="N2551" s="3" t="e">
        <f ca="1">[1]!BexGetData("DP_1","003N8EMH8GTFRIVOG7KG9IX8U","GSON5132")</f>
        <v>#NAME?</v>
      </c>
      <c r="O2551" s="8" t="e">
        <f ca="1">[1]!BexGetData("DP_1","003N8EMH8GTFRIVOG7KG9J3KE","GSON5132")</f>
        <v>#NAME?</v>
      </c>
      <c r="P2551" s="3" t="e">
        <f ca="1">[1]!BexGetData("DP_1","003N8EMH8GTFRIVOG7KG9J9VY","GSON5132")</f>
        <v>#NAME?</v>
      </c>
      <c r="Q2551" s="4" t="e">
        <f ca="1">[1]!BexGetData("DP_1","00O2TNJGODT0G5Z4TTKYMM5MT","GSON5132")</f>
        <v>#NAME?</v>
      </c>
      <c r="R2551" s="4" t="e">
        <f ca="1">[1]!BexGetData("DP_1","00O2TNJGODT0G5Z4TTKYMMBYD","GSON5132")</f>
        <v>#NAME?</v>
      </c>
      <c r="S2551" s="4" t="e">
        <f ca="1">[1]!BexGetData("DP_1","00O2TNJGODT0G5Z4TTKYMMI9X","GSON5132")</f>
        <v>#NAME?</v>
      </c>
      <c r="T2551" s="4" t="e">
        <f ca="1">[1]!BexGetData("DP_1","00O2TNJGODT0G5Z4TTKYMMOLH","GSON5132")</f>
        <v>#NAME?</v>
      </c>
      <c r="U2551" s="4" t="e">
        <f ca="1">[1]!BexGetData("DP_1","00O2TNJGODT0G5Z4TTKYMMUX1","GSON5132")</f>
        <v>#NAME?</v>
      </c>
      <c r="V2551" s="4" t="e">
        <f ca="1">[1]!BexGetData("DP_1","00O2TNJGODT0G5Z4TTKYMN18L","GSON5132")</f>
        <v>#NAME?</v>
      </c>
      <c r="W2551" s="4" t="e">
        <f ca="1">[1]!BexGetData("DP_1","00O2TNJGODT0G5Z4TTKYMN7K5","GSON5132")</f>
        <v>#NAME?</v>
      </c>
    </row>
    <row r="2552" spans="1:23" x14ac:dyDescent="0.2">
      <c r="A2552" s="16" t="s">
        <v>5261</v>
      </c>
      <c r="B2552" s="7" t="s">
        <v>1569</v>
      </c>
      <c r="C2552" s="3" t="e">
        <f ca="1">[1]!BexGetData("DP_1","003N8EMH8GTFRCSWKMPXRR8GU","GSON5132321011")</f>
        <v>#NAME?</v>
      </c>
      <c r="D2552" s="3" t="e">
        <f ca="1">[1]!BexGetData("DP_1","003N8EMH8GTFRCSWKMPXRRESE","GSON5132321011")</f>
        <v>#NAME?</v>
      </c>
      <c r="E2552" s="3" t="e">
        <f ca="1">[1]!BexGetData("DP_1","003N8EMH8GTFRCSWKMPXRRL3Y","GSON5132321011")</f>
        <v>#NAME?</v>
      </c>
      <c r="F2552" s="4" t="e">
        <f ca="1">[1]!BexGetData("DP_1","003N8EMH8GTFRCSWKMPXRRRFI","GSON5132321011")</f>
        <v>#NAME?</v>
      </c>
      <c r="G2552" s="4" t="e">
        <f ca="1">[1]!BexGetData("DP_1","003N8EMH8GTFRCSWKMPXRRXR2","GSON5132321011")</f>
        <v>#NAME?</v>
      </c>
      <c r="H2552" s="4" t="e">
        <f ca="1">[1]!BexGetData("DP_1","003N8EMH8GTFRCSWKMPXRS42M","GSON5132321011")</f>
        <v>#NAME?</v>
      </c>
      <c r="I2552" s="4" t="e">
        <f ca="1">[1]!BexGetData("DP_1","003N8EMH8GTFRCSWKMPXRSAE6","GSON5132321011")</f>
        <v>#NAME?</v>
      </c>
      <c r="J2552" s="4" t="e">
        <f ca="1">[1]!BexGetData("DP_1","003N8EMH8GTFRCSWKMPXRSGPQ","GSON5132321011")</f>
        <v>#NAME?</v>
      </c>
      <c r="K2552" s="3" t="e">
        <f ca="1">[1]!BexGetData("DP_1","003N8EMH8GTFRIVNUPY288VJH","GSON5132321011")</f>
        <v>#NAME?</v>
      </c>
      <c r="L2552" s="3" t="e">
        <f ca="1">[1]!BexGetData("DP_1","003N8EMH8GTFRIVNUPY2891V1","GSON5132321011")</f>
        <v>#NAME?</v>
      </c>
      <c r="M2552" s="8" t="e">
        <f ca="1">[1]!BexGetData("DP_1","003N8EMH8GTFRIVOG7KG9IQXA","GSON5132321011")</f>
        <v>#NAME?</v>
      </c>
      <c r="N2552" s="3" t="e">
        <f ca="1">[1]!BexGetData("DP_1","003N8EMH8GTFRIVOG7KG9IX8U","GSON5132321011")</f>
        <v>#NAME?</v>
      </c>
      <c r="O2552" s="8" t="e">
        <f ca="1">[1]!BexGetData("DP_1","003N8EMH8GTFRIVOG7KG9J3KE","GSON5132321011")</f>
        <v>#NAME?</v>
      </c>
      <c r="P2552" s="3" t="e">
        <f ca="1">[1]!BexGetData("DP_1","003N8EMH8GTFRIVOG7KG9J9VY","GSON5132321011")</f>
        <v>#NAME?</v>
      </c>
      <c r="Q2552" s="4" t="e">
        <f ca="1">[1]!BexGetData("DP_1","00O2TNJGODT0G5Z4TTKYMM5MT","GSON5132321011")</f>
        <v>#NAME?</v>
      </c>
      <c r="R2552" s="4" t="e">
        <f ca="1">[1]!BexGetData("DP_1","00O2TNJGODT0G5Z4TTKYMMBYD","GSON5132321011")</f>
        <v>#NAME?</v>
      </c>
      <c r="S2552" s="4" t="e">
        <f ca="1">[1]!BexGetData("DP_1","00O2TNJGODT0G5Z4TTKYMMI9X","GSON5132321011")</f>
        <v>#NAME?</v>
      </c>
      <c r="T2552" s="4" t="e">
        <f ca="1">[1]!BexGetData("DP_1","00O2TNJGODT0G5Z4TTKYMMOLH","GSON5132321011")</f>
        <v>#NAME?</v>
      </c>
      <c r="U2552" s="4" t="e">
        <f ca="1">[1]!BexGetData("DP_1","00O2TNJGODT0G5Z4TTKYMMUX1","GSON5132321011")</f>
        <v>#NAME?</v>
      </c>
      <c r="V2552" s="4" t="e">
        <f ca="1">[1]!BexGetData("DP_1","00O2TNJGODT0G5Z4TTKYMN18L","GSON5132321011")</f>
        <v>#NAME?</v>
      </c>
      <c r="W2552" s="4" t="e">
        <f ca="1">[1]!BexGetData("DP_1","00O2TNJGODT0G5Z4TTKYMN7K5","GSON5132321011")</f>
        <v>#NAME?</v>
      </c>
    </row>
    <row r="2553" spans="1:23" x14ac:dyDescent="0.2">
      <c r="A2553" s="16" t="s">
        <v>5262</v>
      </c>
      <c r="B2553" s="7" t="s">
        <v>398</v>
      </c>
      <c r="C2553" s="3" t="e">
        <f ca="1">[1]!BexGetData("DP_1","003N8EMH8GTFRCSWKMPXRR8GU","GSON5132322011")</f>
        <v>#NAME?</v>
      </c>
      <c r="D2553" s="3" t="e">
        <f ca="1">[1]!BexGetData("DP_1","003N8EMH8GTFRCSWKMPXRRESE","GSON5132322011")</f>
        <v>#NAME?</v>
      </c>
      <c r="E2553" s="3" t="e">
        <f ca="1">[1]!BexGetData("DP_1","003N8EMH8GTFRCSWKMPXRRL3Y","GSON5132322011")</f>
        <v>#NAME?</v>
      </c>
      <c r="F2553" s="4" t="e">
        <f ca="1">[1]!BexGetData("DP_1","003N8EMH8GTFRCSWKMPXRRRFI","GSON5132322011")</f>
        <v>#NAME?</v>
      </c>
      <c r="G2553" s="4" t="e">
        <f ca="1">[1]!BexGetData("DP_1","003N8EMH8GTFRCSWKMPXRRXR2","GSON5132322011")</f>
        <v>#NAME?</v>
      </c>
      <c r="H2553" s="4" t="e">
        <f ca="1">[1]!BexGetData("DP_1","003N8EMH8GTFRCSWKMPXRS42M","GSON5132322011")</f>
        <v>#NAME?</v>
      </c>
      <c r="I2553" s="4" t="e">
        <f ca="1">[1]!BexGetData("DP_1","003N8EMH8GTFRCSWKMPXRSAE6","GSON5132322011")</f>
        <v>#NAME?</v>
      </c>
      <c r="J2553" s="4" t="e">
        <f ca="1">[1]!BexGetData("DP_1","003N8EMH8GTFRCSWKMPXRSGPQ","GSON5132322011")</f>
        <v>#NAME?</v>
      </c>
      <c r="K2553" s="3" t="e">
        <f ca="1">[1]!BexGetData("DP_1","003N8EMH8GTFRIVNUPY288VJH","GSON5132322011")</f>
        <v>#NAME?</v>
      </c>
      <c r="L2553" s="3" t="e">
        <f ca="1">[1]!BexGetData("DP_1","003N8EMH8GTFRIVNUPY2891V1","GSON5132322011")</f>
        <v>#NAME?</v>
      </c>
      <c r="M2553" s="8" t="e">
        <f ca="1">[1]!BexGetData("DP_1","003N8EMH8GTFRIVOG7KG9IQXA","GSON5132322011")</f>
        <v>#NAME?</v>
      </c>
      <c r="N2553" s="3" t="e">
        <f ca="1">[1]!BexGetData("DP_1","003N8EMH8GTFRIVOG7KG9IX8U","GSON5132322011")</f>
        <v>#NAME?</v>
      </c>
      <c r="O2553" s="8" t="e">
        <f ca="1">[1]!BexGetData("DP_1","003N8EMH8GTFRIVOG7KG9J3KE","GSON5132322011")</f>
        <v>#NAME?</v>
      </c>
      <c r="P2553" s="3" t="e">
        <f ca="1">[1]!BexGetData("DP_1","003N8EMH8GTFRIVOG7KG9J9VY","GSON5132322011")</f>
        <v>#NAME?</v>
      </c>
      <c r="Q2553" s="4" t="e">
        <f ca="1">[1]!BexGetData("DP_1","00O2TNJGODT0G5Z4TTKYMM5MT","GSON5132322011")</f>
        <v>#NAME?</v>
      </c>
      <c r="R2553" s="4" t="e">
        <f ca="1">[1]!BexGetData("DP_1","00O2TNJGODT0G5Z4TTKYMMBYD","GSON5132322011")</f>
        <v>#NAME?</v>
      </c>
      <c r="S2553" s="4" t="e">
        <f ca="1">[1]!BexGetData("DP_1","00O2TNJGODT0G5Z4TTKYMMI9X","GSON5132322011")</f>
        <v>#NAME?</v>
      </c>
      <c r="T2553" s="4" t="e">
        <f ca="1">[1]!BexGetData("DP_1","00O2TNJGODT0G5Z4TTKYMMOLH","GSON5132322011")</f>
        <v>#NAME?</v>
      </c>
      <c r="U2553" s="4" t="e">
        <f ca="1">[1]!BexGetData("DP_1","00O2TNJGODT0G5Z4TTKYMMUX1","GSON5132322011")</f>
        <v>#NAME?</v>
      </c>
      <c r="V2553" s="4" t="e">
        <f ca="1">[1]!BexGetData("DP_1","00O2TNJGODT0G5Z4TTKYMN18L","GSON5132322011")</f>
        <v>#NAME?</v>
      </c>
      <c r="W2553" s="4" t="e">
        <f ca="1">[1]!BexGetData("DP_1","00O2TNJGODT0G5Z4TTKYMN7K5","GSON5132322011")</f>
        <v>#NAME?</v>
      </c>
    </row>
    <row r="2554" spans="1:23" x14ac:dyDescent="0.2">
      <c r="A2554" s="16" t="s">
        <v>5263</v>
      </c>
      <c r="B2554" s="7" t="s">
        <v>5264</v>
      </c>
      <c r="C2554" s="3" t="e">
        <f ca="1">[1]!BexGetData("DP_1","003N8EMH8GTFRCSWKMPXRR8GU","GSON5132323011")</f>
        <v>#NAME?</v>
      </c>
      <c r="D2554" s="3" t="e">
        <f ca="1">[1]!BexGetData("DP_1","003N8EMH8GTFRCSWKMPXRRESE","GSON5132323011")</f>
        <v>#NAME?</v>
      </c>
      <c r="E2554" s="3" t="e">
        <f ca="1">[1]!BexGetData("DP_1","003N8EMH8GTFRCSWKMPXRRL3Y","GSON5132323011")</f>
        <v>#NAME?</v>
      </c>
      <c r="F2554" s="4" t="e">
        <f ca="1">[1]!BexGetData("DP_1","003N8EMH8GTFRCSWKMPXRRRFI","GSON5132323011")</f>
        <v>#NAME?</v>
      </c>
      <c r="G2554" s="4" t="e">
        <f ca="1">[1]!BexGetData("DP_1","003N8EMH8GTFRCSWKMPXRRXR2","GSON5132323011")</f>
        <v>#NAME?</v>
      </c>
      <c r="H2554" s="4" t="e">
        <f ca="1">[1]!BexGetData("DP_1","003N8EMH8GTFRCSWKMPXRS42M","GSON5132323011")</f>
        <v>#NAME?</v>
      </c>
      <c r="I2554" s="4" t="e">
        <f ca="1">[1]!BexGetData("DP_1","003N8EMH8GTFRCSWKMPXRSAE6","GSON5132323011")</f>
        <v>#NAME?</v>
      </c>
      <c r="J2554" s="4" t="e">
        <f ca="1">[1]!BexGetData("DP_1","003N8EMH8GTFRCSWKMPXRSGPQ","GSON5132323011")</f>
        <v>#NAME?</v>
      </c>
      <c r="K2554" s="3" t="e">
        <f ca="1">[1]!BexGetData("DP_1","003N8EMH8GTFRIVNUPY288VJH","GSON5132323011")</f>
        <v>#NAME?</v>
      </c>
      <c r="L2554" s="3" t="e">
        <f ca="1">[1]!BexGetData("DP_1","003N8EMH8GTFRIVNUPY2891V1","GSON5132323011")</f>
        <v>#NAME?</v>
      </c>
      <c r="M2554" s="8" t="e">
        <f ca="1">[1]!BexGetData("DP_1","003N8EMH8GTFRIVOG7KG9IQXA","GSON5132323011")</f>
        <v>#NAME?</v>
      </c>
      <c r="N2554" s="3" t="e">
        <f ca="1">[1]!BexGetData("DP_1","003N8EMH8GTFRIVOG7KG9IX8U","GSON5132323011")</f>
        <v>#NAME?</v>
      </c>
      <c r="O2554" s="8" t="e">
        <f ca="1">[1]!BexGetData("DP_1","003N8EMH8GTFRIVOG7KG9J3KE","GSON5132323011")</f>
        <v>#NAME?</v>
      </c>
      <c r="P2554" s="3" t="e">
        <f ca="1">[1]!BexGetData("DP_1","003N8EMH8GTFRIVOG7KG9J9VY","GSON5132323011")</f>
        <v>#NAME?</v>
      </c>
      <c r="Q2554" s="4" t="e">
        <f ca="1">[1]!BexGetData("DP_1","00O2TNJGODT0G5Z4TTKYMM5MT","GSON5132323011")</f>
        <v>#NAME?</v>
      </c>
      <c r="R2554" s="4" t="e">
        <f ca="1">[1]!BexGetData("DP_1","00O2TNJGODT0G5Z4TTKYMMBYD","GSON5132323011")</f>
        <v>#NAME?</v>
      </c>
      <c r="S2554" s="4" t="e">
        <f ca="1">[1]!BexGetData("DP_1","00O2TNJGODT0G5Z4TTKYMMI9X","GSON5132323011")</f>
        <v>#NAME?</v>
      </c>
      <c r="T2554" s="4" t="e">
        <f ca="1">[1]!BexGetData("DP_1","00O2TNJGODT0G5Z4TTKYMMOLH","GSON5132323011")</f>
        <v>#NAME?</v>
      </c>
      <c r="U2554" s="4" t="e">
        <f ca="1">[1]!BexGetData("DP_1","00O2TNJGODT0G5Z4TTKYMMUX1","GSON5132323011")</f>
        <v>#NAME?</v>
      </c>
      <c r="V2554" s="4" t="e">
        <f ca="1">[1]!BexGetData("DP_1","00O2TNJGODT0G5Z4TTKYMN18L","GSON5132323011")</f>
        <v>#NAME?</v>
      </c>
      <c r="W2554" s="4" t="e">
        <f ca="1">[1]!BexGetData("DP_1","00O2TNJGODT0G5Z4TTKYMN7K5","GSON5132323011")</f>
        <v>#NAME?</v>
      </c>
    </row>
    <row r="2555" spans="1:23" x14ac:dyDescent="0.2">
      <c r="A2555" s="16" t="s">
        <v>5265</v>
      </c>
      <c r="B2555" s="7" t="s">
        <v>5266</v>
      </c>
      <c r="C2555" s="3" t="e">
        <f ca="1">[1]!BexGetData("DP_1","003N8EMH8GTFRCSWKMPXRR8GU","GSON5132323021")</f>
        <v>#NAME?</v>
      </c>
      <c r="D2555" s="3" t="e">
        <f ca="1">[1]!BexGetData("DP_1","003N8EMH8GTFRCSWKMPXRRESE","GSON5132323021")</f>
        <v>#NAME?</v>
      </c>
      <c r="E2555" s="3" t="e">
        <f ca="1">[1]!BexGetData("DP_1","003N8EMH8GTFRCSWKMPXRRL3Y","GSON5132323021")</f>
        <v>#NAME?</v>
      </c>
      <c r="F2555" s="4" t="e">
        <f ca="1">[1]!BexGetData("DP_1","003N8EMH8GTFRCSWKMPXRRRFI","GSON5132323021")</f>
        <v>#NAME?</v>
      </c>
      <c r="G2555" s="4" t="e">
        <f ca="1">[1]!BexGetData("DP_1","003N8EMH8GTFRCSWKMPXRRXR2","GSON5132323021")</f>
        <v>#NAME?</v>
      </c>
      <c r="H2555" s="4" t="e">
        <f ca="1">[1]!BexGetData("DP_1","003N8EMH8GTFRCSWKMPXRS42M","GSON5132323021")</f>
        <v>#NAME?</v>
      </c>
      <c r="I2555" s="4" t="e">
        <f ca="1">[1]!BexGetData("DP_1","003N8EMH8GTFRCSWKMPXRSAE6","GSON5132323021")</f>
        <v>#NAME?</v>
      </c>
      <c r="J2555" s="4" t="e">
        <f ca="1">[1]!BexGetData("DP_1","003N8EMH8GTFRCSWKMPXRSGPQ","GSON5132323021")</f>
        <v>#NAME?</v>
      </c>
      <c r="K2555" s="3" t="e">
        <f ca="1">[1]!BexGetData("DP_1","003N8EMH8GTFRIVNUPY288VJH","GSON5132323021")</f>
        <v>#NAME?</v>
      </c>
      <c r="L2555" s="3" t="e">
        <f ca="1">[1]!BexGetData("DP_1","003N8EMH8GTFRIVNUPY2891V1","GSON5132323021")</f>
        <v>#NAME?</v>
      </c>
      <c r="M2555" s="8" t="e">
        <f ca="1">[1]!BexGetData("DP_1","003N8EMH8GTFRIVOG7KG9IQXA","GSON5132323021")</f>
        <v>#NAME?</v>
      </c>
      <c r="N2555" s="3" t="e">
        <f ca="1">[1]!BexGetData("DP_1","003N8EMH8GTFRIVOG7KG9IX8U","GSON5132323021")</f>
        <v>#NAME?</v>
      </c>
      <c r="O2555" s="8" t="e">
        <f ca="1">[1]!BexGetData("DP_1","003N8EMH8GTFRIVOG7KG9J3KE","GSON5132323021")</f>
        <v>#NAME?</v>
      </c>
      <c r="P2555" s="3" t="e">
        <f ca="1">[1]!BexGetData("DP_1","003N8EMH8GTFRIVOG7KG9J9VY","GSON5132323021")</f>
        <v>#NAME?</v>
      </c>
      <c r="Q2555" s="4" t="e">
        <f ca="1">[1]!BexGetData("DP_1","00O2TNJGODT0G5Z4TTKYMM5MT","GSON5132323021")</f>
        <v>#NAME?</v>
      </c>
      <c r="R2555" s="4" t="e">
        <f ca="1">[1]!BexGetData("DP_1","00O2TNJGODT0G5Z4TTKYMMBYD","GSON5132323021")</f>
        <v>#NAME?</v>
      </c>
      <c r="S2555" s="4" t="e">
        <f ca="1">[1]!BexGetData("DP_1","00O2TNJGODT0G5Z4TTKYMMI9X","GSON5132323021")</f>
        <v>#NAME?</v>
      </c>
      <c r="T2555" s="4" t="e">
        <f ca="1">[1]!BexGetData("DP_1","00O2TNJGODT0G5Z4TTKYMMOLH","GSON5132323021")</f>
        <v>#NAME?</v>
      </c>
      <c r="U2555" s="4" t="e">
        <f ca="1">[1]!BexGetData("DP_1","00O2TNJGODT0G5Z4TTKYMMUX1","GSON5132323021")</f>
        <v>#NAME?</v>
      </c>
      <c r="V2555" s="4" t="e">
        <f ca="1">[1]!BexGetData("DP_1","00O2TNJGODT0G5Z4TTKYMN18L","GSON5132323021")</f>
        <v>#NAME?</v>
      </c>
      <c r="W2555" s="4" t="e">
        <f ca="1">[1]!BexGetData("DP_1","00O2TNJGODT0G5Z4TTKYMN7K5","GSON5132323021")</f>
        <v>#NAME?</v>
      </c>
    </row>
    <row r="2556" spans="1:23" x14ac:dyDescent="0.2">
      <c r="A2556" s="16" t="s">
        <v>5267</v>
      </c>
      <c r="B2556" s="7" t="s">
        <v>5268</v>
      </c>
      <c r="C2556" s="3" t="e">
        <f ca="1">[1]!BexGetData("DP_1","003N8EMH8GTFRCSWKMPXRR8GU","GSON5132325011")</f>
        <v>#NAME?</v>
      </c>
      <c r="D2556" s="3" t="e">
        <f ca="1">[1]!BexGetData("DP_1","003N8EMH8GTFRCSWKMPXRRESE","GSON5132325011")</f>
        <v>#NAME?</v>
      </c>
      <c r="E2556" s="3" t="e">
        <f ca="1">[1]!BexGetData("DP_1","003N8EMH8GTFRCSWKMPXRRL3Y","GSON5132325011")</f>
        <v>#NAME?</v>
      </c>
      <c r="F2556" s="4" t="e">
        <f ca="1">[1]!BexGetData("DP_1","003N8EMH8GTFRCSWKMPXRRRFI","GSON5132325011")</f>
        <v>#NAME?</v>
      </c>
      <c r="G2556" s="4" t="e">
        <f ca="1">[1]!BexGetData("DP_1","003N8EMH8GTFRCSWKMPXRRXR2","GSON5132325011")</f>
        <v>#NAME?</v>
      </c>
      <c r="H2556" s="4" t="e">
        <f ca="1">[1]!BexGetData("DP_1","003N8EMH8GTFRCSWKMPXRS42M","GSON5132325011")</f>
        <v>#NAME?</v>
      </c>
      <c r="I2556" s="4" t="e">
        <f ca="1">[1]!BexGetData("DP_1","003N8EMH8GTFRCSWKMPXRSAE6","GSON5132325011")</f>
        <v>#NAME?</v>
      </c>
      <c r="J2556" s="4" t="e">
        <f ca="1">[1]!BexGetData("DP_1","003N8EMH8GTFRCSWKMPXRSGPQ","GSON5132325011")</f>
        <v>#NAME?</v>
      </c>
      <c r="K2556" s="3" t="e">
        <f ca="1">[1]!BexGetData("DP_1","003N8EMH8GTFRIVNUPY288VJH","GSON5132325011")</f>
        <v>#NAME?</v>
      </c>
      <c r="L2556" s="3" t="e">
        <f ca="1">[1]!BexGetData("DP_1","003N8EMH8GTFRIVNUPY2891V1","GSON5132325011")</f>
        <v>#NAME?</v>
      </c>
      <c r="M2556" s="8" t="e">
        <f ca="1">[1]!BexGetData("DP_1","003N8EMH8GTFRIVOG7KG9IQXA","GSON5132325011")</f>
        <v>#NAME?</v>
      </c>
      <c r="N2556" s="3" t="e">
        <f ca="1">[1]!BexGetData("DP_1","003N8EMH8GTFRIVOG7KG9IX8U","GSON5132325011")</f>
        <v>#NAME?</v>
      </c>
      <c r="O2556" s="8" t="e">
        <f ca="1">[1]!BexGetData("DP_1","003N8EMH8GTFRIVOG7KG9J3KE","GSON5132325011")</f>
        <v>#NAME?</v>
      </c>
      <c r="P2556" s="3" t="e">
        <f ca="1">[1]!BexGetData("DP_1","003N8EMH8GTFRIVOG7KG9J9VY","GSON5132325011")</f>
        <v>#NAME?</v>
      </c>
      <c r="Q2556" s="4" t="e">
        <f ca="1">[1]!BexGetData("DP_1","00O2TNJGODT0G5Z4TTKYMM5MT","GSON5132325011")</f>
        <v>#NAME?</v>
      </c>
      <c r="R2556" s="4" t="e">
        <f ca="1">[1]!BexGetData("DP_1","00O2TNJGODT0G5Z4TTKYMMBYD","GSON5132325011")</f>
        <v>#NAME?</v>
      </c>
      <c r="S2556" s="4" t="e">
        <f ca="1">[1]!BexGetData("DP_1","00O2TNJGODT0G5Z4TTKYMMI9X","GSON5132325011")</f>
        <v>#NAME?</v>
      </c>
      <c r="T2556" s="4" t="e">
        <f ca="1">[1]!BexGetData("DP_1","00O2TNJGODT0G5Z4TTKYMMOLH","GSON5132325011")</f>
        <v>#NAME?</v>
      </c>
      <c r="U2556" s="4" t="e">
        <f ca="1">[1]!BexGetData("DP_1","00O2TNJGODT0G5Z4TTKYMMUX1","GSON5132325011")</f>
        <v>#NAME?</v>
      </c>
      <c r="V2556" s="4" t="e">
        <f ca="1">[1]!BexGetData("DP_1","00O2TNJGODT0G5Z4TTKYMN18L","GSON5132325011")</f>
        <v>#NAME?</v>
      </c>
      <c r="W2556" s="4" t="e">
        <f ca="1">[1]!BexGetData("DP_1","00O2TNJGODT0G5Z4TTKYMN7K5","GSON5132325011")</f>
        <v>#NAME?</v>
      </c>
    </row>
    <row r="2557" spans="1:23" x14ac:dyDescent="0.2">
      <c r="A2557" s="16" t="s">
        <v>5269</v>
      </c>
      <c r="B2557" s="7" t="s">
        <v>5270</v>
      </c>
      <c r="C2557" s="3" t="e">
        <f ca="1">[1]!BexGetData("DP_1","003N8EMH8GTFRCSWKMPXRR8GU","GSON5132325022")</f>
        <v>#NAME?</v>
      </c>
      <c r="D2557" s="8" t="e">
        <f ca="1">[1]!BexGetData("DP_1","003N8EMH8GTFRCSWKMPXRRESE","GSON5132325022")</f>
        <v>#NAME?</v>
      </c>
      <c r="E2557" s="3" t="e">
        <f ca="1">[1]!BexGetData("DP_1","003N8EMH8GTFRCSWKMPXRRL3Y","GSON5132325022")</f>
        <v>#NAME?</v>
      </c>
      <c r="F2557" s="4" t="e">
        <f ca="1">[1]!BexGetData("DP_1","003N8EMH8GTFRCSWKMPXRRRFI","GSON5132325022")</f>
        <v>#NAME?</v>
      </c>
      <c r="G2557" s="4" t="e">
        <f ca="1">[1]!BexGetData("DP_1","003N8EMH8GTFRCSWKMPXRRXR2","GSON5132325022")</f>
        <v>#NAME?</v>
      </c>
      <c r="H2557" s="4" t="e">
        <f ca="1">[1]!BexGetData("DP_1","003N8EMH8GTFRCSWKMPXRS42M","GSON5132325022")</f>
        <v>#NAME?</v>
      </c>
      <c r="I2557" s="4" t="e">
        <f ca="1">[1]!BexGetData("DP_1","003N8EMH8GTFRCSWKMPXRSAE6","GSON5132325022")</f>
        <v>#NAME?</v>
      </c>
      <c r="J2557" s="4" t="e">
        <f ca="1">[1]!BexGetData("DP_1","003N8EMH8GTFRCSWKMPXRSGPQ","GSON5132325022")</f>
        <v>#NAME?</v>
      </c>
      <c r="K2557" s="3" t="e">
        <f ca="1">[1]!BexGetData("DP_1","003N8EMH8GTFRIVNUPY288VJH","GSON5132325022")</f>
        <v>#NAME?</v>
      </c>
      <c r="L2557" s="3" t="e">
        <f ca="1">[1]!BexGetData("DP_1","003N8EMH8GTFRIVNUPY2891V1","GSON5132325022")</f>
        <v>#NAME?</v>
      </c>
      <c r="M2557" s="8" t="e">
        <f ca="1">[1]!BexGetData("DP_1","003N8EMH8GTFRIVOG7KG9IQXA","GSON5132325022")</f>
        <v>#NAME?</v>
      </c>
      <c r="N2557" s="3" t="e">
        <f ca="1">[1]!BexGetData("DP_1","003N8EMH8GTFRIVOG7KG9IX8U","GSON5132325022")</f>
        <v>#NAME?</v>
      </c>
      <c r="O2557" s="8" t="e">
        <f ca="1">[1]!BexGetData("DP_1","003N8EMH8GTFRIVOG7KG9J3KE","GSON5132325022")</f>
        <v>#NAME?</v>
      </c>
      <c r="P2557" s="3" t="e">
        <f ca="1">[1]!BexGetData("DP_1","003N8EMH8GTFRIVOG7KG9J9VY","GSON5132325022")</f>
        <v>#NAME?</v>
      </c>
      <c r="Q2557" s="4" t="e">
        <f ca="1">[1]!BexGetData("DP_1","00O2TNJGODT0G5Z4TTKYMM5MT","GSON5132325022")</f>
        <v>#NAME?</v>
      </c>
      <c r="R2557" s="4" t="e">
        <f ca="1">[1]!BexGetData("DP_1","00O2TNJGODT0G5Z4TTKYMMBYD","GSON5132325022")</f>
        <v>#NAME?</v>
      </c>
      <c r="S2557" s="4" t="e">
        <f ca="1">[1]!BexGetData("DP_1","00O2TNJGODT0G5Z4TTKYMMI9X","GSON5132325022")</f>
        <v>#NAME?</v>
      </c>
      <c r="T2557" s="4" t="e">
        <f ca="1">[1]!BexGetData("DP_1","00O2TNJGODT0G5Z4TTKYMMOLH","GSON5132325022")</f>
        <v>#NAME?</v>
      </c>
      <c r="U2557" s="4" t="e">
        <f ca="1">[1]!BexGetData("DP_1","00O2TNJGODT0G5Z4TTKYMMUX1","GSON5132325022")</f>
        <v>#NAME?</v>
      </c>
      <c r="V2557" s="4" t="e">
        <f ca="1">[1]!BexGetData("DP_1","00O2TNJGODT0G5Z4TTKYMN18L","GSON5132325022")</f>
        <v>#NAME?</v>
      </c>
      <c r="W2557" s="4" t="e">
        <f ca="1">[1]!BexGetData("DP_1","00O2TNJGODT0G5Z4TTKYMN7K5","GSON5132325022")</f>
        <v>#NAME?</v>
      </c>
    </row>
    <row r="2558" spans="1:23" x14ac:dyDescent="0.2">
      <c r="A2558" s="16" t="s">
        <v>5271</v>
      </c>
      <c r="B2558" s="7" t="s">
        <v>5272</v>
      </c>
      <c r="C2558" s="3" t="e">
        <f ca="1">[1]!BexGetData("DP_1","003N8EMH8GTFRCSWKMPXRR8GU","GSON5132326011")</f>
        <v>#NAME?</v>
      </c>
      <c r="D2558" s="3" t="e">
        <f ca="1">[1]!BexGetData("DP_1","003N8EMH8GTFRCSWKMPXRRESE","GSON5132326011")</f>
        <v>#NAME?</v>
      </c>
      <c r="E2558" s="3" t="e">
        <f ca="1">[1]!BexGetData("DP_1","003N8EMH8GTFRCSWKMPXRRL3Y","GSON5132326011")</f>
        <v>#NAME?</v>
      </c>
      <c r="F2558" s="4" t="e">
        <f ca="1">[1]!BexGetData("DP_1","003N8EMH8GTFRCSWKMPXRRRFI","GSON5132326011")</f>
        <v>#NAME?</v>
      </c>
      <c r="G2558" s="4" t="e">
        <f ca="1">[1]!BexGetData("DP_1","003N8EMH8GTFRCSWKMPXRRXR2","GSON5132326011")</f>
        <v>#NAME?</v>
      </c>
      <c r="H2558" s="4" t="e">
        <f ca="1">[1]!BexGetData("DP_1","003N8EMH8GTFRCSWKMPXRS42M","GSON5132326011")</f>
        <v>#NAME?</v>
      </c>
      <c r="I2558" s="4" t="e">
        <f ca="1">[1]!BexGetData("DP_1","003N8EMH8GTFRCSWKMPXRSAE6","GSON5132326011")</f>
        <v>#NAME?</v>
      </c>
      <c r="J2558" s="4" t="e">
        <f ca="1">[1]!BexGetData("DP_1","003N8EMH8GTFRCSWKMPXRSGPQ","GSON5132326011")</f>
        <v>#NAME?</v>
      </c>
      <c r="K2558" s="3" t="e">
        <f ca="1">[1]!BexGetData("DP_1","003N8EMH8GTFRIVNUPY288VJH","GSON5132326011")</f>
        <v>#NAME?</v>
      </c>
      <c r="L2558" s="3" t="e">
        <f ca="1">[1]!BexGetData("DP_1","003N8EMH8GTFRIVNUPY2891V1","GSON5132326011")</f>
        <v>#NAME?</v>
      </c>
      <c r="M2558" s="8" t="e">
        <f ca="1">[1]!BexGetData("DP_1","003N8EMH8GTFRIVOG7KG9IQXA","GSON5132326011")</f>
        <v>#NAME?</v>
      </c>
      <c r="N2558" s="3" t="e">
        <f ca="1">[1]!BexGetData("DP_1","003N8EMH8GTFRIVOG7KG9IX8U","GSON5132326011")</f>
        <v>#NAME?</v>
      </c>
      <c r="O2558" s="8" t="e">
        <f ca="1">[1]!BexGetData("DP_1","003N8EMH8GTFRIVOG7KG9J3KE","GSON5132326011")</f>
        <v>#NAME?</v>
      </c>
      <c r="P2558" s="3" t="e">
        <f ca="1">[1]!BexGetData("DP_1","003N8EMH8GTFRIVOG7KG9J9VY","GSON5132326011")</f>
        <v>#NAME?</v>
      </c>
      <c r="Q2558" s="4" t="e">
        <f ca="1">[1]!BexGetData("DP_1","00O2TNJGODT0G5Z4TTKYMM5MT","GSON5132326011")</f>
        <v>#NAME?</v>
      </c>
      <c r="R2558" s="4" t="e">
        <f ca="1">[1]!BexGetData("DP_1","00O2TNJGODT0G5Z4TTKYMMBYD","GSON5132326011")</f>
        <v>#NAME?</v>
      </c>
      <c r="S2558" s="4" t="e">
        <f ca="1">[1]!BexGetData("DP_1","00O2TNJGODT0G5Z4TTKYMMI9X","GSON5132326011")</f>
        <v>#NAME?</v>
      </c>
      <c r="T2558" s="4" t="e">
        <f ca="1">[1]!BexGetData("DP_1","00O2TNJGODT0G5Z4TTKYMMOLH","GSON5132326011")</f>
        <v>#NAME?</v>
      </c>
      <c r="U2558" s="4" t="e">
        <f ca="1">[1]!BexGetData("DP_1","00O2TNJGODT0G5Z4TTKYMMUX1","GSON5132326011")</f>
        <v>#NAME?</v>
      </c>
      <c r="V2558" s="4" t="e">
        <f ca="1">[1]!BexGetData("DP_1","00O2TNJGODT0G5Z4TTKYMN18L","GSON5132326011")</f>
        <v>#NAME?</v>
      </c>
      <c r="W2558" s="4" t="e">
        <f ca="1">[1]!BexGetData("DP_1","00O2TNJGODT0G5Z4TTKYMN7K5","GSON5132326011")</f>
        <v>#NAME?</v>
      </c>
    </row>
    <row r="2559" spans="1:23" x14ac:dyDescent="0.2">
      <c r="A2559" s="16" t="s">
        <v>5273</v>
      </c>
      <c r="B2559" s="7" t="s">
        <v>5274</v>
      </c>
      <c r="C2559" s="3" t="e">
        <f ca="1">[1]!BexGetData("DP_1","003N8EMH8GTFRCSWKMPXRR8GU","GSON5132327011")</f>
        <v>#NAME?</v>
      </c>
      <c r="D2559" s="3" t="e">
        <f ca="1">[1]!BexGetData("DP_1","003N8EMH8GTFRCSWKMPXRRESE","GSON5132327011")</f>
        <v>#NAME?</v>
      </c>
      <c r="E2559" s="3" t="e">
        <f ca="1">[1]!BexGetData("DP_1","003N8EMH8GTFRCSWKMPXRRL3Y","GSON5132327011")</f>
        <v>#NAME?</v>
      </c>
      <c r="F2559" s="4" t="e">
        <f ca="1">[1]!BexGetData("DP_1","003N8EMH8GTFRCSWKMPXRRRFI","GSON5132327011")</f>
        <v>#NAME?</v>
      </c>
      <c r="G2559" s="4" t="e">
        <f ca="1">[1]!BexGetData("DP_1","003N8EMH8GTFRCSWKMPXRRXR2","GSON5132327011")</f>
        <v>#NAME?</v>
      </c>
      <c r="H2559" s="4" t="e">
        <f ca="1">[1]!BexGetData("DP_1","003N8EMH8GTFRCSWKMPXRS42M","GSON5132327011")</f>
        <v>#NAME?</v>
      </c>
      <c r="I2559" s="4" t="e">
        <f ca="1">[1]!BexGetData("DP_1","003N8EMH8GTFRCSWKMPXRSAE6","GSON5132327011")</f>
        <v>#NAME?</v>
      </c>
      <c r="J2559" s="4" t="e">
        <f ca="1">[1]!BexGetData("DP_1","003N8EMH8GTFRCSWKMPXRSGPQ","GSON5132327011")</f>
        <v>#NAME?</v>
      </c>
      <c r="K2559" s="3" t="e">
        <f ca="1">[1]!BexGetData("DP_1","003N8EMH8GTFRIVNUPY288VJH","GSON5132327011")</f>
        <v>#NAME?</v>
      </c>
      <c r="L2559" s="3" t="e">
        <f ca="1">[1]!BexGetData("DP_1","003N8EMH8GTFRIVNUPY2891V1","GSON5132327011")</f>
        <v>#NAME?</v>
      </c>
      <c r="M2559" s="8" t="e">
        <f ca="1">[1]!BexGetData("DP_1","003N8EMH8GTFRIVOG7KG9IQXA","GSON5132327011")</f>
        <v>#NAME?</v>
      </c>
      <c r="N2559" s="3" t="e">
        <f ca="1">[1]!BexGetData("DP_1","003N8EMH8GTFRIVOG7KG9IX8U","GSON5132327011")</f>
        <v>#NAME?</v>
      </c>
      <c r="O2559" s="8" t="e">
        <f ca="1">[1]!BexGetData("DP_1","003N8EMH8GTFRIVOG7KG9J3KE","GSON5132327011")</f>
        <v>#NAME?</v>
      </c>
      <c r="P2559" s="3" t="e">
        <f ca="1">[1]!BexGetData("DP_1","003N8EMH8GTFRIVOG7KG9J9VY","GSON5132327011")</f>
        <v>#NAME?</v>
      </c>
      <c r="Q2559" s="4" t="e">
        <f ca="1">[1]!BexGetData("DP_1","00O2TNJGODT0G5Z4TTKYMM5MT","GSON5132327011")</f>
        <v>#NAME?</v>
      </c>
      <c r="R2559" s="4" t="e">
        <f ca="1">[1]!BexGetData("DP_1","00O2TNJGODT0G5Z4TTKYMMBYD","GSON5132327011")</f>
        <v>#NAME?</v>
      </c>
      <c r="S2559" s="4" t="e">
        <f ca="1">[1]!BexGetData("DP_1","00O2TNJGODT0G5Z4TTKYMMI9X","GSON5132327011")</f>
        <v>#NAME?</v>
      </c>
      <c r="T2559" s="4" t="e">
        <f ca="1">[1]!BexGetData("DP_1","00O2TNJGODT0G5Z4TTKYMMOLH","GSON5132327011")</f>
        <v>#NAME?</v>
      </c>
      <c r="U2559" s="4" t="e">
        <f ca="1">[1]!BexGetData("DP_1","00O2TNJGODT0G5Z4TTKYMMUX1","GSON5132327011")</f>
        <v>#NAME?</v>
      </c>
      <c r="V2559" s="4" t="e">
        <f ca="1">[1]!BexGetData("DP_1","00O2TNJGODT0G5Z4TTKYMN18L","GSON5132327011")</f>
        <v>#NAME?</v>
      </c>
      <c r="W2559" s="4" t="e">
        <f ca="1">[1]!BexGetData("DP_1","00O2TNJGODT0G5Z4TTKYMN7K5","GSON5132327011")</f>
        <v>#NAME?</v>
      </c>
    </row>
    <row r="2560" spans="1:23" x14ac:dyDescent="0.2">
      <c r="A2560" s="16" t="s">
        <v>5275</v>
      </c>
      <c r="B2560" s="7" t="s">
        <v>5276</v>
      </c>
      <c r="C2560" s="3" t="e">
        <f ca="1">[1]!BexGetData("DP_1","003N8EMH8GTFRCSWKMPXRR8GU","GSON5132329011")</f>
        <v>#NAME?</v>
      </c>
      <c r="D2560" s="3" t="e">
        <f ca="1">[1]!BexGetData("DP_1","003N8EMH8GTFRCSWKMPXRRESE","GSON5132329011")</f>
        <v>#NAME?</v>
      </c>
      <c r="E2560" s="3" t="e">
        <f ca="1">[1]!BexGetData("DP_1","003N8EMH8GTFRCSWKMPXRRL3Y","GSON5132329011")</f>
        <v>#NAME?</v>
      </c>
      <c r="F2560" s="4" t="e">
        <f ca="1">[1]!BexGetData("DP_1","003N8EMH8GTFRCSWKMPXRRRFI","GSON5132329011")</f>
        <v>#NAME?</v>
      </c>
      <c r="G2560" s="4" t="e">
        <f ca="1">[1]!BexGetData("DP_1","003N8EMH8GTFRCSWKMPXRRXR2","GSON5132329011")</f>
        <v>#NAME?</v>
      </c>
      <c r="H2560" s="4" t="e">
        <f ca="1">[1]!BexGetData("DP_1","003N8EMH8GTFRCSWKMPXRS42M","GSON5132329011")</f>
        <v>#NAME?</v>
      </c>
      <c r="I2560" s="4" t="e">
        <f ca="1">[1]!BexGetData("DP_1","003N8EMH8GTFRCSWKMPXRSAE6","GSON5132329011")</f>
        <v>#NAME?</v>
      </c>
      <c r="J2560" s="4" t="e">
        <f ca="1">[1]!BexGetData("DP_1","003N8EMH8GTFRCSWKMPXRSGPQ","GSON5132329011")</f>
        <v>#NAME?</v>
      </c>
      <c r="K2560" s="3" t="e">
        <f ca="1">[1]!BexGetData("DP_1","003N8EMH8GTFRIVNUPY288VJH","GSON5132329011")</f>
        <v>#NAME?</v>
      </c>
      <c r="L2560" s="3" t="e">
        <f ca="1">[1]!BexGetData("DP_1","003N8EMH8GTFRIVNUPY2891V1","GSON5132329011")</f>
        <v>#NAME?</v>
      </c>
      <c r="M2560" s="8" t="e">
        <f ca="1">[1]!BexGetData("DP_1","003N8EMH8GTFRIVOG7KG9IQXA","GSON5132329011")</f>
        <v>#NAME?</v>
      </c>
      <c r="N2560" s="3" t="e">
        <f ca="1">[1]!BexGetData("DP_1","003N8EMH8GTFRIVOG7KG9IX8U","GSON5132329011")</f>
        <v>#NAME?</v>
      </c>
      <c r="O2560" s="8" t="e">
        <f ca="1">[1]!BexGetData("DP_1","003N8EMH8GTFRIVOG7KG9J3KE","GSON5132329011")</f>
        <v>#NAME?</v>
      </c>
      <c r="P2560" s="3" t="e">
        <f ca="1">[1]!BexGetData("DP_1","003N8EMH8GTFRIVOG7KG9J9VY","GSON5132329011")</f>
        <v>#NAME?</v>
      </c>
      <c r="Q2560" s="4" t="e">
        <f ca="1">[1]!BexGetData("DP_1","00O2TNJGODT0G5Z4TTKYMM5MT","GSON5132329011")</f>
        <v>#NAME?</v>
      </c>
      <c r="R2560" s="4" t="e">
        <f ca="1">[1]!BexGetData("DP_1","00O2TNJGODT0G5Z4TTKYMMBYD","GSON5132329011")</f>
        <v>#NAME?</v>
      </c>
      <c r="S2560" s="4" t="e">
        <f ca="1">[1]!BexGetData("DP_1","00O2TNJGODT0G5Z4TTKYMMI9X","GSON5132329011")</f>
        <v>#NAME?</v>
      </c>
      <c r="T2560" s="4" t="e">
        <f ca="1">[1]!BexGetData("DP_1","00O2TNJGODT0G5Z4TTKYMMOLH","GSON5132329011")</f>
        <v>#NAME?</v>
      </c>
      <c r="U2560" s="4" t="e">
        <f ca="1">[1]!BexGetData("DP_1","00O2TNJGODT0G5Z4TTKYMMUX1","GSON5132329011")</f>
        <v>#NAME?</v>
      </c>
      <c r="V2560" s="4" t="e">
        <f ca="1">[1]!BexGetData("DP_1","00O2TNJGODT0G5Z4TTKYMN18L","GSON5132329011")</f>
        <v>#NAME?</v>
      </c>
      <c r="W2560" s="4" t="e">
        <f ca="1">[1]!BexGetData("DP_1","00O2TNJGODT0G5Z4TTKYMN7K5","GSON5132329011")</f>
        <v>#NAME?</v>
      </c>
    </row>
    <row r="2561" spans="1:23" x14ac:dyDescent="0.2">
      <c r="A2561" s="15" t="s">
        <v>589</v>
      </c>
      <c r="B2561" s="7" t="s">
        <v>590</v>
      </c>
      <c r="C2561" s="3" t="e">
        <f ca="1">[1]!BexGetData("DP_1","003N8EMH8GTFRCSWKMPXRR8GU","GSON5133")</f>
        <v>#NAME?</v>
      </c>
      <c r="D2561" s="3" t="e">
        <f ca="1">[1]!BexGetData("DP_1","003N8EMH8GTFRCSWKMPXRRESE","GSON5133")</f>
        <v>#NAME?</v>
      </c>
      <c r="E2561" s="3" t="e">
        <f ca="1">[1]!BexGetData("DP_1","003N8EMH8GTFRCSWKMPXRRL3Y","GSON5133")</f>
        <v>#NAME?</v>
      </c>
      <c r="F2561" s="4" t="e">
        <f ca="1">[1]!BexGetData("DP_1","003N8EMH8GTFRCSWKMPXRRRFI","GSON5133")</f>
        <v>#NAME?</v>
      </c>
      <c r="G2561" s="4" t="e">
        <f ca="1">[1]!BexGetData("DP_1","003N8EMH8GTFRCSWKMPXRRXR2","GSON5133")</f>
        <v>#NAME?</v>
      </c>
      <c r="H2561" s="4" t="e">
        <f ca="1">[1]!BexGetData("DP_1","003N8EMH8GTFRCSWKMPXRS42M","GSON5133")</f>
        <v>#NAME?</v>
      </c>
      <c r="I2561" s="4" t="e">
        <f ca="1">[1]!BexGetData("DP_1","003N8EMH8GTFRCSWKMPXRSAE6","GSON5133")</f>
        <v>#NAME?</v>
      </c>
      <c r="J2561" s="4" t="e">
        <f ca="1">[1]!BexGetData("DP_1","003N8EMH8GTFRCSWKMPXRSGPQ","GSON5133")</f>
        <v>#NAME?</v>
      </c>
      <c r="K2561" s="3" t="e">
        <f ca="1">[1]!BexGetData("DP_1","003N8EMH8GTFRIVNUPY288VJH","GSON5133")</f>
        <v>#NAME?</v>
      </c>
      <c r="L2561" s="3" t="e">
        <f ca="1">[1]!BexGetData("DP_1","003N8EMH8GTFRIVNUPY2891V1","GSON5133")</f>
        <v>#NAME?</v>
      </c>
      <c r="M2561" s="8" t="e">
        <f ca="1">[1]!BexGetData("DP_1","003N8EMH8GTFRIVOG7KG9IQXA","GSON5133")</f>
        <v>#NAME?</v>
      </c>
      <c r="N2561" s="3" t="e">
        <f ca="1">[1]!BexGetData("DP_1","003N8EMH8GTFRIVOG7KG9IX8U","GSON5133")</f>
        <v>#NAME?</v>
      </c>
      <c r="O2561" s="8" t="e">
        <f ca="1">[1]!BexGetData("DP_1","003N8EMH8GTFRIVOG7KG9J3KE","GSON5133")</f>
        <v>#NAME?</v>
      </c>
      <c r="P2561" s="3" t="e">
        <f ca="1">[1]!BexGetData("DP_1","003N8EMH8GTFRIVOG7KG9J9VY","GSON5133")</f>
        <v>#NAME?</v>
      </c>
      <c r="Q2561" s="4" t="e">
        <f ca="1">[1]!BexGetData("DP_1","00O2TNJGODT0G5Z4TTKYMM5MT","GSON5133")</f>
        <v>#NAME?</v>
      </c>
      <c r="R2561" s="4" t="e">
        <f ca="1">[1]!BexGetData("DP_1","00O2TNJGODT0G5Z4TTKYMMBYD","GSON5133")</f>
        <v>#NAME?</v>
      </c>
      <c r="S2561" s="4" t="e">
        <f ca="1">[1]!BexGetData("DP_1","00O2TNJGODT0G5Z4TTKYMMI9X","GSON5133")</f>
        <v>#NAME?</v>
      </c>
      <c r="T2561" s="4" t="e">
        <f ca="1">[1]!BexGetData("DP_1","00O2TNJGODT0G5Z4TTKYMMOLH","GSON5133")</f>
        <v>#NAME?</v>
      </c>
      <c r="U2561" s="4" t="e">
        <f ca="1">[1]!BexGetData("DP_1","00O2TNJGODT0G5Z4TTKYMMUX1","GSON5133")</f>
        <v>#NAME?</v>
      </c>
      <c r="V2561" s="4" t="e">
        <f ca="1">[1]!BexGetData("DP_1","00O2TNJGODT0G5Z4TTKYMN18L","GSON5133")</f>
        <v>#NAME?</v>
      </c>
      <c r="W2561" s="4" t="e">
        <f ca="1">[1]!BexGetData("DP_1","00O2TNJGODT0G5Z4TTKYMN7K5","GSON5133")</f>
        <v>#NAME?</v>
      </c>
    </row>
    <row r="2562" spans="1:23" x14ac:dyDescent="0.2">
      <c r="A2562" s="16" t="s">
        <v>5277</v>
      </c>
      <c r="B2562" s="7" t="s">
        <v>5278</v>
      </c>
      <c r="C2562" s="3" t="e">
        <f ca="1">[1]!BexGetData("DP_1","003N8EMH8GTFRCSWKMPXRR8GU","GSON5133331011")</f>
        <v>#NAME?</v>
      </c>
      <c r="D2562" s="3" t="e">
        <f ca="1">[1]!BexGetData("DP_1","003N8EMH8GTFRCSWKMPXRRESE","GSON5133331011")</f>
        <v>#NAME?</v>
      </c>
      <c r="E2562" s="3" t="e">
        <f ca="1">[1]!BexGetData("DP_1","003N8EMH8GTFRCSWKMPXRRL3Y","GSON5133331011")</f>
        <v>#NAME?</v>
      </c>
      <c r="F2562" s="4" t="e">
        <f ca="1">[1]!BexGetData("DP_1","003N8EMH8GTFRCSWKMPXRRRFI","GSON5133331011")</f>
        <v>#NAME?</v>
      </c>
      <c r="G2562" s="4" t="e">
        <f ca="1">[1]!BexGetData("DP_1","003N8EMH8GTFRCSWKMPXRRXR2","GSON5133331011")</f>
        <v>#NAME?</v>
      </c>
      <c r="H2562" s="4" t="e">
        <f ca="1">[1]!BexGetData("DP_1","003N8EMH8GTFRCSWKMPXRS42M","GSON5133331011")</f>
        <v>#NAME?</v>
      </c>
      <c r="I2562" s="4" t="e">
        <f ca="1">[1]!BexGetData("DP_1","003N8EMH8GTFRCSWKMPXRSAE6","GSON5133331011")</f>
        <v>#NAME?</v>
      </c>
      <c r="J2562" s="4" t="e">
        <f ca="1">[1]!BexGetData("DP_1","003N8EMH8GTFRCSWKMPXRSGPQ","GSON5133331011")</f>
        <v>#NAME?</v>
      </c>
      <c r="K2562" s="3" t="e">
        <f ca="1">[1]!BexGetData("DP_1","003N8EMH8GTFRIVNUPY288VJH","GSON5133331011")</f>
        <v>#NAME?</v>
      </c>
      <c r="L2562" s="3" t="e">
        <f ca="1">[1]!BexGetData("DP_1","003N8EMH8GTFRIVNUPY2891V1","GSON5133331011")</f>
        <v>#NAME?</v>
      </c>
      <c r="M2562" s="8" t="e">
        <f ca="1">[1]!BexGetData("DP_1","003N8EMH8GTFRIVOG7KG9IQXA","GSON5133331011")</f>
        <v>#NAME?</v>
      </c>
      <c r="N2562" s="3" t="e">
        <f ca="1">[1]!BexGetData("DP_1","003N8EMH8GTFRIVOG7KG9IX8U","GSON5133331011")</f>
        <v>#NAME?</v>
      </c>
      <c r="O2562" s="8" t="e">
        <f ca="1">[1]!BexGetData("DP_1","003N8EMH8GTFRIVOG7KG9J3KE","GSON5133331011")</f>
        <v>#NAME?</v>
      </c>
      <c r="P2562" s="3" t="e">
        <f ca="1">[1]!BexGetData("DP_1","003N8EMH8GTFRIVOG7KG9J9VY","GSON5133331011")</f>
        <v>#NAME?</v>
      </c>
      <c r="Q2562" s="4" t="e">
        <f ca="1">[1]!BexGetData("DP_1","00O2TNJGODT0G5Z4TTKYMM5MT","GSON5133331011")</f>
        <v>#NAME?</v>
      </c>
      <c r="R2562" s="4" t="e">
        <f ca="1">[1]!BexGetData("DP_1","00O2TNJGODT0G5Z4TTKYMMBYD","GSON5133331011")</f>
        <v>#NAME?</v>
      </c>
      <c r="S2562" s="4" t="e">
        <f ca="1">[1]!BexGetData("DP_1","00O2TNJGODT0G5Z4TTKYMMI9X","GSON5133331011")</f>
        <v>#NAME?</v>
      </c>
      <c r="T2562" s="4" t="e">
        <f ca="1">[1]!BexGetData("DP_1","00O2TNJGODT0G5Z4TTKYMMOLH","GSON5133331011")</f>
        <v>#NAME?</v>
      </c>
      <c r="U2562" s="4" t="e">
        <f ca="1">[1]!BexGetData("DP_1","00O2TNJGODT0G5Z4TTKYMMUX1","GSON5133331011")</f>
        <v>#NAME?</v>
      </c>
      <c r="V2562" s="4" t="e">
        <f ca="1">[1]!BexGetData("DP_1","00O2TNJGODT0G5Z4TTKYMN18L","GSON5133331011")</f>
        <v>#NAME?</v>
      </c>
      <c r="W2562" s="4" t="e">
        <f ca="1">[1]!BexGetData("DP_1","00O2TNJGODT0G5Z4TTKYMN7K5","GSON5133331011")</f>
        <v>#NAME?</v>
      </c>
    </row>
    <row r="2563" spans="1:23" x14ac:dyDescent="0.2">
      <c r="A2563" s="16" t="s">
        <v>5279</v>
      </c>
      <c r="B2563" s="7" t="s">
        <v>5280</v>
      </c>
      <c r="C2563" s="3" t="e">
        <f ca="1">[1]!BexGetData("DP_1","003N8EMH8GTFRCSWKMPXRR8GU","GSON5133332011")</f>
        <v>#NAME?</v>
      </c>
      <c r="D2563" s="3" t="e">
        <f ca="1">[1]!BexGetData("DP_1","003N8EMH8GTFRCSWKMPXRRESE","GSON5133332011")</f>
        <v>#NAME?</v>
      </c>
      <c r="E2563" s="3" t="e">
        <f ca="1">[1]!BexGetData("DP_1","003N8EMH8GTFRCSWKMPXRRL3Y","GSON5133332011")</f>
        <v>#NAME?</v>
      </c>
      <c r="F2563" s="4" t="e">
        <f ca="1">[1]!BexGetData("DP_1","003N8EMH8GTFRCSWKMPXRRRFI","GSON5133332011")</f>
        <v>#NAME?</v>
      </c>
      <c r="G2563" s="4" t="e">
        <f ca="1">[1]!BexGetData("DP_1","003N8EMH8GTFRCSWKMPXRRXR2","GSON5133332011")</f>
        <v>#NAME?</v>
      </c>
      <c r="H2563" s="4" t="e">
        <f ca="1">[1]!BexGetData("DP_1","003N8EMH8GTFRCSWKMPXRS42M","GSON5133332011")</f>
        <v>#NAME?</v>
      </c>
      <c r="I2563" s="4" t="e">
        <f ca="1">[1]!BexGetData("DP_1","003N8EMH8GTFRCSWKMPXRSAE6","GSON5133332011")</f>
        <v>#NAME?</v>
      </c>
      <c r="J2563" s="4" t="e">
        <f ca="1">[1]!BexGetData("DP_1","003N8EMH8GTFRCSWKMPXRSGPQ","GSON5133332011")</f>
        <v>#NAME?</v>
      </c>
      <c r="K2563" s="3" t="e">
        <f ca="1">[1]!BexGetData("DP_1","003N8EMH8GTFRIVNUPY288VJH","GSON5133332011")</f>
        <v>#NAME?</v>
      </c>
      <c r="L2563" s="3" t="e">
        <f ca="1">[1]!BexGetData("DP_1","003N8EMH8GTFRIVNUPY2891V1","GSON5133332011")</f>
        <v>#NAME?</v>
      </c>
      <c r="M2563" s="8" t="e">
        <f ca="1">[1]!BexGetData("DP_1","003N8EMH8GTFRIVOG7KG9IQXA","GSON5133332011")</f>
        <v>#NAME?</v>
      </c>
      <c r="N2563" s="3" t="e">
        <f ca="1">[1]!BexGetData("DP_1","003N8EMH8GTFRIVOG7KG9IX8U","GSON5133332011")</f>
        <v>#NAME?</v>
      </c>
      <c r="O2563" s="8" t="e">
        <f ca="1">[1]!BexGetData("DP_1","003N8EMH8GTFRIVOG7KG9J3KE","GSON5133332011")</f>
        <v>#NAME?</v>
      </c>
      <c r="P2563" s="3" t="e">
        <f ca="1">[1]!BexGetData("DP_1","003N8EMH8GTFRIVOG7KG9J9VY","GSON5133332011")</f>
        <v>#NAME?</v>
      </c>
      <c r="Q2563" s="4" t="e">
        <f ca="1">[1]!BexGetData("DP_1","00O2TNJGODT0G5Z4TTKYMM5MT","GSON5133332011")</f>
        <v>#NAME?</v>
      </c>
      <c r="R2563" s="4" t="e">
        <f ca="1">[1]!BexGetData("DP_1","00O2TNJGODT0G5Z4TTKYMMBYD","GSON5133332011")</f>
        <v>#NAME?</v>
      </c>
      <c r="S2563" s="4" t="e">
        <f ca="1">[1]!BexGetData("DP_1","00O2TNJGODT0G5Z4TTKYMMI9X","GSON5133332011")</f>
        <v>#NAME?</v>
      </c>
      <c r="T2563" s="4" t="e">
        <f ca="1">[1]!BexGetData("DP_1","00O2TNJGODT0G5Z4TTKYMMOLH","GSON5133332011")</f>
        <v>#NAME?</v>
      </c>
      <c r="U2563" s="4" t="e">
        <f ca="1">[1]!BexGetData("DP_1","00O2TNJGODT0G5Z4TTKYMMUX1","GSON5133332011")</f>
        <v>#NAME?</v>
      </c>
      <c r="V2563" s="4" t="e">
        <f ca="1">[1]!BexGetData("DP_1","00O2TNJGODT0G5Z4TTKYMN18L","GSON5133332011")</f>
        <v>#NAME?</v>
      </c>
      <c r="W2563" s="4" t="e">
        <f ca="1">[1]!BexGetData("DP_1","00O2TNJGODT0G5Z4TTKYMN7K5","GSON5133332011")</f>
        <v>#NAME?</v>
      </c>
    </row>
    <row r="2564" spans="1:23" x14ac:dyDescent="0.2">
      <c r="A2564" s="16" t="s">
        <v>5281</v>
      </c>
      <c r="B2564" s="7" t="s">
        <v>5282</v>
      </c>
      <c r="C2564" s="3" t="e">
        <f ca="1">[1]!BexGetData("DP_1","003N8EMH8GTFRCSWKMPXRR8GU","GSON5133333011")</f>
        <v>#NAME?</v>
      </c>
      <c r="D2564" s="3" t="e">
        <f ca="1">[1]!BexGetData("DP_1","003N8EMH8GTFRCSWKMPXRRESE","GSON5133333011")</f>
        <v>#NAME?</v>
      </c>
      <c r="E2564" s="3" t="e">
        <f ca="1">[1]!BexGetData("DP_1","003N8EMH8GTFRCSWKMPXRRL3Y","GSON5133333011")</f>
        <v>#NAME?</v>
      </c>
      <c r="F2564" s="4" t="e">
        <f ca="1">[1]!BexGetData("DP_1","003N8EMH8GTFRCSWKMPXRRRFI","GSON5133333011")</f>
        <v>#NAME?</v>
      </c>
      <c r="G2564" s="4" t="e">
        <f ca="1">[1]!BexGetData("DP_1","003N8EMH8GTFRCSWKMPXRRXR2","GSON5133333011")</f>
        <v>#NAME?</v>
      </c>
      <c r="H2564" s="4" t="e">
        <f ca="1">[1]!BexGetData("DP_1","003N8EMH8GTFRCSWKMPXRS42M","GSON5133333011")</f>
        <v>#NAME?</v>
      </c>
      <c r="I2564" s="4" t="e">
        <f ca="1">[1]!BexGetData("DP_1","003N8EMH8GTFRCSWKMPXRSAE6","GSON5133333011")</f>
        <v>#NAME?</v>
      </c>
      <c r="J2564" s="4" t="e">
        <f ca="1">[1]!BexGetData("DP_1","003N8EMH8GTFRCSWKMPXRSGPQ","GSON5133333011")</f>
        <v>#NAME?</v>
      </c>
      <c r="K2564" s="3" t="e">
        <f ca="1">[1]!BexGetData("DP_1","003N8EMH8GTFRIVNUPY288VJH","GSON5133333011")</f>
        <v>#NAME?</v>
      </c>
      <c r="L2564" s="3" t="e">
        <f ca="1">[1]!BexGetData("DP_1","003N8EMH8GTFRIVNUPY2891V1","GSON5133333011")</f>
        <v>#NAME?</v>
      </c>
      <c r="M2564" s="8" t="e">
        <f ca="1">[1]!BexGetData("DP_1","003N8EMH8GTFRIVOG7KG9IQXA","GSON5133333011")</f>
        <v>#NAME?</v>
      </c>
      <c r="N2564" s="3" t="e">
        <f ca="1">[1]!BexGetData("DP_1","003N8EMH8GTFRIVOG7KG9IX8U","GSON5133333011")</f>
        <v>#NAME?</v>
      </c>
      <c r="O2564" s="8" t="e">
        <f ca="1">[1]!BexGetData("DP_1","003N8EMH8GTFRIVOG7KG9J3KE","GSON5133333011")</f>
        <v>#NAME?</v>
      </c>
      <c r="P2564" s="3" t="e">
        <f ca="1">[1]!BexGetData("DP_1","003N8EMH8GTFRIVOG7KG9J9VY","GSON5133333011")</f>
        <v>#NAME?</v>
      </c>
      <c r="Q2564" s="4" t="e">
        <f ca="1">[1]!BexGetData("DP_1","00O2TNJGODT0G5Z4TTKYMM5MT","GSON5133333011")</f>
        <v>#NAME?</v>
      </c>
      <c r="R2564" s="4" t="e">
        <f ca="1">[1]!BexGetData("DP_1","00O2TNJGODT0G5Z4TTKYMMBYD","GSON5133333011")</f>
        <v>#NAME?</v>
      </c>
      <c r="S2564" s="4" t="e">
        <f ca="1">[1]!BexGetData("DP_1","00O2TNJGODT0G5Z4TTKYMMI9X","GSON5133333011")</f>
        <v>#NAME?</v>
      </c>
      <c r="T2564" s="4" t="e">
        <f ca="1">[1]!BexGetData("DP_1","00O2TNJGODT0G5Z4TTKYMMOLH","GSON5133333011")</f>
        <v>#NAME?</v>
      </c>
      <c r="U2564" s="4" t="e">
        <f ca="1">[1]!BexGetData("DP_1","00O2TNJGODT0G5Z4TTKYMMUX1","GSON5133333011")</f>
        <v>#NAME?</v>
      </c>
      <c r="V2564" s="4" t="e">
        <f ca="1">[1]!BexGetData("DP_1","00O2TNJGODT0G5Z4TTKYMN18L","GSON5133333011")</f>
        <v>#NAME?</v>
      </c>
      <c r="W2564" s="4" t="e">
        <f ca="1">[1]!BexGetData("DP_1","00O2TNJGODT0G5Z4TTKYMN7K5","GSON5133333011")</f>
        <v>#NAME?</v>
      </c>
    </row>
    <row r="2565" spans="1:23" x14ac:dyDescent="0.2">
      <c r="A2565" s="16" t="s">
        <v>5283</v>
      </c>
      <c r="B2565" s="7" t="s">
        <v>5284</v>
      </c>
      <c r="C2565" s="3" t="e">
        <f ca="1">[1]!BexGetData("DP_1","003N8EMH8GTFRCSWKMPXRR8GU","GSON5133333021")</f>
        <v>#NAME?</v>
      </c>
      <c r="D2565" s="3" t="e">
        <f ca="1">[1]!BexGetData("DP_1","003N8EMH8GTFRCSWKMPXRRESE","GSON5133333021")</f>
        <v>#NAME?</v>
      </c>
      <c r="E2565" s="3" t="e">
        <f ca="1">[1]!BexGetData("DP_1","003N8EMH8GTFRCSWKMPXRRL3Y","GSON5133333021")</f>
        <v>#NAME?</v>
      </c>
      <c r="F2565" s="4" t="e">
        <f ca="1">[1]!BexGetData("DP_1","003N8EMH8GTFRCSWKMPXRRRFI","GSON5133333021")</f>
        <v>#NAME?</v>
      </c>
      <c r="G2565" s="4" t="e">
        <f ca="1">[1]!BexGetData("DP_1","003N8EMH8GTFRCSWKMPXRRXR2","GSON5133333021")</f>
        <v>#NAME?</v>
      </c>
      <c r="H2565" s="4" t="e">
        <f ca="1">[1]!BexGetData("DP_1","003N8EMH8GTFRCSWKMPXRS42M","GSON5133333021")</f>
        <v>#NAME?</v>
      </c>
      <c r="I2565" s="4" t="e">
        <f ca="1">[1]!BexGetData("DP_1","003N8EMH8GTFRCSWKMPXRSAE6","GSON5133333021")</f>
        <v>#NAME?</v>
      </c>
      <c r="J2565" s="4" t="e">
        <f ca="1">[1]!BexGetData("DP_1","003N8EMH8GTFRCSWKMPXRSGPQ","GSON5133333021")</f>
        <v>#NAME?</v>
      </c>
      <c r="K2565" s="3" t="e">
        <f ca="1">[1]!BexGetData("DP_1","003N8EMH8GTFRIVNUPY288VJH","GSON5133333021")</f>
        <v>#NAME?</v>
      </c>
      <c r="L2565" s="3" t="e">
        <f ca="1">[1]!BexGetData("DP_1","003N8EMH8GTFRIVNUPY2891V1","GSON5133333021")</f>
        <v>#NAME?</v>
      </c>
      <c r="M2565" s="8" t="e">
        <f ca="1">[1]!BexGetData("DP_1","003N8EMH8GTFRIVOG7KG9IQXA","GSON5133333021")</f>
        <v>#NAME?</v>
      </c>
      <c r="N2565" s="3" t="e">
        <f ca="1">[1]!BexGetData("DP_1","003N8EMH8GTFRIVOG7KG9IX8U","GSON5133333021")</f>
        <v>#NAME?</v>
      </c>
      <c r="O2565" s="8" t="e">
        <f ca="1">[1]!BexGetData("DP_1","003N8EMH8GTFRIVOG7KG9J3KE","GSON5133333021")</f>
        <v>#NAME?</v>
      </c>
      <c r="P2565" s="3" t="e">
        <f ca="1">[1]!BexGetData("DP_1","003N8EMH8GTFRIVOG7KG9J9VY","GSON5133333021")</f>
        <v>#NAME?</v>
      </c>
      <c r="Q2565" s="4" t="e">
        <f ca="1">[1]!BexGetData("DP_1","00O2TNJGODT0G5Z4TTKYMM5MT","GSON5133333021")</f>
        <v>#NAME?</v>
      </c>
      <c r="R2565" s="4" t="e">
        <f ca="1">[1]!BexGetData("DP_1","00O2TNJGODT0G5Z4TTKYMMBYD","GSON5133333021")</f>
        <v>#NAME?</v>
      </c>
      <c r="S2565" s="4" t="e">
        <f ca="1">[1]!BexGetData("DP_1","00O2TNJGODT0G5Z4TTKYMMI9X","GSON5133333021")</f>
        <v>#NAME?</v>
      </c>
      <c r="T2565" s="4" t="e">
        <f ca="1">[1]!BexGetData("DP_1","00O2TNJGODT0G5Z4TTKYMMOLH","GSON5133333021")</f>
        <v>#NAME?</v>
      </c>
      <c r="U2565" s="4" t="e">
        <f ca="1">[1]!BexGetData("DP_1","00O2TNJGODT0G5Z4TTKYMMUX1","GSON5133333021")</f>
        <v>#NAME?</v>
      </c>
      <c r="V2565" s="4" t="e">
        <f ca="1">[1]!BexGetData("DP_1","00O2TNJGODT0G5Z4TTKYMN18L","GSON5133333021")</f>
        <v>#NAME?</v>
      </c>
      <c r="W2565" s="4" t="e">
        <f ca="1">[1]!BexGetData("DP_1","00O2TNJGODT0G5Z4TTKYMN7K5","GSON5133333021")</f>
        <v>#NAME?</v>
      </c>
    </row>
    <row r="2566" spans="1:23" x14ac:dyDescent="0.2">
      <c r="A2566" s="16" t="s">
        <v>5285</v>
      </c>
      <c r="B2566" s="7" t="s">
        <v>5286</v>
      </c>
      <c r="C2566" s="3" t="e">
        <f ca="1">[1]!BexGetData("DP_1","003N8EMH8GTFRCSWKMPXRR8GU","GSON5133333022")</f>
        <v>#NAME?</v>
      </c>
      <c r="D2566" s="3" t="e">
        <f ca="1">[1]!BexGetData("DP_1","003N8EMH8GTFRCSWKMPXRRESE","GSON5133333022")</f>
        <v>#NAME?</v>
      </c>
      <c r="E2566" s="3" t="e">
        <f ca="1">[1]!BexGetData("DP_1","003N8EMH8GTFRCSWKMPXRRL3Y","GSON5133333022")</f>
        <v>#NAME?</v>
      </c>
      <c r="F2566" s="4" t="e">
        <f ca="1">[1]!BexGetData("DP_1","003N8EMH8GTFRCSWKMPXRRRFI","GSON5133333022")</f>
        <v>#NAME?</v>
      </c>
      <c r="G2566" s="4" t="e">
        <f ca="1">[1]!BexGetData("DP_1","003N8EMH8GTFRCSWKMPXRRXR2","GSON5133333022")</f>
        <v>#NAME?</v>
      </c>
      <c r="H2566" s="4" t="e">
        <f ca="1">[1]!BexGetData("DP_1","003N8EMH8GTFRCSWKMPXRS42M","GSON5133333022")</f>
        <v>#NAME?</v>
      </c>
      <c r="I2566" s="4" t="e">
        <f ca="1">[1]!BexGetData("DP_1","003N8EMH8GTFRCSWKMPXRSAE6","GSON5133333022")</f>
        <v>#NAME?</v>
      </c>
      <c r="J2566" s="4" t="e">
        <f ca="1">[1]!BexGetData("DP_1","003N8EMH8GTFRCSWKMPXRSGPQ","GSON5133333022")</f>
        <v>#NAME?</v>
      </c>
      <c r="K2566" s="3" t="e">
        <f ca="1">[1]!BexGetData("DP_1","003N8EMH8GTFRIVNUPY288VJH","GSON5133333022")</f>
        <v>#NAME?</v>
      </c>
      <c r="L2566" s="3" t="e">
        <f ca="1">[1]!BexGetData("DP_1","003N8EMH8GTFRIVNUPY2891V1","GSON5133333022")</f>
        <v>#NAME?</v>
      </c>
      <c r="M2566" s="8" t="e">
        <f ca="1">[1]!BexGetData("DP_1","003N8EMH8GTFRIVOG7KG9IQXA","GSON5133333022")</f>
        <v>#NAME?</v>
      </c>
      <c r="N2566" s="3" t="e">
        <f ca="1">[1]!BexGetData("DP_1","003N8EMH8GTFRIVOG7KG9IX8U","GSON5133333022")</f>
        <v>#NAME?</v>
      </c>
      <c r="O2566" s="8" t="e">
        <f ca="1">[1]!BexGetData("DP_1","003N8EMH8GTFRIVOG7KG9J3KE","GSON5133333022")</f>
        <v>#NAME?</v>
      </c>
      <c r="P2566" s="3" t="e">
        <f ca="1">[1]!BexGetData("DP_1","003N8EMH8GTFRIVOG7KG9J9VY","GSON5133333022")</f>
        <v>#NAME?</v>
      </c>
      <c r="Q2566" s="4" t="e">
        <f ca="1">[1]!BexGetData("DP_1","00O2TNJGODT0G5Z4TTKYMM5MT","GSON5133333022")</f>
        <v>#NAME?</v>
      </c>
      <c r="R2566" s="4" t="e">
        <f ca="1">[1]!BexGetData("DP_1","00O2TNJGODT0G5Z4TTKYMMBYD","GSON5133333022")</f>
        <v>#NAME?</v>
      </c>
      <c r="S2566" s="4" t="e">
        <f ca="1">[1]!BexGetData("DP_1","00O2TNJGODT0G5Z4TTKYMMI9X","GSON5133333022")</f>
        <v>#NAME?</v>
      </c>
      <c r="T2566" s="4" t="e">
        <f ca="1">[1]!BexGetData("DP_1","00O2TNJGODT0G5Z4TTKYMMOLH","GSON5133333022")</f>
        <v>#NAME?</v>
      </c>
      <c r="U2566" s="4" t="e">
        <f ca="1">[1]!BexGetData("DP_1","00O2TNJGODT0G5Z4TTKYMMUX1","GSON5133333022")</f>
        <v>#NAME?</v>
      </c>
      <c r="V2566" s="4" t="e">
        <f ca="1">[1]!BexGetData("DP_1","00O2TNJGODT0G5Z4TTKYMN18L","GSON5133333022")</f>
        <v>#NAME?</v>
      </c>
      <c r="W2566" s="4" t="e">
        <f ca="1">[1]!BexGetData("DP_1","00O2TNJGODT0G5Z4TTKYMN7K5","GSON5133333022")</f>
        <v>#NAME?</v>
      </c>
    </row>
    <row r="2567" spans="1:23" x14ac:dyDescent="0.2">
      <c r="A2567" s="16" t="s">
        <v>5287</v>
      </c>
      <c r="B2567" s="7" t="s">
        <v>5288</v>
      </c>
      <c r="C2567" s="3" t="e">
        <f ca="1">[1]!BexGetData("DP_1","003N8EMH8GTFRCSWKMPXRR8GU","GSON5133333031")</f>
        <v>#NAME?</v>
      </c>
      <c r="D2567" s="8" t="e">
        <f ca="1">[1]!BexGetData("DP_1","003N8EMH8GTFRCSWKMPXRRESE","GSON5133333031")</f>
        <v>#NAME?</v>
      </c>
      <c r="E2567" s="3" t="e">
        <f ca="1">[1]!BexGetData("DP_1","003N8EMH8GTFRCSWKMPXRRL3Y","GSON5133333031")</f>
        <v>#NAME?</v>
      </c>
      <c r="F2567" s="4" t="e">
        <f ca="1">[1]!BexGetData("DP_1","003N8EMH8GTFRCSWKMPXRRRFI","GSON5133333031")</f>
        <v>#NAME?</v>
      </c>
      <c r="G2567" s="4" t="e">
        <f ca="1">[1]!BexGetData("DP_1","003N8EMH8GTFRCSWKMPXRRXR2","GSON5133333031")</f>
        <v>#NAME?</v>
      </c>
      <c r="H2567" s="4" t="e">
        <f ca="1">[1]!BexGetData("DP_1","003N8EMH8GTFRCSWKMPXRS42M","GSON5133333031")</f>
        <v>#NAME?</v>
      </c>
      <c r="I2567" s="4" t="e">
        <f ca="1">[1]!BexGetData("DP_1","003N8EMH8GTFRCSWKMPXRSAE6","GSON5133333031")</f>
        <v>#NAME?</v>
      </c>
      <c r="J2567" s="4" t="e">
        <f ca="1">[1]!BexGetData("DP_1","003N8EMH8GTFRCSWKMPXRSGPQ","GSON5133333031")</f>
        <v>#NAME?</v>
      </c>
      <c r="K2567" s="3" t="e">
        <f ca="1">[1]!BexGetData("DP_1","003N8EMH8GTFRIVNUPY288VJH","GSON5133333031")</f>
        <v>#NAME?</v>
      </c>
      <c r="L2567" s="3" t="e">
        <f ca="1">[1]!BexGetData("DP_1","003N8EMH8GTFRIVNUPY2891V1","GSON5133333031")</f>
        <v>#NAME?</v>
      </c>
      <c r="M2567" s="8" t="e">
        <f ca="1">[1]!BexGetData("DP_1","003N8EMH8GTFRIVOG7KG9IQXA","GSON5133333031")</f>
        <v>#NAME?</v>
      </c>
      <c r="N2567" s="3" t="e">
        <f ca="1">[1]!BexGetData("DP_1","003N8EMH8GTFRIVOG7KG9IX8U","GSON5133333031")</f>
        <v>#NAME?</v>
      </c>
      <c r="O2567" s="8" t="e">
        <f ca="1">[1]!BexGetData("DP_1","003N8EMH8GTFRIVOG7KG9J3KE","GSON5133333031")</f>
        <v>#NAME?</v>
      </c>
      <c r="P2567" s="3" t="e">
        <f ca="1">[1]!BexGetData("DP_1","003N8EMH8GTFRIVOG7KG9J9VY","GSON5133333031")</f>
        <v>#NAME?</v>
      </c>
      <c r="Q2567" s="4" t="e">
        <f ca="1">[1]!BexGetData("DP_1","00O2TNJGODT0G5Z4TTKYMM5MT","GSON5133333031")</f>
        <v>#NAME?</v>
      </c>
      <c r="R2567" s="4" t="e">
        <f ca="1">[1]!BexGetData("DP_1","00O2TNJGODT0G5Z4TTKYMMBYD","GSON5133333031")</f>
        <v>#NAME?</v>
      </c>
      <c r="S2567" s="4" t="e">
        <f ca="1">[1]!BexGetData("DP_1","00O2TNJGODT0G5Z4TTKYMMI9X","GSON5133333031")</f>
        <v>#NAME?</v>
      </c>
      <c r="T2567" s="4" t="e">
        <f ca="1">[1]!BexGetData("DP_1","00O2TNJGODT0G5Z4TTKYMMOLH","GSON5133333031")</f>
        <v>#NAME?</v>
      </c>
      <c r="U2567" s="4" t="e">
        <f ca="1">[1]!BexGetData("DP_1","00O2TNJGODT0G5Z4TTKYMMUX1","GSON5133333031")</f>
        <v>#NAME?</v>
      </c>
      <c r="V2567" s="4" t="e">
        <f ca="1">[1]!BexGetData("DP_1","00O2TNJGODT0G5Z4TTKYMN18L","GSON5133333031")</f>
        <v>#NAME?</v>
      </c>
      <c r="W2567" s="4" t="e">
        <f ca="1">[1]!BexGetData("DP_1","00O2TNJGODT0G5Z4TTKYMN7K5","GSON5133333031")</f>
        <v>#NAME?</v>
      </c>
    </row>
    <row r="2568" spans="1:23" x14ac:dyDescent="0.2">
      <c r="A2568" s="16" t="s">
        <v>5289</v>
      </c>
      <c r="B2568" s="7" t="s">
        <v>5290</v>
      </c>
      <c r="C2568" s="3" t="e">
        <f ca="1">[1]!BexGetData("DP_1","003N8EMH8GTFRCSWKMPXRR8GU","GSON5133334011")</f>
        <v>#NAME?</v>
      </c>
      <c r="D2568" s="3" t="e">
        <f ca="1">[1]!BexGetData("DP_1","003N8EMH8GTFRCSWKMPXRRESE","GSON5133334011")</f>
        <v>#NAME?</v>
      </c>
      <c r="E2568" s="3" t="e">
        <f ca="1">[1]!BexGetData("DP_1","003N8EMH8GTFRCSWKMPXRRL3Y","GSON5133334011")</f>
        <v>#NAME?</v>
      </c>
      <c r="F2568" s="4" t="e">
        <f ca="1">[1]!BexGetData("DP_1","003N8EMH8GTFRCSWKMPXRRRFI","GSON5133334011")</f>
        <v>#NAME?</v>
      </c>
      <c r="G2568" s="4" t="e">
        <f ca="1">[1]!BexGetData("DP_1","003N8EMH8GTFRCSWKMPXRRXR2","GSON5133334011")</f>
        <v>#NAME?</v>
      </c>
      <c r="H2568" s="4" t="e">
        <f ca="1">[1]!BexGetData("DP_1","003N8EMH8GTFRCSWKMPXRS42M","GSON5133334011")</f>
        <v>#NAME?</v>
      </c>
      <c r="I2568" s="4" t="e">
        <f ca="1">[1]!BexGetData("DP_1","003N8EMH8GTFRCSWKMPXRSAE6","GSON5133334011")</f>
        <v>#NAME?</v>
      </c>
      <c r="J2568" s="4" t="e">
        <f ca="1">[1]!BexGetData("DP_1","003N8EMH8GTFRCSWKMPXRSGPQ","GSON5133334011")</f>
        <v>#NAME?</v>
      </c>
      <c r="K2568" s="3" t="e">
        <f ca="1">[1]!BexGetData("DP_1","003N8EMH8GTFRIVNUPY288VJH","GSON5133334011")</f>
        <v>#NAME?</v>
      </c>
      <c r="L2568" s="3" t="e">
        <f ca="1">[1]!BexGetData("DP_1","003N8EMH8GTFRIVNUPY2891V1","GSON5133334011")</f>
        <v>#NAME?</v>
      </c>
      <c r="M2568" s="8" t="e">
        <f ca="1">[1]!BexGetData("DP_1","003N8EMH8GTFRIVOG7KG9IQXA","GSON5133334011")</f>
        <v>#NAME?</v>
      </c>
      <c r="N2568" s="3" t="e">
        <f ca="1">[1]!BexGetData("DP_1","003N8EMH8GTFRIVOG7KG9IX8U","GSON5133334011")</f>
        <v>#NAME?</v>
      </c>
      <c r="O2568" s="8" t="e">
        <f ca="1">[1]!BexGetData("DP_1","003N8EMH8GTFRIVOG7KG9J3KE","GSON5133334011")</f>
        <v>#NAME?</v>
      </c>
      <c r="P2568" s="3" t="e">
        <f ca="1">[1]!BexGetData("DP_1","003N8EMH8GTFRIVOG7KG9J9VY","GSON5133334011")</f>
        <v>#NAME?</v>
      </c>
      <c r="Q2568" s="4" t="e">
        <f ca="1">[1]!BexGetData("DP_1","00O2TNJGODT0G5Z4TTKYMM5MT","GSON5133334011")</f>
        <v>#NAME?</v>
      </c>
      <c r="R2568" s="4" t="e">
        <f ca="1">[1]!BexGetData("DP_1","00O2TNJGODT0G5Z4TTKYMMBYD","GSON5133334011")</f>
        <v>#NAME?</v>
      </c>
      <c r="S2568" s="4" t="e">
        <f ca="1">[1]!BexGetData("DP_1","00O2TNJGODT0G5Z4TTKYMMI9X","GSON5133334011")</f>
        <v>#NAME?</v>
      </c>
      <c r="T2568" s="4" t="e">
        <f ca="1">[1]!BexGetData("DP_1","00O2TNJGODT0G5Z4TTKYMMOLH","GSON5133334011")</f>
        <v>#NAME?</v>
      </c>
      <c r="U2568" s="4" t="e">
        <f ca="1">[1]!BexGetData("DP_1","00O2TNJGODT0G5Z4TTKYMMUX1","GSON5133334011")</f>
        <v>#NAME?</v>
      </c>
      <c r="V2568" s="4" t="e">
        <f ca="1">[1]!BexGetData("DP_1","00O2TNJGODT0G5Z4TTKYMN18L","GSON5133334011")</f>
        <v>#NAME?</v>
      </c>
      <c r="W2568" s="4" t="e">
        <f ca="1">[1]!BexGetData("DP_1","00O2TNJGODT0G5Z4TTKYMN7K5","GSON5133334011")</f>
        <v>#NAME?</v>
      </c>
    </row>
    <row r="2569" spans="1:23" x14ac:dyDescent="0.2">
      <c r="A2569" s="16" t="s">
        <v>5291</v>
      </c>
      <c r="B2569" s="7" t="s">
        <v>5292</v>
      </c>
      <c r="C2569" s="3" t="e">
        <f ca="1">[1]!BexGetData("DP_1","003N8EMH8GTFRCSWKMPXRR8GU","GSON5133335011")</f>
        <v>#NAME?</v>
      </c>
      <c r="D2569" s="3" t="e">
        <f ca="1">[1]!BexGetData("DP_1","003N8EMH8GTFRCSWKMPXRRESE","GSON5133335011")</f>
        <v>#NAME?</v>
      </c>
      <c r="E2569" s="8" t="e">
        <f ca="1">[1]!BexGetData("DP_1","003N8EMH8GTFRCSWKMPXRRL3Y","GSON5133335011")</f>
        <v>#NAME?</v>
      </c>
      <c r="F2569" s="4" t="e">
        <f ca="1">[1]!BexGetData("DP_1","003N8EMH8GTFRCSWKMPXRRRFI","GSON5133335011")</f>
        <v>#NAME?</v>
      </c>
      <c r="G2569" s="4" t="e">
        <f ca="1">[1]!BexGetData("DP_1","003N8EMH8GTFRCSWKMPXRRXR2","GSON5133335011")</f>
        <v>#NAME?</v>
      </c>
      <c r="H2569" s="4" t="e">
        <f ca="1">[1]!BexGetData("DP_1","003N8EMH8GTFRCSWKMPXRS42M","GSON5133335011")</f>
        <v>#NAME?</v>
      </c>
      <c r="I2569" s="4" t="e">
        <f ca="1">[1]!BexGetData("DP_1","003N8EMH8GTFRCSWKMPXRSAE6","GSON5133335011")</f>
        <v>#NAME?</v>
      </c>
      <c r="J2569" s="4" t="e">
        <f ca="1">[1]!BexGetData("DP_1","003N8EMH8GTFRCSWKMPXRSGPQ","GSON5133335011")</f>
        <v>#NAME?</v>
      </c>
      <c r="K2569" s="8" t="e">
        <f ca="1">[1]!BexGetData("DP_1","003N8EMH8GTFRIVNUPY288VJH","GSON5133335011")</f>
        <v>#NAME?</v>
      </c>
      <c r="L2569" s="8" t="e">
        <f ca="1">[1]!BexGetData("DP_1","003N8EMH8GTFRIVNUPY2891V1","GSON5133335011")</f>
        <v>#NAME?</v>
      </c>
      <c r="M2569" s="8" t="e">
        <f ca="1">[1]!BexGetData("DP_1","003N8EMH8GTFRIVOG7KG9IQXA","GSON5133335011")</f>
        <v>#NAME?</v>
      </c>
      <c r="N2569" s="8" t="e">
        <f ca="1">[1]!BexGetData("DP_1","003N8EMH8GTFRIVOG7KG9IX8U","GSON5133335011")</f>
        <v>#NAME?</v>
      </c>
      <c r="O2569" s="8" t="e">
        <f ca="1">[1]!BexGetData("DP_1","003N8EMH8GTFRIVOG7KG9J3KE","GSON5133335011")</f>
        <v>#NAME?</v>
      </c>
      <c r="P2569" s="8" t="e">
        <f ca="1">[1]!BexGetData("DP_1","003N8EMH8GTFRIVOG7KG9J9VY","GSON5133335011")</f>
        <v>#NAME?</v>
      </c>
      <c r="Q2569" s="4" t="e">
        <f ca="1">[1]!BexGetData("DP_1","00O2TNJGODT0G5Z4TTKYMM5MT","GSON5133335011")</f>
        <v>#NAME?</v>
      </c>
      <c r="R2569" s="4" t="e">
        <f ca="1">[1]!BexGetData("DP_1","00O2TNJGODT0G5Z4TTKYMMBYD","GSON5133335011")</f>
        <v>#NAME?</v>
      </c>
      <c r="S2569" s="4" t="e">
        <f ca="1">[1]!BexGetData("DP_1","00O2TNJGODT0G5Z4TTKYMMI9X","GSON5133335011")</f>
        <v>#NAME?</v>
      </c>
      <c r="T2569" s="4" t="e">
        <f ca="1">[1]!BexGetData("DP_1","00O2TNJGODT0G5Z4TTKYMMOLH","GSON5133335011")</f>
        <v>#NAME?</v>
      </c>
      <c r="U2569" s="4" t="e">
        <f ca="1">[1]!BexGetData("DP_1","00O2TNJGODT0G5Z4TTKYMMUX1","GSON5133335011")</f>
        <v>#NAME?</v>
      </c>
      <c r="V2569" s="4" t="e">
        <f ca="1">[1]!BexGetData("DP_1","00O2TNJGODT0G5Z4TTKYMN18L","GSON5133335011")</f>
        <v>#NAME?</v>
      </c>
      <c r="W2569" s="4" t="e">
        <f ca="1">[1]!BexGetData("DP_1","00O2TNJGODT0G5Z4TTKYMN7K5","GSON5133335011")</f>
        <v>#NAME?</v>
      </c>
    </row>
    <row r="2570" spans="1:23" x14ac:dyDescent="0.2">
      <c r="A2570" s="16" t="s">
        <v>5293</v>
      </c>
      <c r="B2570" s="7" t="s">
        <v>5294</v>
      </c>
      <c r="C2570" s="3" t="e">
        <f ca="1">[1]!BexGetData("DP_1","003N8EMH8GTFRCSWKMPXRR8GU","GSON5133336031")</f>
        <v>#NAME?</v>
      </c>
      <c r="D2570" s="3" t="e">
        <f ca="1">[1]!BexGetData("DP_1","003N8EMH8GTFRCSWKMPXRRESE","GSON5133336031")</f>
        <v>#NAME?</v>
      </c>
      <c r="E2570" s="3" t="e">
        <f ca="1">[1]!BexGetData("DP_1","003N8EMH8GTFRCSWKMPXRRL3Y","GSON5133336031")</f>
        <v>#NAME?</v>
      </c>
      <c r="F2570" s="4" t="e">
        <f ca="1">[1]!BexGetData("DP_1","003N8EMH8GTFRCSWKMPXRRRFI","GSON5133336031")</f>
        <v>#NAME?</v>
      </c>
      <c r="G2570" s="4" t="e">
        <f ca="1">[1]!BexGetData("DP_1","003N8EMH8GTFRCSWKMPXRRXR2","GSON5133336031")</f>
        <v>#NAME?</v>
      </c>
      <c r="H2570" s="4" t="e">
        <f ca="1">[1]!BexGetData("DP_1","003N8EMH8GTFRCSWKMPXRS42M","GSON5133336031")</f>
        <v>#NAME?</v>
      </c>
      <c r="I2570" s="4" t="e">
        <f ca="1">[1]!BexGetData("DP_1","003N8EMH8GTFRCSWKMPXRSAE6","GSON5133336031")</f>
        <v>#NAME?</v>
      </c>
      <c r="J2570" s="4" t="e">
        <f ca="1">[1]!BexGetData("DP_1","003N8EMH8GTFRCSWKMPXRSGPQ","GSON5133336031")</f>
        <v>#NAME?</v>
      </c>
      <c r="K2570" s="3" t="e">
        <f ca="1">[1]!BexGetData("DP_1","003N8EMH8GTFRIVNUPY288VJH","GSON5133336031")</f>
        <v>#NAME?</v>
      </c>
      <c r="L2570" s="3" t="e">
        <f ca="1">[1]!BexGetData("DP_1","003N8EMH8GTFRIVNUPY2891V1","GSON5133336031")</f>
        <v>#NAME?</v>
      </c>
      <c r="M2570" s="8" t="e">
        <f ca="1">[1]!BexGetData("DP_1","003N8EMH8GTFRIVOG7KG9IQXA","GSON5133336031")</f>
        <v>#NAME?</v>
      </c>
      <c r="N2570" s="3" t="e">
        <f ca="1">[1]!BexGetData("DP_1","003N8EMH8GTFRIVOG7KG9IX8U","GSON5133336031")</f>
        <v>#NAME?</v>
      </c>
      <c r="O2570" s="8" t="e">
        <f ca="1">[1]!BexGetData("DP_1","003N8EMH8GTFRIVOG7KG9J3KE","GSON5133336031")</f>
        <v>#NAME?</v>
      </c>
      <c r="P2570" s="3" t="e">
        <f ca="1">[1]!BexGetData("DP_1","003N8EMH8GTFRIVOG7KG9J9VY","GSON5133336031")</f>
        <v>#NAME?</v>
      </c>
      <c r="Q2570" s="4" t="e">
        <f ca="1">[1]!BexGetData("DP_1","00O2TNJGODT0G5Z4TTKYMM5MT","GSON5133336031")</f>
        <v>#NAME?</v>
      </c>
      <c r="R2570" s="4" t="e">
        <f ca="1">[1]!BexGetData("DP_1","00O2TNJGODT0G5Z4TTKYMMBYD","GSON5133336031")</f>
        <v>#NAME?</v>
      </c>
      <c r="S2570" s="4" t="e">
        <f ca="1">[1]!BexGetData("DP_1","00O2TNJGODT0G5Z4TTKYMMI9X","GSON5133336031")</f>
        <v>#NAME?</v>
      </c>
      <c r="T2570" s="4" t="e">
        <f ca="1">[1]!BexGetData("DP_1","00O2TNJGODT0G5Z4TTKYMMOLH","GSON5133336031")</f>
        <v>#NAME?</v>
      </c>
      <c r="U2570" s="4" t="e">
        <f ca="1">[1]!BexGetData("DP_1","00O2TNJGODT0G5Z4TTKYMMUX1","GSON5133336031")</f>
        <v>#NAME?</v>
      </c>
      <c r="V2570" s="4" t="e">
        <f ca="1">[1]!BexGetData("DP_1","00O2TNJGODT0G5Z4TTKYMN18L","GSON5133336031")</f>
        <v>#NAME?</v>
      </c>
      <c r="W2570" s="4" t="e">
        <f ca="1">[1]!BexGetData("DP_1","00O2TNJGODT0G5Z4TTKYMN7K5","GSON5133336031")</f>
        <v>#NAME?</v>
      </c>
    </row>
    <row r="2571" spans="1:23" x14ac:dyDescent="0.2">
      <c r="A2571" s="16" t="s">
        <v>5295</v>
      </c>
      <c r="B2571" s="7" t="s">
        <v>5296</v>
      </c>
      <c r="C2571" s="3" t="e">
        <f ca="1">[1]!BexGetData("DP_1","003N8EMH8GTFRCSWKMPXRR8GU","GSON5133336032")</f>
        <v>#NAME?</v>
      </c>
      <c r="D2571" s="8" t="e">
        <f ca="1">[1]!BexGetData("DP_1","003N8EMH8GTFRCSWKMPXRRESE","GSON5133336032")</f>
        <v>#NAME?</v>
      </c>
      <c r="E2571" s="3" t="e">
        <f ca="1">[1]!BexGetData("DP_1","003N8EMH8GTFRCSWKMPXRRL3Y","GSON5133336032")</f>
        <v>#NAME?</v>
      </c>
      <c r="F2571" s="4" t="e">
        <f ca="1">[1]!BexGetData("DP_1","003N8EMH8GTFRCSWKMPXRRRFI","GSON5133336032")</f>
        <v>#NAME?</v>
      </c>
      <c r="G2571" s="4" t="e">
        <f ca="1">[1]!BexGetData("DP_1","003N8EMH8GTFRCSWKMPXRRXR2","GSON5133336032")</f>
        <v>#NAME?</v>
      </c>
      <c r="H2571" s="4" t="e">
        <f ca="1">[1]!BexGetData("DP_1","003N8EMH8GTFRCSWKMPXRS42M","GSON5133336032")</f>
        <v>#NAME?</v>
      </c>
      <c r="I2571" s="4" t="e">
        <f ca="1">[1]!BexGetData("DP_1","003N8EMH8GTFRCSWKMPXRSAE6","GSON5133336032")</f>
        <v>#NAME?</v>
      </c>
      <c r="J2571" s="4" t="e">
        <f ca="1">[1]!BexGetData("DP_1","003N8EMH8GTFRCSWKMPXRSGPQ","GSON5133336032")</f>
        <v>#NAME?</v>
      </c>
      <c r="K2571" s="3" t="e">
        <f ca="1">[1]!BexGetData("DP_1","003N8EMH8GTFRIVNUPY288VJH","GSON5133336032")</f>
        <v>#NAME?</v>
      </c>
      <c r="L2571" s="3" t="e">
        <f ca="1">[1]!BexGetData("DP_1","003N8EMH8GTFRIVNUPY2891V1","GSON5133336032")</f>
        <v>#NAME?</v>
      </c>
      <c r="M2571" s="8" t="e">
        <f ca="1">[1]!BexGetData("DP_1","003N8EMH8GTFRIVOG7KG9IQXA","GSON5133336032")</f>
        <v>#NAME?</v>
      </c>
      <c r="N2571" s="3" t="e">
        <f ca="1">[1]!BexGetData("DP_1","003N8EMH8GTFRIVOG7KG9IX8U","GSON5133336032")</f>
        <v>#NAME?</v>
      </c>
      <c r="O2571" s="8" t="e">
        <f ca="1">[1]!BexGetData("DP_1","003N8EMH8GTFRIVOG7KG9J3KE","GSON5133336032")</f>
        <v>#NAME?</v>
      </c>
      <c r="P2571" s="3" t="e">
        <f ca="1">[1]!BexGetData("DP_1","003N8EMH8GTFRIVOG7KG9J9VY","GSON5133336032")</f>
        <v>#NAME?</v>
      </c>
      <c r="Q2571" s="4" t="e">
        <f ca="1">[1]!BexGetData("DP_1","00O2TNJGODT0G5Z4TTKYMM5MT","GSON5133336032")</f>
        <v>#NAME?</v>
      </c>
      <c r="R2571" s="4" t="e">
        <f ca="1">[1]!BexGetData("DP_1","00O2TNJGODT0G5Z4TTKYMMBYD","GSON5133336032")</f>
        <v>#NAME?</v>
      </c>
      <c r="S2571" s="4" t="e">
        <f ca="1">[1]!BexGetData("DP_1","00O2TNJGODT0G5Z4TTKYMMI9X","GSON5133336032")</f>
        <v>#NAME?</v>
      </c>
      <c r="T2571" s="4" t="e">
        <f ca="1">[1]!BexGetData("DP_1","00O2TNJGODT0G5Z4TTKYMMOLH","GSON5133336032")</f>
        <v>#NAME?</v>
      </c>
      <c r="U2571" s="4" t="e">
        <f ca="1">[1]!BexGetData("DP_1","00O2TNJGODT0G5Z4TTKYMMUX1","GSON5133336032")</f>
        <v>#NAME?</v>
      </c>
      <c r="V2571" s="4" t="e">
        <f ca="1">[1]!BexGetData("DP_1","00O2TNJGODT0G5Z4TTKYMN18L","GSON5133336032")</f>
        <v>#NAME?</v>
      </c>
      <c r="W2571" s="4" t="e">
        <f ca="1">[1]!BexGetData("DP_1","00O2TNJGODT0G5Z4TTKYMN7K5","GSON5133336032")</f>
        <v>#NAME?</v>
      </c>
    </row>
    <row r="2572" spans="1:23" x14ac:dyDescent="0.2">
      <c r="A2572" s="16" t="s">
        <v>5297</v>
      </c>
      <c r="B2572" s="7" t="s">
        <v>5298</v>
      </c>
      <c r="C2572" s="3" t="e">
        <f ca="1">[1]!BexGetData("DP_1","003N8EMH8GTFRCSWKMPXRR8GU","GSON5133336041")</f>
        <v>#NAME?</v>
      </c>
      <c r="D2572" s="3" t="e">
        <f ca="1">[1]!BexGetData("DP_1","003N8EMH8GTFRCSWKMPXRRESE","GSON5133336041")</f>
        <v>#NAME?</v>
      </c>
      <c r="E2572" s="8" t="e">
        <f ca="1">[1]!BexGetData("DP_1","003N8EMH8GTFRCSWKMPXRRL3Y","GSON5133336041")</f>
        <v>#NAME?</v>
      </c>
      <c r="F2572" s="4" t="e">
        <f ca="1">[1]!BexGetData("DP_1","003N8EMH8GTFRCSWKMPXRRRFI","GSON5133336041")</f>
        <v>#NAME?</v>
      </c>
      <c r="G2572" s="4" t="e">
        <f ca="1">[1]!BexGetData("DP_1","003N8EMH8GTFRCSWKMPXRRXR2","GSON5133336041")</f>
        <v>#NAME?</v>
      </c>
      <c r="H2572" s="4" t="e">
        <f ca="1">[1]!BexGetData("DP_1","003N8EMH8GTFRCSWKMPXRS42M","GSON5133336041")</f>
        <v>#NAME?</v>
      </c>
      <c r="I2572" s="4" t="e">
        <f ca="1">[1]!BexGetData("DP_1","003N8EMH8GTFRCSWKMPXRSAE6","GSON5133336041")</f>
        <v>#NAME?</v>
      </c>
      <c r="J2572" s="4" t="e">
        <f ca="1">[1]!BexGetData("DP_1","003N8EMH8GTFRCSWKMPXRSGPQ","GSON5133336041")</f>
        <v>#NAME?</v>
      </c>
      <c r="K2572" s="8" t="e">
        <f ca="1">[1]!BexGetData("DP_1","003N8EMH8GTFRIVNUPY288VJH","GSON5133336041")</f>
        <v>#NAME?</v>
      </c>
      <c r="L2572" s="8" t="e">
        <f ca="1">[1]!BexGetData("DP_1","003N8EMH8GTFRIVNUPY2891V1","GSON5133336041")</f>
        <v>#NAME?</v>
      </c>
      <c r="M2572" s="8" t="e">
        <f ca="1">[1]!BexGetData("DP_1","003N8EMH8GTFRIVOG7KG9IQXA","GSON5133336041")</f>
        <v>#NAME?</v>
      </c>
      <c r="N2572" s="8" t="e">
        <f ca="1">[1]!BexGetData("DP_1","003N8EMH8GTFRIVOG7KG9IX8U","GSON5133336041")</f>
        <v>#NAME?</v>
      </c>
      <c r="O2572" s="8" t="e">
        <f ca="1">[1]!BexGetData("DP_1","003N8EMH8GTFRIVOG7KG9J3KE","GSON5133336041")</f>
        <v>#NAME?</v>
      </c>
      <c r="P2572" s="8" t="e">
        <f ca="1">[1]!BexGetData("DP_1","003N8EMH8GTFRIVOG7KG9J9VY","GSON5133336041")</f>
        <v>#NAME?</v>
      </c>
      <c r="Q2572" s="4" t="e">
        <f ca="1">[1]!BexGetData("DP_1","00O2TNJGODT0G5Z4TTKYMM5MT","GSON5133336041")</f>
        <v>#NAME?</v>
      </c>
      <c r="R2572" s="4" t="e">
        <f ca="1">[1]!BexGetData("DP_1","00O2TNJGODT0G5Z4TTKYMMBYD","GSON5133336041")</f>
        <v>#NAME?</v>
      </c>
      <c r="S2572" s="4" t="e">
        <f ca="1">[1]!BexGetData("DP_1","00O2TNJGODT0G5Z4TTKYMMI9X","GSON5133336041")</f>
        <v>#NAME?</v>
      </c>
      <c r="T2572" s="4" t="e">
        <f ca="1">[1]!BexGetData("DP_1","00O2TNJGODT0G5Z4TTKYMMOLH","GSON5133336041")</f>
        <v>#NAME?</v>
      </c>
      <c r="U2572" s="4" t="e">
        <f ca="1">[1]!BexGetData("DP_1","00O2TNJGODT0G5Z4TTKYMMUX1","GSON5133336041")</f>
        <v>#NAME?</v>
      </c>
      <c r="V2572" s="4" t="e">
        <f ca="1">[1]!BexGetData("DP_1","00O2TNJGODT0G5Z4TTKYMN18L","GSON5133336041")</f>
        <v>#NAME?</v>
      </c>
      <c r="W2572" s="4" t="e">
        <f ca="1">[1]!BexGetData("DP_1","00O2TNJGODT0G5Z4TTKYMN7K5","GSON5133336041")</f>
        <v>#NAME?</v>
      </c>
    </row>
    <row r="2573" spans="1:23" x14ac:dyDescent="0.2">
      <c r="A2573" s="16" t="s">
        <v>5299</v>
      </c>
      <c r="B2573" s="7" t="s">
        <v>5300</v>
      </c>
      <c r="C2573" s="3" t="e">
        <f ca="1">[1]!BexGetData("DP_1","003N8EMH8GTFRCSWKMPXRR8GU","GSON5133336051")</f>
        <v>#NAME?</v>
      </c>
      <c r="D2573" s="3" t="e">
        <f ca="1">[1]!BexGetData("DP_1","003N8EMH8GTFRCSWKMPXRRESE","GSON5133336051")</f>
        <v>#NAME?</v>
      </c>
      <c r="E2573" s="3" t="e">
        <f ca="1">[1]!BexGetData("DP_1","003N8EMH8GTFRCSWKMPXRRL3Y","GSON5133336051")</f>
        <v>#NAME?</v>
      </c>
      <c r="F2573" s="4" t="e">
        <f ca="1">[1]!BexGetData("DP_1","003N8EMH8GTFRCSWKMPXRRRFI","GSON5133336051")</f>
        <v>#NAME?</v>
      </c>
      <c r="G2573" s="4" t="e">
        <f ca="1">[1]!BexGetData("DP_1","003N8EMH8GTFRCSWKMPXRRXR2","GSON5133336051")</f>
        <v>#NAME?</v>
      </c>
      <c r="H2573" s="4" t="e">
        <f ca="1">[1]!BexGetData("DP_1","003N8EMH8GTFRCSWKMPXRS42M","GSON5133336051")</f>
        <v>#NAME?</v>
      </c>
      <c r="I2573" s="4" t="e">
        <f ca="1">[1]!BexGetData("DP_1","003N8EMH8GTFRCSWKMPXRSAE6","GSON5133336051")</f>
        <v>#NAME?</v>
      </c>
      <c r="J2573" s="4" t="e">
        <f ca="1">[1]!BexGetData("DP_1","003N8EMH8GTFRCSWKMPXRSGPQ","GSON5133336051")</f>
        <v>#NAME?</v>
      </c>
      <c r="K2573" s="3" t="e">
        <f ca="1">[1]!BexGetData("DP_1","003N8EMH8GTFRIVNUPY288VJH","GSON5133336051")</f>
        <v>#NAME?</v>
      </c>
      <c r="L2573" s="3" t="e">
        <f ca="1">[1]!BexGetData("DP_1","003N8EMH8GTFRIVNUPY2891V1","GSON5133336051")</f>
        <v>#NAME?</v>
      </c>
      <c r="M2573" s="8" t="e">
        <f ca="1">[1]!BexGetData("DP_1","003N8EMH8GTFRIVOG7KG9IQXA","GSON5133336051")</f>
        <v>#NAME?</v>
      </c>
      <c r="N2573" s="3" t="e">
        <f ca="1">[1]!BexGetData("DP_1","003N8EMH8GTFRIVOG7KG9IX8U","GSON5133336051")</f>
        <v>#NAME?</v>
      </c>
      <c r="O2573" s="8" t="e">
        <f ca="1">[1]!BexGetData("DP_1","003N8EMH8GTFRIVOG7KG9J3KE","GSON5133336051")</f>
        <v>#NAME?</v>
      </c>
      <c r="P2573" s="3" t="e">
        <f ca="1">[1]!BexGetData("DP_1","003N8EMH8GTFRIVOG7KG9J9VY","GSON5133336051")</f>
        <v>#NAME?</v>
      </c>
      <c r="Q2573" s="4" t="e">
        <f ca="1">[1]!BexGetData("DP_1","00O2TNJGODT0G5Z4TTKYMM5MT","GSON5133336051")</f>
        <v>#NAME?</v>
      </c>
      <c r="R2573" s="4" t="e">
        <f ca="1">[1]!BexGetData("DP_1","00O2TNJGODT0G5Z4TTKYMMBYD","GSON5133336051")</f>
        <v>#NAME?</v>
      </c>
      <c r="S2573" s="4" t="e">
        <f ca="1">[1]!BexGetData("DP_1","00O2TNJGODT0G5Z4TTKYMMI9X","GSON5133336051")</f>
        <v>#NAME?</v>
      </c>
      <c r="T2573" s="4" t="e">
        <f ca="1">[1]!BexGetData("DP_1","00O2TNJGODT0G5Z4TTKYMMOLH","GSON5133336051")</f>
        <v>#NAME?</v>
      </c>
      <c r="U2573" s="4" t="e">
        <f ca="1">[1]!BexGetData("DP_1","00O2TNJGODT0G5Z4TTKYMMUX1","GSON5133336051")</f>
        <v>#NAME?</v>
      </c>
      <c r="V2573" s="4" t="e">
        <f ca="1">[1]!BexGetData("DP_1","00O2TNJGODT0G5Z4TTKYMN18L","GSON5133336051")</f>
        <v>#NAME?</v>
      </c>
      <c r="W2573" s="4" t="e">
        <f ca="1">[1]!BexGetData("DP_1","00O2TNJGODT0G5Z4TTKYMN7K5","GSON5133336051")</f>
        <v>#NAME?</v>
      </c>
    </row>
    <row r="2574" spans="1:23" x14ac:dyDescent="0.2">
      <c r="A2574" s="16" t="s">
        <v>5301</v>
      </c>
      <c r="B2574" s="7" t="s">
        <v>5302</v>
      </c>
      <c r="C2574" s="3" t="e">
        <f ca="1">[1]!BexGetData("DP_1","003N8EMH8GTFRCSWKMPXRR8GU","GSON5133336061")</f>
        <v>#NAME?</v>
      </c>
      <c r="D2574" s="8" t="e">
        <f ca="1">[1]!BexGetData("DP_1","003N8EMH8GTFRCSWKMPXRRESE","GSON5133336061")</f>
        <v>#NAME?</v>
      </c>
      <c r="E2574" s="3" t="e">
        <f ca="1">[1]!BexGetData("DP_1","003N8EMH8GTFRCSWKMPXRRL3Y","GSON5133336061")</f>
        <v>#NAME?</v>
      </c>
      <c r="F2574" s="4" t="e">
        <f ca="1">[1]!BexGetData("DP_1","003N8EMH8GTFRCSWKMPXRRRFI","GSON5133336061")</f>
        <v>#NAME?</v>
      </c>
      <c r="G2574" s="4" t="e">
        <f ca="1">[1]!BexGetData("DP_1","003N8EMH8GTFRCSWKMPXRRXR2","GSON5133336061")</f>
        <v>#NAME?</v>
      </c>
      <c r="H2574" s="4" t="e">
        <f ca="1">[1]!BexGetData("DP_1","003N8EMH8GTFRCSWKMPXRS42M","GSON5133336061")</f>
        <v>#NAME?</v>
      </c>
      <c r="I2574" s="4" t="e">
        <f ca="1">[1]!BexGetData("DP_1","003N8EMH8GTFRCSWKMPXRSAE6","GSON5133336061")</f>
        <v>#NAME?</v>
      </c>
      <c r="J2574" s="4" t="e">
        <f ca="1">[1]!BexGetData("DP_1","003N8EMH8GTFRCSWKMPXRSGPQ","GSON5133336061")</f>
        <v>#NAME?</v>
      </c>
      <c r="K2574" s="3" t="e">
        <f ca="1">[1]!BexGetData("DP_1","003N8EMH8GTFRIVNUPY288VJH","GSON5133336061")</f>
        <v>#NAME?</v>
      </c>
      <c r="L2574" s="3" t="e">
        <f ca="1">[1]!BexGetData("DP_1","003N8EMH8GTFRIVNUPY2891V1","GSON5133336061")</f>
        <v>#NAME?</v>
      </c>
      <c r="M2574" s="8" t="e">
        <f ca="1">[1]!BexGetData("DP_1","003N8EMH8GTFRIVOG7KG9IQXA","GSON5133336061")</f>
        <v>#NAME?</v>
      </c>
      <c r="N2574" s="3" t="e">
        <f ca="1">[1]!BexGetData("DP_1","003N8EMH8GTFRIVOG7KG9IX8U","GSON5133336061")</f>
        <v>#NAME?</v>
      </c>
      <c r="O2574" s="8" t="e">
        <f ca="1">[1]!BexGetData("DP_1","003N8EMH8GTFRIVOG7KG9J3KE","GSON5133336061")</f>
        <v>#NAME?</v>
      </c>
      <c r="P2574" s="3" t="e">
        <f ca="1">[1]!BexGetData("DP_1","003N8EMH8GTFRIVOG7KG9J9VY","GSON5133336061")</f>
        <v>#NAME?</v>
      </c>
      <c r="Q2574" s="4" t="e">
        <f ca="1">[1]!BexGetData("DP_1","00O2TNJGODT0G5Z4TTKYMM5MT","GSON5133336061")</f>
        <v>#NAME?</v>
      </c>
      <c r="R2574" s="4" t="e">
        <f ca="1">[1]!BexGetData("DP_1","00O2TNJGODT0G5Z4TTKYMMBYD","GSON5133336061")</f>
        <v>#NAME?</v>
      </c>
      <c r="S2574" s="4" t="e">
        <f ca="1">[1]!BexGetData("DP_1","00O2TNJGODT0G5Z4TTKYMMI9X","GSON5133336061")</f>
        <v>#NAME?</v>
      </c>
      <c r="T2574" s="4" t="e">
        <f ca="1">[1]!BexGetData("DP_1","00O2TNJGODT0G5Z4TTKYMMOLH","GSON5133336061")</f>
        <v>#NAME?</v>
      </c>
      <c r="U2574" s="4" t="e">
        <f ca="1">[1]!BexGetData("DP_1","00O2TNJGODT0G5Z4TTKYMMUX1","GSON5133336061")</f>
        <v>#NAME?</v>
      </c>
      <c r="V2574" s="4" t="e">
        <f ca="1">[1]!BexGetData("DP_1","00O2TNJGODT0G5Z4TTKYMN18L","GSON5133336061")</f>
        <v>#NAME?</v>
      </c>
      <c r="W2574" s="4" t="e">
        <f ca="1">[1]!BexGetData("DP_1","00O2TNJGODT0G5Z4TTKYMN7K5","GSON5133336061")</f>
        <v>#NAME?</v>
      </c>
    </row>
    <row r="2575" spans="1:23" x14ac:dyDescent="0.2">
      <c r="A2575" s="16" t="s">
        <v>5303</v>
      </c>
      <c r="B2575" s="7" t="s">
        <v>5304</v>
      </c>
      <c r="C2575" s="3" t="e">
        <f ca="1">[1]!BexGetData("DP_1","003N8EMH8GTFRCSWKMPXRR8GU","GSON5133337011")</f>
        <v>#NAME?</v>
      </c>
      <c r="D2575" s="8" t="e">
        <f ca="1">[1]!BexGetData("DP_1","003N8EMH8GTFRCSWKMPXRRESE","GSON5133337011")</f>
        <v>#NAME?</v>
      </c>
      <c r="E2575" s="3" t="e">
        <f ca="1">[1]!BexGetData("DP_1","003N8EMH8GTFRCSWKMPXRRL3Y","GSON5133337011")</f>
        <v>#NAME?</v>
      </c>
      <c r="F2575" s="4" t="e">
        <f ca="1">[1]!BexGetData("DP_1","003N8EMH8GTFRCSWKMPXRRRFI","GSON5133337011")</f>
        <v>#NAME?</v>
      </c>
      <c r="G2575" s="4" t="e">
        <f ca="1">[1]!BexGetData("DP_1","003N8EMH8GTFRCSWKMPXRRXR2","GSON5133337011")</f>
        <v>#NAME?</v>
      </c>
      <c r="H2575" s="4" t="e">
        <f ca="1">[1]!BexGetData("DP_1","003N8EMH8GTFRCSWKMPXRS42M","GSON5133337011")</f>
        <v>#NAME?</v>
      </c>
      <c r="I2575" s="4" t="e">
        <f ca="1">[1]!BexGetData("DP_1","003N8EMH8GTFRCSWKMPXRSAE6","GSON5133337011")</f>
        <v>#NAME?</v>
      </c>
      <c r="J2575" s="4" t="e">
        <f ca="1">[1]!BexGetData("DP_1","003N8EMH8GTFRCSWKMPXRSGPQ","GSON5133337011")</f>
        <v>#NAME?</v>
      </c>
      <c r="K2575" s="3" t="e">
        <f ca="1">[1]!BexGetData("DP_1","003N8EMH8GTFRIVNUPY288VJH","GSON5133337011")</f>
        <v>#NAME?</v>
      </c>
      <c r="L2575" s="3" t="e">
        <f ca="1">[1]!BexGetData("DP_1","003N8EMH8GTFRIVNUPY2891V1","GSON5133337011")</f>
        <v>#NAME?</v>
      </c>
      <c r="M2575" s="8" t="e">
        <f ca="1">[1]!BexGetData("DP_1","003N8EMH8GTFRIVOG7KG9IQXA","GSON5133337011")</f>
        <v>#NAME?</v>
      </c>
      <c r="N2575" s="3" t="e">
        <f ca="1">[1]!BexGetData("DP_1","003N8EMH8GTFRIVOG7KG9IX8U","GSON5133337011")</f>
        <v>#NAME?</v>
      </c>
      <c r="O2575" s="8" t="e">
        <f ca="1">[1]!BexGetData("DP_1","003N8EMH8GTFRIVOG7KG9J3KE","GSON5133337011")</f>
        <v>#NAME?</v>
      </c>
      <c r="P2575" s="3" t="e">
        <f ca="1">[1]!BexGetData("DP_1","003N8EMH8GTFRIVOG7KG9J9VY","GSON5133337011")</f>
        <v>#NAME?</v>
      </c>
      <c r="Q2575" s="4" t="e">
        <f ca="1">[1]!BexGetData("DP_1","00O2TNJGODT0G5Z4TTKYMM5MT","GSON5133337011")</f>
        <v>#NAME?</v>
      </c>
      <c r="R2575" s="4" t="e">
        <f ca="1">[1]!BexGetData("DP_1","00O2TNJGODT0G5Z4TTKYMMBYD","GSON5133337011")</f>
        <v>#NAME?</v>
      </c>
      <c r="S2575" s="4" t="e">
        <f ca="1">[1]!BexGetData("DP_1","00O2TNJGODT0G5Z4TTKYMMI9X","GSON5133337011")</f>
        <v>#NAME?</v>
      </c>
      <c r="T2575" s="4" t="e">
        <f ca="1">[1]!BexGetData("DP_1","00O2TNJGODT0G5Z4TTKYMMOLH","GSON5133337011")</f>
        <v>#NAME?</v>
      </c>
      <c r="U2575" s="4" t="e">
        <f ca="1">[1]!BexGetData("DP_1","00O2TNJGODT0G5Z4TTKYMMUX1","GSON5133337011")</f>
        <v>#NAME?</v>
      </c>
      <c r="V2575" s="4" t="e">
        <f ca="1">[1]!BexGetData("DP_1","00O2TNJGODT0G5Z4TTKYMN18L","GSON5133337011")</f>
        <v>#NAME?</v>
      </c>
      <c r="W2575" s="4" t="e">
        <f ca="1">[1]!BexGetData("DP_1","00O2TNJGODT0G5Z4TTKYMN7K5","GSON5133337011")</f>
        <v>#NAME?</v>
      </c>
    </row>
    <row r="2576" spans="1:23" x14ac:dyDescent="0.2">
      <c r="A2576" s="16" t="s">
        <v>5305</v>
      </c>
      <c r="B2576" s="7" t="s">
        <v>1570</v>
      </c>
      <c r="C2576" s="3" t="e">
        <f ca="1">[1]!BexGetData("DP_1","003N8EMH8GTFRCSWKMPXRR8GU","GSON5133338011")</f>
        <v>#NAME?</v>
      </c>
      <c r="D2576" s="3" t="e">
        <f ca="1">[1]!BexGetData("DP_1","003N8EMH8GTFRCSWKMPXRRESE","GSON5133338011")</f>
        <v>#NAME?</v>
      </c>
      <c r="E2576" s="3" t="e">
        <f ca="1">[1]!BexGetData("DP_1","003N8EMH8GTFRCSWKMPXRRL3Y","GSON5133338011")</f>
        <v>#NAME?</v>
      </c>
      <c r="F2576" s="4" t="e">
        <f ca="1">[1]!BexGetData("DP_1","003N8EMH8GTFRCSWKMPXRRRFI","GSON5133338011")</f>
        <v>#NAME?</v>
      </c>
      <c r="G2576" s="4" t="e">
        <f ca="1">[1]!BexGetData("DP_1","003N8EMH8GTFRCSWKMPXRRXR2","GSON5133338011")</f>
        <v>#NAME?</v>
      </c>
      <c r="H2576" s="4" t="e">
        <f ca="1">[1]!BexGetData("DP_1","003N8EMH8GTFRCSWKMPXRS42M","GSON5133338011")</f>
        <v>#NAME?</v>
      </c>
      <c r="I2576" s="4" t="e">
        <f ca="1">[1]!BexGetData("DP_1","003N8EMH8GTFRCSWKMPXRSAE6","GSON5133338011")</f>
        <v>#NAME?</v>
      </c>
      <c r="J2576" s="4" t="e">
        <f ca="1">[1]!BexGetData("DP_1","003N8EMH8GTFRCSWKMPXRSGPQ","GSON5133338011")</f>
        <v>#NAME?</v>
      </c>
      <c r="K2576" s="3" t="e">
        <f ca="1">[1]!BexGetData("DP_1","003N8EMH8GTFRIVNUPY288VJH","GSON5133338011")</f>
        <v>#NAME?</v>
      </c>
      <c r="L2576" s="3" t="e">
        <f ca="1">[1]!BexGetData("DP_1","003N8EMH8GTFRIVNUPY2891V1","GSON5133338011")</f>
        <v>#NAME?</v>
      </c>
      <c r="M2576" s="8" t="e">
        <f ca="1">[1]!BexGetData("DP_1","003N8EMH8GTFRIVOG7KG9IQXA","GSON5133338011")</f>
        <v>#NAME?</v>
      </c>
      <c r="N2576" s="3" t="e">
        <f ca="1">[1]!BexGetData("DP_1","003N8EMH8GTFRIVOG7KG9IX8U","GSON5133338011")</f>
        <v>#NAME?</v>
      </c>
      <c r="O2576" s="8" t="e">
        <f ca="1">[1]!BexGetData("DP_1","003N8EMH8GTFRIVOG7KG9J3KE","GSON5133338011")</f>
        <v>#NAME?</v>
      </c>
      <c r="P2576" s="3" t="e">
        <f ca="1">[1]!BexGetData("DP_1","003N8EMH8GTFRIVOG7KG9J9VY","GSON5133338011")</f>
        <v>#NAME?</v>
      </c>
      <c r="Q2576" s="4" t="e">
        <f ca="1">[1]!BexGetData("DP_1","00O2TNJGODT0G5Z4TTKYMM5MT","GSON5133338011")</f>
        <v>#NAME?</v>
      </c>
      <c r="R2576" s="4" t="e">
        <f ca="1">[1]!BexGetData("DP_1","00O2TNJGODT0G5Z4TTKYMMBYD","GSON5133338011")</f>
        <v>#NAME?</v>
      </c>
      <c r="S2576" s="4" t="e">
        <f ca="1">[1]!BexGetData("DP_1","00O2TNJGODT0G5Z4TTKYMMI9X","GSON5133338011")</f>
        <v>#NAME?</v>
      </c>
      <c r="T2576" s="4" t="e">
        <f ca="1">[1]!BexGetData("DP_1","00O2TNJGODT0G5Z4TTKYMMOLH","GSON5133338011")</f>
        <v>#NAME?</v>
      </c>
      <c r="U2576" s="4" t="e">
        <f ca="1">[1]!BexGetData("DP_1","00O2TNJGODT0G5Z4TTKYMMUX1","GSON5133338011")</f>
        <v>#NAME?</v>
      </c>
      <c r="V2576" s="4" t="e">
        <f ca="1">[1]!BexGetData("DP_1","00O2TNJGODT0G5Z4TTKYMN18L","GSON5133338011")</f>
        <v>#NAME?</v>
      </c>
      <c r="W2576" s="4" t="e">
        <f ca="1">[1]!BexGetData("DP_1","00O2TNJGODT0G5Z4TTKYMN7K5","GSON5133338011")</f>
        <v>#NAME?</v>
      </c>
    </row>
    <row r="2577" spans="1:23" x14ac:dyDescent="0.2">
      <c r="A2577" s="16" t="s">
        <v>5306</v>
      </c>
      <c r="B2577" s="7" t="s">
        <v>5307</v>
      </c>
      <c r="C2577" s="3" t="e">
        <f ca="1">[1]!BexGetData("DP_1","003N8EMH8GTFRCSWKMPXRR8GU","GSON5133339011")</f>
        <v>#NAME?</v>
      </c>
      <c r="D2577" s="3" t="e">
        <f ca="1">[1]!BexGetData("DP_1","003N8EMH8GTFRCSWKMPXRRESE","GSON5133339011")</f>
        <v>#NAME?</v>
      </c>
      <c r="E2577" s="3" t="e">
        <f ca="1">[1]!BexGetData("DP_1","003N8EMH8GTFRCSWKMPXRRL3Y","GSON5133339011")</f>
        <v>#NAME?</v>
      </c>
      <c r="F2577" s="4" t="e">
        <f ca="1">[1]!BexGetData("DP_1","003N8EMH8GTFRCSWKMPXRRRFI","GSON5133339011")</f>
        <v>#NAME?</v>
      </c>
      <c r="G2577" s="4" t="e">
        <f ca="1">[1]!BexGetData("DP_1","003N8EMH8GTFRCSWKMPXRRXR2","GSON5133339011")</f>
        <v>#NAME?</v>
      </c>
      <c r="H2577" s="4" t="e">
        <f ca="1">[1]!BexGetData("DP_1","003N8EMH8GTFRCSWKMPXRS42M","GSON5133339011")</f>
        <v>#NAME?</v>
      </c>
      <c r="I2577" s="4" t="e">
        <f ca="1">[1]!BexGetData("DP_1","003N8EMH8GTFRCSWKMPXRSAE6","GSON5133339011")</f>
        <v>#NAME?</v>
      </c>
      <c r="J2577" s="4" t="e">
        <f ca="1">[1]!BexGetData("DP_1","003N8EMH8GTFRCSWKMPXRSGPQ","GSON5133339011")</f>
        <v>#NAME?</v>
      </c>
      <c r="K2577" s="3" t="e">
        <f ca="1">[1]!BexGetData("DP_1","003N8EMH8GTFRIVNUPY288VJH","GSON5133339011")</f>
        <v>#NAME?</v>
      </c>
      <c r="L2577" s="3" t="e">
        <f ca="1">[1]!BexGetData("DP_1","003N8EMH8GTFRIVNUPY2891V1","GSON5133339011")</f>
        <v>#NAME?</v>
      </c>
      <c r="M2577" s="8" t="e">
        <f ca="1">[1]!BexGetData("DP_1","003N8EMH8GTFRIVOG7KG9IQXA","GSON5133339011")</f>
        <v>#NAME?</v>
      </c>
      <c r="N2577" s="3" t="e">
        <f ca="1">[1]!BexGetData("DP_1","003N8EMH8GTFRIVOG7KG9IX8U","GSON5133339011")</f>
        <v>#NAME?</v>
      </c>
      <c r="O2577" s="8" t="e">
        <f ca="1">[1]!BexGetData("DP_1","003N8EMH8GTFRIVOG7KG9J3KE","GSON5133339011")</f>
        <v>#NAME?</v>
      </c>
      <c r="P2577" s="3" t="e">
        <f ca="1">[1]!BexGetData("DP_1","003N8EMH8GTFRIVOG7KG9J9VY","GSON5133339011")</f>
        <v>#NAME?</v>
      </c>
      <c r="Q2577" s="4" t="e">
        <f ca="1">[1]!BexGetData("DP_1","00O2TNJGODT0G5Z4TTKYMM5MT","GSON5133339011")</f>
        <v>#NAME?</v>
      </c>
      <c r="R2577" s="4" t="e">
        <f ca="1">[1]!BexGetData("DP_1","00O2TNJGODT0G5Z4TTKYMMBYD","GSON5133339011")</f>
        <v>#NAME?</v>
      </c>
      <c r="S2577" s="4" t="e">
        <f ca="1">[1]!BexGetData("DP_1","00O2TNJGODT0G5Z4TTKYMMI9X","GSON5133339011")</f>
        <v>#NAME?</v>
      </c>
      <c r="T2577" s="4" t="e">
        <f ca="1">[1]!BexGetData("DP_1","00O2TNJGODT0G5Z4TTKYMMOLH","GSON5133339011")</f>
        <v>#NAME?</v>
      </c>
      <c r="U2577" s="4" t="e">
        <f ca="1">[1]!BexGetData("DP_1","00O2TNJGODT0G5Z4TTKYMMUX1","GSON5133339011")</f>
        <v>#NAME?</v>
      </c>
      <c r="V2577" s="4" t="e">
        <f ca="1">[1]!BexGetData("DP_1","00O2TNJGODT0G5Z4TTKYMN18L","GSON5133339011")</f>
        <v>#NAME?</v>
      </c>
      <c r="W2577" s="4" t="e">
        <f ca="1">[1]!BexGetData("DP_1","00O2TNJGODT0G5Z4TTKYMN7K5","GSON5133339011")</f>
        <v>#NAME?</v>
      </c>
    </row>
    <row r="2578" spans="1:23" x14ac:dyDescent="0.2">
      <c r="A2578" s="16" t="s">
        <v>5259</v>
      </c>
      <c r="B2578" s="7" t="s">
        <v>5308</v>
      </c>
      <c r="C2578" s="3" t="e">
        <f ca="1">[1]!BexGetData("DP_1","003N8EMH8GTFRCSWKMPXRR8GU","GSON5133339021")</f>
        <v>#NAME?</v>
      </c>
      <c r="D2578" s="8" t="e">
        <f ca="1">[1]!BexGetData("DP_1","003N8EMH8GTFRCSWKMPXRRESE","GSON5133339021")</f>
        <v>#NAME?</v>
      </c>
      <c r="E2578" s="3" t="e">
        <f ca="1">[1]!BexGetData("DP_1","003N8EMH8GTFRCSWKMPXRRL3Y","GSON5133339021")</f>
        <v>#NAME?</v>
      </c>
      <c r="F2578" s="4" t="e">
        <f ca="1">[1]!BexGetData("DP_1","003N8EMH8GTFRCSWKMPXRRRFI","GSON5133339021")</f>
        <v>#NAME?</v>
      </c>
      <c r="G2578" s="4" t="e">
        <f ca="1">[1]!BexGetData("DP_1","003N8EMH8GTFRCSWKMPXRRXR2","GSON5133339021")</f>
        <v>#NAME?</v>
      </c>
      <c r="H2578" s="4" t="e">
        <f ca="1">[1]!BexGetData("DP_1","003N8EMH8GTFRCSWKMPXRS42M","GSON5133339021")</f>
        <v>#NAME?</v>
      </c>
      <c r="I2578" s="4" t="e">
        <f ca="1">[1]!BexGetData("DP_1","003N8EMH8GTFRCSWKMPXRSAE6","GSON5133339021")</f>
        <v>#NAME?</v>
      </c>
      <c r="J2578" s="4" t="e">
        <f ca="1">[1]!BexGetData("DP_1","003N8EMH8GTFRCSWKMPXRSGPQ","GSON5133339021")</f>
        <v>#NAME?</v>
      </c>
      <c r="K2578" s="3" t="e">
        <f ca="1">[1]!BexGetData("DP_1","003N8EMH8GTFRIVNUPY288VJH","GSON5133339021")</f>
        <v>#NAME?</v>
      </c>
      <c r="L2578" s="3" t="e">
        <f ca="1">[1]!BexGetData("DP_1","003N8EMH8GTFRIVNUPY2891V1","GSON5133339021")</f>
        <v>#NAME?</v>
      </c>
      <c r="M2578" s="8" t="e">
        <f ca="1">[1]!BexGetData("DP_1","003N8EMH8GTFRIVOG7KG9IQXA","GSON5133339021")</f>
        <v>#NAME?</v>
      </c>
      <c r="N2578" s="3" t="e">
        <f ca="1">[1]!BexGetData("DP_1","003N8EMH8GTFRIVOG7KG9IX8U","GSON5133339021")</f>
        <v>#NAME?</v>
      </c>
      <c r="O2578" s="8" t="e">
        <f ca="1">[1]!BexGetData("DP_1","003N8EMH8GTFRIVOG7KG9J3KE","GSON5133339021")</f>
        <v>#NAME?</v>
      </c>
      <c r="P2578" s="3" t="e">
        <f ca="1">[1]!BexGetData("DP_1","003N8EMH8GTFRIVOG7KG9J9VY","GSON5133339021")</f>
        <v>#NAME?</v>
      </c>
      <c r="Q2578" s="4" t="e">
        <f ca="1">[1]!BexGetData("DP_1","00O2TNJGODT0G5Z4TTKYMM5MT","GSON5133339021")</f>
        <v>#NAME?</v>
      </c>
      <c r="R2578" s="4" t="e">
        <f ca="1">[1]!BexGetData("DP_1","00O2TNJGODT0G5Z4TTKYMMBYD","GSON5133339021")</f>
        <v>#NAME?</v>
      </c>
      <c r="S2578" s="4" t="e">
        <f ca="1">[1]!BexGetData("DP_1","00O2TNJGODT0G5Z4TTKYMMI9X","GSON5133339021")</f>
        <v>#NAME?</v>
      </c>
      <c r="T2578" s="4" t="e">
        <f ca="1">[1]!BexGetData("DP_1","00O2TNJGODT0G5Z4TTKYMMOLH","GSON5133339021")</f>
        <v>#NAME?</v>
      </c>
      <c r="U2578" s="4" t="e">
        <f ca="1">[1]!BexGetData("DP_1","00O2TNJGODT0G5Z4TTKYMMUX1","GSON5133339021")</f>
        <v>#NAME?</v>
      </c>
      <c r="V2578" s="4" t="e">
        <f ca="1">[1]!BexGetData("DP_1","00O2TNJGODT0G5Z4TTKYMN18L","GSON5133339021")</f>
        <v>#NAME?</v>
      </c>
      <c r="W2578" s="4" t="e">
        <f ca="1">[1]!BexGetData("DP_1","00O2TNJGODT0G5Z4TTKYMN7K5","GSON5133339021")</f>
        <v>#NAME?</v>
      </c>
    </row>
    <row r="2579" spans="1:23" x14ac:dyDescent="0.2">
      <c r="A2579" s="15" t="s">
        <v>726</v>
      </c>
      <c r="B2579" s="7" t="s">
        <v>727</v>
      </c>
      <c r="C2579" s="3" t="e">
        <f ca="1">[1]!BexGetData("DP_1","003N8EMH8GTFRCSWKMPXRR8GU","GSON5134")</f>
        <v>#NAME?</v>
      </c>
      <c r="D2579" s="3" t="e">
        <f ca="1">[1]!BexGetData("DP_1","003N8EMH8GTFRCSWKMPXRRESE","GSON5134")</f>
        <v>#NAME?</v>
      </c>
      <c r="E2579" s="3" t="e">
        <f ca="1">[1]!BexGetData("DP_1","003N8EMH8GTFRCSWKMPXRRL3Y","GSON5134")</f>
        <v>#NAME?</v>
      </c>
      <c r="F2579" s="4" t="e">
        <f ca="1">[1]!BexGetData("DP_1","003N8EMH8GTFRCSWKMPXRRRFI","GSON5134")</f>
        <v>#NAME?</v>
      </c>
      <c r="G2579" s="4" t="e">
        <f ca="1">[1]!BexGetData("DP_1","003N8EMH8GTFRCSWKMPXRRXR2","GSON5134")</f>
        <v>#NAME?</v>
      </c>
      <c r="H2579" s="4" t="e">
        <f ca="1">[1]!BexGetData("DP_1","003N8EMH8GTFRCSWKMPXRS42M","GSON5134")</f>
        <v>#NAME?</v>
      </c>
      <c r="I2579" s="4" t="e">
        <f ca="1">[1]!BexGetData("DP_1","003N8EMH8GTFRCSWKMPXRSAE6","GSON5134")</f>
        <v>#NAME?</v>
      </c>
      <c r="J2579" s="4" t="e">
        <f ca="1">[1]!BexGetData("DP_1","003N8EMH8GTFRCSWKMPXRSGPQ","GSON5134")</f>
        <v>#NAME?</v>
      </c>
      <c r="K2579" s="3" t="e">
        <f ca="1">[1]!BexGetData("DP_1","003N8EMH8GTFRIVNUPY288VJH","GSON5134")</f>
        <v>#NAME?</v>
      </c>
      <c r="L2579" s="3" t="e">
        <f ca="1">[1]!BexGetData("DP_1","003N8EMH8GTFRIVNUPY2891V1","GSON5134")</f>
        <v>#NAME?</v>
      </c>
      <c r="M2579" s="8" t="e">
        <f ca="1">[1]!BexGetData("DP_1","003N8EMH8GTFRIVOG7KG9IQXA","GSON5134")</f>
        <v>#NAME?</v>
      </c>
      <c r="N2579" s="3" t="e">
        <f ca="1">[1]!BexGetData("DP_1","003N8EMH8GTFRIVOG7KG9IX8U","GSON5134")</f>
        <v>#NAME?</v>
      </c>
      <c r="O2579" s="8" t="e">
        <f ca="1">[1]!BexGetData("DP_1","003N8EMH8GTFRIVOG7KG9J3KE","GSON5134")</f>
        <v>#NAME?</v>
      </c>
      <c r="P2579" s="3" t="e">
        <f ca="1">[1]!BexGetData("DP_1","003N8EMH8GTFRIVOG7KG9J9VY","GSON5134")</f>
        <v>#NAME?</v>
      </c>
      <c r="Q2579" s="4" t="e">
        <f ca="1">[1]!BexGetData("DP_1","00O2TNJGODT0G5Z4TTKYMM5MT","GSON5134")</f>
        <v>#NAME?</v>
      </c>
      <c r="R2579" s="4" t="e">
        <f ca="1">[1]!BexGetData("DP_1","00O2TNJGODT0G5Z4TTKYMMBYD","GSON5134")</f>
        <v>#NAME?</v>
      </c>
      <c r="S2579" s="4" t="e">
        <f ca="1">[1]!BexGetData("DP_1","00O2TNJGODT0G5Z4TTKYMMI9X","GSON5134")</f>
        <v>#NAME?</v>
      </c>
      <c r="T2579" s="4" t="e">
        <f ca="1">[1]!BexGetData("DP_1","00O2TNJGODT0G5Z4TTKYMMOLH","GSON5134")</f>
        <v>#NAME?</v>
      </c>
      <c r="U2579" s="4" t="e">
        <f ca="1">[1]!BexGetData("DP_1","00O2TNJGODT0G5Z4TTKYMMUX1","GSON5134")</f>
        <v>#NAME?</v>
      </c>
      <c r="V2579" s="4" t="e">
        <f ca="1">[1]!BexGetData("DP_1","00O2TNJGODT0G5Z4TTKYMN18L","GSON5134")</f>
        <v>#NAME?</v>
      </c>
      <c r="W2579" s="4" t="e">
        <f ca="1">[1]!BexGetData("DP_1","00O2TNJGODT0G5Z4TTKYMN7K5","GSON5134")</f>
        <v>#NAME?</v>
      </c>
    </row>
    <row r="2580" spans="1:23" x14ac:dyDescent="0.2">
      <c r="A2580" s="16" t="s">
        <v>5309</v>
      </c>
      <c r="B2580" s="7" t="s">
        <v>728</v>
      </c>
      <c r="C2580" s="3" t="e">
        <f ca="1">[1]!BexGetData("DP_1","003N8EMH8GTFRCSWKMPXRR8GU","GSON5134341011")</f>
        <v>#NAME?</v>
      </c>
      <c r="D2580" s="3" t="e">
        <f ca="1">[1]!BexGetData("DP_1","003N8EMH8GTFRCSWKMPXRRESE","GSON5134341011")</f>
        <v>#NAME?</v>
      </c>
      <c r="E2580" s="3" t="e">
        <f ca="1">[1]!BexGetData("DP_1","003N8EMH8GTFRCSWKMPXRRL3Y","GSON5134341011")</f>
        <v>#NAME?</v>
      </c>
      <c r="F2580" s="4" t="e">
        <f ca="1">[1]!BexGetData("DP_1","003N8EMH8GTFRCSWKMPXRRRFI","GSON5134341011")</f>
        <v>#NAME?</v>
      </c>
      <c r="G2580" s="4" t="e">
        <f ca="1">[1]!BexGetData("DP_1","003N8EMH8GTFRCSWKMPXRRXR2","GSON5134341011")</f>
        <v>#NAME?</v>
      </c>
      <c r="H2580" s="4" t="e">
        <f ca="1">[1]!BexGetData("DP_1","003N8EMH8GTFRCSWKMPXRS42M","GSON5134341011")</f>
        <v>#NAME?</v>
      </c>
      <c r="I2580" s="4" t="e">
        <f ca="1">[1]!BexGetData("DP_1","003N8EMH8GTFRCSWKMPXRSAE6","GSON5134341011")</f>
        <v>#NAME?</v>
      </c>
      <c r="J2580" s="4" t="e">
        <f ca="1">[1]!BexGetData("DP_1","003N8EMH8GTFRCSWKMPXRSGPQ","GSON5134341011")</f>
        <v>#NAME?</v>
      </c>
      <c r="K2580" s="3" t="e">
        <f ca="1">[1]!BexGetData("DP_1","003N8EMH8GTFRIVNUPY288VJH","GSON5134341011")</f>
        <v>#NAME?</v>
      </c>
      <c r="L2580" s="3" t="e">
        <f ca="1">[1]!BexGetData("DP_1","003N8EMH8GTFRIVNUPY2891V1","GSON5134341011")</f>
        <v>#NAME?</v>
      </c>
      <c r="M2580" s="8" t="e">
        <f ca="1">[1]!BexGetData("DP_1","003N8EMH8GTFRIVOG7KG9IQXA","GSON5134341011")</f>
        <v>#NAME?</v>
      </c>
      <c r="N2580" s="3" t="e">
        <f ca="1">[1]!BexGetData("DP_1","003N8EMH8GTFRIVOG7KG9IX8U","GSON5134341011")</f>
        <v>#NAME?</v>
      </c>
      <c r="O2580" s="8" t="e">
        <f ca="1">[1]!BexGetData("DP_1","003N8EMH8GTFRIVOG7KG9J3KE","GSON5134341011")</f>
        <v>#NAME?</v>
      </c>
      <c r="P2580" s="3" t="e">
        <f ca="1">[1]!BexGetData("DP_1","003N8EMH8GTFRIVOG7KG9J9VY","GSON5134341011")</f>
        <v>#NAME?</v>
      </c>
      <c r="Q2580" s="4" t="e">
        <f ca="1">[1]!BexGetData("DP_1","00O2TNJGODT0G5Z4TTKYMM5MT","GSON5134341011")</f>
        <v>#NAME?</v>
      </c>
      <c r="R2580" s="4" t="e">
        <f ca="1">[1]!BexGetData("DP_1","00O2TNJGODT0G5Z4TTKYMMBYD","GSON5134341011")</f>
        <v>#NAME?</v>
      </c>
      <c r="S2580" s="4" t="e">
        <f ca="1">[1]!BexGetData("DP_1","00O2TNJGODT0G5Z4TTKYMMI9X","GSON5134341011")</f>
        <v>#NAME?</v>
      </c>
      <c r="T2580" s="4" t="e">
        <f ca="1">[1]!BexGetData("DP_1","00O2TNJGODT0G5Z4TTKYMMOLH","GSON5134341011")</f>
        <v>#NAME?</v>
      </c>
      <c r="U2580" s="4" t="e">
        <f ca="1">[1]!BexGetData("DP_1","00O2TNJGODT0G5Z4TTKYMMUX1","GSON5134341011")</f>
        <v>#NAME?</v>
      </c>
      <c r="V2580" s="4" t="e">
        <f ca="1">[1]!BexGetData("DP_1","00O2TNJGODT0G5Z4TTKYMN18L","GSON5134341011")</f>
        <v>#NAME?</v>
      </c>
      <c r="W2580" s="4" t="e">
        <f ca="1">[1]!BexGetData("DP_1","00O2TNJGODT0G5Z4TTKYMN7K5","GSON5134341011")</f>
        <v>#NAME?</v>
      </c>
    </row>
    <row r="2581" spans="1:23" x14ac:dyDescent="0.2">
      <c r="A2581" s="16" t="s">
        <v>5310</v>
      </c>
      <c r="B2581" s="7" t="s">
        <v>5311</v>
      </c>
      <c r="C2581" s="3" t="e">
        <f ca="1">[1]!BexGetData("DP_1","003N8EMH8GTFRCSWKMPXRR8GU","GSON5134343021")</f>
        <v>#NAME?</v>
      </c>
      <c r="D2581" s="3" t="e">
        <f ca="1">[1]!BexGetData("DP_1","003N8EMH8GTFRCSWKMPXRRESE","GSON5134343021")</f>
        <v>#NAME?</v>
      </c>
      <c r="E2581" s="3" t="e">
        <f ca="1">[1]!BexGetData("DP_1","003N8EMH8GTFRCSWKMPXRRL3Y","GSON5134343021")</f>
        <v>#NAME?</v>
      </c>
      <c r="F2581" s="4" t="e">
        <f ca="1">[1]!BexGetData("DP_1","003N8EMH8GTFRCSWKMPXRRRFI","GSON5134343021")</f>
        <v>#NAME?</v>
      </c>
      <c r="G2581" s="4" t="e">
        <f ca="1">[1]!BexGetData("DP_1","003N8EMH8GTFRCSWKMPXRRXR2","GSON5134343021")</f>
        <v>#NAME?</v>
      </c>
      <c r="H2581" s="4" t="e">
        <f ca="1">[1]!BexGetData("DP_1","003N8EMH8GTFRCSWKMPXRS42M","GSON5134343021")</f>
        <v>#NAME?</v>
      </c>
      <c r="I2581" s="4" t="e">
        <f ca="1">[1]!BexGetData("DP_1","003N8EMH8GTFRCSWKMPXRSAE6","GSON5134343021")</f>
        <v>#NAME?</v>
      </c>
      <c r="J2581" s="4" t="e">
        <f ca="1">[1]!BexGetData("DP_1","003N8EMH8GTFRCSWKMPXRSGPQ","GSON5134343021")</f>
        <v>#NAME?</v>
      </c>
      <c r="K2581" s="3" t="e">
        <f ca="1">[1]!BexGetData("DP_1","003N8EMH8GTFRIVNUPY288VJH","GSON5134343021")</f>
        <v>#NAME?</v>
      </c>
      <c r="L2581" s="3" t="e">
        <f ca="1">[1]!BexGetData("DP_1","003N8EMH8GTFRIVNUPY2891V1","GSON5134343021")</f>
        <v>#NAME?</v>
      </c>
      <c r="M2581" s="8" t="e">
        <f ca="1">[1]!BexGetData("DP_1","003N8EMH8GTFRIVOG7KG9IQXA","GSON5134343021")</f>
        <v>#NAME?</v>
      </c>
      <c r="N2581" s="3" t="e">
        <f ca="1">[1]!BexGetData("DP_1","003N8EMH8GTFRIVOG7KG9IX8U","GSON5134343021")</f>
        <v>#NAME?</v>
      </c>
      <c r="O2581" s="8" t="e">
        <f ca="1">[1]!BexGetData("DP_1","003N8EMH8GTFRIVOG7KG9J3KE","GSON5134343021")</f>
        <v>#NAME?</v>
      </c>
      <c r="P2581" s="3" t="e">
        <f ca="1">[1]!BexGetData("DP_1","003N8EMH8GTFRIVOG7KG9J9VY","GSON5134343021")</f>
        <v>#NAME?</v>
      </c>
      <c r="Q2581" s="4" t="e">
        <f ca="1">[1]!BexGetData("DP_1","00O2TNJGODT0G5Z4TTKYMM5MT","GSON5134343021")</f>
        <v>#NAME?</v>
      </c>
      <c r="R2581" s="4" t="e">
        <f ca="1">[1]!BexGetData("DP_1","00O2TNJGODT0G5Z4TTKYMMBYD","GSON5134343021")</f>
        <v>#NAME?</v>
      </c>
      <c r="S2581" s="4" t="e">
        <f ca="1">[1]!BexGetData("DP_1","00O2TNJGODT0G5Z4TTKYMMI9X","GSON5134343021")</f>
        <v>#NAME?</v>
      </c>
      <c r="T2581" s="4" t="e">
        <f ca="1">[1]!BexGetData("DP_1","00O2TNJGODT0G5Z4TTKYMMOLH","GSON5134343021")</f>
        <v>#NAME?</v>
      </c>
      <c r="U2581" s="4" t="e">
        <f ca="1">[1]!BexGetData("DP_1","00O2TNJGODT0G5Z4TTKYMMUX1","GSON5134343021")</f>
        <v>#NAME?</v>
      </c>
      <c r="V2581" s="4" t="e">
        <f ca="1">[1]!BexGetData("DP_1","00O2TNJGODT0G5Z4TTKYMN18L","GSON5134343021")</f>
        <v>#NAME?</v>
      </c>
      <c r="W2581" s="4" t="e">
        <f ca="1">[1]!BexGetData("DP_1","00O2TNJGODT0G5Z4TTKYMN7K5","GSON5134343021")</f>
        <v>#NAME?</v>
      </c>
    </row>
    <row r="2582" spans="1:23" x14ac:dyDescent="0.2">
      <c r="A2582" s="16" t="s">
        <v>5312</v>
      </c>
      <c r="B2582" s="7" t="s">
        <v>5313</v>
      </c>
      <c r="C2582" s="3" t="e">
        <f ca="1">[1]!BexGetData("DP_1","003N8EMH8GTFRCSWKMPXRR8GU","GSON5134344011")</f>
        <v>#NAME?</v>
      </c>
      <c r="D2582" s="3" t="e">
        <f ca="1">[1]!BexGetData("DP_1","003N8EMH8GTFRCSWKMPXRRESE","GSON5134344011")</f>
        <v>#NAME?</v>
      </c>
      <c r="E2582" s="3" t="e">
        <f ca="1">[1]!BexGetData("DP_1","003N8EMH8GTFRCSWKMPXRRL3Y","GSON5134344011")</f>
        <v>#NAME?</v>
      </c>
      <c r="F2582" s="4" t="e">
        <f ca="1">[1]!BexGetData("DP_1","003N8EMH8GTFRCSWKMPXRRRFI","GSON5134344011")</f>
        <v>#NAME?</v>
      </c>
      <c r="G2582" s="4" t="e">
        <f ca="1">[1]!BexGetData("DP_1","003N8EMH8GTFRCSWKMPXRRXR2","GSON5134344011")</f>
        <v>#NAME?</v>
      </c>
      <c r="H2582" s="4" t="e">
        <f ca="1">[1]!BexGetData("DP_1","003N8EMH8GTFRCSWKMPXRS42M","GSON5134344011")</f>
        <v>#NAME?</v>
      </c>
      <c r="I2582" s="4" t="e">
        <f ca="1">[1]!BexGetData("DP_1","003N8EMH8GTFRCSWKMPXRSAE6","GSON5134344011")</f>
        <v>#NAME?</v>
      </c>
      <c r="J2582" s="4" t="e">
        <f ca="1">[1]!BexGetData("DP_1","003N8EMH8GTFRCSWKMPXRSGPQ","GSON5134344011")</f>
        <v>#NAME?</v>
      </c>
      <c r="K2582" s="3" t="e">
        <f ca="1">[1]!BexGetData("DP_1","003N8EMH8GTFRIVNUPY288VJH","GSON5134344011")</f>
        <v>#NAME?</v>
      </c>
      <c r="L2582" s="3" t="e">
        <f ca="1">[1]!BexGetData("DP_1","003N8EMH8GTFRIVNUPY2891V1","GSON5134344011")</f>
        <v>#NAME?</v>
      </c>
      <c r="M2582" s="8" t="e">
        <f ca="1">[1]!BexGetData("DP_1","003N8EMH8GTFRIVOG7KG9IQXA","GSON5134344011")</f>
        <v>#NAME?</v>
      </c>
      <c r="N2582" s="3" t="e">
        <f ca="1">[1]!BexGetData("DP_1","003N8EMH8GTFRIVOG7KG9IX8U","GSON5134344011")</f>
        <v>#NAME?</v>
      </c>
      <c r="O2582" s="8" t="e">
        <f ca="1">[1]!BexGetData("DP_1","003N8EMH8GTFRIVOG7KG9J3KE","GSON5134344011")</f>
        <v>#NAME?</v>
      </c>
      <c r="P2582" s="3" t="e">
        <f ca="1">[1]!BexGetData("DP_1","003N8EMH8GTFRIVOG7KG9J9VY","GSON5134344011")</f>
        <v>#NAME?</v>
      </c>
      <c r="Q2582" s="4" t="e">
        <f ca="1">[1]!BexGetData("DP_1","00O2TNJGODT0G5Z4TTKYMM5MT","GSON5134344011")</f>
        <v>#NAME?</v>
      </c>
      <c r="R2582" s="4" t="e">
        <f ca="1">[1]!BexGetData("DP_1","00O2TNJGODT0G5Z4TTKYMMBYD","GSON5134344011")</f>
        <v>#NAME?</v>
      </c>
      <c r="S2582" s="4" t="e">
        <f ca="1">[1]!BexGetData("DP_1","00O2TNJGODT0G5Z4TTKYMMI9X","GSON5134344011")</f>
        <v>#NAME?</v>
      </c>
      <c r="T2582" s="4" t="e">
        <f ca="1">[1]!BexGetData("DP_1","00O2TNJGODT0G5Z4TTKYMMOLH","GSON5134344011")</f>
        <v>#NAME?</v>
      </c>
      <c r="U2582" s="4" t="e">
        <f ca="1">[1]!BexGetData("DP_1","00O2TNJGODT0G5Z4TTKYMMUX1","GSON5134344011")</f>
        <v>#NAME?</v>
      </c>
      <c r="V2582" s="4" t="e">
        <f ca="1">[1]!BexGetData("DP_1","00O2TNJGODT0G5Z4TTKYMN18L","GSON5134344011")</f>
        <v>#NAME?</v>
      </c>
      <c r="W2582" s="4" t="e">
        <f ca="1">[1]!BexGetData("DP_1","00O2TNJGODT0G5Z4TTKYMN7K5","GSON5134344011")</f>
        <v>#NAME?</v>
      </c>
    </row>
    <row r="2583" spans="1:23" x14ac:dyDescent="0.2">
      <c r="A2583" s="16" t="s">
        <v>5314</v>
      </c>
      <c r="B2583" s="7" t="s">
        <v>5315</v>
      </c>
      <c r="C2583" s="3" t="e">
        <f ca="1">[1]!BexGetData("DP_1","003N8EMH8GTFRCSWKMPXRR8GU","GSON5134345011")</f>
        <v>#NAME?</v>
      </c>
      <c r="D2583" s="3" t="e">
        <f ca="1">[1]!BexGetData("DP_1","003N8EMH8GTFRCSWKMPXRRESE","GSON5134345011")</f>
        <v>#NAME?</v>
      </c>
      <c r="E2583" s="3" t="e">
        <f ca="1">[1]!BexGetData("DP_1","003N8EMH8GTFRCSWKMPXRRL3Y","GSON5134345011")</f>
        <v>#NAME?</v>
      </c>
      <c r="F2583" s="4" t="e">
        <f ca="1">[1]!BexGetData("DP_1","003N8EMH8GTFRCSWKMPXRRRFI","GSON5134345011")</f>
        <v>#NAME?</v>
      </c>
      <c r="G2583" s="4" t="e">
        <f ca="1">[1]!BexGetData("DP_1","003N8EMH8GTFRCSWKMPXRRXR2","GSON5134345011")</f>
        <v>#NAME?</v>
      </c>
      <c r="H2583" s="4" t="e">
        <f ca="1">[1]!BexGetData("DP_1","003N8EMH8GTFRCSWKMPXRS42M","GSON5134345011")</f>
        <v>#NAME?</v>
      </c>
      <c r="I2583" s="4" t="e">
        <f ca="1">[1]!BexGetData("DP_1","003N8EMH8GTFRCSWKMPXRSAE6","GSON5134345011")</f>
        <v>#NAME?</v>
      </c>
      <c r="J2583" s="4" t="e">
        <f ca="1">[1]!BexGetData("DP_1","003N8EMH8GTFRCSWKMPXRSGPQ","GSON5134345011")</f>
        <v>#NAME?</v>
      </c>
      <c r="K2583" s="3" t="e">
        <f ca="1">[1]!BexGetData("DP_1","003N8EMH8GTFRIVNUPY288VJH","GSON5134345011")</f>
        <v>#NAME?</v>
      </c>
      <c r="L2583" s="3" t="e">
        <f ca="1">[1]!BexGetData("DP_1","003N8EMH8GTFRIVNUPY2891V1","GSON5134345011")</f>
        <v>#NAME?</v>
      </c>
      <c r="M2583" s="8" t="e">
        <f ca="1">[1]!BexGetData("DP_1","003N8EMH8GTFRIVOG7KG9IQXA","GSON5134345011")</f>
        <v>#NAME?</v>
      </c>
      <c r="N2583" s="3" t="e">
        <f ca="1">[1]!BexGetData("DP_1","003N8EMH8GTFRIVOG7KG9IX8U","GSON5134345011")</f>
        <v>#NAME?</v>
      </c>
      <c r="O2583" s="8" t="e">
        <f ca="1">[1]!BexGetData("DP_1","003N8EMH8GTFRIVOG7KG9J3KE","GSON5134345011")</f>
        <v>#NAME?</v>
      </c>
      <c r="P2583" s="3" t="e">
        <f ca="1">[1]!BexGetData("DP_1","003N8EMH8GTFRIVOG7KG9J9VY","GSON5134345011")</f>
        <v>#NAME?</v>
      </c>
      <c r="Q2583" s="4" t="e">
        <f ca="1">[1]!BexGetData("DP_1","00O2TNJGODT0G5Z4TTKYMM5MT","GSON5134345011")</f>
        <v>#NAME?</v>
      </c>
      <c r="R2583" s="4" t="e">
        <f ca="1">[1]!BexGetData("DP_1","00O2TNJGODT0G5Z4TTKYMMBYD","GSON5134345011")</f>
        <v>#NAME?</v>
      </c>
      <c r="S2583" s="4" t="e">
        <f ca="1">[1]!BexGetData("DP_1","00O2TNJGODT0G5Z4TTKYMMI9X","GSON5134345011")</f>
        <v>#NAME?</v>
      </c>
      <c r="T2583" s="4" t="e">
        <f ca="1">[1]!BexGetData("DP_1","00O2TNJGODT0G5Z4TTKYMMOLH","GSON5134345011")</f>
        <v>#NAME?</v>
      </c>
      <c r="U2583" s="4" t="e">
        <f ca="1">[1]!BexGetData("DP_1","00O2TNJGODT0G5Z4TTKYMMUX1","GSON5134345011")</f>
        <v>#NAME?</v>
      </c>
      <c r="V2583" s="4" t="e">
        <f ca="1">[1]!BexGetData("DP_1","00O2TNJGODT0G5Z4TTKYMN18L","GSON5134345011")</f>
        <v>#NAME?</v>
      </c>
      <c r="W2583" s="4" t="e">
        <f ca="1">[1]!BexGetData("DP_1","00O2TNJGODT0G5Z4TTKYMN7K5","GSON5134345011")</f>
        <v>#NAME?</v>
      </c>
    </row>
    <row r="2584" spans="1:23" x14ac:dyDescent="0.2">
      <c r="A2584" s="16" t="s">
        <v>5316</v>
      </c>
      <c r="B2584" s="7" t="s">
        <v>5317</v>
      </c>
      <c r="C2584" s="3" t="e">
        <f ca="1">[1]!BexGetData("DP_1","003N8EMH8GTFRCSWKMPXRR8GU","GSON5134346011")</f>
        <v>#NAME?</v>
      </c>
      <c r="D2584" s="3" t="e">
        <f ca="1">[1]!BexGetData("DP_1","003N8EMH8GTFRCSWKMPXRRESE","GSON5134346011")</f>
        <v>#NAME?</v>
      </c>
      <c r="E2584" s="3" t="e">
        <f ca="1">[1]!BexGetData("DP_1","003N8EMH8GTFRCSWKMPXRRL3Y","GSON5134346011")</f>
        <v>#NAME?</v>
      </c>
      <c r="F2584" s="4" t="e">
        <f ca="1">[1]!BexGetData("DP_1","003N8EMH8GTFRCSWKMPXRRRFI","GSON5134346011")</f>
        <v>#NAME?</v>
      </c>
      <c r="G2584" s="4" t="e">
        <f ca="1">[1]!BexGetData("DP_1","003N8EMH8GTFRCSWKMPXRRXR2","GSON5134346011")</f>
        <v>#NAME?</v>
      </c>
      <c r="H2584" s="4" t="e">
        <f ca="1">[1]!BexGetData("DP_1","003N8EMH8GTFRCSWKMPXRS42M","GSON5134346011")</f>
        <v>#NAME?</v>
      </c>
      <c r="I2584" s="4" t="e">
        <f ca="1">[1]!BexGetData("DP_1","003N8EMH8GTFRCSWKMPXRSAE6","GSON5134346011")</f>
        <v>#NAME?</v>
      </c>
      <c r="J2584" s="4" t="e">
        <f ca="1">[1]!BexGetData("DP_1","003N8EMH8GTFRCSWKMPXRSGPQ","GSON5134346011")</f>
        <v>#NAME?</v>
      </c>
      <c r="K2584" s="3" t="e">
        <f ca="1">[1]!BexGetData("DP_1","003N8EMH8GTFRIVNUPY288VJH","GSON5134346011")</f>
        <v>#NAME?</v>
      </c>
      <c r="L2584" s="3" t="e">
        <f ca="1">[1]!BexGetData("DP_1","003N8EMH8GTFRIVNUPY2891V1","GSON5134346011")</f>
        <v>#NAME?</v>
      </c>
      <c r="M2584" s="8" t="e">
        <f ca="1">[1]!BexGetData("DP_1","003N8EMH8GTFRIVOG7KG9IQXA","GSON5134346011")</f>
        <v>#NAME?</v>
      </c>
      <c r="N2584" s="3" t="e">
        <f ca="1">[1]!BexGetData("DP_1","003N8EMH8GTFRIVOG7KG9IX8U","GSON5134346011")</f>
        <v>#NAME?</v>
      </c>
      <c r="O2584" s="8" t="e">
        <f ca="1">[1]!BexGetData("DP_1","003N8EMH8GTFRIVOG7KG9J3KE","GSON5134346011")</f>
        <v>#NAME?</v>
      </c>
      <c r="P2584" s="3" t="e">
        <f ca="1">[1]!BexGetData("DP_1","003N8EMH8GTFRIVOG7KG9J9VY","GSON5134346011")</f>
        <v>#NAME?</v>
      </c>
      <c r="Q2584" s="4" t="e">
        <f ca="1">[1]!BexGetData("DP_1","00O2TNJGODT0G5Z4TTKYMM5MT","GSON5134346011")</f>
        <v>#NAME?</v>
      </c>
      <c r="R2584" s="4" t="e">
        <f ca="1">[1]!BexGetData("DP_1","00O2TNJGODT0G5Z4TTKYMMBYD","GSON5134346011")</f>
        <v>#NAME?</v>
      </c>
      <c r="S2584" s="4" t="e">
        <f ca="1">[1]!BexGetData("DP_1","00O2TNJGODT0G5Z4TTKYMMI9X","GSON5134346011")</f>
        <v>#NAME?</v>
      </c>
      <c r="T2584" s="4" t="e">
        <f ca="1">[1]!BexGetData("DP_1","00O2TNJGODT0G5Z4TTKYMMOLH","GSON5134346011")</f>
        <v>#NAME?</v>
      </c>
      <c r="U2584" s="4" t="e">
        <f ca="1">[1]!BexGetData("DP_1","00O2TNJGODT0G5Z4TTKYMMUX1","GSON5134346011")</f>
        <v>#NAME?</v>
      </c>
      <c r="V2584" s="4" t="e">
        <f ca="1">[1]!BexGetData("DP_1","00O2TNJGODT0G5Z4TTKYMN18L","GSON5134346011")</f>
        <v>#NAME?</v>
      </c>
      <c r="W2584" s="4" t="e">
        <f ca="1">[1]!BexGetData("DP_1","00O2TNJGODT0G5Z4TTKYMN7K5","GSON5134346011")</f>
        <v>#NAME?</v>
      </c>
    </row>
    <row r="2585" spans="1:23" x14ac:dyDescent="0.2">
      <c r="A2585" s="16" t="s">
        <v>5318</v>
      </c>
      <c r="B2585" s="7" t="s">
        <v>5319</v>
      </c>
      <c r="C2585" s="3" t="e">
        <f ca="1">[1]!BexGetData("DP_1","003N8EMH8GTFRCSWKMPXRR8GU","GSON5134347011")</f>
        <v>#NAME?</v>
      </c>
      <c r="D2585" s="3" t="e">
        <f ca="1">[1]!BexGetData("DP_1","003N8EMH8GTFRCSWKMPXRRESE","GSON5134347011")</f>
        <v>#NAME?</v>
      </c>
      <c r="E2585" s="3" t="e">
        <f ca="1">[1]!BexGetData("DP_1","003N8EMH8GTFRCSWKMPXRRL3Y","GSON5134347011")</f>
        <v>#NAME?</v>
      </c>
      <c r="F2585" s="4" t="e">
        <f ca="1">[1]!BexGetData("DP_1","003N8EMH8GTFRCSWKMPXRRRFI","GSON5134347011")</f>
        <v>#NAME?</v>
      </c>
      <c r="G2585" s="4" t="e">
        <f ca="1">[1]!BexGetData("DP_1","003N8EMH8GTFRCSWKMPXRRXR2","GSON5134347011")</f>
        <v>#NAME?</v>
      </c>
      <c r="H2585" s="4" t="e">
        <f ca="1">[1]!BexGetData("DP_1","003N8EMH8GTFRCSWKMPXRS42M","GSON5134347011")</f>
        <v>#NAME?</v>
      </c>
      <c r="I2585" s="4" t="e">
        <f ca="1">[1]!BexGetData("DP_1","003N8EMH8GTFRCSWKMPXRSAE6","GSON5134347011")</f>
        <v>#NAME?</v>
      </c>
      <c r="J2585" s="4" t="e">
        <f ca="1">[1]!BexGetData("DP_1","003N8EMH8GTFRCSWKMPXRSGPQ","GSON5134347011")</f>
        <v>#NAME?</v>
      </c>
      <c r="K2585" s="3" t="e">
        <f ca="1">[1]!BexGetData("DP_1","003N8EMH8GTFRIVNUPY288VJH","GSON5134347011")</f>
        <v>#NAME?</v>
      </c>
      <c r="L2585" s="3" t="e">
        <f ca="1">[1]!BexGetData("DP_1","003N8EMH8GTFRIVNUPY2891V1","GSON5134347011")</f>
        <v>#NAME?</v>
      </c>
      <c r="M2585" s="8" t="e">
        <f ca="1">[1]!BexGetData("DP_1","003N8EMH8GTFRIVOG7KG9IQXA","GSON5134347011")</f>
        <v>#NAME?</v>
      </c>
      <c r="N2585" s="3" t="e">
        <f ca="1">[1]!BexGetData("DP_1","003N8EMH8GTFRIVOG7KG9IX8U","GSON5134347011")</f>
        <v>#NAME?</v>
      </c>
      <c r="O2585" s="8" t="e">
        <f ca="1">[1]!BexGetData("DP_1","003N8EMH8GTFRIVOG7KG9J3KE","GSON5134347011")</f>
        <v>#NAME?</v>
      </c>
      <c r="P2585" s="3" t="e">
        <f ca="1">[1]!BexGetData("DP_1","003N8EMH8GTFRIVOG7KG9J9VY","GSON5134347011")</f>
        <v>#NAME?</v>
      </c>
      <c r="Q2585" s="4" t="e">
        <f ca="1">[1]!BexGetData("DP_1","00O2TNJGODT0G5Z4TTKYMM5MT","GSON5134347011")</f>
        <v>#NAME?</v>
      </c>
      <c r="R2585" s="4" t="e">
        <f ca="1">[1]!BexGetData("DP_1","00O2TNJGODT0G5Z4TTKYMMBYD","GSON5134347011")</f>
        <v>#NAME?</v>
      </c>
      <c r="S2585" s="4" t="e">
        <f ca="1">[1]!BexGetData("DP_1","00O2TNJGODT0G5Z4TTKYMMI9X","GSON5134347011")</f>
        <v>#NAME?</v>
      </c>
      <c r="T2585" s="4" t="e">
        <f ca="1">[1]!BexGetData("DP_1","00O2TNJGODT0G5Z4TTKYMMOLH","GSON5134347011")</f>
        <v>#NAME?</v>
      </c>
      <c r="U2585" s="4" t="e">
        <f ca="1">[1]!BexGetData("DP_1","00O2TNJGODT0G5Z4TTKYMMUX1","GSON5134347011")</f>
        <v>#NAME?</v>
      </c>
      <c r="V2585" s="4" t="e">
        <f ca="1">[1]!BexGetData("DP_1","00O2TNJGODT0G5Z4TTKYMN18L","GSON5134347011")</f>
        <v>#NAME?</v>
      </c>
      <c r="W2585" s="4" t="e">
        <f ca="1">[1]!BexGetData("DP_1","00O2TNJGODT0G5Z4TTKYMN7K5","GSON5134347011")</f>
        <v>#NAME?</v>
      </c>
    </row>
    <row r="2586" spans="1:23" x14ac:dyDescent="0.2">
      <c r="A2586" s="16" t="s">
        <v>5320</v>
      </c>
      <c r="B2586" s="7" t="s">
        <v>5321</v>
      </c>
      <c r="C2586" s="3" t="e">
        <f ca="1">[1]!BexGetData("DP_1","003N8EMH8GTFRCSWKMPXRR8GU","GSON5134348011")</f>
        <v>#NAME?</v>
      </c>
      <c r="D2586" s="3" t="e">
        <f ca="1">[1]!BexGetData("DP_1","003N8EMH8GTFRCSWKMPXRRESE","GSON5134348011")</f>
        <v>#NAME?</v>
      </c>
      <c r="E2586" s="3" t="e">
        <f ca="1">[1]!BexGetData("DP_1","003N8EMH8GTFRCSWKMPXRRL3Y","GSON5134348011")</f>
        <v>#NAME?</v>
      </c>
      <c r="F2586" s="4" t="e">
        <f ca="1">[1]!BexGetData("DP_1","003N8EMH8GTFRCSWKMPXRRRFI","GSON5134348011")</f>
        <v>#NAME?</v>
      </c>
      <c r="G2586" s="4" t="e">
        <f ca="1">[1]!BexGetData("DP_1","003N8EMH8GTFRCSWKMPXRRXR2","GSON5134348011")</f>
        <v>#NAME?</v>
      </c>
      <c r="H2586" s="4" t="e">
        <f ca="1">[1]!BexGetData("DP_1","003N8EMH8GTFRCSWKMPXRS42M","GSON5134348011")</f>
        <v>#NAME?</v>
      </c>
      <c r="I2586" s="4" t="e">
        <f ca="1">[1]!BexGetData("DP_1","003N8EMH8GTFRCSWKMPXRSAE6","GSON5134348011")</f>
        <v>#NAME?</v>
      </c>
      <c r="J2586" s="4" t="e">
        <f ca="1">[1]!BexGetData("DP_1","003N8EMH8GTFRCSWKMPXRSGPQ","GSON5134348011")</f>
        <v>#NAME?</v>
      </c>
      <c r="K2586" s="3" t="e">
        <f ca="1">[1]!BexGetData("DP_1","003N8EMH8GTFRIVNUPY288VJH","GSON5134348011")</f>
        <v>#NAME?</v>
      </c>
      <c r="L2586" s="3" t="e">
        <f ca="1">[1]!BexGetData("DP_1","003N8EMH8GTFRIVNUPY2891V1","GSON5134348011")</f>
        <v>#NAME?</v>
      </c>
      <c r="M2586" s="8" t="e">
        <f ca="1">[1]!BexGetData("DP_1","003N8EMH8GTFRIVOG7KG9IQXA","GSON5134348011")</f>
        <v>#NAME?</v>
      </c>
      <c r="N2586" s="3" t="e">
        <f ca="1">[1]!BexGetData("DP_1","003N8EMH8GTFRIVOG7KG9IX8U","GSON5134348011")</f>
        <v>#NAME?</v>
      </c>
      <c r="O2586" s="8" t="e">
        <f ca="1">[1]!BexGetData("DP_1","003N8EMH8GTFRIVOG7KG9J3KE","GSON5134348011")</f>
        <v>#NAME?</v>
      </c>
      <c r="P2586" s="3" t="e">
        <f ca="1">[1]!BexGetData("DP_1","003N8EMH8GTFRIVOG7KG9J9VY","GSON5134348011")</f>
        <v>#NAME?</v>
      </c>
      <c r="Q2586" s="4" t="e">
        <f ca="1">[1]!BexGetData("DP_1","00O2TNJGODT0G5Z4TTKYMM5MT","GSON5134348011")</f>
        <v>#NAME?</v>
      </c>
      <c r="R2586" s="4" t="e">
        <f ca="1">[1]!BexGetData("DP_1","00O2TNJGODT0G5Z4TTKYMMBYD","GSON5134348011")</f>
        <v>#NAME?</v>
      </c>
      <c r="S2586" s="4" t="e">
        <f ca="1">[1]!BexGetData("DP_1","00O2TNJGODT0G5Z4TTKYMMI9X","GSON5134348011")</f>
        <v>#NAME?</v>
      </c>
      <c r="T2586" s="4" t="e">
        <f ca="1">[1]!BexGetData("DP_1","00O2TNJGODT0G5Z4TTKYMMOLH","GSON5134348011")</f>
        <v>#NAME?</v>
      </c>
      <c r="U2586" s="4" t="e">
        <f ca="1">[1]!BexGetData("DP_1","00O2TNJGODT0G5Z4TTKYMMUX1","GSON5134348011")</f>
        <v>#NAME?</v>
      </c>
      <c r="V2586" s="4" t="e">
        <f ca="1">[1]!BexGetData("DP_1","00O2TNJGODT0G5Z4TTKYMN18L","GSON5134348011")</f>
        <v>#NAME?</v>
      </c>
      <c r="W2586" s="4" t="e">
        <f ca="1">[1]!BexGetData("DP_1","00O2TNJGODT0G5Z4TTKYMN7K5","GSON5134348011")</f>
        <v>#NAME?</v>
      </c>
    </row>
    <row r="2587" spans="1:23" x14ac:dyDescent="0.2">
      <c r="A2587" s="15" t="s">
        <v>399</v>
      </c>
      <c r="B2587" s="7" t="s">
        <v>400</v>
      </c>
      <c r="C2587" s="3" t="e">
        <f ca="1">[1]!BexGetData("DP_1","003N8EMH8GTFRCSWKMPXRR8GU","GSON5135")</f>
        <v>#NAME?</v>
      </c>
      <c r="D2587" s="3" t="e">
        <f ca="1">[1]!BexGetData("DP_1","003N8EMH8GTFRCSWKMPXRRESE","GSON5135")</f>
        <v>#NAME?</v>
      </c>
      <c r="E2587" s="3" t="e">
        <f ca="1">[1]!BexGetData("DP_1","003N8EMH8GTFRCSWKMPXRRL3Y","GSON5135")</f>
        <v>#NAME?</v>
      </c>
      <c r="F2587" s="4" t="e">
        <f ca="1">[1]!BexGetData("DP_1","003N8EMH8GTFRCSWKMPXRRRFI","GSON5135")</f>
        <v>#NAME?</v>
      </c>
      <c r="G2587" s="4" t="e">
        <f ca="1">[1]!BexGetData("DP_1","003N8EMH8GTFRCSWKMPXRRXR2","GSON5135")</f>
        <v>#NAME?</v>
      </c>
      <c r="H2587" s="4" t="e">
        <f ca="1">[1]!BexGetData("DP_1","003N8EMH8GTFRCSWKMPXRS42M","GSON5135")</f>
        <v>#NAME?</v>
      </c>
      <c r="I2587" s="4" t="e">
        <f ca="1">[1]!BexGetData("DP_1","003N8EMH8GTFRCSWKMPXRSAE6","GSON5135")</f>
        <v>#NAME?</v>
      </c>
      <c r="J2587" s="4" t="e">
        <f ca="1">[1]!BexGetData("DP_1","003N8EMH8GTFRCSWKMPXRSGPQ","GSON5135")</f>
        <v>#NAME?</v>
      </c>
      <c r="K2587" s="3" t="e">
        <f ca="1">[1]!BexGetData("DP_1","003N8EMH8GTFRIVNUPY288VJH","GSON5135")</f>
        <v>#NAME?</v>
      </c>
      <c r="L2587" s="3" t="e">
        <f ca="1">[1]!BexGetData("DP_1","003N8EMH8GTFRIVNUPY2891V1","GSON5135")</f>
        <v>#NAME?</v>
      </c>
      <c r="M2587" s="8" t="e">
        <f ca="1">[1]!BexGetData("DP_1","003N8EMH8GTFRIVOG7KG9IQXA","GSON5135")</f>
        <v>#NAME?</v>
      </c>
      <c r="N2587" s="3" t="e">
        <f ca="1">[1]!BexGetData("DP_1","003N8EMH8GTFRIVOG7KG9IX8U","GSON5135")</f>
        <v>#NAME?</v>
      </c>
      <c r="O2587" s="8" t="e">
        <f ca="1">[1]!BexGetData("DP_1","003N8EMH8GTFRIVOG7KG9J3KE","GSON5135")</f>
        <v>#NAME?</v>
      </c>
      <c r="P2587" s="3" t="e">
        <f ca="1">[1]!BexGetData("DP_1","003N8EMH8GTFRIVOG7KG9J9VY","GSON5135")</f>
        <v>#NAME?</v>
      </c>
      <c r="Q2587" s="4" t="e">
        <f ca="1">[1]!BexGetData("DP_1","00O2TNJGODT0G5Z4TTKYMM5MT","GSON5135")</f>
        <v>#NAME?</v>
      </c>
      <c r="R2587" s="4" t="e">
        <f ca="1">[1]!BexGetData("DP_1","00O2TNJGODT0G5Z4TTKYMMBYD","GSON5135")</f>
        <v>#NAME?</v>
      </c>
      <c r="S2587" s="4" t="e">
        <f ca="1">[1]!BexGetData("DP_1","00O2TNJGODT0G5Z4TTKYMMI9X","GSON5135")</f>
        <v>#NAME?</v>
      </c>
      <c r="T2587" s="4" t="e">
        <f ca="1">[1]!BexGetData("DP_1","00O2TNJGODT0G5Z4TTKYMMOLH","GSON5135")</f>
        <v>#NAME?</v>
      </c>
      <c r="U2587" s="4" t="e">
        <f ca="1">[1]!BexGetData("DP_1","00O2TNJGODT0G5Z4TTKYMMUX1","GSON5135")</f>
        <v>#NAME?</v>
      </c>
      <c r="V2587" s="4" t="e">
        <f ca="1">[1]!BexGetData("DP_1","00O2TNJGODT0G5Z4TTKYMN18L","GSON5135")</f>
        <v>#NAME?</v>
      </c>
      <c r="W2587" s="4" t="e">
        <f ca="1">[1]!BexGetData("DP_1","00O2TNJGODT0G5Z4TTKYMN7K5","GSON5135")</f>
        <v>#NAME?</v>
      </c>
    </row>
    <row r="2588" spans="1:23" x14ac:dyDescent="0.2">
      <c r="A2588" s="16" t="s">
        <v>5322</v>
      </c>
      <c r="B2588" s="7" t="s">
        <v>5323</v>
      </c>
      <c r="C2588" s="3" t="e">
        <f ca="1">[1]!BexGetData("DP_1","003N8EMH8GTFRCSWKMPXRR8GU","GSON5135351011")</f>
        <v>#NAME?</v>
      </c>
      <c r="D2588" s="3" t="e">
        <f ca="1">[1]!BexGetData("DP_1","003N8EMH8GTFRCSWKMPXRRESE","GSON5135351011")</f>
        <v>#NAME?</v>
      </c>
      <c r="E2588" s="3" t="e">
        <f ca="1">[1]!BexGetData("DP_1","003N8EMH8GTFRCSWKMPXRRL3Y","GSON5135351011")</f>
        <v>#NAME?</v>
      </c>
      <c r="F2588" s="4" t="e">
        <f ca="1">[1]!BexGetData("DP_1","003N8EMH8GTFRCSWKMPXRRRFI","GSON5135351011")</f>
        <v>#NAME?</v>
      </c>
      <c r="G2588" s="4" t="e">
        <f ca="1">[1]!BexGetData("DP_1","003N8EMH8GTFRCSWKMPXRRXR2","GSON5135351011")</f>
        <v>#NAME?</v>
      </c>
      <c r="H2588" s="4" t="e">
        <f ca="1">[1]!BexGetData("DP_1","003N8EMH8GTFRCSWKMPXRS42M","GSON5135351011")</f>
        <v>#NAME?</v>
      </c>
      <c r="I2588" s="4" t="e">
        <f ca="1">[1]!BexGetData("DP_1","003N8EMH8GTFRCSWKMPXRSAE6","GSON5135351011")</f>
        <v>#NAME?</v>
      </c>
      <c r="J2588" s="4" t="e">
        <f ca="1">[1]!BexGetData("DP_1","003N8EMH8GTFRCSWKMPXRSGPQ","GSON5135351011")</f>
        <v>#NAME?</v>
      </c>
      <c r="K2588" s="3" t="e">
        <f ca="1">[1]!BexGetData("DP_1","003N8EMH8GTFRIVNUPY288VJH","GSON5135351011")</f>
        <v>#NAME?</v>
      </c>
      <c r="L2588" s="3" t="e">
        <f ca="1">[1]!BexGetData("DP_1","003N8EMH8GTFRIVNUPY2891V1","GSON5135351011")</f>
        <v>#NAME?</v>
      </c>
      <c r="M2588" s="8" t="e">
        <f ca="1">[1]!BexGetData("DP_1","003N8EMH8GTFRIVOG7KG9IQXA","GSON5135351011")</f>
        <v>#NAME?</v>
      </c>
      <c r="N2588" s="3" t="e">
        <f ca="1">[1]!BexGetData("DP_1","003N8EMH8GTFRIVOG7KG9IX8U","GSON5135351011")</f>
        <v>#NAME?</v>
      </c>
      <c r="O2588" s="8" t="e">
        <f ca="1">[1]!BexGetData("DP_1","003N8EMH8GTFRIVOG7KG9J3KE","GSON5135351011")</f>
        <v>#NAME?</v>
      </c>
      <c r="P2588" s="3" t="e">
        <f ca="1">[1]!BexGetData("DP_1","003N8EMH8GTFRIVOG7KG9J9VY","GSON5135351011")</f>
        <v>#NAME?</v>
      </c>
      <c r="Q2588" s="4" t="e">
        <f ca="1">[1]!BexGetData("DP_1","00O2TNJGODT0G5Z4TTKYMM5MT","GSON5135351011")</f>
        <v>#NAME?</v>
      </c>
      <c r="R2588" s="4" t="e">
        <f ca="1">[1]!BexGetData("DP_1","00O2TNJGODT0G5Z4TTKYMMBYD","GSON5135351011")</f>
        <v>#NAME?</v>
      </c>
      <c r="S2588" s="4" t="e">
        <f ca="1">[1]!BexGetData("DP_1","00O2TNJGODT0G5Z4TTKYMMI9X","GSON5135351011")</f>
        <v>#NAME?</v>
      </c>
      <c r="T2588" s="4" t="e">
        <f ca="1">[1]!BexGetData("DP_1","00O2TNJGODT0G5Z4TTKYMMOLH","GSON5135351011")</f>
        <v>#NAME?</v>
      </c>
      <c r="U2588" s="4" t="e">
        <f ca="1">[1]!BexGetData("DP_1","00O2TNJGODT0G5Z4TTKYMMUX1","GSON5135351011")</f>
        <v>#NAME?</v>
      </c>
      <c r="V2588" s="4" t="e">
        <f ca="1">[1]!BexGetData("DP_1","00O2TNJGODT0G5Z4TTKYMN18L","GSON5135351011")</f>
        <v>#NAME?</v>
      </c>
      <c r="W2588" s="4" t="e">
        <f ca="1">[1]!BexGetData("DP_1","00O2TNJGODT0G5Z4TTKYMN7K5","GSON5135351011")</f>
        <v>#NAME?</v>
      </c>
    </row>
    <row r="2589" spans="1:23" x14ac:dyDescent="0.2">
      <c r="A2589" s="16" t="s">
        <v>5322</v>
      </c>
      <c r="B2589" s="7" t="s">
        <v>5324</v>
      </c>
      <c r="C2589" s="3" t="e">
        <f ca="1">[1]!BexGetData("DP_1","003N8EMH8GTFRCSWKMPXRR8GU","GSON5135352011")</f>
        <v>#NAME?</v>
      </c>
      <c r="D2589" s="3" t="e">
        <f ca="1">[1]!BexGetData("DP_1","003N8EMH8GTFRCSWKMPXRRESE","GSON5135352011")</f>
        <v>#NAME?</v>
      </c>
      <c r="E2589" s="3" t="e">
        <f ca="1">[1]!BexGetData("DP_1","003N8EMH8GTFRCSWKMPXRRL3Y","GSON5135352011")</f>
        <v>#NAME?</v>
      </c>
      <c r="F2589" s="4" t="e">
        <f ca="1">[1]!BexGetData("DP_1","003N8EMH8GTFRCSWKMPXRRRFI","GSON5135352011")</f>
        <v>#NAME?</v>
      </c>
      <c r="G2589" s="4" t="e">
        <f ca="1">[1]!BexGetData("DP_1","003N8EMH8GTFRCSWKMPXRRXR2","GSON5135352011")</f>
        <v>#NAME?</v>
      </c>
      <c r="H2589" s="4" t="e">
        <f ca="1">[1]!BexGetData("DP_1","003N8EMH8GTFRCSWKMPXRS42M","GSON5135352011")</f>
        <v>#NAME?</v>
      </c>
      <c r="I2589" s="4" t="e">
        <f ca="1">[1]!BexGetData("DP_1","003N8EMH8GTFRCSWKMPXRSAE6","GSON5135352011")</f>
        <v>#NAME?</v>
      </c>
      <c r="J2589" s="4" t="e">
        <f ca="1">[1]!BexGetData("DP_1","003N8EMH8GTFRCSWKMPXRSGPQ","GSON5135352011")</f>
        <v>#NAME?</v>
      </c>
      <c r="K2589" s="3" t="e">
        <f ca="1">[1]!BexGetData("DP_1","003N8EMH8GTFRIVNUPY288VJH","GSON5135352011")</f>
        <v>#NAME?</v>
      </c>
      <c r="L2589" s="3" t="e">
        <f ca="1">[1]!BexGetData("DP_1","003N8EMH8GTFRIVNUPY2891V1","GSON5135352011")</f>
        <v>#NAME?</v>
      </c>
      <c r="M2589" s="8" t="e">
        <f ca="1">[1]!BexGetData("DP_1","003N8EMH8GTFRIVOG7KG9IQXA","GSON5135352011")</f>
        <v>#NAME?</v>
      </c>
      <c r="N2589" s="3" t="e">
        <f ca="1">[1]!BexGetData("DP_1","003N8EMH8GTFRIVOG7KG9IX8U","GSON5135352011")</f>
        <v>#NAME?</v>
      </c>
      <c r="O2589" s="8" t="e">
        <f ca="1">[1]!BexGetData("DP_1","003N8EMH8GTFRIVOG7KG9J3KE","GSON5135352011")</f>
        <v>#NAME?</v>
      </c>
      <c r="P2589" s="3" t="e">
        <f ca="1">[1]!BexGetData("DP_1","003N8EMH8GTFRIVOG7KG9J9VY","GSON5135352011")</f>
        <v>#NAME?</v>
      </c>
      <c r="Q2589" s="4" t="e">
        <f ca="1">[1]!BexGetData("DP_1","00O2TNJGODT0G5Z4TTKYMM5MT","GSON5135352011")</f>
        <v>#NAME?</v>
      </c>
      <c r="R2589" s="4" t="e">
        <f ca="1">[1]!BexGetData("DP_1","00O2TNJGODT0G5Z4TTKYMMBYD","GSON5135352011")</f>
        <v>#NAME?</v>
      </c>
      <c r="S2589" s="4" t="e">
        <f ca="1">[1]!BexGetData("DP_1","00O2TNJGODT0G5Z4TTKYMMI9X","GSON5135352011")</f>
        <v>#NAME?</v>
      </c>
      <c r="T2589" s="4" t="e">
        <f ca="1">[1]!BexGetData("DP_1","00O2TNJGODT0G5Z4TTKYMMOLH","GSON5135352011")</f>
        <v>#NAME?</v>
      </c>
      <c r="U2589" s="4" t="e">
        <f ca="1">[1]!BexGetData("DP_1","00O2TNJGODT0G5Z4TTKYMMUX1","GSON5135352011")</f>
        <v>#NAME?</v>
      </c>
      <c r="V2589" s="4" t="e">
        <f ca="1">[1]!BexGetData("DP_1","00O2TNJGODT0G5Z4TTKYMN18L","GSON5135352011")</f>
        <v>#NAME?</v>
      </c>
      <c r="W2589" s="4" t="e">
        <f ca="1">[1]!BexGetData("DP_1","00O2TNJGODT0G5Z4TTKYMN7K5","GSON5135352011")</f>
        <v>#NAME?</v>
      </c>
    </row>
    <row r="2590" spans="1:23" x14ac:dyDescent="0.2">
      <c r="A2590" s="16" t="s">
        <v>1571</v>
      </c>
      <c r="B2590" s="7" t="s">
        <v>1572</v>
      </c>
      <c r="C2590" s="3" t="e">
        <f ca="1">[1]!BexGetData("DP_1","003N8EMH8GTFRCSWKMPXRR8GU","GSON5135353011")</f>
        <v>#NAME?</v>
      </c>
      <c r="D2590" s="3" t="e">
        <f ca="1">[1]!BexGetData("DP_1","003N8EMH8GTFRCSWKMPXRRESE","GSON5135353011")</f>
        <v>#NAME?</v>
      </c>
      <c r="E2590" s="3" t="e">
        <f ca="1">[1]!BexGetData("DP_1","003N8EMH8GTFRCSWKMPXRRL3Y","GSON5135353011")</f>
        <v>#NAME?</v>
      </c>
      <c r="F2590" s="4" t="e">
        <f ca="1">[1]!BexGetData("DP_1","003N8EMH8GTFRCSWKMPXRRRFI","GSON5135353011")</f>
        <v>#NAME?</v>
      </c>
      <c r="G2590" s="4" t="e">
        <f ca="1">[1]!BexGetData("DP_1","003N8EMH8GTFRCSWKMPXRRXR2","GSON5135353011")</f>
        <v>#NAME?</v>
      </c>
      <c r="H2590" s="4" t="e">
        <f ca="1">[1]!BexGetData("DP_1","003N8EMH8GTFRCSWKMPXRS42M","GSON5135353011")</f>
        <v>#NAME?</v>
      </c>
      <c r="I2590" s="4" t="e">
        <f ca="1">[1]!BexGetData("DP_1","003N8EMH8GTFRCSWKMPXRSAE6","GSON5135353011")</f>
        <v>#NAME?</v>
      </c>
      <c r="J2590" s="4" t="e">
        <f ca="1">[1]!BexGetData("DP_1","003N8EMH8GTFRCSWKMPXRSGPQ","GSON5135353011")</f>
        <v>#NAME?</v>
      </c>
      <c r="K2590" s="3" t="e">
        <f ca="1">[1]!BexGetData("DP_1","003N8EMH8GTFRIVNUPY288VJH","GSON5135353011")</f>
        <v>#NAME?</v>
      </c>
      <c r="L2590" s="3" t="e">
        <f ca="1">[1]!BexGetData("DP_1","003N8EMH8GTFRIVNUPY2891V1","GSON5135353011")</f>
        <v>#NAME?</v>
      </c>
      <c r="M2590" s="8" t="e">
        <f ca="1">[1]!BexGetData("DP_1","003N8EMH8GTFRIVOG7KG9IQXA","GSON5135353011")</f>
        <v>#NAME?</v>
      </c>
      <c r="N2590" s="3" t="e">
        <f ca="1">[1]!BexGetData("DP_1","003N8EMH8GTFRIVOG7KG9IX8U","GSON5135353011")</f>
        <v>#NAME?</v>
      </c>
      <c r="O2590" s="8" t="e">
        <f ca="1">[1]!BexGetData("DP_1","003N8EMH8GTFRIVOG7KG9J3KE","GSON5135353011")</f>
        <v>#NAME?</v>
      </c>
      <c r="P2590" s="3" t="e">
        <f ca="1">[1]!BexGetData("DP_1","003N8EMH8GTFRIVOG7KG9J9VY","GSON5135353011")</f>
        <v>#NAME?</v>
      </c>
      <c r="Q2590" s="4" t="e">
        <f ca="1">[1]!BexGetData("DP_1","00O2TNJGODT0G5Z4TTKYMM5MT","GSON5135353011")</f>
        <v>#NAME?</v>
      </c>
      <c r="R2590" s="4" t="e">
        <f ca="1">[1]!BexGetData("DP_1","00O2TNJGODT0G5Z4TTKYMMBYD","GSON5135353011")</f>
        <v>#NAME?</v>
      </c>
      <c r="S2590" s="4" t="e">
        <f ca="1">[1]!BexGetData("DP_1","00O2TNJGODT0G5Z4TTKYMMI9X","GSON5135353011")</f>
        <v>#NAME?</v>
      </c>
      <c r="T2590" s="4" t="e">
        <f ca="1">[1]!BexGetData("DP_1","00O2TNJGODT0G5Z4TTKYMMOLH","GSON5135353011")</f>
        <v>#NAME?</v>
      </c>
      <c r="U2590" s="4" t="e">
        <f ca="1">[1]!BexGetData("DP_1","00O2TNJGODT0G5Z4TTKYMMUX1","GSON5135353011")</f>
        <v>#NAME?</v>
      </c>
      <c r="V2590" s="4" t="e">
        <f ca="1">[1]!BexGetData("DP_1","00O2TNJGODT0G5Z4TTKYMN18L","GSON5135353011")</f>
        <v>#NAME?</v>
      </c>
      <c r="W2590" s="4" t="e">
        <f ca="1">[1]!BexGetData("DP_1","00O2TNJGODT0G5Z4TTKYMN7K5","GSON5135353011")</f>
        <v>#NAME?</v>
      </c>
    </row>
    <row r="2591" spans="1:23" x14ac:dyDescent="0.2">
      <c r="A2591" s="16" t="s">
        <v>5322</v>
      </c>
      <c r="B2591" s="7" t="s">
        <v>5325</v>
      </c>
      <c r="C2591" s="3" t="e">
        <f ca="1">[1]!BexGetData("DP_1","003N8EMH8GTFRCSWKMPXRR8GU","GSON5135353021")</f>
        <v>#NAME?</v>
      </c>
      <c r="D2591" s="3" t="e">
        <f ca="1">[1]!BexGetData("DP_1","003N8EMH8GTFRCSWKMPXRRESE","GSON5135353021")</f>
        <v>#NAME?</v>
      </c>
      <c r="E2591" s="3" t="e">
        <f ca="1">[1]!BexGetData("DP_1","003N8EMH8GTFRCSWKMPXRRL3Y","GSON5135353021")</f>
        <v>#NAME?</v>
      </c>
      <c r="F2591" s="4" t="e">
        <f ca="1">[1]!BexGetData("DP_1","003N8EMH8GTFRCSWKMPXRRRFI","GSON5135353021")</f>
        <v>#NAME?</v>
      </c>
      <c r="G2591" s="4" t="e">
        <f ca="1">[1]!BexGetData("DP_1","003N8EMH8GTFRCSWKMPXRRXR2","GSON5135353021")</f>
        <v>#NAME?</v>
      </c>
      <c r="H2591" s="4" t="e">
        <f ca="1">[1]!BexGetData("DP_1","003N8EMH8GTFRCSWKMPXRS42M","GSON5135353021")</f>
        <v>#NAME?</v>
      </c>
      <c r="I2591" s="4" t="e">
        <f ca="1">[1]!BexGetData("DP_1","003N8EMH8GTFRCSWKMPXRSAE6","GSON5135353021")</f>
        <v>#NAME?</v>
      </c>
      <c r="J2591" s="4" t="e">
        <f ca="1">[1]!BexGetData("DP_1","003N8EMH8GTFRCSWKMPXRSGPQ","GSON5135353021")</f>
        <v>#NAME?</v>
      </c>
      <c r="K2591" s="3" t="e">
        <f ca="1">[1]!BexGetData("DP_1","003N8EMH8GTFRIVNUPY288VJH","GSON5135353021")</f>
        <v>#NAME?</v>
      </c>
      <c r="L2591" s="3" t="e">
        <f ca="1">[1]!BexGetData("DP_1","003N8EMH8GTFRIVNUPY2891V1","GSON5135353021")</f>
        <v>#NAME?</v>
      </c>
      <c r="M2591" s="8" t="e">
        <f ca="1">[1]!BexGetData("DP_1","003N8EMH8GTFRIVOG7KG9IQXA","GSON5135353021")</f>
        <v>#NAME?</v>
      </c>
      <c r="N2591" s="3" t="e">
        <f ca="1">[1]!BexGetData("DP_1","003N8EMH8GTFRIVOG7KG9IX8U","GSON5135353021")</f>
        <v>#NAME?</v>
      </c>
      <c r="O2591" s="8" t="e">
        <f ca="1">[1]!BexGetData("DP_1","003N8EMH8GTFRIVOG7KG9J3KE","GSON5135353021")</f>
        <v>#NAME?</v>
      </c>
      <c r="P2591" s="3" t="e">
        <f ca="1">[1]!BexGetData("DP_1","003N8EMH8GTFRIVOG7KG9J9VY","GSON5135353021")</f>
        <v>#NAME?</v>
      </c>
      <c r="Q2591" s="4" t="e">
        <f ca="1">[1]!BexGetData("DP_1","00O2TNJGODT0G5Z4TTKYMM5MT","GSON5135353021")</f>
        <v>#NAME?</v>
      </c>
      <c r="R2591" s="4" t="e">
        <f ca="1">[1]!BexGetData("DP_1","00O2TNJGODT0G5Z4TTKYMMBYD","GSON5135353021")</f>
        <v>#NAME?</v>
      </c>
      <c r="S2591" s="4" t="e">
        <f ca="1">[1]!BexGetData("DP_1","00O2TNJGODT0G5Z4TTKYMMI9X","GSON5135353021")</f>
        <v>#NAME?</v>
      </c>
      <c r="T2591" s="4" t="e">
        <f ca="1">[1]!BexGetData("DP_1","00O2TNJGODT0G5Z4TTKYMMOLH","GSON5135353021")</f>
        <v>#NAME?</v>
      </c>
      <c r="U2591" s="4" t="e">
        <f ca="1">[1]!BexGetData("DP_1","00O2TNJGODT0G5Z4TTKYMMUX1","GSON5135353021")</f>
        <v>#NAME?</v>
      </c>
      <c r="V2591" s="4" t="e">
        <f ca="1">[1]!BexGetData("DP_1","00O2TNJGODT0G5Z4TTKYMN18L","GSON5135353021")</f>
        <v>#NAME?</v>
      </c>
      <c r="W2591" s="4" t="e">
        <f ca="1">[1]!BexGetData("DP_1","00O2TNJGODT0G5Z4TTKYMN7K5","GSON5135353021")</f>
        <v>#NAME?</v>
      </c>
    </row>
    <row r="2592" spans="1:23" x14ac:dyDescent="0.2">
      <c r="A2592" s="16" t="s">
        <v>5326</v>
      </c>
      <c r="B2592" s="7" t="s">
        <v>5327</v>
      </c>
      <c r="C2592" s="3" t="e">
        <f ca="1">[1]!BexGetData("DP_1","003N8EMH8GTFRCSWKMPXRR8GU","GSON5135354011")</f>
        <v>#NAME?</v>
      </c>
      <c r="D2592" s="3" t="e">
        <f ca="1">[1]!BexGetData("DP_1","003N8EMH8GTFRCSWKMPXRRESE","GSON5135354011")</f>
        <v>#NAME?</v>
      </c>
      <c r="E2592" s="8" t="e">
        <f ca="1">[1]!BexGetData("DP_1","003N8EMH8GTFRCSWKMPXRRL3Y","GSON5135354011")</f>
        <v>#NAME?</v>
      </c>
      <c r="F2592" s="4" t="e">
        <f ca="1">[1]!BexGetData("DP_1","003N8EMH8GTFRCSWKMPXRRRFI","GSON5135354011")</f>
        <v>#NAME?</v>
      </c>
      <c r="G2592" s="4" t="e">
        <f ca="1">[1]!BexGetData("DP_1","003N8EMH8GTFRCSWKMPXRRXR2","GSON5135354011")</f>
        <v>#NAME?</v>
      </c>
      <c r="H2592" s="4" t="e">
        <f ca="1">[1]!BexGetData("DP_1","003N8EMH8GTFRCSWKMPXRS42M","GSON5135354011")</f>
        <v>#NAME?</v>
      </c>
      <c r="I2592" s="4" t="e">
        <f ca="1">[1]!BexGetData("DP_1","003N8EMH8GTFRCSWKMPXRSAE6","GSON5135354011")</f>
        <v>#NAME?</v>
      </c>
      <c r="J2592" s="4" t="e">
        <f ca="1">[1]!BexGetData("DP_1","003N8EMH8GTFRCSWKMPXRSGPQ","GSON5135354011")</f>
        <v>#NAME?</v>
      </c>
      <c r="K2592" s="8" t="e">
        <f ca="1">[1]!BexGetData("DP_1","003N8EMH8GTFRIVNUPY288VJH","GSON5135354011")</f>
        <v>#NAME?</v>
      </c>
      <c r="L2592" s="8" t="e">
        <f ca="1">[1]!BexGetData("DP_1","003N8EMH8GTFRIVNUPY2891V1","GSON5135354011")</f>
        <v>#NAME?</v>
      </c>
      <c r="M2592" s="8" t="e">
        <f ca="1">[1]!BexGetData("DP_1","003N8EMH8GTFRIVOG7KG9IQXA","GSON5135354011")</f>
        <v>#NAME?</v>
      </c>
      <c r="N2592" s="8" t="e">
        <f ca="1">[1]!BexGetData("DP_1","003N8EMH8GTFRIVOG7KG9IX8U","GSON5135354011")</f>
        <v>#NAME?</v>
      </c>
      <c r="O2592" s="8" t="e">
        <f ca="1">[1]!BexGetData("DP_1","003N8EMH8GTFRIVOG7KG9J3KE","GSON5135354011")</f>
        <v>#NAME?</v>
      </c>
      <c r="P2592" s="8" t="e">
        <f ca="1">[1]!BexGetData("DP_1","003N8EMH8GTFRIVOG7KG9J9VY","GSON5135354011")</f>
        <v>#NAME?</v>
      </c>
      <c r="Q2592" s="4" t="e">
        <f ca="1">[1]!BexGetData("DP_1","00O2TNJGODT0G5Z4TTKYMM5MT","GSON5135354011")</f>
        <v>#NAME?</v>
      </c>
      <c r="R2592" s="4" t="e">
        <f ca="1">[1]!BexGetData("DP_1","00O2TNJGODT0G5Z4TTKYMMBYD","GSON5135354011")</f>
        <v>#NAME?</v>
      </c>
      <c r="S2592" s="4" t="e">
        <f ca="1">[1]!BexGetData("DP_1","00O2TNJGODT0G5Z4TTKYMMI9X","GSON5135354011")</f>
        <v>#NAME?</v>
      </c>
      <c r="T2592" s="4" t="e">
        <f ca="1">[1]!BexGetData("DP_1","00O2TNJGODT0G5Z4TTKYMMOLH","GSON5135354011")</f>
        <v>#NAME?</v>
      </c>
      <c r="U2592" s="4" t="e">
        <f ca="1">[1]!BexGetData("DP_1","00O2TNJGODT0G5Z4TTKYMMUX1","GSON5135354011")</f>
        <v>#NAME?</v>
      </c>
      <c r="V2592" s="4" t="e">
        <f ca="1">[1]!BexGetData("DP_1","00O2TNJGODT0G5Z4TTKYMN18L","GSON5135354011")</f>
        <v>#NAME?</v>
      </c>
      <c r="W2592" s="4" t="e">
        <f ca="1">[1]!BexGetData("DP_1","00O2TNJGODT0G5Z4TTKYMN7K5","GSON5135354011")</f>
        <v>#NAME?</v>
      </c>
    </row>
    <row r="2593" spans="1:23" x14ac:dyDescent="0.2">
      <c r="A2593" s="16" t="s">
        <v>5322</v>
      </c>
      <c r="B2593" s="7" t="s">
        <v>5328</v>
      </c>
      <c r="C2593" s="3" t="e">
        <f ca="1">[1]!BexGetData("DP_1","003N8EMH8GTFRCSWKMPXRR8GU","GSON5135355011")</f>
        <v>#NAME?</v>
      </c>
      <c r="D2593" s="3" t="e">
        <f ca="1">[1]!BexGetData("DP_1","003N8EMH8GTFRCSWKMPXRRESE","GSON5135355011")</f>
        <v>#NAME?</v>
      </c>
      <c r="E2593" s="3" t="e">
        <f ca="1">[1]!BexGetData("DP_1","003N8EMH8GTFRCSWKMPXRRL3Y","GSON5135355011")</f>
        <v>#NAME?</v>
      </c>
      <c r="F2593" s="4" t="e">
        <f ca="1">[1]!BexGetData("DP_1","003N8EMH8GTFRCSWKMPXRRRFI","GSON5135355011")</f>
        <v>#NAME?</v>
      </c>
      <c r="G2593" s="4" t="e">
        <f ca="1">[1]!BexGetData("DP_1","003N8EMH8GTFRCSWKMPXRRXR2","GSON5135355011")</f>
        <v>#NAME?</v>
      </c>
      <c r="H2593" s="4" t="e">
        <f ca="1">[1]!BexGetData("DP_1","003N8EMH8GTFRCSWKMPXRS42M","GSON5135355011")</f>
        <v>#NAME?</v>
      </c>
      <c r="I2593" s="4" t="e">
        <f ca="1">[1]!BexGetData("DP_1","003N8EMH8GTFRCSWKMPXRSAE6","GSON5135355011")</f>
        <v>#NAME?</v>
      </c>
      <c r="J2593" s="4" t="e">
        <f ca="1">[1]!BexGetData("DP_1","003N8EMH8GTFRCSWKMPXRSGPQ","GSON5135355011")</f>
        <v>#NAME?</v>
      </c>
      <c r="K2593" s="3" t="e">
        <f ca="1">[1]!BexGetData("DP_1","003N8EMH8GTFRIVNUPY288VJH","GSON5135355011")</f>
        <v>#NAME?</v>
      </c>
      <c r="L2593" s="3" t="e">
        <f ca="1">[1]!BexGetData("DP_1","003N8EMH8GTFRIVNUPY2891V1","GSON5135355011")</f>
        <v>#NAME?</v>
      </c>
      <c r="M2593" s="8" t="e">
        <f ca="1">[1]!BexGetData("DP_1","003N8EMH8GTFRIVOG7KG9IQXA","GSON5135355011")</f>
        <v>#NAME?</v>
      </c>
      <c r="N2593" s="3" t="e">
        <f ca="1">[1]!BexGetData("DP_1","003N8EMH8GTFRIVOG7KG9IX8U","GSON5135355011")</f>
        <v>#NAME?</v>
      </c>
      <c r="O2593" s="8" t="e">
        <f ca="1">[1]!BexGetData("DP_1","003N8EMH8GTFRIVOG7KG9J3KE","GSON5135355011")</f>
        <v>#NAME?</v>
      </c>
      <c r="P2593" s="3" t="e">
        <f ca="1">[1]!BexGetData("DP_1","003N8EMH8GTFRIVOG7KG9J9VY","GSON5135355011")</f>
        <v>#NAME?</v>
      </c>
      <c r="Q2593" s="4" t="e">
        <f ca="1">[1]!BexGetData("DP_1","00O2TNJGODT0G5Z4TTKYMM5MT","GSON5135355011")</f>
        <v>#NAME?</v>
      </c>
      <c r="R2593" s="4" t="e">
        <f ca="1">[1]!BexGetData("DP_1","00O2TNJGODT0G5Z4TTKYMMBYD","GSON5135355011")</f>
        <v>#NAME?</v>
      </c>
      <c r="S2593" s="4" t="e">
        <f ca="1">[1]!BexGetData("DP_1","00O2TNJGODT0G5Z4TTKYMMI9X","GSON5135355011")</f>
        <v>#NAME?</v>
      </c>
      <c r="T2593" s="4" t="e">
        <f ca="1">[1]!BexGetData("DP_1","00O2TNJGODT0G5Z4TTKYMMOLH","GSON5135355011")</f>
        <v>#NAME?</v>
      </c>
      <c r="U2593" s="4" t="e">
        <f ca="1">[1]!BexGetData("DP_1","00O2TNJGODT0G5Z4TTKYMMUX1","GSON5135355011")</f>
        <v>#NAME?</v>
      </c>
      <c r="V2593" s="4" t="e">
        <f ca="1">[1]!BexGetData("DP_1","00O2TNJGODT0G5Z4TTKYMN18L","GSON5135355011")</f>
        <v>#NAME?</v>
      </c>
      <c r="W2593" s="4" t="e">
        <f ca="1">[1]!BexGetData("DP_1","00O2TNJGODT0G5Z4TTKYMN7K5","GSON5135355011")</f>
        <v>#NAME?</v>
      </c>
    </row>
    <row r="2594" spans="1:23" x14ac:dyDescent="0.2">
      <c r="A2594" s="16" t="s">
        <v>5329</v>
      </c>
      <c r="B2594" s="7" t="s">
        <v>5330</v>
      </c>
      <c r="C2594" s="3" t="e">
        <f ca="1">[1]!BexGetData("DP_1","003N8EMH8GTFRCSWKMPXRR8GU","GSON5135355012")</f>
        <v>#NAME?</v>
      </c>
      <c r="D2594" s="3" t="e">
        <f ca="1">[1]!BexGetData("DP_1","003N8EMH8GTFRCSWKMPXRRESE","GSON5135355012")</f>
        <v>#NAME?</v>
      </c>
      <c r="E2594" s="3" t="e">
        <f ca="1">[1]!BexGetData("DP_1","003N8EMH8GTFRCSWKMPXRRL3Y","GSON5135355012")</f>
        <v>#NAME?</v>
      </c>
      <c r="F2594" s="4" t="e">
        <f ca="1">[1]!BexGetData("DP_1","003N8EMH8GTFRCSWKMPXRRRFI","GSON5135355012")</f>
        <v>#NAME?</v>
      </c>
      <c r="G2594" s="4" t="e">
        <f ca="1">[1]!BexGetData("DP_1","003N8EMH8GTFRCSWKMPXRRXR2","GSON5135355012")</f>
        <v>#NAME?</v>
      </c>
      <c r="H2594" s="4" t="e">
        <f ca="1">[1]!BexGetData("DP_1","003N8EMH8GTFRCSWKMPXRS42M","GSON5135355012")</f>
        <v>#NAME?</v>
      </c>
      <c r="I2594" s="4" t="e">
        <f ca="1">[1]!BexGetData("DP_1","003N8EMH8GTFRCSWKMPXRSAE6","GSON5135355012")</f>
        <v>#NAME?</v>
      </c>
      <c r="J2594" s="4" t="e">
        <f ca="1">[1]!BexGetData("DP_1","003N8EMH8GTFRCSWKMPXRSGPQ","GSON5135355012")</f>
        <v>#NAME?</v>
      </c>
      <c r="K2594" s="3" t="e">
        <f ca="1">[1]!BexGetData("DP_1","003N8EMH8GTFRIVNUPY288VJH","GSON5135355012")</f>
        <v>#NAME?</v>
      </c>
      <c r="L2594" s="3" t="e">
        <f ca="1">[1]!BexGetData("DP_1","003N8EMH8GTFRIVNUPY2891V1","GSON5135355012")</f>
        <v>#NAME?</v>
      </c>
      <c r="M2594" s="8" t="e">
        <f ca="1">[1]!BexGetData("DP_1","003N8EMH8GTFRIVOG7KG9IQXA","GSON5135355012")</f>
        <v>#NAME?</v>
      </c>
      <c r="N2594" s="3" t="e">
        <f ca="1">[1]!BexGetData("DP_1","003N8EMH8GTFRIVOG7KG9IX8U","GSON5135355012")</f>
        <v>#NAME?</v>
      </c>
      <c r="O2594" s="8" t="e">
        <f ca="1">[1]!BexGetData("DP_1","003N8EMH8GTFRIVOG7KG9J3KE","GSON5135355012")</f>
        <v>#NAME?</v>
      </c>
      <c r="P2594" s="3" t="e">
        <f ca="1">[1]!BexGetData("DP_1","003N8EMH8GTFRIVOG7KG9J9VY","GSON5135355012")</f>
        <v>#NAME?</v>
      </c>
      <c r="Q2594" s="4" t="e">
        <f ca="1">[1]!BexGetData("DP_1","00O2TNJGODT0G5Z4TTKYMM5MT","GSON5135355012")</f>
        <v>#NAME?</v>
      </c>
      <c r="R2594" s="4" t="e">
        <f ca="1">[1]!BexGetData("DP_1","00O2TNJGODT0G5Z4TTKYMMBYD","GSON5135355012")</f>
        <v>#NAME?</v>
      </c>
      <c r="S2594" s="4" t="e">
        <f ca="1">[1]!BexGetData("DP_1","00O2TNJGODT0G5Z4TTKYMMI9X","GSON5135355012")</f>
        <v>#NAME?</v>
      </c>
      <c r="T2594" s="4" t="e">
        <f ca="1">[1]!BexGetData("DP_1","00O2TNJGODT0G5Z4TTKYMMOLH","GSON5135355012")</f>
        <v>#NAME?</v>
      </c>
      <c r="U2594" s="4" t="e">
        <f ca="1">[1]!BexGetData("DP_1","00O2TNJGODT0G5Z4TTKYMMUX1","GSON5135355012")</f>
        <v>#NAME?</v>
      </c>
      <c r="V2594" s="4" t="e">
        <f ca="1">[1]!BexGetData("DP_1","00O2TNJGODT0G5Z4TTKYMN18L","GSON5135355012")</f>
        <v>#NAME?</v>
      </c>
      <c r="W2594" s="4" t="e">
        <f ca="1">[1]!BexGetData("DP_1","00O2TNJGODT0G5Z4TTKYMN7K5","GSON5135355012")</f>
        <v>#NAME?</v>
      </c>
    </row>
    <row r="2595" spans="1:23" x14ac:dyDescent="0.2">
      <c r="A2595" s="16" t="s">
        <v>5331</v>
      </c>
      <c r="B2595" s="7" t="s">
        <v>5332</v>
      </c>
      <c r="C2595" s="3" t="e">
        <f ca="1">[1]!BexGetData("DP_1","003N8EMH8GTFRCSWKMPXRR8GU","GSON5135356011")</f>
        <v>#NAME?</v>
      </c>
      <c r="D2595" s="8" t="e">
        <f ca="1">[1]!BexGetData("DP_1","003N8EMH8GTFRCSWKMPXRRESE","GSON5135356011")</f>
        <v>#NAME?</v>
      </c>
      <c r="E2595" s="3" t="e">
        <f ca="1">[1]!BexGetData("DP_1","003N8EMH8GTFRCSWKMPXRRL3Y","GSON5135356011")</f>
        <v>#NAME?</v>
      </c>
      <c r="F2595" s="4" t="e">
        <f ca="1">[1]!BexGetData("DP_1","003N8EMH8GTFRCSWKMPXRRRFI","GSON5135356011")</f>
        <v>#NAME?</v>
      </c>
      <c r="G2595" s="4" t="e">
        <f ca="1">[1]!BexGetData("DP_1","003N8EMH8GTFRCSWKMPXRRXR2","GSON5135356011")</f>
        <v>#NAME?</v>
      </c>
      <c r="H2595" s="4" t="e">
        <f ca="1">[1]!BexGetData("DP_1","003N8EMH8GTFRCSWKMPXRS42M","GSON5135356011")</f>
        <v>#NAME?</v>
      </c>
      <c r="I2595" s="4" t="e">
        <f ca="1">[1]!BexGetData("DP_1","003N8EMH8GTFRCSWKMPXRSAE6","GSON5135356011")</f>
        <v>#NAME?</v>
      </c>
      <c r="J2595" s="4" t="e">
        <f ca="1">[1]!BexGetData("DP_1","003N8EMH8GTFRCSWKMPXRSGPQ","GSON5135356011")</f>
        <v>#NAME?</v>
      </c>
      <c r="K2595" s="3" t="e">
        <f ca="1">[1]!BexGetData("DP_1","003N8EMH8GTFRIVNUPY288VJH","GSON5135356011")</f>
        <v>#NAME?</v>
      </c>
      <c r="L2595" s="3" t="e">
        <f ca="1">[1]!BexGetData("DP_1","003N8EMH8GTFRIVNUPY2891V1","GSON5135356011")</f>
        <v>#NAME?</v>
      </c>
      <c r="M2595" s="8" t="e">
        <f ca="1">[1]!BexGetData("DP_1","003N8EMH8GTFRIVOG7KG9IQXA","GSON5135356011")</f>
        <v>#NAME?</v>
      </c>
      <c r="N2595" s="3" t="e">
        <f ca="1">[1]!BexGetData("DP_1","003N8EMH8GTFRIVOG7KG9IX8U","GSON5135356011")</f>
        <v>#NAME?</v>
      </c>
      <c r="O2595" s="8" t="e">
        <f ca="1">[1]!BexGetData("DP_1","003N8EMH8GTFRIVOG7KG9J3KE","GSON5135356011")</f>
        <v>#NAME?</v>
      </c>
      <c r="P2595" s="3" t="e">
        <f ca="1">[1]!BexGetData("DP_1","003N8EMH8GTFRIVOG7KG9J9VY","GSON5135356011")</f>
        <v>#NAME?</v>
      </c>
      <c r="Q2595" s="4" t="e">
        <f ca="1">[1]!BexGetData("DP_1","00O2TNJGODT0G5Z4TTKYMM5MT","GSON5135356011")</f>
        <v>#NAME?</v>
      </c>
      <c r="R2595" s="4" t="e">
        <f ca="1">[1]!BexGetData("DP_1","00O2TNJGODT0G5Z4TTKYMMBYD","GSON5135356011")</f>
        <v>#NAME?</v>
      </c>
      <c r="S2595" s="4" t="e">
        <f ca="1">[1]!BexGetData("DP_1","00O2TNJGODT0G5Z4TTKYMMI9X","GSON5135356011")</f>
        <v>#NAME?</v>
      </c>
      <c r="T2595" s="4" t="e">
        <f ca="1">[1]!BexGetData("DP_1","00O2TNJGODT0G5Z4TTKYMMOLH","GSON5135356011")</f>
        <v>#NAME?</v>
      </c>
      <c r="U2595" s="4" t="e">
        <f ca="1">[1]!BexGetData("DP_1","00O2TNJGODT0G5Z4TTKYMMUX1","GSON5135356011")</f>
        <v>#NAME?</v>
      </c>
      <c r="V2595" s="4" t="e">
        <f ca="1">[1]!BexGetData("DP_1","00O2TNJGODT0G5Z4TTKYMN18L","GSON5135356011")</f>
        <v>#NAME?</v>
      </c>
      <c r="W2595" s="4" t="e">
        <f ca="1">[1]!BexGetData("DP_1","00O2TNJGODT0G5Z4TTKYMN7K5","GSON5135356011")</f>
        <v>#NAME?</v>
      </c>
    </row>
    <row r="2596" spans="1:23" x14ac:dyDescent="0.2">
      <c r="A2596" s="16" t="s">
        <v>5322</v>
      </c>
      <c r="B2596" s="7" t="s">
        <v>5333</v>
      </c>
      <c r="C2596" s="3" t="e">
        <f ca="1">[1]!BexGetData("DP_1","003N8EMH8GTFRCSWKMPXRR8GU","GSON5135357011")</f>
        <v>#NAME?</v>
      </c>
      <c r="D2596" s="3" t="e">
        <f ca="1">[1]!BexGetData("DP_1","003N8EMH8GTFRCSWKMPXRRESE","GSON5135357011")</f>
        <v>#NAME?</v>
      </c>
      <c r="E2596" s="3" t="e">
        <f ca="1">[1]!BexGetData("DP_1","003N8EMH8GTFRCSWKMPXRRL3Y","GSON5135357011")</f>
        <v>#NAME?</v>
      </c>
      <c r="F2596" s="4" t="e">
        <f ca="1">[1]!BexGetData("DP_1","003N8EMH8GTFRCSWKMPXRRRFI","GSON5135357011")</f>
        <v>#NAME?</v>
      </c>
      <c r="G2596" s="4" t="e">
        <f ca="1">[1]!BexGetData("DP_1","003N8EMH8GTFRCSWKMPXRRXR2","GSON5135357011")</f>
        <v>#NAME?</v>
      </c>
      <c r="H2596" s="4" t="e">
        <f ca="1">[1]!BexGetData("DP_1","003N8EMH8GTFRCSWKMPXRS42M","GSON5135357011")</f>
        <v>#NAME?</v>
      </c>
      <c r="I2596" s="4" t="e">
        <f ca="1">[1]!BexGetData("DP_1","003N8EMH8GTFRCSWKMPXRSAE6","GSON5135357011")</f>
        <v>#NAME?</v>
      </c>
      <c r="J2596" s="4" t="e">
        <f ca="1">[1]!BexGetData("DP_1","003N8EMH8GTFRCSWKMPXRSGPQ","GSON5135357011")</f>
        <v>#NAME?</v>
      </c>
      <c r="K2596" s="3" t="e">
        <f ca="1">[1]!BexGetData("DP_1","003N8EMH8GTFRIVNUPY288VJH","GSON5135357011")</f>
        <v>#NAME?</v>
      </c>
      <c r="L2596" s="3" t="e">
        <f ca="1">[1]!BexGetData("DP_1","003N8EMH8GTFRIVNUPY2891V1","GSON5135357011")</f>
        <v>#NAME?</v>
      </c>
      <c r="M2596" s="8" t="e">
        <f ca="1">[1]!BexGetData("DP_1","003N8EMH8GTFRIVOG7KG9IQXA","GSON5135357011")</f>
        <v>#NAME?</v>
      </c>
      <c r="N2596" s="3" t="e">
        <f ca="1">[1]!BexGetData("DP_1","003N8EMH8GTFRIVOG7KG9IX8U","GSON5135357011")</f>
        <v>#NAME?</v>
      </c>
      <c r="O2596" s="8" t="e">
        <f ca="1">[1]!BexGetData("DP_1","003N8EMH8GTFRIVOG7KG9J3KE","GSON5135357011")</f>
        <v>#NAME?</v>
      </c>
      <c r="P2596" s="3" t="e">
        <f ca="1">[1]!BexGetData("DP_1","003N8EMH8GTFRIVOG7KG9J9VY","GSON5135357011")</f>
        <v>#NAME?</v>
      </c>
      <c r="Q2596" s="4" t="e">
        <f ca="1">[1]!BexGetData("DP_1","00O2TNJGODT0G5Z4TTKYMM5MT","GSON5135357011")</f>
        <v>#NAME?</v>
      </c>
      <c r="R2596" s="4" t="e">
        <f ca="1">[1]!BexGetData("DP_1","00O2TNJGODT0G5Z4TTKYMMBYD","GSON5135357011")</f>
        <v>#NAME?</v>
      </c>
      <c r="S2596" s="4" t="e">
        <f ca="1">[1]!BexGetData("DP_1","00O2TNJGODT0G5Z4TTKYMMI9X","GSON5135357011")</f>
        <v>#NAME?</v>
      </c>
      <c r="T2596" s="4" t="e">
        <f ca="1">[1]!BexGetData("DP_1","00O2TNJGODT0G5Z4TTKYMMOLH","GSON5135357011")</f>
        <v>#NAME?</v>
      </c>
      <c r="U2596" s="4" t="e">
        <f ca="1">[1]!BexGetData("DP_1","00O2TNJGODT0G5Z4TTKYMMUX1","GSON5135357011")</f>
        <v>#NAME?</v>
      </c>
      <c r="V2596" s="4" t="e">
        <f ca="1">[1]!BexGetData("DP_1","00O2TNJGODT0G5Z4TTKYMN18L","GSON5135357011")</f>
        <v>#NAME?</v>
      </c>
      <c r="W2596" s="4" t="e">
        <f ca="1">[1]!BexGetData("DP_1","00O2TNJGODT0G5Z4TTKYMN7K5","GSON5135357011")</f>
        <v>#NAME?</v>
      </c>
    </row>
    <row r="2597" spans="1:23" x14ac:dyDescent="0.2">
      <c r="A2597" s="16" t="s">
        <v>5334</v>
      </c>
      <c r="B2597" s="7" t="s">
        <v>5335</v>
      </c>
      <c r="C2597" s="3" t="e">
        <f ca="1">[1]!BexGetData("DP_1","003N8EMH8GTFRCSWKMPXRR8GU","GSON5135358011")</f>
        <v>#NAME?</v>
      </c>
      <c r="D2597" s="3" t="e">
        <f ca="1">[1]!BexGetData("DP_1","003N8EMH8GTFRCSWKMPXRRESE","GSON5135358011")</f>
        <v>#NAME?</v>
      </c>
      <c r="E2597" s="3" t="e">
        <f ca="1">[1]!BexGetData("DP_1","003N8EMH8GTFRCSWKMPXRRL3Y","GSON5135358011")</f>
        <v>#NAME?</v>
      </c>
      <c r="F2597" s="4" t="e">
        <f ca="1">[1]!BexGetData("DP_1","003N8EMH8GTFRCSWKMPXRRRFI","GSON5135358011")</f>
        <v>#NAME?</v>
      </c>
      <c r="G2597" s="4" t="e">
        <f ca="1">[1]!BexGetData("DP_1","003N8EMH8GTFRCSWKMPXRRXR2","GSON5135358011")</f>
        <v>#NAME?</v>
      </c>
      <c r="H2597" s="4" t="e">
        <f ca="1">[1]!BexGetData("DP_1","003N8EMH8GTFRCSWKMPXRS42M","GSON5135358011")</f>
        <v>#NAME?</v>
      </c>
      <c r="I2597" s="4" t="e">
        <f ca="1">[1]!BexGetData("DP_1","003N8EMH8GTFRCSWKMPXRSAE6","GSON5135358011")</f>
        <v>#NAME?</v>
      </c>
      <c r="J2597" s="4" t="e">
        <f ca="1">[1]!BexGetData("DP_1","003N8EMH8GTFRCSWKMPXRSGPQ","GSON5135358011")</f>
        <v>#NAME?</v>
      </c>
      <c r="K2597" s="3" t="e">
        <f ca="1">[1]!BexGetData("DP_1","003N8EMH8GTFRIVNUPY288VJH","GSON5135358011")</f>
        <v>#NAME?</v>
      </c>
      <c r="L2597" s="3" t="e">
        <f ca="1">[1]!BexGetData("DP_1","003N8EMH8GTFRIVNUPY2891V1","GSON5135358011")</f>
        <v>#NAME?</v>
      </c>
      <c r="M2597" s="8" t="e">
        <f ca="1">[1]!BexGetData("DP_1","003N8EMH8GTFRIVOG7KG9IQXA","GSON5135358011")</f>
        <v>#NAME?</v>
      </c>
      <c r="N2597" s="3" t="e">
        <f ca="1">[1]!BexGetData("DP_1","003N8EMH8GTFRIVOG7KG9IX8U","GSON5135358011")</f>
        <v>#NAME?</v>
      </c>
      <c r="O2597" s="8" t="e">
        <f ca="1">[1]!BexGetData("DP_1","003N8EMH8GTFRIVOG7KG9J3KE","GSON5135358011")</f>
        <v>#NAME?</v>
      </c>
      <c r="P2597" s="3" t="e">
        <f ca="1">[1]!BexGetData("DP_1","003N8EMH8GTFRIVOG7KG9J9VY","GSON5135358011")</f>
        <v>#NAME?</v>
      </c>
      <c r="Q2597" s="4" t="e">
        <f ca="1">[1]!BexGetData("DP_1","00O2TNJGODT0G5Z4TTKYMM5MT","GSON5135358011")</f>
        <v>#NAME?</v>
      </c>
      <c r="R2597" s="4" t="e">
        <f ca="1">[1]!BexGetData("DP_1","00O2TNJGODT0G5Z4TTKYMMBYD","GSON5135358011")</f>
        <v>#NAME?</v>
      </c>
      <c r="S2597" s="4" t="e">
        <f ca="1">[1]!BexGetData("DP_1","00O2TNJGODT0G5Z4TTKYMMI9X","GSON5135358011")</f>
        <v>#NAME?</v>
      </c>
      <c r="T2597" s="4" t="e">
        <f ca="1">[1]!BexGetData("DP_1","00O2TNJGODT0G5Z4TTKYMMOLH","GSON5135358011")</f>
        <v>#NAME?</v>
      </c>
      <c r="U2597" s="4" t="e">
        <f ca="1">[1]!BexGetData("DP_1","00O2TNJGODT0G5Z4TTKYMMUX1","GSON5135358011")</f>
        <v>#NAME?</v>
      </c>
      <c r="V2597" s="4" t="e">
        <f ca="1">[1]!BexGetData("DP_1","00O2TNJGODT0G5Z4TTKYMN18L","GSON5135358011")</f>
        <v>#NAME?</v>
      </c>
      <c r="W2597" s="4" t="e">
        <f ca="1">[1]!BexGetData("DP_1","00O2TNJGODT0G5Z4TTKYMN7K5","GSON5135358011")</f>
        <v>#NAME?</v>
      </c>
    </row>
    <row r="2598" spans="1:23" x14ac:dyDescent="0.2">
      <c r="A2598" s="16" t="s">
        <v>5336</v>
      </c>
      <c r="B2598" s="7" t="s">
        <v>1573</v>
      </c>
      <c r="C2598" s="3" t="e">
        <f ca="1">[1]!BexGetData("DP_1","003N8EMH8GTFRCSWKMPXRR8GU","GSON5135359011")</f>
        <v>#NAME?</v>
      </c>
      <c r="D2598" s="3" t="e">
        <f ca="1">[1]!BexGetData("DP_1","003N8EMH8GTFRCSWKMPXRRESE","GSON5135359011")</f>
        <v>#NAME?</v>
      </c>
      <c r="E2598" s="3" t="e">
        <f ca="1">[1]!BexGetData("DP_1","003N8EMH8GTFRCSWKMPXRRL3Y","GSON5135359011")</f>
        <v>#NAME?</v>
      </c>
      <c r="F2598" s="4" t="e">
        <f ca="1">[1]!BexGetData("DP_1","003N8EMH8GTFRCSWKMPXRRRFI","GSON5135359011")</f>
        <v>#NAME?</v>
      </c>
      <c r="G2598" s="4" t="e">
        <f ca="1">[1]!BexGetData("DP_1","003N8EMH8GTFRCSWKMPXRRXR2","GSON5135359011")</f>
        <v>#NAME?</v>
      </c>
      <c r="H2598" s="4" t="e">
        <f ca="1">[1]!BexGetData("DP_1","003N8EMH8GTFRCSWKMPXRS42M","GSON5135359011")</f>
        <v>#NAME?</v>
      </c>
      <c r="I2598" s="4" t="e">
        <f ca="1">[1]!BexGetData("DP_1","003N8EMH8GTFRCSWKMPXRSAE6","GSON5135359011")</f>
        <v>#NAME?</v>
      </c>
      <c r="J2598" s="4" t="e">
        <f ca="1">[1]!BexGetData("DP_1","003N8EMH8GTFRCSWKMPXRSGPQ","GSON5135359011")</f>
        <v>#NAME?</v>
      </c>
      <c r="K2598" s="3" t="e">
        <f ca="1">[1]!BexGetData("DP_1","003N8EMH8GTFRIVNUPY288VJH","GSON5135359011")</f>
        <v>#NAME?</v>
      </c>
      <c r="L2598" s="3" t="e">
        <f ca="1">[1]!BexGetData("DP_1","003N8EMH8GTFRIVNUPY2891V1","GSON5135359011")</f>
        <v>#NAME?</v>
      </c>
      <c r="M2598" s="8" t="e">
        <f ca="1">[1]!BexGetData("DP_1","003N8EMH8GTFRIVOG7KG9IQXA","GSON5135359011")</f>
        <v>#NAME?</v>
      </c>
      <c r="N2598" s="3" t="e">
        <f ca="1">[1]!BexGetData("DP_1","003N8EMH8GTFRIVOG7KG9IX8U","GSON5135359011")</f>
        <v>#NAME?</v>
      </c>
      <c r="O2598" s="8" t="e">
        <f ca="1">[1]!BexGetData("DP_1","003N8EMH8GTFRIVOG7KG9J3KE","GSON5135359011")</f>
        <v>#NAME?</v>
      </c>
      <c r="P2598" s="3" t="e">
        <f ca="1">[1]!BexGetData("DP_1","003N8EMH8GTFRIVOG7KG9J9VY","GSON5135359011")</f>
        <v>#NAME?</v>
      </c>
      <c r="Q2598" s="4" t="e">
        <f ca="1">[1]!BexGetData("DP_1","00O2TNJGODT0G5Z4TTKYMM5MT","GSON5135359011")</f>
        <v>#NAME?</v>
      </c>
      <c r="R2598" s="4" t="e">
        <f ca="1">[1]!BexGetData("DP_1","00O2TNJGODT0G5Z4TTKYMMBYD","GSON5135359011")</f>
        <v>#NAME?</v>
      </c>
      <c r="S2598" s="4" t="e">
        <f ca="1">[1]!BexGetData("DP_1","00O2TNJGODT0G5Z4TTKYMMI9X","GSON5135359011")</f>
        <v>#NAME?</v>
      </c>
      <c r="T2598" s="4" t="e">
        <f ca="1">[1]!BexGetData("DP_1","00O2TNJGODT0G5Z4TTKYMMOLH","GSON5135359011")</f>
        <v>#NAME?</v>
      </c>
      <c r="U2598" s="4" t="e">
        <f ca="1">[1]!BexGetData("DP_1","00O2TNJGODT0G5Z4TTKYMMUX1","GSON5135359011")</f>
        <v>#NAME?</v>
      </c>
      <c r="V2598" s="4" t="e">
        <f ca="1">[1]!BexGetData("DP_1","00O2TNJGODT0G5Z4TTKYMN18L","GSON5135359011")</f>
        <v>#NAME?</v>
      </c>
      <c r="W2598" s="4" t="e">
        <f ca="1">[1]!BexGetData("DP_1","00O2TNJGODT0G5Z4TTKYMN7K5","GSON5135359011")</f>
        <v>#NAME?</v>
      </c>
    </row>
    <row r="2599" spans="1:23" x14ac:dyDescent="0.2">
      <c r="A2599" s="15" t="s">
        <v>5337</v>
      </c>
      <c r="B2599" s="7" t="s">
        <v>5338</v>
      </c>
      <c r="C2599" s="3" t="e">
        <f ca="1">[1]!BexGetData("DP_1","003N8EMH8GTFRCSWKMPXRR8GU","GSON5136")</f>
        <v>#NAME?</v>
      </c>
      <c r="D2599" s="3" t="e">
        <f ca="1">[1]!BexGetData("DP_1","003N8EMH8GTFRCSWKMPXRRESE","GSON5136")</f>
        <v>#NAME?</v>
      </c>
      <c r="E2599" s="3" t="e">
        <f ca="1">[1]!BexGetData("DP_1","003N8EMH8GTFRCSWKMPXRRL3Y","GSON5136")</f>
        <v>#NAME?</v>
      </c>
      <c r="F2599" s="4" t="e">
        <f ca="1">[1]!BexGetData("DP_1","003N8EMH8GTFRCSWKMPXRRRFI","GSON5136")</f>
        <v>#NAME?</v>
      </c>
      <c r="G2599" s="4" t="e">
        <f ca="1">[1]!BexGetData("DP_1","003N8EMH8GTFRCSWKMPXRRXR2","GSON5136")</f>
        <v>#NAME?</v>
      </c>
      <c r="H2599" s="4" t="e">
        <f ca="1">[1]!BexGetData("DP_1","003N8EMH8GTFRCSWKMPXRS42M","GSON5136")</f>
        <v>#NAME?</v>
      </c>
      <c r="I2599" s="4" t="e">
        <f ca="1">[1]!BexGetData("DP_1","003N8EMH8GTFRCSWKMPXRSAE6","GSON5136")</f>
        <v>#NAME?</v>
      </c>
      <c r="J2599" s="4" t="e">
        <f ca="1">[1]!BexGetData("DP_1","003N8EMH8GTFRCSWKMPXRSGPQ","GSON5136")</f>
        <v>#NAME?</v>
      </c>
      <c r="K2599" s="3" t="e">
        <f ca="1">[1]!BexGetData("DP_1","003N8EMH8GTFRIVNUPY288VJH","GSON5136")</f>
        <v>#NAME?</v>
      </c>
      <c r="L2599" s="3" t="e">
        <f ca="1">[1]!BexGetData("DP_1","003N8EMH8GTFRIVNUPY2891V1","GSON5136")</f>
        <v>#NAME?</v>
      </c>
      <c r="M2599" s="8" t="e">
        <f ca="1">[1]!BexGetData("DP_1","003N8EMH8GTFRIVOG7KG9IQXA","GSON5136")</f>
        <v>#NAME?</v>
      </c>
      <c r="N2599" s="3" t="e">
        <f ca="1">[1]!BexGetData("DP_1","003N8EMH8GTFRIVOG7KG9IX8U","GSON5136")</f>
        <v>#NAME?</v>
      </c>
      <c r="O2599" s="8" t="e">
        <f ca="1">[1]!BexGetData("DP_1","003N8EMH8GTFRIVOG7KG9J3KE","GSON5136")</f>
        <v>#NAME?</v>
      </c>
      <c r="P2599" s="3" t="e">
        <f ca="1">[1]!BexGetData("DP_1","003N8EMH8GTFRIVOG7KG9J9VY","GSON5136")</f>
        <v>#NAME?</v>
      </c>
      <c r="Q2599" s="4" t="e">
        <f ca="1">[1]!BexGetData("DP_1","00O2TNJGODT0G5Z4TTKYMM5MT","GSON5136")</f>
        <v>#NAME?</v>
      </c>
      <c r="R2599" s="4" t="e">
        <f ca="1">[1]!BexGetData("DP_1","00O2TNJGODT0G5Z4TTKYMMBYD","GSON5136")</f>
        <v>#NAME?</v>
      </c>
      <c r="S2599" s="4" t="e">
        <f ca="1">[1]!BexGetData("DP_1","00O2TNJGODT0G5Z4TTKYMMI9X","GSON5136")</f>
        <v>#NAME?</v>
      </c>
      <c r="T2599" s="4" t="e">
        <f ca="1">[1]!BexGetData("DP_1","00O2TNJGODT0G5Z4TTKYMMOLH","GSON5136")</f>
        <v>#NAME?</v>
      </c>
      <c r="U2599" s="4" t="e">
        <f ca="1">[1]!BexGetData("DP_1","00O2TNJGODT0G5Z4TTKYMMUX1","GSON5136")</f>
        <v>#NAME?</v>
      </c>
      <c r="V2599" s="4" t="e">
        <f ca="1">[1]!BexGetData("DP_1","00O2TNJGODT0G5Z4TTKYMN18L","GSON5136")</f>
        <v>#NAME?</v>
      </c>
      <c r="W2599" s="4" t="e">
        <f ca="1">[1]!BexGetData("DP_1","00O2TNJGODT0G5Z4TTKYMN7K5","GSON5136")</f>
        <v>#NAME?</v>
      </c>
    </row>
    <row r="2600" spans="1:23" x14ac:dyDescent="0.2">
      <c r="A2600" s="16" t="s">
        <v>5339</v>
      </c>
      <c r="B2600" s="7" t="s">
        <v>5340</v>
      </c>
      <c r="C2600" s="3" t="e">
        <f ca="1">[1]!BexGetData("DP_1","003N8EMH8GTFRCSWKMPXRR8GU","GSON5136361011")</f>
        <v>#NAME?</v>
      </c>
      <c r="D2600" s="3" t="e">
        <f ca="1">[1]!BexGetData("DP_1","003N8EMH8GTFRCSWKMPXRRESE","GSON5136361011")</f>
        <v>#NAME?</v>
      </c>
      <c r="E2600" s="3" t="e">
        <f ca="1">[1]!BexGetData("DP_1","003N8EMH8GTFRCSWKMPXRRL3Y","GSON5136361011")</f>
        <v>#NAME?</v>
      </c>
      <c r="F2600" s="4" t="e">
        <f ca="1">[1]!BexGetData("DP_1","003N8EMH8GTFRCSWKMPXRRRFI","GSON5136361011")</f>
        <v>#NAME?</v>
      </c>
      <c r="G2600" s="4" t="e">
        <f ca="1">[1]!BexGetData("DP_1","003N8EMH8GTFRCSWKMPXRRXR2","GSON5136361011")</f>
        <v>#NAME?</v>
      </c>
      <c r="H2600" s="4" t="e">
        <f ca="1">[1]!BexGetData("DP_1","003N8EMH8GTFRCSWKMPXRS42M","GSON5136361011")</f>
        <v>#NAME?</v>
      </c>
      <c r="I2600" s="4" t="e">
        <f ca="1">[1]!BexGetData("DP_1","003N8EMH8GTFRCSWKMPXRSAE6","GSON5136361011")</f>
        <v>#NAME?</v>
      </c>
      <c r="J2600" s="4" t="e">
        <f ca="1">[1]!BexGetData("DP_1","003N8EMH8GTFRCSWKMPXRSGPQ","GSON5136361011")</f>
        <v>#NAME?</v>
      </c>
      <c r="K2600" s="3" t="e">
        <f ca="1">[1]!BexGetData("DP_1","003N8EMH8GTFRIVNUPY288VJH","GSON5136361011")</f>
        <v>#NAME?</v>
      </c>
      <c r="L2600" s="3" t="e">
        <f ca="1">[1]!BexGetData("DP_1","003N8EMH8GTFRIVNUPY2891V1","GSON5136361011")</f>
        <v>#NAME?</v>
      </c>
      <c r="M2600" s="8" t="e">
        <f ca="1">[1]!BexGetData("DP_1","003N8EMH8GTFRIVOG7KG9IQXA","GSON5136361011")</f>
        <v>#NAME?</v>
      </c>
      <c r="N2600" s="3" t="e">
        <f ca="1">[1]!BexGetData("DP_1","003N8EMH8GTFRIVOG7KG9IX8U","GSON5136361011")</f>
        <v>#NAME?</v>
      </c>
      <c r="O2600" s="8" t="e">
        <f ca="1">[1]!BexGetData("DP_1","003N8EMH8GTFRIVOG7KG9J3KE","GSON5136361011")</f>
        <v>#NAME?</v>
      </c>
      <c r="P2600" s="3" t="e">
        <f ca="1">[1]!BexGetData("DP_1","003N8EMH8GTFRIVOG7KG9J9VY","GSON5136361011")</f>
        <v>#NAME?</v>
      </c>
      <c r="Q2600" s="4" t="e">
        <f ca="1">[1]!BexGetData("DP_1","00O2TNJGODT0G5Z4TTKYMM5MT","GSON5136361011")</f>
        <v>#NAME?</v>
      </c>
      <c r="R2600" s="4" t="e">
        <f ca="1">[1]!BexGetData("DP_1","00O2TNJGODT0G5Z4TTKYMMBYD","GSON5136361011")</f>
        <v>#NAME?</v>
      </c>
      <c r="S2600" s="4" t="e">
        <f ca="1">[1]!BexGetData("DP_1","00O2TNJGODT0G5Z4TTKYMMI9X","GSON5136361011")</f>
        <v>#NAME?</v>
      </c>
      <c r="T2600" s="4" t="e">
        <f ca="1">[1]!BexGetData("DP_1","00O2TNJGODT0G5Z4TTKYMMOLH","GSON5136361011")</f>
        <v>#NAME?</v>
      </c>
      <c r="U2600" s="4" t="e">
        <f ca="1">[1]!BexGetData("DP_1","00O2TNJGODT0G5Z4TTKYMMUX1","GSON5136361011")</f>
        <v>#NAME?</v>
      </c>
      <c r="V2600" s="4" t="e">
        <f ca="1">[1]!BexGetData("DP_1","00O2TNJGODT0G5Z4TTKYMN18L","GSON5136361011")</f>
        <v>#NAME?</v>
      </c>
      <c r="W2600" s="4" t="e">
        <f ca="1">[1]!BexGetData("DP_1","00O2TNJGODT0G5Z4TTKYMN7K5","GSON5136361011")</f>
        <v>#NAME?</v>
      </c>
    </row>
    <row r="2601" spans="1:23" x14ac:dyDescent="0.2">
      <c r="A2601" s="16" t="s">
        <v>5341</v>
      </c>
      <c r="B2601" s="7" t="s">
        <v>5342</v>
      </c>
      <c r="C2601" s="3" t="e">
        <f ca="1">[1]!BexGetData("DP_1","003N8EMH8GTFRCSWKMPXRR8GU","GSON5136363011")</f>
        <v>#NAME?</v>
      </c>
      <c r="D2601" s="3" t="e">
        <f ca="1">[1]!BexGetData("DP_1","003N8EMH8GTFRCSWKMPXRRESE","GSON5136363011")</f>
        <v>#NAME?</v>
      </c>
      <c r="E2601" s="3" t="e">
        <f ca="1">[1]!BexGetData("DP_1","003N8EMH8GTFRCSWKMPXRRL3Y","GSON5136363011")</f>
        <v>#NAME?</v>
      </c>
      <c r="F2601" s="4" t="e">
        <f ca="1">[1]!BexGetData("DP_1","003N8EMH8GTFRCSWKMPXRRRFI","GSON5136363011")</f>
        <v>#NAME?</v>
      </c>
      <c r="G2601" s="4" t="e">
        <f ca="1">[1]!BexGetData("DP_1","003N8EMH8GTFRCSWKMPXRRXR2","GSON5136363011")</f>
        <v>#NAME?</v>
      </c>
      <c r="H2601" s="4" t="e">
        <f ca="1">[1]!BexGetData("DP_1","003N8EMH8GTFRCSWKMPXRS42M","GSON5136363011")</f>
        <v>#NAME?</v>
      </c>
      <c r="I2601" s="4" t="e">
        <f ca="1">[1]!BexGetData("DP_1","003N8EMH8GTFRCSWKMPXRSAE6","GSON5136363011")</f>
        <v>#NAME?</v>
      </c>
      <c r="J2601" s="4" t="e">
        <f ca="1">[1]!BexGetData("DP_1","003N8EMH8GTFRCSWKMPXRSGPQ","GSON5136363011")</f>
        <v>#NAME?</v>
      </c>
      <c r="K2601" s="3" t="e">
        <f ca="1">[1]!BexGetData("DP_1","003N8EMH8GTFRIVNUPY288VJH","GSON5136363011")</f>
        <v>#NAME?</v>
      </c>
      <c r="L2601" s="3" t="e">
        <f ca="1">[1]!BexGetData("DP_1","003N8EMH8GTFRIVNUPY2891V1","GSON5136363011")</f>
        <v>#NAME?</v>
      </c>
      <c r="M2601" s="8" t="e">
        <f ca="1">[1]!BexGetData("DP_1","003N8EMH8GTFRIVOG7KG9IQXA","GSON5136363011")</f>
        <v>#NAME?</v>
      </c>
      <c r="N2601" s="3" t="e">
        <f ca="1">[1]!BexGetData("DP_1","003N8EMH8GTFRIVOG7KG9IX8U","GSON5136363011")</f>
        <v>#NAME?</v>
      </c>
      <c r="O2601" s="8" t="e">
        <f ca="1">[1]!BexGetData("DP_1","003N8EMH8GTFRIVOG7KG9J3KE","GSON5136363011")</f>
        <v>#NAME?</v>
      </c>
      <c r="P2601" s="3" t="e">
        <f ca="1">[1]!BexGetData("DP_1","003N8EMH8GTFRIVOG7KG9J9VY","GSON5136363011")</f>
        <v>#NAME?</v>
      </c>
      <c r="Q2601" s="4" t="e">
        <f ca="1">[1]!BexGetData("DP_1","00O2TNJGODT0G5Z4TTKYMM5MT","GSON5136363011")</f>
        <v>#NAME?</v>
      </c>
      <c r="R2601" s="4" t="e">
        <f ca="1">[1]!BexGetData("DP_1","00O2TNJGODT0G5Z4TTKYMMBYD","GSON5136363011")</f>
        <v>#NAME?</v>
      </c>
      <c r="S2601" s="4" t="e">
        <f ca="1">[1]!BexGetData("DP_1","00O2TNJGODT0G5Z4TTKYMMI9X","GSON5136363011")</f>
        <v>#NAME?</v>
      </c>
      <c r="T2601" s="4" t="e">
        <f ca="1">[1]!BexGetData("DP_1","00O2TNJGODT0G5Z4TTKYMMOLH","GSON5136363011")</f>
        <v>#NAME?</v>
      </c>
      <c r="U2601" s="4" t="e">
        <f ca="1">[1]!BexGetData("DP_1","00O2TNJGODT0G5Z4TTKYMMUX1","GSON5136363011")</f>
        <v>#NAME?</v>
      </c>
      <c r="V2601" s="4" t="e">
        <f ca="1">[1]!BexGetData("DP_1","00O2TNJGODT0G5Z4TTKYMN18L","GSON5136363011")</f>
        <v>#NAME?</v>
      </c>
      <c r="W2601" s="4" t="e">
        <f ca="1">[1]!BexGetData("DP_1","00O2TNJGODT0G5Z4TTKYMN7K5","GSON5136363011")</f>
        <v>#NAME?</v>
      </c>
    </row>
    <row r="2602" spans="1:23" x14ac:dyDescent="0.2">
      <c r="A2602" s="16" t="s">
        <v>5343</v>
      </c>
      <c r="B2602" s="7" t="s">
        <v>5344</v>
      </c>
      <c r="C2602" s="3" t="e">
        <f ca="1">[1]!BexGetData("DP_1","003N8EMH8GTFRCSWKMPXRR8GU","GSON5136364011")</f>
        <v>#NAME?</v>
      </c>
      <c r="D2602" s="8" t="e">
        <f ca="1">[1]!BexGetData("DP_1","003N8EMH8GTFRCSWKMPXRRESE","GSON5136364011")</f>
        <v>#NAME?</v>
      </c>
      <c r="E2602" s="3" t="e">
        <f ca="1">[1]!BexGetData("DP_1","003N8EMH8GTFRCSWKMPXRRL3Y","GSON5136364011")</f>
        <v>#NAME?</v>
      </c>
      <c r="F2602" s="4" t="e">
        <f ca="1">[1]!BexGetData("DP_1","003N8EMH8GTFRCSWKMPXRRRFI","GSON5136364011")</f>
        <v>#NAME?</v>
      </c>
      <c r="G2602" s="4" t="e">
        <f ca="1">[1]!BexGetData("DP_1","003N8EMH8GTFRCSWKMPXRRXR2","GSON5136364011")</f>
        <v>#NAME?</v>
      </c>
      <c r="H2602" s="4" t="e">
        <f ca="1">[1]!BexGetData("DP_1","003N8EMH8GTFRCSWKMPXRS42M","GSON5136364011")</f>
        <v>#NAME?</v>
      </c>
      <c r="I2602" s="4" t="e">
        <f ca="1">[1]!BexGetData("DP_1","003N8EMH8GTFRCSWKMPXRSAE6","GSON5136364011")</f>
        <v>#NAME?</v>
      </c>
      <c r="J2602" s="4" t="e">
        <f ca="1">[1]!BexGetData("DP_1","003N8EMH8GTFRCSWKMPXRSGPQ","GSON5136364011")</f>
        <v>#NAME?</v>
      </c>
      <c r="K2602" s="3" t="e">
        <f ca="1">[1]!BexGetData("DP_1","003N8EMH8GTFRIVNUPY288VJH","GSON5136364011")</f>
        <v>#NAME?</v>
      </c>
      <c r="L2602" s="3" t="e">
        <f ca="1">[1]!BexGetData("DP_1","003N8EMH8GTFRIVNUPY2891V1","GSON5136364011")</f>
        <v>#NAME?</v>
      </c>
      <c r="M2602" s="8" t="e">
        <f ca="1">[1]!BexGetData("DP_1","003N8EMH8GTFRIVOG7KG9IQXA","GSON5136364011")</f>
        <v>#NAME?</v>
      </c>
      <c r="N2602" s="3" t="e">
        <f ca="1">[1]!BexGetData("DP_1","003N8EMH8GTFRIVOG7KG9IX8U","GSON5136364011")</f>
        <v>#NAME?</v>
      </c>
      <c r="O2602" s="8" t="e">
        <f ca="1">[1]!BexGetData("DP_1","003N8EMH8GTFRIVOG7KG9J3KE","GSON5136364011")</f>
        <v>#NAME?</v>
      </c>
      <c r="P2602" s="3" t="e">
        <f ca="1">[1]!BexGetData("DP_1","003N8EMH8GTFRIVOG7KG9J9VY","GSON5136364011")</f>
        <v>#NAME?</v>
      </c>
      <c r="Q2602" s="4" t="e">
        <f ca="1">[1]!BexGetData("DP_1","00O2TNJGODT0G5Z4TTKYMM5MT","GSON5136364011")</f>
        <v>#NAME?</v>
      </c>
      <c r="R2602" s="4" t="e">
        <f ca="1">[1]!BexGetData("DP_1","00O2TNJGODT0G5Z4TTKYMMBYD","GSON5136364011")</f>
        <v>#NAME?</v>
      </c>
      <c r="S2602" s="4" t="e">
        <f ca="1">[1]!BexGetData("DP_1","00O2TNJGODT0G5Z4TTKYMMI9X","GSON5136364011")</f>
        <v>#NAME?</v>
      </c>
      <c r="T2602" s="4" t="e">
        <f ca="1">[1]!BexGetData("DP_1","00O2TNJGODT0G5Z4TTKYMMOLH","GSON5136364011")</f>
        <v>#NAME?</v>
      </c>
      <c r="U2602" s="4" t="e">
        <f ca="1">[1]!BexGetData("DP_1","00O2TNJGODT0G5Z4TTKYMMUX1","GSON5136364011")</f>
        <v>#NAME?</v>
      </c>
      <c r="V2602" s="4" t="e">
        <f ca="1">[1]!BexGetData("DP_1","00O2TNJGODT0G5Z4TTKYMN18L","GSON5136364011")</f>
        <v>#NAME?</v>
      </c>
      <c r="W2602" s="4" t="e">
        <f ca="1">[1]!BexGetData("DP_1","00O2TNJGODT0G5Z4TTKYMN7K5","GSON5136364011")</f>
        <v>#NAME?</v>
      </c>
    </row>
    <row r="2603" spans="1:23" x14ac:dyDescent="0.2">
      <c r="A2603" s="16" t="s">
        <v>5345</v>
      </c>
      <c r="B2603" s="7" t="s">
        <v>5346</v>
      </c>
      <c r="C2603" s="3" t="e">
        <f ca="1">[1]!BexGetData("DP_1","003N8EMH8GTFRCSWKMPXRR8GU","GSON5136366011")</f>
        <v>#NAME?</v>
      </c>
      <c r="D2603" s="3" t="e">
        <f ca="1">[1]!BexGetData("DP_1","003N8EMH8GTFRCSWKMPXRRESE","GSON5136366011")</f>
        <v>#NAME?</v>
      </c>
      <c r="E2603" s="3" t="e">
        <f ca="1">[1]!BexGetData("DP_1","003N8EMH8GTFRCSWKMPXRRL3Y","GSON5136366011")</f>
        <v>#NAME?</v>
      </c>
      <c r="F2603" s="4" t="e">
        <f ca="1">[1]!BexGetData("DP_1","003N8EMH8GTFRCSWKMPXRRRFI","GSON5136366011")</f>
        <v>#NAME?</v>
      </c>
      <c r="G2603" s="4" t="e">
        <f ca="1">[1]!BexGetData("DP_1","003N8EMH8GTFRCSWKMPXRRXR2","GSON5136366011")</f>
        <v>#NAME?</v>
      </c>
      <c r="H2603" s="4" t="e">
        <f ca="1">[1]!BexGetData("DP_1","003N8EMH8GTFRCSWKMPXRS42M","GSON5136366011")</f>
        <v>#NAME?</v>
      </c>
      <c r="I2603" s="4" t="e">
        <f ca="1">[1]!BexGetData("DP_1","003N8EMH8GTFRCSWKMPXRSAE6","GSON5136366011")</f>
        <v>#NAME?</v>
      </c>
      <c r="J2603" s="4" t="e">
        <f ca="1">[1]!BexGetData("DP_1","003N8EMH8GTFRCSWKMPXRSGPQ","GSON5136366011")</f>
        <v>#NAME?</v>
      </c>
      <c r="K2603" s="3" t="e">
        <f ca="1">[1]!BexGetData("DP_1","003N8EMH8GTFRIVNUPY288VJH","GSON5136366011")</f>
        <v>#NAME?</v>
      </c>
      <c r="L2603" s="3" t="e">
        <f ca="1">[1]!BexGetData("DP_1","003N8EMH8GTFRIVNUPY2891V1","GSON5136366011")</f>
        <v>#NAME?</v>
      </c>
      <c r="M2603" s="8" t="e">
        <f ca="1">[1]!BexGetData("DP_1","003N8EMH8GTFRIVOG7KG9IQXA","GSON5136366011")</f>
        <v>#NAME?</v>
      </c>
      <c r="N2603" s="3" t="e">
        <f ca="1">[1]!BexGetData("DP_1","003N8EMH8GTFRIVOG7KG9IX8U","GSON5136366011")</f>
        <v>#NAME?</v>
      </c>
      <c r="O2603" s="8" t="e">
        <f ca="1">[1]!BexGetData("DP_1","003N8EMH8GTFRIVOG7KG9J3KE","GSON5136366011")</f>
        <v>#NAME?</v>
      </c>
      <c r="P2603" s="3" t="e">
        <f ca="1">[1]!BexGetData("DP_1","003N8EMH8GTFRIVOG7KG9J9VY","GSON5136366011")</f>
        <v>#NAME?</v>
      </c>
      <c r="Q2603" s="4" t="e">
        <f ca="1">[1]!BexGetData("DP_1","00O2TNJGODT0G5Z4TTKYMM5MT","GSON5136366011")</f>
        <v>#NAME?</v>
      </c>
      <c r="R2603" s="4" t="e">
        <f ca="1">[1]!BexGetData("DP_1","00O2TNJGODT0G5Z4TTKYMMBYD","GSON5136366011")</f>
        <v>#NAME?</v>
      </c>
      <c r="S2603" s="4" t="e">
        <f ca="1">[1]!BexGetData("DP_1","00O2TNJGODT0G5Z4TTKYMMI9X","GSON5136366011")</f>
        <v>#NAME?</v>
      </c>
      <c r="T2603" s="4" t="e">
        <f ca="1">[1]!BexGetData("DP_1","00O2TNJGODT0G5Z4TTKYMMOLH","GSON5136366011")</f>
        <v>#NAME?</v>
      </c>
      <c r="U2603" s="4" t="e">
        <f ca="1">[1]!BexGetData("DP_1","00O2TNJGODT0G5Z4TTKYMMUX1","GSON5136366011")</f>
        <v>#NAME?</v>
      </c>
      <c r="V2603" s="4" t="e">
        <f ca="1">[1]!BexGetData("DP_1","00O2TNJGODT0G5Z4TTKYMN18L","GSON5136366011")</f>
        <v>#NAME?</v>
      </c>
      <c r="W2603" s="4" t="e">
        <f ca="1">[1]!BexGetData("DP_1","00O2TNJGODT0G5Z4TTKYMN7K5","GSON5136366011")</f>
        <v>#NAME?</v>
      </c>
    </row>
    <row r="2604" spans="1:23" x14ac:dyDescent="0.2">
      <c r="A2604" s="16" t="s">
        <v>5347</v>
      </c>
      <c r="B2604" s="7" t="s">
        <v>5348</v>
      </c>
      <c r="C2604" s="3" t="e">
        <f ca="1">[1]!BexGetData("DP_1","003N8EMH8GTFRCSWKMPXRR8GU","GSON5136369011")</f>
        <v>#NAME?</v>
      </c>
      <c r="D2604" s="3" t="e">
        <f ca="1">[1]!BexGetData("DP_1","003N8EMH8GTFRCSWKMPXRRESE","GSON5136369011")</f>
        <v>#NAME?</v>
      </c>
      <c r="E2604" s="3" t="e">
        <f ca="1">[1]!BexGetData("DP_1","003N8EMH8GTFRCSWKMPXRRL3Y","GSON5136369011")</f>
        <v>#NAME?</v>
      </c>
      <c r="F2604" s="4" t="e">
        <f ca="1">[1]!BexGetData("DP_1","003N8EMH8GTFRCSWKMPXRRRFI","GSON5136369011")</f>
        <v>#NAME?</v>
      </c>
      <c r="G2604" s="4" t="e">
        <f ca="1">[1]!BexGetData("DP_1","003N8EMH8GTFRCSWKMPXRRXR2","GSON5136369011")</f>
        <v>#NAME?</v>
      </c>
      <c r="H2604" s="4" t="e">
        <f ca="1">[1]!BexGetData("DP_1","003N8EMH8GTFRCSWKMPXRS42M","GSON5136369011")</f>
        <v>#NAME?</v>
      </c>
      <c r="I2604" s="4" t="e">
        <f ca="1">[1]!BexGetData("DP_1","003N8EMH8GTFRCSWKMPXRSAE6","GSON5136369011")</f>
        <v>#NAME?</v>
      </c>
      <c r="J2604" s="4" t="e">
        <f ca="1">[1]!BexGetData("DP_1","003N8EMH8GTFRCSWKMPXRSGPQ","GSON5136369011")</f>
        <v>#NAME?</v>
      </c>
      <c r="K2604" s="3" t="e">
        <f ca="1">[1]!BexGetData("DP_1","003N8EMH8GTFRIVNUPY288VJH","GSON5136369011")</f>
        <v>#NAME?</v>
      </c>
      <c r="L2604" s="3" t="e">
        <f ca="1">[1]!BexGetData("DP_1","003N8EMH8GTFRIVNUPY2891V1","GSON5136369011")</f>
        <v>#NAME?</v>
      </c>
      <c r="M2604" s="8" t="e">
        <f ca="1">[1]!BexGetData("DP_1","003N8EMH8GTFRIVOG7KG9IQXA","GSON5136369011")</f>
        <v>#NAME?</v>
      </c>
      <c r="N2604" s="3" t="e">
        <f ca="1">[1]!BexGetData("DP_1","003N8EMH8GTFRIVOG7KG9IX8U","GSON5136369011")</f>
        <v>#NAME?</v>
      </c>
      <c r="O2604" s="8" t="e">
        <f ca="1">[1]!BexGetData("DP_1","003N8EMH8GTFRIVOG7KG9J3KE","GSON5136369011")</f>
        <v>#NAME?</v>
      </c>
      <c r="P2604" s="3" t="e">
        <f ca="1">[1]!BexGetData("DP_1","003N8EMH8GTFRIVOG7KG9J9VY","GSON5136369011")</f>
        <v>#NAME?</v>
      </c>
      <c r="Q2604" s="4" t="e">
        <f ca="1">[1]!BexGetData("DP_1","00O2TNJGODT0G5Z4TTKYMM5MT","GSON5136369011")</f>
        <v>#NAME?</v>
      </c>
      <c r="R2604" s="4" t="e">
        <f ca="1">[1]!BexGetData("DP_1","00O2TNJGODT0G5Z4TTKYMMBYD","GSON5136369011")</f>
        <v>#NAME?</v>
      </c>
      <c r="S2604" s="4" t="e">
        <f ca="1">[1]!BexGetData("DP_1","00O2TNJGODT0G5Z4TTKYMMI9X","GSON5136369011")</f>
        <v>#NAME?</v>
      </c>
      <c r="T2604" s="4" t="e">
        <f ca="1">[1]!BexGetData("DP_1","00O2TNJGODT0G5Z4TTKYMMOLH","GSON5136369011")</f>
        <v>#NAME?</v>
      </c>
      <c r="U2604" s="4" t="e">
        <f ca="1">[1]!BexGetData("DP_1","00O2TNJGODT0G5Z4TTKYMMUX1","GSON5136369011")</f>
        <v>#NAME?</v>
      </c>
      <c r="V2604" s="4" t="e">
        <f ca="1">[1]!BexGetData("DP_1","00O2TNJGODT0G5Z4TTKYMN18L","GSON5136369011")</f>
        <v>#NAME?</v>
      </c>
      <c r="W2604" s="4" t="e">
        <f ca="1">[1]!BexGetData("DP_1","00O2TNJGODT0G5Z4TTKYMN7K5","GSON5136369011")</f>
        <v>#NAME?</v>
      </c>
    </row>
    <row r="2605" spans="1:23" x14ac:dyDescent="0.2">
      <c r="A2605" s="15" t="s">
        <v>401</v>
      </c>
      <c r="B2605" s="7" t="s">
        <v>402</v>
      </c>
      <c r="C2605" s="3" t="e">
        <f ca="1">[1]!BexGetData("DP_1","003N8EMH8GTFRCSWKMPXRR8GU","GSON5137")</f>
        <v>#NAME?</v>
      </c>
      <c r="D2605" s="3" t="e">
        <f ca="1">[1]!BexGetData("DP_1","003N8EMH8GTFRCSWKMPXRRESE","GSON5137")</f>
        <v>#NAME?</v>
      </c>
      <c r="E2605" s="3" t="e">
        <f ca="1">[1]!BexGetData("DP_1","003N8EMH8GTFRCSWKMPXRRL3Y","GSON5137")</f>
        <v>#NAME?</v>
      </c>
      <c r="F2605" s="4" t="e">
        <f ca="1">[1]!BexGetData("DP_1","003N8EMH8GTFRCSWKMPXRRRFI","GSON5137")</f>
        <v>#NAME?</v>
      </c>
      <c r="G2605" s="4" t="e">
        <f ca="1">[1]!BexGetData("DP_1","003N8EMH8GTFRCSWKMPXRRXR2","GSON5137")</f>
        <v>#NAME?</v>
      </c>
      <c r="H2605" s="4" t="e">
        <f ca="1">[1]!BexGetData("DP_1","003N8EMH8GTFRCSWKMPXRS42M","GSON5137")</f>
        <v>#NAME?</v>
      </c>
      <c r="I2605" s="4" t="e">
        <f ca="1">[1]!BexGetData("DP_1","003N8EMH8GTFRCSWKMPXRSAE6","GSON5137")</f>
        <v>#NAME?</v>
      </c>
      <c r="J2605" s="4" t="e">
        <f ca="1">[1]!BexGetData("DP_1","003N8EMH8GTFRCSWKMPXRSGPQ","GSON5137")</f>
        <v>#NAME?</v>
      </c>
      <c r="K2605" s="3" t="e">
        <f ca="1">[1]!BexGetData("DP_1","003N8EMH8GTFRIVNUPY288VJH","GSON5137")</f>
        <v>#NAME?</v>
      </c>
      <c r="L2605" s="3" t="e">
        <f ca="1">[1]!BexGetData("DP_1","003N8EMH8GTFRIVNUPY2891V1","GSON5137")</f>
        <v>#NAME?</v>
      </c>
      <c r="M2605" s="8" t="e">
        <f ca="1">[1]!BexGetData("DP_1","003N8EMH8GTFRIVOG7KG9IQXA","GSON5137")</f>
        <v>#NAME?</v>
      </c>
      <c r="N2605" s="3" t="e">
        <f ca="1">[1]!BexGetData("DP_1","003N8EMH8GTFRIVOG7KG9IX8U","GSON5137")</f>
        <v>#NAME?</v>
      </c>
      <c r="O2605" s="8" t="e">
        <f ca="1">[1]!BexGetData("DP_1","003N8EMH8GTFRIVOG7KG9J3KE","GSON5137")</f>
        <v>#NAME?</v>
      </c>
      <c r="P2605" s="3" t="e">
        <f ca="1">[1]!BexGetData("DP_1","003N8EMH8GTFRIVOG7KG9J9VY","GSON5137")</f>
        <v>#NAME?</v>
      </c>
      <c r="Q2605" s="4" t="e">
        <f ca="1">[1]!BexGetData("DP_1","00O2TNJGODT0G5Z4TTKYMM5MT","GSON5137")</f>
        <v>#NAME?</v>
      </c>
      <c r="R2605" s="4" t="e">
        <f ca="1">[1]!BexGetData("DP_1","00O2TNJGODT0G5Z4TTKYMMBYD","GSON5137")</f>
        <v>#NAME?</v>
      </c>
      <c r="S2605" s="4" t="e">
        <f ca="1">[1]!BexGetData("DP_1","00O2TNJGODT0G5Z4TTKYMMI9X","GSON5137")</f>
        <v>#NAME?</v>
      </c>
      <c r="T2605" s="4" t="e">
        <f ca="1">[1]!BexGetData("DP_1","00O2TNJGODT0G5Z4TTKYMMOLH","GSON5137")</f>
        <v>#NAME?</v>
      </c>
      <c r="U2605" s="4" t="e">
        <f ca="1">[1]!BexGetData("DP_1","00O2TNJGODT0G5Z4TTKYMMUX1","GSON5137")</f>
        <v>#NAME?</v>
      </c>
      <c r="V2605" s="4" t="e">
        <f ca="1">[1]!BexGetData("DP_1","00O2TNJGODT0G5Z4TTKYMN18L","GSON5137")</f>
        <v>#NAME?</v>
      </c>
      <c r="W2605" s="4" t="e">
        <f ca="1">[1]!BexGetData("DP_1","00O2TNJGODT0G5Z4TTKYMN7K5","GSON5137")</f>
        <v>#NAME?</v>
      </c>
    </row>
    <row r="2606" spans="1:23" x14ac:dyDescent="0.2">
      <c r="A2606" s="16" t="s">
        <v>5349</v>
      </c>
      <c r="B2606" s="7" t="s">
        <v>1574</v>
      </c>
      <c r="C2606" s="3" t="e">
        <f ca="1">[1]!BexGetData("DP_1","003N8EMH8GTFRCSWKMPXRR8GU","GSON5137371011")</f>
        <v>#NAME?</v>
      </c>
      <c r="D2606" s="3" t="e">
        <f ca="1">[1]!BexGetData("DP_1","003N8EMH8GTFRCSWKMPXRRESE","GSON5137371011")</f>
        <v>#NAME?</v>
      </c>
      <c r="E2606" s="3" t="e">
        <f ca="1">[1]!BexGetData("DP_1","003N8EMH8GTFRCSWKMPXRRL3Y","GSON5137371011")</f>
        <v>#NAME?</v>
      </c>
      <c r="F2606" s="4" t="e">
        <f ca="1">[1]!BexGetData("DP_1","003N8EMH8GTFRCSWKMPXRRRFI","GSON5137371011")</f>
        <v>#NAME?</v>
      </c>
      <c r="G2606" s="4" t="e">
        <f ca="1">[1]!BexGetData("DP_1","003N8EMH8GTFRCSWKMPXRRXR2","GSON5137371011")</f>
        <v>#NAME?</v>
      </c>
      <c r="H2606" s="4" t="e">
        <f ca="1">[1]!BexGetData("DP_1","003N8EMH8GTFRCSWKMPXRS42M","GSON5137371011")</f>
        <v>#NAME?</v>
      </c>
      <c r="I2606" s="4" t="e">
        <f ca="1">[1]!BexGetData("DP_1","003N8EMH8GTFRCSWKMPXRSAE6","GSON5137371011")</f>
        <v>#NAME?</v>
      </c>
      <c r="J2606" s="4" t="e">
        <f ca="1">[1]!BexGetData("DP_1","003N8EMH8GTFRCSWKMPXRSGPQ","GSON5137371011")</f>
        <v>#NAME?</v>
      </c>
      <c r="K2606" s="3" t="e">
        <f ca="1">[1]!BexGetData("DP_1","003N8EMH8GTFRIVNUPY288VJH","GSON5137371011")</f>
        <v>#NAME?</v>
      </c>
      <c r="L2606" s="3" t="e">
        <f ca="1">[1]!BexGetData("DP_1","003N8EMH8GTFRIVNUPY2891V1","GSON5137371011")</f>
        <v>#NAME?</v>
      </c>
      <c r="M2606" s="8" t="e">
        <f ca="1">[1]!BexGetData("DP_1","003N8EMH8GTFRIVOG7KG9IQXA","GSON5137371011")</f>
        <v>#NAME?</v>
      </c>
      <c r="N2606" s="3" t="e">
        <f ca="1">[1]!BexGetData("DP_1","003N8EMH8GTFRIVOG7KG9IX8U","GSON5137371011")</f>
        <v>#NAME?</v>
      </c>
      <c r="O2606" s="8" t="e">
        <f ca="1">[1]!BexGetData("DP_1","003N8EMH8GTFRIVOG7KG9J3KE","GSON5137371011")</f>
        <v>#NAME?</v>
      </c>
      <c r="P2606" s="3" t="e">
        <f ca="1">[1]!BexGetData("DP_1","003N8EMH8GTFRIVOG7KG9J9VY","GSON5137371011")</f>
        <v>#NAME?</v>
      </c>
      <c r="Q2606" s="4" t="e">
        <f ca="1">[1]!BexGetData("DP_1","00O2TNJGODT0G5Z4TTKYMM5MT","GSON5137371011")</f>
        <v>#NAME?</v>
      </c>
      <c r="R2606" s="4" t="e">
        <f ca="1">[1]!BexGetData("DP_1","00O2TNJGODT0G5Z4TTKYMMBYD","GSON5137371011")</f>
        <v>#NAME?</v>
      </c>
      <c r="S2606" s="4" t="e">
        <f ca="1">[1]!BexGetData("DP_1","00O2TNJGODT0G5Z4TTKYMMI9X","GSON5137371011")</f>
        <v>#NAME?</v>
      </c>
      <c r="T2606" s="4" t="e">
        <f ca="1">[1]!BexGetData("DP_1","00O2TNJGODT0G5Z4TTKYMMOLH","GSON5137371011")</f>
        <v>#NAME?</v>
      </c>
      <c r="U2606" s="4" t="e">
        <f ca="1">[1]!BexGetData("DP_1","00O2TNJGODT0G5Z4TTKYMMUX1","GSON5137371011")</f>
        <v>#NAME?</v>
      </c>
      <c r="V2606" s="4" t="e">
        <f ca="1">[1]!BexGetData("DP_1","00O2TNJGODT0G5Z4TTKYMN18L","GSON5137371011")</f>
        <v>#NAME?</v>
      </c>
      <c r="W2606" s="4" t="e">
        <f ca="1">[1]!BexGetData("DP_1","00O2TNJGODT0G5Z4TTKYMN7K5","GSON5137371011")</f>
        <v>#NAME?</v>
      </c>
    </row>
    <row r="2607" spans="1:23" x14ac:dyDescent="0.2">
      <c r="A2607" s="16" t="s">
        <v>5350</v>
      </c>
      <c r="B2607" s="7" t="s">
        <v>5351</v>
      </c>
      <c r="C2607" s="3" t="e">
        <f ca="1">[1]!BexGetData("DP_1","003N8EMH8GTFRCSWKMPXRR8GU","GSON5137372011")</f>
        <v>#NAME?</v>
      </c>
      <c r="D2607" s="8" t="e">
        <f ca="1">[1]!BexGetData("DP_1","003N8EMH8GTFRCSWKMPXRRESE","GSON5137372011")</f>
        <v>#NAME?</v>
      </c>
      <c r="E2607" s="3" t="e">
        <f ca="1">[1]!BexGetData("DP_1","003N8EMH8GTFRCSWKMPXRRL3Y","GSON5137372011")</f>
        <v>#NAME?</v>
      </c>
      <c r="F2607" s="4" t="e">
        <f ca="1">[1]!BexGetData("DP_1","003N8EMH8GTFRCSWKMPXRRRFI","GSON5137372011")</f>
        <v>#NAME?</v>
      </c>
      <c r="G2607" s="4" t="e">
        <f ca="1">[1]!BexGetData("DP_1","003N8EMH8GTFRCSWKMPXRRXR2","GSON5137372011")</f>
        <v>#NAME?</v>
      </c>
      <c r="H2607" s="4" t="e">
        <f ca="1">[1]!BexGetData("DP_1","003N8EMH8GTFRCSWKMPXRS42M","GSON5137372011")</f>
        <v>#NAME?</v>
      </c>
      <c r="I2607" s="4" t="e">
        <f ca="1">[1]!BexGetData("DP_1","003N8EMH8GTFRCSWKMPXRSAE6","GSON5137372011")</f>
        <v>#NAME?</v>
      </c>
      <c r="J2607" s="4" t="e">
        <f ca="1">[1]!BexGetData("DP_1","003N8EMH8GTFRCSWKMPXRSGPQ","GSON5137372011")</f>
        <v>#NAME?</v>
      </c>
      <c r="K2607" s="3" t="e">
        <f ca="1">[1]!BexGetData("DP_1","003N8EMH8GTFRIVNUPY288VJH","GSON5137372011")</f>
        <v>#NAME?</v>
      </c>
      <c r="L2607" s="3" t="e">
        <f ca="1">[1]!BexGetData("DP_1","003N8EMH8GTFRIVNUPY2891V1","GSON5137372011")</f>
        <v>#NAME?</v>
      </c>
      <c r="M2607" s="8" t="e">
        <f ca="1">[1]!BexGetData("DP_1","003N8EMH8GTFRIVOG7KG9IQXA","GSON5137372011")</f>
        <v>#NAME?</v>
      </c>
      <c r="N2607" s="3" t="e">
        <f ca="1">[1]!BexGetData("DP_1","003N8EMH8GTFRIVOG7KG9IX8U","GSON5137372011")</f>
        <v>#NAME?</v>
      </c>
      <c r="O2607" s="8" t="e">
        <f ca="1">[1]!BexGetData("DP_1","003N8EMH8GTFRIVOG7KG9J3KE","GSON5137372011")</f>
        <v>#NAME?</v>
      </c>
      <c r="P2607" s="3" t="e">
        <f ca="1">[1]!BexGetData("DP_1","003N8EMH8GTFRIVOG7KG9J9VY","GSON5137372011")</f>
        <v>#NAME?</v>
      </c>
      <c r="Q2607" s="4" t="e">
        <f ca="1">[1]!BexGetData("DP_1","00O2TNJGODT0G5Z4TTKYMM5MT","GSON5137372011")</f>
        <v>#NAME?</v>
      </c>
      <c r="R2607" s="4" t="e">
        <f ca="1">[1]!BexGetData("DP_1","00O2TNJGODT0G5Z4TTKYMMBYD","GSON5137372011")</f>
        <v>#NAME?</v>
      </c>
      <c r="S2607" s="4" t="e">
        <f ca="1">[1]!BexGetData("DP_1","00O2TNJGODT0G5Z4TTKYMMI9X","GSON5137372011")</f>
        <v>#NAME?</v>
      </c>
      <c r="T2607" s="4" t="e">
        <f ca="1">[1]!BexGetData("DP_1","00O2TNJGODT0G5Z4TTKYMMOLH","GSON5137372011")</f>
        <v>#NAME?</v>
      </c>
      <c r="U2607" s="4" t="e">
        <f ca="1">[1]!BexGetData("DP_1","00O2TNJGODT0G5Z4TTKYMMUX1","GSON5137372011")</f>
        <v>#NAME?</v>
      </c>
      <c r="V2607" s="4" t="e">
        <f ca="1">[1]!BexGetData("DP_1","00O2TNJGODT0G5Z4TTKYMN18L","GSON5137372011")</f>
        <v>#NAME?</v>
      </c>
      <c r="W2607" s="4" t="e">
        <f ca="1">[1]!BexGetData("DP_1","00O2TNJGODT0G5Z4TTKYMN7K5","GSON5137372011")</f>
        <v>#NAME?</v>
      </c>
    </row>
    <row r="2608" spans="1:23" x14ac:dyDescent="0.2">
      <c r="A2608" s="16" t="s">
        <v>5352</v>
      </c>
      <c r="B2608" s="7" t="s">
        <v>1709</v>
      </c>
      <c r="C2608" s="3" t="e">
        <f ca="1">[1]!BexGetData("DP_1","003N8EMH8GTFRCSWKMPXRR8GU","GSON5137375011")</f>
        <v>#NAME?</v>
      </c>
      <c r="D2608" s="3" t="e">
        <f ca="1">[1]!BexGetData("DP_1","003N8EMH8GTFRCSWKMPXRRESE","GSON5137375011")</f>
        <v>#NAME?</v>
      </c>
      <c r="E2608" s="3" t="e">
        <f ca="1">[1]!BexGetData("DP_1","003N8EMH8GTFRCSWKMPXRRL3Y","GSON5137375011")</f>
        <v>#NAME?</v>
      </c>
      <c r="F2608" s="4" t="e">
        <f ca="1">[1]!BexGetData("DP_1","003N8EMH8GTFRCSWKMPXRRRFI","GSON5137375011")</f>
        <v>#NAME?</v>
      </c>
      <c r="G2608" s="4" t="e">
        <f ca="1">[1]!BexGetData("DP_1","003N8EMH8GTFRCSWKMPXRRXR2","GSON5137375011")</f>
        <v>#NAME?</v>
      </c>
      <c r="H2608" s="4" t="e">
        <f ca="1">[1]!BexGetData("DP_1","003N8EMH8GTFRCSWKMPXRS42M","GSON5137375011")</f>
        <v>#NAME?</v>
      </c>
      <c r="I2608" s="4" t="e">
        <f ca="1">[1]!BexGetData("DP_1","003N8EMH8GTFRCSWKMPXRSAE6","GSON5137375011")</f>
        <v>#NAME?</v>
      </c>
      <c r="J2608" s="4" t="e">
        <f ca="1">[1]!BexGetData("DP_1","003N8EMH8GTFRCSWKMPXRSGPQ","GSON5137375011")</f>
        <v>#NAME?</v>
      </c>
      <c r="K2608" s="3" t="e">
        <f ca="1">[1]!BexGetData("DP_1","003N8EMH8GTFRIVNUPY288VJH","GSON5137375011")</f>
        <v>#NAME?</v>
      </c>
      <c r="L2608" s="3" t="e">
        <f ca="1">[1]!BexGetData("DP_1","003N8EMH8GTFRIVNUPY2891V1","GSON5137375011")</f>
        <v>#NAME?</v>
      </c>
      <c r="M2608" s="8" t="e">
        <f ca="1">[1]!BexGetData("DP_1","003N8EMH8GTFRIVOG7KG9IQXA","GSON5137375011")</f>
        <v>#NAME?</v>
      </c>
      <c r="N2608" s="3" t="e">
        <f ca="1">[1]!BexGetData("DP_1","003N8EMH8GTFRIVOG7KG9IX8U","GSON5137375011")</f>
        <v>#NAME?</v>
      </c>
      <c r="O2608" s="8" t="e">
        <f ca="1">[1]!BexGetData("DP_1","003N8EMH8GTFRIVOG7KG9J3KE","GSON5137375011")</f>
        <v>#NAME?</v>
      </c>
      <c r="P2608" s="3" t="e">
        <f ca="1">[1]!BexGetData("DP_1","003N8EMH8GTFRIVOG7KG9J9VY","GSON5137375011")</f>
        <v>#NAME?</v>
      </c>
      <c r="Q2608" s="4" t="e">
        <f ca="1">[1]!BexGetData("DP_1","00O2TNJGODT0G5Z4TTKYMM5MT","GSON5137375011")</f>
        <v>#NAME?</v>
      </c>
      <c r="R2608" s="4" t="e">
        <f ca="1">[1]!BexGetData("DP_1","00O2TNJGODT0G5Z4TTKYMMBYD","GSON5137375011")</f>
        <v>#NAME?</v>
      </c>
      <c r="S2608" s="4" t="e">
        <f ca="1">[1]!BexGetData("DP_1","00O2TNJGODT0G5Z4TTKYMMI9X","GSON5137375011")</f>
        <v>#NAME?</v>
      </c>
      <c r="T2608" s="4" t="e">
        <f ca="1">[1]!BexGetData("DP_1","00O2TNJGODT0G5Z4TTKYMMOLH","GSON5137375011")</f>
        <v>#NAME?</v>
      </c>
      <c r="U2608" s="4" t="e">
        <f ca="1">[1]!BexGetData("DP_1","00O2TNJGODT0G5Z4TTKYMMUX1","GSON5137375011")</f>
        <v>#NAME?</v>
      </c>
      <c r="V2608" s="4" t="e">
        <f ca="1">[1]!BexGetData("DP_1","00O2TNJGODT0G5Z4TTKYMN18L","GSON5137375011")</f>
        <v>#NAME?</v>
      </c>
      <c r="W2608" s="4" t="e">
        <f ca="1">[1]!BexGetData("DP_1","00O2TNJGODT0G5Z4TTKYMN7K5","GSON5137375011")</f>
        <v>#NAME?</v>
      </c>
    </row>
    <row r="2609" spans="1:23" x14ac:dyDescent="0.2">
      <c r="A2609" s="16" t="s">
        <v>5353</v>
      </c>
      <c r="B2609" s="7" t="s">
        <v>5354</v>
      </c>
      <c r="C2609" s="3" t="e">
        <f ca="1">[1]!BexGetData("DP_1","003N8EMH8GTFRCSWKMPXRR8GU","GSON5137375012")</f>
        <v>#NAME?</v>
      </c>
      <c r="D2609" s="3" t="e">
        <f ca="1">[1]!BexGetData("DP_1","003N8EMH8GTFRCSWKMPXRRESE","GSON5137375012")</f>
        <v>#NAME?</v>
      </c>
      <c r="E2609" s="3" t="e">
        <f ca="1">[1]!BexGetData("DP_1","003N8EMH8GTFRCSWKMPXRRL3Y","GSON5137375012")</f>
        <v>#NAME?</v>
      </c>
      <c r="F2609" s="4" t="e">
        <f ca="1">[1]!BexGetData("DP_1","003N8EMH8GTFRCSWKMPXRRRFI","GSON5137375012")</f>
        <v>#NAME?</v>
      </c>
      <c r="G2609" s="4" t="e">
        <f ca="1">[1]!BexGetData("DP_1","003N8EMH8GTFRCSWKMPXRRXR2","GSON5137375012")</f>
        <v>#NAME?</v>
      </c>
      <c r="H2609" s="4" t="e">
        <f ca="1">[1]!BexGetData("DP_1","003N8EMH8GTFRCSWKMPXRS42M","GSON5137375012")</f>
        <v>#NAME?</v>
      </c>
      <c r="I2609" s="4" t="e">
        <f ca="1">[1]!BexGetData("DP_1","003N8EMH8GTFRCSWKMPXRSAE6","GSON5137375012")</f>
        <v>#NAME?</v>
      </c>
      <c r="J2609" s="4" t="e">
        <f ca="1">[1]!BexGetData("DP_1","003N8EMH8GTFRCSWKMPXRSGPQ","GSON5137375012")</f>
        <v>#NAME?</v>
      </c>
      <c r="K2609" s="3" t="e">
        <f ca="1">[1]!BexGetData("DP_1","003N8EMH8GTFRIVNUPY288VJH","GSON5137375012")</f>
        <v>#NAME?</v>
      </c>
      <c r="L2609" s="3" t="e">
        <f ca="1">[1]!BexGetData("DP_1","003N8EMH8GTFRIVNUPY2891V1","GSON5137375012")</f>
        <v>#NAME?</v>
      </c>
      <c r="M2609" s="8" t="e">
        <f ca="1">[1]!BexGetData("DP_1","003N8EMH8GTFRIVOG7KG9IQXA","GSON5137375012")</f>
        <v>#NAME?</v>
      </c>
      <c r="N2609" s="3" t="e">
        <f ca="1">[1]!BexGetData("DP_1","003N8EMH8GTFRIVOG7KG9IX8U","GSON5137375012")</f>
        <v>#NAME?</v>
      </c>
      <c r="O2609" s="8" t="e">
        <f ca="1">[1]!BexGetData("DP_1","003N8EMH8GTFRIVOG7KG9J3KE","GSON5137375012")</f>
        <v>#NAME?</v>
      </c>
      <c r="P2609" s="3" t="e">
        <f ca="1">[1]!BexGetData("DP_1","003N8EMH8GTFRIVOG7KG9J9VY","GSON5137375012")</f>
        <v>#NAME?</v>
      </c>
      <c r="Q2609" s="4" t="e">
        <f ca="1">[1]!BexGetData("DP_1","00O2TNJGODT0G5Z4TTKYMM5MT","GSON5137375012")</f>
        <v>#NAME?</v>
      </c>
      <c r="R2609" s="4" t="e">
        <f ca="1">[1]!BexGetData("DP_1","00O2TNJGODT0G5Z4TTKYMMBYD","GSON5137375012")</f>
        <v>#NAME?</v>
      </c>
      <c r="S2609" s="4" t="e">
        <f ca="1">[1]!BexGetData("DP_1","00O2TNJGODT0G5Z4TTKYMMI9X","GSON5137375012")</f>
        <v>#NAME?</v>
      </c>
      <c r="T2609" s="4" t="e">
        <f ca="1">[1]!BexGetData("DP_1","00O2TNJGODT0G5Z4TTKYMMOLH","GSON5137375012")</f>
        <v>#NAME?</v>
      </c>
      <c r="U2609" s="4" t="e">
        <f ca="1">[1]!BexGetData("DP_1","00O2TNJGODT0G5Z4TTKYMMUX1","GSON5137375012")</f>
        <v>#NAME?</v>
      </c>
      <c r="V2609" s="4" t="e">
        <f ca="1">[1]!BexGetData("DP_1","00O2TNJGODT0G5Z4TTKYMN18L","GSON5137375012")</f>
        <v>#NAME?</v>
      </c>
      <c r="W2609" s="4" t="e">
        <f ca="1">[1]!BexGetData("DP_1","00O2TNJGODT0G5Z4TTKYMN7K5","GSON5137375012")</f>
        <v>#NAME?</v>
      </c>
    </row>
    <row r="2610" spans="1:23" x14ac:dyDescent="0.2">
      <c r="A2610" s="16" t="s">
        <v>5355</v>
      </c>
      <c r="B2610" s="7" t="s">
        <v>5356</v>
      </c>
      <c r="C2610" s="3" t="e">
        <f ca="1">[1]!BexGetData("DP_1","003N8EMH8GTFRCSWKMPXRR8GU","GSON5137375021")</f>
        <v>#NAME?</v>
      </c>
      <c r="D2610" s="3" t="e">
        <f ca="1">[1]!BexGetData("DP_1","003N8EMH8GTFRCSWKMPXRRESE","GSON5137375021")</f>
        <v>#NAME?</v>
      </c>
      <c r="E2610" s="3" t="e">
        <f ca="1">[1]!BexGetData("DP_1","003N8EMH8GTFRCSWKMPXRRL3Y","GSON5137375021")</f>
        <v>#NAME?</v>
      </c>
      <c r="F2610" s="4" t="e">
        <f ca="1">[1]!BexGetData("DP_1","003N8EMH8GTFRCSWKMPXRRRFI","GSON5137375021")</f>
        <v>#NAME?</v>
      </c>
      <c r="G2610" s="4" t="e">
        <f ca="1">[1]!BexGetData("DP_1","003N8EMH8GTFRCSWKMPXRRXR2","GSON5137375021")</f>
        <v>#NAME?</v>
      </c>
      <c r="H2610" s="4" t="e">
        <f ca="1">[1]!BexGetData("DP_1","003N8EMH8GTFRCSWKMPXRS42M","GSON5137375021")</f>
        <v>#NAME?</v>
      </c>
      <c r="I2610" s="4" t="e">
        <f ca="1">[1]!BexGetData("DP_1","003N8EMH8GTFRCSWKMPXRSAE6","GSON5137375021")</f>
        <v>#NAME?</v>
      </c>
      <c r="J2610" s="4" t="e">
        <f ca="1">[1]!BexGetData("DP_1","003N8EMH8GTFRCSWKMPXRSGPQ","GSON5137375021")</f>
        <v>#NAME?</v>
      </c>
      <c r="K2610" s="3" t="e">
        <f ca="1">[1]!BexGetData("DP_1","003N8EMH8GTFRIVNUPY288VJH","GSON5137375021")</f>
        <v>#NAME?</v>
      </c>
      <c r="L2610" s="3" t="e">
        <f ca="1">[1]!BexGetData("DP_1","003N8EMH8GTFRIVNUPY2891V1","GSON5137375021")</f>
        <v>#NAME?</v>
      </c>
      <c r="M2610" s="8" t="e">
        <f ca="1">[1]!BexGetData("DP_1","003N8EMH8GTFRIVOG7KG9IQXA","GSON5137375021")</f>
        <v>#NAME?</v>
      </c>
      <c r="N2610" s="3" t="e">
        <f ca="1">[1]!BexGetData("DP_1","003N8EMH8GTFRIVOG7KG9IX8U","GSON5137375021")</f>
        <v>#NAME?</v>
      </c>
      <c r="O2610" s="8" t="e">
        <f ca="1">[1]!BexGetData("DP_1","003N8EMH8GTFRIVOG7KG9J3KE","GSON5137375021")</f>
        <v>#NAME?</v>
      </c>
      <c r="P2610" s="3" t="e">
        <f ca="1">[1]!BexGetData("DP_1","003N8EMH8GTFRIVOG7KG9J9VY","GSON5137375021")</f>
        <v>#NAME?</v>
      </c>
      <c r="Q2610" s="4" t="e">
        <f ca="1">[1]!BexGetData("DP_1","00O2TNJGODT0G5Z4TTKYMM5MT","GSON5137375021")</f>
        <v>#NAME?</v>
      </c>
      <c r="R2610" s="4" t="e">
        <f ca="1">[1]!BexGetData("DP_1","00O2TNJGODT0G5Z4TTKYMMBYD","GSON5137375021")</f>
        <v>#NAME?</v>
      </c>
      <c r="S2610" s="4" t="e">
        <f ca="1">[1]!BexGetData("DP_1","00O2TNJGODT0G5Z4TTKYMMI9X","GSON5137375021")</f>
        <v>#NAME?</v>
      </c>
      <c r="T2610" s="4" t="e">
        <f ca="1">[1]!BexGetData("DP_1","00O2TNJGODT0G5Z4TTKYMMOLH","GSON5137375021")</f>
        <v>#NAME?</v>
      </c>
      <c r="U2610" s="4" t="e">
        <f ca="1">[1]!BexGetData("DP_1","00O2TNJGODT0G5Z4TTKYMMUX1","GSON5137375021")</f>
        <v>#NAME?</v>
      </c>
      <c r="V2610" s="4" t="e">
        <f ca="1">[1]!BexGetData("DP_1","00O2TNJGODT0G5Z4TTKYMN18L","GSON5137375021")</f>
        <v>#NAME?</v>
      </c>
      <c r="W2610" s="4" t="e">
        <f ca="1">[1]!BexGetData("DP_1","00O2TNJGODT0G5Z4TTKYMN7K5","GSON5137375021")</f>
        <v>#NAME?</v>
      </c>
    </row>
    <row r="2611" spans="1:23" x14ac:dyDescent="0.2">
      <c r="A2611" s="16" t="s">
        <v>5357</v>
      </c>
      <c r="B2611" s="7" t="s">
        <v>5358</v>
      </c>
      <c r="C2611" s="3" t="e">
        <f ca="1">[1]!BexGetData("DP_1","003N8EMH8GTFRCSWKMPXRR8GU","GSON5137375022")</f>
        <v>#NAME?</v>
      </c>
      <c r="D2611" s="3" t="e">
        <f ca="1">[1]!BexGetData("DP_1","003N8EMH8GTFRCSWKMPXRRESE","GSON5137375022")</f>
        <v>#NAME?</v>
      </c>
      <c r="E2611" s="3" t="e">
        <f ca="1">[1]!BexGetData("DP_1","003N8EMH8GTFRCSWKMPXRRL3Y","GSON5137375022")</f>
        <v>#NAME?</v>
      </c>
      <c r="F2611" s="4" t="e">
        <f ca="1">[1]!BexGetData("DP_1","003N8EMH8GTFRCSWKMPXRRRFI","GSON5137375022")</f>
        <v>#NAME?</v>
      </c>
      <c r="G2611" s="4" t="e">
        <f ca="1">[1]!BexGetData("DP_1","003N8EMH8GTFRCSWKMPXRRXR2","GSON5137375022")</f>
        <v>#NAME?</v>
      </c>
      <c r="H2611" s="4" t="e">
        <f ca="1">[1]!BexGetData("DP_1","003N8EMH8GTFRCSWKMPXRS42M","GSON5137375022")</f>
        <v>#NAME?</v>
      </c>
      <c r="I2611" s="4" t="e">
        <f ca="1">[1]!BexGetData("DP_1","003N8EMH8GTFRCSWKMPXRSAE6","GSON5137375022")</f>
        <v>#NAME?</v>
      </c>
      <c r="J2611" s="4" t="e">
        <f ca="1">[1]!BexGetData("DP_1","003N8EMH8GTFRCSWKMPXRSGPQ","GSON5137375022")</f>
        <v>#NAME?</v>
      </c>
      <c r="K2611" s="3" t="e">
        <f ca="1">[1]!BexGetData("DP_1","003N8EMH8GTFRIVNUPY288VJH","GSON5137375022")</f>
        <v>#NAME?</v>
      </c>
      <c r="L2611" s="3" t="e">
        <f ca="1">[1]!BexGetData("DP_1","003N8EMH8GTFRIVNUPY2891V1","GSON5137375022")</f>
        <v>#NAME?</v>
      </c>
      <c r="M2611" s="8" t="e">
        <f ca="1">[1]!BexGetData("DP_1","003N8EMH8GTFRIVOG7KG9IQXA","GSON5137375022")</f>
        <v>#NAME?</v>
      </c>
      <c r="N2611" s="3" t="e">
        <f ca="1">[1]!BexGetData("DP_1","003N8EMH8GTFRIVOG7KG9IX8U","GSON5137375022")</f>
        <v>#NAME?</v>
      </c>
      <c r="O2611" s="8" t="e">
        <f ca="1">[1]!BexGetData("DP_1","003N8EMH8GTFRIVOG7KG9J3KE","GSON5137375022")</f>
        <v>#NAME?</v>
      </c>
      <c r="P2611" s="3" t="e">
        <f ca="1">[1]!BexGetData("DP_1","003N8EMH8GTFRIVOG7KG9J9VY","GSON5137375022")</f>
        <v>#NAME?</v>
      </c>
      <c r="Q2611" s="4" t="e">
        <f ca="1">[1]!BexGetData("DP_1","00O2TNJGODT0G5Z4TTKYMM5MT","GSON5137375022")</f>
        <v>#NAME?</v>
      </c>
      <c r="R2611" s="4" t="e">
        <f ca="1">[1]!BexGetData("DP_1","00O2TNJGODT0G5Z4TTKYMMBYD","GSON5137375022")</f>
        <v>#NAME?</v>
      </c>
      <c r="S2611" s="4" t="e">
        <f ca="1">[1]!BexGetData("DP_1","00O2TNJGODT0G5Z4TTKYMMI9X","GSON5137375022")</f>
        <v>#NAME?</v>
      </c>
      <c r="T2611" s="4" t="e">
        <f ca="1">[1]!BexGetData("DP_1","00O2TNJGODT0G5Z4TTKYMMOLH","GSON5137375022")</f>
        <v>#NAME?</v>
      </c>
      <c r="U2611" s="4" t="e">
        <f ca="1">[1]!BexGetData("DP_1","00O2TNJGODT0G5Z4TTKYMMUX1","GSON5137375022")</f>
        <v>#NAME?</v>
      </c>
      <c r="V2611" s="4" t="e">
        <f ca="1">[1]!BexGetData("DP_1","00O2TNJGODT0G5Z4TTKYMN18L","GSON5137375022")</f>
        <v>#NAME?</v>
      </c>
      <c r="W2611" s="4" t="e">
        <f ca="1">[1]!BexGetData("DP_1","00O2TNJGODT0G5Z4TTKYMN7K5","GSON5137375022")</f>
        <v>#NAME?</v>
      </c>
    </row>
    <row r="2612" spans="1:23" x14ac:dyDescent="0.2">
      <c r="A2612" s="16" t="s">
        <v>5359</v>
      </c>
      <c r="B2612" s="7" t="s">
        <v>5360</v>
      </c>
      <c r="C2612" s="3" t="e">
        <f ca="1">[1]!BexGetData("DP_1","003N8EMH8GTFRCSWKMPXRR8GU","GSON5137376011")</f>
        <v>#NAME?</v>
      </c>
      <c r="D2612" s="8" t="e">
        <f ca="1">[1]!BexGetData("DP_1","003N8EMH8GTFRCSWKMPXRRESE","GSON5137376011")</f>
        <v>#NAME?</v>
      </c>
      <c r="E2612" s="3" t="e">
        <f ca="1">[1]!BexGetData("DP_1","003N8EMH8GTFRCSWKMPXRRL3Y","GSON5137376011")</f>
        <v>#NAME?</v>
      </c>
      <c r="F2612" s="4" t="e">
        <f ca="1">[1]!BexGetData("DP_1","003N8EMH8GTFRCSWKMPXRRRFI","GSON5137376011")</f>
        <v>#NAME?</v>
      </c>
      <c r="G2612" s="4" t="e">
        <f ca="1">[1]!BexGetData("DP_1","003N8EMH8GTFRCSWKMPXRRXR2","GSON5137376011")</f>
        <v>#NAME?</v>
      </c>
      <c r="H2612" s="4" t="e">
        <f ca="1">[1]!BexGetData("DP_1","003N8EMH8GTFRCSWKMPXRS42M","GSON5137376011")</f>
        <v>#NAME?</v>
      </c>
      <c r="I2612" s="4" t="e">
        <f ca="1">[1]!BexGetData("DP_1","003N8EMH8GTFRCSWKMPXRSAE6","GSON5137376011")</f>
        <v>#NAME?</v>
      </c>
      <c r="J2612" s="4" t="e">
        <f ca="1">[1]!BexGetData("DP_1","003N8EMH8GTFRCSWKMPXRSGPQ","GSON5137376011")</f>
        <v>#NAME?</v>
      </c>
      <c r="K2612" s="3" t="e">
        <f ca="1">[1]!BexGetData("DP_1","003N8EMH8GTFRIVNUPY288VJH","GSON5137376011")</f>
        <v>#NAME?</v>
      </c>
      <c r="L2612" s="3" t="e">
        <f ca="1">[1]!BexGetData("DP_1","003N8EMH8GTFRIVNUPY2891V1","GSON5137376011")</f>
        <v>#NAME?</v>
      </c>
      <c r="M2612" s="8" t="e">
        <f ca="1">[1]!BexGetData("DP_1","003N8EMH8GTFRIVOG7KG9IQXA","GSON5137376011")</f>
        <v>#NAME?</v>
      </c>
      <c r="N2612" s="3" t="e">
        <f ca="1">[1]!BexGetData("DP_1","003N8EMH8GTFRIVOG7KG9IX8U","GSON5137376011")</f>
        <v>#NAME?</v>
      </c>
      <c r="O2612" s="8" t="e">
        <f ca="1">[1]!BexGetData("DP_1","003N8EMH8GTFRIVOG7KG9J3KE","GSON5137376011")</f>
        <v>#NAME?</v>
      </c>
      <c r="P2612" s="3" t="e">
        <f ca="1">[1]!BexGetData("DP_1","003N8EMH8GTFRIVOG7KG9J9VY","GSON5137376011")</f>
        <v>#NAME?</v>
      </c>
      <c r="Q2612" s="4" t="e">
        <f ca="1">[1]!BexGetData("DP_1","00O2TNJGODT0G5Z4TTKYMM5MT","GSON5137376011")</f>
        <v>#NAME?</v>
      </c>
      <c r="R2612" s="4" t="e">
        <f ca="1">[1]!BexGetData("DP_1","00O2TNJGODT0G5Z4TTKYMMBYD","GSON5137376011")</f>
        <v>#NAME?</v>
      </c>
      <c r="S2612" s="4" t="e">
        <f ca="1">[1]!BexGetData("DP_1","00O2TNJGODT0G5Z4TTKYMMI9X","GSON5137376011")</f>
        <v>#NAME?</v>
      </c>
      <c r="T2612" s="4" t="e">
        <f ca="1">[1]!BexGetData("DP_1","00O2TNJGODT0G5Z4TTKYMMOLH","GSON5137376011")</f>
        <v>#NAME?</v>
      </c>
      <c r="U2612" s="4" t="e">
        <f ca="1">[1]!BexGetData("DP_1","00O2TNJGODT0G5Z4TTKYMMUX1","GSON5137376011")</f>
        <v>#NAME?</v>
      </c>
      <c r="V2612" s="4" t="e">
        <f ca="1">[1]!BexGetData("DP_1","00O2TNJGODT0G5Z4TTKYMN18L","GSON5137376011")</f>
        <v>#NAME?</v>
      </c>
      <c r="W2612" s="4" t="e">
        <f ca="1">[1]!BexGetData("DP_1","00O2TNJGODT0G5Z4TTKYMN7K5","GSON5137376011")</f>
        <v>#NAME?</v>
      </c>
    </row>
    <row r="2613" spans="1:23" x14ac:dyDescent="0.2">
      <c r="A2613" s="16" t="s">
        <v>5361</v>
      </c>
      <c r="B2613" s="7" t="s">
        <v>5362</v>
      </c>
      <c r="C2613" s="3" t="e">
        <f ca="1">[1]!BexGetData("DP_1","003N8EMH8GTFRCSWKMPXRR8GU","GSON5137379011")</f>
        <v>#NAME?</v>
      </c>
      <c r="D2613" s="3" t="e">
        <f ca="1">[1]!BexGetData("DP_1","003N8EMH8GTFRCSWKMPXRRESE","GSON5137379011")</f>
        <v>#NAME?</v>
      </c>
      <c r="E2613" s="3" t="e">
        <f ca="1">[1]!BexGetData("DP_1","003N8EMH8GTFRCSWKMPXRRL3Y","GSON5137379011")</f>
        <v>#NAME?</v>
      </c>
      <c r="F2613" s="4" t="e">
        <f ca="1">[1]!BexGetData("DP_1","003N8EMH8GTFRCSWKMPXRRRFI","GSON5137379011")</f>
        <v>#NAME?</v>
      </c>
      <c r="G2613" s="4" t="e">
        <f ca="1">[1]!BexGetData("DP_1","003N8EMH8GTFRCSWKMPXRRXR2","GSON5137379011")</f>
        <v>#NAME?</v>
      </c>
      <c r="H2613" s="4" t="e">
        <f ca="1">[1]!BexGetData("DP_1","003N8EMH8GTFRCSWKMPXRS42M","GSON5137379011")</f>
        <v>#NAME?</v>
      </c>
      <c r="I2613" s="4" t="e">
        <f ca="1">[1]!BexGetData("DP_1","003N8EMH8GTFRCSWKMPXRSAE6","GSON5137379011")</f>
        <v>#NAME?</v>
      </c>
      <c r="J2613" s="4" t="e">
        <f ca="1">[1]!BexGetData("DP_1","003N8EMH8GTFRCSWKMPXRSGPQ","GSON5137379011")</f>
        <v>#NAME?</v>
      </c>
      <c r="K2613" s="3" t="e">
        <f ca="1">[1]!BexGetData("DP_1","003N8EMH8GTFRIVNUPY288VJH","GSON5137379011")</f>
        <v>#NAME?</v>
      </c>
      <c r="L2613" s="3" t="e">
        <f ca="1">[1]!BexGetData("DP_1","003N8EMH8GTFRIVNUPY2891V1","GSON5137379011")</f>
        <v>#NAME?</v>
      </c>
      <c r="M2613" s="8" t="e">
        <f ca="1">[1]!BexGetData("DP_1","003N8EMH8GTFRIVOG7KG9IQXA","GSON5137379011")</f>
        <v>#NAME?</v>
      </c>
      <c r="N2613" s="3" t="e">
        <f ca="1">[1]!BexGetData("DP_1","003N8EMH8GTFRIVOG7KG9IX8U","GSON5137379011")</f>
        <v>#NAME?</v>
      </c>
      <c r="O2613" s="8" t="e">
        <f ca="1">[1]!BexGetData("DP_1","003N8EMH8GTFRIVOG7KG9J3KE","GSON5137379011")</f>
        <v>#NAME?</v>
      </c>
      <c r="P2613" s="3" t="e">
        <f ca="1">[1]!BexGetData("DP_1","003N8EMH8GTFRIVOG7KG9J9VY","GSON5137379011")</f>
        <v>#NAME?</v>
      </c>
      <c r="Q2613" s="4" t="e">
        <f ca="1">[1]!BexGetData("DP_1","00O2TNJGODT0G5Z4TTKYMM5MT","GSON5137379011")</f>
        <v>#NAME?</v>
      </c>
      <c r="R2613" s="4" t="e">
        <f ca="1">[1]!BexGetData("DP_1","00O2TNJGODT0G5Z4TTKYMMBYD","GSON5137379011")</f>
        <v>#NAME?</v>
      </c>
      <c r="S2613" s="4" t="e">
        <f ca="1">[1]!BexGetData("DP_1","00O2TNJGODT0G5Z4TTKYMMI9X","GSON5137379011")</f>
        <v>#NAME?</v>
      </c>
      <c r="T2613" s="4" t="e">
        <f ca="1">[1]!BexGetData("DP_1","00O2TNJGODT0G5Z4TTKYMMOLH","GSON5137379011")</f>
        <v>#NAME?</v>
      </c>
      <c r="U2613" s="4" t="e">
        <f ca="1">[1]!BexGetData("DP_1","00O2TNJGODT0G5Z4TTKYMMUX1","GSON5137379011")</f>
        <v>#NAME?</v>
      </c>
      <c r="V2613" s="4" t="e">
        <f ca="1">[1]!BexGetData("DP_1","00O2TNJGODT0G5Z4TTKYMN18L","GSON5137379011")</f>
        <v>#NAME?</v>
      </c>
      <c r="W2613" s="4" t="e">
        <f ca="1">[1]!BexGetData("DP_1","00O2TNJGODT0G5Z4TTKYMN7K5","GSON5137379011")</f>
        <v>#NAME?</v>
      </c>
    </row>
    <row r="2614" spans="1:23" x14ac:dyDescent="0.2">
      <c r="A2614" s="16" t="s">
        <v>5363</v>
      </c>
      <c r="B2614" s="7" t="s">
        <v>5364</v>
      </c>
      <c r="C2614" s="3" t="e">
        <f ca="1">[1]!BexGetData("DP_1","003N8EMH8GTFRCSWKMPXRR8GU","GSON5137379012")</f>
        <v>#NAME?</v>
      </c>
      <c r="D2614" s="8" t="e">
        <f ca="1">[1]!BexGetData("DP_1","003N8EMH8GTFRCSWKMPXRRESE","GSON5137379012")</f>
        <v>#NAME?</v>
      </c>
      <c r="E2614" s="3" t="e">
        <f ca="1">[1]!BexGetData("DP_1","003N8EMH8GTFRCSWKMPXRRL3Y","GSON5137379012")</f>
        <v>#NAME?</v>
      </c>
      <c r="F2614" s="4" t="e">
        <f ca="1">[1]!BexGetData("DP_1","003N8EMH8GTFRCSWKMPXRRRFI","GSON5137379012")</f>
        <v>#NAME?</v>
      </c>
      <c r="G2614" s="4" t="e">
        <f ca="1">[1]!BexGetData("DP_1","003N8EMH8GTFRCSWKMPXRRXR2","GSON5137379012")</f>
        <v>#NAME?</v>
      </c>
      <c r="H2614" s="4" t="e">
        <f ca="1">[1]!BexGetData("DP_1","003N8EMH8GTFRCSWKMPXRS42M","GSON5137379012")</f>
        <v>#NAME?</v>
      </c>
      <c r="I2614" s="4" t="e">
        <f ca="1">[1]!BexGetData("DP_1","003N8EMH8GTFRCSWKMPXRSAE6","GSON5137379012")</f>
        <v>#NAME?</v>
      </c>
      <c r="J2614" s="4" t="e">
        <f ca="1">[1]!BexGetData("DP_1","003N8EMH8GTFRCSWKMPXRSGPQ","GSON5137379012")</f>
        <v>#NAME?</v>
      </c>
      <c r="K2614" s="3" t="e">
        <f ca="1">[1]!BexGetData("DP_1","003N8EMH8GTFRIVNUPY288VJH","GSON5137379012")</f>
        <v>#NAME?</v>
      </c>
      <c r="L2614" s="3" t="e">
        <f ca="1">[1]!BexGetData("DP_1","003N8EMH8GTFRIVNUPY2891V1","GSON5137379012")</f>
        <v>#NAME?</v>
      </c>
      <c r="M2614" s="8" t="e">
        <f ca="1">[1]!BexGetData("DP_1","003N8EMH8GTFRIVOG7KG9IQXA","GSON5137379012")</f>
        <v>#NAME?</v>
      </c>
      <c r="N2614" s="3" t="e">
        <f ca="1">[1]!BexGetData("DP_1","003N8EMH8GTFRIVOG7KG9IX8U","GSON5137379012")</f>
        <v>#NAME?</v>
      </c>
      <c r="O2614" s="8" t="e">
        <f ca="1">[1]!BexGetData("DP_1","003N8EMH8GTFRIVOG7KG9J3KE","GSON5137379012")</f>
        <v>#NAME?</v>
      </c>
      <c r="P2614" s="3" t="e">
        <f ca="1">[1]!BexGetData("DP_1","003N8EMH8GTFRIVOG7KG9J9VY","GSON5137379012")</f>
        <v>#NAME?</v>
      </c>
      <c r="Q2614" s="4" t="e">
        <f ca="1">[1]!BexGetData("DP_1","00O2TNJGODT0G5Z4TTKYMM5MT","GSON5137379012")</f>
        <v>#NAME?</v>
      </c>
      <c r="R2614" s="4" t="e">
        <f ca="1">[1]!BexGetData("DP_1","00O2TNJGODT0G5Z4TTKYMMBYD","GSON5137379012")</f>
        <v>#NAME?</v>
      </c>
      <c r="S2614" s="4" t="e">
        <f ca="1">[1]!BexGetData("DP_1","00O2TNJGODT0G5Z4TTKYMMI9X","GSON5137379012")</f>
        <v>#NAME?</v>
      </c>
      <c r="T2614" s="4" t="e">
        <f ca="1">[1]!BexGetData("DP_1","00O2TNJGODT0G5Z4TTKYMMOLH","GSON5137379012")</f>
        <v>#NAME?</v>
      </c>
      <c r="U2614" s="4" t="e">
        <f ca="1">[1]!BexGetData("DP_1","00O2TNJGODT0G5Z4TTKYMMUX1","GSON5137379012")</f>
        <v>#NAME?</v>
      </c>
      <c r="V2614" s="4" t="e">
        <f ca="1">[1]!BexGetData("DP_1","00O2TNJGODT0G5Z4TTKYMN18L","GSON5137379012")</f>
        <v>#NAME?</v>
      </c>
      <c r="W2614" s="4" t="e">
        <f ca="1">[1]!BexGetData("DP_1","00O2TNJGODT0G5Z4TTKYMN7K5","GSON5137379012")</f>
        <v>#NAME?</v>
      </c>
    </row>
    <row r="2615" spans="1:23" x14ac:dyDescent="0.2">
      <c r="A2615" s="16" t="s">
        <v>5365</v>
      </c>
      <c r="B2615" s="7" t="s">
        <v>5366</v>
      </c>
      <c r="C2615" s="3" t="e">
        <f ca="1">[1]!BexGetData("DP_1","003N8EMH8GTFRCSWKMPXRR8GU","GSON5137379031")</f>
        <v>#NAME?</v>
      </c>
      <c r="D2615" s="3" t="e">
        <f ca="1">[1]!BexGetData("DP_1","003N8EMH8GTFRCSWKMPXRRESE","GSON5137379031")</f>
        <v>#NAME?</v>
      </c>
      <c r="E2615" s="3" t="e">
        <f ca="1">[1]!BexGetData("DP_1","003N8EMH8GTFRCSWKMPXRRL3Y","GSON5137379031")</f>
        <v>#NAME?</v>
      </c>
      <c r="F2615" s="4" t="e">
        <f ca="1">[1]!BexGetData("DP_1","003N8EMH8GTFRCSWKMPXRRRFI","GSON5137379031")</f>
        <v>#NAME?</v>
      </c>
      <c r="G2615" s="4" t="e">
        <f ca="1">[1]!BexGetData("DP_1","003N8EMH8GTFRCSWKMPXRRXR2","GSON5137379031")</f>
        <v>#NAME?</v>
      </c>
      <c r="H2615" s="4" t="e">
        <f ca="1">[1]!BexGetData("DP_1","003N8EMH8GTFRCSWKMPXRS42M","GSON5137379031")</f>
        <v>#NAME?</v>
      </c>
      <c r="I2615" s="4" t="e">
        <f ca="1">[1]!BexGetData("DP_1","003N8EMH8GTFRCSWKMPXRSAE6","GSON5137379031")</f>
        <v>#NAME?</v>
      </c>
      <c r="J2615" s="4" t="e">
        <f ca="1">[1]!BexGetData("DP_1","003N8EMH8GTFRCSWKMPXRSGPQ","GSON5137379031")</f>
        <v>#NAME?</v>
      </c>
      <c r="K2615" s="3" t="e">
        <f ca="1">[1]!BexGetData("DP_1","003N8EMH8GTFRIVNUPY288VJH","GSON5137379031")</f>
        <v>#NAME?</v>
      </c>
      <c r="L2615" s="3" t="e">
        <f ca="1">[1]!BexGetData("DP_1","003N8EMH8GTFRIVNUPY2891V1","GSON5137379031")</f>
        <v>#NAME?</v>
      </c>
      <c r="M2615" s="8" t="e">
        <f ca="1">[1]!BexGetData("DP_1","003N8EMH8GTFRIVOG7KG9IQXA","GSON5137379031")</f>
        <v>#NAME?</v>
      </c>
      <c r="N2615" s="3" t="e">
        <f ca="1">[1]!BexGetData("DP_1","003N8EMH8GTFRIVOG7KG9IX8U","GSON5137379031")</f>
        <v>#NAME?</v>
      </c>
      <c r="O2615" s="8" t="e">
        <f ca="1">[1]!BexGetData("DP_1","003N8EMH8GTFRIVOG7KG9J3KE","GSON5137379031")</f>
        <v>#NAME?</v>
      </c>
      <c r="P2615" s="3" t="e">
        <f ca="1">[1]!BexGetData("DP_1","003N8EMH8GTFRIVOG7KG9J9VY","GSON5137379031")</f>
        <v>#NAME?</v>
      </c>
      <c r="Q2615" s="4" t="e">
        <f ca="1">[1]!BexGetData("DP_1","00O2TNJGODT0G5Z4TTKYMM5MT","GSON5137379031")</f>
        <v>#NAME?</v>
      </c>
      <c r="R2615" s="4" t="e">
        <f ca="1">[1]!BexGetData("DP_1","00O2TNJGODT0G5Z4TTKYMMBYD","GSON5137379031")</f>
        <v>#NAME?</v>
      </c>
      <c r="S2615" s="4" t="e">
        <f ca="1">[1]!BexGetData("DP_1","00O2TNJGODT0G5Z4TTKYMMI9X","GSON5137379031")</f>
        <v>#NAME?</v>
      </c>
      <c r="T2615" s="4" t="e">
        <f ca="1">[1]!BexGetData("DP_1","00O2TNJGODT0G5Z4TTKYMMOLH","GSON5137379031")</f>
        <v>#NAME?</v>
      </c>
      <c r="U2615" s="4" t="e">
        <f ca="1">[1]!BexGetData("DP_1","00O2TNJGODT0G5Z4TTKYMMUX1","GSON5137379031")</f>
        <v>#NAME?</v>
      </c>
      <c r="V2615" s="4" t="e">
        <f ca="1">[1]!BexGetData("DP_1","00O2TNJGODT0G5Z4TTKYMN18L","GSON5137379031")</f>
        <v>#NAME?</v>
      </c>
      <c r="W2615" s="4" t="e">
        <f ca="1">[1]!BexGetData("DP_1","00O2TNJGODT0G5Z4TTKYMN7K5","GSON5137379031")</f>
        <v>#NAME?</v>
      </c>
    </row>
    <row r="2616" spans="1:23" x14ac:dyDescent="0.2">
      <c r="A2616" s="15" t="s">
        <v>5367</v>
      </c>
      <c r="B2616" s="7" t="s">
        <v>5368</v>
      </c>
      <c r="C2616" s="3" t="e">
        <f ca="1">[1]!BexGetData("DP_1","003N8EMH8GTFRCSWKMPXRR8GU","GSON5138")</f>
        <v>#NAME?</v>
      </c>
      <c r="D2616" s="3" t="e">
        <f ca="1">[1]!BexGetData("DP_1","003N8EMH8GTFRCSWKMPXRRESE","GSON5138")</f>
        <v>#NAME?</v>
      </c>
      <c r="E2616" s="3" t="e">
        <f ca="1">[1]!BexGetData("DP_1","003N8EMH8GTFRCSWKMPXRRL3Y","GSON5138")</f>
        <v>#NAME?</v>
      </c>
      <c r="F2616" s="4" t="e">
        <f ca="1">[1]!BexGetData("DP_1","003N8EMH8GTFRCSWKMPXRRRFI","GSON5138")</f>
        <v>#NAME?</v>
      </c>
      <c r="G2616" s="4" t="e">
        <f ca="1">[1]!BexGetData("DP_1","003N8EMH8GTFRCSWKMPXRRXR2","GSON5138")</f>
        <v>#NAME?</v>
      </c>
      <c r="H2616" s="4" t="e">
        <f ca="1">[1]!BexGetData("DP_1","003N8EMH8GTFRCSWKMPXRS42M","GSON5138")</f>
        <v>#NAME?</v>
      </c>
      <c r="I2616" s="4" t="e">
        <f ca="1">[1]!BexGetData("DP_1","003N8EMH8GTFRCSWKMPXRSAE6","GSON5138")</f>
        <v>#NAME?</v>
      </c>
      <c r="J2616" s="4" t="e">
        <f ca="1">[1]!BexGetData("DP_1","003N8EMH8GTFRCSWKMPXRSGPQ","GSON5138")</f>
        <v>#NAME?</v>
      </c>
      <c r="K2616" s="3" t="e">
        <f ca="1">[1]!BexGetData("DP_1","003N8EMH8GTFRIVNUPY288VJH","GSON5138")</f>
        <v>#NAME?</v>
      </c>
      <c r="L2616" s="3" t="e">
        <f ca="1">[1]!BexGetData("DP_1","003N8EMH8GTFRIVNUPY2891V1","GSON5138")</f>
        <v>#NAME?</v>
      </c>
      <c r="M2616" s="8" t="e">
        <f ca="1">[1]!BexGetData("DP_1","003N8EMH8GTFRIVOG7KG9IQXA","GSON5138")</f>
        <v>#NAME?</v>
      </c>
      <c r="N2616" s="3" t="e">
        <f ca="1">[1]!BexGetData("DP_1","003N8EMH8GTFRIVOG7KG9IX8U","GSON5138")</f>
        <v>#NAME?</v>
      </c>
      <c r="O2616" s="8" t="e">
        <f ca="1">[1]!BexGetData("DP_1","003N8EMH8GTFRIVOG7KG9J3KE","GSON5138")</f>
        <v>#NAME?</v>
      </c>
      <c r="P2616" s="3" t="e">
        <f ca="1">[1]!BexGetData("DP_1","003N8EMH8GTFRIVOG7KG9J9VY","GSON5138")</f>
        <v>#NAME?</v>
      </c>
      <c r="Q2616" s="4" t="e">
        <f ca="1">[1]!BexGetData("DP_1","00O2TNJGODT0G5Z4TTKYMM5MT","GSON5138")</f>
        <v>#NAME?</v>
      </c>
      <c r="R2616" s="4" t="e">
        <f ca="1">[1]!BexGetData("DP_1","00O2TNJGODT0G5Z4TTKYMMBYD","GSON5138")</f>
        <v>#NAME?</v>
      </c>
      <c r="S2616" s="4" t="e">
        <f ca="1">[1]!BexGetData("DP_1","00O2TNJGODT0G5Z4TTKYMMI9X","GSON5138")</f>
        <v>#NAME?</v>
      </c>
      <c r="T2616" s="4" t="e">
        <f ca="1">[1]!BexGetData("DP_1","00O2TNJGODT0G5Z4TTKYMMOLH","GSON5138")</f>
        <v>#NAME?</v>
      </c>
      <c r="U2616" s="4" t="e">
        <f ca="1">[1]!BexGetData("DP_1","00O2TNJGODT0G5Z4TTKYMMUX1","GSON5138")</f>
        <v>#NAME?</v>
      </c>
      <c r="V2616" s="4" t="e">
        <f ca="1">[1]!BexGetData("DP_1","00O2TNJGODT0G5Z4TTKYMN18L","GSON5138")</f>
        <v>#NAME?</v>
      </c>
      <c r="W2616" s="4" t="e">
        <f ca="1">[1]!BexGetData("DP_1","00O2TNJGODT0G5Z4TTKYMN7K5","GSON5138")</f>
        <v>#NAME?</v>
      </c>
    </row>
    <row r="2617" spans="1:23" x14ac:dyDescent="0.2">
      <c r="A2617" s="16" t="s">
        <v>5369</v>
      </c>
      <c r="B2617" s="7" t="s">
        <v>5370</v>
      </c>
      <c r="C2617" s="3" t="e">
        <f ca="1">[1]!BexGetData("DP_1","003N8EMH8GTFRCSWKMPXRR8GU","GSON5138381011")</f>
        <v>#NAME?</v>
      </c>
      <c r="D2617" s="3" t="e">
        <f ca="1">[1]!BexGetData("DP_1","003N8EMH8GTFRCSWKMPXRRESE","GSON5138381011")</f>
        <v>#NAME?</v>
      </c>
      <c r="E2617" s="3" t="e">
        <f ca="1">[1]!BexGetData("DP_1","003N8EMH8GTFRCSWKMPXRRL3Y","GSON5138381011")</f>
        <v>#NAME?</v>
      </c>
      <c r="F2617" s="4" t="e">
        <f ca="1">[1]!BexGetData("DP_1","003N8EMH8GTFRCSWKMPXRRRFI","GSON5138381011")</f>
        <v>#NAME?</v>
      </c>
      <c r="G2617" s="4" t="e">
        <f ca="1">[1]!BexGetData("DP_1","003N8EMH8GTFRCSWKMPXRRXR2","GSON5138381011")</f>
        <v>#NAME?</v>
      </c>
      <c r="H2617" s="4" t="e">
        <f ca="1">[1]!BexGetData("DP_1","003N8EMH8GTFRCSWKMPXRS42M","GSON5138381011")</f>
        <v>#NAME?</v>
      </c>
      <c r="I2617" s="4" t="e">
        <f ca="1">[1]!BexGetData("DP_1","003N8EMH8GTFRCSWKMPXRSAE6","GSON5138381011")</f>
        <v>#NAME?</v>
      </c>
      <c r="J2617" s="4" t="e">
        <f ca="1">[1]!BexGetData("DP_1","003N8EMH8GTFRCSWKMPXRSGPQ","GSON5138381011")</f>
        <v>#NAME?</v>
      </c>
      <c r="K2617" s="3" t="e">
        <f ca="1">[1]!BexGetData("DP_1","003N8EMH8GTFRIVNUPY288VJH","GSON5138381011")</f>
        <v>#NAME?</v>
      </c>
      <c r="L2617" s="3" t="e">
        <f ca="1">[1]!BexGetData("DP_1","003N8EMH8GTFRIVNUPY2891V1","GSON5138381011")</f>
        <v>#NAME?</v>
      </c>
      <c r="M2617" s="8" t="e">
        <f ca="1">[1]!BexGetData("DP_1","003N8EMH8GTFRIVOG7KG9IQXA","GSON5138381011")</f>
        <v>#NAME?</v>
      </c>
      <c r="N2617" s="3" t="e">
        <f ca="1">[1]!BexGetData("DP_1","003N8EMH8GTFRIVOG7KG9IX8U","GSON5138381011")</f>
        <v>#NAME?</v>
      </c>
      <c r="O2617" s="8" t="e">
        <f ca="1">[1]!BexGetData("DP_1","003N8EMH8GTFRIVOG7KG9J3KE","GSON5138381011")</f>
        <v>#NAME?</v>
      </c>
      <c r="P2617" s="3" t="e">
        <f ca="1">[1]!BexGetData("DP_1","003N8EMH8GTFRIVOG7KG9J9VY","GSON5138381011")</f>
        <v>#NAME?</v>
      </c>
      <c r="Q2617" s="4" t="e">
        <f ca="1">[1]!BexGetData("DP_1","00O2TNJGODT0G5Z4TTKYMM5MT","GSON5138381011")</f>
        <v>#NAME?</v>
      </c>
      <c r="R2617" s="4" t="e">
        <f ca="1">[1]!BexGetData("DP_1","00O2TNJGODT0G5Z4TTKYMMBYD","GSON5138381011")</f>
        <v>#NAME?</v>
      </c>
      <c r="S2617" s="4" t="e">
        <f ca="1">[1]!BexGetData("DP_1","00O2TNJGODT0G5Z4TTKYMMI9X","GSON5138381011")</f>
        <v>#NAME?</v>
      </c>
      <c r="T2617" s="4" t="e">
        <f ca="1">[1]!BexGetData("DP_1","00O2TNJGODT0G5Z4TTKYMMOLH","GSON5138381011")</f>
        <v>#NAME?</v>
      </c>
      <c r="U2617" s="4" t="e">
        <f ca="1">[1]!BexGetData("DP_1","00O2TNJGODT0G5Z4TTKYMMUX1","GSON5138381011")</f>
        <v>#NAME?</v>
      </c>
      <c r="V2617" s="4" t="e">
        <f ca="1">[1]!BexGetData("DP_1","00O2TNJGODT0G5Z4TTKYMN18L","GSON5138381011")</f>
        <v>#NAME?</v>
      </c>
      <c r="W2617" s="4" t="e">
        <f ca="1">[1]!BexGetData("DP_1","00O2TNJGODT0G5Z4TTKYMN7K5","GSON5138381011")</f>
        <v>#NAME?</v>
      </c>
    </row>
    <row r="2618" spans="1:23" x14ac:dyDescent="0.2">
      <c r="A2618" s="16" t="s">
        <v>5371</v>
      </c>
      <c r="B2618" s="7" t="s">
        <v>5372</v>
      </c>
      <c r="C2618" s="3" t="e">
        <f ca="1">[1]!BexGetData("DP_1","003N8EMH8GTFRCSWKMPXRR8GU","GSON5138382011")</f>
        <v>#NAME?</v>
      </c>
      <c r="D2618" s="3" t="e">
        <f ca="1">[1]!BexGetData("DP_1","003N8EMH8GTFRCSWKMPXRRESE","GSON5138382011")</f>
        <v>#NAME?</v>
      </c>
      <c r="E2618" s="3" t="e">
        <f ca="1">[1]!BexGetData("DP_1","003N8EMH8GTFRCSWKMPXRRL3Y","GSON5138382011")</f>
        <v>#NAME?</v>
      </c>
      <c r="F2618" s="4" t="e">
        <f ca="1">[1]!BexGetData("DP_1","003N8EMH8GTFRCSWKMPXRRRFI","GSON5138382011")</f>
        <v>#NAME?</v>
      </c>
      <c r="G2618" s="4" t="e">
        <f ca="1">[1]!BexGetData("DP_1","003N8EMH8GTFRCSWKMPXRRXR2","GSON5138382011")</f>
        <v>#NAME?</v>
      </c>
      <c r="H2618" s="4" t="e">
        <f ca="1">[1]!BexGetData("DP_1","003N8EMH8GTFRCSWKMPXRS42M","GSON5138382011")</f>
        <v>#NAME?</v>
      </c>
      <c r="I2618" s="4" t="e">
        <f ca="1">[1]!BexGetData("DP_1","003N8EMH8GTFRCSWKMPXRSAE6","GSON5138382011")</f>
        <v>#NAME?</v>
      </c>
      <c r="J2618" s="4" t="e">
        <f ca="1">[1]!BexGetData("DP_1","003N8EMH8GTFRCSWKMPXRSGPQ","GSON5138382011")</f>
        <v>#NAME?</v>
      </c>
      <c r="K2618" s="3" t="e">
        <f ca="1">[1]!BexGetData("DP_1","003N8EMH8GTFRIVNUPY288VJH","GSON5138382011")</f>
        <v>#NAME?</v>
      </c>
      <c r="L2618" s="3" t="e">
        <f ca="1">[1]!BexGetData("DP_1","003N8EMH8GTFRIVNUPY2891V1","GSON5138382011")</f>
        <v>#NAME?</v>
      </c>
      <c r="M2618" s="8" t="e">
        <f ca="1">[1]!BexGetData("DP_1","003N8EMH8GTFRIVOG7KG9IQXA","GSON5138382011")</f>
        <v>#NAME?</v>
      </c>
      <c r="N2618" s="3" t="e">
        <f ca="1">[1]!BexGetData("DP_1","003N8EMH8GTFRIVOG7KG9IX8U","GSON5138382011")</f>
        <v>#NAME?</v>
      </c>
      <c r="O2618" s="8" t="e">
        <f ca="1">[1]!BexGetData("DP_1","003N8EMH8GTFRIVOG7KG9J3KE","GSON5138382011")</f>
        <v>#NAME?</v>
      </c>
      <c r="P2618" s="3" t="e">
        <f ca="1">[1]!BexGetData("DP_1","003N8EMH8GTFRIVOG7KG9J9VY","GSON5138382011")</f>
        <v>#NAME?</v>
      </c>
      <c r="Q2618" s="4" t="e">
        <f ca="1">[1]!BexGetData("DP_1","00O2TNJGODT0G5Z4TTKYMM5MT","GSON5138382011")</f>
        <v>#NAME?</v>
      </c>
      <c r="R2618" s="4" t="e">
        <f ca="1">[1]!BexGetData("DP_1","00O2TNJGODT0G5Z4TTKYMMBYD","GSON5138382011")</f>
        <v>#NAME?</v>
      </c>
      <c r="S2618" s="4" t="e">
        <f ca="1">[1]!BexGetData("DP_1","00O2TNJGODT0G5Z4TTKYMMI9X","GSON5138382011")</f>
        <v>#NAME?</v>
      </c>
      <c r="T2618" s="4" t="e">
        <f ca="1">[1]!BexGetData("DP_1","00O2TNJGODT0G5Z4TTKYMMOLH","GSON5138382011")</f>
        <v>#NAME?</v>
      </c>
      <c r="U2618" s="4" t="e">
        <f ca="1">[1]!BexGetData("DP_1","00O2TNJGODT0G5Z4TTKYMMUX1","GSON5138382011")</f>
        <v>#NAME?</v>
      </c>
      <c r="V2618" s="4" t="e">
        <f ca="1">[1]!BexGetData("DP_1","00O2TNJGODT0G5Z4TTKYMN18L","GSON5138382011")</f>
        <v>#NAME?</v>
      </c>
      <c r="W2618" s="4" t="e">
        <f ca="1">[1]!BexGetData("DP_1","00O2TNJGODT0G5Z4TTKYMN7K5","GSON5138382011")</f>
        <v>#NAME?</v>
      </c>
    </row>
    <row r="2619" spans="1:23" x14ac:dyDescent="0.2">
      <c r="A2619" s="16" t="s">
        <v>5373</v>
      </c>
      <c r="B2619" s="7" t="s">
        <v>5374</v>
      </c>
      <c r="C2619" s="3" t="e">
        <f ca="1">[1]!BexGetData("DP_1","003N8EMH8GTFRCSWKMPXRR8GU","GSON5138383011")</f>
        <v>#NAME?</v>
      </c>
      <c r="D2619" s="3" t="e">
        <f ca="1">[1]!BexGetData("DP_1","003N8EMH8GTFRCSWKMPXRRESE","GSON5138383011")</f>
        <v>#NAME?</v>
      </c>
      <c r="E2619" s="3" t="e">
        <f ca="1">[1]!BexGetData("DP_1","003N8EMH8GTFRCSWKMPXRRL3Y","GSON5138383011")</f>
        <v>#NAME?</v>
      </c>
      <c r="F2619" s="4" t="e">
        <f ca="1">[1]!BexGetData("DP_1","003N8EMH8GTFRCSWKMPXRRRFI","GSON5138383011")</f>
        <v>#NAME?</v>
      </c>
      <c r="G2619" s="4" t="e">
        <f ca="1">[1]!BexGetData("DP_1","003N8EMH8GTFRCSWKMPXRRXR2","GSON5138383011")</f>
        <v>#NAME?</v>
      </c>
      <c r="H2619" s="4" t="e">
        <f ca="1">[1]!BexGetData("DP_1","003N8EMH8GTFRCSWKMPXRS42M","GSON5138383011")</f>
        <v>#NAME?</v>
      </c>
      <c r="I2619" s="4" t="e">
        <f ca="1">[1]!BexGetData("DP_1","003N8EMH8GTFRCSWKMPXRSAE6","GSON5138383011")</f>
        <v>#NAME?</v>
      </c>
      <c r="J2619" s="4" t="e">
        <f ca="1">[1]!BexGetData("DP_1","003N8EMH8GTFRCSWKMPXRSGPQ","GSON5138383011")</f>
        <v>#NAME?</v>
      </c>
      <c r="K2619" s="3" t="e">
        <f ca="1">[1]!BexGetData("DP_1","003N8EMH8GTFRIVNUPY288VJH","GSON5138383011")</f>
        <v>#NAME?</v>
      </c>
      <c r="L2619" s="3" t="e">
        <f ca="1">[1]!BexGetData("DP_1","003N8EMH8GTFRIVNUPY2891V1","GSON5138383011")</f>
        <v>#NAME?</v>
      </c>
      <c r="M2619" s="8" t="e">
        <f ca="1">[1]!BexGetData("DP_1","003N8EMH8GTFRIVOG7KG9IQXA","GSON5138383011")</f>
        <v>#NAME?</v>
      </c>
      <c r="N2619" s="3" t="e">
        <f ca="1">[1]!BexGetData("DP_1","003N8EMH8GTFRIVOG7KG9IX8U","GSON5138383011")</f>
        <v>#NAME?</v>
      </c>
      <c r="O2619" s="8" t="e">
        <f ca="1">[1]!BexGetData("DP_1","003N8EMH8GTFRIVOG7KG9J3KE","GSON5138383011")</f>
        <v>#NAME?</v>
      </c>
      <c r="P2619" s="3" t="e">
        <f ca="1">[1]!BexGetData("DP_1","003N8EMH8GTFRIVOG7KG9J9VY","GSON5138383011")</f>
        <v>#NAME?</v>
      </c>
      <c r="Q2619" s="4" t="e">
        <f ca="1">[1]!BexGetData("DP_1","00O2TNJGODT0G5Z4TTKYMM5MT","GSON5138383011")</f>
        <v>#NAME?</v>
      </c>
      <c r="R2619" s="4" t="e">
        <f ca="1">[1]!BexGetData("DP_1","00O2TNJGODT0G5Z4TTKYMMBYD","GSON5138383011")</f>
        <v>#NAME?</v>
      </c>
      <c r="S2619" s="4" t="e">
        <f ca="1">[1]!BexGetData("DP_1","00O2TNJGODT0G5Z4TTKYMMI9X","GSON5138383011")</f>
        <v>#NAME?</v>
      </c>
      <c r="T2619" s="4" t="e">
        <f ca="1">[1]!BexGetData("DP_1","00O2TNJGODT0G5Z4TTKYMMOLH","GSON5138383011")</f>
        <v>#NAME?</v>
      </c>
      <c r="U2619" s="4" t="e">
        <f ca="1">[1]!BexGetData("DP_1","00O2TNJGODT0G5Z4TTKYMMUX1","GSON5138383011")</f>
        <v>#NAME?</v>
      </c>
      <c r="V2619" s="4" t="e">
        <f ca="1">[1]!BexGetData("DP_1","00O2TNJGODT0G5Z4TTKYMN18L","GSON5138383011")</f>
        <v>#NAME?</v>
      </c>
      <c r="W2619" s="4" t="e">
        <f ca="1">[1]!BexGetData("DP_1","00O2TNJGODT0G5Z4TTKYMN7K5","GSON5138383011")</f>
        <v>#NAME?</v>
      </c>
    </row>
    <row r="2620" spans="1:23" x14ac:dyDescent="0.2">
      <c r="A2620" s="16" t="s">
        <v>5375</v>
      </c>
      <c r="B2620" s="7" t="s">
        <v>5376</v>
      </c>
      <c r="C2620" s="3" t="e">
        <f ca="1">[1]!BexGetData("DP_1","003N8EMH8GTFRCSWKMPXRR8GU","GSON5138384011")</f>
        <v>#NAME?</v>
      </c>
      <c r="D2620" s="3" t="e">
        <f ca="1">[1]!BexGetData("DP_1","003N8EMH8GTFRCSWKMPXRRESE","GSON5138384011")</f>
        <v>#NAME?</v>
      </c>
      <c r="E2620" s="3" t="e">
        <f ca="1">[1]!BexGetData("DP_1","003N8EMH8GTFRCSWKMPXRRL3Y","GSON5138384011")</f>
        <v>#NAME?</v>
      </c>
      <c r="F2620" s="4" t="e">
        <f ca="1">[1]!BexGetData("DP_1","003N8EMH8GTFRCSWKMPXRRRFI","GSON5138384011")</f>
        <v>#NAME?</v>
      </c>
      <c r="G2620" s="4" t="e">
        <f ca="1">[1]!BexGetData("DP_1","003N8EMH8GTFRCSWKMPXRRXR2","GSON5138384011")</f>
        <v>#NAME?</v>
      </c>
      <c r="H2620" s="4" t="e">
        <f ca="1">[1]!BexGetData("DP_1","003N8EMH8GTFRCSWKMPXRS42M","GSON5138384011")</f>
        <v>#NAME?</v>
      </c>
      <c r="I2620" s="4" t="e">
        <f ca="1">[1]!BexGetData("DP_1","003N8EMH8GTFRCSWKMPXRSAE6","GSON5138384011")</f>
        <v>#NAME?</v>
      </c>
      <c r="J2620" s="4" t="e">
        <f ca="1">[1]!BexGetData("DP_1","003N8EMH8GTFRCSWKMPXRSGPQ","GSON5138384011")</f>
        <v>#NAME?</v>
      </c>
      <c r="K2620" s="3" t="e">
        <f ca="1">[1]!BexGetData("DP_1","003N8EMH8GTFRIVNUPY288VJH","GSON5138384011")</f>
        <v>#NAME?</v>
      </c>
      <c r="L2620" s="3" t="e">
        <f ca="1">[1]!BexGetData("DP_1","003N8EMH8GTFRIVNUPY2891V1","GSON5138384011")</f>
        <v>#NAME?</v>
      </c>
      <c r="M2620" s="8" t="e">
        <f ca="1">[1]!BexGetData("DP_1","003N8EMH8GTFRIVOG7KG9IQXA","GSON5138384011")</f>
        <v>#NAME?</v>
      </c>
      <c r="N2620" s="3" t="e">
        <f ca="1">[1]!BexGetData("DP_1","003N8EMH8GTFRIVOG7KG9IX8U","GSON5138384011")</f>
        <v>#NAME?</v>
      </c>
      <c r="O2620" s="8" t="e">
        <f ca="1">[1]!BexGetData("DP_1","003N8EMH8GTFRIVOG7KG9J3KE","GSON5138384011")</f>
        <v>#NAME?</v>
      </c>
      <c r="P2620" s="3" t="e">
        <f ca="1">[1]!BexGetData("DP_1","003N8EMH8GTFRIVOG7KG9J9VY","GSON5138384011")</f>
        <v>#NAME?</v>
      </c>
      <c r="Q2620" s="4" t="e">
        <f ca="1">[1]!BexGetData("DP_1","00O2TNJGODT0G5Z4TTKYMM5MT","GSON5138384011")</f>
        <v>#NAME?</v>
      </c>
      <c r="R2620" s="4" t="e">
        <f ca="1">[1]!BexGetData("DP_1","00O2TNJGODT0G5Z4TTKYMMBYD","GSON5138384011")</f>
        <v>#NAME?</v>
      </c>
      <c r="S2620" s="4" t="e">
        <f ca="1">[1]!BexGetData("DP_1","00O2TNJGODT0G5Z4TTKYMMI9X","GSON5138384011")</f>
        <v>#NAME?</v>
      </c>
      <c r="T2620" s="4" t="e">
        <f ca="1">[1]!BexGetData("DP_1","00O2TNJGODT0G5Z4TTKYMMOLH","GSON5138384011")</f>
        <v>#NAME?</v>
      </c>
      <c r="U2620" s="4" t="e">
        <f ca="1">[1]!BexGetData("DP_1","00O2TNJGODT0G5Z4TTKYMMUX1","GSON5138384011")</f>
        <v>#NAME?</v>
      </c>
      <c r="V2620" s="4" t="e">
        <f ca="1">[1]!BexGetData("DP_1","00O2TNJGODT0G5Z4TTKYMN18L","GSON5138384011")</f>
        <v>#NAME?</v>
      </c>
      <c r="W2620" s="4" t="e">
        <f ca="1">[1]!BexGetData("DP_1","00O2TNJGODT0G5Z4TTKYMN7K5","GSON5138384011")</f>
        <v>#NAME?</v>
      </c>
    </row>
    <row r="2621" spans="1:23" x14ac:dyDescent="0.2">
      <c r="A2621" s="15" t="s">
        <v>5377</v>
      </c>
      <c r="B2621" s="7" t="s">
        <v>5378</v>
      </c>
      <c r="C2621" s="3" t="e">
        <f ca="1">[1]!BexGetData("DP_1","003N8EMH8GTFRCSWKMPXRR8GU","GSON5139")</f>
        <v>#NAME?</v>
      </c>
      <c r="D2621" s="3" t="e">
        <f ca="1">[1]!BexGetData("DP_1","003N8EMH8GTFRCSWKMPXRRESE","GSON5139")</f>
        <v>#NAME?</v>
      </c>
      <c r="E2621" s="3" t="e">
        <f ca="1">[1]!BexGetData("DP_1","003N8EMH8GTFRCSWKMPXRRL3Y","GSON5139")</f>
        <v>#NAME?</v>
      </c>
      <c r="F2621" s="4" t="e">
        <f ca="1">[1]!BexGetData("DP_1","003N8EMH8GTFRCSWKMPXRRRFI","GSON5139")</f>
        <v>#NAME?</v>
      </c>
      <c r="G2621" s="4" t="e">
        <f ca="1">[1]!BexGetData("DP_1","003N8EMH8GTFRCSWKMPXRRXR2","GSON5139")</f>
        <v>#NAME?</v>
      </c>
      <c r="H2621" s="4" t="e">
        <f ca="1">[1]!BexGetData("DP_1","003N8EMH8GTFRCSWKMPXRS42M","GSON5139")</f>
        <v>#NAME?</v>
      </c>
      <c r="I2621" s="4" t="e">
        <f ca="1">[1]!BexGetData("DP_1","003N8EMH8GTFRCSWKMPXRSAE6","GSON5139")</f>
        <v>#NAME?</v>
      </c>
      <c r="J2621" s="4" t="e">
        <f ca="1">[1]!BexGetData("DP_1","003N8EMH8GTFRCSWKMPXRSGPQ","GSON5139")</f>
        <v>#NAME?</v>
      </c>
      <c r="K2621" s="3" t="e">
        <f ca="1">[1]!BexGetData("DP_1","003N8EMH8GTFRIVNUPY288VJH","GSON5139")</f>
        <v>#NAME?</v>
      </c>
      <c r="L2621" s="3" t="e">
        <f ca="1">[1]!BexGetData("DP_1","003N8EMH8GTFRIVNUPY2891V1","GSON5139")</f>
        <v>#NAME?</v>
      </c>
      <c r="M2621" s="8" t="e">
        <f ca="1">[1]!BexGetData("DP_1","003N8EMH8GTFRIVOG7KG9IQXA","GSON5139")</f>
        <v>#NAME?</v>
      </c>
      <c r="N2621" s="3" t="e">
        <f ca="1">[1]!BexGetData("DP_1","003N8EMH8GTFRIVOG7KG9IX8U","GSON5139")</f>
        <v>#NAME?</v>
      </c>
      <c r="O2621" s="8" t="e">
        <f ca="1">[1]!BexGetData("DP_1","003N8EMH8GTFRIVOG7KG9J3KE","GSON5139")</f>
        <v>#NAME?</v>
      </c>
      <c r="P2621" s="3" t="e">
        <f ca="1">[1]!BexGetData("DP_1","003N8EMH8GTFRIVOG7KG9J9VY","GSON5139")</f>
        <v>#NAME?</v>
      </c>
      <c r="Q2621" s="4" t="e">
        <f ca="1">[1]!BexGetData("DP_1","00O2TNJGODT0G5Z4TTKYMM5MT","GSON5139")</f>
        <v>#NAME?</v>
      </c>
      <c r="R2621" s="4" t="e">
        <f ca="1">[1]!BexGetData("DP_1","00O2TNJGODT0G5Z4TTKYMMBYD","GSON5139")</f>
        <v>#NAME?</v>
      </c>
      <c r="S2621" s="4" t="e">
        <f ca="1">[1]!BexGetData("DP_1","00O2TNJGODT0G5Z4TTKYMMI9X","GSON5139")</f>
        <v>#NAME?</v>
      </c>
      <c r="T2621" s="4" t="e">
        <f ca="1">[1]!BexGetData("DP_1","00O2TNJGODT0G5Z4TTKYMMOLH","GSON5139")</f>
        <v>#NAME?</v>
      </c>
      <c r="U2621" s="4" t="e">
        <f ca="1">[1]!BexGetData("DP_1","00O2TNJGODT0G5Z4TTKYMMUX1","GSON5139")</f>
        <v>#NAME?</v>
      </c>
      <c r="V2621" s="4" t="e">
        <f ca="1">[1]!BexGetData("DP_1","00O2TNJGODT0G5Z4TTKYMN18L","GSON5139")</f>
        <v>#NAME?</v>
      </c>
      <c r="W2621" s="4" t="e">
        <f ca="1">[1]!BexGetData("DP_1","00O2TNJGODT0G5Z4TTKYMN7K5","GSON5139")</f>
        <v>#NAME?</v>
      </c>
    </row>
    <row r="2622" spans="1:23" x14ac:dyDescent="0.2">
      <c r="A2622" s="16" t="s">
        <v>5379</v>
      </c>
      <c r="B2622" s="7" t="s">
        <v>5380</v>
      </c>
      <c r="C2622" s="3" t="e">
        <f ca="1">[1]!BexGetData("DP_1","003N8EMH8GTFRCSWKMPXRR8GU","GSON5139391011")</f>
        <v>#NAME?</v>
      </c>
      <c r="D2622" s="3" t="e">
        <f ca="1">[1]!BexGetData("DP_1","003N8EMH8GTFRCSWKMPXRRESE","GSON5139391011")</f>
        <v>#NAME?</v>
      </c>
      <c r="E2622" s="3" t="e">
        <f ca="1">[1]!BexGetData("DP_1","003N8EMH8GTFRCSWKMPXRRL3Y","GSON5139391011")</f>
        <v>#NAME?</v>
      </c>
      <c r="F2622" s="4" t="e">
        <f ca="1">[1]!BexGetData("DP_1","003N8EMH8GTFRCSWKMPXRRRFI","GSON5139391011")</f>
        <v>#NAME?</v>
      </c>
      <c r="G2622" s="4" t="e">
        <f ca="1">[1]!BexGetData("DP_1","003N8EMH8GTFRCSWKMPXRRXR2","GSON5139391011")</f>
        <v>#NAME?</v>
      </c>
      <c r="H2622" s="4" t="e">
        <f ca="1">[1]!BexGetData("DP_1","003N8EMH8GTFRCSWKMPXRS42M","GSON5139391011")</f>
        <v>#NAME?</v>
      </c>
      <c r="I2622" s="4" t="e">
        <f ca="1">[1]!BexGetData("DP_1","003N8EMH8GTFRCSWKMPXRSAE6","GSON5139391011")</f>
        <v>#NAME?</v>
      </c>
      <c r="J2622" s="4" t="e">
        <f ca="1">[1]!BexGetData("DP_1","003N8EMH8GTFRCSWKMPXRSGPQ","GSON5139391011")</f>
        <v>#NAME?</v>
      </c>
      <c r="K2622" s="3" t="e">
        <f ca="1">[1]!BexGetData("DP_1","003N8EMH8GTFRIVNUPY288VJH","GSON5139391011")</f>
        <v>#NAME?</v>
      </c>
      <c r="L2622" s="3" t="e">
        <f ca="1">[1]!BexGetData("DP_1","003N8EMH8GTFRIVNUPY2891V1","GSON5139391011")</f>
        <v>#NAME?</v>
      </c>
      <c r="M2622" s="8" t="e">
        <f ca="1">[1]!BexGetData("DP_1","003N8EMH8GTFRIVOG7KG9IQXA","GSON5139391011")</f>
        <v>#NAME?</v>
      </c>
      <c r="N2622" s="3" t="e">
        <f ca="1">[1]!BexGetData("DP_1","003N8EMH8GTFRIVOG7KG9IX8U","GSON5139391011")</f>
        <v>#NAME?</v>
      </c>
      <c r="O2622" s="8" t="e">
        <f ca="1">[1]!BexGetData("DP_1","003N8EMH8GTFRIVOG7KG9J3KE","GSON5139391011")</f>
        <v>#NAME?</v>
      </c>
      <c r="P2622" s="3" t="e">
        <f ca="1">[1]!BexGetData("DP_1","003N8EMH8GTFRIVOG7KG9J9VY","GSON5139391011")</f>
        <v>#NAME?</v>
      </c>
      <c r="Q2622" s="4" t="e">
        <f ca="1">[1]!BexGetData("DP_1","00O2TNJGODT0G5Z4TTKYMM5MT","GSON5139391011")</f>
        <v>#NAME?</v>
      </c>
      <c r="R2622" s="4" t="e">
        <f ca="1">[1]!BexGetData("DP_1","00O2TNJGODT0G5Z4TTKYMMBYD","GSON5139391011")</f>
        <v>#NAME?</v>
      </c>
      <c r="S2622" s="4" t="e">
        <f ca="1">[1]!BexGetData("DP_1","00O2TNJGODT0G5Z4TTKYMMI9X","GSON5139391011")</f>
        <v>#NAME?</v>
      </c>
      <c r="T2622" s="4" t="e">
        <f ca="1">[1]!BexGetData("DP_1","00O2TNJGODT0G5Z4TTKYMMOLH","GSON5139391011")</f>
        <v>#NAME?</v>
      </c>
      <c r="U2622" s="4" t="e">
        <f ca="1">[1]!BexGetData("DP_1","00O2TNJGODT0G5Z4TTKYMMUX1","GSON5139391011")</f>
        <v>#NAME?</v>
      </c>
      <c r="V2622" s="4" t="e">
        <f ca="1">[1]!BexGetData("DP_1","00O2TNJGODT0G5Z4TTKYMN18L","GSON5139391011")</f>
        <v>#NAME?</v>
      </c>
      <c r="W2622" s="4" t="e">
        <f ca="1">[1]!BexGetData("DP_1","00O2TNJGODT0G5Z4TTKYMN7K5","GSON5139391011")</f>
        <v>#NAME?</v>
      </c>
    </row>
    <row r="2623" spans="1:23" x14ac:dyDescent="0.2">
      <c r="A2623" s="16" t="s">
        <v>5381</v>
      </c>
      <c r="B2623" s="7" t="s">
        <v>5382</v>
      </c>
      <c r="C2623" s="3" t="e">
        <f ca="1">[1]!BexGetData("DP_1","003N8EMH8GTFRCSWKMPXRR8GU","GSON5139392011")</f>
        <v>#NAME?</v>
      </c>
      <c r="D2623" s="3" t="e">
        <f ca="1">[1]!BexGetData("DP_1","003N8EMH8GTFRCSWKMPXRRESE","GSON5139392011")</f>
        <v>#NAME?</v>
      </c>
      <c r="E2623" s="3" t="e">
        <f ca="1">[1]!BexGetData("DP_1","003N8EMH8GTFRCSWKMPXRRL3Y","GSON5139392011")</f>
        <v>#NAME?</v>
      </c>
      <c r="F2623" s="4" t="e">
        <f ca="1">[1]!BexGetData("DP_1","003N8EMH8GTFRCSWKMPXRRRFI","GSON5139392011")</f>
        <v>#NAME?</v>
      </c>
      <c r="G2623" s="4" t="e">
        <f ca="1">[1]!BexGetData("DP_1","003N8EMH8GTFRCSWKMPXRRXR2","GSON5139392011")</f>
        <v>#NAME?</v>
      </c>
      <c r="H2623" s="4" t="e">
        <f ca="1">[1]!BexGetData("DP_1","003N8EMH8GTFRCSWKMPXRS42M","GSON5139392011")</f>
        <v>#NAME?</v>
      </c>
      <c r="I2623" s="4" t="e">
        <f ca="1">[1]!BexGetData("DP_1","003N8EMH8GTFRCSWKMPXRSAE6","GSON5139392011")</f>
        <v>#NAME?</v>
      </c>
      <c r="J2623" s="4" t="e">
        <f ca="1">[1]!BexGetData("DP_1","003N8EMH8GTFRCSWKMPXRSGPQ","GSON5139392011")</f>
        <v>#NAME?</v>
      </c>
      <c r="K2623" s="3" t="e">
        <f ca="1">[1]!BexGetData("DP_1","003N8EMH8GTFRIVNUPY288VJH","GSON5139392011")</f>
        <v>#NAME?</v>
      </c>
      <c r="L2623" s="3" t="e">
        <f ca="1">[1]!BexGetData("DP_1","003N8EMH8GTFRIVNUPY2891V1","GSON5139392011")</f>
        <v>#NAME?</v>
      </c>
      <c r="M2623" s="8" t="e">
        <f ca="1">[1]!BexGetData("DP_1","003N8EMH8GTFRIVOG7KG9IQXA","GSON5139392011")</f>
        <v>#NAME?</v>
      </c>
      <c r="N2623" s="3" t="e">
        <f ca="1">[1]!BexGetData("DP_1","003N8EMH8GTFRIVOG7KG9IX8U","GSON5139392011")</f>
        <v>#NAME?</v>
      </c>
      <c r="O2623" s="8" t="e">
        <f ca="1">[1]!BexGetData("DP_1","003N8EMH8GTFRIVOG7KG9J3KE","GSON5139392011")</f>
        <v>#NAME?</v>
      </c>
      <c r="P2623" s="3" t="e">
        <f ca="1">[1]!BexGetData("DP_1","003N8EMH8GTFRIVOG7KG9J9VY","GSON5139392011")</f>
        <v>#NAME?</v>
      </c>
      <c r="Q2623" s="4" t="e">
        <f ca="1">[1]!BexGetData("DP_1","00O2TNJGODT0G5Z4TTKYMM5MT","GSON5139392011")</f>
        <v>#NAME?</v>
      </c>
      <c r="R2623" s="4" t="e">
        <f ca="1">[1]!BexGetData("DP_1","00O2TNJGODT0G5Z4TTKYMMBYD","GSON5139392011")</f>
        <v>#NAME?</v>
      </c>
      <c r="S2623" s="4" t="e">
        <f ca="1">[1]!BexGetData("DP_1","00O2TNJGODT0G5Z4TTKYMMI9X","GSON5139392011")</f>
        <v>#NAME?</v>
      </c>
      <c r="T2623" s="4" t="e">
        <f ca="1">[1]!BexGetData("DP_1","00O2TNJGODT0G5Z4TTKYMMOLH","GSON5139392011")</f>
        <v>#NAME?</v>
      </c>
      <c r="U2623" s="4" t="e">
        <f ca="1">[1]!BexGetData("DP_1","00O2TNJGODT0G5Z4TTKYMMUX1","GSON5139392011")</f>
        <v>#NAME?</v>
      </c>
      <c r="V2623" s="4" t="e">
        <f ca="1">[1]!BexGetData("DP_1","00O2TNJGODT0G5Z4TTKYMN18L","GSON5139392011")</f>
        <v>#NAME?</v>
      </c>
      <c r="W2623" s="4" t="e">
        <f ca="1">[1]!BexGetData("DP_1","00O2TNJGODT0G5Z4TTKYMN7K5","GSON5139392011")</f>
        <v>#NAME?</v>
      </c>
    </row>
    <row r="2624" spans="1:23" x14ac:dyDescent="0.2">
      <c r="A2624" s="16" t="s">
        <v>5383</v>
      </c>
      <c r="B2624" s="7" t="s">
        <v>5384</v>
      </c>
      <c r="C2624" s="3" t="e">
        <f ca="1">[1]!BexGetData("DP_1","003N8EMH8GTFRCSWKMPXRR8GU","GSON5139394011")</f>
        <v>#NAME?</v>
      </c>
      <c r="D2624" s="3" t="e">
        <f ca="1">[1]!BexGetData("DP_1","003N8EMH8GTFRCSWKMPXRRESE","GSON5139394011")</f>
        <v>#NAME?</v>
      </c>
      <c r="E2624" s="3" t="e">
        <f ca="1">[1]!BexGetData("DP_1","003N8EMH8GTFRCSWKMPXRRL3Y","GSON5139394011")</f>
        <v>#NAME?</v>
      </c>
      <c r="F2624" s="4" t="e">
        <f ca="1">[1]!BexGetData("DP_1","003N8EMH8GTFRCSWKMPXRRRFI","GSON5139394011")</f>
        <v>#NAME?</v>
      </c>
      <c r="G2624" s="4" t="e">
        <f ca="1">[1]!BexGetData("DP_1","003N8EMH8GTFRCSWKMPXRRXR2","GSON5139394011")</f>
        <v>#NAME?</v>
      </c>
      <c r="H2624" s="4" t="e">
        <f ca="1">[1]!BexGetData("DP_1","003N8EMH8GTFRCSWKMPXRS42M","GSON5139394011")</f>
        <v>#NAME?</v>
      </c>
      <c r="I2624" s="4" t="e">
        <f ca="1">[1]!BexGetData("DP_1","003N8EMH8GTFRCSWKMPXRSAE6","GSON5139394011")</f>
        <v>#NAME?</v>
      </c>
      <c r="J2624" s="4" t="e">
        <f ca="1">[1]!BexGetData("DP_1","003N8EMH8GTFRCSWKMPXRSGPQ","GSON5139394011")</f>
        <v>#NAME?</v>
      </c>
      <c r="K2624" s="3" t="e">
        <f ca="1">[1]!BexGetData("DP_1","003N8EMH8GTFRIVNUPY288VJH","GSON5139394011")</f>
        <v>#NAME?</v>
      </c>
      <c r="L2624" s="3" t="e">
        <f ca="1">[1]!BexGetData("DP_1","003N8EMH8GTFRIVNUPY2891V1","GSON5139394011")</f>
        <v>#NAME?</v>
      </c>
      <c r="M2624" s="8" t="e">
        <f ca="1">[1]!BexGetData("DP_1","003N8EMH8GTFRIVOG7KG9IQXA","GSON5139394011")</f>
        <v>#NAME?</v>
      </c>
      <c r="N2624" s="3" t="e">
        <f ca="1">[1]!BexGetData("DP_1","003N8EMH8GTFRIVOG7KG9IX8U","GSON5139394011")</f>
        <v>#NAME?</v>
      </c>
      <c r="O2624" s="8" t="e">
        <f ca="1">[1]!BexGetData("DP_1","003N8EMH8GTFRIVOG7KG9J3KE","GSON5139394011")</f>
        <v>#NAME?</v>
      </c>
      <c r="P2624" s="3" t="e">
        <f ca="1">[1]!BexGetData("DP_1","003N8EMH8GTFRIVOG7KG9J9VY","GSON5139394011")</f>
        <v>#NAME?</v>
      </c>
      <c r="Q2624" s="4" t="e">
        <f ca="1">[1]!BexGetData("DP_1","00O2TNJGODT0G5Z4TTKYMM5MT","GSON5139394011")</f>
        <v>#NAME?</v>
      </c>
      <c r="R2624" s="4" t="e">
        <f ca="1">[1]!BexGetData("DP_1","00O2TNJGODT0G5Z4TTKYMMBYD","GSON5139394011")</f>
        <v>#NAME?</v>
      </c>
      <c r="S2624" s="4" t="e">
        <f ca="1">[1]!BexGetData("DP_1","00O2TNJGODT0G5Z4TTKYMMI9X","GSON5139394011")</f>
        <v>#NAME?</v>
      </c>
      <c r="T2624" s="4" t="e">
        <f ca="1">[1]!BexGetData("DP_1","00O2TNJGODT0G5Z4TTKYMMOLH","GSON5139394011")</f>
        <v>#NAME?</v>
      </c>
      <c r="U2624" s="4" t="e">
        <f ca="1">[1]!BexGetData("DP_1","00O2TNJGODT0G5Z4TTKYMMUX1","GSON5139394011")</f>
        <v>#NAME?</v>
      </c>
      <c r="V2624" s="4" t="e">
        <f ca="1">[1]!BexGetData("DP_1","00O2TNJGODT0G5Z4TTKYMN18L","GSON5139394011")</f>
        <v>#NAME?</v>
      </c>
      <c r="W2624" s="4" t="e">
        <f ca="1">[1]!BexGetData("DP_1","00O2TNJGODT0G5Z4TTKYMN7K5","GSON5139394011")</f>
        <v>#NAME?</v>
      </c>
    </row>
    <row r="2625" spans="1:23" x14ac:dyDescent="0.2">
      <c r="A2625" s="16" t="s">
        <v>5385</v>
      </c>
      <c r="B2625" s="7" t="s">
        <v>5386</v>
      </c>
      <c r="C2625" s="3" t="e">
        <f ca="1">[1]!BexGetData("DP_1","003N8EMH8GTFRCSWKMPXRR8GU","GSON5139395011")</f>
        <v>#NAME?</v>
      </c>
      <c r="D2625" s="3" t="e">
        <f ca="1">[1]!BexGetData("DP_1","003N8EMH8GTFRCSWKMPXRRESE","GSON5139395011")</f>
        <v>#NAME?</v>
      </c>
      <c r="E2625" s="3" t="e">
        <f ca="1">[1]!BexGetData("DP_1","003N8EMH8GTFRCSWKMPXRRL3Y","GSON5139395011")</f>
        <v>#NAME?</v>
      </c>
      <c r="F2625" s="4" t="e">
        <f ca="1">[1]!BexGetData("DP_1","003N8EMH8GTFRCSWKMPXRRRFI","GSON5139395011")</f>
        <v>#NAME?</v>
      </c>
      <c r="G2625" s="4" t="e">
        <f ca="1">[1]!BexGetData("DP_1","003N8EMH8GTFRCSWKMPXRRXR2","GSON5139395011")</f>
        <v>#NAME?</v>
      </c>
      <c r="H2625" s="4" t="e">
        <f ca="1">[1]!BexGetData("DP_1","003N8EMH8GTFRCSWKMPXRS42M","GSON5139395011")</f>
        <v>#NAME?</v>
      </c>
      <c r="I2625" s="4" t="e">
        <f ca="1">[1]!BexGetData("DP_1","003N8EMH8GTFRCSWKMPXRSAE6","GSON5139395011")</f>
        <v>#NAME?</v>
      </c>
      <c r="J2625" s="4" t="e">
        <f ca="1">[1]!BexGetData("DP_1","003N8EMH8GTFRCSWKMPXRSGPQ","GSON5139395011")</f>
        <v>#NAME?</v>
      </c>
      <c r="K2625" s="3" t="e">
        <f ca="1">[1]!BexGetData("DP_1","003N8EMH8GTFRIVNUPY288VJH","GSON5139395011")</f>
        <v>#NAME?</v>
      </c>
      <c r="L2625" s="3" t="e">
        <f ca="1">[1]!BexGetData("DP_1","003N8EMH8GTFRIVNUPY2891V1","GSON5139395011")</f>
        <v>#NAME?</v>
      </c>
      <c r="M2625" s="8" t="e">
        <f ca="1">[1]!BexGetData("DP_1","003N8EMH8GTFRIVOG7KG9IQXA","GSON5139395011")</f>
        <v>#NAME?</v>
      </c>
      <c r="N2625" s="3" t="e">
        <f ca="1">[1]!BexGetData("DP_1","003N8EMH8GTFRIVOG7KG9IX8U","GSON5139395011")</f>
        <v>#NAME?</v>
      </c>
      <c r="O2625" s="8" t="e">
        <f ca="1">[1]!BexGetData("DP_1","003N8EMH8GTFRIVOG7KG9J3KE","GSON5139395011")</f>
        <v>#NAME?</v>
      </c>
      <c r="P2625" s="3" t="e">
        <f ca="1">[1]!BexGetData("DP_1","003N8EMH8GTFRIVOG7KG9J9VY","GSON5139395011")</f>
        <v>#NAME?</v>
      </c>
      <c r="Q2625" s="4" t="e">
        <f ca="1">[1]!BexGetData("DP_1","00O2TNJGODT0G5Z4TTKYMM5MT","GSON5139395011")</f>
        <v>#NAME?</v>
      </c>
      <c r="R2625" s="4" t="e">
        <f ca="1">[1]!BexGetData("DP_1","00O2TNJGODT0G5Z4TTKYMMBYD","GSON5139395011")</f>
        <v>#NAME?</v>
      </c>
      <c r="S2625" s="4" t="e">
        <f ca="1">[1]!BexGetData("DP_1","00O2TNJGODT0G5Z4TTKYMMI9X","GSON5139395011")</f>
        <v>#NAME?</v>
      </c>
      <c r="T2625" s="4" t="e">
        <f ca="1">[1]!BexGetData("DP_1","00O2TNJGODT0G5Z4TTKYMMOLH","GSON5139395011")</f>
        <v>#NAME?</v>
      </c>
      <c r="U2625" s="4" t="e">
        <f ca="1">[1]!BexGetData("DP_1","00O2TNJGODT0G5Z4TTKYMMUX1","GSON5139395011")</f>
        <v>#NAME?</v>
      </c>
      <c r="V2625" s="4" t="e">
        <f ca="1">[1]!BexGetData("DP_1","00O2TNJGODT0G5Z4TTKYMN18L","GSON5139395011")</f>
        <v>#NAME?</v>
      </c>
      <c r="W2625" s="4" t="e">
        <f ca="1">[1]!BexGetData("DP_1","00O2TNJGODT0G5Z4TTKYMN7K5","GSON5139395011")</f>
        <v>#NAME?</v>
      </c>
    </row>
    <row r="2626" spans="1:23" x14ac:dyDescent="0.2">
      <c r="A2626" s="16" t="s">
        <v>5387</v>
      </c>
      <c r="B2626" s="7" t="s">
        <v>5388</v>
      </c>
      <c r="C2626" s="3" t="e">
        <f ca="1">[1]!BexGetData("DP_1","003N8EMH8GTFRCSWKMPXRR8GU","GSON5139396011")</f>
        <v>#NAME?</v>
      </c>
      <c r="D2626" s="8" t="e">
        <f ca="1">[1]!BexGetData("DP_1","003N8EMH8GTFRCSWKMPXRRESE","GSON5139396011")</f>
        <v>#NAME?</v>
      </c>
      <c r="E2626" s="3" t="e">
        <f ca="1">[1]!BexGetData("DP_1","003N8EMH8GTFRCSWKMPXRRL3Y","GSON5139396011")</f>
        <v>#NAME?</v>
      </c>
      <c r="F2626" s="4" t="e">
        <f ca="1">[1]!BexGetData("DP_1","003N8EMH8GTFRCSWKMPXRRRFI","GSON5139396011")</f>
        <v>#NAME?</v>
      </c>
      <c r="G2626" s="4" t="e">
        <f ca="1">[1]!BexGetData("DP_1","003N8EMH8GTFRCSWKMPXRRXR2","GSON5139396011")</f>
        <v>#NAME?</v>
      </c>
      <c r="H2626" s="4" t="e">
        <f ca="1">[1]!BexGetData("DP_1","003N8EMH8GTFRCSWKMPXRS42M","GSON5139396011")</f>
        <v>#NAME?</v>
      </c>
      <c r="I2626" s="4" t="e">
        <f ca="1">[1]!BexGetData("DP_1","003N8EMH8GTFRCSWKMPXRSAE6","GSON5139396011")</f>
        <v>#NAME?</v>
      </c>
      <c r="J2626" s="4" t="e">
        <f ca="1">[1]!BexGetData("DP_1","003N8EMH8GTFRCSWKMPXRSGPQ","GSON5139396011")</f>
        <v>#NAME?</v>
      </c>
      <c r="K2626" s="3" t="e">
        <f ca="1">[1]!BexGetData("DP_1","003N8EMH8GTFRIVNUPY288VJH","GSON5139396011")</f>
        <v>#NAME?</v>
      </c>
      <c r="L2626" s="3" t="e">
        <f ca="1">[1]!BexGetData("DP_1","003N8EMH8GTFRIVNUPY2891V1","GSON5139396011")</f>
        <v>#NAME?</v>
      </c>
      <c r="M2626" s="8" t="e">
        <f ca="1">[1]!BexGetData("DP_1","003N8EMH8GTFRIVOG7KG9IQXA","GSON5139396011")</f>
        <v>#NAME?</v>
      </c>
      <c r="N2626" s="3" t="e">
        <f ca="1">[1]!BexGetData("DP_1","003N8EMH8GTFRIVOG7KG9IX8U","GSON5139396011")</f>
        <v>#NAME?</v>
      </c>
      <c r="O2626" s="8" t="e">
        <f ca="1">[1]!BexGetData("DP_1","003N8EMH8GTFRIVOG7KG9J3KE","GSON5139396011")</f>
        <v>#NAME?</v>
      </c>
      <c r="P2626" s="3" t="e">
        <f ca="1">[1]!BexGetData("DP_1","003N8EMH8GTFRIVOG7KG9J9VY","GSON5139396011")</f>
        <v>#NAME?</v>
      </c>
      <c r="Q2626" s="4" t="e">
        <f ca="1">[1]!BexGetData("DP_1","00O2TNJGODT0G5Z4TTKYMM5MT","GSON5139396011")</f>
        <v>#NAME?</v>
      </c>
      <c r="R2626" s="4" t="e">
        <f ca="1">[1]!BexGetData("DP_1","00O2TNJGODT0G5Z4TTKYMMBYD","GSON5139396011")</f>
        <v>#NAME?</v>
      </c>
      <c r="S2626" s="4" t="e">
        <f ca="1">[1]!BexGetData("DP_1","00O2TNJGODT0G5Z4TTKYMMI9X","GSON5139396011")</f>
        <v>#NAME?</v>
      </c>
      <c r="T2626" s="4" t="e">
        <f ca="1">[1]!BexGetData("DP_1","00O2TNJGODT0G5Z4TTKYMMOLH","GSON5139396011")</f>
        <v>#NAME?</v>
      </c>
      <c r="U2626" s="4" t="e">
        <f ca="1">[1]!BexGetData("DP_1","00O2TNJGODT0G5Z4TTKYMMUX1","GSON5139396011")</f>
        <v>#NAME?</v>
      </c>
      <c r="V2626" s="4" t="e">
        <f ca="1">[1]!BexGetData("DP_1","00O2TNJGODT0G5Z4TTKYMN18L","GSON5139396011")</f>
        <v>#NAME?</v>
      </c>
      <c r="W2626" s="4" t="e">
        <f ca="1">[1]!BexGetData("DP_1","00O2TNJGODT0G5Z4TTKYMN7K5","GSON5139396011")</f>
        <v>#NAME?</v>
      </c>
    </row>
    <row r="2627" spans="1:23" x14ac:dyDescent="0.2">
      <c r="A2627" s="16" t="s">
        <v>5389</v>
      </c>
      <c r="B2627" s="7" t="s">
        <v>5390</v>
      </c>
      <c r="C2627" s="3" t="e">
        <f ca="1">[1]!BexGetData("DP_1","003N8EMH8GTFRCSWKMPXRR8GU","GSON5139398012")</f>
        <v>#NAME?</v>
      </c>
      <c r="D2627" s="3" t="e">
        <f ca="1">[1]!BexGetData("DP_1","003N8EMH8GTFRCSWKMPXRRESE","GSON5139398012")</f>
        <v>#NAME?</v>
      </c>
      <c r="E2627" s="3" t="e">
        <f ca="1">[1]!BexGetData("DP_1","003N8EMH8GTFRCSWKMPXRRL3Y","GSON5139398012")</f>
        <v>#NAME?</v>
      </c>
      <c r="F2627" s="4" t="e">
        <f ca="1">[1]!BexGetData("DP_1","003N8EMH8GTFRCSWKMPXRRRFI","GSON5139398012")</f>
        <v>#NAME?</v>
      </c>
      <c r="G2627" s="4" t="e">
        <f ca="1">[1]!BexGetData("DP_1","003N8EMH8GTFRCSWKMPXRRXR2","GSON5139398012")</f>
        <v>#NAME?</v>
      </c>
      <c r="H2627" s="4" t="e">
        <f ca="1">[1]!BexGetData("DP_1","003N8EMH8GTFRCSWKMPXRS42M","GSON5139398012")</f>
        <v>#NAME?</v>
      </c>
      <c r="I2627" s="4" t="e">
        <f ca="1">[1]!BexGetData("DP_1","003N8EMH8GTFRCSWKMPXRSAE6","GSON5139398012")</f>
        <v>#NAME?</v>
      </c>
      <c r="J2627" s="4" t="e">
        <f ca="1">[1]!BexGetData("DP_1","003N8EMH8GTFRCSWKMPXRSGPQ","GSON5139398012")</f>
        <v>#NAME?</v>
      </c>
      <c r="K2627" s="3" t="e">
        <f ca="1">[1]!BexGetData("DP_1","003N8EMH8GTFRIVNUPY288VJH","GSON5139398012")</f>
        <v>#NAME?</v>
      </c>
      <c r="L2627" s="3" t="e">
        <f ca="1">[1]!BexGetData("DP_1","003N8EMH8GTFRIVNUPY2891V1","GSON5139398012")</f>
        <v>#NAME?</v>
      </c>
      <c r="M2627" s="8" t="e">
        <f ca="1">[1]!BexGetData("DP_1","003N8EMH8GTFRIVOG7KG9IQXA","GSON5139398012")</f>
        <v>#NAME?</v>
      </c>
      <c r="N2627" s="3" t="e">
        <f ca="1">[1]!BexGetData("DP_1","003N8EMH8GTFRIVOG7KG9IX8U","GSON5139398012")</f>
        <v>#NAME?</v>
      </c>
      <c r="O2627" s="8" t="e">
        <f ca="1">[1]!BexGetData("DP_1","003N8EMH8GTFRIVOG7KG9J3KE","GSON5139398012")</f>
        <v>#NAME?</v>
      </c>
      <c r="P2627" s="3" t="e">
        <f ca="1">[1]!BexGetData("DP_1","003N8EMH8GTFRIVOG7KG9J9VY","GSON5139398012")</f>
        <v>#NAME?</v>
      </c>
      <c r="Q2627" s="4" t="e">
        <f ca="1">[1]!BexGetData("DP_1","00O2TNJGODT0G5Z4TTKYMM5MT","GSON5139398012")</f>
        <v>#NAME?</v>
      </c>
      <c r="R2627" s="4" t="e">
        <f ca="1">[1]!BexGetData("DP_1","00O2TNJGODT0G5Z4TTKYMMBYD","GSON5139398012")</f>
        <v>#NAME?</v>
      </c>
      <c r="S2627" s="4" t="e">
        <f ca="1">[1]!BexGetData("DP_1","00O2TNJGODT0G5Z4TTKYMMI9X","GSON5139398012")</f>
        <v>#NAME?</v>
      </c>
      <c r="T2627" s="4" t="e">
        <f ca="1">[1]!BexGetData("DP_1","00O2TNJGODT0G5Z4TTKYMMOLH","GSON5139398012")</f>
        <v>#NAME?</v>
      </c>
      <c r="U2627" s="4" t="e">
        <f ca="1">[1]!BexGetData("DP_1","00O2TNJGODT0G5Z4TTKYMMUX1","GSON5139398012")</f>
        <v>#NAME?</v>
      </c>
      <c r="V2627" s="4" t="e">
        <f ca="1">[1]!BexGetData("DP_1","00O2TNJGODT0G5Z4TTKYMN18L","GSON5139398012")</f>
        <v>#NAME?</v>
      </c>
      <c r="W2627" s="4" t="e">
        <f ca="1">[1]!BexGetData("DP_1","00O2TNJGODT0G5Z4TTKYMN7K5","GSON5139398012")</f>
        <v>#NAME?</v>
      </c>
    </row>
    <row r="2628" spans="1:23" x14ac:dyDescent="0.2">
      <c r="A2628" s="16" t="s">
        <v>5391</v>
      </c>
      <c r="B2628" s="7" t="s">
        <v>5392</v>
      </c>
      <c r="C2628" s="3" t="e">
        <f ca="1">[1]!BexGetData("DP_1","003N8EMH8GTFRCSWKMPXRR8GU","GSON5139399011")</f>
        <v>#NAME?</v>
      </c>
      <c r="D2628" s="3" t="e">
        <f ca="1">[1]!BexGetData("DP_1","003N8EMH8GTFRCSWKMPXRRESE","GSON5139399011")</f>
        <v>#NAME?</v>
      </c>
      <c r="E2628" s="3" t="e">
        <f ca="1">[1]!BexGetData("DP_1","003N8EMH8GTFRCSWKMPXRRL3Y","GSON5139399011")</f>
        <v>#NAME?</v>
      </c>
      <c r="F2628" s="4" t="e">
        <f ca="1">[1]!BexGetData("DP_1","003N8EMH8GTFRCSWKMPXRRRFI","GSON5139399011")</f>
        <v>#NAME?</v>
      </c>
      <c r="G2628" s="4" t="e">
        <f ca="1">[1]!BexGetData("DP_1","003N8EMH8GTFRCSWKMPXRRXR2","GSON5139399011")</f>
        <v>#NAME?</v>
      </c>
      <c r="H2628" s="4" t="e">
        <f ca="1">[1]!BexGetData("DP_1","003N8EMH8GTFRCSWKMPXRS42M","GSON5139399011")</f>
        <v>#NAME?</v>
      </c>
      <c r="I2628" s="4" t="e">
        <f ca="1">[1]!BexGetData("DP_1","003N8EMH8GTFRCSWKMPXRSAE6","GSON5139399011")</f>
        <v>#NAME?</v>
      </c>
      <c r="J2628" s="4" t="e">
        <f ca="1">[1]!BexGetData("DP_1","003N8EMH8GTFRCSWKMPXRSGPQ","GSON5139399011")</f>
        <v>#NAME?</v>
      </c>
      <c r="K2628" s="3" t="e">
        <f ca="1">[1]!BexGetData("DP_1","003N8EMH8GTFRIVNUPY288VJH","GSON5139399011")</f>
        <v>#NAME?</v>
      </c>
      <c r="L2628" s="3" t="e">
        <f ca="1">[1]!BexGetData("DP_1","003N8EMH8GTFRIVNUPY2891V1","GSON5139399011")</f>
        <v>#NAME?</v>
      </c>
      <c r="M2628" s="8" t="e">
        <f ca="1">[1]!BexGetData("DP_1","003N8EMH8GTFRIVOG7KG9IQXA","GSON5139399011")</f>
        <v>#NAME?</v>
      </c>
      <c r="N2628" s="3" t="e">
        <f ca="1">[1]!BexGetData("DP_1","003N8EMH8GTFRIVOG7KG9IX8U","GSON5139399011")</f>
        <v>#NAME?</v>
      </c>
      <c r="O2628" s="8" t="e">
        <f ca="1">[1]!BexGetData("DP_1","003N8EMH8GTFRIVOG7KG9J3KE","GSON5139399011")</f>
        <v>#NAME?</v>
      </c>
      <c r="P2628" s="3" t="e">
        <f ca="1">[1]!BexGetData("DP_1","003N8EMH8GTFRIVOG7KG9J9VY","GSON5139399011")</f>
        <v>#NAME?</v>
      </c>
      <c r="Q2628" s="4" t="e">
        <f ca="1">[1]!BexGetData("DP_1","00O2TNJGODT0G5Z4TTKYMM5MT","GSON5139399011")</f>
        <v>#NAME?</v>
      </c>
      <c r="R2628" s="4" t="e">
        <f ca="1">[1]!BexGetData("DP_1","00O2TNJGODT0G5Z4TTKYMMBYD","GSON5139399011")</f>
        <v>#NAME?</v>
      </c>
      <c r="S2628" s="4" t="e">
        <f ca="1">[1]!BexGetData("DP_1","00O2TNJGODT0G5Z4TTKYMMI9X","GSON5139399011")</f>
        <v>#NAME?</v>
      </c>
      <c r="T2628" s="4" t="e">
        <f ca="1">[1]!BexGetData("DP_1","00O2TNJGODT0G5Z4TTKYMMOLH","GSON5139399011")</f>
        <v>#NAME?</v>
      </c>
      <c r="U2628" s="4" t="e">
        <f ca="1">[1]!BexGetData("DP_1","00O2TNJGODT0G5Z4TTKYMMUX1","GSON5139399011")</f>
        <v>#NAME?</v>
      </c>
      <c r="V2628" s="4" t="e">
        <f ca="1">[1]!BexGetData("DP_1","00O2TNJGODT0G5Z4TTKYMN18L","GSON5139399011")</f>
        <v>#NAME?</v>
      </c>
      <c r="W2628" s="4" t="e">
        <f ca="1">[1]!BexGetData("DP_1","00O2TNJGODT0G5Z4TTKYMN7K5","GSON5139399011")</f>
        <v>#NAME?</v>
      </c>
    </row>
    <row r="2629" spans="1:23" x14ac:dyDescent="0.2">
      <c r="A2629" s="16" t="s">
        <v>5393</v>
      </c>
      <c r="B2629" s="7" t="s">
        <v>5394</v>
      </c>
      <c r="C2629" s="3" t="e">
        <f ca="1">[1]!BexGetData("DP_1","003N8EMH8GTFRCSWKMPXRR8GU","GSON5139399021")</f>
        <v>#NAME?</v>
      </c>
      <c r="D2629" s="8" t="e">
        <f ca="1">[1]!BexGetData("DP_1","003N8EMH8GTFRCSWKMPXRRESE","GSON5139399021")</f>
        <v>#NAME?</v>
      </c>
      <c r="E2629" s="3" t="e">
        <f ca="1">[1]!BexGetData("DP_1","003N8EMH8GTFRCSWKMPXRRL3Y","GSON5139399021")</f>
        <v>#NAME?</v>
      </c>
      <c r="F2629" s="4" t="e">
        <f ca="1">[1]!BexGetData("DP_1","003N8EMH8GTFRCSWKMPXRRRFI","GSON5139399021")</f>
        <v>#NAME?</v>
      </c>
      <c r="G2629" s="4" t="e">
        <f ca="1">[1]!BexGetData("DP_1","003N8EMH8GTFRCSWKMPXRRXR2","GSON5139399021")</f>
        <v>#NAME?</v>
      </c>
      <c r="H2629" s="4" t="e">
        <f ca="1">[1]!BexGetData("DP_1","003N8EMH8GTFRCSWKMPXRS42M","GSON5139399021")</f>
        <v>#NAME?</v>
      </c>
      <c r="I2629" s="4" t="e">
        <f ca="1">[1]!BexGetData("DP_1","003N8EMH8GTFRCSWKMPXRSAE6","GSON5139399021")</f>
        <v>#NAME?</v>
      </c>
      <c r="J2629" s="4" t="e">
        <f ca="1">[1]!BexGetData("DP_1","003N8EMH8GTFRCSWKMPXRSGPQ","GSON5139399021")</f>
        <v>#NAME?</v>
      </c>
      <c r="K2629" s="3" t="e">
        <f ca="1">[1]!BexGetData("DP_1","003N8EMH8GTFRIVNUPY288VJH","GSON5139399021")</f>
        <v>#NAME?</v>
      </c>
      <c r="L2629" s="3" t="e">
        <f ca="1">[1]!BexGetData("DP_1","003N8EMH8GTFRIVNUPY2891V1","GSON5139399021")</f>
        <v>#NAME?</v>
      </c>
      <c r="M2629" s="8" t="e">
        <f ca="1">[1]!BexGetData("DP_1","003N8EMH8GTFRIVOG7KG9IQXA","GSON5139399021")</f>
        <v>#NAME?</v>
      </c>
      <c r="N2629" s="3" t="e">
        <f ca="1">[1]!BexGetData("DP_1","003N8EMH8GTFRIVOG7KG9IX8U","GSON5139399021")</f>
        <v>#NAME?</v>
      </c>
      <c r="O2629" s="8" t="e">
        <f ca="1">[1]!BexGetData("DP_1","003N8EMH8GTFRIVOG7KG9J3KE","GSON5139399021")</f>
        <v>#NAME?</v>
      </c>
      <c r="P2629" s="3" t="e">
        <f ca="1">[1]!BexGetData("DP_1","003N8EMH8GTFRIVOG7KG9J9VY","GSON5139399021")</f>
        <v>#NAME?</v>
      </c>
      <c r="Q2629" s="4" t="e">
        <f ca="1">[1]!BexGetData("DP_1","00O2TNJGODT0G5Z4TTKYMM5MT","GSON5139399021")</f>
        <v>#NAME?</v>
      </c>
      <c r="R2629" s="4" t="e">
        <f ca="1">[1]!BexGetData("DP_1","00O2TNJGODT0G5Z4TTKYMMBYD","GSON5139399021")</f>
        <v>#NAME?</v>
      </c>
      <c r="S2629" s="4" t="e">
        <f ca="1">[1]!BexGetData("DP_1","00O2TNJGODT0G5Z4TTKYMMI9X","GSON5139399021")</f>
        <v>#NAME?</v>
      </c>
      <c r="T2629" s="4" t="e">
        <f ca="1">[1]!BexGetData("DP_1","00O2TNJGODT0G5Z4TTKYMMOLH","GSON5139399021")</f>
        <v>#NAME?</v>
      </c>
      <c r="U2629" s="4" t="e">
        <f ca="1">[1]!BexGetData("DP_1","00O2TNJGODT0G5Z4TTKYMMUX1","GSON5139399021")</f>
        <v>#NAME?</v>
      </c>
      <c r="V2629" s="4" t="e">
        <f ca="1">[1]!BexGetData("DP_1","00O2TNJGODT0G5Z4TTKYMN18L","GSON5139399021")</f>
        <v>#NAME?</v>
      </c>
      <c r="W2629" s="4" t="e">
        <f ca="1">[1]!BexGetData("DP_1","00O2TNJGODT0G5Z4TTKYMN7K5","GSON5139399021")</f>
        <v>#NAME?</v>
      </c>
    </row>
    <row r="2630" spans="1:23" x14ac:dyDescent="0.2">
      <c r="A2630" s="16" t="s">
        <v>5395</v>
      </c>
      <c r="B2630" s="7" t="s">
        <v>5396</v>
      </c>
      <c r="C2630" s="3" t="e">
        <f ca="1">[1]!BexGetData("DP_1","003N8EMH8GTFRCSWKMPXRR8GU","GSON5139399031")</f>
        <v>#NAME?</v>
      </c>
      <c r="D2630" s="8" t="e">
        <f ca="1">[1]!BexGetData("DP_1","003N8EMH8GTFRCSWKMPXRRESE","GSON5139399031")</f>
        <v>#NAME?</v>
      </c>
      <c r="E2630" s="3" t="e">
        <f ca="1">[1]!BexGetData("DP_1","003N8EMH8GTFRCSWKMPXRRL3Y","GSON5139399031")</f>
        <v>#NAME?</v>
      </c>
      <c r="F2630" s="4" t="e">
        <f ca="1">[1]!BexGetData("DP_1","003N8EMH8GTFRCSWKMPXRRRFI","GSON5139399031")</f>
        <v>#NAME?</v>
      </c>
      <c r="G2630" s="4" t="e">
        <f ca="1">[1]!BexGetData("DP_1","003N8EMH8GTFRCSWKMPXRRXR2","GSON5139399031")</f>
        <v>#NAME?</v>
      </c>
      <c r="H2630" s="4" t="e">
        <f ca="1">[1]!BexGetData("DP_1","003N8EMH8GTFRCSWKMPXRS42M","GSON5139399031")</f>
        <v>#NAME?</v>
      </c>
      <c r="I2630" s="4" t="e">
        <f ca="1">[1]!BexGetData("DP_1","003N8EMH8GTFRCSWKMPXRSAE6","GSON5139399031")</f>
        <v>#NAME?</v>
      </c>
      <c r="J2630" s="4" t="e">
        <f ca="1">[1]!BexGetData("DP_1","003N8EMH8GTFRCSWKMPXRSGPQ","GSON5139399031")</f>
        <v>#NAME?</v>
      </c>
      <c r="K2630" s="3" t="e">
        <f ca="1">[1]!BexGetData("DP_1","003N8EMH8GTFRIVNUPY288VJH","GSON5139399031")</f>
        <v>#NAME?</v>
      </c>
      <c r="L2630" s="3" t="e">
        <f ca="1">[1]!BexGetData("DP_1","003N8EMH8GTFRIVNUPY2891V1","GSON5139399031")</f>
        <v>#NAME?</v>
      </c>
      <c r="M2630" s="8" t="e">
        <f ca="1">[1]!BexGetData("DP_1","003N8EMH8GTFRIVOG7KG9IQXA","GSON5139399031")</f>
        <v>#NAME?</v>
      </c>
      <c r="N2630" s="3" t="e">
        <f ca="1">[1]!BexGetData("DP_1","003N8EMH8GTFRIVOG7KG9IX8U","GSON5139399031")</f>
        <v>#NAME?</v>
      </c>
      <c r="O2630" s="8" t="e">
        <f ca="1">[1]!BexGetData("DP_1","003N8EMH8GTFRIVOG7KG9J3KE","GSON5139399031")</f>
        <v>#NAME?</v>
      </c>
      <c r="P2630" s="3" t="e">
        <f ca="1">[1]!BexGetData("DP_1","003N8EMH8GTFRIVOG7KG9J9VY","GSON5139399031")</f>
        <v>#NAME?</v>
      </c>
      <c r="Q2630" s="4" t="e">
        <f ca="1">[1]!BexGetData("DP_1","00O2TNJGODT0G5Z4TTKYMM5MT","GSON5139399031")</f>
        <v>#NAME?</v>
      </c>
      <c r="R2630" s="4" t="e">
        <f ca="1">[1]!BexGetData("DP_1","00O2TNJGODT0G5Z4TTKYMMBYD","GSON5139399031")</f>
        <v>#NAME?</v>
      </c>
      <c r="S2630" s="4" t="e">
        <f ca="1">[1]!BexGetData("DP_1","00O2TNJGODT0G5Z4TTKYMMI9X","GSON5139399031")</f>
        <v>#NAME?</v>
      </c>
      <c r="T2630" s="4" t="e">
        <f ca="1">[1]!BexGetData("DP_1","00O2TNJGODT0G5Z4TTKYMMOLH","GSON5139399031")</f>
        <v>#NAME?</v>
      </c>
      <c r="U2630" s="4" t="e">
        <f ca="1">[1]!BexGetData("DP_1","00O2TNJGODT0G5Z4TTKYMMUX1","GSON5139399031")</f>
        <v>#NAME?</v>
      </c>
      <c r="V2630" s="4" t="e">
        <f ca="1">[1]!BexGetData("DP_1","00O2TNJGODT0G5Z4TTKYMN18L","GSON5139399031")</f>
        <v>#NAME?</v>
      </c>
      <c r="W2630" s="4" t="e">
        <f ca="1">[1]!BexGetData("DP_1","00O2TNJGODT0G5Z4TTKYMN7K5","GSON5139399031")</f>
        <v>#NAME?</v>
      </c>
    </row>
    <row r="2631" spans="1:23" x14ac:dyDescent="0.2">
      <c r="A2631" s="13" t="s">
        <v>591</v>
      </c>
      <c r="B2631" s="7" t="s">
        <v>592</v>
      </c>
      <c r="C2631" s="3" t="e">
        <f ca="1">[1]!BexGetData("DP_1","003N8EMH8GTFRCSWKMPXRR8GU","GSON52")</f>
        <v>#NAME?</v>
      </c>
      <c r="D2631" s="3" t="e">
        <f ca="1">[1]!BexGetData("DP_1","003N8EMH8GTFRCSWKMPXRRESE","GSON52")</f>
        <v>#NAME?</v>
      </c>
      <c r="E2631" s="3" t="e">
        <f ca="1">[1]!BexGetData("DP_1","003N8EMH8GTFRCSWKMPXRRL3Y","GSON52")</f>
        <v>#NAME?</v>
      </c>
      <c r="F2631" s="4" t="e">
        <f ca="1">[1]!BexGetData("DP_1","003N8EMH8GTFRCSWKMPXRRRFI","GSON52")</f>
        <v>#NAME?</v>
      </c>
      <c r="G2631" s="4" t="e">
        <f ca="1">[1]!BexGetData("DP_1","003N8EMH8GTFRCSWKMPXRRXR2","GSON52")</f>
        <v>#NAME?</v>
      </c>
      <c r="H2631" s="4" t="e">
        <f ca="1">[1]!BexGetData("DP_1","003N8EMH8GTFRCSWKMPXRS42M","GSON52")</f>
        <v>#NAME?</v>
      </c>
      <c r="I2631" s="4" t="e">
        <f ca="1">[1]!BexGetData("DP_1","003N8EMH8GTFRCSWKMPXRSAE6","GSON52")</f>
        <v>#NAME?</v>
      </c>
      <c r="J2631" s="4" t="e">
        <f ca="1">[1]!BexGetData("DP_1","003N8EMH8GTFRCSWKMPXRSGPQ","GSON52")</f>
        <v>#NAME?</v>
      </c>
      <c r="K2631" s="3" t="e">
        <f ca="1">[1]!BexGetData("DP_1","003N8EMH8GTFRIVNUPY288VJH","GSON52")</f>
        <v>#NAME?</v>
      </c>
      <c r="L2631" s="3" t="e">
        <f ca="1">[1]!BexGetData("DP_1","003N8EMH8GTFRIVNUPY2891V1","GSON52")</f>
        <v>#NAME?</v>
      </c>
      <c r="M2631" s="8" t="e">
        <f ca="1">[1]!BexGetData("DP_1","003N8EMH8GTFRIVOG7KG9IQXA","GSON52")</f>
        <v>#NAME?</v>
      </c>
      <c r="N2631" s="3" t="e">
        <f ca="1">[1]!BexGetData("DP_1","003N8EMH8GTFRIVOG7KG9IX8U","GSON52")</f>
        <v>#NAME?</v>
      </c>
      <c r="O2631" s="8" t="e">
        <f ca="1">[1]!BexGetData("DP_1","003N8EMH8GTFRIVOG7KG9J3KE","GSON52")</f>
        <v>#NAME?</v>
      </c>
      <c r="P2631" s="3" t="e">
        <f ca="1">[1]!BexGetData("DP_1","003N8EMH8GTFRIVOG7KG9J9VY","GSON52")</f>
        <v>#NAME?</v>
      </c>
      <c r="Q2631" s="4" t="e">
        <f ca="1">[1]!BexGetData("DP_1","00O2TNJGODT0G5Z4TTKYMM5MT","GSON52")</f>
        <v>#NAME?</v>
      </c>
      <c r="R2631" s="4" t="e">
        <f ca="1">[1]!BexGetData("DP_1","00O2TNJGODT0G5Z4TTKYMMBYD","GSON52")</f>
        <v>#NAME?</v>
      </c>
      <c r="S2631" s="4" t="e">
        <f ca="1">[1]!BexGetData("DP_1","00O2TNJGODT0G5Z4TTKYMMI9X","GSON52")</f>
        <v>#NAME?</v>
      </c>
      <c r="T2631" s="4" t="e">
        <f ca="1">[1]!BexGetData("DP_1","00O2TNJGODT0G5Z4TTKYMMOLH","GSON52")</f>
        <v>#NAME?</v>
      </c>
      <c r="U2631" s="4" t="e">
        <f ca="1">[1]!BexGetData("DP_1","00O2TNJGODT0G5Z4TTKYMMUX1","GSON52")</f>
        <v>#NAME?</v>
      </c>
      <c r="V2631" s="4" t="e">
        <f ca="1">[1]!BexGetData("DP_1","00O2TNJGODT0G5Z4TTKYMN18L","GSON52")</f>
        <v>#NAME?</v>
      </c>
      <c r="W2631" s="4" t="e">
        <f ca="1">[1]!BexGetData("DP_1","00O2TNJGODT0G5Z4TTKYMN7K5","GSON52")</f>
        <v>#NAME?</v>
      </c>
    </row>
    <row r="2632" spans="1:23" x14ac:dyDescent="0.2">
      <c r="A2632" s="14" t="s">
        <v>593</v>
      </c>
      <c r="B2632" s="7" t="s">
        <v>594</v>
      </c>
      <c r="C2632" s="3" t="e">
        <f ca="1">[1]!BexGetData("DP_1","003N8EMH8GTFRCSWKMPXRR8GU","GSON521")</f>
        <v>#NAME?</v>
      </c>
      <c r="D2632" s="3" t="e">
        <f ca="1">[1]!BexGetData("DP_1","003N8EMH8GTFRCSWKMPXRRESE","GSON521")</f>
        <v>#NAME?</v>
      </c>
      <c r="E2632" s="3" t="e">
        <f ca="1">[1]!BexGetData("DP_1","003N8EMH8GTFRCSWKMPXRRL3Y","GSON521")</f>
        <v>#NAME?</v>
      </c>
      <c r="F2632" s="4" t="e">
        <f ca="1">[1]!BexGetData("DP_1","003N8EMH8GTFRCSWKMPXRRRFI","GSON521")</f>
        <v>#NAME?</v>
      </c>
      <c r="G2632" s="4" t="e">
        <f ca="1">[1]!BexGetData("DP_1","003N8EMH8GTFRCSWKMPXRRXR2","GSON521")</f>
        <v>#NAME?</v>
      </c>
      <c r="H2632" s="4" t="e">
        <f ca="1">[1]!BexGetData("DP_1","003N8EMH8GTFRCSWKMPXRS42M","GSON521")</f>
        <v>#NAME?</v>
      </c>
      <c r="I2632" s="4" t="e">
        <f ca="1">[1]!BexGetData("DP_1","003N8EMH8GTFRCSWKMPXRSAE6","GSON521")</f>
        <v>#NAME?</v>
      </c>
      <c r="J2632" s="4" t="e">
        <f ca="1">[1]!BexGetData("DP_1","003N8EMH8GTFRCSWKMPXRSGPQ","GSON521")</f>
        <v>#NAME?</v>
      </c>
      <c r="K2632" s="3" t="e">
        <f ca="1">[1]!BexGetData("DP_1","003N8EMH8GTFRIVNUPY288VJH","GSON521")</f>
        <v>#NAME?</v>
      </c>
      <c r="L2632" s="3" t="e">
        <f ca="1">[1]!BexGetData("DP_1","003N8EMH8GTFRIVNUPY2891V1","GSON521")</f>
        <v>#NAME?</v>
      </c>
      <c r="M2632" s="8" t="e">
        <f ca="1">[1]!BexGetData("DP_1","003N8EMH8GTFRIVOG7KG9IQXA","GSON521")</f>
        <v>#NAME?</v>
      </c>
      <c r="N2632" s="3" t="e">
        <f ca="1">[1]!BexGetData("DP_1","003N8EMH8GTFRIVOG7KG9IX8U","GSON521")</f>
        <v>#NAME?</v>
      </c>
      <c r="O2632" s="8" t="e">
        <f ca="1">[1]!BexGetData("DP_1","003N8EMH8GTFRIVOG7KG9J3KE","GSON521")</f>
        <v>#NAME?</v>
      </c>
      <c r="P2632" s="3" t="e">
        <f ca="1">[1]!BexGetData("DP_1","003N8EMH8GTFRIVOG7KG9J9VY","GSON521")</f>
        <v>#NAME?</v>
      </c>
      <c r="Q2632" s="4" t="e">
        <f ca="1">[1]!BexGetData("DP_1","00O2TNJGODT0G5Z4TTKYMM5MT","GSON521")</f>
        <v>#NAME?</v>
      </c>
      <c r="R2632" s="4" t="e">
        <f ca="1">[1]!BexGetData("DP_1","00O2TNJGODT0G5Z4TTKYMMBYD","GSON521")</f>
        <v>#NAME?</v>
      </c>
      <c r="S2632" s="4" t="e">
        <f ca="1">[1]!BexGetData("DP_1","00O2TNJGODT0G5Z4TTKYMMI9X","GSON521")</f>
        <v>#NAME?</v>
      </c>
      <c r="T2632" s="4" t="e">
        <f ca="1">[1]!BexGetData("DP_1","00O2TNJGODT0G5Z4TTKYMMOLH","GSON521")</f>
        <v>#NAME?</v>
      </c>
      <c r="U2632" s="4" t="e">
        <f ca="1">[1]!BexGetData("DP_1","00O2TNJGODT0G5Z4TTKYMMUX1","GSON521")</f>
        <v>#NAME?</v>
      </c>
      <c r="V2632" s="4" t="e">
        <f ca="1">[1]!BexGetData("DP_1","00O2TNJGODT0G5Z4TTKYMN18L","GSON521")</f>
        <v>#NAME?</v>
      </c>
      <c r="W2632" s="4" t="e">
        <f ca="1">[1]!BexGetData("DP_1","00O2TNJGODT0G5Z4TTKYMN7K5","GSON521")</f>
        <v>#NAME?</v>
      </c>
    </row>
    <row r="2633" spans="1:23" x14ac:dyDescent="0.2">
      <c r="A2633" s="15" t="s">
        <v>1575</v>
      </c>
      <c r="B2633" s="7" t="s">
        <v>1576</v>
      </c>
      <c r="C2633" s="3" t="e">
        <f ca="1">[1]!BexGetData("DP_1","003N8EMH8GTFRCSWKMPXRR8GU","GSON5211")</f>
        <v>#NAME?</v>
      </c>
      <c r="D2633" s="3" t="e">
        <f ca="1">[1]!BexGetData("DP_1","003N8EMH8GTFRCSWKMPXRRESE","GSON5211")</f>
        <v>#NAME?</v>
      </c>
      <c r="E2633" s="3" t="e">
        <f ca="1">[1]!BexGetData("DP_1","003N8EMH8GTFRCSWKMPXRRL3Y","GSON5211")</f>
        <v>#NAME?</v>
      </c>
      <c r="F2633" s="4" t="e">
        <f ca="1">[1]!BexGetData("DP_1","003N8EMH8GTFRCSWKMPXRRRFI","GSON5211")</f>
        <v>#NAME?</v>
      </c>
      <c r="G2633" s="4" t="e">
        <f ca="1">[1]!BexGetData("DP_1","003N8EMH8GTFRCSWKMPXRRXR2","GSON5211")</f>
        <v>#NAME?</v>
      </c>
      <c r="H2633" s="4" t="e">
        <f ca="1">[1]!BexGetData("DP_1","003N8EMH8GTFRCSWKMPXRS42M","GSON5211")</f>
        <v>#NAME?</v>
      </c>
      <c r="I2633" s="4" t="e">
        <f ca="1">[1]!BexGetData("DP_1","003N8EMH8GTFRCSWKMPXRSAE6","GSON5211")</f>
        <v>#NAME?</v>
      </c>
      <c r="J2633" s="4" t="e">
        <f ca="1">[1]!BexGetData("DP_1","003N8EMH8GTFRCSWKMPXRSGPQ","GSON5211")</f>
        <v>#NAME?</v>
      </c>
      <c r="K2633" s="3" t="e">
        <f ca="1">[1]!BexGetData("DP_1","003N8EMH8GTFRIVNUPY288VJH","GSON5211")</f>
        <v>#NAME?</v>
      </c>
      <c r="L2633" s="3" t="e">
        <f ca="1">[1]!BexGetData("DP_1","003N8EMH8GTFRIVNUPY2891V1","GSON5211")</f>
        <v>#NAME?</v>
      </c>
      <c r="M2633" s="8" t="e">
        <f ca="1">[1]!BexGetData("DP_1","003N8EMH8GTFRIVOG7KG9IQXA","GSON5211")</f>
        <v>#NAME?</v>
      </c>
      <c r="N2633" s="3" t="e">
        <f ca="1">[1]!BexGetData("DP_1","003N8EMH8GTFRIVOG7KG9IX8U","GSON5211")</f>
        <v>#NAME?</v>
      </c>
      <c r="O2633" s="8" t="e">
        <f ca="1">[1]!BexGetData("DP_1","003N8EMH8GTFRIVOG7KG9J3KE","GSON5211")</f>
        <v>#NAME?</v>
      </c>
      <c r="P2633" s="3" t="e">
        <f ca="1">[1]!BexGetData("DP_1","003N8EMH8GTFRIVOG7KG9J9VY","GSON5211")</f>
        <v>#NAME?</v>
      </c>
      <c r="Q2633" s="4" t="e">
        <f ca="1">[1]!BexGetData("DP_1","00O2TNJGODT0G5Z4TTKYMM5MT","GSON5211")</f>
        <v>#NAME?</v>
      </c>
      <c r="R2633" s="4" t="e">
        <f ca="1">[1]!BexGetData("DP_1","00O2TNJGODT0G5Z4TTKYMMBYD","GSON5211")</f>
        <v>#NAME?</v>
      </c>
      <c r="S2633" s="4" t="e">
        <f ca="1">[1]!BexGetData("DP_1","00O2TNJGODT0G5Z4TTKYMMI9X","GSON5211")</f>
        <v>#NAME?</v>
      </c>
      <c r="T2633" s="4" t="e">
        <f ca="1">[1]!BexGetData("DP_1","00O2TNJGODT0G5Z4TTKYMMOLH","GSON5211")</f>
        <v>#NAME?</v>
      </c>
      <c r="U2633" s="4" t="e">
        <f ca="1">[1]!BexGetData("DP_1","00O2TNJGODT0G5Z4TTKYMMUX1","GSON5211")</f>
        <v>#NAME?</v>
      </c>
      <c r="V2633" s="4" t="e">
        <f ca="1">[1]!BexGetData("DP_1","00O2TNJGODT0G5Z4TTKYMN18L","GSON5211")</f>
        <v>#NAME?</v>
      </c>
      <c r="W2633" s="4" t="e">
        <f ca="1">[1]!BexGetData("DP_1","00O2TNJGODT0G5Z4TTKYMN7K5","GSON5211")</f>
        <v>#NAME?</v>
      </c>
    </row>
    <row r="2634" spans="1:23" x14ac:dyDescent="0.2">
      <c r="A2634" s="16" t="s">
        <v>5397</v>
      </c>
      <c r="B2634" s="7" t="s">
        <v>5398</v>
      </c>
      <c r="C2634" s="3" t="e">
        <f ca="1">[1]!BexGetData("DP_1","003N8EMH8GTFRCSWKMPXRR8GU","GSON5211411011")</f>
        <v>#NAME?</v>
      </c>
      <c r="D2634" s="3" t="e">
        <f ca="1">[1]!BexGetData("DP_1","003N8EMH8GTFRCSWKMPXRRESE","GSON5211411011")</f>
        <v>#NAME?</v>
      </c>
      <c r="E2634" s="3" t="e">
        <f ca="1">[1]!BexGetData("DP_1","003N8EMH8GTFRCSWKMPXRRL3Y","GSON5211411011")</f>
        <v>#NAME?</v>
      </c>
      <c r="F2634" s="4" t="e">
        <f ca="1">[1]!BexGetData("DP_1","003N8EMH8GTFRCSWKMPXRRRFI","GSON5211411011")</f>
        <v>#NAME?</v>
      </c>
      <c r="G2634" s="4" t="e">
        <f ca="1">[1]!BexGetData("DP_1","003N8EMH8GTFRCSWKMPXRRXR2","GSON5211411011")</f>
        <v>#NAME?</v>
      </c>
      <c r="H2634" s="4" t="e">
        <f ca="1">[1]!BexGetData("DP_1","003N8EMH8GTFRCSWKMPXRS42M","GSON5211411011")</f>
        <v>#NAME?</v>
      </c>
      <c r="I2634" s="4" t="e">
        <f ca="1">[1]!BexGetData("DP_1","003N8EMH8GTFRCSWKMPXRSAE6","GSON5211411011")</f>
        <v>#NAME?</v>
      </c>
      <c r="J2634" s="4" t="e">
        <f ca="1">[1]!BexGetData("DP_1","003N8EMH8GTFRCSWKMPXRSGPQ","GSON5211411011")</f>
        <v>#NAME?</v>
      </c>
      <c r="K2634" s="3" t="e">
        <f ca="1">[1]!BexGetData("DP_1","003N8EMH8GTFRIVNUPY288VJH","GSON5211411011")</f>
        <v>#NAME?</v>
      </c>
      <c r="L2634" s="3" t="e">
        <f ca="1">[1]!BexGetData("DP_1","003N8EMH8GTFRIVNUPY2891V1","GSON5211411011")</f>
        <v>#NAME?</v>
      </c>
      <c r="M2634" s="8" t="e">
        <f ca="1">[1]!BexGetData("DP_1","003N8EMH8GTFRIVOG7KG9IQXA","GSON5211411011")</f>
        <v>#NAME?</v>
      </c>
      <c r="N2634" s="3" t="e">
        <f ca="1">[1]!BexGetData("DP_1","003N8EMH8GTFRIVOG7KG9IX8U","GSON5211411011")</f>
        <v>#NAME?</v>
      </c>
      <c r="O2634" s="8" t="e">
        <f ca="1">[1]!BexGetData("DP_1","003N8EMH8GTFRIVOG7KG9J3KE","GSON5211411011")</f>
        <v>#NAME?</v>
      </c>
      <c r="P2634" s="3" t="e">
        <f ca="1">[1]!BexGetData("DP_1","003N8EMH8GTFRIVOG7KG9J9VY","GSON5211411011")</f>
        <v>#NAME?</v>
      </c>
      <c r="Q2634" s="4" t="e">
        <f ca="1">[1]!BexGetData("DP_1","00O2TNJGODT0G5Z4TTKYMM5MT","GSON5211411011")</f>
        <v>#NAME?</v>
      </c>
      <c r="R2634" s="4" t="e">
        <f ca="1">[1]!BexGetData("DP_1","00O2TNJGODT0G5Z4TTKYMMBYD","GSON5211411011")</f>
        <v>#NAME?</v>
      </c>
      <c r="S2634" s="4" t="e">
        <f ca="1">[1]!BexGetData("DP_1","00O2TNJGODT0G5Z4TTKYMMI9X","GSON5211411011")</f>
        <v>#NAME?</v>
      </c>
      <c r="T2634" s="4" t="e">
        <f ca="1">[1]!BexGetData("DP_1","00O2TNJGODT0G5Z4TTKYMMOLH","GSON5211411011")</f>
        <v>#NAME?</v>
      </c>
      <c r="U2634" s="4" t="e">
        <f ca="1">[1]!BexGetData("DP_1","00O2TNJGODT0G5Z4TTKYMMUX1","GSON5211411011")</f>
        <v>#NAME?</v>
      </c>
      <c r="V2634" s="4" t="e">
        <f ca="1">[1]!BexGetData("DP_1","00O2TNJGODT0G5Z4TTKYMN18L","GSON5211411011")</f>
        <v>#NAME?</v>
      </c>
      <c r="W2634" s="4" t="e">
        <f ca="1">[1]!BexGetData("DP_1","00O2TNJGODT0G5Z4TTKYMN7K5","GSON5211411011")</f>
        <v>#NAME?</v>
      </c>
    </row>
    <row r="2635" spans="1:23" x14ac:dyDescent="0.2">
      <c r="A2635" s="16" t="s">
        <v>5399</v>
      </c>
      <c r="B2635" s="7" t="s">
        <v>5400</v>
      </c>
      <c r="C2635" s="3" t="e">
        <f ca="1">[1]!BexGetData("DP_1","003N8EMH8GTFRCSWKMPXRR8GU","GSON5211411021")</f>
        <v>#NAME?</v>
      </c>
      <c r="D2635" s="3" t="e">
        <f ca="1">[1]!BexGetData("DP_1","003N8EMH8GTFRCSWKMPXRRESE","GSON5211411021")</f>
        <v>#NAME?</v>
      </c>
      <c r="E2635" s="3" t="e">
        <f ca="1">[1]!BexGetData("DP_1","003N8EMH8GTFRCSWKMPXRRL3Y","GSON5211411021")</f>
        <v>#NAME?</v>
      </c>
      <c r="F2635" s="4" t="e">
        <f ca="1">[1]!BexGetData("DP_1","003N8EMH8GTFRCSWKMPXRRRFI","GSON5211411021")</f>
        <v>#NAME?</v>
      </c>
      <c r="G2635" s="4" t="e">
        <f ca="1">[1]!BexGetData("DP_1","003N8EMH8GTFRCSWKMPXRRXR2","GSON5211411021")</f>
        <v>#NAME?</v>
      </c>
      <c r="H2635" s="4" t="e">
        <f ca="1">[1]!BexGetData("DP_1","003N8EMH8GTFRCSWKMPXRS42M","GSON5211411021")</f>
        <v>#NAME?</v>
      </c>
      <c r="I2635" s="4" t="e">
        <f ca="1">[1]!BexGetData("DP_1","003N8EMH8GTFRCSWKMPXRSAE6","GSON5211411021")</f>
        <v>#NAME?</v>
      </c>
      <c r="J2635" s="4" t="e">
        <f ca="1">[1]!BexGetData("DP_1","003N8EMH8GTFRCSWKMPXRSGPQ","GSON5211411021")</f>
        <v>#NAME?</v>
      </c>
      <c r="K2635" s="3" t="e">
        <f ca="1">[1]!BexGetData("DP_1","003N8EMH8GTFRIVNUPY288VJH","GSON5211411021")</f>
        <v>#NAME?</v>
      </c>
      <c r="L2635" s="3" t="e">
        <f ca="1">[1]!BexGetData("DP_1","003N8EMH8GTFRIVNUPY2891V1","GSON5211411021")</f>
        <v>#NAME?</v>
      </c>
      <c r="M2635" s="8" t="e">
        <f ca="1">[1]!BexGetData("DP_1","003N8EMH8GTFRIVOG7KG9IQXA","GSON5211411021")</f>
        <v>#NAME?</v>
      </c>
      <c r="N2635" s="3" t="e">
        <f ca="1">[1]!BexGetData("DP_1","003N8EMH8GTFRIVOG7KG9IX8U","GSON5211411021")</f>
        <v>#NAME?</v>
      </c>
      <c r="O2635" s="8" t="e">
        <f ca="1">[1]!BexGetData("DP_1","003N8EMH8GTFRIVOG7KG9J3KE","GSON5211411021")</f>
        <v>#NAME?</v>
      </c>
      <c r="P2635" s="3" t="e">
        <f ca="1">[1]!BexGetData("DP_1","003N8EMH8GTFRIVOG7KG9J9VY","GSON5211411021")</f>
        <v>#NAME?</v>
      </c>
      <c r="Q2635" s="4" t="e">
        <f ca="1">[1]!BexGetData("DP_1","00O2TNJGODT0G5Z4TTKYMM5MT","GSON5211411021")</f>
        <v>#NAME?</v>
      </c>
      <c r="R2635" s="4" t="e">
        <f ca="1">[1]!BexGetData("DP_1","00O2TNJGODT0G5Z4TTKYMMBYD","GSON5211411021")</f>
        <v>#NAME?</v>
      </c>
      <c r="S2635" s="4" t="e">
        <f ca="1">[1]!BexGetData("DP_1","00O2TNJGODT0G5Z4TTKYMMI9X","GSON5211411021")</f>
        <v>#NAME?</v>
      </c>
      <c r="T2635" s="4" t="e">
        <f ca="1">[1]!BexGetData("DP_1","00O2TNJGODT0G5Z4TTKYMMOLH","GSON5211411021")</f>
        <v>#NAME?</v>
      </c>
      <c r="U2635" s="4" t="e">
        <f ca="1">[1]!BexGetData("DP_1","00O2TNJGODT0G5Z4TTKYMMUX1","GSON5211411021")</f>
        <v>#NAME?</v>
      </c>
      <c r="V2635" s="4" t="e">
        <f ca="1">[1]!BexGetData("DP_1","00O2TNJGODT0G5Z4TTKYMN18L","GSON5211411021")</f>
        <v>#NAME?</v>
      </c>
      <c r="W2635" s="4" t="e">
        <f ca="1">[1]!BexGetData("DP_1","00O2TNJGODT0G5Z4TTKYMN7K5","GSON5211411021")</f>
        <v>#NAME?</v>
      </c>
    </row>
    <row r="2636" spans="1:23" x14ac:dyDescent="0.2">
      <c r="A2636" s="16" t="s">
        <v>5401</v>
      </c>
      <c r="B2636" s="7" t="s">
        <v>5402</v>
      </c>
      <c r="C2636" s="3" t="e">
        <f ca="1">[1]!BexGetData("DP_1","003N8EMH8GTFRCSWKMPXRR8GU","GSON5211411031")</f>
        <v>#NAME?</v>
      </c>
      <c r="D2636" s="3" t="e">
        <f ca="1">[1]!BexGetData("DP_1","003N8EMH8GTFRCSWKMPXRRESE","GSON5211411031")</f>
        <v>#NAME?</v>
      </c>
      <c r="E2636" s="3" t="e">
        <f ca="1">[1]!BexGetData("DP_1","003N8EMH8GTFRCSWKMPXRRL3Y","GSON5211411031")</f>
        <v>#NAME?</v>
      </c>
      <c r="F2636" s="4" t="e">
        <f ca="1">[1]!BexGetData("DP_1","003N8EMH8GTFRCSWKMPXRRRFI","GSON5211411031")</f>
        <v>#NAME?</v>
      </c>
      <c r="G2636" s="4" t="e">
        <f ca="1">[1]!BexGetData("DP_1","003N8EMH8GTFRCSWKMPXRRXR2","GSON5211411031")</f>
        <v>#NAME?</v>
      </c>
      <c r="H2636" s="4" t="e">
        <f ca="1">[1]!BexGetData("DP_1","003N8EMH8GTFRCSWKMPXRS42M","GSON5211411031")</f>
        <v>#NAME?</v>
      </c>
      <c r="I2636" s="4" t="e">
        <f ca="1">[1]!BexGetData("DP_1","003N8EMH8GTFRCSWKMPXRSAE6","GSON5211411031")</f>
        <v>#NAME?</v>
      </c>
      <c r="J2636" s="4" t="e">
        <f ca="1">[1]!BexGetData("DP_1","003N8EMH8GTFRCSWKMPXRSGPQ","GSON5211411031")</f>
        <v>#NAME?</v>
      </c>
      <c r="K2636" s="3" t="e">
        <f ca="1">[1]!BexGetData("DP_1","003N8EMH8GTFRIVNUPY288VJH","GSON5211411031")</f>
        <v>#NAME?</v>
      </c>
      <c r="L2636" s="3" t="e">
        <f ca="1">[1]!BexGetData("DP_1","003N8EMH8GTFRIVNUPY2891V1","GSON5211411031")</f>
        <v>#NAME?</v>
      </c>
      <c r="M2636" s="8" t="e">
        <f ca="1">[1]!BexGetData("DP_1","003N8EMH8GTFRIVOG7KG9IQXA","GSON5211411031")</f>
        <v>#NAME?</v>
      </c>
      <c r="N2636" s="3" t="e">
        <f ca="1">[1]!BexGetData("DP_1","003N8EMH8GTFRIVOG7KG9IX8U","GSON5211411031")</f>
        <v>#NAME?</v>
      </c>
      <c r="O2636" s="8" t="e">
        <f ca="1">[1]!BexGetData("DP_1","003N8EMH8GTFRIVOG7KG9J3KE","GSON5211411031")</f>
        <v>#NAME?</v>
      </c>
      <c r="P2636" s="3" t="e">
        <f ca="1">[1]!BexGetData("DP_1","003N8EMH8GTFRIVOG7KG9J9VY","GSON5211411031")</f>
        <v>#NAME?</v>
      </c>
      <c r="Q2636" s="4" t="e">
        <f ca="1">[1]!BexGetData("DP_1","00O2TNJGODT0G5Z4TTKYMM5MT","GSON5211411031")</f>
        <v>#NAME?</v>
      </c>
      <c r="R2636" s="4" t="e">
        <f ca="1">[1]!BexGetData("DP_1","00O2TNJGODT0G5Z4TTKYMMBYD","GSON5211411031")</f>
        <v>#NAME?</v>
      </c>
      <c r="S2636" s="4" t="e">
        <f ca="1">[1]!BexGetData("DP_1","00O2TNJGODT0G5Z4TTKYMMI9X","GSON5211411031")</f>
        <v>#NAME?</v>
      </c>
      <c r="T2636" s="4" t="e">
        <f ca="1">[1]!BexGetData("DP_1","00O2TNJGODT0G5Z4TTKYMMOLH","GSON5211411031")</f>
        <v>#NAME?</v>
      </c>
      <c r="U2636" s="4" t="e">
        <f ca="1">[1]!BexGetData("DP_1","00O2TNJGODT0G5Z4TTKYMMUX1","GSON5211411031")</f>
        <v>#NAME?</v>
      </c>
      <c r="V2636" s="4" t="e">
        <f ca="1">[1]!BexGetData("DP_1","00O2TNJGODT0G5Z4TTKYMN18L","GSON5211411031")</f>
        <v>#NAME?</v>
      </c>
      <c r="W2636" s="4" t="e">
        <f ca="1">[1]!BexGetData("DP_1","00O2TNJGODT0G5Z4TTKYMN7K5","GSON5211411031")</f>
        <v>#NAME?</v>
      </c>
    </row>
    <row r="2637" spans="1:23" x14ac:dyDescent="0.2">
      <c r="A2637" s="16" t="s">
        <v>5403</v>
      </c>
      <c r="B2637" s="7" t="s">
        <v>5404</v>
      </c>
      <c r="C2637" s="3" t="e">
        <f ca="1">[1]!BexGetData("DP_1","003N8EMH8GTFRCSWKMPXRR8GU","GSON5211411041")</f>
        <v>#NAME?</v>
      </c>
      <c r="D2637" s="3" t="e">
        <f ca="1">[1]!BexGetData("DP_1","003N8EMH8GTFRCSWKMPXRRESE","GSON5211411041")</f>
        <v>#NAME?</v>
      </c>
      <c r="E2637" s="3" t="e">
        <f ca="1">[1]!BexGetData("DP_1","003N8EMH8GTFRCSWKMPXRRL3Y","GSON5211411041")</f>
        <v>#NAME?</v>
      </c>
      <c r="F2637" s="4" t="e">
        <f ca="1">[1]!BexGetData("DP_1","003N8EMH8GTFRCSWKMPXRRRFI","GSON5211411041")</f>
        <v>#NAME?</v>
      </c>
      <c r="G2637" s="4" t="e">
        <f ca="1">[1]!BexGetData("DP_1","003N8EMH8GTFRCSWKMPXRRXR2","GSON5211411041")</f>
        <v>#NAME?</v>
      </c>
      <c r="H2637" s="4" t="e">
        <f ca="1">[1]!BexGetData("DP_1","003N8EMH8GTFRCSWKMPXRS42M","GSON5211411041")</f>
        <v>#NAME?</v>
      </c>
      <c r="I2637" s="4" t="e">
        <f ca="1">[1]!BexGetData("DP_1","003N8EMH8GTFRCSWKMPXRSAE6","GSON5211411041")</f>
        <v>#NAME?</v>
      </c>
      <c r="J2637" s="4" t="e">
        <f ca="1">[1]!BexGetData("DP_1","003N8EMH8GTFRCSWKMPXRSGPQ","GSON5211411041")</f>
        <v>#NAME?</v>
      </c>
      <c r="K2637" s="3" t="e">
        <f ca="1">[1]!BexGetData("DP_1","003N8EMH8GTFRIVNUPY288VJH","GSON5211411041")</f>
        <v>#NAME?</v>
      </c>
      <c r="L2637" s="3" t="e">
        <f ca="1">[1]!BexGetData("DP_1","003N8EMH8GTFRIVNUPY2891V1","GSON5211411041")</f>
        <v>#NAME?</v>
      </c>
      <c r="M2637" s="8" t="e">
        <f ca="1">[1]!BexGetData("DP_1","003N8EMH8GTFRIVOG7KG9IQXA","GSON5211411041")</f>
        <v>#NAME?</v>
      </c>
      <c r="N2637" s="3" t="e">
        <f ca="1">[1]!BexGetData("DP_1","003N8EMH8GTFRIVOG7KG9IX8U","GSON5211411041")</f>
        <v>#NAME?</v>
      </c>
      <c r="O2637" s="8" t="e">
        <f ca="1">[1]!BexGetData("DP_1","003N8EMH8GTFRIVOG7KG9J3KE","GSON5211411041")</f>
        <v>#NAME?</v>
      </c>
      <c r="P2637" s="3" t="e">
        <f ca="1">[1]!BexGetData("DP_1","003N8EMH8GTFRIVOG7KG9J9VY","GSON5211411041")</f>
        <v>#NAME?</v>
      </c>
      <c r="Q2637" s="4" t="e">
        <f ca="1">[1]!BexGetData("DP_1","00O2TNJGODT0G5Z4TTKYMM5MT","GSON5211411041")</f>
        <v>#NAME?</v>
      </c>
      <c r="R2637" s="4" t="e">
        <f ca="1">[1]!BexGetData("DP_1","00O2TNJGODT0G5Z4TTKYMMBYD","GSON5211411041")</f>
        <v>#NAME?</v>
      </c>
      <c r="S2637" s="4" t="e">
        <f ca="1">[1]!BexGetData("DP_1","00O2TNJGODT0G5Z4TTKYMMI9X","GSON5211411041")</f>
        <v>#NAME?</v>
      </c>
      <c r="T2637" s="4" t="e">
        <f ca="1">[1]!BexGetData("DP_1","00O2TNJGODT0G5Z4TTKYMMOLH","GSON5211411041")</f>
        <v>#NAME?</v>
      </c>
      <c r="U2637" s="4" t="e">
        <f ca="1">[1]!BexGetData("DP_1","00O2TNJGODT0G5Z4TTKYMMUX1","GSON5211411041")</f>
        <v>#NAME?</v>
      </c>
      <c r="V2637" s="4" t="e">
        <f ca="1">[1]!BexGetData("DP_1","00O2TNJGODT0G5Z4TTKYMN18L","GSON5211411041")</f>
        <v>#NAME?</v>
      </c>
      <c r="W2637" s="4" t="e">
        <f ca="1">[1]!BexGetData("DP_1","00O2TNJGODT0G5Z4TTKYMN7K5","GSON5211411041")</f>
        <v>#NAME?</v>
      </c>
    </row>
    <row r="2638" spans="1:23" x14ac:dyDescent="0.2">
      <c r="A2638" s="16" t="s">
        <v>5405</v>
      </c>
      <c r="B2638" s="7" t="s">
        <v>5406</v>
      </c>
      <c r="C2638" s="3" t="e">
        <f ca="1">[1]!BexGetData("DP_1","003N8EMH8GTFRCSWKMPXRR8GU","GSON5211411051")</f>
        <v>#NAME?</v>
      </c>
      <c r="D2638" s="3" t="e">
        <f ca="1">[1]!BexGetData("DP_1","003N8EMH8GTFRCSWKMPXRRESE","GSON5211411051")</f>
        <v>#NAME?</v>
      </c>
      <c r="E2638" s="3" t="e">
        <f ca="1">[1]!BexGetData("DP_1","003N8EMH8GTFRCSWKMPXRRL3Y","GSON5211411051")</f>
        <v>#NAME?</v>
      </c>
      <c r="F2638" s="4" t="e">
        <f ca="1">[1]!BexGetData("DP_1","003N8EMH8GTFRCSWKMPXRRRFI","GSON5211411051")</f>
        <v>#NAME?</v>
      </c>
      <c r="G2638" s="4" t="e">
        <f ca="1">[1]!BexGetData("DP_1","003N8EMH8GTFRCSWKMPXRRXR2","GSON5211411051")</f>
        <v>#NAME?</v>
      </c>
      <c r="H2638" s="4" t="e">
        <f ca="1">[1]!BexGetData("DP_1","003N8EMH8GTFRCSWKMPXRS42M","GSON5211411051")</f>
        <v>#NAME?</v>
      </c>
      <c r="I2638" s="4" t="e">
        <f ca="1">[1]!BexGetData("DP_1","003N8EMH8GTFRCSWKMPXRSAE6","GSON5211411051")</f>
        <v>#NAME?</v>
      </c>
      <c r="J2638" s="4" t="e">
        <f ca="1">[1]!BexGetData("DP_1","003N8EMH8GTFRCSWKMPXRSGPQ","GSON5211411051")</f>
        <v>#NAME?</v>
      </c>
      <c r="K2638" s="3" t="e">
        <f ca="1">[1]!BexGetData("DP_1","003N8EMH8GTFRIVNUPY288VJH","GSON5211411051")</f>
        <v>#NAME?</v>
      </c>
      <c r="L2638" s="3" t="e">
        <f ca="1">[1]!BexGetData("DP_1","003N8EMH8GTFRIVNUPY2891V1","GSON5211411051")</f>
        <v>#NAME?</v>
      </c>
      <c r="M2638" s="8" t="e">
        <f ca="1">[1]!BexGetData("DP_1","003N8EMH8GTFRIVOG7KG9IQXA","GSON5211411051")</f>
        <v>#NAME?</v>
      </c>
      <c r="N2638" s="3" t="e">
        <f ca="1">[1]!BexGetData("DP_1","003N8EMH8GTFRIVOG7KG9IX8U","GSON5211411051")</f>
        <v>#NAME?</v>
      </c>
      <c r="O2638" s="8" t="e">
        <f ca="1">[1]!BexGetData("DP_1","003N8EMH8GTFRIVOG7KG9J3KE","GSON5211411051")</f>
        <v>#NAME?</v>
      </c>
      <c r="P2638" s="3" t="e">
        <f ca="1">[1]!BexGetData("DP_1","003N8EMH8GTFRIVOG7KG9J9VY","GSON5211411051")</f>
        <v>#NAME?</v>
      </c>
      <c r="Q2638" s="4" t="e">
        <f ca="1">[1]!BexGetData("DP_1","00O2TNJGODT0G5Z4TTKYMM5MT","GSON5211411051")</f>
        <v>#NAME?</v>
      </c>
      <c r="R2638" s="4" t="e">
        <f ca="1">[1]!BexGetData("DP_1","00O2TNJGODT0G5Z4TTKYMMBYD","GSON5211411051")</f>
        <v>#NAME?</v>
      </c>
      <c r="S2638" s="4" t="e">
        <f ca="1">[1]!BexGetData("DP_1","00O2TNJGODT0G5Z4TTKYMMI9X","GSON5211411051")</f>
        <v>#NAME?</v>
      </c>
      <c r="T2638" s="4" t="e">
        <f ca="1">[1]!BexGetData("DP_1","00O2TNJGODT0G5Z4TTKYMMOLH","GSON5211411051")</f>
        <v>#NAME?</v>
      </c>
      <c r="U2638" s="4" t="e">
        <f ca="1">[1]!BexGetData("DP_1","00O2TNJGODT0G5Z4TTKYMMUX1","GSON5211411051")</f>
        <v>#NAME?</v>
      </c>
      <c r="V2638" s="4" t="e">
        <f ca="1">[1]!BexGetData("DP_1","00O2TNJGODT0G5Z4TTKYMN18L","GSON5211411051")</f>
        <v>#NAME?</v>
      </c>
      <c r="W2638" s="4" t="e">
        <f ca="1">[1]!BexGetData("DP_1","00O2TNJGODT0G5Z4TTKYMN7K5","GSON5211411051")</f>
        <v>#NAME?</v>
      </c>
    </row>
    <row r="2639" spans="1:23" x14ac:dyDescent="0.2">
      <c r="A2639" s="16" t="s">
        <v>5407</v>
      </c>
      <c r="B2639" s="7" t="s">
        <v>5408</v>
      </c>
      <c r="C2639" s="3" t="e">
        <f ca="1">[1]!BexGetData("DP_1","003N8EMH8GTFRCSWKMPXRR8GU","GSON5211411061")</f>
        <v>#NAME?</v>
      </c>
      <c r="D2639" s="3" t="e">
        <f ca="1">[1]!BexGetData("DP_1","003N8EMH8GTFRCSWKMPXRRESE","GSON5211411061")</f>
        <v>#NAME?</v>
      </c>
      <c r="E2639" s="3" t="e">
        <f ca="1">[1]!BexGetData("DP_1","003N8EMH8GTFRCSWKMPXRRL3Y","GSON5211411061")</f>
        <v>#NAME?</v>
      </c>
      <c r="F2639" s="4" t="e">
        <f ca="1">[1]!BexGetData("DP_1","003N8EMH8GTFRCSWKMPXRRRFI","GSON5211411061")</f>
        <v>#NAME?</v>
      </c>
      <c r="G2639" s="4" t="e">
        <f ca="1">[1]!BexGetData("DP_1","003N8EMH8GTFRCSWKMPXRRXR2","GSON5211411061")</f>
        <v>#NAME?</v>
      </c>
      <c r="H2639" s="4" t="e">
        <f ca="1">[1]!BexGetData("DP_1","003N8EMH8GTFRCSWKMPXRS42M","GSON5211411061")</f>
        <v>#NAME?</v>
      </c>
      <c r="I2639" s="4" t="e">
        <f ca="1">[1]!BexGetData("DP_1","003N8EMH8GTFRCSWKMPXRSAE6","GSON5211411061")</f>
        <v>#NAME?</v>
      </c>
      <c r="J2639" s="4" t="e">
        <f ca="1">[1]!BexGetData("DP_1","003N8EMH8GTFRCSWKMPXRSGPQ","GSON5211411061")</f>
        <v>#NAME?</v>
      </c>
      <c r="K2639" s="3" t="e">
        <f ca="1">[1]!BexGetData("DP_1","003N8EMH8GTFRIVNUPY288VJH","GSON5211411061")</f>
        <v>#NAME?</v>
      </c>
      <c r="L2639" s="3" t="e">
        <f ca="1">[1]!BexGetData("DP_1","003N8EMH8GTFRIVNUPY2891V1","GSON5211411061")</f>
        <v>#NAME?</v>
      </c>
      <c r="M2639" s="8" t="e">
        <f ca="1">[1]!BexGetData("DP_1","003N8EMH8GTFRIVOG7KG9IQXA","GSON5211411061")</f>
        <v>#NAME?</v>
      </c>
      <c r="N2639" s="3" t="e">
        <f ca="1">[1]!BexGetData("DP_1","003N8EMH8GTFRIVOG7KG9IX8U","GSON5211411061")</f>
        <v>#NAME?</v>
      </c>
      <c r="O2639" s="8" t="e">
        <f ca="1">[1]!BexGetData("DP_1","003N8EMH8GTFRIVOG7KG9J3KE","GSON5211411061")</f>
        <v>#NAME?</v>
      </c>
      <c r="P2639" s="3" t="e">
        <f ca="1">[1]!BexGetData("DP_1","003N8EMH8GTFRIVOG7KG9J9VY","GSON5211411061")</f>
        <v>#NAME?</v>
      </c>
      <c r="Q2639" s="4" t="e">
        <f ca="1">[1]!BexGetData("DP_1","00O2TNJGODT0G5Z4TTKYMM5MT","GSON5211411061")</f>
        <v>#NAME?</v>
      </c>
      <c r="R2639" s="4" t="e">
        <f ca="1">[1]!BexGetData("DP_1","00O2TNJGODT0G5Z4TTKYMMBYD","GSON5211411061")</f>
        <v>#NAME?</v>
      </c>
      <c r="S2639" s="4" t="e">
        <f ca="1">[1]!BexGetData("DP_1","00O2TNJGODT0G5Z4TTKYMMI9X","GSON5211411061")</f>
        <v>#NAME?</v>
      </c>
      <c r="T2639" s="4" t="e">
        <f ca="1">[1]!BexGetData("DP_1","00O2TNJGODT0G5Z4TTKYMMOLH","GSON5211411061")</f>
        <v>#NAME?</v>
      </c>
      <c r="U2639" s="4" t="e">
        <f ca="1">[1]!BexGetData("DP_1","00O2TNJGODT0G5Z4TTKYMMUX1","GSON5211411061")</f>
        <v>#NAME?</v>
      </c>
      <c r="V2639" s="4" t="e">
        <f ca="1">[1]!BexGetData("DP_1","00O2TNJGODT0G5Z4TTKYMN18L","GSON5211411061")</f>
        <v>#NAME?</v>
      </c>
      <c r="W2639" s="4" t="e">
        <f ca="1">[1]!BexGetData("DP_1","00O2TNJGODT0G5Z4TTKYMN7K5","GSON5211411061")</f>
        <v>#NAME?</v>
      </c>
    </row>
    <row r="2640" spans="1:23" x14ac:dyDescent="0.2">
      <c r="A2640" s="16" t="s">
        <v>5409</v>
      </c>
      <c r="B2640" s="7" t="s">
        <v>5410</v>
      </c>
      <c r="C2640" s="3" t="e">
        <f ca="1">[1]!BexGetData("DP_1","003N8EMH8GTFRCSWKMPXRR8GU","GSON5211411071")</f>
        <v>#NAME?</v>
      </c>
      <c r="D2640" s="8" t="e">
        <f ca="1">[1]!BexGetData("DP_1","003N8EMH8GTFRCSWKMPXRRESE","GSON5211411071")</f>
        <v>#NAME?</v>
      </c>
      <c r="E2640" s="3" t="e">
        <f ca="1">[1]!BexGetData("DP_1","003N8EMH8GTFRCSWKMPXRRL3Y","GSON5211411071")</f>
        <v>#NAME?</v>
      </c>
      <c r="F2640" s="4" t="e">
        <f ca="1">[1]!BexGetData("DP_1","003N8EMH8GTFRCSWKMPXRRRFI","GSON5211411071")</f>
        <v>#NAME?</v>
      </c>
      <c r="G2640" s="4" t="e">
        <f ca="1">[1]!BexGetData("DP_1","003N8EMH8GTFRCSWKMPXRRXR2","GSON5211411071")</f>
        <v>#NAME?</v>
      </c>
      <c r="H2640" s="4" t="e">
        <f ca="1">[1]!BexGetData("DP_1","003N8EMH8GTFRCSWKMPXRS42M","GSON5211411071")</f>
        <v>#NAME?</v>
      </c>
      <c r="I2640" s="4" t="e">
        <f ca="1">[1]!BexGetData("DP_1","003N8EMH8GTFRCSWKMPXRSAE6","GSON5211411071")</f>
        <v>#NAME?</v>
      </c>
      <c r="J2640" s="4" t="e">
        <f ca="1">[1]!BexGetData("DP_1","003N8EMH8GTFRCSWKMPXRSGPQ","GSON5211411071")</f>
        <v>#NAME?</v>
      </c>
      <c r="K2640" s="3" t="e">
        <f ca="1">[1]!BexGetData("DP_1","003N8EMH8GTFRIVNUPY288VJH","GSON5211411071")</f>
        <v>#NAME?</v>
      </c>
      <c r="L2640" s="3" t="e">
        <f ca="1">[1]!BexGetData("DP_1","003N8EMH8GTFRIVNUPY2891V1","GSON5211411071")</f>
        <v>#NAME?</v>
      </c>
      <c r="M2640" s="8" t="e">
        <f ca="1">[1]!BexGetData("DP_1","003N8EMH8GTFRIVOG7KG9IQXA","GSON5211411071")</f>
        <v>#NAME?</v>
      </c>
      <c r="N2640" s="3" t="e">
        <f ca="1">[1]!BexGetData("DP_1","003N8EMH8GTFRIVOG7KG9IX8U","GSON5211411071")</f>
        <v>#NAME?</v>
      </c>
      <c r="O2640" s="8" t="e">
        <f ca="1">[1]!BexGetData("DP_1","003N8EMH8GTFRIVOG7KG9J3KE","GSON5211411071")</f>
        <v>#NAME?</v>
      </c>
      <c r="P2640" s="3" t="e">
        <f ca="1">[1]!BexGetData("DP_1","003N8EMH8GTFRIVOG7KG9J9VY","GSON5211411071")</f>
        <v>#NAME?</v>
      </c>
      <c r="Q2640" s="4" t="e">
        <f ca="1">[1]!BexGetData("DP_1","00O2TNJGODT0G5Z4TTKYMM5MT","GSON5211411071")</f>
        <v>#NAME?</v>
      </c>
      <c r="R2640" s="4" t="e">
        <f ca="1">[1]!BexGetData("DP_1","00O2TNJGODT0G5Z4TTKYMMBYD","GSON5211411071")</f>
        <v>#NAME?</v>
      </c>
      <c r="S2640" s="4" t="e">
        <f ca="1">[1]!BexGetData("DP_1","00O2TNJGODT0G5Z4TTKYMMI9X","GSON5211411071")</f>
        <v>#NAME?</v>
      </c>
      <c r="T2640" s="4" t="e">
        <f ca="1">[1]!BexGetData("DP_1","00O2TNJGODT0G5Z4TTKYMMOLH","GSON5211411071")</f>
        <v>#NAME?</v>
      </c>
      <c r="U2640" s="4" t="e">
        <f ca="1">[1]!BexGetData("DP_1","00O2TNJGODT0G5Z4TTKYMMUX1","GSON5211411071")</f>
        <v>#NAME?</v>
      </c>
      <c r="V2640" s="4" t="e">
        <f ca="1">[1]!BexGetData("DP_1","00O2TNJGODT0G5Z4TTKYMN18L","GSON5211411071")</f>
        <v>#NAME?</v>
      </c>
      <c r="W2640" s="4" t="e">
        <f ca="1">[1]!BexGetData("DP_1","00O2TNJGODT0G5Z4TTKYMN7K5","GSON5211411071")</f>
        <v>#NAME?</v>
      </c>
    </row>
    <row r="2641" spans="1:23" x14ac:dyDescent="0.2">
      <c r="A2641" s="16" t="s">
        <v>5411</v>
      </c>
      <c r="B2641" s="7" t="s">
        <v>5412</v>
      </c>
      <c r="C2641" s="3" t="e">
        <f ca="1">[1]!BexGetData("DP_1","003N8EMH8GTFRCSWKMPXRR8GU","GSON5211411101")</f>
        <v>#NAME?</v>
      </c>
      <c r="D2641" s="3" t="e">
        <f ca="1">[1]!BexGetData("DP_1","003N8EMH8GTFRCSWKMPXRRESE","GSON5211411101")</f>
        <v>#NAME?</v>
      </c>
      <c r="E2641" s="3" t="e">
        <f ca="1">[1]!BexGetData("DP_1","003N8EMH8GTFRCSWKMPXRRL3Y","GSON5211411101")</f>
        <v>#NAME?</v>
      </c>
      <c r="F2641" s="4" t="e">
        <f ca="1">[1]!BexGetData("DP_1","003N8EMH8GTFRCSWKMPXRRRFI","GSON5211411101")</f>
        <v>#NAME?</v>
      </c>
      <c r="G2641" s="4" t="e">
        <f ca="1">[1]!BexGetData("DP_1","003N8EMH8GTFRCSWKMPXRRXR2","GSON5211411101")</f>
        <v>#NAME?</v>
      </c>
      <c r="H2641" s="4" t="e">
        <f ca="1">[1]!BexGetData("DP_1","003N8EMH8GTFRCSWKMPXRS42M","GSON5211411101")</f>
        <v>#NAME?</v>
      </c>
      <c r="I2641" s="4" t="e">
        <f ca="1">[1]!BexGetData("DP_1","003N8EMH8GTFRCSWKMPXRSAE6","GSON5211411101")</f>
        <v>#NAME?</v>
      </c>
      <c r="J2641" s="4" t="e">
        <f ca="1">[1]!BexGetData("DP_1","003N8EMH8GTFRCSWKMPXRSGPQ","GSON5211411101")</f>
        <v>#NAME?</v>
      </c>
      <c r="K2641" s="3" t="e">
        <f ca="1">[1]!BexGetData("DP_1","003N8EMH8GTFRIVNUPY288VJH","GSON5211411101")</f>
        <v>#NAME?</v>
      </c>
      <c r="L2641" s="3" t="e">
        <f ca="1">[1]!BexGetData("DP_1","003N8EMH8GTFRIVNUPY2891V1","GSON5211411101")</f>
        <v>#NAME?</v>
      </c>
      <c r="M2641" s="8" t="e">
        <f ca="1">[1]!BexGetData("DP_1","003N8EMH8GTFRIVOG7KG9IQXA","GSON5211411101")</f>
        <v>#NAME?</v>
      </c>
      <c r="N2641" s="3" t="e">
        <f ca="1">[1]!BexGetData("DP_1","003N8EMH8GTFRIVOG7KG9IX8U","GSON5211411101")</f>
        <v>#NAME?</v>
      </c>
      <c r="O2641" s="8" t="e">
        <f ca="1">[1]!BexGetData("DP_1","003N8EMH8GTFRIVOG7KG9J3KE","GSON5211411101")</f>
        <v>#NAME?</v>
      </c>
      <c r="P2641" s="3" t="e">
        <f ca="1">[1]!BexGetData("DP_1","003N8EMH8GTFRIVOG7KG9J9VY","GSON5211411101")</f>
        <v>#NAME?</v>
      </c>
      <c r="Q2641" s="4" t="e">
        <f ca="1">[1]!BexGetData("DP_1","00O2TNJGODT0G5Z4TTKYMM5MT","GSON5211411101")</f>
        <v>#NAME?</v>
      </c>
      <c r="R2641" s="4" t="e">
        <f ca="1">[1]!BexGetData("DP_1","00O2TNJGODT0G5Z4TTKYMMBYD","GSON5211411101")</f>
        <v>#NAME?</v>
      </c>
      <c r="S2641" s="4" t="e">
        <f ca="1">[1]!BexGetData("DP_1","00O2TNJGODT0G5Z4TTKYMMI9X","GSON5211411101")</f>
        <v>#NAME?</v>
      </c>
      <c r="T2641" s="4" t="e">
        <f ca="1">[1]!BexGetData("DP_1","00O2TNJGODT0G5Z4TTKYMMOLH","GSON5211411101")</f>
        <v>#NAME?</v>
      </c>
      <c r="U2641" s="4" t="e">
        <f ca="1">[1]!BexGetData("DP_1","00O2TNJGODT0G5Z4TTKYMMUX1","GSON5211411101")</f>
        <v>#NAME?</v>
      </c>
      <c r="V2641" s="4" t="e">
        <f ca="1">[1]!BexGetData("DP_1","00O2TNJGODT0G5Z4TTKYMN18L","GSON5211411101")</f>
        <v>#NAME?</v>
      </c>
      <c r="W2641" s="4" t="e">
        <f ca="1">[1]!BexGetData("DP_1","00O2TNJGODT0G5Z4TTKYMN7K5","GSON5211411101")</f>
        <v>#NAME?</v>
      </c>
    </row>
    <row r="2642" spans="1:23" x14ac:dyDescent="0.2">
      <c r="A2642" s="16" t="s">
        <v>5413</v>
      </c>
      <c r="B2642" s="7" t="s">
        <v>5414</v>
      </c>
      <c r="C2642" s="3" t="e">
        <f ca="1">[1]!BexGetData("DP_1","003N8EMH8GTFRCSWKMPXRR8GU","GSON5211411111")</f>
        <v>#NAME?</v>
      </c>
      <c r="D2642" s="3" t="e">
        <f ca="1">[1]!BexGetData("DP_1","003N8EMH8GTFRCSWKMPXRRESE","GSON5211411111")</f>
        <v>#NAME?</v>
      </c>
      <c r="E2642" s="3" t="e">
        <f ca="1">[1]!BexGetData("DP_1","003N8EMH8GTFRCSWKMPXRRL3Y","GSON5211411111")</f>
        <v>#NAME?</v>
      </c>
      <c r="F2642" s="4" t="e">
        <f ca="1">[1]!BexGetData("DP_1","003N8EMH8GTFRCSWKMPXRRRFI","GSON5211411111")</f>
        <v>#NAME?</v>
      </c>
      <c r="G2642" s="4" t="e">
        <f ca="1">[1]!BexGetData("DP_1","003N8EMH8GTFRCSWKMPXRRXR2","GSON5211411111")</f>
        <v>#NAME?</v>
      </c>
      <c r="H2642" s="4" t="e">
        <f ca="1">[1]!BexGetData("DP_1","003N8EMH8GTFRCSWKMPXRS42M","GSON5211411111")</f>
        <v>#NAME?</v>
      </c>
      <c r="I2642" s="4" t="e">
        <f ca="1">[1]!BexGetData("DP_1","003N8EMH8GTFRCSWKMPXRSAE6","GSON5211411111")</f>
        <v>#NAME?</v>
      </c>
      <c r="J2642" s="4" t="e">
        <f ca="1">[1]!BexGetData("DP_1","003N8EMH8GTFRCSWKMPXRSGPQ","GSON5211411111")</f>
        <v>#NAME?</v>
      </c>
      <c r="K2642" s="3" t="e">
        <f ca="1">[1]!BexGetData("DP_1","003N8EMH8GTFRIVNUPY288VJH","GSON5211411111")</f>
        <v>#NAME?</v>
      </c>
      <c r="L2642" s="3" t="e">
        <f ca="1">[1]!BexGetData("DP_1","003N8EMH8GTFRIVNUPY2891V1","GSON5211411111")</f>
        <v>#NAME?</v>
      </c>
      <c r="M2642" s="8" t="e">
        <f ca="1">[1]!BexGetData("DP_1","003N8EMH8GTFRIVOG7KG9IQXA","GSON5211411111")</f>
        <v>#NAME?</v>
      </c>
      <c r="N2642" s="3" t="e">
        <f ca="1">[1]!BexGetData("DP_1","003N8EMH8GTFRIVOG7KG9IX8U","GSON5211411111")</f>
        <v>#NAME?</v>
      </c>
      <c r="O2642" s="8" t="e">
        <f ca="1">[1]!BexGetData("DP_1","003N8EMH8GTFRIVOG7KG9J3KE","GSON5211411111")</f>
        <v>#NAME?</v>
      </c>
      <c r="P2642" s="3" t="e">
        <f ca="1">[1]!BexGetData("DP_1","003N8EMH8GTFRIVOG7KG9J9VY","GSON5211411111")</f>
        <v>#NAME?</v>
      </c>
      <c r="Q2642" s="4" t="e">
        <f ca="1">[1]!BexGetData("DP_1","00O2TNJGODT0G5Z4TTKYMM5MT","GSON5211411111")</f>
        <v>#NAME?</v>
      </c>
      <c r="R2642" s="4" t="e">
        <f ca="1">[1]!BexGetData("DP_1","00O2TNJGODT0G5Z4TTKYMMBYD","GSON5211411111")</f>
        <v>#NAME?</v>
      </c>
      <c r="S2642" s="4" t="e">
        <f ca="1">[1]!BexGetData("DP_1","00O2TNJGODT0G5Z4TTKYMMI9X","GSON5211411111")</f>
        <v>#NAME?</v>
      </c>
      <c r="T2642" s="4" t="e">
        <f ca="1">[1]!BexGetData("DP_1","00O2TNJGODT0G5Z4TTKYMMOLH","GSON5211411111")</f>
        <v>#NAME?</v>
      </c>
      <c r="U2642" s="4" t="e">
        <f ca="1">[1]!BexGetData("DP_1","00O2TNJGODT0G5Z4TTKYMMUX1","GSON5211411111")</f>
        <v>#NAME?</v>
      </c>
      <c r="V2642" s="4" t="e">
        <f ca="1">[1]!BexGetData("DP_1","00O2TNJGODT0G5Z4TTKYMN18L","GSON5211411111")</f>
        <v>#NAME?</v>
      </c>
      <c r="W2642" s="4" t="e">
        <f ca="1">[1]!BexGetData("DP_1","00O2TNJGODT0G5Z4TTKYMN7K5","GSON5211411111")</f>
        <v>#NAME?</v>
      </c>
    </row>
    <row r="2643" spans="1:23" x14ac:dyDescent="0.2">
      <c r="A2643" s="16" t="s">
        <v>5415</v>
      </c>
      <c r="B2643" s="7" t="s">
        <v>5416</v>
      </c>
      <c r="C2643" s="3" t="e">
        <f ca="1">[1]!BexGetData("DP_1","003N8EMH8GTFRCSWKMPXRR8GU","GSON5211412011")</f>
        <v>#NAME?</v>
      </c>
      <c r="D2643" s="3" t="e">
        <f ca="1">[1]!BexGetData("DP_1","003N8EMH8GTFRCSWKMPXRRESE","GSON5211412011")</f>
        <v>#NAME?</v>
      </c>
      <c r="E2643" s="3" t="e">
        <f ca="1">[1]!BexGetData("DP_1","003N8EMH8GTFRCSWKMPXRRL3Y","GSON5211412011")</f>
        <v>#NAME?</v>
      </c>
      <c r="F2643" s="4" t="e">
        <f ca="1">[1]!BexGetData("DP_1","003N8EMH8GTFRCSWKMPXRRRFI","GSON5211412011")</f>
        <v>#NAME?</v>
      </c>
      <c r="G2643" s="4" t="e">
        <f ca="1">[1]!BexGetData("DP_1","003N8EMH8GTFRCSWKMPXRRXR2","GSON5211412011")</f>
        <v>#NAME?</v>
      </c>
      <c r="H2643" s="4" t="e">
        <f ca="1">[1]!BexGetData("DP_1","003N8EMH8GTFRCSWKMPXRS42M","GSON5211412011")</f>
        <v>#NAME?</v>
      </c>
      <c r="I2643" s="4" t="e">
        <f ca="1">[1]!BexGetData("DP_1","003N8EMH8GTFRCSWKMPXRSAE6","GSON5211412011")</f>
        <v>#NAME?</v>
      </c>
      <c r="J2643" s="4" t="e">
        <f ca="1">[1]!BexGetData("DP_1","003N8EMH8GTFRCSWKMPXRSGPQ","GSON5211412011")</f>
        <v>#NAME?</v>
      </c>
      <c r="K2643" s="3" t="e">
        <f ca="1">[1]!BexGetData("DP_1","003N8EMH8GTFRIVNUPY288VJH","GSON5211412011")</f>
        <v>#NAME?</v>
      </c>
      <c r="L2643" s="3" t="e">
        <f ca="1">[1]!BexGetData("DP_1","003N8EMH8GTFRIVNUPY2891V1","GSON5211412011")</f>
        <v>#NAME?</v>
      </c>
      <c r="M2643" s="8" t="e">
        <f ca="1">[1]!BexGetData("DP_1","003N8EMH8GTFRIVOG7KG9IQXA","GSON5211412011")</f>
        <v>#NAME?</v>
      </c>
      <c r="N2643" s="3" t="e">
        <f ca="1">[1]!BexGetData("DP_1","003N8EMH8GTFRIVOG7KG9IX8U","GSON5211412011")</f>
        <v>#NAME?</v>
      </c>
      <c r="O2643" s="8" t="e">
        <f ca="1">[1]!BexGetData("DP_1","003N8EMH8GTFRIVOG7KG9J3KE","GSON5211412011")</f>
        <v>#NAME?</v>
      </c>
      <c r="P2643" s="3" t="e">
        <f ca="1">[1]!BexGetData("DP_1","003N8EMH8GTFRIVOG7KG9J9VY","GSON5211412011")</f>
        <v>#NAME?</v>
      </c>
      <c r="Q2643" s="4" t="e">
        <f ca="1">[1]!BexGetData("DP_1","00O2TNJGODT0G5Z4TTKYMM5MT","GSON5211412011")</f>
        <v>#NAME?</v>
      </c>
      <c r="R2643" s="4" t="e">
        <f ca="1">[1]!BexGetData("DP_1","00O2TNJGODT0G5Z4TTKYMMBYD","GSON5211412011")</f>
        <v>#NAME?</v>
      </c>
      <c r="S2643" s="4" t="e">
        <f ca="1">[1]!BexGetData("DP_1","00O2TNJGODT0G5Z4TTKYMMI9X","GSON5211412011")</f>
        <v>#NAME?</v>
      </c>
      <c r="T2643" s="4" t="e">
        <f ca="1">[1]!BexGetData("DP_1","00O2TNJGODT0G5Z4TTKYMMOLH","GSON5211412011")</f>
        <v>#NAME?</v>
      </c>
      <c r="U2643" s="4" t="e">
        <f ca="1">[1]!BexGetData("DP_1","00O2TNJGODT0G5Z4TTKYMMUX1","GSON5211412011")</f>
        <v>#NAME?</v>
      </c>
      <c r="V2643" s="4" t="e">
        <f ca="1">[1]!BexGetData("DP_1","00O2TNJGODT0G5Z4TTKYMN18L","GSON5211412011")</f>
        <v>#NAME?</v>
      </c>
      <c r="W2643" s="4" t="e">
        <f ca="1">[1]!BexGetData("DP_1","00O2TNJGODT0G5Z4TTKYMN7K5","GSON5211412011")</f>
        <v>#NAME?</v>
      </c>
    </row>
    <row r="2644" spans="1:23" x14ac:dyDescent="0.2">
      <c r="A2644" s="16" t="s">
        <v>5417</v>
      </c>
      <c r="B2644" s="7" t="s">
        <v>5418</v>
      </c>
      <c r="C2644" s="3" t="e">
        <f ca="1">[1]!BexGetData("DP_1","003N8EMH8GTFRCSWKMPXRR8GU","GSON5211412021")</f>
        <v>#NAME?</v>
      </c>
      <c r="D2644" s="3" t="e">
        <f ca="1">[1]!BexGetData("DP_1","003N8EMH8GTFRCSWKMPXRRESE","GSON5211412021")</f>
        <v>#NAME?</v>
      </c>
      <c r="E2644" s="3" t="e">
        <f ca="1">[1]!BexGetData("DP_1","003N8EMH8GTFRCSWKMPXRRL3Y","GSON5211412021")</f>
        <v>#NAME?</v>
      </c>
      <c r="F2644" s="4" t="e">
        <f ca="1">[1]!BexGetData("DP_1","003N8EMH8GTFRCSWKMPXRRRFI","GSON5211412021")</f>
        <v>#NAME?</v>
      </c>
      <c r="G2644" s="4" t="e">
        <f ca="1">[1]!BexGetData("DP_1","003N8EMH8GTFRCSWKMPXRRXR2","GSON5211412021")</f>
        <v>#NAME?</v>
      </c>
      <c r="H2644" s="4" t="e">
        <f ca="1">[1]!BexGetData("DP_1","003N8EMH8GTFRCSWKMPXRS42M","GSON5211412021")</f>
        <v>#NAME?</v>
      </c>
      <c r="I2644" s="4" t="e">
        <f ca="1">[1]!BexGetData("DP_1","003N8EMH8GTFRCSWKMPXRSAE6","GSON5211412021")</f>
        <v>#NAME?</v>
      </c>
      <c r="J2644" s="4" t="e">
        <f ca="1">[1]!BexGetData("DP_1","003N8EMH8GTFRCSWKMPXRSGPQ","GSON5211412021")</f>
        <v>#NAME?</v>
      </c>
      <c r="K2644" s="3" t="e">
        <f ca="1">[1]!BexGetData("DP_1","003N8EMH8GTFRIVNUPY288VJH","GSON5211412021")</f>
        <v>#NAME?</v>
      </c>
      <c r="L2644" s="3" t="e">
        <f ca="1">[1]!BexGetData("DP_1","003N8EMH8GTFRIVNUPY2891V1","GSON5211412021")</f>
        <v>#NAME?</v>
      </c>
      <c r="M2644" s="8" t="e">
        <f ca="1">[1]!BexGetData("DP_1","003N8EMH8GTFRIVOG7KG9IQXA","GSON5211412021")</f>
        <v>#NAME?</v>
      </c>
      <c r="N2644" s="3" t="e">
        <f ca="1">[1]!BexGetData("DP_1","003N8EMH8GTFRIVOG7KG9IX8U","GSON5211412021")</f>
        <v>#NAME?</v>
      </c>
      <c r="O2644" s="8" t="e">
        <f ca="1">[1]!BexGetData("DP_1","003N8EMH8GTFRIVOG7KG9J3KE","GSON5211412021")</f>
        <v>#NAME?</v>
      </c>
      <c r="P2644" s="3" t="e">
        <f ca="1">[1]!BexGetData("DP_1","003N8EMH8GTFRIVOG7KG9J9VY","GSON5211412021")</f>
        <v>#NAME?</v>
      </c>
      <c r="Q2644" s="4" t="e">
        <f ca="1">[1]!BexGetData("DP_1","00O2TNJGODT0G5Z4TTKYMM5MT","GSON5211412021")</f>
        <v>#NAME?</v>
      </c>
      <c r="R2644" s="4" t="e">
        <f ca="1">[1]!BexGetData("DP_1","00O2TNJGODT0G5Z4TTKYMMBYD","GSON5211412021")</f>
        <v>#NAME?</v>
      </c>
      <c r="S2644" s="4" t="e">
        <f ca="1">[1]!BexGetData("DP_1","00O2TNJGODT0G5Z4TTKYMMI9X","GSON5211412021")</f>
        <v>#NAME?</v>
      </c>
      <c r="T2644" s="4" t="e">
        <f ca="1">[1]!BexGetData("DP_1","00O2TNJGODT0G5Z4TTKYMMOLH","GSON5211412021")</f>
        <v>#NAME?</v>
      </c>
      <c r="U2644" s="4" t="e">
        <f ca="1">[1]!BexGetData("DP_1","00O2TNJGODT0G5Z4TTKYMMUX1","GSON5211412021")</f>
        <v>#NAME?</v>
      </c>
      <c r="V2644" s="4" t="e">
        <f ca="1">[1]!BexGetData("DP_1","00O2TNJGODT0G5Z4TTKYMN18L","GSON5211412021")</f>
        <v>#NAME?</v>
      </c>
      <c r="W2644" s="4" t="e">
        <f ca="1">[1]!BexGetData("DP_1","00O2TNJGODT0G5Z4TTKYMN7K5","GSON5211412021")</f>
        <v>#NAME?</v>
      </c>
    </row>
    <row r="2645" spans="1:23" x14ac:dyDescent="0.2">
      <c r="A2645" s="16" t="s">
        <v>5419</v>
      </c>
      <c r="B2645" s="7" t="s">
        <v>5420</v>
      </c>
      <c r="C2645" s="3" t="e">
        <f ca="1">[1]!BexGetData("DP_1","003N8EMH8GTFRCSWKMPXRR8GU","GSON5211412031")</f>
        <v>#NAME?</v>
      </c>
      <c r="D2645" s="8" t="e">
        <f ca="1">[1]!BexGetData("DP_1","003N8EMH8GTFRCSWKMPXRRESE","GSON5211412031")</f>
        <v>#NAME?</v>
      </c>
      <c r="E2645" s="3" t="e">
        <f ca="1">[1]!BexGetData("DP_1","003N8EMH8GTFRCSWKMPXRRL3Y","GSON5211412031")</f>
        <v>#NAME?</v>
      </c>
      <c r="F2645" s="4" t="e">
        <f ca="1">[1]!BexGetData("DP_1","003N8EMH8GTFRCSWKMPXRRRFI","GSON5211412031")</f>
        <v>#NAME?</v>
      </c>
      <c r="G2645" s="4" t="e">
        <f ca="1">[1]!BexGetData("DP_1","003N8EMH8GTFRCSWKMPXRRXR2","GSON5211412031")</f>
        <v>#NAME?</v>
      </c>
      <c r="H2645" s="4" t="e">
        <f ca="1">[1]!BexGetData("DP_1","003N8EMH8GTFRCSWKMPXRS42M","GSON5211412031")</f>
        <v>#NAME?</v>
      </c>
      <c r="I2645" s="4" t="e">
        <f ca="1">[1]!BexGetData("DP_1","003N8EMH8GTFRCSWKMPXRSAE6","GSON5211412031")</f>
        <v>#NAME?</v>
      </c>
      <c r="J2645" s="4" t="e">
        <f ca="1">[1]!BexGetData("DP_1","003N8EMH8GTFRCSWKMPXRSGPQ","GSON5211412031")</f>
        <v>#NAME?</v>
      </c>
      <c r="K2645" s="3" t="e">
        <f ca="1">[1]!BexGetData("DP_1","003N8EMH8GTFRIVNUPY288VJH","GSON5211412031")</f>
        <v>#NAME?</v>
      </c>
      <c r="L2645" s="3" t="e">
        <f ca="1">[1]!BexGetData("DP_1","003N8EMH8GTFRIVNUPY2891V1","GSON5211412031")</f>
        <v>#NAME?</v>
      </c>
      <c r="M2645" s="8" t="e">
        <f ca="1">[1]!BexGetData("DP_1","003N8EMH8GTFRIVOG7KG9IQXA","GSON5211412031")</f>
        <v>#NAME?</v>
      </c>
      <c r="N2645" s="3" t="e">
        <f ca="1">[1]!BexGetData("DP_1","003N8EMH8GTFRIVOG7KG9IX8U","GSON5211412031")</f>
        <v>#NAME?</v>
      </c>
      <c r="O2645" s="8" t="e">
        <f ca="1">[1]!BexGetData("DP_1","003N8EMH8GTFRIVOG7KG9J3KE","GSON5211412031")</f>
        <v>#NAME?</v>
      </c>
      <c r="P2645" s="3" t="e">
        <f ca="1">[1]!BexGetData("DP_1","003N8EMH8GTFRIVOG7KG9J9VY","GSON5211412031")</f>
        <v>#NAME?</v>
      </c>
      <c r="Q2645" s="4" t="e">
        <f ca="1">[1]!BexGetData("DP_1","00O2TNJGODT0G5Z4TTKYMM5MT","GSON5211412031")</f>
        <v>#NAME?</v>
      </c>
      <c r="R2645" s="4" t="e">
        <f ca="1">[1]!BexGetData("DP_1","00O2TNJGODT0G5Z4TTKYMMBYD","GSON5211412031")</f>
        <v>#NAME?</v>
      </c>
      <c r="S2645" s="4" t="e">
        <f ca="1">[1]!BexGetData("DP_1","00O2TNJGODT0G5Z4TTKYMMI9X","GSON5211412031")</f>
        <v>#NAME?</v>
      </c>
      <c r="T2645" s="4" t="e">
        <f ca="1">[1]!BexGetData("DP_1","00O2TNJGODT0G5Z4TTKYMMOLH","GSON5211412031")</f>
        <v>#NAME?</v>
      </c>
      <c r="U2645" s="4" t="e">
        <f ca="1">[1]!BexGetData("DP_1","00O2TNJGODT0G5Z4TTKYMMUX1","GSON5211412031")</f>
        <v>#NAME?</v>
      </c>
      <c r="V2645" s="4" t="e">
        <f ca="1">[1]!BexGetData("DP_1","00O2TNJGODT0G5Z4TTKYMN18L","GSON5211412031")</f>
        <v>#NAME?</v>
      </c>
      <c r="W2645" s="4" t="e">
        <f ca="1">[1]!BexGetData("DP_1","00O2TNJGODT0G5Z4TTKYMN7K5","GSON5211412031")</f>
        <v>#NAME?</v>
      </c>
    </row>
    <row r="2646" spans="1:23" x14ac:dyDescent="0.2">
      <c r="A2646" s="16" t="s">
        <v>5415</v>
      </c>
      <c r="B2646" s="7" t="s">
        <v>5421</v>
      </c>
      <c r="C2646" s="3" t="e">
        <f ca="1">[1]!BexGetData("DP_1","003N8EMH8GTFRCSWKMPXRR8GU","GSON5211413011")</f>
        <v>#NAME?</v>
      </c>
      <c r="D2646" s="3" t="e">
        <f ca="1">[1]!BexGetData("DP_1","003N8EMH8GTFRCSWKMPXRRESE","GSON5211413011")</f>
        <v>#NAME?</v>
      </c>
      <c r="E2646" s="3" t="e">
        <f ca="1">[1]!BexGetData("DP_1","003N8EMH8GTFRCSWKMPXRRL3Y","GSON5211413011")</f>
        <v>#NAME?</v>
      </c>
      <c r="F2646" s="4" t="e">
        <f ca="1">[1]!BexGetData("DP_1","003N8EMH8GTFRCSWKMPXRRRFI","GSON5211413011")</f>
        <v>#NAME?</v>
      </c>
      <c r="G2646" s="4" t="e">
        <f ca="1">[1]!BexGetData("DP_1","003N8EMH8GTFRCSWKMPXRRXR2","GSON5211413011")</f>
        <v>#NAME?</v>
      </c>
      <c r="H2646" s="4" t="e">
        <f ca="1">[1]!BexGetData("DP_1","003N8EMH8GTFRCSWKMPXRS42M","GSON5211413011")</f>
        <v>#NAME?</v>
      </c>
      <c r="I2646" s="4" t="e">
        <f ca="1">[1]!BexGetData("DP_1","003N8EMH8GTFRCSWKMPXRSAE6","GSON5211413011")</f>
        <v>#NAME?</v>
      </c>
      <c r="J2646" s="4" t="e">
        <f ca="1">[1]!BexGetData("DP_1","003N8EMH8GTFRCSWKMPXRSGPQ","GSON5211413011")</f>
        <v>#NAME?</v>
      </c>
      <c r="K2646" s="3" t="e">
        <f ca="1">[1]!BexGetData("DP_1","003N8EMH8GTFRIVNUPY288VJH","GSON5211413011")</f>
        <v>#NAME?</v>
      </c>
      <c r="L2646" s="3" t="e">
        <f ca="1">[1]!BexGetData("DP_1","003N8EMH8GTFRIVNUPY2891V1","GSON5211413011")</f>
        <v>#NAME?</v>
      </c>
      <c r="M2646" s="8" t="e">
        <f ca="1">[1]!BexGetData("DP_1","003N8EMH8GTFRIVOG7KG9IQXA","GSON5211413011")</f>
        <v>#NAME?</v>
      </c>
      <c r="N2646" s="3" t="e">
        <f ca="1">[1]!BexGetData("DP_1","003N8EMH8GTFRIVOG7KG9IX8U","GSON5211413011")</f>
        <v>#NAME?</v>
      </c>
      <c r="O2646" s="8" t="e">
        <f ca="1">[1]!BexGetData("DP_1","003N8EMH8GTFRIVOG7KG9J3KE","GSON5211413011")</f>
        <v>#NAME?</v>
      </c>
      <c r="P2646" s="3" t="e">
        <f ca="1">[1]!BexGetData("DP_1","003N8EMH8GTFRIVOG7KG9J9VY","GSON5211413011")</f>
        <v>#NAME?</v>
      </c>
      <c r="Q2646" s="4" t="e">
        <f ca="1">[1]!BexGetData("DP_1","00O2TNJGODT0G5Z4TTKYMM5MT","GSON5211413011")</f>
        <v>#NAME?</v>
      </c>
      <c r="R2646" s="4" t="e">
        <f ca="1">[1]!BexGetData("DP_1","00O2TNJGODT0G5Z4TTKYMMBYD","GSON5211413011")</f>
        <v>#NAME?</v>
      </c>
      <c r="S2646" s="4" t="e">
        <f ca="1">[1]!BexGetData("DP_1","00O2TNJGODT0G5Z4TTKYMMI9X","GSON5211413011")</f>
        <v>#NAME?</v>
      </c>
      <c r="T2646" s="4" t="e">
        <f ca="1">[1]!BexGetData("DP_1","00O2TNJGODT0G5Z4TTKYMMOLH","GSON5211413011")</f>
        <v>#NAME?</v>
      </c>
      <c r="U2646" s="4" t="e">
        <f ca="1">[1]!BexGetData("DP_1","00O2TNJGODT0G5Z4TTKYMMUX1","GSON5211413011")</f>
        <v>#NAME?</v>
      </c>
      <c r="V2646" s="4" t="e">
        <f ca="1">[1]!BexGetData("DP_1","00O2TNJGODT0G5Z4TTKYMN18L","GSON5211413011")</f>
        <v>#NAME?</v>
      </c>
      <c r="W2646" s="4" t="e">
        <f ca="1">[1]!BexGetData("DP_1","00O2TNJGODT0G5Z4TTKYMN7K5","GSON5211413011")</f>
        <v>#NAME?</v>
      </c>
    </row>
    <row r="2647" spans="1:23" x14ac:dyDescent="0.2">
      <c r="A2647" s="16" t="s">
        <v>5417</v>
      </c>
      <c r="B2647" s="7" t="s">
        <v>5422</v>
      </c>
      <c r="C2647" s="3" t="e">
        <f ca="1">[1]!BexGetData("DP_1","003N8EMH8GTFRCSWKMPXRR8GU","GSON5211413021")</f>
        <v>#NAME?</v>
      </c>
      <c r="D2647" s="3" t="e">
        <f ca="1">[1]!BexGetData("DP_1","003N8EMH8GTFRCSWKMPXRRESE","GSON5211413021")</f>
        <v>#NAME?</v>
      </c>
      <c r="E2647" s="3" t="e">
        <f ca="1">[1]!BexGetData("DP_1","003N8EMH8GTFRCSWKMPXRRL3Y","GSON5211413021")</f>
        <v>#NAME?</v>
      </c>
      <c r="F2647" s="4" t="e">
        <f ca="1">[1]!BexGetData("DP_1","003N8EMH8GTFRCSWKMPXRRRFI","GSON5211413021")</f>
        <v>#NAME?</v>
      </c>
      <c r="G2647" s="4" t="e">
        <f ca="1">[1]!BexGetData("DP_1","003N8EMH8GTFRCSWKMPXRRXR2","GSON5211413021")</f>
        <v>#NAME?</v>
      </c>
      <c r="H2647" s="4" t="e">
        <f ca="1">[1]!BexGetData("DP_1","003N8EMH8GTFRCSWKMPXRS42M","GSON5211413021")</f>
        <v>#NAME?</v>
      </c>
      <c r="I2647" s="4" t="e">
        <f ca="1">[1]!BexGetData("DP_1","003N8EMH8GTFRCSWKMPXRSAE6","GSON5211413021")</f>
        <v>#NAME?</v>
      </c>
      <c r="J2647" s="4" t="e">
        <f ca="1">[1]!BexGetData("DP_1","003N8EMH8GTFRCSWKMPXRSGPQ","GSON5211413021")</f>
        <v>#NAME?</v>
      </c>
      <c r="K2647" s="3" t="e">
        <f ca="1">[1]!BexGetData("DP_1","003N8EMH8GTFRIVNUPY288VJH","GSON5211413021")</f>
        <v>#NAME?</v>
      </c>
      <c r="L2647" s="3" t="e">
        <f ca="1">[1]!BexGetData("DP_1","003N8EMH8GTFRIVNUPY2891V1","GSON5211413021")</f>
        <v>#NAME?</v>
      </c>
      <c r="M2647" s="8" t="e">
        <f ca="1">[1]!BexGetData("DP_1","003N8EMH8GTFRIVOG7KG9IQXA","GSON5211413021")</f>
        <v>#NAME?</v>
      </c>
      <c r="N2647" s="3" t="e">
        <f ca="1">[1]!BexGetData("DP_1","003N8EMH8GTFRIVOG7KG9IX8U","GSON5211413021")</f>
        <v>#NAME?</v>
      </c>
      <c r="O2647" s="8" t="e">
        <f ca="1">[1]!BexGetData("DP_1","003N8EMH8GTFRIVOG7KG9J3KE","GSON5211413021")</f>
        <v>#NAME?</v>
      </c>
      <c r="P2647" s="3" t="e">
        <f ca="1">[1]!BexGetData("DP_1","003N8EMH8GTFRIVOG7KG9J9VY","GSON5211413021")</f>
        <v>#NAME?</v>
      </c>
      <c r="Q2647" s="4" t="e">
        <f ca="1">[1]!BexGetData("DP_1","00O2TNJGODT0G5Z4TTKYMM5MT","GSON5211413021")</f>
        <v>#NAME?</v>
      </c>
      <c r="R2647" s="4" t="e">
        <f ca="1">[1]!BexGetData("DP_1","00O2TNJGODT0G5Z4TTKYMMBYD","GSON5211413021")</f>
        <v>#NAME?</v>
      </c>
      <c r="S2647" s="4" t="e">
        <f ca="1">[1]!BexGetData("DP_1","00O2TNJGODT0G5Z4TTKYMMI9X","GSON5211413021")</f>
        <v>#NAME?</v>
      </c>
      <c r="T2647" s="4" t="e">
        <f ca="1">[1]!BexGetData("DP_1","00O2TNJGODT0G5Z4TTKYMMOLH","GSON5211413021")</f>
        <v>#NAME?</v>
      </c>
      <c r="U2647" s="4" t="e">
        <f ca="1">[1]!BexGetData("DP_1","00O2TNJGODT0G5Z4TTKYMMUX1","GSON5211413021")</f>
        <v>#NAME?</v>
      </c>
      <c r="V2647" s="4" t="e">
        <f ca="1">[1]!BexGetData("DP_1","00O2TNJGODT0G5Z4TTKYMN18L","GSON5211413021")</f>
        <v>#NAME?</v>
      </c>
      <c r="W2647" s="4" t="e">
        <f ca="1">[1]!BexGetData("DP_1","00O2TNJGODT0G5Z4TTKYMN7K5","GSON5211413021")</f>
        <v>#NAME?</v>
      </c>
    </row>
    <row r="2648" spans="1:23" x14ac:dyDescent="0.2">
      <c r="A2648" s="16" t="s">
        <v>5423</v>
      </c>
      <c r="B2648" s="7" t="s">
        <v>5424</v>
      </c>
      <c r="C2648" s="3" t="e">
        <f ca="1">[1]!BexGetData("DP_1","003N8EMH8GTFRCSWKMPXRR8GU","GSON5211413031")</f>
        <v>#NAME?</v>
      </c>
      <c r="D2648" s="3" t="e">
        <f ca="1">[1]!BexGetData("DP_1","003N8EMH8GTFRCSWKMPXRRESE","GSON5211413031")</f>
        <v>#NAME?</v>
      </c>
      <c r="E2648" s="3" t="e">
        <f ca="1">[1]!BexGetData("DP_1","003N8EMH8GTFRCSWKMPXRRL3Y","GSON5211413031")</f>
        <v>#NAME?</v>
      </c>
      <c r="F2648" s="4" t="e">
        <f ca="1">[1]!BexGetData("DP_1","003N8EMH8GTFRCSWKMPXRRRFI","GSON5211413031")</f>
        <v>#NAME?</v>
      </c>
      <c r="G2648" s="4" t="e">
        <f ca="1">[1]!BexGetData("DP_1","003N8EMH8GTFRCSWKMPXRRXR2","GSON5211413031")</f>
        <v>#NAME?</v>
      </c>
      <c r="H2648" s="4" t="e">
        <f ca="1">[1]!BexGetData("DP_1","003N8EMH8GTFRCSWKMPXRS42M","GSON5211413031")</f>
        <v>#NAME?</v>
      </c>
      <c r="I2648" s="4" t="e">
        <f ca="1">[1]!BexGetData("DP_1","003N8EMH8GTFRCSWKMPXRSAE6","GSON5211413031")</f>
        <v>#NAME?</v>
      </c>
      <c r="J2648" s="4" t="e">
        <f ca="1">[1]!BexGetData("DP_1","003N8EMH8GTFRCSWKMPXRSGPQ","GSON5211413031")</f>
        <v>#NAME?</v>
      </c>
      <c r="K2648" s="3" t="e">
        <f ca="1">[1]!BexGetData("DP_1","003N8EMH8GTFRIVNUPY288VJH","GSON5211413031")</f>
        <v>#NAME?</v>
      </c>
      <c r="L2648" s="3" t="e">
        <f ca="1">[1]!BexGetData("DP_1","003N8EMH8GTFRIVNUPY2891V1","GSON5211413031")</f>
        <v>#NAME?</v>
      </c>
      <c r="M2648" s="8" t="e">
        <f ca="1">[1]!BexGetData("DP_1","003N8EMH8GTFRIVOG7KG9IQXA","GSON5211413031")</f>
        <v>#NAME?</v>
      </c>
      <c r="N2648" s="3" t="e">
        <f ca="1">[1]!BexGetData("DP_1","003N8EMH8GTFRIVOG7KG9IX8U","GSON5211413031")</f>
        <v>#NAME?</v>
      </c>
      <c r="O2648" s="8" t="e">
        <f ca="1">[1]!BexGetData("DP_1","003N8EMH8GTFRIVOG7KG9J3KE","GSON5211413031")</f>
        <v>#NAME?</v>
      </c>
      <c r="P2648" s="3" t="e">
        <f ca="1">[1]!BexGetData("DP_1","003N8EMH8GTFRIVOG7KG9J9VY","GSON5211413031")</f>
        <v>#NAME?</v>
      </c>
      <c r="Q2648" s="4" t="e">
        <f ca="1">[1]!BexGetData("DP_1","00O2TNJGODT0G5Z4TTKYMM5MT","GSON5211413031")</f>
        <v>#NAME?</v>
      </c>
      <c r="R2648" s="4" t="e">
        <f ca="1">[1]!BexGetData("DP_1","00O2TNJGODT0G5Z4TTKYMMBYD","GSON5211413031")</f>
        <v>#NAME?</v>
      </c>
      <c r="S2648" s="4" t="e">
        <f ca="1">[1]!BexGetData("DP_1","00O2TNJGODT0G5Z4TTKYMMI9X","GSON5211413031")</f>
        <v>#NAME?</v>
      </c>
      <c r="T2648" s="4" t="e">
        <f ca="1">[1]!BexGetData("DP_1","00O2TNJGODT0G5Z4TTKYMMOLH","GSON5211413031")</f>
        <v>#NAME?</v>
      </c>
      <c r="U2648" s="4" t="e">
        <f ca="1">[1]!BexGetData("DP_1","00O2TNJGODT0G5Z4TTKYMMUX1","GSON5211413031")</f>
        <v>#NAME?</v>
      </c>
      <c r="V2648" s="4" t="e">
        <f ca="1">[1]!BexGetData("DP_1","00O2TNJGODT0G5Z4TTKYMN18L","GSON5211413031")</f>
        <v>#NAME?</v>
      </c>
      <c r="W2648" s="4" t="e">
        <f ca="1">[1]!BexGetData("DP_1","00O2TNJGODT0G5Z4TTKYMN7K5","GSON5211413031")</f>
        <v>#NAME?</v>
      </c>
    </row>
    <row r="2649" spans="1:23" x14ac:dyDescent="0.2">
      <c r="A2649" s="16" t="s">
        <v>5425</v>
      </c>
      <c r="B2649" s="7" t="s">
        <v>1577</v>
      </c>
      <c r="C2649" s="3" t="e">
        <f ca="1">[1]!BexGetData("DP_1","003N8EMH8GTFRCSWKMPXRR8GU","GSON5211414011")</f>
        <v>#NAME?</v>
      </c>
      <c r="D2649" s="3" t="e">
        <f ca="1">[1]!BexGetData("DP_1","003N8EMH8GTFRCSWKMPXRRESE","GSON5211414011")</f>
        <v>#NAME?</v>
      </c>
      <c r="E2649" s="3" t="e">
        <f ca="1">[1]!BexGetData("DP_1","003N8EMH8GTFRCSWKMPXRRL3Y","GSON5211414011")</f>
        <v>#NAME?</v>
      </c>
      <c r="F2649" s="4" t="e">
        <f ca="1">[1]!BexGetData("DP_1","003N8EMH8GTFRCSWKMPXRRRFI","GSON5211414011")</f>
        <v>#NAME?</v>
      </c>
      <c r="G2649" s="4" t="e">
        <f ca="1">[1]!BexGetData("DP_1","003N8EMH8GTFRCSWKMPXRRXR2","GSON5211414011")</f>
        <v>#NAME?</v>
      </c>
      <c r="H2649" s="4" t="e">
        <f ca="1">[1]!BexGetData("DP_1","003N8EMH8GTFRCSWKMPXRS42M","GSON5211414011")</f>
        <v>#NAME?</v>
      </c>
      <c r="I2649" s="4" t="e">
        <f ca="1">[1]!BexGetData("DP_1","003N8EMH8GTFRCSWKMPXRSAE6","GSON5211414011")</f>
        <v>#NAME?</v>
      </c>
      <c r="J2649" s="4" t="e">
        <f ca="1">[1]!BexGetData("DP_1","003N8EMH8GTFRCSWKMPXRSGPQ","GSON5211414011")</f>
        <v>#NAME?</v>
      </c>
      <c r="K2649" s="3" t="e">
        <f ca="1">[1]!BexGetData("DP_1","003N8EMH8GTFRIVNUPY288VJH","GSON5211414011")</f>
        <v>#NAME?</v>
      </c>
      <c r="L2649" s="3" t="e">
        <f ca="1">[1]!BexGetData("DP_1","003N8EMH8GTFRIVNUPY2891V1","GSON5211414011")</f>
        <v>#NAME?</v>
      </c>
      <c r="M2649" s="8" t="e">
        <f ca="1">[1]!BexGetData("DP_1","003N8EMH8GTFRIVOG7KG9IQXA","GSON5211414011")</f>
        <v>#NAME?</v>
      </c>
      <c r="N2649" s="3" t="e">
        <f ca="1">[1]!BexGetData("DP_1","003N8EMH8GTFRIVOG7KG9IX8U","GSON5211414011")</f>
        <v>#NAME?</v>
      </c>
      <c r="O2649" s="8" t="e">
        <f ca="1">[1]!BexGetData("DP_1","003N8EMH8GTFRIVOG7KG9J3KE","GSON5211414011")</f>
        <v>#NAME?</v>
      </c>
      <c r="P2649" s="3" t="e">
        <f ca="1">[1]!BexGetData("DP_1","003N8EMH8GTFRIVOG7KG9J9VY","GSON5211414011")</f>
        <v>#NAME?</v>
      </c>
      <c r="Q2649" s="4" t="e">
        <f ca="1">[1]!BexGetData("DP_1","00O2TNJGODT0G5Z4TTKYMM5MT","GSON5211414011")</f>
        <v>#NAME?</v>
      </c>
      <c r="R2649" s="4" t="e">
        <f ca="1">[1]!BexGetData("DP_1","00O2TNJGODT0G5Z4TTKYMMBYD","GSON5211414011")</f>
        <v>#NAME?</v>
      </c>
      <c r="S2649" s="4" t="e">
        <f ca="1">[1]!BexGetData("DP_1","00O2TNJGODT0G5Z4TTKYMMI9X","GSON5211414011")</f>
        <v>#NAME?</v>
      </c>
      <c r="T2649" s="4" t="e">
        <f ca="1">[1]!BexGetData("DP_1","00O2TNJGODT0G5Z4TTKYMMOLH","GSON5211414011")</f>
        <v>#NAME?</v>
      </c>
      <c r="U2649" s="4" t="e">
        <f ca="1">[1]!BexGetData("DP_1","00O2TNJGODT0G5Z4TTKYMMUX1","GSON5211414011")</f>
        <v>#NAME?</v>
      </c>
      <c r="V2649" s="4" t="e">
        <f ca="1">[1]!BexGetData("DP_1","00O2TNJGODT0G5Z4TTKYMN18L","GSON5211414011")</f>
        <v>#NAME?</v>
      </c>
      <c r="W2649" s="4" t="e">
        <f ca="1">[1]!BexGetData("DP_1","00O2TNJGODT0G5Z4TTKYMN7K5","GSON5211414011")</f>
        <v>#NAME?</v>
      </c>
    </row>
    <row r="2650" spans="1:23" x14ac:dyDescent="0.2">
      <c r="A2650" s="16" t="s">
        <v>5426</v>
      </c>
      <c r="B2650" s="7" t="s">
        <v>5427</v>
      </c>
      <c r="C2650" s="3" t="e">
        <f ca="1">[1]!BexGetData("DP_1","003N8EMH8GTFRCSWKMPXRR8GU","GSON5211414021")</f>
        <v>#NAME?</v>
      </c>
      <c r="D2650" s="3" t="e">
        <f ca="1">[1]!BexGetData("DP_1","003N8EMH8GTFRCSWKMPXRRESE","GSON5211414021")</f>
        <v>#NAME?</v>
      </c>
      <c r="E2650" s="3" t="e">
        <f ca="1">[1]!BexGetData("DP_1","003N8EMH8GTFRCSWKMPXRRL3Y","GSON5211414021")</f>
        <v>#NAME?</v>
      </c>
      <c r="F2650" s="4" t="e">
        <f ca="1">[1]!BexGetData("DP_1","003N8EMH8GTFRCSWKMPXRRRFI","GSON5211414021")</f>
        <v>#NAME?</v>
      </c>
      <c r="G2650" s="4" t="e">
        <f ca="1">[1]!BexGetData("DP_1","003N8EMH8GTFRCSWKMPXRRXR2","GSON5211414021")</f>
        <v>#NAME?</v>
      </c>
      <c r="H2650" s="4" t="e">
        <f ca="1">[1]!BexGetData("DP_1","003N8EMH8GTFRCSWKMPXRS42M","GSON5211414021")</f>
        <v>#NAME?</v>
      </c>
      <c r="I2650" s="4" t="e">
        <f ca="1">[1]!BexGetData("DP_1","003N8EMH8GTFRCSWKMPXRSAE6","GSON5211414021")</f>
        <v>#NAME?</v>
      </c>
      <c r="J2650" s="4" t="e">
        <f ca="1">[1]!BexGetData("DP_1","003N8EMH8GTFRCSWKMPXRSGPQ","GSON5211414021")</f>
        <v>#NAME?</v>
      </c>
      <c r="K2650" s="3" t="e">
        <f ca="1">[1]!BexGetData("DP_1","003N8EMH8GTFRIVNUPY288VJH","GSON5211414021")</f>
        <v>#NAME?</v>
      </c>
      <c r="L2650" s="3" t="e">
        <f ca="1">[1]!BexGetData("DP_1","003N8EMH8GTFRIVNUPY2891V1","GSON5211414021")</f>
        <v>#NAME?</v>
      </c>
      <c r="M2650" s="8" t="e">
        <f ca="1">[1]!BexGetData("DP_1","003N8EMH8GTFRIVOG7KG9IQXA","GSON5211414021")</f>
        <v>#NAME?</v>
      </c>
      <c r="N2650" s="3" t="e">
        <f ca="1">[1]!BexGetData("DP_1","003N8EMH8GTFRIVOG7KG9IX8U","GSON5211414021")</f>
        <v>#NAME?</v>
      </c>
      <c r="O2650" s="8" t="e">
        <f ca="1">[1]!BexGetData("DP_1","003N8EMH8GTFRIVOG7KG9J3KE","GSON5211414021")</f>
        <v>#NAME?</v>
      </c>
      <c r="P2650" s="3" t="e">
        <f ca="1">[1]!BexGetData("DP_1","003N8EMH8GTFRIVOG7KG9J9VY","GSON5211414021")</f>
        <v>#NAME?</v>
      </c>
      <c r="Q2650" s="4" t="e">
        <f ca="1">[1]!BexGetData("DP_1","00O2TNJGODT0G5Z4TTKYMM5MT","GSON5211414021")</f>
        <v>#NAME?</v>
      </c>
      <c r="R2650" s="4" t="e">
        <f ca="1">[1]!BexGetData("DP_1","00O2TNJGODT0G5Z4TTKYMMBYD","GSON5211414021")</f>
        <v>#NAME?</v>
      </c>
      <c r="S2650" s="4" t="e">
        <f ca="1">[1]!BexGetData("DP_1","00O2TNJGODT0G5Z4TTKYMMI9X","GSON5211414021")</f>
        <v>#NAME?</v>
      </c>
      <c r="T2650" s="4" t="e">
        <f ca="1">[1]!BexGetData("DP_1","00O2TNJGODT0G5Z4TTKYMMOLH","GSON5211414021")</f>
        <v>#NAME?</v>
      </c>
      <c r="U2650" s="4" t="e">
        <f ca="1">[1]!BexGetData("DP_1","00O2TNJGODT0G5Z4TTKYMMUX1","GSON5211414021")</f>
        <v>#NAME?</v>
      </c>
      <c r="V2650" s="4" t="e">
        <f ca="1">[1]!BexGetData("DP_1","00O2TNJGODT0G5Z4TTKYMN18L","GSON5211414021")</f>
        <v>#NAME?</v>
      </c>
      <c r="W2650" s="4" t="e">
        <f ca="1">[1]!BexGetData("DP_1","00O2TNJGODT0G5Z4TTKYMN7K5","GSON5211414021")</f>
        <v>#NAME?</v>
      </c>
    </row>
    <row r="2651" spans="1:23" x14ac:dyDescent="0.2">
      <c r="A2651" s="16" t="s">
        <v>5428</v>
      </c>
      <c r="B2651" s="7" t="s">
        <v>5429</v>
      </c>
      <c r="C2651" s="3" t="e">
        <f ca="1">[1]!BexGetData("DP_1","003N8EMH8GTFRCSWKMPXRR8GU","GSON5211414061")</f>
        <v>#NAME?</v>
      </c>
      <c r="D2651" s="3" t="e">
        <f ca="1">[1]!BexGetData("DP_1","003N8EMH8GTFRCSWKMPXRRESE","GSON5211414061")</f>
        <v>#NAME?</v>
      </c>
      <c r="E2651" s="3" t="e">
        <f ca="1">[1]!BexGetData("DP_1","003N8EMH8GTFRCSWKMPXRRL3Y","GSON5211414061")</f>
        <v>#NAME?</v>
      </c>
      <c r="F2651" s="4" t="e">
        <f ca="1">[1]!BexGetData("DP_1","003N8EMH8GTFRCSWKMPXRRRFI","GSON5211414061")</f>
        <v>#NAME?</v>
      </c>
      <c r="G2651" s="4" t="e">
        <f ca="1">[1]!BexGetData("DP_1","003N8EMH8GTFRCSWKMPXRRXR2","GSON5211414061")</f>
        <v>#NAME?</v>
      </c>
      <c r="H2651" s="4" t="e">
        <f ca="1">[1]!BexGetData("DP_1","003N8EMH8GTFRCSWKMPXRS42M","GSON5211414061")</f>
        <v>#NAME?</v>
      </c>
      <c r="I2651" s="4" t="e">
        <f ca="1">[1]!BexGetData("DP_1","003N8EMH8GTFRCSWKMPXRSAE6","GSON5211414061")</f>
        <v>#NAME?</v>
      </c>
      <c r="J2651" s="4" t="e">
        <f ca="1">[1]!BexGetData("DP_1","003N8EMH8GTFRCSWKMPXRSGPQ","GSON5211414061")</f>
        <v>#NAME?</v>
      </c>
      <c r="K2651" s="3" t="e">
        <f ca="1">[1]!BexGetData("DP_1","003N8EMH8GTFRIVNUPY288VJH","GSON5211414061")</f>
        <v>#NAME?</v>
      </c>
      <c r="L2651" s="3" t="e">
        <f ca="1">[1]!BexGetData("DP_1","003N8EMH8GTFRIVNUPY2891V1","GSON5211414061")</f>
        <v>#NAME?</v>
      </c>
      <c r="M2651" s="8" t="e">
        <f ca="1">[1]!BexGetData("DP_1","003N8EMH8GTFRIVOG7KG9IQXA","GSON5211414061")</f>
        <v>#NAME?</v>
      </c>
      <c r="N2651" s="3" t="e">
        <f ca="1">[1]!BexGetData("DP_1","003N8EMH8GTFRIVOG7KG9IX8U","GSON5211414061")</f>
        <v>#NAME?</v>
      </c>
      <c r="O2651" s="8" t="e">
        <f ca="1">[1]!BexGetData("DP_1","003N8EMH8GTFRIVOG7KG9J3KE","GSON5211414061")</f>
        <v>#NAME?</v>
      </c>
      <c r="P2651" s="3" t="e">
        <f ca="1">[1]!BexGetData("DP_1","003N8EMH8GTFRIVOG7KG9J9VY","GSON5211414061")</f>
        <v>#NAME?</v>
      </c>
      <c r="Q2651" s="4" t="e">
        <f ca="1">[1]!BexGetData("DP_1","00O2TNJGODT0G5Z4TTKYMM5MT","GSON5211414061")</f>
        <v>#NAME?</v>
      </c>
      <c r="R2651" s="4" t="e">
        <f ca="1">[1]!BexGetData("DP_1","00O2TNJGODT0G5Z4TTKYMMBYD","GSON5211414061")</f>
        <v>#NAME?</v>
      </c>
      <c r="S2651" s="4" t="e">
        <f ca="1">[1]!BexGetData("DP_1","00O2TNJGODT0G5Z4TTKYMMI9X","GSON5211414061")</f>
        <v>#NAME?</v>
      </c>
      <c r="T2651" s="4" t="e">
        <f ca="1">[1]!BexGetData("DP_1","00O2TNJGODT0G5Z4TTKYMMOLH","GSON5211414061")</f>
        <v>#NAME?</v>
      </c>
      <c r="U2651" s="4" t="e">
        <f ca="1">[1]!BexGetData("DP_1","00O2TNJGODT0G5Z4TTKYMMUX1","GSON5211414061")</f>
        <v>#NAME?</v>
      </c>
      <c r="V2651" s="4" t="e">
        <f ca="1">[1]!BexGetData("DP_1","00O2TNJGODT0G5Z4TTKYMN18L","GSON5211414061")</f>
        <v>#NAME?</v>
      </c>
      <c r="W2651" s="4" t="e">
        <f ca="1">[1]!BexGetData("DP_1","00O2TNJGODT0G5Z4TTKYMN7K5","GSON5211414061")</f>
        <v>#NAME?</v>
      </c>
    </row>
    <row r="2652" spans="1:23" x14ac:dyDescent="0.2">
      <c r="A2652" s="16" t="s">
        <v>5409</v>
      </c>
      <c r="B2652" s="7" t="s">
        <v>5430</v>
      </c>
      <c r="C2652" s="3" t="e">
        <f ca="1">[1]!BexGetData("DP_1","003N8EMH8GTFRCSWKMPXRR8GU","GSON5211414071")</f>
        <v>#NAME?</v>
      </c>
      <c r="D2652" s="3" t="e">
        <f ca="1">[1]!BexGetData("DP_1","003N8EMH8GTFRCSWKMPXRRESE","GSON5211414071")</f>
        <v>#NAME?</v>
      </c>
      <c r="E2652" s="3" t="e">
        <f ca="1">[1]!BexGetData("DP_1","003N8EMH8GTFRCSWKMPXRRL3Y","GSON5211414071")</f>
        <v>#NAME?</v>
      </c>
      <c r="F2652" s="4" t="e">
        <f ca="1">[1]!BexGetData("DP_1","003N8EMH8GTFRCSWKMPXRRRFI","GSON5211414071")</f>
        <v>#NAME?</v>
      </c>
      <c r="G2652" s="4" t="e">
        <f ca="1">[1]!BexGetData("DP_1","003N8EMH8GTFRCSWKMPXRRXR2","GSON5211414071")</f>
        <v>#NAME?</v>
      </c>
      <c r="H2652" s="4" t="e">
        <f ca="1">[1]!BexGetData("DP_1","003N8EMH8GTFRCSWKMPXRS42M","GSON5211414071")</f>
        <v>#NAME?</v>
      </c>
      <c r="I2652" s="4" t="e">
        <f ca="1">[1]!BexGetData("DP_1","003N8EMH8GTFRCSWKMPXRSAE6","GSON5211414071")</f>
        <v>#NAME?</v>
      </c>
      <c r="J2652" s="4" t="e">
        <f ca="1">[1]!BexGetData("DP_1","003N8EMH8GTFRCSWKMPXRSGPQ","GSON5211414071")</f>
        <v>#NAME?</v>
      </c>
      <c r="K2652" s="3" t="e">
        <f ca="1">[1]!BexGetData("DP_1","003N8EMH8GTFRIVNUPY288VJH","GSON5211414071")</f>
        <v>#NAME?</v>
      </c>
      <c r="L2652" s="3" t="e">
        <f ca="1">[1]!BexGetData("DP_1","003N8EMH8GTFRIVNUPY2891V1","GSON5211414071")</f>
        <v>#NAME?</v>
      </c>
      <c r="M2652" s="8" t="e">
        <f ca="1">[1]!BexGetData("DP_1","003N8EMH8GTFRIVOG7KG9IQXA","GSON5211414071")</f>
        <v>#NAME?</v>
      </c>
      <c r="N2652" s="3" t="e">
        <f ca="1">[1]!BexGetData("DP_1","003N8EMH8GTFRIVOG7KG9IX8U","GSON5211414071")</f>
        <v>#NAME?</v>
      </c>
      <c r="O2652" s="8" t="e">
        <f ca="1">[1]!BexGetData("DP_1","003N8EMH8GTFRIVOG7KG9J3KE","GSON5211414071")</f>
        <v>#NAME?</v>
      </c>
      <c r="P2652" s="3" t="e">
        <f ca="1">[1]!BexGetData("DP_1","003N8EMH8GTFRIVOG7KG9J9VY","GSON5211414071")</f>
        <v>#NAME?</v>
      </c>
      <c r="Q2652" s="4" t="e">
        <f ca="1">[1]!BexGetData("DP_1","00O2TNJGODT0G5Z4TTKYMM5MT","GSON5211414071")</f>
        <v>#NAME?</v>
      </c>
      <c r="R2652" s="4" t="e">
        <f ca="1">[1]!BexGetData("DP_1","00O2TNJGODT0G5Z4TTKYMMBYD","GSON5211414071")</f>
        <v>#NAME?</v>
      </c>
      <c r="S2652" s="4" t="e">
        <f ca="1">[1]!BexGetData("DP_1","00O2TNJGODT0G5Z4TTKYMMI9X","GSON5211414071")</f>
        <v>#NAME?</v>
      </c>
      <c r="T2652" s="4" t="e">
        <f ca="1">[1]!BexGetData("DP_1","00O2TNJGODT0G5Z4TTKYMMOLH","GSON5211414071")</f>
        <v>#NAME?</v>
      </c>
      <c r="U2652" s="4" t="e">
        <f ca="1">[1]!BexGetData("DP_1","00O2TNJGODT0G5Z4TTKYMMUX1","GSON5211414071")</f>
        <v>#NAME?</v>
      </c>
      <c r="V2652" s="4" t="e">
        <f ca="1">[1]!BexGetData("DP_1","00O2TNJGODT0G5Z4TTKYMN18L","GSON5211414071")</f>
        <v>#NAME?</v>
      </c>
      <c r="W2652" s="4" t="e">
        <f ca="1">[1]!BexGetData("DP_1","00O2TNJGODT0G5Z4TTKYMN7K5","GSON5211414071")</f>
        <v>#NAME?</v>
      </c>
    </row>
    <row r="2653" spans="1:23" x14ac:dyDescent="0.2">
      <c r="A2653" s="15" t="s">
        <v>593</v>
      </c>
      <c r="B2653" s="7" t="s">
        <v>1710</v>
      </c>
      <c r="C2653" s="3" t="e">
        <f ca="1">[1]!BexGetData("DP_1","003N8EMH8GTFRCSWKMPXRR8GU","GSON5212")</f>
        <v>#NAME?</v>
      </c>
      <c r="D2653" s="3" t="e">
        <f ca="1">[1]!BexGetData("DP_1","003N8EMH8GTFRCSWKMPXRRESE","GSON5212")</f>
        <v>#NAME?</v>
      </c>
      <c r="E2653" s="3" t="e">
        <f ca="1">[1]!BexGetData("DP_1","003N8EMH8GTFRCSWKMPXRRL3Y","GSON5212")</f>
        <v>#NAME?</v>
      </c>
      <c r="F2653" s="4" t="e">
        <f ca="1">[1]!BexGetData("DP_1","003N8EMH8GTFRCSWKMPXRRRFI","GSON5212")</f>
        <v>#NAME?</v>
      </c>
      <c r="G2653" s="4" t="e">
        <f ca="1">[1]!BexGetData("DP_1","003N8EMH8GTFRCSWKMPXRRXR2","GSON5212")</f>
        <v>#NAME?</v>
      </c>
      <c r="H2653" s="4" t="e">
        <f ca="1">[1]!BexGetData("DP_1","003N8EMH8GTFRCSWKMPXRS42M","GSON5212")</f>
        <v>#NAME?</v>
      </c>
      <c r="I2653" s="4" t="e">
        <f ca="1">[1]!BexGetData("DP_1","003N8EMH8GTFRCSWKMPXRSAE6","GSON5212")</f>
        <v>#NAME?</v>
      </c>
      <c r="J2653" s="4" t="e">
        <f ca="1">[1]!BexGetData("DP_1","003N8EMH8GTFRCSWKMPXRSGPQ","GSON5212")</f>
        <v>#NAME?</v>
      </c>
      <c r="K2653" s="3" t="e">
        <f ca="1">[1]!BexGetData("DP_1","003N8EMH8GTFRIVNUPY288VJH","GSON5212")</f>
        <v>#NAME?</v>
      </c>
      <c r="L2653" s="3" t="e">
        <f ca="1">[1]!BexGetData("DP_1","003N8EMH8GTFRIVNUPY2891V1","GSON5212")</f>
        <v>#NAME?</v>
      </c>
      <c r="M2653" s="8" t="e">
        <f ca="1">[1]!BexGetData("DP_1","003N8EMH8GTFRIVOG7KG9IQXA","GSON5212")</f>
        <v>#NAME?</v>
      </c>
      <c r="N2653" s="3" t="e">
        <f ca="1">[1]!BexGetData("DP_1","003N8EMH8GTFRIVOG7KG9IX8U","GSON5212")</f>
        <v>#NAME?</v>
      </c>
      <c r="O2653" s="8" t="e">
        <f ca="1">[1]!BexGetData("DP_1","003N8EMH8GTFRIVOG7KG9J3KE","GSON5212")</f>
        <v>#NAME?</v>
      </c>
      <c r="P2653" s="3" t="e">
        <f ca="1">[1]!BexGetData("DP_1","003N8EMH8GTFRIVOG7KG9J9VY","GSON5212")</f>
        <v>#NAME?</v>
      </c>
      <c r="Q2653" s="4" t="e">
        <f ca="1">[1]!BexGetData("DP_1","00O2TNJGODT0G5Z4TTKYMM5MT","GSON5212")</f>
        <v>#NAME?</v>
      </c>
      <c r="R2653" s="4" t="e">
        <f ca="1">[1]!BexGetData("DP_1","00O2TNJGODT0G5Z4TTKYMMBYD","GSON5212")</f>
        <v>#NAME?</v>
      </c>
      <c r="S2653" s="4" t="e">
        <f ca="1">[1]!BexGetData("DP_1","00O2TNJGODT0G5Z4TTKYMMI9X","GSON5212")</f>
        <v>#NAME?</v>
      </c>
      <c r="T2653" s="4" t="e">
        <f ca="1">[1]!BexGetData("DP_1","00O2TNJGODT0G5Z4TTKYMMOLH","GSON5212")</f>
        <v>#NAME?</v>
      </c>
      <c r="U2653" s="4" t="e">
        <f ca="1">[1]!BexGetData("DP_1","00O2TNJGODT0G5Z4TTKYMMUX1","GSON5212")</f>
        <v>#NAME?</v>
      </c>
      <c r="V2653" s="4" t="e">
        <f ca="1">[1]!BexGetData("DP_1","00O2TNJGODT0G5Z4TTKYMN18L","GSON5212")</f>
        <v>#NAME?</v>
      </c>
      <c r="W2653" s="4" t="e">
        <f ca="1">[1]!BexGetData("DP_1","00O2TNJGODT0G5Z4TTKYMN7K5","GSON5212")</f>
        <v>#NAME?</v>
      </c>
    </row>
    <row r="2654" spans="1:23" x14ac:dyDescent="0.2">
      <c r="A2654" s="16" t="s">
        <v>5431</v>
      </c>
      <c r="B2654" s="7" t="s">
        <v>5432</v>
      </c>
      <c r="C2654" s="3" t="e">
        <f ca="1">[1]!BexGetData("DP_1","003N8EMH8GTFRCSWKMPXRR8GU","GSON5212415021")</f>
        <v>#NAME?</v>
      </c>
      <c r="D2654" s="8" t="e">
        <f ca="1">[1]!BexGetData("DP_1","003N8EMH8GTFRCSWKMPXRRESE","GSON5212415021")</f>
        <v>#NAME?</v>
      </c>
      <c r="E2654" s="3" t="e">
        <f ca="1">[1]!BexGetData("DP_1","003N8EMH8GTFRCSWKMPXRRL3Y","GSON5212415021")</f>
        <v>#NAME?</v>
      </c>
      <c r="F2654" s="4" t="e">
        <f ca="1">[1]!BexGetData("DP_1","003N8EMH8GTFRCSWKMPXRRRFI","GSON5212415021")</f>
        <v>#NAME?</v>
      </c>
      <c r="G2654" s="4" t="e">
        <f ca="1">[1]!BexGetData("DP_1","003N8EMH8GTFRCSWKMPXRRXR2","GSON5212415021")</f>
        <v>#NAME?</v>
      </c>
      <c r="H2654" s="4" t="e">
        <f ca="1">[1]!BexGetData("DP_1","003N8EMH8GTFRCSWKMPXRS42M","GSON5212415021")</f>
        <v>#NAME?</v>
      </c>
      <c r="I2654" s="4" t="e">
        <f ca="1">[1]!BexGetData("DP_1","003N8EMH8GTFRCSWKMPXRSAE6","GSON5212415021")</f>
        <v>#NAME?</v>
      </c>
      <c r="J2654" s="4" t="e">
        <f ca="1">[1]!BexGetData("DP_1","003N8EMH8GTFRCSWKMPXRSGPQ","GSON5212415021")</f>
        <v>#NAME?</v>
      </c>
      <c r="K2654" s="3" t="e">
        <f ca="1">[1]!BexGetData("DP_1","003N8EMH8GTFRIVNUPY288VJH","GSON5212415021")</f>
        <v>#NAME?</v>
      </c>
      <c r="L2654" s="3" t="e">
        <f ca="1">[1]!BexGetData("DP_1","003N8EMH8GTFRIVNUPY2891V1","GSON5212415021")</f>
        <v>#NAME?</v>
      </c>
      <c r="M2654" s="8" t="e">
        <f ca="1">[1]!BexGetData("DP_1","003N8EMH8GTFRIVOG7KG9IQXA","GSON5212415021")</f>
        <v>#NAME?</v>
      </c>
      <c r="N2654" s="3" t="e">
        <f ca="1">[1]!BexGetData("DP_1","003N8EMH8GTFRIVOG7KG9IX8U","GSON5212415021")</f>
        <v>#NAME?</v>
      </c>
      <c r="O2654" s="8" t="e">
        <f ca="1">[1]!BexGetData("DP_1","003N8EMH8GTFRIVOG7KG9J3KE","GSON5212415021")</f>
        <v>#NAME?</v>
      </c>
      <c r="P2654" s="3" t="e">
        <f ca="1">[1]!BexGetData("DP_1","003N8EMH8GTFRIVOG7KG9J9VY","GSON5212415021")</f>
        <v>#NAME?</v>
      </c>
      <c r="Q2654" s="4" t="e">
        <f ca="1">[1]!BexGetData("DP_1","00O2TNJGODT0G5Z4TTKYMM5MT","GSON5212415021")</f>
        <v>#NAME?</v>
      </c>
      <c r="R2654" s="4" t="e">
        <f ca="1">[1]!BexGetData("DP_1","00O2TNJGODT0G5Z4TTKYMMBYD","GSON5212415021")</f>
        <v>#NAME?</v>
      </c>
      <c r="S2654" s="4" t="e">
        <f ca="1">[1]!BexGetData("DP_1","00O2TNJGODT0G5Z4TTKYMMI9X","GSON5212415021")</f>
        <v>#NAME?</v>
      </c>
      <c r="T2654" s="4" t="e">
        <f ca="1">[1]!BexGetData("DP_1","00O2TNJGODT0G5Z4TTKYMMOLH","GSON5212415021")</f>
        <v>#NAME?</v>
      </c>
      <c r="U2654" s="4" t="e">
        <f ca="1">[1]!BexGetData("DP_1","00O2TNJGODT0G5Z4TTKYMMUX1","GSON5212415021")</f>
        <v>#NAME?</v>
      </c>
      <c r="V2654" s="4" t="e">
        <f ca="1">[1]!BexGetData("DP_1","00O2TNJGODT0G5Z4TTKYMN18L","GSON5212415021")</f>
        <v>#NAME?</v>
      </c>
      <c r="W2654" s="4" t="e">
        <f ca="1">[1]!BexGetData("DP_1","00O2TNJGODT0G5Z4TTKYMN7K5","GSON5212415021")</f>
        <v>#NAME?</v>
      </c>
    </row>
    <row r="2655" spans="1:23" x14ac:dyDescent="0.2">
      <c r="A2655" s="16" t="s">
        <v>5433</v>
      </c>
      <c r="B2655" s="7" t="s">
        <v>1711</v>
      </c>
      <c r="C2655" s="3" t="e">
        <f ca="1">[1]!BexGetData("DP_1","003N8EMH8GTFRCSWKMPXRR8GU","GSON5212415031")</f>
        <v>#NAME?</v>
      </c>
      <c r="D2655" s="8" t="e">
        <f ca="1">[1]!BexGetData("DP_1","003N8EMH8GTFRCSWKMPXRRESE","GSON5212415031")</f>
        <v>#NAME?</v>
      </c>
      <c r="E2655" s="3" t="e">
        <f ca="1">[1]!BexGetData("DP_1","003N8EMH8GTFRCSWKMPXRRL3Y","GSON5212415031")</f>
        <v>#NAME?</v>
      </c>
      <c r="F2655" s="4" t="e">
        <f ca="1">[1]!BexGetData("DP_1","003N8EMH8GTFRCSWKMPXRRRFI","GSON5212415031")</f>
        <v>#NAME?</v>
      </c>
      <c r="G2655" s="4" t="e">
        <f ca="1">[1]!BexGetData("DP_1","003N8EMH8GTFRCSWKMPXRRXR2","GSON5212415031")</f>
        <v>#NAME?</v>
      </c>
      <c r="H2655" s="4" t="e">
        <f ca="1">[1]!BexGetData("DP_1","003N8EMH8GTFRCSWKMPXRS42M","GSON5212415031")</f>
        <v>#NAME?</v>
      </c>
      <c r="I2655" s="4" t="e">
        <f ca="1">[1]!BexGetData("DP_1","003N8EMH8GTFRCSWKMPXRSAE6","GSON5212415031")</f>
        <v>#NAME?</v>
      </c>
      <c r="J2655" s="4" t="e">
        <f ca="1">[1]!BexGetData("DP_1","003N8EMH8GTFRCSWKMPXRSGPQ","GSON5212415031")</f>
        <v>#NAME?</v>
      </c>
      <c r="K2655" s="3" t="e">
        <f ca="1">[1]!BexGetData("DP_1","003N8EMH8GTFRIVNUPY288VJH","GSON5212415031")</f>
        <v>#NAME?</v>
      </c>
      <c r="L2655" s="3" t="e">
        <f ca="1">[1]!BexGetData("DP_1","003N8EMH8GTFRIVNUPY2891V1","GSON5212415031")</f>
        <v>#NAME?</v>
      </c>
      <c r="M2655" s="8" t="e">
        <f ca="1">[1]!BexGetData("DP_1","003N8EMH8GTFRIVOG7KG9IQXA","GSON5212415031")</f>
        <v>#NAME?</v>
      </c>
      <c r="N2655" s="3" t="e">
        <f ca="1">[1]!BexGetData("DP_1","003N8EMH8GTFRIVOG7KG9IX8U","GSON5212415031")</f>
        <v>#NAME?</v>
      </c>
      <c r="O2655" s="8" t="e">
        <f ca="1">[1]!BexGetData("DP_1","003N8EMH8GTFRIVOG7KG9J3KE","GSON5212415031")</f>
        <v>#NAME?</v>
      </c>
      <c r="P2655" s="3" t="e">
        <f ca="1">[1]!BexGetData("DP_1","003N8EMH8GTFRIVOG7KG9J9VY","GSON5212415031")</f>
        <v>#NAME?</v>
      </c>
      <c r="Q2655" s="4" t="e">
        <f ca="1">[1]!BexGetData("DP_1","00O2TNJGODT0G5Z4TTKYMM5MT","GSON5212415031")</f>
        <v>#NAME?</v>
      </c>
      <c r="R2655" s="4" t="e">
        <f ca="1">[1]!BexGetData("DP_1","00O2TNJGODT0G5Z4TTKYMMBYD","GSON5212415031")</f>
        <v>#NAME?</v>
      </c>
      <c r="S2655" s="4" t="e">
        <f ca="1">[1]!BexGetData("DP_1","00O2TNJGODT0G5Z4TTKYMMI9X","GSON5212415031")</f>
        <v>#NAME?</v>
      </c>
      <c r="T2655" s="4" t="e">
        <f ca="1">[1]!BexGetData("DP_1","00O2TNJGODT0G5Z4TTKYMMOLH","GSON5212415031")</f>
        <v>#NAME?</v>
      </c>
      <c r="U2655" s="4" t="e">
        <f ca="1">[1]!BexGetData("DP_1","00O2TNJGODT0G5Z4TTKYMMUX1","GSON5212415031")</f>
        <v>#NAME?</v>
      </c>
      <c r="V2655" s="4" t="e">
        <f ca="1">[1]!BexGetData("DP_1","00O2TNJGODT0G5Z4TTKYMN18L","GSON5212415031")</f>
        <v>#NAME?</v>
      </c>
      <c r="W2655" s="4" t="e">
        <f ca="1">[1]!BexGetData("DP_1","00O2TNJGODT0G5Z4TTKYMN7K5","GSON5212415031")</f>
        <v>#NAME?</v>
      </c>
    </row>
    <row r="2656" spans="1:23" x14ac:dyDescent="0.2">
      <c r="A2656" s="16" t="s">
        <v>5434</v>
      </c>
      <c r="B2656" s="7" t="s">
        <v>5435</v>
      </c>
      <c r="C2656" s="3" t="e">
        <f ca="1">[1]!BexGetData("DP_1","003N8EMH8GTFRCSWKMPXRR8GU","GSON5212415051")</f>
        <v>#NAME?</v>
      </c>
      <c r="D2656" s="3" t="e">
        <f ca="1">[1]!BexGetData("DP_1","003N8EMH8GTFRCSWKMPXRRESE","GSON5212415051")</f>
        <v>#NAME?</v>
      </c>
      <c r="E2656" s="3" t="e">
        <f ca="1">[1]!BexGetData("DP_1","003N8EMH8GTFRCSWKMPXRRL3Y","GSON5212415051")</f>
        <v>#NAME?</v>
      </c>
      <c r="F2656" s="4" t="e">
        <f ca="1">[1]!BexGetData("DP_1","003N8EMH8GTFRCSWKMPXRRRFI","GSON5212415051")</f>
        <v>#NAME?</v>
      </c>
      <c r="G2656" s="4" t="e">
        <f ca="1">[1]!BexGetData("DP_1","003N8EMH8GTFRCSWKMPXRRXR2","GSON5212415051")</f>
        <v>#NAME?</v>
      </c>
      <c r="H2656" s="4" t="e">
        <f ca="1">[1]!BexGetData("DP_1","003N8EMH8GTFRCSWKMPXRS42M","GSON5212415051")</f>
        <v>#NAME?</v>
      </c>
      <c r="I2656" s="4" t="e">
        <f ca="1">[1]!BexGetData("DP_1","003N8EMH8GTFRCSWKMPXRSAE6","GSON5212415051")</f>
        <v>#NAME?</v>
      </c>
      <c r="J2656" s="4" t="e">
        <f ca="1">[1]!BexGetData("DP_1","003N8EMH8GTFRCSWKMPXRSGPQ","GSON5212415051")</f>
        <v>#NAME?</v>
      </c>
      <c r="K2656" s="3" t="e">
        <f ca="1">[1]!BexGetData("DP_1","003N8EMH8GTFRIVNUPY288VJH","GSON5212415051")</f>
        <v>#NAME?</v>
      </c>
      <c r="L2656" s="3" t="e">
        <f ca="1">[1]!BexGetData("DP_1","003N8EMH8GTFRIVNUPY2891V1","GSON5212415051")</f>
        <v>#NAME?</v>
      </c>
      <c r="M2656" s="8" t="e">
        <f ca="1">[1]!BexGetData("DP_1","003N8EMH8GTFRIVOG7KG9IQXA","GSON5212415051")</f>
        <v>#NAME?</v>
      </c>
      <c r="N2656" s="3" t="e">
        <f ca="1">[1]!BexGetData("DP_1","003N8EMH8GTFRIVOG7KG9IX8U","GSON5212415051")</f>
        <v>#NAME?</v>
      </c>
      <c r="O2656" s="8" t="e">
        <f ca="1">[1]!BexGetData("DP_1","003N8EMH8GTFRIVOG7KG9J3KE","GSON5212415051")</f>
        <v>#NAME?</v>
      </c>
      <c r="P2656" s="3" t="e">
        <f ca="1">[1]!BexGetData("DP_1","003N8EMH8GTFRIVOG7KG9J9VY","GSON5212415051")</f>
        <v>#NAME?</v>
      </c>
      <c r="Q2656" s="4" t="e">
        <f ca="1">[1]!BexGetData("DP_1","00O2TNJGODT0G5Z4TTKYMM5MT","GSON5212415051")</f>
        <v>#NAME?</v>
      </c>
      <c r="R2656" s="4" t="e">
        <f ca="1">[1]!BexGetData("DP_1","00O2TNJGODT0G5Z4TTKYMMBYD","GSON5212415051")</f>
        <v>#NAME?</v>
      </c>
      <c r="S2656" s="4" t="e">
        <f ca="1">[1]!BexGetData("DP_1","00O2TNJGODT0G5Z4TTKYMMI9X","GSON5212415051")</f>
        <v>#NAME?</v>
      </c>
      <c r="T2656" s="4" t="e">
        <f ca="1">[1]!BexGetData("DP_1","00O2TNJGODT0G5Z4TTKYMMOLH","GSON5212415051")</f>
        <v>#NAME?</v>
      </c>
      <c r="U2656" s="4" t="e">
        <f ca="1">[1]!BexGetData("DP_1","00O2TNJGODT0G5Z4TTKYMMUX1","GSON5212415051")</f>
        <v>#NAME?</v>
      </c>
      <c r="V2656" s="4" t="e">
        <f ca="1">[1]!BexGetData("DP_1","00O2TNJGODT0G5Z4TTKYMN18L","GSON5212415051")</f>
        <v>#NAME?</v>
      </c>
      <c r="W2656" s="4" t="e">
        <f ca="1">[1]!BexGetData("DP_1","00O2TNJGODT0G5Z4TTKYMN7K5","GSON5212415051")</f>
        <v>#NAME?</v>
      </c>
    </row>
    <row r="2657" spans="1:23" x14ac:dyDescent="0.2">
      <c r="A2657" s="16" t="s">
        <v>5436</v>
      </c>
      <c r="B2657" s="7" t="s">
        <v>5437</v>
      </c>
      <c r="C2657" s="3" t="e">
        <f ca="1">[1]!BexGetData("DP_1","003N8EMH8GTFRCSWKMPXRR8GU","GSON5212419011")</f>
        <v>#NAME?</v>
      </c>
      <c r="D2657" s="8" t="e">
        <f ca="1">[1]!BexGetData("DP_1","003N8EMH8GTFRCSWKMPXRRESE","GSON5212419011")</f>
        <v>#NAME?</v>
      </c>
      <c r="E2657" s="3" t="e">
        <f ca="1">[1]!BexGetData("DP_1","003N8EMH8GTFRCSWKMPXRRL3Y","GSON5212419011")</f>
        <v>#NAME?</v>
      </c>
      <c r="F2657" s="4" t="e">
        <f ca="1">[1]!BexGetData("DP_1","003N8EMH8GTFRCSWKMPXRRRFI","GSON5212419011")</f>
        <v>#NAME?</v>
      </c>
      <c r="G2657" s="4" t="e">
        <f ca="1">[1]!BexGetData("DP_1","003N8EMH8GTFRCSWKMPXRRXR2","GSON5212419011")</f>
        <v>#NAME?</v>
      </c>
      <c r="H2657" s="4" t="e">
        <f ca="1">[1]!BexGetData("DP_1","003N8EMH8GTFRCSWKMPXRS42M","GSON5212419011")</f>
        <v>#NAME?</v>
      </c>
      <c r="I2657" s="4" t="e">
        <f ca="1">[1]!BexGetData("DP_1","003N8EMH8GTFRCSWKMPXRSAE6","GSON5212419011")</f>
        <v>#NAME?</v>
      </c>
      <c r="J2657" s="4" t="e">
        <f ca="1">[1]!BexGetData("DP_1","003N8EMH8GTFRCSWKMPXRSGPQ","GSON5212419011")</f>
        <v>#NAME?</v>
      </c>
      <c r="K2657" s="3" t="e">
        <f ca="1">[1]!BexGetData("DP_1","003N8EMH8GTFRIVNUPY288VJH","GSON5212419011")</f>
        <v>#NAME?</v>
      </c>
      <c r="L2657" s="3" t="e">
        <f ca="1">[1]!BexGetData("DP_1","003N8EMH8GTFRIVNUPY2891V1","GSON5212419011")</f>
        <v>#NAME?</v>
      </c>
      <c r="M2657" s="8" t="e">
        <f ca="1">[1]!BexGetData("DP_1","003N8EMH8GTFRIVOG7KG9IQXA","GSON5212419011")</f>
        <v>#NAME?</v>
      </c>
      <c r="N2657" s="3" t="e">
        <f ca="1">[1]!BexGetData("DP_1","003N8EMH8GTFRIVOG7KG9IX8U","GSON5212419011")</f>
        <v>#NAME?</v>
      </c>
      <c r="O2657" s="8" t="e">
        <f ca="1">[1]!BexGetData("DP_1","003N8EMH8GTFRIVOG7KG9J3KE","GSON5212419011")</f>
        <v>#NAME?</v>
      </c>
      <c r="P2657" s="3" t="e">
        <f ca="1">[1]!BexGetData("DP_1","003N8EMH8GTFRIVOG7KG9J9VY","GSON5212419011")</f>
        <v>#NAME?</v>
      </c>
      <c r="Q2657" s="4" t="e">
        <f ca="1">[1]!BexGetData("DP_1","00O2TNJGODT0G5Z4TTKYMM5MT","GSON5212419011")</f>
        <v>#NAME?</v>
      </c>
      <c r="R2657" s="4" t="e">
        <f ca="1">[1]!BexGetData("DP_1","00O2TNJGODT0G5Z4TTKYMMBYD","GSON5212419011")</f>
        <v>#NAME?</v>
      </c>
      <c r="S2657" s="4" t="e">
        <f ca="1">[1]!BexGetData("DP_1","00O2TNJGODT0G5Z4TTKYMMI9X","GSON5212419011")</f>
        <v>#NAME?</v>
      </c>
      <c r="T2657" s="4" t="e">
        <f ca="1">[1]!BexGetData("DP_1","00O2TNJGODT0G5Z4TTKYMMOLH","GSON5212419011")</f>
        <v>#NAME?</v>
      </c>
      <c r="U2657" s="4" t="e">
        <f ca="1">[1]!BexGetData("DP_1","00O2TNJGODT0G5Z4TTKYMMUX1","GSON5212419011")</f>
        <v>#NAME?</v>
      </c>
      <c r="V2657" s="4" t="e">
        <f ca="1">[1]!BexGetData("DP_1","00O2TNJGODT0G5Z4TTKYMN18L","GSON5212419011")</f>
        <v>#NAME?</v>
      </c>
      <c r="W2657" s="4" t="e">
        <f ca="1">[1]!BexGetData("DP_1","00O2TNJGODT0G5Z4TTKYMN7K5","GSON5212419011")</f>
        <v>#NAME?</v>
      </c>
    </row>
    <row r="2658" spans="1:23" x14ac:dyDescent="0.2">
      <c r="A2658" s="14" t="s">
        <v>5438</v>
      </c>
      <c r="B2658" s="7" t="s">
        <v>5439</v>
      </c>
      <c r="C2658" s="3" t="e">
        <f ca="1">[1]!BexGetData("DP_1","003N8EMH8GTFRCSWKMPXRR8GU","GSON522")</f>
        <v>#NAME?</v>
      </c>
      <c r="D2658" s="3" t="e">
        <f ca="1">[1]!BexGetData("DP_1","003N8EMH8GTFRCSWKMPXRRESE","GSON522")</f>
        <v>#NAME?</v>
      </c>
      <c r="E2658" s="3" t="e">
        <f ca="1">[1]!BexGetData("DP_1","003N8EMH8GTFRCSWKMPXRRL3Y","GSON522")</f>
        <v>#NAME?</v>
      </c>
      <c r="F2658" s="4" t="e">
        <f ca="1">[1]!BexGetData("DP_1","003N8EMH8GTFRCSWKMPXRRRFI","GSON522")</f>
        <v>#NAME?</v>
      </c>
      <c r="G2658" s="4" t="e">
        <f ca="1">[1]!BexGetData("DP_1","003N8EMH8GTFRCSWKMPXRRXR2","GSON522")</f>
        <v>#NAME?</v>
      </c>
      <c r="H2658" s="4" t="e">
        <f ca="1">[1]!BexGetData("DP_1","003N8EMH8GTFRCSWKMPXRS42M","GSON522")</f>
        <v>#NAME?</v>
      </c>
      <c r="I2658" s="4" t="e">
        <f ca="1">[1]!BexGetData("DP_1","003N8EMH8GTFRCSWKMPXRSAE6","GSON522")</f>
        <v>#NAME?</v>
      </c>
      <c r="J2658" s="4" t="e">
        <f ca="1">[1]!BexGetData("DP_1","003N8EMH8GTFRCSWKMPXRSGPQ","GSON522")</f>
        <v>#NAME?</v>
      </c>
      <c r="K2658" s="3" t="e">
        <f ca="1">[1]!BexGetData("DP_1","003N8EMH8GTFRIVNUPY288VJH","GSON522")</f>
        <v>#NAME?</v>
      </c>
      <c r="L2658" s="3" t="e">
        <f ca="1">[1]!BexGetData("DP_1","003N8EMH8GTFRIVNUPY2891V1","GSON522")</f>
        <v>#NAME?</v>
      </c>
      <c r="M2658" s="8" t="e">
        <f ca="1">[1]!BexGetData("DP_1","003N8EMH8GTFRIVOG7KG9IQXA","GSON522")</f>
        <v>#NAME?</v>
      </c>
      <c r="N2658" s="3" t="e">
        <f ca="1">[1]!BexGetData("DP_1","003N8EMH8GTFRIVOG7KG9IX8U","GSON522")</f>
        <v>#NAME?</v>
      </c>
      <c r="O2658" s="8" t="e">
        <f ca="1">[1]!BexGetData("DP_1","003N8EMH8GTFRIVOG7KG9J3KE","GSON522")</f>
        <v>#NAME?</v>
      </c>
      <c r="P2658" s="3" t="e">
        <f ca="1">[1]!BexGetData("DP_1","003N8EMH8GTFRIVOG7KG9J9VY","GSON522")</f>
        <v>#NAME?</v>
      </c>
      <c r="Q2658" s="4" t="e">
        <f ca="1">[1]!BexGetData("DP_1","00O2TNJGODT0G5Z4TTKYMM5MT","GSON522")</f>
        <v>#NAME?</v>
      </c>
      <c r="R2658" s="4" t="e">
        <f ca="1">[1]!BexGetData("DP_1","00O2TNJGODT0G5Z4TTKYMMBYD","GSON522")</f>
        <v>#NAME?</v>
      </c>
      <c r="S2658" s="4" t="e">
        <f ca="1">[1]!BexGetData("DP_1","00O2TNJGODT0G5Z4TTKYMMI9X","GSON522")</f>
        <v>#NAME?</v>
      </c>
      <c r="T2658" s="4" t="e">
        <f ca="1">[1]!BexGetData("DP_1","00O2TNJGODT0G5Z4TTKYMMOLH","GSON522")</f>
        <v>#NAME?</v>
      </c>
      <c r="U2658" s="4" t="e">
        <f ca="1">[1]!BexGetData("DP_1","00O2TNJGODT0G5Z4TTKYMMUX1","GSON522")</f>
        <v>#NAME?</v>
      </c>
      <c r="V2658" s="4" t="e">
        <f ca="1">[1]!BexGetData("DP_1","00O2TNJGODT0G5Z4TTKYMN18L","GSON522")</f>
        <v>#NAME?</v>
      </c>
      <c r="W2658" s="4" t="e">
        <f ca="1">[1]!BexGetData("DP_1","00O2TNJGODT0G5Z4TTKYMN7K5","GSON522")</f>
        <v>#NAME?</v>
      </c>
    </row>
    <row r="2659" spans="1:23" x14ac:dyDescent="0.2">
      <c r="A2659" s="15" t="s">
        <v>5440</v>
      </c>
      <c r="B2659" s="7" t="s">
        <v>5441</v>
      </c>
      <c r="C2659" s="3" t="e">
        <f ca="1">[1]!BexGetData("DP_1","003N8EMH8GTFRCSWKMPXRR8GU","GSON5221")</f>
        <v>#NAME?</v>
      </c>
      <c r="D2659" s="8" t="e">
        <f ca="1">[1]!BexGetData("DP_1","003N8EMH8GTFRCSWKMPXRRESE","GSON5221")</f>
        <v>#NAME?</v>
      </c>
      <c r="E2659" s="3" t="e">
        <f ca="1">[1]!BexGetData("DP_1","003N8EMH8GTFRCSWKMPXRRL3Y","GSON5221")</f>
        <v>#NAME?</v>
      </c>
      <c r="F2659" s="4" t="e">
        <f ca="1">[1]!BexGetData("DP_1","003N8EMH8GTFRCSWKMPXRRRFI","GSON5221")</f>
        <v>#NAME?</v>
      </c>
      <c r="G2659" s="4" t="e">
        <f ca="1">[1]!BexGetData("DP_1","003N8EMH8GTFRCSWKMPXRRXR2","GSON5221")</f>
        <v>#NAME?</v>
      </c>
      <c r="H2659" s="4" t="e">
        <f ca="1">[1]!BexGetData("DP_1","003N8EMH8GTFRCSWKMPXRS42M","GSON5221")</f>
        <v>#NAME?</v>
      </c>
      <c r="I2659" s="4" t="e">
        <f ca="1">[1]!BexGetData("DP_1","003N8EMH8GTFRCSWKMPXRSAE6","GSON5221")</f>
        <v>#NAME?</v>
      </c>
      <c r="J2659" s="4" t="e">
        <f ca="1">[1]!BexGetData("DP_1","003N8EMH8GTFRCSWKMPXRSGPQ","GSON5221")</f>
        <v>#NAME?</v>
      </c>
      <c r="K2659" s="3" t="e">
        <f ca="1">[1]!BexGetData("DP_1","003N8EMH8GTFRIVNUPY288VJH","GSON5221")</f>
        <v>#NAME?</v>
      </c>
      <c r="L2659" s="3" t="e">
        <f ca="1">[1]!BexGetData("DP_1","003N8EMH8GTFRIVNUPY2891V1","GSON5221")</f>
        <v>#NAME?</v>
      </c>
      <c r="M2659" s="8" t="e">
        <f ca="1">[1]!BexGetData("DP_1","003N8EMH8GTFRIVOG7KG9IQXA","GSON5221")</f>
        <v>#NAME?</v>
      </c>
      <c r="N2659" s="3" t="e">
        <f ca="1">[1]!BexGetData("DP_1","003N8EMH8GTFRIVOG7KG9IX8U","GSON5221")</f>
        <v>#NAME?</v>
      </c>
      <c r="O2659" s="8" t="e">
        <f ca="1">[1]!BexGetData("DP_1","003N8EMH8GTFRIVOG7KG9J3KE","GSON5221")</f>
        <v>#NAME?</v>
      </c>
      <c r="P2659" s="3" t="e">
        <f ca="1">[1]!BexGetData("DP_1","003N8EMH8GTFRIVOG7KG9J9VY","GSON5221")</f>
        <v>#NAME?</v>
      </c>
      <c r="Q2659" s="4" t="e">
        <f ca="1">[1]!BexGetData("DP_1","00O2TNJGODT0G5Z4TTKYMM5MT","GSON5221")</f>
        <v>#NAME?</v>
      </c>
      <c r="R2659" s="4" t="e">
        <f ca="1">[1]!BexGetData("DP_1","00O2TNJGODT0G5Z4TTKYMMBYD","GSON5221")</f>
        <v>#NAME?</v>
      </c>
      <c r="S2659" s="4" t="e">
        <f ca="1">[1]!BexGetData("DP_1","00O2TNJGODT0G5Z4TTKYMMI9X","GSON5221")</f>
        <v>#NAME?</v>
      </c>
      <c r="T2659" s="4" t="e">
        <f ca="1">[1]!BexGetData("DP_1","00O2TNJGODT0G5Z4TTKYMMOLH","GSON5221")</f>
        <v>#NAME?</v>
      </c>
      <c r="U2659" s="4" t="e">
        <f ca="1">[1]!BexGetData("DP_1","00O2TNJGODT0G5Z4TTKYMMUX1","GSON5221")</f>
        <v>#NAME?</v>
      </c>
      <c r="V2659" s="4" t="e">
        <f ca="1">[1]!BexGetData("DP_1","00O2TNJGODT0G5Z4TTKYMN18L","GSON5221")</f>
        <v>#NAME?</v>
      </c>
      <c r="W2659" s="4" t="e">
        <f ca="1">[1]!BexGetData("DP_1","00O2TNJGODT0G5Z4TTKYMN7K5","GSON5221")</f>
        <v>#NAME?</v>
      </c>
    </row>
    <row r="2660" spans="1:23" x14ac:dyDescent="0.2">
      <c r="A2660" s="16" t="s">
        <v>5442</v>
      </c>
      <c r="B2660" s="7" t="s">
        <v>5443</v>
      </c>
      <c r="C2660" s="3" t="e">
        <f ca="1">[1]!BexGetData("DP_1","003N8EMH8GTFRCSWKMPXRR8GU","GSON5221421011")</f>
        <v>#NAME?</v>
      </c>
      <c r="D2660" s="8" t="e">
        <f ca="1">[1]!BexGetData("DP_1","003N8EMH8GTFRCSWKMPXRRESE","GSON5221421011")</f>
        <v>#NAME?</v>
      </c>
      <c r="E2660" s="3" t="e">
        <f ca="1">[1]!BexGetData("DP_1","003N8EMH8GTFRCSWKMPXRRL3Y","GSON5221421011")</f>
        <v>#NAME?</v>
      </c>
      <c r="F2660" s="4" t="e">
        <f ca="1">[1]!BexGetData("DP_1","003N8EMH8GTFRCSWKMPXRRRFI","GSON5221421011")</f>
        <v>#NAME?</v>
      </c>
      <c r="G2660" s="4" t="e">
        <f ca="1">[1]!BexGetData("DP_1","003N8EMH8GTFRCSWKMPXRRXR2","GSON5221421011")</f>
        <v>#NAME?</v>
      </c>
      <c r="H2660" s="4" t="e">
        <f ca="1">[1]!BexGetData("DP_1","003N8EMH8GTFRCSWKMPXRS42M","GSON5221421011")</f>
        <v>#NAME?</v>
      </c>
      <c r="I2660" s="4" t="e">
        <f ca="1">[1]!BexGetData("DP_1","003N8EMH8GTFRCSWKMPXRSAE6","GSON5221421011")</f>
        <v>#NAME?</v>
      </c>
      <c r="J2660" s="4" t="e">
        <f ca="1">[1]!BexGetData("DP_1","003N8EMH8GTFRCSWKMPXRSGPQ","GSON5221421011")</f>
        <v>#NAME?</v>
      </c>
      <c r="K2660" s="3" t="e">
        <f ca="1">[1]!BexGetData("DP_1","003N8EMH8GTFRIVNUPY288VJH","GSON5221421011")</f>
        <v>#NAME?</v>
      </c>
      <c r="L2660" s="3" t="e">
        <f ca="1">[1]!BexGetData("DP_1","003N8EMH8GTFRIVNUPY2891V1","GSON5221421011")</f>
        <v>#NAME?</v>
      </c>
      <c r="M2660" s="8" t="e">
        <f ca="1">[1]!BexGetData("DP_1","003N8EMH8GTFRIVOG7KG9IQXA","GSON5221421011")</f>
        <v>#NAME?</v>
      </c>
      <c r="N2660" s="3" t="e">
        <f ca="1">[1]!BexGetData("DP_1","003N8EMH8GTFRIVOG7KG9IX8U","GSON5221421011")</f>
        <v>#NAME?</v>
      </c>
      <c r="O2660" s="8" t="e">
        <f ca="1">[1]!BexGetData("DP_1","003N8EMH8GTFRIVOG7KG9J3KE","GSON5221421011")</f>
        <v>#NAME?</v>
      </c>
      <c r="P2660" s="3" t="e">
        <f ca="1">[1]!BexGetData("DP_1","003N8EMH8GTFRIVOG7KG9J9VY","GSON5221421011")</f>
        <v>#NAME?</v>
      </c>
      <c r="Q2660" s="4" t="e">
        <f ca="1">[1]!BexGetData("DP_1","00O2TNJGODT0G5Z4TTKYMM5MT","GSON5221421011")</f>
        <v>#NAME?</v>
      </c>
      <c r="R2660" s="4" t="e">
        <f ca="1">[1]!BexGetData("DP_1","00O2TNJGODT0G5Z4TTKYMMBYD","GSON5221421011")</f>
        <v>#NAME?</v>
      </c>
      <c r="S2660" s="4" t="e">
        <f ca="1">[1]!BexGetData("DP_1","00O2TNJGODT0G5Z4TTKYMMI9X","GSON5221421011")</f>
        <v>#NAME?</v>
      </c>
      <c r="T2660" s="4" t="e">
        <f ca="1">[1]!BexGetData("DP_1","00O2TNJGODT0G5Z4TTKYMMOLH","GSON5221421011")</f>
        <v>#NAME?</v>
      </c>
      <c r="U2660" s="4" t="e">
        <f ca="1">[1]!BexGetData("DP_1","00O2TNJGODT0G5Z4TTKYMMUX1","GSON5221421011")</f>
        <v>#NAME?</v>
      </c>
      <c r="V2660" s="4" t="e">
        <f ca="1">[1]!BexGetData("DP_1","00O2TNJGODT0G5Z4TTKYMN18L","GSON5221421011")</f>
        <v>#NAME?</v>
      </c>
      <c r="W2660" s="4" t="e">
        <f ca="1">[1]!BexGetData("DP_1","00O2TNJGODT0G5Z4TTKYMN7K5","GSON5221421011")</f>
        <v>#NAME?</v>
      </c>
    </row>
    <row r="2661" spans="1:23" x14ac:dyDescent="0.2">
      <c r="A2661" s="15" t="s">
        <v>5440</v>
      </c>
      <c r="B2661" s="7" t="s">
        <v>5444</v>
      </c>
      <c r="C2661" s="3" t="e">
        <f ca="1">[1]!BexGetData("DP_1","003N8EMH8GTFRCSWKMPXRR8GU","GSON5222")</f>
        <v>#NAME?</v>
      </c>
      <c r="D2661" s="3" t="e">
        <f ca="1">[1]!BexGetData("DP_1","003N8EMH8GTFRCSWKMPXRRESE","GSON5222")</f>
        <v>#NAME?</v>
      </c>
      <c r="E2661" s="3" t="e">
        <f ca="1">[1]!BexGetData("DP_1","003N8EMH8GTFRCSWKMPXRRL3Y","GSON5222")</f>
        <v>#NAME?</v>
      </c>
      <c r="F2661" s="4" t="e">
        <f ca="1">[1]!BexGetData("DP_1","003N8EMH8GTFRCSWKMPXRRRFI","GSON5222")</f>
        <v>#NAME?</v>
      </c>
      <c r="G2661" s="4" t="e">
        <f ca="1">[1]!BexGetData("DP_1","003N8EMH8GTFRCSWKMPXRRXR2","GSON5222")</f>
        <v>#NAME?</v>
      </c>
      <c r="H2661" s="4" t="e">
        <f ca="1">[1]!BexGetData("DP_1","003N8EMH8GTFRCSWKMPXRS42M","GSON5222")</f>
        <v>#NAME?</v>
      </c>
      <c r="I2661" s="4" t="e">
        <f ca="1">[1]!BexGetData("DP_1","003N8EMH8GTFRCSWKMPXRSAE6","GSON5222")</f>
        <v>#NAME?</v>
      </c>
      <c r="J2661" s="4" t="e">
        <f ca="1">[1]!BexGetData("DP_1","003N8EMH8GTFRCSWKMPXRSGPQ","GSON5222")</f>
        <v>#NAME?</v>
      </c>
      <c r="K2661" s="3" t="e">
        <f ca="1">[1]!BexGetData("DP_1","003N8EMH8GTFRIVNUPY288VJH","GSON5222")</f>
        <v>#NAME?</v>
      </c>
      <c r="L2661" s="3" t="e">
        <f ca="1">[1]!BexGetData("DP_1","003N8EMH8GTFRIVNUPY2891V1","GSON5222")</f>
        <v>#NAME?</v>
      </c>
      <c r="M2661" s="8" t="e">
        <f ca="1">[1]!BexGetData("DP_1","003N8EMH8GTFRIVOG7KG9IQXA","GSON5222")</f>
        <v>#NAME?</v>
      </c>
      <c r="N2661" s="3" t="e">
        <f ca="1">[1]!BexGetData("DP_1","003N8EMH8GTFRIVOG7KG9IX8U","GSON5222")</f>
        <v>#NAME?</v>
      </c>
      <c r="O2661" s="8" t="e">
        <f ca="1">[1]!BexGetData("DP_1","003N8EMH8GTFRIVOG7KG9J3KE","GSON5222")</f>
        <v>#NAME?</v>
      </c>
      <c r="P2661" s="3" t="e">
        <f ca="1">[1]!BexGetData("DP_1","003N8EMH8GTFRIVOG7KG9J9VY","GSON5222")</f>
        <v>#NAME?</v>
      </c>
      <c r="Q2661" s="4" t="e">
        <f ca="1">[1]!BexGetData("DP_1","00O2TNJGODT0G5Z4TTKYMM5MT","GSON5222")</f>
        <v>#NAME?</v>
      </c>
      <c r="R2661" s="4" t="e">
        <f ca="1">[1]!BexGetData("DP_1","00O2TNJGODT0G5Z4TTKYMMBYD","GSON5222")</f>
        <v>#NAME?</v>
      </c>
      <c r="S2661" s="4" t="e">
        <f ca="1">[1]!BexGetData("DP_1","00O2TNJGODT0G5Z4TTKYMMI9X","GSON5222")</f>
        <v>#NAME?</v>
      </c>
      <c r="T2661" s="4" t="e">
        <f ca="1">[1]!BexGetData("DP_1","00O2TNJGODT0G5Z4TTKYMMOLH","GSON5222")</f>
        <v>#NAME?</v>
      </c>
      <c r="U2661" s="4" t="e">
        <f ca="1">[1]!BexGetData("DP_1","00O2TNJGODT0G5Z4TTKYMMUX1","GSON5222")</f>
        <v>#NAME?</v>
      </c>
      <c r="V2661" s="4" t="e">
        <f ca="1">[1]!BexGetData("DP_1","00O2TNJGODT0G5Z4TTKYMN18L","GSON5222")</f>
        <v>#NAME?</v>
      </c>
      <c r="W2661" s="4" t="e">
        <f ca="1">[1]!BexGetData("DP_1","00O2TNJGODT0G5Z4TTKYMN7K5","GSON5222")</f>
        <v>#NAME?</v>
      </c>
    </row>
    <row r="2662" spans="1:23" x14ac:dyDescent="0.2">
      <c r="A2662" s="16" t="s">
        <v>5442</v>
      </c>
      <c r="B2662" s="7" t="s">
        <v>5445</v>
      </c>
      <c r="C2662" s="3" t="e">
        <f ca="1">[1]!BexGetData("DP_1","003N8EMH8GTFRCSWKMPXRR8GU","GSON5222424011")</f>
        <v>#NAME?</v>
      </c>
      <c r="D2662" s="3" t="e">
        <f ca="1">[1]!BexGetData("DP_1","003N8EMH8GTFRCSWKMPXRRESE","GSON5222424011")</f>
        <v>#NAME?</v>
      </c>
      <c r="E2662" s="3" t="e">
        <f ca="1">[1]!BexGetData("DP_1","003N8EMH8GTFRCSWKMPXRRL3Y","GSON5222424011")</f>
        <v>#NAME?</v>
      </c>
      <c r="F2662" s="4" t="e">
        <f ca="1">[1]!BexGetData("DP_1","003N8EMH8GTFRCSWKMPXRRRFI","GSON5222424011")</f>
        <v>#NAME?</v>
      </c>
      <c r="G2662" s="4" t="e">
        <f ca="1">[1]!BexGetData("DP_1","003N8EMH8GTFRCSWKMPXRRXR2","GSON5222424011")</f>
        <v>#NAME?</v>
      </c>
      <c r="H2662" s="4" t="e">
        <f ca="1">[1]!BexGetData("DP_1","003N8EMH8GTFRCSWKMPXRS42M","GSON5222424011")</f>
        <v>#NAME?</v>
      </c>
      <c r="I2662" s="4" t="e">
        <f ca="1">[1]!BexGetData("DP_1","003N8EMH8GTFRCSWKMPXRSAE6","GSON5222424011")</f>
        <v>#NAME?</v>
      </c>
      <c r="J2662" s="4" t="e">
        <f ca="1">[1]!BexGetData("DP_1","003N8EMH8GTFRCSWKMPXRSGPQ","GSON5222424011")</f>
        <v>#NAME?</v>
      </c>
      <c r="K2662" s="3" t="e">
        <f ca="1">[1]!BexGetData("DP_1","003N8EMH8GTFRIVNUPY288VJH","GSON5222424011")</f>
        <v>#NAME?</v>
      </c>
      <c r="L2662" s="3" t="e">
        <f ca="1">[1]!BexGetData("DP_1","003N8EMH8GTFRIVNUPY2891V1","GSON5222424011")</f>
        <v>#NAME?</v>
      </c>
      <c r="M2662" s="8" t="e">
        <f ca="1">[1]!BexGetData("DP_1","003N8EMH8GTFRIVOG7KG9IQXA","GSON5222424011")</f>
        <v>#NAME?</v>
      </c>
      <c r="N2662" s="3" t="e">
        <f ca="1">[1]!BexGetData("DP_1","003N8EMH8GTFRIVOG7KG9IX8U","GSON5222424011")</f>
        <v>#NAME?</v>
      </c>
      <c r="O2662" s="8" t="e">
        <f ca="1">[1]!BexGetData("DP_1","003N8EMH8GTFRIVOG7KG9J3KE","GSON5222424011")</f>
        <v>#NAME?</v>
      </c>
      <c r="P2662" s="3" t="e">
        <f ca="1">[1]!BexGetData("DP_1","003N8EMH8GTFRIVOG7KG9J9VY","GSON5222424011")</f>
        <v>#NAME?</v>
      </c>
      <c r="Q2662" s="4" t="e">
        <f ca="1">[1]!BexGetData("DP_1","00O2TNJGODT0G5Z4TTKYMM5MT","GSON5222424011")</f>
        <v>#NAME?</v>
      </c>
      <c r="R2662" s="4" t="e">
        <f ca="1">[1]!BexGetData("DP_1","00O2TNJGODT0G5Z4TTKYMMBYD","GSON5222424011")</f>
        <v>#NAME?</v>
      </c>
      <c r="S2662" s="4" t="e">
        <f ca="1">[1]!BexGetData("DP_1","00O2TNJGODT0G5Z4TTKYMMI9X","GSON5222424011")</f>
        <v>#NAME?</v>
      </c>
      <c r="T2662" s="4" t="e">
        <f ca="1">[1]!BexGetData("DP_1","00O2TNJGODT0G5Z4TTKYMMOLH","GSON5222424011")</f>
        <v>#NAME?</v>
      </c>
      <c r="U2662" s="4" t="e">
        <f ca="1">[1]!BexGetData("DP_1","00O2TNJGODT0G5Z4TTKYMMUX1","GSON5222424011")</f>
        <v>#NAME?</v>
      </c>
      <c r="V2662" s="4" t="e">
        <f ca="1">[1]!BexGetData("DP_1","00O2TNJGODT0G5Z4TTKYMN18L","GSON5222424011")</f>
        <v>#NAME?</v>
      </c>
      <c r="W2662" s="4" t="e">
        <f ca="1">[1]!BexGetData("DP_1","00O2TNJGODT0G5Z4TTKYMN7K5","GSON5222424011")</f>
        <v>#NAME?</v>
      </c>
    </row>
    <row r="2663" spans="1:23" x14ac:dyDescent="0.2">
      <c r="A2663" s="16" t="s">
        <v>5446</v>
      </c>
      <c r="B2663" s="7" t="s">
        <v>5447</v>
      </c>
      <c r="C2663" s="3" t="e">
        <f ca="1">[1]!BexGetData("DP_1","003N8EMH8GTFRCSWKMPXRR8GU","GSON5222425011")</f>
        <v>#NAME?</v>
      </c>
      <c r="D2663" s="8" t="e">
        <f ca="1">[1]!BexGetData("DP_1","003N8EMH8GTFRCSWKMPXRRESE","GSON5222425011")</f>
        <v>#NAME?</v>
      </c>
      <c r="E2663" s="3" t="e">
        <f ca="1">[1]!BexGetData("DP_1","003N8EMH8GTFRCSWKMPXRRL3Y","GSON5222425011")</f>
        <v>#NAME?</v>
      </c>
      <c r="F2663" s="4" t="e">
        <f ca="1">[1]!BexGetData("DP_1","003N8EMH8GTFRCSWKMPXRRRFI","GSON5222425011")</f>
        <v>#NAME?</v>
      </c>
      <c r="G2663" s="4" t="e">
        <f ca="1">[1]!BexGetData("DP_1","003N8EMH8GTFRCSWKMPXRRXR2","GSON5222425011")</f>
        <v>#NAME?</v>
      </c>
      <c r="H2663" s="4" t="e">
        <f ca="1">[1]!BexGetData("DP_1","003N8EMH8GTFRCSWKMPXRS42M","GSON5222425011")</f>
        <v>#NAME?</v>
      </c>
      <c r="I2663" s="4" t="e">
        <f ca="1">[1]!BexGetData("DP_1","003N8EMH8GTFRCSWKMPXRSAE6","GSON5222425011")</f>
        <v>#NAME?</v>
      </c>
      <c r="J2663" s="4" t="e">
        <f ca="1">[1]!BexGetData("DP_1","003N8EMH8GTFRCSWKMPXRSGPQ","GSON5222425011")</f>
        <v>#NAME?</v>
      </c>
      <c r="K2663" s="3" t="e">
        <f ca="1">[1]!BexGetData("DP_1","003N8EMH8GTFRIVNUPY288VJH","GSON5222425011")</f>
        <v>#NAME?</v>
      </c>
      <c r="L2663" s="3" t="e">
        <f ca="1">[1]!BexGetData("DP_1","003N8EMH8GTFRIVNUPY2891V1","GSON5222425011")</f>
        <v>#NAME?</v>
      </c>
      <c r="M2663" s="8" t="e">
        <f ca="1">[1]!BexGetData("DP_1","003N8EMH8GTFRIVOG7KG9IQXA","GSON5222425011")</f>
        <v>#NAME?</v>
      </c>
      <c r="N2663" s="3" t="e">
        <f ca="1">[1]!BexGetData("DP_1","003N8EMH8GTFRIVOG7KG9IX8U","GSON5222425011")</f>
        <v>#NAME?</v>
      </c>
      <c r="O2663" s="8" t="e">
        <f ca="1">[1]!BexGetData("DP_1","003N8EMH8GTFRIVOG7KG9J3KE","GSON5222425011")</f>
        <v>#NAME?</v>
      </c>
      <c r="P2663" s="3" t="e">
        <f ca="1">[1]!BexGetData("DP_1","003N8EMH8GTFRIVOG7KG9J9VY","GSON5222425011")</f>
        <v>#NAME?</v>
      </c>
      <c r="Q2663" s="4" t="e">
        <f ca="1">[1]!BexGetData("DP_1","00O2TNJGODT0G5Z4TTKYMM5MT","GSON5222425011")</f>
        <v>#NAME?</v>
      </c>
      <c r="R2663" s="4" t="e">
        <f ca="1">[1]!BexGetData("DP_1","00O2TNJGODT0G5Z4TTKYMMBYD","GSON5222425011")</f>
        <v>#NAME?</v>
      </c>
      <c r="S2663" s="4" t="e">
        <f ca="1">[1]!BexGetData("DP_1","00O2TNJGODT0G5Z4TTKYMMI9X","GSON5222425011")</f>
        <v>#NAME?</v>
      </c>
      <c r="T2663" s="4" t="e">
        <f ca="1">[1]!BexGetData("DP_1","00O2TNJGODT0G5Z4TTKYMMOLH","GSON5222425011")</f>
        <v>#NAME?</v>
      </c>
      <c r="U2663" s="4" t="e">
        <f ca="1">[1]!BexGetData("DP_1","00O2TNJGODT0G5Z4TTKYMMUX1","GSON5222425011")</f>
        <v>#NAME?</v>
      </c>
      <c r="V2663" s="4" t="e">
        <f ca="1">[1]!BexGetData("DP_1","00O2TNJGODT0G5Z4TTKYMN18L","GSON5222425011")</f>
        <v>#NAME?</v>
      </c>
      <c r="W2663" s="4" t="e">
        <f ca="1">[1]!BexGetData("DP_1","00O2TNJGODT0G5Z4TTKYMN7K5","GSON5222425011")</f>
        <v>#NAME?</v>
      </c>
    </row>
    <row r="2664" spans="1:23" x14ac:dyDescent="0.2">
      <c r="A2664" s="14" t="s">
        <v>719</v>
      </c>
      <c r="B2664" s="7" t="s">
        <v>5448</v>
      </c>
      <c r="C2664" s="3" t="e">
        <f ca="1">[1]!BexGetData("DP_1","003N8EMH8GTFRCSWKMPXRR8GU","GSON523")</f>
        <v>#NAME?</v>
      </c>
      <c r="D2664" s="3" t="e">
        <f ca="1">[1]!BexGetData("DP_1","003N8EMH8GTFRCSWKMPXRRESE","GSON523")</f>
        <v>#NAME?</v>
      </c>
      <c r="E2664" s="3" t="e">
        <f ca="1">[1]!BexGetData("DP_1","003N8EMH8GTFRCSWKMPXRRL3Y","GSON523")</f>
        <v>#NAME?</v>
      </c>
      <c r="F2664" s="4" t="e">
        <f ca="1">[1]!BexGetData("DP_1","003N8EMH8GTFRCSWKMPXRRRFI","GSON523")</f>
        <v>#NAME?</v>
      </c>
      <c r="G2664" s="4" t="e">
        <f ca="1">[1]!BexGetData("DP_1","003N8EMH8GTFRCSWKMPXRRXR2","GSON523")</f>
        <v>#NAME?</v>
      </c>
      <c r="H2664" s="4" t="e">
        <f ca="1">[1]!BexGetData("DP_1","003N8EMH8GTFRCSWKMPXRS42M","GSON523")</f>
        <v>#NAME?</v>
      </c>
      <c r="I2664" s="4" t="e">
        <f ca="1">[1]!BexGetData("DP_1","003N8EMH8GTFRCSWKMPXRSAE6","GSON523")</f>
        <v>#NAME?</v>
      </c>
      <c r="J2664" s="4" t="e">
        <f ca="1">[1]!BexGetData("DP_1","003N8EMH8GTFRCSWKMPXRSGPQ","GSON523")</f>
        <v>#NAME?</v>
      </c>
      <c r="K2664" s="3" t="e">
        <f ca="1">[1]!BexGetData("DP_1","003N8EMH8GTFRIVNUPY288VJH","GSON523")</f>
        <v>#NAME?</v>
      </c>
      <c r="L2664" s="3" t="e">
        <f ca="1">[1]!BexGetData("DP_1","003N8EMH8GTFRIVNUPY2891V1","GSON523")</f>
        <v>#NAME?</v>
      </c>
      <c r="M2664" s="8" t="e">
        <f ca="1">[1]!BexGetData("DP_1","003N8EMH8GTFRIVOG7KG9IQXA","GSON523")</f>
        <v>#NAME?</v>
      </c>
      <c r="N2664" s="3" t="e">
        <f ca="1">[1]!BexGetData("DP_1","003N8EMH8GTFRIVOG7KG9IX8U","GSON523")</f>
        <v>#NAME?</v>
      </c>
      <c r="O2664" s="8" t="e">
        <f ca="1">[1]!BexGetData("DP_1","003N8EMH8GTFRIVOG7KG9J3KE","GSON523")</f>
        <v>#NAME?</v>
      </c>
      <c r="P2664" s="3" t="e">
        <f ca="1">[1]!BexGetData("DP_1","003N8EMH8GTFRIVOG7KG9J9VY","GSON523")</f>
        <v>#NAME?</v>
      </c>
      <c r="Q2664" s="4" t="e">
        <f ca="1">[1]!BexGetData("DP_1","00O2TNJGODT0G5Z4TTKYMM5MT","GSON523")</f>
        <v>#NAME?</v>
      </c>
      <c r="R2664" s="4" t="e">
        <f ca="1">[1]!BexGetData("DP_1","00O2TNJGODT0G5Z4TTKYMMBYD","GSON523")</f>
        <v>#NAME?</v>
      </c>
      <c r="S2664" s="4" t="e">
        <f ca="1">[1]!BexGetData("DP_1","00O2TNJGODT0G5Z4TTKYMMI9X","GSON523")</f>
        <v>#NAME?</v>
      </c>
      <c r="T2664" s="4" t="e">
        <f ca="1">[1]!BexGetData("DP_1","00O2TNJGODT0G5Z4TTKYMMOLH","GSON523")</f>
        <v>#NAME?</v>
      </c>
      <c r="U2664" s="4" t="e">
        <f ca="1">[1]!BexGetData("DP_1","00O2TNJGODT0G5Z4TTKYMMUX1","GSON523")</f>
        <v>#NAME?</v>
      </c>
      <c r="V2664" s="4" t="e">
        <f ca="1">[1]!BexGetData("DP_1","00O2TNJGODT0G5Z4TTKYMN18L","GSON523")</f>
        <v>#NAME?</v>
      </c>
      <c r="W2664" s="4" t="e">
        <f ca="1">[1]!BexGetData("DP_1","00O2TNJGODT0G5Z4TTKYMN7K5","GSON523")</f>
        <v>#NAME?</v>
      </c>
    </row>
    <row r="2665" spans="1:23" x14ac:dyDescent="0.2">
      <c r="A2665" s="15" t="s">
        <v>5449</v>
      </c>
      <c r="B2665" s="7" t="s">
        <v>5450</v>
      </c>
      <c r="C2665" s="3" t="e">
        <f ca="1">[1]!BexGetData("DP_1","003N8EMH8GTFRCSWKMPXRR8GU","GSON5231")</f>
        <v>#NAME?</v>
      </c>
      <c r="D2665" s="3" t="e">
        <f ca="1">[1]!BexGetData("DP_1","003N8EMH8GTFRCSWKMPXRRESE","GSON5231")</f>
        <v>#NAME?</v>
      </c>
      <c r="E2665" s="3" t="e">
        <f ca="1">[1]!BexGetData("DP_1","003N8EMH8GTFRCSWKMPXRRL3Y","GSON5231")</f>
        <v>#NAME?</v>
      </c>
      <c r="F2665" s="4" t="e">
        <f ca="1">[1]!BexGetData("DP_1","003N8EMH8GTFRCSWKMPXRRRFI","GSON5231")</f>
        <v>#NAME?</v>
      </c>
      <c r="G2665" s="4" t="e">
        <f ca="1">[1]!BexGetData("DP_1","003N8EMH8GTFRCSWKMPXRRXR2","GSON5231")</f>
        <v>#NAME?</v>
      </c>
      <c r="H2665" s="4" t="e">
        <f ca="1">[1]!BexGetData("DP_1","003N8EMH8GTFRCSWKMPXRS42M","GSON5231")</f>
        <v>#NAME?</v>
      </c>
      <c r="I2665" s="4" t="e">
        <f ca="1">[1]!BexGetData("DP_1","003N8EMH8GTFRCSWKMPXRSAE6","GSON5231")</f>
        <v>#NAME?</v>
      </c>
      <c r="J2665" s="4" t="e">
        <f ca="1">[1]!BexGetData("DP_1","003N8EMH8GTFRCSWKMPXRSGPQ","GSON5231")</f>
        <v>#NAME?</v>
      </c>
      <c r="K2665" s="3" t="e">
        <f ca="1">[1]!BexGetData("DP_1","003N8EMH8GTFRIVNUPY288VJH","GSON5231")</f>
        <v>#NAME?</v>
      </c>
      <c r="L2665" s="3" t="e">
        <f ca="1">[1]!BexGetData("DP_1","003N8EMH8GTFRIVNUPY2891V1","GSON5231")</f>
        <v>#NAME?</v>
      </c>
      <c r="M2665" s="8" t="e">
        <f ca="1">[1]!BexGetData("DP_1","003N8EMH8GTFRIVOG7KG9IQXA","GSON5231")</f>
        <v>#NAME?</v>
      </c>
      <c r="N2665" s="3" t="e">
        <f ca="1">[1]!BexGetData("DP_1","003N8EMH8GTFRIVOG7KG9IX8U","GSON5231")</f>
        <v>#NAME?</v>
      </c>
      <c r="O2665" s="8" t="e">
        <f ca="1">[1]!BexGetData("DP_1","003N8EMH8GTFRIVOG7KG9J3KE","GSON5231")</f>
        <v>#NAME?</v>
      </c>
      <c r="P2665" s="3" t="e">
        <f ca="1">[1]!BexGetData("DP_1","003N8EMH8GTFRIVOG7KG9J9VY","GSON5231")</f>
        <v>#NAME?</v>
      </c>
      <c r="Q2665" s="4" t="e">
        <f ca="1">[1]!BexGetData("DP_1","00O2TNJGODT0G5Z4TTKYMM5MT","GSON5231")</f>
        <v>#NAME?</v>
      </c>
      <c r="R2665" s="4" t="e">
        <f ca="1">[1]!BexGetData("DP_1","00O2TNJGODT0G5Z4TTKYMMBYD","GSON5231")</f>
        <v>#NAME?</v>
      </c>
      <c r="S2665" s="4" t="e">
        <f ca="1">[1]!BexGetData("DP_1","00O2TNJGODT0G5Z4TTKYMMI9X","GSON5231")</f>
        <v>#NAME?</v>
      </c>
      <c r="T2665" s="4" t="e">
        <f ca="1">[1]!BexGetData("DP_1","00O2TNJGODT0G5Z4TTKYMMOLH","GSON5231")</f>
        <v>#NAME?</v>
      </c>
      <c r="U2665" s="4" t="e">
        <f ca="1">[1]!BexGetData("DP_1","00O2TNJGODT0G5Z4TTKYMMUX1","GSON5231")</f>
        <v>#NAME?</v>
      </c>
      <c r="V2665" s="4" t="e">
        <f ca="1">[1]!BexGetData("DP_1","00O2TNJGODT0G5Z4TTKYMN18L","GSON5231")</f>
        <v>#NAME?</v>
      </c>
      <c r="W2665" s="4" t="e">
        <f ca="1">[1]!BexGetData("DP_1","00O2TNJGODT0G5Z4TTKYMN7K5","GSON5231")</f>
        <v>#NAME?</v>
      </c>
    </row>
    <row r="2666" spans="1:23" x14ac:dyDescent="0.2">
      <c r="A2666" s="16" t="s">
        <v>5451</v>
      </c>
      <c r="B2666" s="7" t="s">
        <v>5452</v>
      </c>
      <c r="C2666" s="3" t="e">
        <f ca="1">[1]!BexGetData("DP_1","003N8EMH8GTFRCSWKMPXRR8GU","GSON5231431011")</f>
        <v>#NAME?</v>
      </c>
      <c r="D2666" s="8" t="e">
        <f ca="1">[1]!BexGetData("DP_1","003N8EMH8GTFRCSWKMPXRRESE","GSON5231431011")</f>
        <v>#NAME?</v>
      </c>
      <c r="E2666" s="3" t="e">
        <f ca="1">[1]!BexGetData("DP_1","003N8EMH8GTFRCSWKMPXRRL3Y","GSON5231431011")</f>
        <v>#NAME?</v>
      </c>
      <c r="F2666" s="4" t="e">
        <f ca="1">[1]!BexGetData("DP_1","003N8EMH8GTFRCSWKMPXRRRFI","GSON5231431011")</f>
        <v>#NAME?</v>
      </c>
      <c r="G2666" s="4" t="e">
        <f ca="1">[1]!BexGetData("DP_1","003N8EMH8GTFRCSWKMPXRRXR2","GSON5231431011")</f>
        <v>#NAME?</v>
      </c>
      <c r="H2666" s="4" t="e">
        <f ca="1">[1]!BexGetData("DP_1","003N8EMH8GTFRCSWKMPXRS42M","GSON5231431011")</f>
        <v>#NAME?</v>
      </c>
      <c r="I2666" s="4" t="e">
        <f ca="1">[1]!BexGetData("DP_1","003N8EMH8GTFRCSWKMPXRSAE6","GSON5231431011")</f>
        <v>#NAME?</v>
      </c>
      <c r="J2666" s="4" t="e">
        <f ca="1">[1]!BexGetData("DP_1","003N8EMH8GTFRCSWKMPXRSGPQ","GSON5231431011")</f>
        <v>#NAME?</v>
      </c>
      <c r="K2666" s="3" t="e">
        <f ca="1">[1]!BexGetData("DP_1","003N8EMH8GTFRIVNUPY288VJH","GSON5231431011")</f>
        <v>#NAME?</v>
      </c>
      <c r="L2666" s="3" t="e">
        <f ca="1">[1]!BexGetData("DP_1","003N8EMH8GTFRIVNUPY2891V1","GSON5231431011")</f>
        <v>#NAME?</v>
      </c>
      <c r="M2666" s="8" t="e">
        <f ca="1">[1]!BexGetData("DP_1","003N8EMH8GTFRIVOG7KG9IQXA","GSON5231431011")</f>
        <v>#NAME?</v>
      </c>
      <c r="N2666" s="3" t="e">
        <f ca="1">[1]!BexGetData("DP_1","003N8EMH8GTFRIVOG7KG9IX8U","GSON5231431011")</f>
        <v>#NAME?</v>
      </c>
      <c r="O2666" s="8" t="e">
        <f ca="1">[1]!BexGetData("DP_1","003N8EMH8GTFRIVOG7KG9J3KE","GSON5231431011")</f>
        <v>#NAME?</v>
      </c>
      <c r="P2666" s="3" t="e">
        <f ca="1">[1]!BexGetData("DP_1","003N8EMH8GTFRIVOG7KG9J9VY","GSON5231431011")</f>
        <v>#NAME?</v>
      </c>
      <c r="Q2666" s="4" t="e">
        <f ca="1">[1]!BexGetData("DP_1","00O2TNJGODT0G5Z4TTKYMM5MT","GSON5231431011")</f>
        <v>#NAME?</v>
      </c>
      <c r="R2666" s="4" t="e">
        <f ca="1">[1]!BexGetData("DP_1","00O2TNJGODT0G5Z4TTKYMMBYD","GSON5231431011")</f>
        <v>#NAME?</v>
      </c>
      <c r="S2666" s="4" t="e">
        <f ca="1">[1]!BexGetData("DP_1","00O2TNJGODT0G5Z4TTKYMMI9X","GSON5231431011")</f>
        <v>#NAME?</v>
      </c>
      <c r="T2666" s="4" t="e">
        <f ca="1">[1]!BexGetData("DP_1","00O2TNJGODT0G5Z4TTKYMMOLH","GSON5231431011")</f>
        <v>#NAME?</v>
      </c>
      <c r="U2666" s="4" t="e">
        <f ca="1">[1]!BexGetData("DP_1","00O2TNJGODT0G5Z4TTKYMMUX1","GSON5231431011")</f>
        <v>#NAME?</v>
      </c>
      <c r="V2666" s="4" t="e">
        <f ca="1">[1]!BexGetData("DP_1","00O2TNJGODT0G5Z4TTKYMN18L","GSON5231431011")</f>
        <v>#NAME?</v>
      </c>
      <c r="W2666" s="4" t="e">
        <f ca="1">[1]!BexGetData("DP_1","00O2TNJGODT0G5Z4TTKYMN7K5","GSON5231431011")</f>
        <v>#NAME?</v>
      </c>
    </row>
    <row r="2667" spans="1:23" x14ac:dyDescent="0.2">
      <c r="A2667" s="16" t="s">
        <v>5453</v>
      </c>
      <c r="B2667" s="7" t="s">
        <v>5454</v>
      </c>
      <c r="C2667" s="3" t="e">
        <f ca="1">[1]!BexGetData("DP_1","003N8EMH8GTFRCSWKMPXRR8GU","GSON5231431021")</f>
        <v>#NAME?</v>
      </c>
      <c r="D2667" s="8" t="e">
        <f ca="1">[1]!BexGetData("DP_1","003N8EMH8GTFRCSWKMPXRRESE","GSON5231431021")</f>
        <v>#NAME?</v>
      </c>
      <c r="E2667" s="3" t="e">
        <f ca="1">[1]!BexGetData("DP_1","003N8EMH8GTFRCSWKMPXRRL3Y","GSON5231431021")</f>
        <v>#NAME?</v>
      </c>
      <c r="F2667" s="4" t="e">
        <f ca="1">[1]!BexGetData("DP_1","003N8EMH8GTFRCSWKMPXRRRFI","GSON5231431021")</f>
        <v>#NAME?</v>
      </c>
      <c r="G2667" s="4" t="e">
        <f ca="1">[1]!BexGetData("DP_1","003N8EMH8GTFRCSWKMPXRRXR2","GSON5231431021")</f>
        <v>#NAME?</v>
      </c>
      <c r="H2667" s="4" t="e">
        <f ca="1">[1]!BexGetData("DP_1","003N8EMH8GTFRCSWKMPXRS42M","GSON5231431021")</f>
        <v>#NAME?</v>
      </c>
      <c r="I2667" s="4" t="e">
        <f ca="1">[1]!BexGetData("DP_1","003N8EMH8GTFRCSWKMPXRSAE6","GSON5231431021")</f>
        <v>#NAME?</v>
      </c>
      <c r="J2667" s="4" t="e">
        <f ca="1">[1]!BexGetData("DP_1","003N8EMH8GTFRCSWKMPXRSGPQ","GSON5231431021")</f>
        <v>#NAME?</v>
      </c>
      <c r="K2667" s="3" t="e">
        <f ca="1">[1]!BexGetData("DP_1","003N8EMH8GTFRIVNUPY288VJH","GSON5231431021")</f>
        <v>#NAME?</v>
      </c>
      <c r="L2667" s="3" t="e">
        <f ca="1">[1]!BexGetData("DP_1","003N8EMH8GTFRIVNUPY2891V1","GSON5231431021")</f>
        <v>#NAME?</v>
      </c>
      <c r="M2667" s="8" t="e">
        <f ca="1">[1]!BexGetData("DP_1","003N8EMH8GTFRIVOG7KG9IQXA","GSON5231431021")</f>
        <v>#NAME?</v>
      </c>
      <c r="N2667" s="3" t="e">
        <f ca="1">[1]!BexGetData("DP_1","003N8EMH8GTFRIVOG7KG9IX8U","GSON5231431021")</f>
        <v>#NAME?</v>
      </c>
      <c r="O2667" s="8" t="e">
        <f ca="1">[1]!BexGetData("DP_1","003N8EMH8GTFRIVOG7KG9J3KE","GSON5231431021")</f>
        <v>#NAME?</v>
      </c>
      <c r="P2667" s="3" t="e">
        <f ca="1">[1]!BexGetData("DP_1","003N8EMH8GTFRIVOG7KG9J9VY","GSON5231431021")</f>
        <v>#NAME?</v>
      </c>
      <c r="Q2667" s="4" t="e">
        <f ca="1">[1]!BexGetData("DP_1","00O2TNJGODT0G5Z4TTKYMM5MT","GSON5231431021")</f>
        <v>#NAME?</v>
      </c>
      <c r="R2667" s="4" t="e">
        <f ca="1">[1]!BexGetData("DP_1","00O2TNJGODT0G5Z4TTKYMMBYD","GSON5231431021")</f>
        <v>#NAME?</v>
      </c>
      <c r="S2667" s="4" t="e">
        <f ca="1">[1]!BexGetData("DP_1","00O2TNJGODT0G5Z4TTKYMMI9X","GSON5231431021")</f>
        <v>#NAME?</v>
      </c>
      <c r="T2667" s="4" t="e">
        <f ca="1">[1]!BexGetData("DP_1","00O2TNJGODT0G5Z4TTKYMMOLH","GSON5231431021")</f>
        <v>#NAME?</v>
      </c>
      <c r="U2667" s="4" t="e">
        <f ca="1">[1]!BexGetData("DP_1","00O2TNJGODT0G5Z4TTKYMMUX1","GSON5231431021")</f>
        <v>#NAME?</v>
      </c>
      <c r="V2667" s="4" t="e">
        <f ca="1">[1]!BexGetData("DP_1","00O2TNJGODT0G5Z4TTKYMN18L","GSON5231431021")</f>
        <v>#NAME?</v>
      </c>
      <c r="W2667" s="4" t="e">
        <f ca="1">[1]!BexGetData("DP_1","00O2TNJGODT0G5Z4TTKYMN7K5","GSON5231431021")</f>
        <v>#NAME?</v>
      </c>
    </row>
    <row r="2668" spans="1:23" x14ac:dyDescent="0.2">
      <c r="A2668" s="16" t="s">
        <v>5455</v>
      </c>
      <c r="B2668" s="7" t="s">
        <v>5456</v>
      </c>
      <c r="C2668" s="3" t="e">
        <f ca="1">[1]!BexGetData("DP_1","003N8EMH8GTFRCSWKMPXRR8GU","GSON5231433011")</f>
        <v>#NAME?</v>
      </c>
      <c r="D2668" s="3" t="e">
        <f ca="1">[1]!BexGetData("DP_1","003N8EMH8GTFRCSWKMPXRRESE","GSON5231433011")</f>
        <v>#NAME?</v>
      </c>
      <c r="E2668" s="3" t="e">
        <f ca="1">[1]!BexGetData("DP_1","003N8EMH8GTFRCSWKMPXRRL3Y","GSON5231433011")</f>
        <v>#NAME?</v>
      </c>
      <c r="F2668" s="4" t="e">
        <f ca="1">[1]!BexGetData("DP_1","003N8EMH8GTFRCSWKMPXRRRFI","GSON5231433011")</f>
        <v>#NAME?</v>
      </c>
      <c r="G2668" s="4" t="e">
        <f ca="1">[1]!BexGetData("DP_1","003N8EMH8GTFRCSWKMPXRRXR2","GSON5231433011")</f>
        <v>#NAME?</v>
      </c>
      <c r="H2668" s="4" t="e">
        <f ca="1">[1]!BexGetData("DP_1","003N8EMH8GTFRCSWKMPXRS42M","GSON5231433011")</f>
        <v>#NAME?</v>
      </c>
      <c r="I2668" s="4" t="e">
        <f ca="1">[1]!BexGetData("DP_1","003N8EMH8GTFRCSWKMPXRSAE6","GSON5231433011")</f>
        <v>#NAME?</v>
      </c>
      <c r="J2668" s="4" t="e">
        <f ca="1">[1]!BexGetData("DP_1","003N8EMH8GTFRCSWKMPXRSGPQ","GSON5231433011")</f>
        <v>#NAME?</v>
      </c>
      <c r="K2668" s="3" t="e">
        <f ca="1">[1]!BexGetData("DP_1","003N8EMH8GTFRIVNUPY288VJH","GSON5231433011")</f>
        <v>#NAME?</v>
      </c>
      <c r="L2668" s="3" t="e">
        <f ca="1">[1]!BexGetData("DP_1","003N8EMH8GTFRIVNUPY2891V1","GSON5231433011")</f>
        <v>#NAME?</v>
      </c>
      <c r="M2668" s="8" t="e">
        <f ca="1">[1]!BexGetData("DP_1","003N8EMH8GTFRIVOG7KG9IQXA","GSON5231433011")</f>
        <v>#NAME?</v>
      </c>
      <c r="N2668" s="3" t="e">
        <f ca="1">[1]!BexGetData("DP_1","003N8EMH8GTFRIVOG7KG9IX8U","GSON5231433011")</f>
        <v>#NAME?</v>
      </c>
      <c r="O2668" s="8" t="e">
        <f ca="1">[1]!BexGetData("DP_1","003N8EMH8GTFRIVOG7KG9J3KE","GSON5231433011")</f>
        <v>#NAME?</v>
      </c>
      <c r="P2668" s="3" t="e">
        <f ca="1">[1]!BexGetData("DP_1","003N8EMH8GTFRIVOG7KG9J9VY","GSON5231433011")</f>
        <v>#NAME?</v>
      </c>
      <c r="Q2668" s="4" t="e">
        <f ca="1">[1]!BexGetData("DP_1","00O2TNJGODT0G5Z4TTKYMM5MT","GSON5231433011")</f>
        <v>#NAME?</v>
      </c>
      <c r="R2668" s="4" t="e">
        <f ca="1">[1]!BexGetData("DP_1","00O2TNJGODT0G5Z4TTKYMMBYD","GSON5231433011")</f>
        <v>#NAME?</v>
      </c>
      <c r="S2668" s="4" t="e">
        <f ca="1">[1]!BexGetData("DP_1","00O2TNJGODT0G5Z4TTKYMMI9X","GSON5231433011")</f>
        <v>#NAME?</v>
      </c>
      <c r="T2668" s="4" t="e">
        <f ca="1">[1]!BexGetData("DP_1","00O2TNJGODT0G5Z4TTKYMMOLH","GSON5231433011")</f>
        <v>#NAME?</v>
      </c>
      <c r="U2668" s="4" t="e">
        <f ca="1">[1]!BexGetData("DP_1","00O2TNJGODT0G5Z4TTKYMMUX1","GSON5231433011")</f>
        <v>#NAME?</v>
      </c>
      <c r="V2668" s="4" t="e">
        <f ca="1">[1]!BexGetData("DP_1","00O2TNJGODT0G5Z4TTKYMN18L","GSON5231433011")</f>
        <v>#NAME?</v>
      </c>
      <c r="W2668" s="4" t="e">
        <f ca="1">[1]!BexGetData("DP_1","00O2TNJGODT0G5Z4TTKYMN7K5","GSON5231433011")</f>
        <v>#NAME?</v>
      </c>
    </row>
    <row r="2669" spans="1:23" x14ac:dyDescent="0.2">
      <c r="A2669" s="16" t="s">
        <v>5457</v>
      </c>
      <c r="B2669" s="7" t="s">
        <v>5458</v>
      </c>
      <c r="C2669" s="3" t="e">
        <f ca="1">[1]!BexGetData("DP_1","003N8EMH8GTFRCSWKMPXRR8GU","GSON5231439011")</f>
        <v>#NAME?</v>
      </c>
      <c r="D2669" s="8" t="e">
        <f ca="1">[1]!BexGetData("DP_1","003N8EMH8GTFRCSWKMPXRRESE","GSON5231439011")</f>
        <v>#NAME?</v>
      </c>
      <c r="E2669" s="3" t="e">
        <f ca="1">[1]!BexGetData("DP_1","003N8EMH8GTFRCSWKMPXRRL3Y","GSON5231439011")</f>
        <v>#NAME?</v>
      </c>
      <c r="F2669" s="4" t="e">
        <f ca="1">[1]!BexGetData("DP_1","003N8EMH8GTFRCSWKMPXRRRFI","GSON5231439011")</f>
        <v>#NAME?</v>
      </c>
      <c r="G2669" s="4" t="e">
        <f ca="1">[1]!BexGetData("DP_1","003N8EMH8GTFRCSWKMPXRRXR2","GSON5231439011")</f>
        <v>#NAME?</v>
      </c>
      <c r="H2669" s="4" t="e">
        <f ca="1">[1]!BexGetData("DP_1","003N8EMH8GTFRCSWKMPXRS42M","GSON5231439011")</f>
        <v>#NAME?</v>
      </c>
      <c r="I2669" s="4" t="e">
        <f ca="1">[1]!BexGetData("DP_1","003N8EMH8GTFRCSWKMPXRSAE6","GSON5231439011")</f>
        <v>#NAME?</v>
      </c>
      <c r="J2669" s="4" t="e">
        <f ca="1">[1]!BexGetData("DP_1","003N8EMH8GTFRCSWKMPXRSGPQ","GSON5231439011")</f>
        <v>#NAME?</v>
      </c>
      <c r="K2669" s="3" t="e">
        <f ca="1">[1]!BexGetData("DP_1","003N8EMH8GTFRIVNUPY288VJH","GSON5231439011")</f>
        <v>#NAME?</v>
      </c>
      <c r="L2669" s="3" t="e">
        <f ca="1">[1]!BexGetData("DP_1","003N8EMH8GTFRIVNUPY2891V1","GSON5231439011")</f>
        <v>#NAME?</v>
      </c>
      <c r="M2669" s="8" t="e">
        <f ca="1">[1]!BexGetData("DP_1","003N8EMH8GTFRIVOG7KG9IQXA","GSON5231439011")</f>
        <v>#NAME?</v>
      </c>
      <c r="N2669" s="3" t="e">
        <f ca="1">[1]!BexGetData("DP_1","003N8EMH8GTFRIVOG7KG9IX8U","GSON5231439011")</f>
        <v>#NAME?</v>
      </c>
      <c r="O2669" s="8" t="e">
        <f ca="1">[1]!BexGetData("DP_1","003N8EMH8GTFRIVOG7KG9J3KE","GSON5231439011")</f>
        <v>#NAME?</v>
      </c>
      <c r="P2669" s="3" t="e">
        <f ca="1">[1]!BexGetData("DP_1","003N8EMH8GTFRIVOG7KG9J9VY","GSON5231439011")</f>
        <v>#NAME?</v>
      </c>
      <c r="Q2669" s="4" t="e">
        <f ca="1">[1]!BexGetData("DP_1","00O2TNJGODT0G5Z4TTKYMM5MT","GSON5231439011")</f>
        <v>#NAME?</v>
      </c>
      <c r="R2669" s="4" t="e">
        <f ca="1">[1]!BexGetData("DP_1","00O2TNJGODT0G5Z4TTKYMMBYD","GSON5231439011")</f>
        <v>#NAME?</v>
      </c>
      <c r="S2669" s="4" t="e">
        <f ca="1">[1]!BexGetData("DP_1","00O2TNJGODT0G5Z4TTKYMMI9X","GSON5231439011")</f>
        <v>#NAME?</v>
      </c>
      <c r="T2669" s="4" t="e">
        <f ca="1">[1]!BexGetData("DP_1","00O2TNJGODT0G5Z4TTKYMMOLH","GSON5231439011")</f>
        <v>#NAME?</v>
      </c>
      <c r="U2669" s="4" t="e">
        <f ca="1">[1]!BexGetData("DP_1","00O2TNJGODT0G5Z4TTKYMMUX1","GSON5231439011")</f>
        <v>#NAME?</v>
      </c>
      <c r="V2669" s="4" t="e">
        <f ca="1">[1]!BexGetData("DP_1","00O2TNJGODT0G5Z4TTKYMN18L","GSON5231439011")</f>
        <v>#NAME?</v>
      </c>
      <c r="W2669" s="4" t="e">
        <f ca="1">[1]!BexGetData("DP_1","00O2TNJGODT0G5Z4TTKYMN7K5","GSON5231439011")</f>
        <v>#NAME?</v>
      </c>
    </row>
    <row r="2670" spans="1:23" x14ac:dyDescent="0.2">
      <c r="A2670" s="16" t="s">
        <v>5459</v>
      </c>
      <c r="B2670" s="7" t="s">
        <v>5460</v>
      </c>
      <c r="C2670" s="3" t="e">
        <f ca="1">[1]!BexGetData("DP_1","003N8EMH8GTFRCSWKMPXRR8GU","GSON5231439021")</f>
        <v>#NAME?</v>
      </c>
      <c r="D2670" s="3" t="e">
        <f ca="1">[1]!BexGetData("DP_1","003N8EMH8GTFRCSWKMPXRRESE","GSON5231439021")</f>
        <v>#NAME?</v>
      </c>
      <c r="E2670" s="3" t="e">
        <f ca="1">[1]!BexGetData("DP_1","003N8EMH8GTFRCSWKMPXRRL3Y","GSON5231439021")</f>
        <v>#NAME?</v>
      </c>
      <c r="F2670" s="4" t="e">
        <f ca="1">[1]!BexGetData("DP_1","003N8EMH8GTFRCSWKMPXRRRFI","GSON5231439021")</f>
        <v>#NAME?</v>
      </c>
      <c r="G2670" s="4" t="e">
        <f ca="1">[1]!BexGetData("DP_1","003N8EMH8GTFRCSWKMPXRRXR2","GSON5231439021")</f>
        <v>#NAME?</v>
      </c>
      <c r="H2670" s="4" t="e">
        <f ca="1">[1]!BexGetData("DP_1","003N8EMH8GTFRCSWKMPXRS42M","GSON5231439021")</f>
        <v>#NAME?</v>
      </c>
      <c r="I2670" s="4" t="e">
        <f ca="1">[1]!BexGetData("DP_1","003N8EMH8GTFRCSWKMPXRSAE6","GSON5231439021")</f>
        <v>#NAME?</v>
      </c>
      <c r="J2670" s="4" t="e">
        <f ca="1">[1]!BexGetData("DP_1","003N8EMH8GTFRCSWKMPXRSGPQ","GSON5231439021")</f>
        <v>#NAME?</v>
      </c>
      <c r="K2670" s="3" t="e">
        <f ca="1">[1]!BexGetData("DP_1","003N8EMH8GTFRIVNUPY288VJH","GSON5231439021")</f>
        <v>#NAME?</v>
      </c>
      <c r="L2670" s="3" t="e">
        <f ca="1">[1]!BexGetData("DP_1","003N8EMH8GTFRIVNUPY2891V1","GSON5231439021")</f>
        <v>#NAME?</v>
      </c>
      <c r="M2670" s="8" t="e">
        <f ca="1">[1]!BexGetData("DP_1","003N8EMH8GTFRIVOG7KG9IQXA","GSON5231439021")</f>
        <v>#NAME?</v>
      </c>
      <c r="N2670" s="3" t="e">
        <f ca="1">[1]!BexGetData("DP_1","003N8EMH8GTFRIVOG7KG9IX8U","GSON5231439021")</f>
        <v>#NAME?</v>
      </c>
      <c r="O2670" s="8" t="e">
        <f ca="1">[1]!BexGetData("DP_1","003N8EMH8GTFRIVOG7KG9J3KE","GSON5231439021")</f>
        <v>#NAME?</v>
      </c>
      <c r="P2670" s="3" t="e">
        <f ca="1">[1]!BexGetData("DP_1","003N8EMH8GTFRIVOG7KG9J9VY","GSON5231439021")</f>
        <v>#NAME?</v>
      </c>
      <c r="Q2670" s="4" t="e">
        <f ca="1">[1]!BexGetData("DP_1","00O2TNJGODT0G5Z4TTKYMM5MT","GSON5231439021")</f>
        <v>#NAME?</v>
      </c>
      <c r="R2670" s="4" t="e">
        <f ca="1">[1]!BexGetData("DP_1","00O2TNJGODT0G5Z4TTKYMMBYD","GSON5231439021")</f>
        <v>#NAME?</v>
      </c>
      <c r="S2670" s="4" t="e">
        <f ca="1">[1]!BexGetData("DP_1","00O2TNJGODT0G5Z4TTKYMMI9X","GSON5231439021")</f>
        <v>#NAME?</v>
      </c>
      <c r="T2670" s="4" t="e">
        <f ca="1">[1]!BexGetData("DP_1","00O2TNJGODT0G5Z4TTKYMMOLH","GSON5231439021")</f>
        <v>#NAME?</v>
      </c>
      <c r="U2670" s="4" t="e">
        <f ca="1">[1]!BexGetData("DP_1","00O2TNJGODT0G5Z4TTKYMMUX1","GSON5231439021")</f>
        <v>#NAME?</v>
      </c>
      <c r="V2670" s="4" t="e">
        <f ca="1">[1]!BexGetData("DP_1","00O2TNJGODT0G5Z4TTKYMN18L","GSON5231439021")</f>
        <v>#NAME?</v>
      </c>
      <c r="W2670" s="4" t="e">
        <f ca="1">[1]!BexGetData("DP_1","00O2TNJGODT0G5Z4TTKYMN7K5","GSON5231439021")</f>
        <v>#NAME?</v>
      </c>
    </row>
    <row r="2671" spans="1:23" x14ac:dyDescent="0.2">
      <c r="A2671" s="15" t="s">
        <v>5461</v>
      </c>
      <c r="B2671" s="7" t="s">
        <v>5462</v>
      </c>
      <c r="C2671" s="3" t="e">
        <f ca="1">[1]!BexGetData("DP_1","003N8EMH8GTFRCSWKMPXRR8GU","GSON5232")</f>
        <v>#NAME?</v>
      </c>
      <c r="D2671" s="3" t="e">
        <f ca="1">[1]!BexGetData("DP_1","003N8EMH8GTFRCSWKMPXRRESE","GSON5232")</f>
        <v>#NAME?</v>
      </c>
      <c r="E2671" s="3" t="e">
        <f ca="1">[1]!BexGetData("DP_1","003N8EMH8GTFRCSWKMPXRRL3Y","GSON5232")</f>
        <v>#NAME?</v>
      </c>
      <c r="F2671" s="4" t="e">
        <f ca="1">[1]!BexGetData("DP_1","003N8EMH8GTFRCSWKMPXRRRFI","GSON5232")</f>
        <v>#NAME?</v>
      </c>
      <c r="G2671" s="4" t="e">
        <f ca="1">[1]!BexGetData("DP_1","003N8EMH8GTFRCSWKMPXRRXR2","GSON5232")</f>
        <v>#NAME?</v>
      </c>
      <c r="H2671" s="4" t="e">
        <f ca="1">[1]!BexGetData("DP_1","003N8EMH8GTFRCSWKMPXRS42M","GSON5232")</f>
        <v>#NAME?</v>
      </c>
      <c r="I2671" s="4" t="e">
        <f ca="1">[1]!BexGetData("DP_1","003N8EMH8GTFRCSWKMPXRSAE6","GSON5232")</f>
        <v>#NAME?</v>
      </c>
      <c r="J2671" s="4" t="e">
        <f ca="1">[1]!BexGetData("DP_1","003N8EMH8GTFRCSWKMPXRSGPQ","GSON5232")</f>
        <v>#NAME?</v>
      </c>
      <c r="K2671" s="3" t="e">
        <f ca="1">[1]!BexGetData("DP_1","003N8EMH8GTFRIVNUPY288VJH","GSON5232")</f>
        <v>#NAME?</v>
      </c>
      <c r="L2671" s="3" t="e">
        <f ca="1">[1]!BexGetData("DP_1","003N8EMH8GTFRIVNUPY2891V1","GSON5232")</f>
        <v>#NAME?</v>
      </c>
      <c r="M2671" s="8" t="e">
        <f ca="1">[1]!BexGetData("DP_1","003N8EMH8GTFRIVOG7KG9IQXA","GSON5232")</f>
        <v>#NAME?</v>
      </c>
      <c r="N2671" s="3" t="e">
        <f ca="1">[1]!BexGetData("DP_1","003N8EMH8GTFRIVOG7KG9IX8U","GSON5232")</f>
        <v>#NAME?</v>
      </c>
      <c r="O2671" s="8" t="e">
        <f ca="1">[1]!BexGetData("DP_1","003N8EMH8GTFRIVOG7KG9J3KE","GSON5232")</f>
        <v>#NAME?</v>
      </c>
      <c r="P2671" s="3" t="e">
        <f ca="1">[1]!BexGetData("DP_1","003N8EMH8GTFRIVOG7KG9J9VY","GSON5232")</f>
        <v>#NAME?</v>
      </c>
      <c r="Q2671" s="4" t="e">
        <f ca="1">[1]!BexGetData("DP_1","00O2TNJGODT0G5Z4TTKYMM5MT","GSON5232")</f>
        <v>#NAME?</v>
      </c>
      <c r="R2671" s="4" t="e">
        <f ca="1">[1]!BexGetData("DP_1","00O2TNJGODT0G5Z4TTKYMMBYD","GSON5232")</f>
        <v>#NAME?</v>
      </c>
      <c r="S2671" s="4" t="e">
        <f ca="1">[1]!BexGetData("DP_1","00O2TNJGODT0G5Z4TTKYMMI9X","GSON5232")</f>
        <v>#NAME?</v>
      </c>
      <c r="T2671" s="4" t="e">
        <f ca="1">[1]!BexGetData("DP_1","00O2TNJGODT0G5Z4TTKYMMOLH","GSON5232")</f>
        <v>#NAME?</v>
      </c>
      <c r="U2671" s="4" t="e">
        <f ca="1">[1]!BexGetData("DP_1","00O2TNJGODT0G5Z4TTKYMMUX1","GSON5232")</f>
        <v>#NAME?</v>
      </c>
      <c r="V2671" s="4" t="e">
        <f ca="1">[1]!BexGetData("DP_1","00O2TNJGODT0G5Z4TTKYMN18L","GSON5232")</f>
        <v>#NAME?</v>
      </c>
      <c r="W2671" s="4" t="e">
        <f ca="1">[1]!BexGetData("DP_1","00O2TNJGODT0G5Z4TTKYMN7K5","GSON5232")</f>
        <v>#NAME?</v>
      </c>
    </row>
    <row r="2672" spans="1:23" x14ac:dyDescent="0.2">
      <c r="A2672" s="16" t="s">
        <v>5463</v>
      </c>
      <c r="B2672" s="7" t="s">
        <v>5464</v>
      </c>
      <c r="C2672" s="3" t="e">
        <f ca="1">[1]!BexGetData("DP_1","003N8EMH8GTFRCSWKMPXRR8GU","GSON5232437021")</f>
        <v>#NAME?</v>
      </c>
      <c r="D2672" s="3" t="e">
        <f ca="1">[1]!BexGetData("DP_1","003N8EMH8GTFRCSWKMPXRRESE","GSON5232437021")</f>
        <v>#NAME?</v>
      </c>
      <c r="E2672" s="3" t="e">
        <f ca="1">[1]!BexGetData("DP_1","003N8EMH8GTFRCSWKMPXRRL3Y","GSON5232437021")</f>
        <v>#NAME?</v>
      </c>
      <c r="F2672" s="4" t="e">
        <f ca="1">[1]!BexGetData("DP_1","003N8EMH8GTFRCSWKMPXRRRFI","GSON5232437021")</f>
        <v>#NAME?</v>
      </c>
      <c r="G2672" s="4" t="e">
        <f ca="1">[1]!BexGetData("DP_1","003N8EMH8GTFRCSWKMPXRRXR2","GSON5232437021")</f>
        <v>#NAME?</v>
      </c>
      <c r="H2672" s="4" t="e">
        <f ca="1">[1]!BexGetData("DP_1","003N8EMH8GTFRCSWKMPXRS42M","GSON5232437021")</f>
        <v>#NAME?</v>
      </c>
      <c r="I2672" s="4" t="e">
        <f ca="1">[1]!BexGetData("DP_1","003N8EMH8GTFRCSWKMPXRSAE6","GSON5232437021")</f>
        <v>#NAME?</v>
      </c>
      <c r="J2672" s="4" t="e">
        <f ca="1">[1]!BexGetData("DP_1","003N8EMH8GTFRCSWKMPXRSGPQ","GSON5232437021")</f>
        <v>#NAME?</v>
      </c>
      <c r="K2672" s="3" t="e">
        <f ca="1">[1]!BexGetData("DP_1","003N8EMH8GTFRIVNUPY288VJH","GSON5232437021")</f>
        <v>#NAME?</v>
      </c>
      <c r="L2672" s="3" t="e">
        <f ca="1">[1]!BexGetData("DP_1","003N8EMH8GTFRIVNUPY2891V1","GSON5232437021")</f>
        <v>#NAME?</v>
      </c>
      <c r="M2672" s="8" t="e">
        <f ca="1">[1]!BexGetData("DP_1","003N8EMH8GTFRIVOG7KG9IQXA","GSON5232437021")</f>
        <v>#NAME?</v>
      </c>
      <c r="N2672" s="3" t="e">
        <f ca="1">[1]!BexGetData("DP_1","003N8EMH8GTFRIVOG7KG9IX8U","GSON5232437021")</f>
        <v>#NAME?</v>
      </c>
      <c r="O2672" s="8" t="e">
        <f ca="1">[1]!BexGetData("DP_1","003N8EMH8GTFRIVOG7KG9J3KE","GSON5232437021")</f>
        <v>#NAME?</v>
      </c>
      <c r="P2672" s="3" t="e">
        <f ca="1">[1]!BexGetData("DP_1","003N8EMH8GTFRIVOG7KG9J9VY","GSON5232437021")</f>
        <v>#NAME?</v>
      </c>
      <c r="Q2672" s="4" t="e">
        <f ca="1">[1]!BexGetData("DP_1","00O2TNJGODT0G5Z4TTKYMM5MT","GSON5232437021")</f>
        <v>#NAME?</v>
      </c>
      <c r="R2672" s="4" t="e">
        <f ca="1">[1]!BexGetData("DP_1","00O2TNJGODT0G5Z4TTKYMMBYD","GSON5232437021")</f>
        <v>#NAME?</v>
      </c>
      <c r="S2672" s="4" t="e">
        <f ca="1">[1]!BexGetData("DP_1","00O2TNJGODT0G5Z4TTKYMMI9X","GSON5232437021")</f>
        <v>#NAME?</v>
      </c>
      <c r="T2672" s="4" t="e">
        <f ca="1">[1]!BexGetData("DP_1","00O2TNJGODT0G5Z4TTKYMMOLH","GSON5232437021")</f>
        <v>#NAME?</v>
      </c>
      <c r="U2672" s="4" t="e">
        <f ca="1">[1]!BexGetData("DP_1","00O2TNJGODT0G5Z4TTKYMMUX1","GSON5232437021")</f>
        <v>#NAME?</v>
      </c>
      <c r="V2672" s="4" t="e">
        <f ca="1">[1]!BexGetData("DP_1","00O2TNJGODT0G5Z4TTKYMN18L","GSON5232437021")</f>
        <v>#NAME?</v>
      </c>
      <c r="W2672" s="4" t="e">
        <f ca="1">[1]!BexGetData("DP_1","00O2TNJGODT0G5Z4TTKYMN7K5","GSON5232437021")</f>
        <v>#NAME?</v>
      </c>
    </row>
    <row r="2673" spans="1:23" x14ac:dyDescent="0.2">
      <c r="A2673" s="14" t="s">
        <v>1712</v>
      </c>
      <c r="B2673" s="7" t="s">
        <v>1713</v>
      </c>
      <c r="C2673" s="3" t="e">
        <f ca="1">[1]!BexGetData("DP_1","003N8EMH8GTFRCSWKMPXRR8GU","GSON524")</f>
        <v>#NAME?</v>
      </c>
      <c r="D2673" s="3" t="e">
        <f ca="1">[1]!BexGetData("DP_1","003N8EMH8GTFRCSWKMPXRRESE","GSON524")</f>
        <v>#NAME?</v>
      </c>
      <c r="E2673" s="3" t="e">
        <f ca="1">[1]!BexGetData("DP_1","003N8EMH8GTFRCSWKMPXRRL3Y","GSON524")</f>
        <v>#NAME?</v>
      </c>
      <c r="F2673" s="4" t="e">
        <f ca="1">[1]!BexGetData("DP_1","003N8EMH8GTFRCSWKMPXRRRFI","GSON524")</f>
        <v>#NAME?</v>
      </c>
      <c r="G2673" s="4" t="e">
        <f ca="1">[1]!BexGetData("DP_1","003N8EMH8GTFRCSWKMPXRRXR2","GSON524")</f>
        <v>#NAME?</v>
      </c>
      <c r="H2673" s="4" t="e">
        <f ca="1">[1]!BexGetData("DP_1","003N8EMH8GTFRCSWKMPXRS42M","GSON524")</f>
        <v>#NAME?</v>
      </c>
      <c r="I2673" s="4" t="e">
        <f ca="1">[1]!BexGetData("DP_1","003N8EMH8GTFRCSWKMPXRSAE6","GSON524")</f>
        <v>#NAME?</v>
      </c>
      <c r="J2673" s="4" t="e">
        <f ca="1">[1]!BexGetData("DP_1","003N8EMH8GTFRCSWKMPXRSGPQ","GSON524")</f>
        <v>#NAME?</v>
      </c>
      <c r="K2673" s="3" t="e">
        <f ca="1">[1]!BexGetData("DP_1","003N8EMH8GTFRIVNUPY288VJH","GSON524")</f>
        <v>#NAME?</v>
      </c>
      <c r="L2673" s="3" t="e">
        <f ca="1">[1]!BexGetData("DP_1","003N8EMH8GTFRIVNUPY2891V1","GSON524")</f>
        <v>#NAME?</v>
      </c>
      <c r="M2673" s="8" t="e">
        <f ca="1">[1]!BexGetData("DP_1","003N8EMH8GTFRIVOG7KG9IQXA","GSON524")</f>
        <v>#NAME?</v>
      </c>
      <c r="N2673" s="3" t="e">
        <f ca="1">[1]!BexGetData("DP_1","003N8EMH8GTFRIVOG7KG9IX8U","GSON524")</f>
        <v>#NAME?</v>
      </c>
      <c r="O2673" s="8" t="e">
        <f ca="1">[1]!BexGetData("DP_1","003N8EMH8GTFRIVOG7KG9J3KE","GSON524")</f>
        <v>#NAME?</v>
      </c>
      <c r="P2673" s="3" t="e">
        <f ca="1">[1]!BexGetData("DP_1","003N8EMH8GTFRIVOG7KG9J9VY","GSON524")</f>
        <v>#NAME?</v>
      </c>
      <c r="Q2673" s="4" t="e">
        <f ca="1">[1]!BexGetData("DP_1","00O2TNJGODT0G5Z4TTKYMM5MT","GSON524")</f>
        <v>#NAME?</v>
      </c>
      <c r="R2673" s="4" t="e">
        <f ca="1">[1]!BexGetData("DP_1","00O2TNJGODT0G5Z4TTKYMMBYD","GSON524")</f>
        <v>#NAME?</v>
      </c>
      <c r="S2673" s="4" t="e">
        <f ca="1">[1]!BexGetData("DP_1","00O2TNJGODT0G5Z4TTKYMMI9X","GSON524")</f>
        <v>#NAME?</v>
      </c>
      <c r="T2673" s="4" t="e">
        <f ca="1">[1]!BexGetData("DP_1","00O2TNJGODT0G5Z4TTKYMMOLH","GSON524")</f>
        <v>#NAME?</v>
      </c>
      <c r="U2673" s="4" t="e">
        <f ca="1">[1]!BexGetData("DP_1","00O2TNJGODT0G5Z4TTKYMMUX1","GSON524")</f>
        <v>#NAME?</v>
      </c>
      <c r="V2673" s="4" t="e">
        <f ca="1">[1]!BexGetData("DP_1","00O2TNJGODT0G5Z4TTKYMN18L","GSON524")</f>
        <v>#NAME?</v>
      </c>
      <c r="W2673" s="4" t="e">
        <f ca="1">[1]!BexGetData("DP_1","00O2TNJGODT0G5Z4TTKYMN7K5","GSON524")</f>
        <v>#NAME?</v>
      </c>
    </row>
    <row r="2674" spans="1:23" x14ac:dyDescent="0.2">
      <c r="A2674" s="15" t="s">
        <v>5465</v>
      </c>
      <c r="B2674" s="7" t="s">
        <v>5466</v>
      </c>
      <c r="C2674" s="3" t="e">
        <f ca="1">[1]!BexGetData("DP_1","003N8EMH8GTFRCSWKMPXRR8GU","GSON5241")</f>
        <v>#NAME?</v>
      </c>
      <c r="D2674" s="3" t="e">
        <f ca="1">[1]!BexGetData("DP_1","003N8EMH8GTFRCSWKMPXRRESE","GSON5241")</f>
        <v>#NAME?</v>
      </c>
      <c r="E2674" s="3" t="e">
        <f ca="1">[1]!BexGetData("DP_1","003N8EMH8GTFRCSWKMPXRRL3Y","GSON5241")</f>
        <v>#NAME?</v>
      </c>
      <c r="F2674" s="4" t="e">
        <f ca="1">[1]!BexGetData("DP_1","003N8EMH8GTFRCSWKMPXRRRFI","GSON5241")</f>
        <v>#NAME?</v>
      </c>
      <c r="G2674" s="4" t="e">
        <f ca="1">[1]!BexGetData("DP_1","003N8EMH8GTFRCSWKMPXRRXR2","GSON5241")</f>
        <v>#NAME?</v>
      </c>
      <c r="H2674" s="4" t="e">
        <f ca="1">[1]!BexGetData("DP_1","003N8EMH8GTFRCSWKMPXRS42M","GSON5241")</f>
        <v>#NAME?</v>
      </c>
      <c r="I2674" s="4" t="e">
        <f ca="1">[1]!BexGetData("DP_1","003N8EMH8GTFRCSWKMPXRSAE6","GSON5241")</f>
        <v>#NAME?</v>
      </c>
      <c r="J2674" s="4" t="e">
        <f ca="1">[1]!BexGetData("DP_1","003N8EMH8GTFRCSWKMPXRSGPQ","GSON5241")</f>
        <v>#NAME?</v>
      </c>
      <c r="K2674" s="3" t="e">
        <f ca="1">[1]!BexGetData("DP_1","003N8EMH8GTFRIVNUPY288VJH","GSON5241")</f>
        <v>#NAME?</v>
      </c>
      <c r="L2674" s="3" t="e">
        <f ca="1">[1]!BexGetData("DP_1","003N8EMH8GTFRIVNUPY2891V1","GSON5241")</f>
        <v>#NAME?</v>
      </c>
      <c r="M2674" s="8" t="e">
        <f ca="1">[1]!BexGetData("DP_1","003N8EMH8GTFRIVOG7KG9IQXA","GSON5241")</f>
        <v>#NAME?</v>
      </c>
      <c r="N2674" s="3" t="e">
        <f ca="1">[1]!BexGetData("DP_1","003N8EMH8GTFRIVOG7KG9IX8U","GSON5241")</f>
        <v>#NAME?</v>
      </c>
      <c r="O2674" s="8" t="e">
        <f ca="1">[1]!BexGetData("DP_1","003N8EMH8GTFRIVOG7KG9J3KE","GSON5241")</f>
        <v>#NAME?</v>
      </c>
      <c r="P2674" s="3" t="e">
        <f ca="1">[1]!BexGetData("DP_1","003N8EMH8GTFRIVOG7KG9J9VY","GSON5241")</f>
        <v>#NAME?</v>
      </c>
      <c r="Q2674" s="4" t="e">
        <f ca="1">[1]!BexGetData("DP_1","00O2TNJGODT0G5Z4TTKYMM5MT","GSON5241")</f>
        <v>#NAME?</v>
      </c>
      <c r="R2674" s="4" t="e">
        <f ca="1">[1]!BexGetData("DP_1","00O2TNJGODT0G5Z4TTKYMMBYD","GSON5241")</f>
        <v>#NAME?</v>
      </c>
      <c r="S2674" s="4" t="e">
        <f ca="1">[1]!BexGetData("DP_1","00O2TNJGODT0G5Z4TTKYMMI9X","GSON5241")</f>
        <v>#NAME?</v>
      </c>
      <c r="T2674" s="4" t="e">
        <f ca="1">[1]!BexGetData("DP_1","00O2TNJGODT0G5Z4TTKYMMOLH","GSON5241")</f>
        <v>#NAME?</v>
      </c>
      <c r="U2674" s="4" t="e">
        <f ca="1">[1]!BexGetData("DP_1","00O2TNJGODT0G5Z4TTKYMMUX1","GSON5241")</f>
        <v>#NAME?</v>
      </c>
      <c r="V2674" s="4" t="e">
        <f ca="1">[1]!BexGetData("DP_1","00O2TNJGODT0G5Z4TTKYMN18L","GSON5241")</f>
        <v>#NAME?</v>
      </c>
      <c r="W2674" s="4" t="e">
        <f ca="1">[1]!BexGetData("DP_1","00O2TNJGODT0G5Z4TTKYMN7K5","GSON5241")</f>
        <v>#NAME?</v>
      </c>
    </row>
    <row r="2675" spans="1:23" x14ac:dyDescent="0.2">
      <c r="A2675" s="16" t="s">
        <v>5467</v>
      </c>
      <c r="B2675" s="7" t="s">
        <v>5468</v>
      </c>
      <c r="C2675" s="3" t="e">
        <f ca="1">[1]!BexGetData("DP_1","003N8EMH8GTFRCSWKMPXRR8GU","GSON5241441011")</f>
        <v>#NAME?</v>
      </c>
      <c r="D2675" s="3" t="e">
        <f ca="1">[1]!BexGetData("DP_1","003N8EMH8GTFRCSWKMPXRRESE","GSON5241441011")</f>
        <v>#NAME?</v>
      </c>
      <c r="E2675" s="3" t="e">
        <f ca="1">[1]!BexGetData("DP_1","003N8EMH8GTFRCSWKMPXRRL3Y","GSON5241441011")</f>
        <v>#NAME?</v>
      </c>
      <c r="F2675" s="4" t="e">
        <f ca="1">[1]!BexGetData("DP_1","003N8EMH8GTFRCSWKMPXRRRFI","GSON5241441011")</f>
        <v>#NAME?</v>
      </c>
      <c r="G2675" s="4" t="e">
        <f ca="1">[1]!BexGetData("DP_1","003N8EMH8GTFRCSWKMPXRRXR2","GSON5241441011")</f>
        <v>#NAME?</v>
      </c>
      <c r="H2675" s="4" t="e">
        <f ca="1">[1]!BexGetData("DP_1","003N8EMH8GTFRCSWKMPXRS42M","GSON5241441011")</f>
        <v>#NAME?</v>
      </c>
      <c r="I2675" s="4" t="e">
        <f ca="1">[1]!BexGetData("DP_1","003N8EMH8GTFRCSWKMPXRSAE6","GSON5241441011")</f>
        <v>#NAME?</v>
      </c>
      <c r="J2675" s="4" t="e">
        <f ca="1">[1]!BexGetData("DP_1","003N8EMH8GTFRCSWKMPXRSGPQ","GSON5241441011")</f>
        <v>#NAME?</v>
      </c>
      <c r="K2675" s="3" t="e">
        <f ca="1">[1]!BexGetData("DP_1","003N8EMH8GTFRIVNUPY288VJH","GSON5241441011")</f>
        <v>#NAME?</v>
      </c>
      <c r="L2675" s="3" t="e">
        <f ca="1">[1]!BexGetData("DP_1","003N8EMH8GTFRIVNUPY2891V1","GSON5241441011")</f>
        <v>#NAME?</v>
      </c>
      <c r="M2675" s="8" t="e">
        <f ca="1">[1]!BexGetData("DP_1","003N8EMH8GTFRIVOG7KG9IQXA","GSON5241441011")</f>
        <v>#NAME?</v>
      </c>
      <c r="N2675" s="3" t="e">
        <f ca="1">[1]!BexGetData("DP_1","003N8EMH8GTFRIVOG7KG9IX8U","GSON5241441011")</f>
        <v>#NAME?</v>
      </c>
      <c r="O2675" s="8" t="e">
        <f ca="1">[1]!BexGetData("DP_1","003N8EMH8GTFRIVOG7KG9J3KE","GSON5241441011")</f>
        <v>#NAME?</v>
      </c>
      <c r="P2675" s="3" t="e">
        <f ca="1">[1]!BexGetData("DP_1","003N8EMH8GTFRIVOG7KG9J9VY","GSON5241441011")</f>
        <v>#NAME?</v>
      </c>
      <c r="Q2675" s="4" t="e">
        <f ca="1">[1]!BexGetData("DP_1","00O2TNJGODT0G5Z4TTKYMM5MT","GSON5241441011")</f>
        <v>#NAME?</v>
      </c>
      <c r="R2675" s="4" t="e">
        <f ca="1">[1]!BexGetData("DP_1","00O2TNJGODT0G5Z4TTKYMMBYD","GSON5241441011")</f>
        <v>#NAME?</v>
      </c>
      <c r="S2675" s="4" t="e">
        <f ca="1">[1]!BexGetData("DP_1","00O2TNJGODT0G5Z4TTKYMMI9X","GSON5241441011")</f>
        <v>#NAME?</v>
      </c>
      <c r="T2675" s="4" t="e">
        <f ca="1">[1]!BexGetData("DP_1","00O2TNJGODT0G5Z4TTKYMMOLH","GSON5241441011")</f>
        <v>#NAME?</v>
      </c>
      <c r="U2675" s="4" t="e">
        <f ca="1">[1]!BexGetData("DP_1","00O2TNJGODT0G5Z4TTKYMMUX1","GSON5241441011")</f>
        <v>#NAME?</v>
      </c>
      <c r="V2675" s="4" t="e">
        <f ca="1">[1]!BexGetData("DP_1","00O2TNJGODT0G5Z4TTKYMN18L","GSON5241441011")</f>
        <v>#NAME?</v>
      </c>
      <c r="W2675" s="4" t="e">
        <f ca="1">[1]!BexGetData("DP_1","00O2TNJGODT0G5Z4TTKYMN7K5","GSON5241441011")</f>
        <v>#NAME?</v>
      </c>
    </row>
    <row r="2676" spans="1:23" x14ac:dyDescent="0.2">
      <c r="A2676" s="16" t="s">
        <v>5469</v>
      </c>
      <c r="B2676" s="7" t="s">
        <v>5470</v>
      </c>
      <c r="C2676" s="3" t="e">
        <f ca="1">[1]!BexGetData("DP_1","003N8EMH8GTFRCSWKMPXRR8GU","GSON5241441101")</f>
        <v>#NAME?</v>
      </c>
      <c r="D2676" s="3" t="e">
        <f ca="1">[1]!BexGetData("DP_1","003N8EMH8GTFRCSWKMPXRRESE","GSON5241441101")</f>
        <v>#NAME?</v>
      </c>
      <c r="E2676" s="3" t="e">
        <f ca="1">[1]!BexGetData("DP_1","003N8EMH8GTFRCSWKMPXRRL3Y","GSON5241441101")</f>
        <v>#NAME?</v>
      </c>
      <c r="F2676" s="4" t="e">
        <f ca="1">[1]!BexGetData("DP_1","003N8EMH8GTFRCSWKMPXRRRFI","GSON5241441101")</f>
        <v>#NAME?</v>
      </c>
      <c r="G2676" s="4" t="e">
        <f ca="1">[1]!BexGetData("DP_1","003N8EMH8GTFRCSWKMPXRRXR2","GSON5241441101")</f>
        <v>#NAME?</v>
      </c>
      <c r="H2676" s="4" t="e">
        <f ca="1">[1]!BexGetData("DP_1","003N8EMH8GTFRCSWKMPXRS42M","GSON5241441101")</f>
        <v>#NAME?</v>
      </c>
      <c r="I2676" s="4" t="e">
        <f ca="1">[1]!BexGetData("DP_1","003N8EMH8GTFRCSWKMPXRSAE6","GSON5241441101")</f>
        <v>#NAME?</v>
      </c>
      <c r="J2676" s="4" t="e">
        <f ca="1">[1]!BexGetData("DP_1","003N8EMH8GTFRCSWKMPXRSGPQ","GSON5241441101")</f>
        <v>#NAME?</v>
      </c>
      <c r="K2676" s="3" t="e">
        <f ca="1">[1]!BexGetData("DP_1","003N8EMH8GTFRIVNUPY288VJH","GSON5241441101")</f>
        <v>#NAME?</v>
      </c>
      <c r="L2676" s="3" t="e">
        <f ca="1">[1]!BexGetData("DP_1","003N8EMH8GTFRIVNUPY2891V1","GSON5241441101")</f>
        <v>#NAME?</v>
      </c>
      <c r="M2676" s="8" t="e">
        <f ca="1">[1]!BexGetData("DP_1","003N8EMH8GTFRIVOG7KG9IQXA","GSON5241441101")</f>
        <v>#NAME?</v>
      </c>
      <c r="N2676" s="3" t="e">
        <f ca="1">[1]!BexGetData("DP_1","003N8EMH8GTFRIVOG7KG9IX8U","GSON5241441101")</f>
        <v>#NAME?</v>
      </c>
      <c r="O2676" s="8" t="e">
        <f ca="1">[1]!BexGetData("DP_1","003N8EMH8GTFRIVOG7KG9J3KE","GSON5241441101")</f>
        <v>#NAME?</v>
      </c>
      <c r="P2676" s="3" t="e">
        <f ca="1">[1]!BexGetData("DP_1","003N8EMH8GTFRIVOG7KG9J9VY","GSON5241441101")</f>
        <v>#NAME?</v>
      </c>
      <c r="Q2676" s="4" t="e">
        <f ca="1">[1]!BexGetData("DP_1","00O2TNJGODT0G5Z4TTKYMM5MT","GSON5241441101")</f>
        <v>#NAME?</v>
      </c>
      <c r="R2676" s="4" t="e">
        <f ca="1">[1]!BexGetData("DP_1","00O2TNJGODT0G5Z4TTKYMMBYD","GSON5241441101")</f>
        <v>#NAME?</v>
      </c>
      <c r="S2676" s="4" t="e">
        <f ca="1">[1]!BexGetData("DP_1","00O2TNJGODT0G5Z4TTKYMMI9X","GSON5241441101")</f>
        <v>#NAME?</v>
      </c>
      <c r="T2676" s="4" t="e">
        <f ca="1">[1]!BexGetData("DP_1","00O2TNJGODT0G5Z4TTKYMMOLH","GSON5241441101")</f>
        <v>#NAME?</v>
      </c>
      <c r="U2676" s="4" t="e">
        <f ca="1">[1]!BexGetData("DP_1","00O2TNJGODT0G5Z4TTKYMMUX1","GSON5241441101")</f>
        <v>#NAME?</v>
      </c>
      <c r="V2676" s="4" t="e">
        <f ca="1">[1]!BexGetData("DP_1","00O2TNJGODT0G5Z4TTKYMN18L","GSON5241441101")</f>
        <v>#NAME?</v>
      </c>
      <c r="W2676" s="4" t="e">
        <f ca="1">[1]!BexGetData("DP_1","00O2TNJGODT0G5Z4TTKYMN7K5","GSON5241441101")</f>
        <v>#NAME?</v>
      </c>
    </row>
    <row r="2677" spans="1:23" x14ac:dyDescent="0.2">
      <c r="A2677" s="16" t="s">
        <v>5471</v>
      </c>
      <c r="B2677" s="7" t="s">
        <v>5472</v>
      </c>
      <c r="C2677" s="3" t="e">
        <f ca="1">[1]!BexGetData("DP_1","003N8EMH8GTFRCSWKMPXRR8GU","GSON5241441111")</f>
        <v>#NAME?</v>
      </c>
      <c r="D2677" s="3" t="e">
        <f ca="1">[1]!BexGetData("DP_1","003N8EMH8GTFRCSWKMPXRRESE","GSON5241441111")</f>
        <v>#NAME?</v>
      </c>
      <c r="E2677" s="3" t="e">
        <f ca="1">[1]!BexGetData("DP_1","003N8EMH8GTFRCSWKMPXRRL3Y","GSON5241441111")</f>
        <v>#NAME?</v>
      </c>
      <c r="F2677" s="4" t="e">
        <f ca="1">[1]!BexGetData("DP_1","003N8EMH8GTFRCSWKMPXRRRFI","GSON5241441111")</f>
        <v>#NAME?</v>
      </c>
      <c r="G2677" s="4" t="e">
        <f ca="1">[1]!BexGetData("DP_1","003N8EMH8GTFRCSWKMPXRRXR2","GSON5241441111")</f>
        <v>#NAME?</v>
      </c>
      <c r="H2677" s="4" t="e">
        <f ca="1">[1]!BexGetData("DP_1","003N8EMH8GTFRCSWKMPXRS42M","GSON5241441111")</f>
        <v>#NAME?</v>
      </c>
      <c r="I2677" s="4" t="e">
        <f ca="1">[1]!BexGetData("DP_1","003N8EMH8GTFRCSWKMPXRSAE6","GSON5241441111")</f>
        <v>#NAME?</v>
      </c>
      <c r="J2677" s="4" t="e">
        <f ca="1">[1]!BexGetData("DP_1","003N8EMH8GTFRCSWKMPXRSGPQ","GSON5241441111")</f>
        <v>#NAME?</v>
      </c>
      <c r="K2677" s="3" t="e">
        <f ca="1">[1]!BexGetData("DP_1","003N8EMH8GTFRIVNUPY288VJH","GSON5241441111")</f>
        <v>#NAME?</v>
      </c>
      <c r="L2677" s="3" t="e">
        <f ca="1">[1]!BexGetData("DP_1","003N8EMH8GTFRIVNUPY2891V1","GSON5241441111")</f>
        <v>#NAME?</v>
      </c>
      <c r="M2677" s="8" t="e">
        <f ca="1">[1]!BexGetData("DP_1","003N8EMH8GTFRIVOG7KG9IQXA","GSON5241441111")</f>
        <v>#NAME?</v>
      </c>
      <c r="N2677" s="3" t="e">
        <f ca="1">[1]!BexGetData("DP_1","003N8EMH8GTFRIVOG7KG9IX8U","GSON5241441111")</f>
        <v>#NAME?</v>
      </c>
      <c r="O2677" s="8" t="e">
        <f ca="1">[1]!BexGetData("DP_1","003N8EMH8GTFRIVOG7KG9J3KE","GSON5241441111")</f>
        <v>#NAME?</v>
      </c>
      <c r="P2677" s="3" t="e">
        <f ca="1">[1]!BexGetData("DP_1","003N8EMH8GTFRIVOG7KG9J9VY","GSON5241441111")</f>
        <v>#NAME?</v>
      </c>
      <c r="Q2677" s="4" t="e">
        <f ca="1">[1]!BexGetData("DP_1","00O2TNJGODT0G5Z4TTKYMM5MT","GSON5241441111")</f>
        <v>#NAME?</v>
      </c>
      <c r="R2677" s="4" t="e">
        <f ca="1">[1]!BexGetData("DP_1","00O2TNJGODT0G5Z4TTKYMMBYD","GSON5241441111")</f>
        <v>#NAME?</v>
      </c>
      <c r="S2677" s="4" t="e">
        <f ca="1">[1]!BexGetData("DP_1","00O2TNJGODT0G5Z4TTKYMMI9X","GSON5241441111")</f>
        <v>#NAME?</v>
      </c>
      <c r="T2677" s="4" t="e">
        <f ca="1">[1]!BexGetData("DP_1","00O2TNJGODT0G5Z4TTKYMMOLH","GSON5241441111")</f>
        <v>#NAME?</v>
      </c>
      <c r="U2677" s="4" t="e">
        <f ca="1">[1]!BexGetData("DP_1","00O2TNJGODT0G5Z4TTKYMMUX1","GSON5241441111")</f>
        <v>#NAME?</v>
      </c>
      <c r="V2677" s="4" t="e">
        <f ca="1">[1]!BexGetData("DP_1","00O2TNJGODT0G5Z4TTKYMN18L","GSON5241441111")</f>
        <v>#NAME?</v>
      </c>
      <c r="W2677" s="4" t="e">
        <f ca="1">[1]!BexGetData("DP_1","00O2TNJGODT0G5Z4TTKYMN7K5","GSON5241441111")</f>
        <v>#NAME?</v>
      </c>
    </row>
    <row r="2678" spans="1:23" x14ac:dyDescent="0.2">
      <c r="A2678" s="16" t="s">
        <v>5473</v>
      </c>
      <c r="B2678" s="7" t="s">
        <v>5474</v>
      </c>
      <c r="C2678" s="3" t="e">
        <f ca="1">[1]!BexGetData("DP_1","003N8EMH8GTFRCSWKMPXRR8GU","GSON5241441121")</f>
        <v>#NAME?</v>
      </c>
      <c r="D2678" s="8" t="e">
        <f ca="1">[1]!BexGetData("DP_1","003N8EMH8GTFRCSWKMPXRRESE","GSON5241441121")</f>
        <v>#NAME?</v>
      </c>
      <c r="E2678" s="3" t="e">
        <f ca="1">[1]!BexGetData("DP_1","003N8EMH8GTFRCSWKMPXRRL3Y","GSON5241441121")</f>
        <v>#NAME?</v>
      </c>
      <c r="F2678" s="4" t="e">
        <f ca="1">[1]!BexGetData("DP_1","003N8EMH8GTFRCSWKMPXRRRFI","GSON5241441121")</f>
        <v>#NAME?</v>
      </c>
      <c r="G2678" s="4" t="e">
        <f ca="1">[1]!BexGetData("DP_1","003N8EMH8GTFRCSWKMPXRRXR2","GSON5241441121")</f>
        <v>#NAME?</v>
      </c>
      <c r="H2678" s="4" t="e">
        <f ca="1">[1]!BexGetData("DP_1","003N8EMH8GTFRCSWKMPXRS42M","GSON5241441121")</f>
        <v>#NAME?</v>
      </c>
      <c r="I2678" s="4" t="e">
        <f ca="1">[1]!BexGetData("DP_1","003N8EMH8GTFRCSWKMPXRSAE6","GSON5241441121")</f>
        <v>#NAME?</v>
      </c>
      <c r="J2678" s="4" t="e">
        <f ca="1">[1]!BexGetData("DP_1","003N8EMH8GTFRCSWKMPXRSGPQ","GSON5241441121")</f>
        <v>#NAME?</v>
      </c>
      <c r="K2678" s="3" t="e">
        <f ca="1">[1]!BexGetData("DP_1","003N8EMH8GTFRIVNUPY288VJH","GSON5241441121")</f>
        <v>#NAME?</v>
      </c>
      <c r="L2678" s="3" t="e">
        <f ca="1">[1]!BexGetData("DP_1","003N8EMH8GTFRIVNUPY2891V1","GSON5241441121")</f>
        <v>#NAME?</v>
      </c>
      <c r="M2678" s="8" t="e">
        <f ca="1">[1]!BexGetData("DP_1","003N8EMH8GTFRIVOG7KG9IQXA","GSON5241441121")</f>
        <v>#NAME?</v>
      </c>
      <c r="N2678" s="3" t="e">
        <f ca="1">[1]!BexGetData("DP_1","003N8EMH8GTFRIVOG7KG9IX8U","GSON5241441121")</f>
        <v>#NAME?</v>
      </c>
      <c r="O2678" s="8" t="e">
        <f ca="1">[1]!BexGetData("DP_1","003N8EMH8GTFRIVOG7KG9J3KE","GSON5241441121")</f>
        <v>#NAME?</v>
      </c>
      <c r="P2678" s="3" t="e">
        <f ca="1">[1]!BexGetData("DP_1","003N8EMH8GTFRIVOG7KG9J9VY","GSON5241441121")</f>
        <v>#NAME?</v>
      </c>
      <c r="Q2678" s="4" t="e">
        <f ca="1">[1]!BexGetData("DP_1","00O2TNJGODT0G5Z4TTKYMM5MT","GSON5241441121")</f>
        <v>#NAME?</v>
      </c>
      <c r="R2678" s="4" t="e">
        <f ca="1">[1]!BexGetData("DP_1","00O2TNJGODT0G5Z4TTKYMMBYD","GSON5241441121")</f>
        <v>#NAME?</v>
      </c>
      <c r="S2678" s="4" t="e">
        <f ca="1">[1]!BexGetData("DP_1","00O2TNJGODT0G5Z4TTKYMMI9X","GSON5241441121")</f>
        <v>#NAME?</v>
      </c>
      <c r="T2678" s="4" t="e">
        <f ca="1">[1]!BexGetData("DP_1","00O2TNJGODT0G5Z4TTKYMMOLH","GSON5241441121")</f>
        <v>#NAME?</v>
      </c>
      <c r="U2678" s="4" t="e">
        <f ca="1">[1]!BexGetData("DP_1","00O2TNJGODT0G5Z4TTKYMMUX1","GSON5241441121")</f>
        <v>#NAME?</v>
      </c>
      <c r="V2678" s="4" t="e">
        <f ca="1">[1]!BexGetData("DP_1","00O2TNJGODT0G5Z4TTKYMN18L","GSON5241441121")</f>
        <v>#NAME?</v>
      </c>
      <c r="W2678" s="4" t="e">
        <f ca="1">[1]!BexGetData("DP_1","00O2TNJGODT0G5Z4TTKYMN7K5","GSON5241441121")</f>
        <v>#NAME?</v>
      </c>
    </row>
    <row r="2679" spans="1:23" x14ac:dyDescent="0.2">
      <c r="A2679" s="16" t="s">
        <v>5475</v>
      </c>
      <c r="B2679" s="7" t="s">
        <v>5476</v>
      </c>
      <c r="C2679" s="3" t="e">
        <f ca="1">[1]!BexGetData("DP_1","003N8EMH8GTFRCSWKMPXRR8GU","GSON5241441151")</f>
        <v>#NAME?</v>
      </c>
      <c r="D2679" s="8" t="e">
        <f ca="1">[1]!BexGetData("DP_1","003N8EMH8GTFRCSWKMPXRRESE","GSON5241441151")</f>
        <v>#NAME?</v>
      </c>
      <c r="E2679" s="3" t="e">
        <f ca="1">[1]!BexGetData("DP_1","003N8EMH8GTFRCSWKMPXRRL3Y","GSON5241441151")</f>
        <v>#NAME?</v>
      </c>
      <c r="F2679" s="4" t="e">
        <f ca="1">[1]!BexGetData("DP_1","003N8EMH8GTFRCSWKMPXRRRFI","GSON5241441151")</f>
        <v>#NAME?</v>
      </c>
      <c r="G2679" s="4" t="e">
        <f ca="1">[1]!BexGetData("DP_1","003N8EMH8GTFRCSWKMPXRRXR2","GSON5241441151")</f>
        <v>#NAME?</v>
      </c>
      <c r="H2679" s="4" t="e">
        <f ca="1">[1]!BexGetData("DP_1","003N8EMH8GTFRCSWKMPXRS42M","GSON5241441151")</f>
        <v>#NAME?</v>
      </c>
      <c r="I2679" s="4" t="e">
        <f ca="1">[1]!BexGetData("DP_1","003N8EMH8GTFRCSWKMPXRSAE6","GSON5241441151")</f>
        <v>#NAME?</v>
      </c>
      <c r="J2679" s="4" t="e">
        <f ca="1">[1]!BexGetData("DP_1","003N8EMH8GTFRCSWKMPXRSGPQ","GSON5241441151")</f>
        <v>#NAME?</v>
      </c>
      <c r="K2679" s="3" t="e">
        <f ca="1">[1]!BexGetData("DP_1","003N8EMH8GTFRIVNUPY288VJH","GSON5241441151")</f>
        <v>#NAME?</v>
      </c>
      <c r="L2679" s="3" t="e">
        <f ca="1">[1]!BexGetData("DP_1","003N8EMH8GTFRIVNUPY2891V1","GSON5241441151")</f>
        <v>#NAME?</v>
      </c>
      <c r="M2679" s="8" t="e">
        <f ca="1">[1]!BexGetData("DP_1","003N8EMH8GTFRIVOG7KG9IQXA","GSON5241441151")</f>
        <v>#NAME?</v>
      </c>
      <c r="N2679" s="3" t="e">
        <f ca="1">[1]!BexGetData("DP_1","003N8EMH8GTFRIVOG7KG9IX8U","GSON5241441151")</f>
        <v>#NAME?</v>
      </c>
      <c r="O2679" s="8" t="e">
        <f ca="1">[1]!BexGetData("DP_1","003N8EMH8GTFRIVOG7KG9J3KE","GSON5241441151")</f>
        <v>#NAME?</v>
      </c>
      <c r="P2679" s="3" t="e">
        <f ca="1">[1]!BexGetData("DP_1","003N8EMH8GTFRIVOG7KG9J9VY","GSON5241441151")</f>
        <v>#NAME?</v>
      </c>
      <c r="Q2679" s="4" t="e">
        <f ca="1">[1]!BexGetData("DP_1","00O2TNJGODT0G5Z4TTKYMM5MT","GSON5241441151")</f>
        <v>#NAME?</v>
      </c>
      <c r="R2679" s="4" t="e">
        <f ca="1">[1]!BexGetData("DP_1","00O2TNJGODT0G5Z4TTKYMMBYD","GSON5241441151")</f>
        <v>#NAME?</v>
      </c>
      <c r="S2679" s="4" t="e">
        <f ca="1">[1]!BexGetData("DP_1","00O2TNJGODT0G5Z4TTKYMMI9X","GSON5241441151")</f>
        <v>#NAME?</v>
      </c>
      <c r="T2679" s="4" t="e">
        <f ca="1">[1]!BexGetData("DP_1","00O2TNJGODT0G5Z4TTKYMMOLH","GSON5241441151")</f>
        <v>#NAME?</v>
      </c>
      <c r="U2679" s="4" t="e">
        <f ca="1">[1]!BexGetData("DP_1","00O2TNJGODT0G5Z4TTKYMMUX1","GSON5241441151")</f>
        <v>#NAME?</v>
      </c>
      <c r="V2679" s="4" t="e">
        <f ca="1">[1]!BexGetData("DP_1","00O2TNJGODT0G5Z4TTKYMN18L","GSON5241441151")</f>
        <v>#NAME?</v>
      </c>
      <c r="W2679" s="4" t="e">
        <f ca="1">[1]!BexGetData("DP_1","00O2TNJGODT0G5Z4TTKYMN7K5","GSON5241441151")</f>
        <v>#NAME?</v>
      </c>
    </row>
    <row r="2680" spans="1:23" x14ac:dyDescent="0.2">
      <c r="A2680" s="16" t="s">
        <v>5477</v>
      </c>
      <c r="B2680" s="7" t="s">
        <v>5478</v>
      </c>
      <c r="C2680" s="3" t="e">
        <f ca="1">[1]!BexGetData("DP_1","003N8EMH8GTFRCSWKMPXRR8GU","GSON5241441161")</f>
        <v>#NAME?</v>
      </c>
      <c r="D2680" s="3" t="e">
        <f ca="1">[1]!BexGetData("DP_1","003N8EMH8GTFRCSWKMPXRRESE","GSON5241441161")</f>
        <v>#NAME?</v>
      </c>
      <c r="E2680" s="3" t="e">
        <f ca="1">[1]!BexGetData("DP_1","003N8EMH8GTFRCSWKMPXRRL3Y","GSON5241441161")</f>
        <v>#NAME?</v>
      </c>
      <c r="F2680" s="4" t="e">
        <f ca="1">[1]!BexGetData("DP_1","003N8EMH8GTFRCSWKMPXRRRFI","GSON5241441161")</f>
        <v>#NAME?</v>
      </c>
      <c r="G2680" s="4" t="e">
        <f ca="1">[1]!BexGetData("DP_1","003N8EMH8GTFRCSWKMPXRRXR2","GSON5241441161")</f>
        <v>#NAME?</v>
      </c>
      <c r="H2680" s="4" t="e">
        <f ca="1">[1]!BexGetData("DP_1","003N8EMH8GTFRCSWKMPXRS42M","GSON5241441161")</f>
        <v>#NAME?</v>
      </c>
      <c r="I2680" s="4" t="e">
        <f ca="1">[1]!BexGetData("DP_1","003N8EMH8GTFRCSWKMPXRSAE6","GSON5241441161")</f>
        <v>#NAME?</v>
      </c>
      <c r="J2680" s="4" t="e">
        <f ca="1">[1]!BexGetData("DP_1","003N8EMH8GTFRCSWKMPXRSGPQ","GSON5241441161")</f>
        <v>#NAME?</v>
      </c>
      <c r="K2680" s="3" t="e">
        <f ca="1">[1]!BexGetData("DP_1","003N8EMH8GTFRIVNUPY288VJH","GSON5241441161")</f>
        <v>#NAME?</v>
      </c>
      <c r="L2680" s="3" t="e">
        <f ca="1">[1]!BexGetData("DP_1","003N8EMH8GTFRIVNUPY2891V1","GSON5241441161")</f>
        <v>#NAME?</v>
      </c>
      <c r="M2680" s="8" t="e">
        <f ca="1">[1]!BexGetData("DP_1","003N8EMH8GTFRIVOG7KG9IQXA","GSON5241441161")</f>
        <v>#NAME?</v>
      </c>
      <c r="N2680" s="3" t="e">
        <f ca="1">[1]!BexGetData("DP_1","003N8EMH8GTFRIVOG7KG9IX8U","GSON5241441161")</f>
        <v>#NAME?</v>
      </c>
      <c r="O2680" s="8" t="e">
        <f ca="1">[1]!BexGetData("DP_1","003N8EMH8GTFRIVOG7KG9J3KE","GSON5241441161")</f>
        <v>#NAME?</v>
      </c>
      <c r="P2680" s="3" t="e">
        <f ca="1">[1]!BexGetData("DP_1","003N8EMH8GTFRIVOG7KG9J9VY","GSON5241441161")</f>
        <v>#NAME?</v>
      </c>
      <c r="Q2680" s="4" t="e">
        <f ca="1">[1]!BexGetData("DP_1","00O2TNJGODT0G5Z4TTKYMM5MT","GSON5241441161")</f>
        <v>#NAME?</v>
      </c>
      <c r="R2680" s="4" t="e">
        <f ca="1">[1]!BexGetData("DP_1","00O2TNJGODT0G5Z4TTKYMMBYD","GSON5241441161")</f>
        <v>#NAME?</v>
      </c>
      <c r="S2680" s="4" t="e">
        <f ca="1">[1]!BexGetData("DP_1","00O2TNJGODT0G5Z4TTKYMMI9X","GSON5241441161")</f>
        <v>#NAME?</v>
      </c>
      <c r="T2680" s="4" t="e">
        <f ca="1">[1]!BexGetData("DP_1","00O2TNJGODT0G5Z4TTKYMMOLH","GSON5241441161")</f>
        <v>#NAME?</v>
      </c>
      <c r="U2680" s="4" t="e">
        <f ca="1">[1]!BexGetData("DP_1","00O2TNJGODT0G5Z4TTKYMMUX1","GSON5241441161")</f>
        <v>#NAME?</v>
      </c>
      <c r="V2680" s="4" t="e">
        <f ca="1">[1]!BexGetData("DP_1","00O2TNJGODT0G5Z4TTKYMN18L","GSON5241441161")</f>
        <v>#NAME?</v>
      </c>
      <c r="W2680" s="4" t="e">
        <f ca="1">[1]!BexGetData("DP_1","00O2TNJGODT0G5Z4TTKYMN7K5","GSON5241441161")</f>
        <v>#NAME?</v>
      </c>
    </row>
    <row r="2681" spans="1:23" x14ac:dyDescent="0.2">
      <c r="A2681" s="16" t="s">
        <v>5479</v>
      </c>
      <c r="B2681" s="7" t="s">
        <v>5480</v>
      </c>
      <c r="C2681" s="3" t="e">
        <f ca="1">[1]!BexGetData("DP_1","003N8EMH8GTFRCSWKMPXRR8GU","GSON5241441181")</f>
        <v>#NAME?</v>
      </c>
      <c r="D2681" s="3" t="e">
        <f ca="1">[1]!BexGetData("DP_1","003N8EMH8GTFRCSWKMPXRRESE","GSON5241441181")</f>
        <v>#NAME?</v>
      </c>
      <c r="E2681" s="3" t="e">
        <f ca="1">[1]!BexGetData("DP_1","003N8EMH8GTFRCSWKMPXRRL3Y","GSON5241441181")</f>
        <v>#NAME?</v>
      </c>
      <c r="F2681" s="4" t="e">
        <f ca="1">[1]!BexGetData("DP_1","003N8EMH8GTFRCSWKMPXRRRFI","GSON5241441181")</f>
        <v>#NAME?</v>
      </c>
      <c r="G2681" s="4" t="e">
        <f ca="1">[1]!BexGetData("DP_1","003N8EMH8GTFRCSWKMPXRRXR2","GSON5241441181")</f>
        <v>#NAME?</v>
      </c>
      <c r="H2681" s="4" t="e">
        <f ca="1">[1]!BexGetData("DP_1","003N8EMH8GTFRCSWKMPXRS42M","GSON5241441181")</f>
        <v>#NAME?</v>
      </c>
      <c r="I2681" s="4" t="e">
        <f ca="1">[1]!BexGetData("DP_1","003N8EMH8GTFRCSWKMPXRSAE6","GSON5241441181")</f>
        <v>#NAME?</v>
      </c>
      <c r="J2681" s="4" t="e">
        <f ca="1">[1]!BexGetData("DP_1","003N8EMH8GTFRCSWKMPXRSGPQ","GSON5241441181")</f>
        <v>#NAME?</v>
      </c>
      <c r="K2681" s="3" t="e">
        <f ca="1">[1]!BexGetData("DP_1","003N8EMH8GTFRIVNUPY288VJH","GSON5241441181")</f>
        <v>#NAME?</v>
      </c>
      <c r="L2681" s="3" t="e">
        <f ca="1">[1]!BexGetData("DP_1","003N8EMH8GTFRIVNUPY2891V1","GSON5241441181")</f>
        <v>#NAME?</v>
      </c>
      <c r="M2681" s="8" t="e">
        <f ca="1">[1]!BexGetData("DP_1","003N8EMH8GTFRIVOG7KG9IQXA","GSON5241441181")</f>
        <v>#NAME?</v>
      </c>
      <c r="N2681" s="3" t="e">
        <f ca="1">[1]!BexGetData("DP_1","003N8EMH8GTFRIVOG7KG9IX8U","GSON5241441181")</f>
        <v>#NAME?</v>
      </c>
      <c r="O2681" s="8" t="e">
        <f ca="1">[1]!BexGetData("DP_1","003N8EMH8GTFRIVOG7KG9J3KE","GSON5241441181")</f>
        <v>#NAME?</v>
      </c>
      <c r="P2681" s="3" t="e">
        <f ca="1">[1]!BexGetData("DP_1","003N8EMH8GTFRIVOG7KG9J9VY","GSON5241441181")</f>
        <v>#NAME?</v>
      </c>
      <c r="Q2681" s="4" t="e">
        <f ca="1">[1]!BexGetData("DP_1","00O2TNJGODT0G5Z4TTKYMM5MT","GSON5241441181")</f>
        <v>#NAME?</v>
      </c>
      <c r="R2681" s="4" t="e">
        <f ca="1">[1]!BexGetData("DP_1","00O2TNJGODT0G5Z4TTKYMMBYD","GSON5241441181")</f>
        <v>#NAME?</v>
      </c>
      <c r="S2681" s="4" t="e">
        <f ca="1">[1]!BexGetData("DP_1","00O2TNJGODT0G5Z4TTKYMMI9X","GSON5241441181")</f>
        <v>#NAME?</v>
      </c>
      <c r="T2681" s="4" t="e">
        <f ca="1">[1]!BexGetData("DP_1","00O2TNJGODT0G5Z4TTKYMMOLH","GSON5241441181")</f>
        <v>#NAME?</v>
      </c>
      <c r="U2681" s="4" t="e">
        <f ca="1">[1]!BexGetData("DP_1","00O2TNJGODT0G5Z4TTKYMMUX1","GSON5241441181")</f>
        <v>#NAME?</v>
      </c>
      <c r="V2681" s="4" t="e">
        <f ca="1">[1]!BexGetData("DP_1","00O2TNJGODT0G5Z4TTKYMN18L","GSON5241441181")</f>
        <v>#NAME?</v>
      </c>
      <c r="W2681" s="4" t="e">
        <f ca="1">[1]!BexGetData("DP_1","00O2TNJGODT0G5Z4TTKYMN7K5","GSON5241441181")</f>
        <v>#NAME?</v>
      </c>
    </row>
    <row r="2682" spans="1:23" x14ac:dyDescent="0.2">
      <c r="A2682" s="15" t="s">
        <v>5481</v>
      </c>
      <c r="B2682" s="7" t="s">
        <v>5482</v>
      </c>
      <c r="C2682" s="3" t="e">
        <f ca="1">[1]!BexGetData("DP_1","003N8EMH8GTFRCSWKMPXRR8GU","GSON5242")</f>
        <v>#NAME?</v>
      </c>
      <c r="D2682" s="3" t="e">
        <f ca="1">[1]!BexGetData("DP_1","003N8EMH8GTFRCSWKMPXRRESE","GSON5242")</f>
        <v>#NAME?</v>
      </c>
      <c r="E2682" s="3" t="e">
        <f ca="1">[1]!BexGetData("DP_1","003N8EMH8GTFRCSWKMPXRRL3Y","GSON5242")</f>
        <v>#NAME?</v>
      </c>
      <c r="F2682" s="4" t="e">
        <f ca="1">[1]!BexGetData("DP_1","003N8EMH8GTFRCSWKMPXRRRFI","GSON5242")</f>
        <v>#NAME?</v>
      </c>
      <c r="G2682" s="4" t="e">
        <f ca="1">[1]!BexGetData("DP_1","003N8EMH8GTFRCSWKMPXRRXR2","GSON5242")</f>
        <v>#NAME?</v>
      </c>
      <c r="H2682" s="4" t="e">
        <f ca="1">[1]!BexGetData("DP_1","003N8EMH8GTFRCSWKMPXRS42M","GSON5242")</f>
        <v>#NAME?</v>
      </c>
      <c r="I2682" s="4" t="e">
        <f ca="1">[1]!BexGetData("DP_1","003N8EMH8GTFRCSWKMPXRSAE6","GSON5242")</f>
        <v>#NAME?</v>
      </c>
      <c r="J2682" s="4" t="e">
        <f ca="1">[1]!BexGetData("DP_1","003N8EMH8GTFRCSWKMPXRSGPQ","GSON5242")</f>
        <v>#NAME?</v>
      </c>
      <c r="K2682" s="3" t="e">
        <f ca="1">[1]!BexGetData("DP_1","003N8EMH8GTFRIVNUPY288VJH","GSON5242")</f>
        <v>#NAME?</v>
      </c>
      <c r="L2682" s="3" t="e">
        <f ca="1">[1]!BexGetData("DP_1","003N8EMH8GTFRIVNUPY2891V1","GSON5242")</f>
        <v>#NAME?</v>
      </c>
      <c r="M2682" s="8" t="e">
        <f ca="1">[1]!BexGetData("DP_1","003N8EMH8GTFRIVOG7KG9IQXA","GSON5242")</f>
        <v>#NAME?</v>
      </c>
      <c r="N2682" s="3" t="e">
        <f ca="1">[1]!BexGetData("DP_1","003N8EMH8GTFRIVOG7KG9IX8U","GSON5242")</f>
        <v>#NAME?</v>
      </c>
      <c r="O2682" s="8" t="e">
        <f ca="1">[1]!BexGetData("DP_1","003N8EMH8GTFRIVOG7KG9J3KE","GSON5242")</f>
        <v>#NAME?</v>
      </c>
      <c r="P2682" s="3" t="e">
        <f ca="1">[1]!BexGetData("DP_1","003N8EMH8GTFRIVOG7KG9J9VY","GSON5242")</f>
        <v>#NAME?</v>
      </c>
      <c r="Q2682" s="4" t="e">
        <f ca="1">[1]!BexGetData("DP_1","00O2TNJGODT0G5Z4TTKYMM5MT","GSON5242")</f>
        <v>#NAME?</v>
      </c>
      <c r="R2682" s="4" t="e">
        <f ca="1">[1]!BexGetData("DP_1","00O2TNJGODT0G5Z4TTKYMMBYD","GSON5242")</f>
        <v>#NAME?</v>
      </c>
      <c r="S2682" s="4" t="e">
        <f ca="1">[1]!BexGetData("DP_1","00O2TNJGODT0G5Z4TTKYMMI9X","GSON5242")</f>
        <v>#NAME?</v>
      </c>
      <c r="T2682" s="4" t="e">
        <f ca="1">[1]!BexGetData("DP_1","00O2TNJGODT0G5Z4TTKYMMOLH","GSON5242")</f>
        <v>#NAME?</v>
      </c>
      <c r="U2682" s="4" t="e">
        <f ca="1">[1]!BexGetData("DP_1","00O2TNJGODT0G5Z4TTKYMMUX1","GSON5242")</f>
        <v>#NAME?</v>
      </c>
      <c r="V2682" s="4" t="e">
        <f ca="1">[1]!BexGetData("DP_1","00O2TNJGODT0G5Z4TTKYMN18L","GSON5242")</f>
        <v>#NAME?</v>
      </c>
      <c r="W2682" s="4" t="e">
        <f ca="1">[1]!BexGetData("DP_1","00O2TNJGODT0G5Z4TTKYMN7K5","GSON5242")</f>
        <v>#NAME?</v>
      </c>
    </row>
    <row r="2683" spans="1:23" x14ac:dyDescent="0.2">
      <c r="A2683" s="16" t="s">
        <v>5483</v>
      </c>
      <c r="B2683" s="7" t="s">
        <v>5484</v>
      </c>
      <c r="C2683" s="3" t="e">
        <f ca="1">[1]!BexGetData("DP_1","003N8EMH8GTFRCSWKMPXRR8GU","GSON5242442011")</f>
        <v>#NAME?</v>
      </c>
      <c r="D2683" s="8" t="e">
        <f ca="1">[1]!BexGetData("DP_1","003N8EMH8GTFRCSWKMPXRRESE","GSON5242442011")</f>
        <v>#NAME?</v>
      </c>
      <c r="E2683" s="3" t="e">
        <f ca="1">[1]!BexGetData("DP_1","003N8EMH8GTFRCSWKMPXRRL3Y","GSON5242442011")</f>
        <v>#NAME?</v>
      </c>
      <c r="F2683" s="4" t="e">
        <f ca="1">[1]!BexGetData("DP_1","003N8EMH8GTFRCSWKMPXRRRFI","GSON5242442011")</f>
        <v>#NAME?</v>
      </c>
      <c r="G2683" s="4" t="e">
        <f ca="1">[1]!BexGetData("DP_1","003N8EMH8GTFRCSWKMPXRRXR2","GSON5242442011")</f>
        <v>#NAME?</v>
      </c>
      <c r="H2683" s="4" t="e">
        <f ca="1">[1]!BexGetData("DP_1","003N8EMH8GTFRCSWKMPXRS42M","GSON5242442011")</f>
        <v>#NAME?</v>
      </c>
      <c r="I2683" s="4" t="e">
        <f ca="1">[1]!BexGetData("DP_1","003N8EMH8GTFRCSWKMPXRSAE6","GSON5242442011")</f>
        <v>#NAME?</v>
      </c>
      <c r="J2683" s="4" t="e">
        <f ca="1">[1]!BexGetData("DP_1","003N8EMH8GTFRCSWKMPXRSGPQ","GSON5242442011")</f>
        <v>#NAME?</v>
      </c>
      <c r="K2683" s="3" t="e">
        <f ca="1">[1]!BexGetData("DP_1","003N8EMH8GTFRIVNUPY288VJH","GSON5242442011")</f>
        <v>#NAME?</v>
      </c>
      <c r="L2683" s="3" t="e">
        <f ca="1">[1]!BexGetData("DP_1","003N8EMH8GTFRIVNUPY2891V1","GSON5242442011")</f>
        <v>#NAME?</v>
      </c>
      <c r="M2683" s="8" t="e">
        <f ca="1">[1]!BexGetData("DP_1","003N8EMH8GTFRIVOG7KG9IQXA","GSON5242442011")</f>
        <v>#NAME?</v>
      </c>
      <c r="N2683" s="3" t="e">
        <f ca="1">[1]!BexGetData("DP_1","003N8EMH8GTFRIVOG7KG9IX8U","GSON5242442011")</f>
        <v>#NAME?</v>
      </c>
      <c r="O2683" s="8" t="e">
        <f ca="1">[1]!BexGetData("DP_1","003N8EMH8GTFRIVOG7KG9J3KE","GSON5242442011")</f>
        <v>#NAME?</v>
      </c>
      <c r="P2683" s="3" t="e">
        <f ca="1">[1]!BexGetData("DP_1","003N8EMH8GTFRIVOG7KG9J9VY","GSON5242442011")</f>
        <v>#NAME?</v>
      </c>
      <c r="Q2683" s="4" t="e">
        <f ca="1">[1]!BexGetData("DP_1","00O2TNJGODT0G5Z4TTKYMM5MT","GSON5242442011")</f>
        <v>#NAME?</v>
      </c>
      <c r="R2683" s="4" t="e">
        <f ca="1">[1]!BexGetData("DP_1","00O2TNJGODT0G5Z4TTKYMMBYD","GSON5242442011")</f>
        <v>#NAME?</v>
      </c>
      <c r="S2683" s="4" t="e">
        <f ca="1">[1]!BexGetData("DP_1","00O2TNJGODT0G5Z4TTKYMMI9X","GSON5242442011")</f>
        <v>#NAME?</v>
      </c>
      <c r="T2683" s="4" t="e">
        <f ca="1">[1]!BexGetData("DP_1","00O2TNJGODT0G5Z4TTKYMMOLH","GSON5242442011")</f>
        <v>#NAME?</v>
      </c>
      <c r="U2683" s="4" t="e">
        <f ca="1">[1]!BexGetData("DP_1","00O2TNJGODT0G5Z4TTKYMMUX1","GSON5242442011")</f>
        <v>#NAME?</v>
      </c>
      <c r="V2683" s="4" t="e">
        <f ca="1">[1]!BexGetData("DP_1","00O2TNJGODT0G5Z4TTKYMN18L","GSON5242442011")</f>
        <v>#NAME?</v>
      </c>
      <c r="W2683" s="4" t="e">
        <f ca="1">[1]!BexGetData("DP_1","00O2TNJGODT0G5Z4TTKYMN7K5","GSON5242442011")</f>
        <v>#NAME?</v>
      </c>
    </row>
    <row r="2684" spans="1:23" x14ac:dyDescent="0.2">
      <c r="A2684" s="16" t="s">
        <v>5485</v>
      </c>
      <c r="B2684" s="7" t="s">
        <v>5486</v>
      </c>
      <c r="C2684" s="3" t="e">
        <f ca="1">[1]!BexGetData("DP_1","003N8EMH8GTFRCSWKMPXRR8GU","GSON5242442041")</f>
        <v>#NAME?</v>
      </c>
      <c r="D2684" s="3" t="e">
        <f ca="1">[1]!BexGetData("DP_1","003N8EMH8GTFRCSWKMPXRRESE","GSON5242442041")</f>
        <v>#NAME?</v>
      </c>
      <c r="E2684" s="3" t="e">
        <f ca="1">[1]!BexGetData("DP_1","003N8EMH8GTFRCSWKMPXRRL3Y","GSON5242442041")</f>
        <v>#NAME?</v>
      </c>
      <c r="F2684" s="4" t="e">
        <f ca="1">[1]!BexGetData("DP_1","003N8EMH8GTFRCSWKMPXRRRFI","GSON5242442041")</f>
        <v>#NAME?</v>
      </c>
      <c r="G2684" s="4" t="e">
        <f ca="1">[1]!BexGetData("DP_1","003N8EMH8GTFRCSWKMPXRRXR2","GSON5242442041")</f>
        <v>#NAME?</v>
      </c>
      <c r="H2684" s="4" t="e">
        <f ca="1">[1]!BexGetData("DP_1","003N8EMH8GTFRCSWKMPXRS42M","GSON5242442041")</f>
        <v>#NAME?</v>
      </c>
      <c r="I2684" s="4" t="e">
        <f ca="1">[1]!BexGetData("DP_1","003N8EMH8GTFRCSWKMPXRSAE6","GSON5242442041")</f>
        <v>#NAME?</v>
      </c>
      <c r="J2684" s="4" t="e">
        <f ca="1">[1]!BexGetData("DP_1","003N8EMH8GTFRCSWKMPXRSGPQ","GSON5242442041")</f>
        <v>#NAME?</v>
      </c>
      <c r="K2684" s="3" t="e">
        <f ca="1">[1]!BexGetData("DP_1","003N8EMH8GTFRIVNUPY288VJH","GSON5242442041")</f>
        <v>#NAME?</v>
      </c>
      <c r="L2684" s="3" t="e">
        <f ca="1">[1]!BexGetData("DP_1","003N8EMH8GTFRIVNUPY2891V1","GSON5242442041")</f>
        <v>#NAME?</v>
      </c>
      <c r="M2684" s="8" t="e">
        <f ca="1">[1]!BexGetData("DP_1","003N8EMH8GTFRIVOG7KG9IQXA","GSON5242442041")</f>
        <v>#NAME?</v>
      </c>
      <c r="N2684" s="3" t="e">
        <f ca="1">[1]!BexGetData("DP_1","003N8EMH8GTFRIVOG7KG9IX8U","GSON5242442041")</f>
        <v>#NAME?</v>
      </c>
      <c r="O2684" s="8" t="e">
        <f ca="1">[1]!BexGetData("DP_1","003N8EMH8GTFRIVOG7KG9J3KE","GSON5242442041")</f>
        <v>#NAME?</v>
      </c>
      <c r="P2684" s="3" t="e">
        <f ca="1">[1]!BexGetData("DP_1","003N8EMH8GTFRIVOG7KG9J9VY","GSON5242442041")</f>
        <v>#NAME?</v>
      </c>
      <c r="Q2684" s="4" t="e">
        <f ca="1">[1]!BexGetData("DP_1","00O2TNJGODT0G5Z4TTKYMM5MT","GSON5242442041")</f>
        <v>#NAME?</v>
      </c>
      <c r="R2684" s="4" t="e">
        <f ca="1">[1]!BexGetData("DP_1","00O2TNJGODT0G5Z4TTKYMMBYD","GSON5242442041")</f>
        <v>#NAME?</v>
      </c>
      <c r="S2684" s="4" t="e">
        <f ca="1">[1]!BexGetData("DP_1","00O2TNJGODT0G5Z4TTKYMMI9X","GSON5242442041")</f>
        <v>#NAME?</v>
      </c>
      <c r="T2684" s="4" t="e">
        <f ca="1">[1]!BexGetData("DP_1","00O2TNJGODT0G5Z4TTKYMMOLH","GSON5242442041")</f>
        <v>#NAME?</v>
      </c>
      <c r="U2684" s="4" t="e">
        <f ca="1">[1]!BexGetData("DP_1","00O2TNJGODT0G5Z4TTKYMMUX1","GSON5242442041")</f>
        <v>#NAME?</v>
      </c>
      <c r="V2684" s="4" t="e">
        <f ca="1">[1]!BexGetData("DP_1","00O2TNJGODT0G5Z4TTKYMN18L","GSON5242442041")</f>
        <v>#NAME?</v>
      </c>
      <c r="W2684" s="4" t="e">
        <f ca="1">[1]!BexGetData("DP_1","00O2TNJGODT0G5Z4TTKYMN7K5","GSON5242442041")</f>
        <v>#NAME?</v>
      </c>
    </row>
    <row r="2685" spans="1:23" x14ac:dyDescent="0.2">
      <c r="A2685" s="16" t="s">
        <v>5487</v>
      </c>
      <c r="B2685" s="7" t="s">
        <v>5488</v>
      </c>
      <c r="C2685" s="3" t="e">
        <f ca="1">[1]!BexGetData("DP_1","003N8EMH8GTFRCSWKMPXRR8GU","GSON5242442061")</f>
        <v>#NAME?</v>
      </c>
      <c r="D2685" s="3" t="e">
        <f ca="1">[1]!BexGetData("DP_1","003N8EMH8GTFRCSWKMPXRRESE","GSON5242442061")</f>
        <v>#NAME?</v>
      </c>
      <c r="E2685" s="3" t="e">
        <f ca="1">[1]!BexGetData("DP_1","003N8EMH8GTFRCSWKMPXRRL3Y","GSON5242442061")</f>
        <v>#NAME?</v>
      </c>
      <c r="F2685" s="4" t="e">
        <f ca="1">[1]!BexGetData("DP_1","003N8EMH8GTFRCSWKMPXRRRFI","GSON5242442061")</f>
        <v>#NAME?</v>
      </c>
      <c r="G2685" s="4" t="e">
        <f ca="1">[1]!BexGetData("DP_1","003N8EMH8GTFRCSWKMPXRRXR2","GSON5242442061")</f>
        <v>#NAME?</v>
      </c>
      <c r="H2685" s="4" t="e">
        <f ca="1">[1]!BexGetData("DP_1","003N8EMH8GTFRCSWKMPXRS42M","GSON5242442061")</f>
        <v>#NAME?</v>
      </c>
      <c r="I2685" s="4" t="e">
        <f ca="1">[1]!BexGetData("DP_1","003N8EMH8GTFRCSWKMPXRSAE6","GSON5242442061")</f>
        <v>#NAME?</v>
      </c>
      <c r="J2685" s="4" t="e">
        <f ca="1">[1]!BexGetData("DP_1","003N8EMH8GTFRCSWKMPXRSGPQ","GSON5242442061")</f>
        <v>#NAME?</v>
      </c>
      <c r="K2685" s="3" t="e">
        <f ca="1">[1]!BexGetData("DP_1","003N8EMH8GTFRIVNUPY288VJH","GSON5242442061")</f>
        <v>#NAME?</v>
      </c>
      <c r="L2685" s="3" t="e">
        <f ca="1">[1]!BexGetData("DP_1","003N8EMH8GTFRIVNUPY2891V1","GSON5242442061")</f>
        <v>#NAME?</v>
      </c>
      <c r="M2685" s="8" t="e">
        <f ca="1">[1]!BexGetData("DP_1","003N8EMH8GTFRIVOG7KG9IQXA","GSON5242442061")</f>
        <v>#NAME?</v>
      </c>
      <c r="N2685" s="3" t="e">
        <f ca="1">[1]!BexGetData("DP_1","003N8EMH8GTFRIVOG7KG9IX8U","GSON5242442061")</f>
        <v>#NAME?</v>
      </c>
      <c r="O2685" s="8" t="e">
        <f ca="1">[1]!BexGetData("DP_1","003N8EMH8GTFRIVOG7KG9J3KE","GSON5242442061")</f>
        <v>#NAME?</v>
      </c>
      <c r="P2685" s="3" t="e">
        <f ca="1">[1]!BexGetData("DP_1","003N8EMH8GTFRIVOG7KG9J9VY","GSON5242442061")</f>
        <v>#NAME?</v>
      </c>
      <c r="Q2685" s="4" t="e">
        <f ca="1">[1]!BexGetData("DP_1","00O2TNJGODT0G5Z4TTKYMM5MT","GSON5242442061")</f>
        <v>#NAME?</v>
      </c>
      <c r="R2685" s="4" t="e">
        <f ca="1">[1]!BexGetData("DP_1","00O2TNJGODT0G5Z4TTKYMMBYD","GSON5242442061")</f>
        <v>#NAME?</v>
      </c>
      <c r="S2685" s="4" t="e">
        <f ca="1">[1]!BexGetData("DP_1","00O2TNJGODT0G5Z4TTKYMMI9X","GSON5242442061")</f>
        <v>#NAME?</v>
      </c>
      <c r="T2685" s="4" t="e">
        <f ca="1">[1]!BexGetData("DP_1","00O2TNJGODT0G5Z4TTKYMMOLH","GSON5242442061")</f>
        <v>#NAME?</v>
      </c>
      <c r="U2685" s="4" t="e">
        <f ca="1">[1]!BexGetData("DP_1","00O2TNJGODT0G5Z4TTKYMMUX1","GSON5242442061")</f>
        <v>#NAME?</v>
      </c>
      <c r="V2685" s="4" t="e">
        <f ca="1">[1]!BexGetData("DP_1","00O2TNJGODT0G5Z4TTKYMN18L","GSON5242442061")</f>
        <v>#NAME?</v>
      </c>
      <c r="W2685" s="4" t="e">
        <f ca="1">[1]!BexGetData("DP_1","00O2TNJGODT0G5Z4TTKYMN7K5","GSON5242442061")</f>
        <v>#NAME?</v>
      </c>
    </row>
    <row r="2686" spans="1:23" x14ac:dyDescent="0.2">
      <c r="A2686" s="15" t="s">
        <v>1714</v>
      </c>
      <c r="B2686" s="7" t="s">
        <v>1715</v>
      </c>
      <c r="C2686" s="3" t="e">
        <f ca="1">[1]!BexGetData("DP_1","003N8EMH8GTFRCSWKMPXRR8GU","GSON5243")</f>
        <v>#NAME?</v>
      </c>
      <c r="D2686" s="3" t="e">
        <f ca="1">[1]!BexGetData("DP_1","003N8EMH8GTFRCSWKMPXRRESE","GSON5243")</f>
        <v>#NAME?</v>
      </c>
      <c r="E2686" s="3" t="e">
        <f ca="1">[1]!BexGetData("DP_1","003N8EMH8GTFRCSWKMPXRRL3Y","GSON5243")</f>
        <v>#NAME?</v>
      </c>
      <c r="F2686" s="4" t="e">
        <f ca="1">[1]!BexGetData("DP_1","003N8EMH8GTFRCSWKMPXRRRFI","GSON5243")</f>
        <v>#NAME?</v>
      </c>
      <c r="G2686" s="4" t="e">
        <f ca="1">[1]!BexGetData("DP_1","003N8EMH8GTFRCSWKMPXRRXR2","GSON5243")</f>
        <v>#NAME?</v>
      </c>
      <c r="H2686" s="4" t="e">
        <f ca="1">[1]!BexGetData("DP_1","003N8EMH8GTFRCSWKMPXRS42M","GSON5243")</f>
        <v>#NAME?</v>
      </c>
      <c r="I2686" s="4" t="e">
        <f ca="1">[1]!BexGetData("DP_1","003N8EMH8GTFRCSWKMPXRSAE6","GSON5243")</f>
        <v>#NAME?</v>
      </c>
      <c r="J2686" s="4" t="e">
        <f ca="1">[1]!BexGetData("DP_1","003N8EMH8GTFRCSWKMPXRSGPQ","GSON5243")</f>
        <v>#NAME?</v>
      </c>
      <c r="K2686" s="3" t="e">
        <f ca="1">[1]!BexGetData("DP_1","003N8EMH8GTFRIVNUPY288VJH","GSON5243")</f>
        <v>#NAME?</v>
      </c>
      <c r="L2686" s="3" t="e">
        <f ca="1">[1]!BexGetData("DP_1","003N8EMH8GTFRIVNUPY2891V1","GSON5243")</f>
        <v>#NAME?</v>
      </c>
      <c r="M2686" s="8" t="e">
        <f ca="1">[1]!BexGetData("DP_1","003N8EMH8GTFRIVOG7KG9IQXA","GSON5243")</f>
        <v>#NAME?</v>
      </c>
      <c r="N2686" s="3" t="e">
        <f ca="1">[1]!BexGetData("DP_1","003N8EMH8GTFRIVOG7KG9IX8U","GSON5243")</f>
        <v>#NAME?</v>
      </c>
      <c r="O2686" s="8" t="e">
        <f ca="1">[1]!BexGetData("DP_1","003N8EMH8GTFRIVOG7KG9J3KE","GSON5243")</f>
        <v>#NAME?</v>
      </c>
      <c r="P2686" s="3" t="e">
        <f ca="1">[1]!BexGetData("DP_1","003N8EMH8GTFRIVOG7KG9J9VY","GSON5243")</f>
        <v>#NAME?</v>
      </c>
      <c r="Q2686" s="4" t="e">
        <f ca="1">[1]!BexGetData("DP_1","00O2TNJGODT0G5Z4TTKYMM5MT","GSON5243")</f>
        <v>#NAME?</v>
      </c>
      <c r="R2686" s="4" t="e">
        <f ca="1">[1]!BexGetData("DP_1","00O2TNJGODT0G5Z4TTKYMMBYD","GSON5243")</f>
        <v>#NAME?</v>
      </c>
      <c r="S2686" s="4" t="e">
        <f ca="1">[1]!BexGetData("DP_1","00O2TNJGODT0G5Z4TTKYMMI9X","GSON5243")</f>
        <v>#NAME?</v>
      </c>
      <c r="T2686" s="4" t="e">
        <f ca="1">[1]!BexGetData("DP_1","00O2TNJGODT0G5Z4TTKYMMOLH","GSON5243")</f>
        <v>#NAME?</v>
      </c>
      <c r="U2686" s="4" t="e">
        <f ca="1">[1]!BexGetData("DP_1","00O2TNJGODT0G5Z4TTKYMMUX1","GSON5243")</f>
        <v>#NAME?</v>
      </c>
      <c r="V2686" s="4" t="e">
        <f ca="1">[1]!BexGetData("DP_1","00O2TNJGODT0G5Z4TTKYMN18L","GSON5243")</f>
        <v>#NAME?</v>
      </c>
      <c r="W2686" s="4" t="e">
        <f ca="1">[1]!BexGetData("DP_1","00O2TNJGODT0G5Z4TTKYMN7K5","GSON5243")</f>
        <v>#NAME?</v>
      </c>
    </row>
    <row r="2687" spans="1:23" x14ac:dyDescent="0.2">
      <c r="A2687" s="16" t="s">
        <v>5489</v>
      </c>
      <c r="B2687" s="7" t="s">
        <v>5490</v>
      </c>
      <c r="C2687" s="3" t="e">
        <f ca="1">[1]!BexGetData("DP_1","003N8EMH8GTFRCSWKMPXRR8GU","GSON5243445011")</f>
        <v>#NAME?</v>
      </c>
      <c r="D2687" s="3" t="e">
        <f ca="1">[1]!BexGetData("DP_1","003N8EMH8GTFRCSWKMPXRRESE","GSON5243445011")</f>
        <v>#NAME?</v>
      </c>
      <c r="E2687" s="3" t="e">
        <f ca="1">[1]!BexGetData("DP_1","003N8EMH8GTFRCSWKMPXRRL3Y","GSON5243445011")</f>
        <v>#NAME?</v>
      </c>
      <c r="F2687" s="4" t="e">
        <f ca="1">[1]!BexGetData("DP_1","003N8EMH8GTFRCSWKMPXRRRFI","GSON5243445011")</f>
        <v>#NAME?</v>
      </c>
      <c r="G2687" s="4" t="e">
        <f ca="1">[1]!BexGetData("DP_1","003N8EMH8GTFRCSWKMPXRRXR2","GSON5243445011")</f>
        <v>#NAME?</v>
      </c>
      <c r="H2687" s="4" t="e">
        <f ca="1">[1]!BexGetData("DP_1","003N8EMH8GTFRCSWKMPXRS42M","GSON5243445011")</f>
        <v>#NAME?</v>
      </c>
      <c r="I2687" s="4" t="e">
        <f ca="1">[1]!BexGetData("DP_1","003N8EMH8GTFRCSWKMPXRSAE6","GSON5243445011")</f>
        <v>#NAME?</v>
      </c>
      <c r="J2687" s="4" t="e">
        <f ca="1">[1]!BexGetData("DP_1","003N8EMH8GTFRCSWKMPXRSGPQ","GSON5243445011")</f>
        <v>#NAME?</v>
      </c>
      <c r="K2687" s="3" t="e">
        <f ca="1">[1]!BexGetData("DP_1","003N8EMH8GTFRIVNUPY288VJH","GSON5243445011")</f>
        <v>#NAME?</v>
      </c>
      <c r="L2687" s="3" t="e">
        <f ca="1">[1]!BexGetData("DP_1","003N8EMH8GTFRIVNUPY2891V1","GSON5243445011")</f>
        <v>#NAME?</v>
      </c>
      <c r="M2687" s="8" t="e">
        <f ca="1">[1]!BexGetData("DP_1","003N8EMH8GTFRIVOG7KG9IQXA","GSON5243445011")</f>
        <v>#NAME?</v>
      </c>
      <c r="N2687" s="3" t="e">
        <f ca="1">[1]!BexGetData("DP_1","003N8EMH8GTFRIVOG7KG9IX8U","GSON5243445011")</f>
        <v>#NAME?</v>
      </c>
      <c r="O2687" s="8" t="e">
        <f ca="1">[1]!BexGetData("DP_1","003N8EMH8GTFRIVOG7KG9J3KE","GSON5243445011")</f>
        <v>#NAME?</v>
      </c>
      <c r="P2687" s="3" t="e">
        <f ca="1">[1]!BexGetData("DP_1","003N8EMH8GTFRIVOG7KG9J9VY","GSON5243445011")</f>
        <v>#NAME?</v>
      </c>
      <c r="Q2687" s="4" t="e">
        <f ca="1">[1]!BexGetData("DP_1","00O2TNJGODT0G5Z4TTKYMM5MT","GSON5243445011")</f>
        <v>#NAME?</v>
      </c>
      <c r="R2687" s="4" t="e">
        <f ca="1">[1]!BexGetData("DP_1","00O2TNJGODT0G5Z4TTKYMMBYD","GSON5243445011")</f>
        <v>#NAME?</v>
      </c>
      <c r="S2687" s="4" t="e">
        <f ca="1">[1]!BexGetData("DP_1","00O2TNJGODT0G5Z4TTKYMMI9X","GSON5243445011")</f>
        <v>#NAME?</v>
      </c>
      <c r="T2687" s="4" t="e">
        <f ca="1">[1]!BexGetData("DP_1","00O2TNJGODT0G5Z4TTKYMMOLH","GSON5243445011")</f>
        <v>#NAME?</v>
      </c>
      <c r="U2687" s="4" t="e">
        <f ca="1">[1]!BexGetData("DP_1","00O2TNJGODT0G5Z4TTKYMMUX1","GSON5243445011")</f>
        <v>#NAME?</v>
      </c>
      <c r="V2687" s="4" t="e">
        <f ca="1">[1]!BexGetData("DP_1","00O2TNJGODT0G5Z4TTKYMN18L","GSON5243445011")</f>
        <v>#NAME?</v>
      </c>
      <c r="W2687" s="4" t="e">
        <f ca="1">[1]!BexGetData("DP_1","00O2TNJGODT0G5Z4TTKYMN7K5","GSON5243445011")</f>
        <v>#NAME?</v>
      </c>
    </row>
    <row r="2688" spans="1:23" x14ac:dyDescent="0.2">
      <c r="A2688" s="16" t="s">
        <v>5491</v>
      </c>
      <c r="B2688" s="7" t="s">
        <v>1716</v>
      </c>
      <c r="C2688" s="3" t="e">
        <f ca="1">[1]!BexGetData("DP_1","003N8EMH8GTFRCSWKMPXRR8GU","GSON5243445021")</f>
        <v>#NAME?</v>
      </c>
      <c r="D2688" s="3" t="e">
        <f ca="1">[1]!BexGetData("DP_1","003N8EMH8GTFRCSWKMPXRRESE","GSON5243445021")</f>
        <v>#NAME?</v>
      </c>
      <c r="E2688" s="3" t="e">
        <f ca="1">[1]!BexGetData("DP_1","003N8EMH8GTFRCSWKMPXRRL3Y","GSON5243445021")</f>
        <v>#NAME?</v>
      </c>
      <c r="F2688" s="4" t="e">
        <f ca="1">[1]!BexGetData("DP_1","003N8EMH8GTFRCSWKMPXRRRFI","GSON5243445021")</f>
        <v>#NAME?</v>
      </c>
      <c r="G2688" s="4" t="e">
        <f ca="1">[1]!BexGetData("DP_1","003N8EMH8GTFRCSWKMPXRRXR2","GSON5243445021")</f>
        <v>#NAME?</v>
      </c>
      <c r="H2688" s="4" t="e">
        <f ca="1">[1]!BexGetData("DP_1","003N8EMH8GTFRCSWKMPXRS42M","GSON5243445021")</f>
        <v>#NAME?</v>
      </c>
      <c r="I2688" s="4" t="e">
        <f ca="1">[1]!BexGetData("DP_1","003N8EMH8GTFRCSWKMPXRSAE6","GSON5243445021")</f>
        <v>#NAME?</v>
      </c>
      <c r="J2688" s="4" t="e">
        <f ca="1">[1]!BexGetData("DP_1","003N8EMH8GTFRCSWKMPXRSGPQ","GSON5243445021")</f>
        <v>#NAME?</v>
      </c>
      <c r="K2688" s="3" t="e">
        <f ca="1">[1]!BexGetData("DP_1","003N8EMH8GTFRIVNUPY288VJH","GSON5243445021")</f>
        <v>#NAME?</v>
      </c>
      <c r="L2688" s="3" t="e">
        <f ca="1">[1]!BexGetData("DP_1","003N8EMH8GTFRIVNUPY2891V1","GSON5243445021")</f>
        <v>#NAME?</v>
      </c>
      <c r="M2688" s="8" t="e">
        <f ca="1">[1]!BexGetData("DP_1","003N8EMH8GTFRIVOG7KG9IQXA","GSON5243445021")</f>
        <v>#NAME?</v>
      </c>
      <c r="N2688" s="3" t="e">
        <f ca="1">[1]!BexGetData("DP_1","003N8EMH8GTFRIVOG7KG9IX8U","GSON5243445021")</f>
        <v>#NAME?</v>
      </c>
      <c r="O2688" s="8" t="e">
        <f ca="1">[1]!BexGetData("DP_1","003N8EMH8GTFRIVOG7KG9J3KE","GSON5243445021")</f>
        <v>#NAME?</v>
      </c>
      <c r="P2688" s="3" t="e">
        <f ca="1">[1]!BexGetData("DP_1","003N8EMH8GTFRIVOG7KG9J9VY","GSON5243445021")</f>
        <v>#NAME?</v>
      </c>
      <c r="Q2688" s="4" t="e">
        <f ca="1">[1]!BexGetData("DP_1","00O2TNJGODT0G5Z4TTKYMM5MT","GSON5243445021")</f>
        <v>#NAME?</v>
      </c>
      <c r="R2688" s="4" t="e">
        <f ca="1">[1]!BexGetData("DP_1","00O2TNJGODT0G5Z4TTKYMMBYD","GSON5243445021")</f>
        <v>#NAME?</v>
      </c>
      <c r="S2688" s="4" t="e">
        <f ca="1">[1]!BexGetData("DP_1","00O2TNJGODT0G5Z4TTKYMMI9X","GSON5243445021")</f>
        <v>#NAME?</v>
      </c>
      <c r="T2688" s="4" t="e">
        <f ca="1">[1]!BexGetData("DP_1","00O2TNJGODT0G5Z4TTKYMMOLH","GSON5243445021")</f>
        <v>#NAME?</v>
      </c>
      <c r="U2688" s="4" t="e">
        <f ca="1">[1]!BexGetData("DP_1","00O2TNJGODT0G5Z4TTKYMMUX1","GSON5243445021")</f>
        <v>#NAME?</v>
      </c>
      <c r="V2688" s="4" t="e">
        <f ca="1">[1]!BexGetData("DP_1","00O2TNJGODT0G5Z4TTKYMN18L","GSON5243445021")</f>
        <v>#NAME?</v>
      </c>
      <c r="W2688" s="4" t="e">
        <f ca="1">[1]!BexGetData("DP_1","00O2TNJGODT0G5Z4TTKYMN7K5","GSON5243445021")</f>
        <v>#NAME?</v>
      </c>
    </row>
    <row r="2689" spans="1:23" x14ac:dyDescent="0.2">
      <c r="A2689" s="16" t="s">
        <v>5492</v>
      </c>
      <c r="B2689" s="7" t="s">
        <v>5493</v>
      </c>
      <c r="C2689" s="3" t="e">
        <f ca="1">[1]!BexGetData("DP_1","003N8EMH8GTFRCSWKMPXRR8GU","GSON5243447011")</f>
        <v>#NAME?</v>
      </c>
      <c r="D2689" s="3" t="e">
        <f ca="1">[1]!BexGetData("DP_1","003N8EMH8GTFRCSWKMPXRRESE","GSON5243447011")</f>
        <v>#NAME?</v>
      </c>
      <c r="E2689" s="3" t="e">
        <f ca="1">[1]!BexGetData("DP_1","003N8EMH8GTFRCSWKMPXRRL3Y","GSON5243447011")</f>
        <v>#NAME?</v>
      </c>
      <c r="F2689" s="4" t="e">
        <f ca="1">[1]!BexGetData("DP_1","003N8EMH8GTFRCSWKMPXRRRFI","GSON5243447011")</f>
        <v>#NAME?</v>
      </c>
      <c r="G2689" s="4" t="e">
        <f ca="1">[1]!BexGetData("DP_1","003N8EMH8GTFRCSWKMPXRRXR2","GSON5243447011")</f>
        <v>#NAME?</v>
      </c>
      <c r="H2689" s="4" t="e">
        <f ca="1">[1]!BexGetData("DP_1","003N8EMH8GTFRCSWKMPXRS42M","GSON5243447011")</f>
        <v>#NAME?</v>
      </c>
      <c r="I2689" s="4" t="e">
        <f ca="1">[1]!BexGetData("DP_1","003N8EMH8GTFRCSWKMPXRSAE6","GSON5243447011")</f>
        <v>#NAME?</v>
      </c>
      <c r="J2689" s="4" t="e">
        <f ca="1">[1]!BexGetData("DP_1","003N8EMH8GTFRCSWKMPXRSGPQ","GSON5243447011")</f>
        <v>#NAME?</v>
      </c>
      <c r="K2689" s="3" t="e">
        <f ca="1">[1]!BexGetData("DP_1","003N8EMH8GTFRIVNUPY288VJH","GSON5243447011")</f>
        <v>#NAME?</v>
      </c>
      <c r="L2689" s="3" t="e">
        <f ca="1">[1]!BexGetData("DP_1","003N8EMH8GTFRIVNUPY2891V1","GSON5243447011")</f>
        <v>#NAME?</v>
      </c>
      <c r="M2689" s="8" t="e">
        <f ca="1">[1]!BexGetData("DP_1","003N8EMH8GTFRIVOG7KG9IQXA","GSON5243447011")</f>
        <v>#NAME?</v>
      </c>
      <c r="N2689" s="3" t="e">
        <f ca="1">[1]!BexGetData("DP_1","003N8EMH8GTFRIVOG7KG9IX8U","GSON5243447011")</f>
        <v>#NAME?</v>
      </c>
      <c r="O2689" s="8" t="e">
        <f ca="1">[1]!BexGetData("DP_1","003N8EMH8GTFRIVOG7KG9J3KE","GSON5243447011")</f>
        <v>#NAME?</v>
      </c>
      <c r="P2689" s="3" t="e">
        <f ca="1">[1]!BexGetData("DP_1","003N8EMH8GTFRIVOG7KG9J9VY","GSON5243447011")</f>
        <v>#NAME?</v>
      </c>
      <c r="Q2689" s="4" t="e">
        <f ca="1">[1]!BexGetData("DP_1","00O2TNJGODT0G5Z4TTKYMM5MT","GSON5243447011")</f>
        <v>#NAME?</v>
      </c>
      <c r="R2689" s="4" t="e">
        <f ca="1">[1]!BexGetData("DP_1","00O2TNJGODT0G5Z4TTKYMMBYD","GSON5243447011")</f>
        <v>#NAME?</v>
      </c>
      <c r="S2689" s="4" t="e">
        <f ca="1">[1]!BexGetData("DP_1","00O2TNJGODT0G5Z4TTKYMMI9X","GSON5243447011")</f>
        <v>#NAME?</v>
      </c>
      <c r="T2689" s="4" t="e">
        <f ca="1">[1]!BexGetData("DP_1","00O2TNJGODT0G5Z4TTKYMMOLH","GSON5243447011")</f>
        <v>#NAME?</v>
      </c>
      <c r="U2689" s="4" t="e">
        <f ca="1">[1]!BexGetData("DP_1","00O2TNJGODT0G5Z4TTKYMMUX1","GSON5243447011")</f>
        <v>#NAME?</v>
      </c>
      <c r="V2689" s="4" t="e">
        <f ca="1">[1]!BexGetData("DP_1","00O2TNJGODT0G5Z4TTKYMN18L","GSON5243447011")</f>
        <v>#NAME?</v>
      </c>
      <c r="W2689" s="4" t="e">
        <f ca="1">[1]!BexGetData("DP_1","00O2TNJGODT0G5Z4TTKYMN7K5","GSON5243447011")</f>
        <v>#NAME?</v>
      </c>
    </row>
    <row r="2690" spans="1:23" x14ac:dyDescent="0.2">
      <c r="A2690" s="14" t="s">
        <v>5494</v>
      </c>
      <c r="B2690" s="7" t="s">
        <v>5495</v>
      </c>
      <c r="C2690" s="3" t="e">
        <f ca="1">[1]!BexGetData("DP_1","003N8EMH8GTFRCSWKMPXRR8GU","GSON525")</f>
        <v>#NAME?</v>
      </c>
      <c r="D2690" s="8" t="e">
        <f ca="1">[1]!BexGetData("DP_1","003N8EMH8GTFRCSWKMPXRRESE","GSON525")</f>
        <v>#NAME?</v>
      </c>
      <c r="E2690" s="3" t="e">
        <f ca="1">[1]!BexGetData("DP_1","003N8EMH8GTFRCSWKMPXRRL3Y","GSON525")</f>
        <v>#NAME?</v>
      </c>
      <c r="F2690" s="4" t="e">
        <f ca="1">[1]!BexGetData("DP_1","003N8EMH8GTFRCSWKMPXRRRFI","GSON525")</f>
        <v>#NAME?</v>
      </c>
      <c r="G2690" s="4" t="e">
        <f ca="1">[1]!BexGetData("DP_1","003N8EMH8GTFRCSWKMPXRRXR2","GSON525")</f>
        <v>#NAME?</v>
      </c>
      <c r="H2690" s="4" t="e">
        <f ca="1">[1]!BexGetData("DP_1","003N8EMH8GTFRCSWKMPXRS42M","GSON525")</f>
        <v>#NAME?</v>
      </c>
      <c r="I2690" s="4" t="e">
        <f ca="1">[1]!BexGetData("DP_1","003N8EMH8GTFRCSWKMPXRSAE6","GSON525")</f>
        <v>#NAME?</v>
      </c>
      <c r="J2690" s="4" t="e">
        <f ca="1">[1]!BexGetData("DP_1","003N8EMH8GTFRCSWKMPXRSGPQ","GSON525")</f>
        <v>#NAME?</v>
      </c>
      <c r="K2690" s="3" t="e">
        <f ca="1">[1]!BexGetData("DP_1","003N8EMH8GTFRIVNUPY288VJH","GSON525")</f>
        <v>#NAME?</v>
      </c>
      <c r="L2690" s="3" t="e">
        <f ca="1">[1]!BexGetData("DP_1","003N8EMH8GTFRIVNUPY2891V1","GSON525")</f>
        <v>#NAME?</v>
      </c>
      <c r="M2690" s="8" t="e">
        <f ca="1">[1]!BexGetData("DP_1","003N8EMH8GTFRIVOG7KG9IQXA","GSON525")</f>
        <v>#NAME?</v>
      </c>
      <c r="N2690" s="3" t="e">
        <f ca="1">[1]!BexGetData("DP_1","003N8EMH8GTFRIVOG7KG9IX8U","GSON525")</f>
        <v>#NAME?</v>
      </c>
      <c r="O2690" s="8" t="e">
        <f ca="1">[1]!BexGetData("DP_1","003N8EMH8GTFRIVOG7KG9J3KE","GSON525")</f>
        <v>#NAME?</v>
      </c>
      <c r="P2690" s="3" t="e">
        <f ca="1">[1]!BexGetData("DP_1","003N8EMH8GTFRIVOG7KG9J9VY","GSON525")</f>
        <v>#NAME?</v>
      </c>
      <c r="Q2690" s="4" t="e">
        <f ca="1">[1]!BexGetData("DP_1","00O2TNJGODT0G5Z4TTKYMM5MT","GSON525")</f>
        <v>#NAME?</v>
      </c>
      <c r="R2690" s="4" t="e">
        <f ca="1">[1]!BexGetData("DP_1","00O2TNJGODT0G5Z4TTKYMMBYD","GSON525")</f>
        <v>#NAME?</v>
      </c>
      <c r="S2690" s="4" t="e">
        <f ca="1">[1]!BexGetData("DP_1","00O2TNJGODT0G5Z4TTKYMMI9X","GSON525")</f>
        <v>#NAME?</v>
      </c>
      <c r="T2690" s="4" t="e">
        <f ca="1">[1]!BexGetData("DP_1","00O2TNJGODT0G5Z4TTKYMMOLH","GSON525")</f>
        <v>#NAME?</v>
      </c>
      <c r="U2690" s="4" t="e">
        <f ca="1">[1]!BexGetData("DP_1","00O2TNJGODT0G5Z4TTKYMMUX1","GSON525")</f>
        <v>#NAME?</v>
      </c>
      <c r="V2690" s="4" t="e">
        <f ca="1">[1]!BexGetData("DP_1","00O2TNJGODT0G5Z4TTKYMN18L","GSON525")</f>
        <v>#NAME?</v>
      </c>
      <c r="W2690" s="4" t="e">
        <f ca="1">[1]!BexGetData("DP_1","00O2TNJGODT0G5Z4TTKYMN7K5","GSON525")</f>
        <v>#NAME?</v>
      </c>
    </row>
    <row r="2691" spans="1:23" x14ac:dyDescent="0.2">
      <c r="A2691" s="15" t="s">
        <v>5496</v>
      </c>
      <c r="B2691" s="7" t="s">
        <v>5497</v>
      </c>
      <c r="C2691" s="3" t="e">
        <f ca="1">[1]!BexGetData("DP_1","003N8EMH8GTFRCSWKMPXRR8GU","GSON5259")</f>
        <v>#NAME?</v>
      </c>
      <c r="D2691" s="8" t="e">
        <f ca="1">[1]!BexGetData("DP_1","003N8EMH8GTFRCSWKMPXRRESE","GSON5259")</f>
        <v>#NAME?</v>
      </c>
      <c r="E2691" s="3" t="e">
        <f ca="1">[1]!BexGetData("DP_1","003N8EMH8GTFRCSWKMPXRRL3Y","GSON5259")</f>
        <v>#NAME?</v>
      </c>
      <c r="F2691" s="4" t="e">
        <f ca="1">[1]!BexGetData("DP_1","003N8EMH8GTFRCSWKMPXRRRFI","GSON5259")</f>
        <v>#NAME?</v>
      </c>
      <c r="G2691" s="4" t="e">
        <f ca="1">[1]!BexGetData("DP_1","003N8EMH8GTFRCSWKMPXRRXR2","GSON5259")</f>
        <v>#NAME?</v>
      </c>
      <c r="H2691" s="4" t="e">
        <f ca="1">[1]!BexGetData("DP_1","003N8EMH8GTFRCSWKMPXRS42M","GSON5259")</f>
        <v>#NAME?</v>
      </c>
      <c r="I2691" s="4" t="e">
        <f ca="1">[1]!BexGetData("DP_1","003N8EMH8GTFRCSWKMPXRSAE6","GSON5259")</f>
        <v>#NAME?</v>
      </c>
      <c r="J2691" s="4" t="e">
        <f ca="1">[1]!BexGetData("DP_1","003N8EMH8GTFRCSWKMPXRSGPQ","GSON5259")</f>
        <v>#NAME?</v>
      </c>
      <c r="K2691" s="3" t="e">
        <f ca="1">[1]!BexGetData("DP_1","003N8EMH8GTFRIVNUPY288VJH","GSON5259")</f>
        <v>#NAME?</v>
      </c>
      <c r="L2691" s="3" t="e">
        <f ca="1">[1]!BexGetData("DP_1","003N8EMH8GTFRIVNUPY2891V1","GSON5259")</f>
        <v>#NAME?</v>
      </c>
      <c r="M2691" s="8" t="e">
        <f ca="1">[1]!BexGetData("DP_1","003N8EMH8GTFRIVOG7KG9IQXA","GSON5259")</f>
        <v>#NAME?</v>
      </c>
      <c r="N2691" s="3" t="e">
        <f ca="1">[1]!BexGetData("DP_1","003N8EMH8GTFRIVOG7KG9IX8U","GSON5259")</f>
        <v>#NAME?</v>
      </c>
      <c r="O2691" s="8" t="e">
        <f ca="1">[1]!BexGetData("DP_1","003N8EMH8GTFRIVOG7KG9J3KE","GSON5259")</f>
        <v>#NAME?</v>
      </c>
      <c r="P2691" s="3" t="e">
        <f ca="1">[1]!BexGetData("DP_1","003N8EMH8GTFRIVOG7KG9J9VY","GSON5259")</f>
        <v>#NAME?</v>
      </c>
      <c r="Q2691" s="4" t="e">
        <f ca="1">[1]!BexGetData("DP_1","00O2TNJGODT0G5Z4TTKYMM5MT","GSON5259")</f>
        <v>#NAME?</v>
      </c>
      <c r="R2691" s="4" t="e">
        <f ca="1">[1]!BexGetData("DP_1","00O2TNJGODT0G5Z4TTKYMMBYD","GSON5259")</f>
        <v>#NAME?</v>
      </c>
      <c r="S2691" s="4" t="e">
        <f ca="1">[1]!BexGetData("DP_1","00O2TNJGODT0G5Z4TTKYMMI9X","GSON5259")</f>
        <v>#NAME?</v>
      </c>
      <c r="T2691" s="4" t="e">
        <f ca="1">[1]!BexGetData("DP_1","00O2TNJGODT0G5Z4TTKYMMOLH","GSON5259")</f>
        <v>#NAME?</v>
      </c>
      <c r="U2691" s="4" t="e">
        <f ca="1">[1]!BexGetData("DP_1","00O2TNJGODT0G5Z4TTKYMMUX1","GSON5259")</f>
        <v>#NAME?</v>
      </c>
      <c r="V2691" s="4" t="e">
        <f ca="1">[1]!BexGetData("DP_1","00O2TNJGODT0G5Z4TTKYMN18L","GSON5259")</f>
        <v>#NAME?</v>
      </c>
      <c r="W2691" s="4" t="e">
        <f ca="1">[1]!BexGetData("DP_1","00O2TNJGODT0G5Z4TTKYMN7K5","GSON5259")</f>
        <v>#NAME?</v>
      </c>
    </row>
    <row r="2692" spans="1:23" x14ac:dyDescent="0.2">
      <c r="A2692" s="16" t="s">
        <v>5498</v>
      </c>
      <c r="B2692" s="7" t="s">
        <v>5499</v>
      </c>
      <c r="C2692" s="3" t="e">
        <f ca="1">[1]!BexGetData("DP_1","003N8EMH8GTFRCSWKMPXRR8GU","GSON5259459031")</f>
        <v>#NAME?</v>
      </c>
      <c r="D2692" s="8" t="e">
        <f ca="1">[1]!BexGetData("DP_1","003N8EMH8GTFRCSWKMPXRRESE","GSON5259459031")</f>
        <v>#NAME?</v>
      </c>
      <c r="E2692" s="3" t="e">
        <f ca="1">[1]!BexGetData("DP_1","003N8EMH8GTFRCSWKMPXRRL3Y","GSON5259459031")</f>
        <v>#NAME?</v>
      </c>
      <c r="F2692" s="4" t="e">
        <f ca="1">[1]!BexGetData("DP_1","003N8EMH8GTFRCSWKMPXRRRFI","GSON5259459031")</f>
        <v>#NAME?</v>
      </c>
      <c r="G2692" s="4" t="e">
        <f ca="1">[1]!BexGetData("DP_1","003N8EMH8GTFRCSWKMPXRRXR2","GSON5259459031")</f>
        <v>#NAME?</v>
      </c>
      <c r="H2692" s="4" t="e">
        <f ca="1">[1]!BexGetData("DP_1","003N8EMH8GTFRCSWKMPXRS42M","GSON5259459031")</f>
        <v>#NAME?</v>
      </c>
      <c r="I2692" s="4" t="e">
        <f ca="1">[1]!BexGetData("DP_1","003N8EMH8GTFRCSWKMPXRSAE6","GSON5259459031")</f>
        <v>#NAME?</v>
      </c>
      <c r="J2692" s="4" t="e">
        <f ca="1">[1]!BexGetData("DP_1","003N8EMH8GTFRCSWKMPXRSGPQ","GSON5259459031")</f>
        <v>#NAME?</v>
      </c>
      <c r="K2692" s="3" t="e">
        <f ca="1">[1]!BexGetData("DP_1","003N8EMH8GTFRIVNUPY288VJH","GSON5259459031")</f>
        <v>#NAME?</v>
      </c>
      <c r="L2692" s="3" t="e">
        <f ca="1">[1]!BexGetData("DP_1","003N8EMH8GTFRIVNUPY2891V1","GSON5259459031")</f>
        <v>#NAME?</v>
      </c>
      <c r="M2692" s="8" t="e">
        <f ca="1">[1]!BexGetData("DP_1","003N8EMH8GTFRIVOG7KG9IQXA","GSON5259459031")</f>
        <v>#NAME?</v>
      </c>
      <c r="N2692" s="3" t="e">
        <f ca="1">[1]!BexGetData("DP_1","003N8EMH8GTFRIVOG7KG9IX8U","GSON5259459031")</f>
        <v>#NAME?</v>
      </c>
      <c r="O2692" s="8" t="e">
        <f ca="1">[1]!BexGetData("DP_1","003N8EMH8GTFRIVOG7KG9J3KE","GSON5259459031")</f>
        <v>#NAME?</v>
      </c>
      <c r="P2692" s="3" t="e">
        <f ca="1">[1]!BexGetData("DP_1","003N8EMH8GTFRIVOG7KG9J9VY","GSON5259459031")</f>
        <v>#NAME?</v>
      </c>
      <c r="Q2692" s="4" t="e">
        <f ca="1">[1]!BexGetData("DP_1","00O2TNJGODT0G5Z4TTKYMM5MT","GSON5259459031")</f>
        <v>#NAME?</v>
      </c>
      <c r="R2692" s="4" t="e">
        <f ca="1">[1]!BexGetData("DP_1","00O2TNJGODT0G5Z4TTKYMMBYD","GSON5259459031")</f>
        <v>#NAME?</v>
      </c>
      <c r="S2692" s="4" t="e">
        <f ca="1">[1]!BexGetData("DP_1","00O2TNJGODT0G5Z4TTKYMMI9X","GSON5259459031")</f>
        <v>#NAME?</v>
      </c>
      <c r="T2692" s="4" t="e">
        <f ca="1">[1]!BexGetData("DP_1","00O2TNJGODT0G5Z4TTKYMMOLH","GSON5259459031")</f>
        <v>#NAME?</v>
      </c>
      <c r="U2692" s="4" t="e">
        <f ca="1">[1]!BexGetData("DP_1","00O2TNJGODT0G5Z4TTKYMMUX1","GSON5259459031")</f>
        <v>#NAME?</v>
      </c>
      <c r="V2692" s="4" t="e">
        <f ca="1">[1]!BexGetData("DP_1","00O2TNJGODT0G5Z4TTKYMN18L","GSON5259459031")</f>
        <v>#NAME?</v>
      </c>
      <c r="W2692" s="4" t="e">
        <f ca="1">[1]!BexGetData("DP_1","00O2TNJGODT0G5Z4TTKYMN7K5","GSON5259459031")</f>
        <v>#NAME?</v>
      </c>
    </row>
    <row r="2693" spans="1:23" x14ac:dyDescent="0.2">
      <c r="A2693" s="14" t="s">
        <v>5500</v>
      </c>
      <c r="B2693" s="7" t="s">
        <v>5501</v>
      </c>
      <c r="C2693" s="3" t="e">
        <f ca="1">[1]!BexGetData("DP_1","003N8EMH8GTFRCSWKMPXRR8GU","GSON526")</f>
        <v>#NAME?</v>
      </c>
      <c r="D2693" s="3" t="e">
        <f ca="1">[1]!BexGetData("DP_1","003N8EMH8GTFRCSWKMPXRRESE","GSON526")</f>
        <v>#NAME?</v>
      </c>
      <c r="E2693" s="3" t="e">
        <f ca="1">[1]!BexGetData("DP_1","003N8EMH8GTFRCSWKMPXRRL3Y","GSON526")</f>
        <v>#NAME?</v>
      </c>
      <c r="F2693" s="4" t="e">
        <f ca="1">[1]!BexGetData("DP_1","003N8EMH8GTFRCSWKMPXRRRFI","GSON526")</f>
        <v>#NAME?</v>
      </c>
      <c r="G2693" s="4" t="e">
        <f ca="1">[1]!BexGetData("DP_1","003N8EMH8GTFRCSWKMPXRRXR2","GSON526")</f>
        <v>#NAME?</v>
      </c>
      <c r="H2693" s="4" t="e">
        <f ca="1">[1]!BexGetData("DP_1","003N8EMH8GTFRCSWKMPXRS42M","GSON526")</f>
        <v>#NAME?</v>
      </c>
      <c r="I2693" s="4" t="e">
        <f ca="1">[1]!BexGetData("DP_1","003N8EMH8GTFRCSWKMPXRSAE6","GSON526")</f>
        <v>#NAME?</v>
      </c>
      <c r="J2693" s="4" t="e">
        <f ca="1">[1]!BexGetData("DP_1","003N8EMH8GTFRCSWKMPXRSGPQ","GSON526")</f>
        <v>#NAME?</v>
      </c>
      <c r="K2693" s="3" t="e">
        <f ca="1">[1]!BexGetData("DP_1","003N8EMH8GTFRIVNUPY288VJH","GSON526")</f>
        <v>#NAME?</v>
      </c>
      <c r="L2693" s="3" t="e">
        <f ca="1">[1]!BexGetData("DP_1","003N8EMH8GTFRIVNUPY2891V1","GSON526")</f>
        <v>#NAME?</v>
      </c>
      <c r="M2693" s="8" t="e">
        <f ca="1">[1]!BexGetData("DP_1","003N8EMH8GTFRIVOG7KG9IQXA","GSON526")</f>
        <v>#NAME?</v>
      </c>
      <c r="N2693" s="3" t="e">
        <f ca="1">[1]!BexGetData("DP_1","003N8EMH8GTFRIVOG7KG9IX8U","GSON526")</f>
        <v>#NAME?</v>
      </c>
      <c r="O2693" s="8" t="e">
        <f ca="1">[1]!BexGetData("DP_1","003N8EMH8GTFRIVOG7KG9J3KE","GSON526")</f>
        <v>#NAME?</v>
      </c>
      <c r="P2693" s="3" t="e">
        <f ca="1">[1]!BexGetData("DP_1","003N8EMH8GTFRIVOG7KG9J9VY","GSON526")</f>
        <v>#NAME?</v>
      </c>
      <c r="Q2693" s="4" t="e">
        <f ca="1">[1]!BexGetData("DP_1","00O2TNJGODT0G5Z4TTKYMM5MT","GSON526")</f>
        <v>#NAME?</v>
      </c>
      <c r="R2693" s="4" t="e">
        <f ca="1">[1]!BexGetData("DP_1","00O2TNJGODT0G5Z4TTKYMMBYD","GSON526")</f>
        <v>#NAME?</v>
      </c>
      <c r="S2693" s="4" t="e">
        <f ca="1">[1]!BexGetData("DP_1","00O2TNJGODT0G5Z4TTKYMMI9X","GSON526")</f>
        <v>#NAME?</v>
      </c>
      <c r="T2693" s="4" t="e">
        <f ca="1">[1]!BexGetData("DP_1","00O2TNJGODT0G5Z4TTKYMMOLH","GSON526")</f>
        <v>#NAME?</v>
      </c>
      <c r="U2693" s="4" t="e">
        <f ca="1">[1]!BexGetData("DP_1","00O2TNJGODT0G5Z4TTKYMMUX1","GSON526")</f>
        <v>#NAME?</v>
      </c>
      <c r="V2693" s="4" t="e">
        <f ca="1">[1]!BexGetData("DP_1","00O2TNJGODT0G5Z4TTKYMN18L","GSON526")</f>
        <v>#NAME?</v>
      </c>
      <c r="W2693" s="4" t="e">
        <f ca="1">[1]!BexGetData("DP_1","00O2TNJGODT0G5Z4TTKYMN7K5","GSON526")</f>
        <v>#NAME?</v>
      </c>
    </row>
    <row r="2694" spans="1:23" x14ac:dyDescent="0.2">
      <c r="A2694" s="15" t="s">
        <v>5502</v>
      </c>
      <c r="B2694" s="7" t="s">
        <v>5503</v>
      </c>
      <c r="C2694" s="3" t="e">
        <f ca="1">[1]!BexGetData("DP_1","003N8EMH8GTFRCSWKMPXRR8GU","GSON5261")</f>
        <v>#NAME?</v>
      </c>
      <c r="D2694" s="3" t="e">
        <f ca="1">[1]!BexGetData("DP_1","003N8EMH8GTFRCSWKMPXRRESE","GSON5261")</f>
        <v>#NAME?</v>
      </c>
      <c r="E2694" s="3" t="e">
        <f ca="1">[1]!BexGetData("DP_1","003N8EMH8GTFRCSWKMPXRRL3Y","GSON5261")</f>
        <v>#NAME?</v>
      </c>
      <c r="F2694" s="4" t="e">
        <f ca="1">[1]!BexGetData("DP_1","003N8EMH8GTFRCSWKMPXRRRFI","GSON5261")</f>
        <v>#NAME?</v>
      </c>
      <c r="G2694" s="4" t="e">
        <f ca="1">[1]!BexGetData("DP_1","003N8EMH8GTFRCSWKMPXRRXR2","GSON5261")</f>
        <v>#NAME?</v>
      </c>
      <c r="H2694" s="4" t="e">
        <f ca="1">[1]!BexGetData("DP_1","003N8EMH8GTFRCSWKMPXRS42M","GSON5261")</f>
        <v>#NAME?</v>
      </c>
      <c r="I2694" s="4" t="e">
        <f ca="1">[1]!BexGetData("DP_1","003N8EMH8GTFRCSWKMPXRSAE6","GSON5261")</f>
        <v>#NAME?</v>
      </c>
      <c r="J2694" s="4" t="e">
        <f ca="1">[1]!BexGetData("DP_1","003N8EMH8GTFRCSWKMPXRSGPQ","GSON5261")</f>
        <v>#NAME?</v>
      </c>
      <c r="K2694" s="3" t="e">
        <f ca="1">[1]!BexGetData("DP_1","003N8EMH8GTFRIVNUPY288VJH","GSON5261")</f>
        <v>#NAME?</v>
      </c>
      <c r="L2694" s="3" t="e">
        <f ca="1">[1]!BexGetData("DP_1","003N8EMH8GTFRIVNUPY2891V1","GSON5261")</f>
        <v>#NAME?</v>
      </c>
      <c r="M2694" s="8" t="e">
        <f ca="1">[1]!BexGetData("DP_1","003N8EMH8GTFRIVOG7KG9IQXA","GSON5261")</f>
        <v>#NAME?</v>
      </c>
      <c r="N2694" s="3" t="e">
        <f ca="1">[1]!BexGetData("DP_1","003N8EMH8GTFRIVOG7KG9IX8U","GSON5261")</f>
        <v>#NAME?</v>
      </c>
      <c r="O2694" s="8" t="e">
        <f ca="1">[1]!BexGetData("DP_1","003N8EMH8GTFRIVOG7KG9J3KE","GSON5261")</f>
        <v>#NAME?</v>
      </c>
      <c r="P2694" s="3" t="e">
        <f ca="1">[1]!BexGetData("DP_1","003N8EMH8GTFRIVOG7KG9J9VY","GSON5261")</f>
        <v>#NAME?</v>
      </c>
      <c r="Q2694" s="4" t="e">
        <f ca="1">[1]!BexGetData("DP_1","00O2TNJGODT0G5Z4TTKYMM5MT","GSON5261")</f>
        <v>#NAME?</v>
      </c>
      <c r="R2694" s="4" t="e">
        <f ca="1">[1]!BexGetData("DP_1","00O2TNJGODT0G5Z4TTKYMMBYD","GSON5261")</f>
        <v>#NAME?</v>
      </c>
      <c r="S2694" s="4" t="e">
        <f ca="1">[1]!BexGetData("DP_1","00O2TNJGODT0G5Z4TTKYMMI9X","GSON5261")</f>
        <v>#NAME?</v>
      </c>
      <c r="T2694" s="4" t="e">
        <f ca="1">[1]!BexGetData("DP_1","00O2TNJGODT0G5Z4TTKYMMOLH","GSON5261")</f>
        <v>#NAME?</v>
      </c>
      <c r="U2694" s="4" t="e">
        <f ca="1">[1]!BexGetData("DP_1","00O2TNJGODT0G5Z4TTKYMMUX1","GSON5261")</f>
        <v>#NAME?</v>
      </c>
      <c r="V2694" s="4" t="e">
        <f ca="1">[1]!BexGetData("DP_1","00O2TNJGODT0G5Z4TTKYMN18L","GSON5261")</f>
        <v>#NAME?</v>
      </c>
      <c r="W2694" s="4" t="e">
        <f ca="1">[1]!BexGetData("DP_1","00O2TNJGODT0G5Z4TTKYMN7K5","GSON5261")</f>
        <v>#NAME?</v>
      </c>
    </row>
    <row r="2695" spans="1:23" x14ac:dyDescent="0.2">
      <c r="A2695" s="16" t="s">
        <v>5504</v>
      </c>
      <c r="B2695" s="7" t="s">
        <v>5505</v>
      </c>
      <c r="C2695" s="3" t="e">
        <f ca="1">[1]!BexGetData("DP_1","003N8EMH8GTFRCSWKMPXRR8GU","GSON5261461011")</f>
        <v>#NAME?</v>
      </c>
      <c r="D2695" s="8" t="e">
        <f ca="1">[1]!BexGetData("DP_1","003N8EMH8GTFRCSWKMPXRRESE","GSON5261461011")</f>
        <v>#NAME?</v>
      </c>
      <c r="E2695" s="3" t="e">
        <f ca="1">[1]!BexGetData("DP_1","003N8EMH8GTFRCSWKMPXRRL3Y","GSON5261461011")</f>
        <v>#NAME?</v>
      </c>
      <c r="F2695" s="4" t="e">
        <f ca="1">[1]!BexGetData("DP_1","003N8EMH8GTFRCSWKMPXRRRFI","GSON5261461011")</f>
        <v>#NAME?</v>
      </c>
      <c r="G2695" s="4" t="e">
        <f ca="1">[1]!BexGetData("DP_1","003N8EMH8GTFRCSWKMPXRRXR2","GSON5261461011")</f>
        <v>#NAME?</v>
      </c>
      <c r="H2695" s="4" t="e">
        <f ca="1">[1]!BexGetData("DP_1","003N8EMH8GTFRCSWKMPXRS42M","GSON5261461011")</f>
        <v>#NAME?</v>
      </c>
      <c r="I2695" s="4" t="e">
        <f ca="1">[1]!BexGetData("DP_1","003N8EMH8GTFRCSWKMPXRSAE6","GSON5261461011")</f>
        <v>#NAME?</v>
      </c>
      <c r="J2695" s="4" t="e">
        <f ca="1">[1]!BexGetData("DP_1","003N8EMH8GTFRCSWKMPXRSGPQ","GSON5261461011")</f>
        <v>#NAME?</v>
      </c>
      <c r="K2695" s="3" t="e">
        <f ca="1">[1]!BexGetData("DP_1","003N8EMH8GTFRIVNUPY288VJH","GSON5261461011")</f>
        <v>#NAME?</v>
      </c>
      <c r="L2695" s="3" t="e">
        <f ca="1">[1]!BexGetData("DP_1","003N8EMH8GTFRIVNUPY2891V1","GSON5261461011")</f>
        <v>#NAME?</v>
      </c>
      <c r="M2695" s="8" t="e">
        <f ca="1">[1]!BexGetData("DP_1","003N8EMH8GTFRIVOG7KG9IQXA","GSON5261461011")</f>
        <v>#NAME?</v>
      </c>
      <c r="N2695" s="3" t="e">
        <f ca="1">[1]!BexGetData("DP_1","003N8EMH8GTFRIVOG7KG9IX8U","GSON5261461011")</f>
        <v>#NAME?</v>
      </c>
      <c r="O2695" s="8" t="e">
        <f ca="1">[1]!BexGetData("DP_1","003N8EMH8GTFRIVOG7KG9J3KE","GSON5261461011")</f>
        <v>#NAME?</v>
      </c>
      <c r="P2695" s="3" t="e">
        <f ca="1">[1]!BexGetData("DP_1","003N8EMH8GTFRIVOG7KG9J9VY","GSON5261461011")</f>
        <v>#NAME?</v>
      </c>
      <c r="Q2695" s="4" t="e">
        <f ca="1">[1]!BexGetData("DP_1","00O2TNJGODT0G5Z4TTKYMM5MT","GSON5261461011")</f>
        <v>#NAME?</v>
      </c>
      <c r="R2695" s="4" t="e">
        <f ca="1">[1]!BexGetData("DP_1","00O2TNJGODT0G5Z4TTKYMMBYD","GSON5261461011")</f>
        <v>#NAME?</v>
      </c>
      <c r="S2695" s="4" t="e">
        <f ca="1">[1]!BexGetData("DP_1","00O2TNJGODT0G5Z4TTKYMMI9X","GSON5261461011")</f>
        <v>#NAME?</v>
      </c>
      <c r="T2695" s="4" t="e">
        <f ca="1">[1]!BexGetData("DP_1","00O2TNJGODT0G5Z4TTKYMMOLH","GSON5261461011")</f>
        <v>#NAME?</v>
      </c>
      <c r="U2695" s="4" t="e">
        <f ca="1">[1]!BexGetData("DP_1","00O2TNJGODT0G5Z4TTKYMMUX1","GSON5261461011")</f>
        <v>#NAME?</v>
      </c>
      <c r="V2695" s="4" t="e">
        <f ca="1">[1]!BexGetData("DP_1","00O2TNJGODT0G5Z4TTKYMN18L","GSON5261461011")</f>
        <v>#NAME?</v>
      </c>
      <c r="W2695" s="4" t="e">
        <f ca="1">[1]!BexGetData("DP_1","00O2TNJGODT0G5Z4TTKYMN7K5","GSON5261461011")</f>
        <v>#NAME?</v>
      </c>
    </row>
    <row r="2696" spans="1:23" x14ac:dyDescent="0.2">
      <c r="A2696" s="16" t="s">
        <v>5446</v>
      </c>
      <c r="B2696" s="7" t="s">
        <v>5506</v>
      </c>
      <c r="C2696" s="3" t="e">
        <f ca="1">[1]!BexGetData("DP_1","003N8EMH8GTFRCSWKMPXRR8GU","GSON5261463011")</f>
        <v>#NAME?</v>
      </c>
      <c r="D2696" s="3" t="e">
        <f ca="1">[1]!BexGetData("DP_1","003N8EMH8GTFRCSWKMPXRRESE","GSON5261463011")</f>
        <v>#NAME?</v>
      </c>
      <c r="E2696" s="3" t="e">
        <f ca="1">[1]!BexGetData("DP_1","003N8EMH8GTFRCSWKMPXRRL3Y","GSON5261463011")</f>
        <v>#NAME?</v>
      </c>
      <c r="F2696" s="4" t="e">
        <f ca="1">[1]!BexGetData("DP_1","003N8EMH8GTFRCSWKMPXRRRFI","GSON5261463011")</f>
        <v>#NAME?</v>
      </c>
      <c r="G2696" s="4" t="e">
        <f ca="1">[1]!BexGetData("DP_1","003N8EMH8GTFRCSWKMPXRRXR2","GSON5261463011")</f>
        <v>#NAME?</v>
      </c>
      <c r="H2696" s="4" t="e">
        <f ca="1">[1]!BexGetData("DP_1","003N8EMH8GTFRCSWKMPXRS42M","GSON5261463011")</f>
        <v>#NAME?</v>
      </c>
      <c r="I2696" s="4" t="e">
        <f ca="1">[1]!BexGetData("DP_1","003N8EMH8GTFRCSWKMPXRSAE6","GSON5261463011")</f>
        <v>#NAME?</v>
      </c>
      <c r="J2696" s="4" t="e">
        <f ca="1">[1]!BexGetData("DP_1","003N8EMH8GTFRCSWKMPXRSGPQ","GSON5261463011")</f>
        <v>#NAME?</v>
      </c>
      <c r="K2696" s="3" t="e">
        <f ca="1">[1]!BexGetData("DP_1","003N8EMH8GTFRIVNUPY288VJH","GSON5261463011")</f>
        <v>#NAME?</v>
      </c>
      <c r="L2696" s="3" t="e">
        <f ca="1">[1]!BexGetData("DP_1","003N8EMH8GTFRIVNUPY2891V1","GSON5261463011")</f>
        <v>#NAME?</v>
      </c>
      <c r="M2696" s="8" t="e">
        <f ca="1">[1]!BexGetData("DP_1","003N8EMH8GTFRIVOG7KG9IQXA","GSON5261463011")</f>
        <v>#NAME?</v>
      </c>
      <c r="N2696" s="3" t="e">
        <f ca="1">[1]!BexGetData("DP_1","003N8EMH8GTFRIVOG7KG9IX8U","GSON5261463011")</f>
        <v>#NAME?</v>
      </c>
      <c r="O2696" s="8" t="e">
        <f ca="1">[1]!BexGetData("DP_1","003N8EMH8GTFRIVOG7KG9J3KE","GSON5261463011")</f>
        <v>#NAME?</v>
      </c>
      <c r="P2696" s="3" t="e">
        <f ca="1">[1]!BexGetData("DP_1","003N8EMH8GTFRIVOG7KG9J9VY","GSON5261463011")</f>
        <v>#NAME?</v>
      </c>
      <c r="Q2696" s="4" t="e">
        <f ca="1">[1]!BexGetData("DP_1","00O2TNJGODT0G5Z4TTKYMM5MT","GSON5261463011")</f>
        <v>#NAME?</v>
      </c>
      <c r="R2696" s="4" t="e">
        <f ca="1">[1]!BexGetData("DP_1","00O2TNJGODT0G5Z4TTKYMMBYD","GSON5261463011")</f>
        <v>#NAME?</v>
      </c>
      <c r="S2696" s="4" t="e">
        <f ca="1">[1]!BexGetData("DP_1","00O2TNJGODT0G5Z4TTKYMMI9X","GSON5261463011")</f>
        <v>#NAME?</v>
      </c>
      <c r="T2696" s="4" t="e">
        <f ca="1">[1]!BexGetData("DP_1","00O2TNJGODT0G5Z4TTKYMMOLH","GSON5261463011")</f>
        <v>#NAME?</v>
      </c>
      <c r="U2696" s="4" t="e">
        <f ca="1">[1]!BexGetData("DP_1","00O2TNJGODT0G5Z4TTKYMMUX1","GSON5261463011")</f>
        <v>#NAME?</v>
      </c>
      <c r="V2696" s="4" t="e">
        <f ca="1">[1]!BexGetData("DP_1","00O2TNJGODT0G5Z4TTKYMN18L","GSON5261463011")</f>
        <v>#NAME?</v>
      </c>
      <c r="W2696" s="4" t="e">
        <f ca="1">[1]!BexGetData("DP_1","00O2TNJGODT0G5Z4TTKYMN7K5","GSON5261463011")</f>
        <v>#NAME?</v>
      </c>
    </row>
    <row r="2697" spans="1:23" x14ac:dyDescent="0.2">
      <c r="A2697" s="13" t="s">
        <v>346</v>
      </c>
      <c r="B2697" s="7" t="s">
        <v>595</v>
      </c>
      <c r="C2697" s="3" t="e">
        <f ca="1">[1]!BexGetData("DP_1","003N8EMH8GTFRCSWKMPXRR8GU","GSON53")</f>
        <v>#NAME?</v>
      </c>
      <c r="D2697" s="3" t="e">
        <f ca="1">[1]!BexGetData("DP_1","003N8EMH8GTFRCSWKMPXRRESE","GSON53")</f>
        <v>#NAME?</v>
      </c>
      <c r="E2697" s="3" t="e">
        <f ca="1">[1]!BexGetData("DP_1","003N8EMH8GTFRCSWKMPXRRL3Y","GSON53")</f>
        <v>#NAME?</v>
      </c>
      <c r="F2697" s="4" t="e">
        <f ca="1">[1]!BexGetData("DP_1","003N8EMH8GTFRCSWKMPXRRRFI","GSON53")</f>
        <v>#NAME?</v>
      </c>
      <c r="G2697" s="4" t="e">
        <f ca="1">[1]!BexGetData("DP_1","003N8EMH8GTFRCSWKMPXRRXR2","GSON53")</f>
        <v>#NAME?</v>
      </c>
      <c r="H2697" s="4" t="e">
        <f ca="1">[1]!BexGetData("DP_1","003N8EMH8GTFRCSWKMPXRS42M","GSON53")</f>
        <v>#NAME?</v>
      </c>
      <c r="I2697" s="4" t="e">
        <f ca="1">[1]!BexGetData("DP_1","003N8EMH8GTFRCSWKMPXRSAE6","GSON53")</f>
        <v>#NAME?</v>
      </c>
      <c r="J2697" s="4" t="e">
        <f ca="1">[1]!BexGetData("DP_1","003N8EMH8GTFRCSWKMPXRSGPQ","GSON53")</f>
        <v>#NAME?</v>
      </c>
      <c r="K2697" s="3" t="e">
        <f ca="1">[1]!BexGetData("DP_1","003N8EMH8GTFRIVNUPY288VJH","GSON53")</f>
        <v>#NAME?</v>
      </c>
      <c r="L2697" s="3" t="e">
        <f ca="1">[1]!BexGetData("DP_1","003N8EMH8GTFRIVNUPY2891V1","GSON53")</f>
        <v>#NAME?</v>
      </c>
      <c r="M2697" s="8" t="e">
        <f ca="1">[1]!BexGetData("DP_1","003N8EMH8GTFRIVOG7KG9IQXA","GSON53")</f>
        <v>#NAME?</v>
      </c>
      <c r="N2697" s="3" t="e">
        <f ca="1">[1]!BexGetData("DP_1","003N8EMH8GTFRIVOG7KG9IX8U","GSON53")</f>
        <v>#NAME?</v>
      </c>
      <c r="O2697" s="8" t="e">
        <f ca="1">[1]!BexGetData("DP_1","003N8EMH8GTFRIVOG7KG9J3KE","GSON53")</f>
        <v>#NAME?</v>
      </c>
      <c r="P2697" s="3" t="e">
        <f ca="1">[1]!BexGetData("DP_1","003N8EMH8GTFRIVOG7KG9J9VY","GSON53")</f>
        <v>#NAME?</v>
      </c>
      <c r="Q2697" s="4" t="e">
        <f ca="1">[1]!BexGetData("DP_1","00O2TNJGODT0G5Z4TTKYMM5MT","GSON53")</f>
        <v>#NAME?</v>
      </c>
      <c r="R2697" s="4" t="e">
        <f ca="1">[1]!BexGetData("DP_1","00O2TNJGODT0G5Z4TTKYMMBYD","GSON53")</f>
        <v>#NAME?</v>
      </c>
      <c r="S2697" s="4" t="e">
        <f ca="1">[1]!BexGetData("DP_1","00O2TNJGODT0G5Z4TTKYMMI9X","GSON53")</f>
        <v>#NAME?</v>
      </c>
      <c r="T2697" s="4" t="e">
        <f ca="1">[1]!BexGetData("DP_1","00O2TNJGODT0G5Z4TTKYMMOLH","GSON53")</f>
        <v>#NAME?</v>
      </c>
      <c r="U2697" s="4" t="e">
        <f ca="1">[1]!BexGetData("DP_1","00O2TNJGODT0G5Z4TTKYMMUX1","GSON53")</f>
        <v>#NAME?</v>
      </c>
      <c r="V2697" s="4" t="e">
        <f ca="1">[1]!BexGetData("DP_1","00O2TNJGODT0G5Z4TTKYMN18L","GSON53")</f>
        <v>#NAME?</v>
      </c>
      <c r="W2697" s="4" t="e">
        <f ca="1">[1]!BexGetData("DP_1","00O2TNJGODT0G5Z4TTKYMN7K5","GSON53")</f>
        <v>#NAME?</v>
      </c>
    </row>
    <row r="2698" spans="1:23" x14ac:dyDescent="0.2">
      <c r="A2698" s="14" t="s">
        <v>580</v>
      </c>
      <c r="B2698" s="7" t="s">
        <v>596</v>
      </c>
      <c r="C2698" s="3" t="e">
        <f ca="1">[1]!BexGetData("DP_1","003N8EMH8GTFRCSWKMPXRR8GU","GSON531")</f>
        <v>#NAME?</v>
      </c>
      <c r="D2698" s="3" t="e">
        <f ca="1">[1]!BexGetData("DP_1","003N8EMH8GTFRCSWKMPXRRESE","GSON531")</f>
        <v>#NAME?</v>
      </c>
      <c r="E2698" s="3" t="e">
        <f ca="1">[1]!BexGetData("DP_1","003N8EMH8GTFRCSWKMPXRRL3Y","GSON531")</f>
        <v>#NAME?</v>
      </c>
      <c r="F2698" s="4" t="e">
        <f ca="1">[1]!BexGetData("DP_1","003N8EMH8GTFRCSWKMPXRRRFI","GSON531")</f>
        <v>#NAME?</v>
      </c>
      <c r="G2698" s="4" t="e">
        <f ca="1">[1]!BexGetData("DP_1","003N8EMH8GTFRCSWKMPXRRXR2","GSON531")</f>
        <v>#NAME?</v>
      </c>
      <c r="H2698" s="4" t="e">
        <f ca="1">[1]!BexGetData("DP_1","003N8EMH8GTFRCSWKMPXRS42M","GSON531")</f>
        <v>#NAME?</v>
      </c>
      <c r="I2698" s="4" t="e">
        <f ca="1">[1]!BexGetData("DP_1","003N8EMH8GTFRCSWKMPXRSAE6","GSON531")</f>
        <v>#NAME?</v>
      </c>
      <c r="J2698" s="4" t="e">
        <f ca="1">[1]!BexGetData("DP_1","003N8EMH8GTFRCSWKMPXRSGPQ","GSON531")</f>
        <v>#NAME?</v>
      </c>
      <c r="K2698" s="3" t="e">
        <f ca="1">[1]!BexGetData("DP_1","003N8EMH8GTFRIVNUPY288VJH","GSON531")</f>
        <v>#NAME?</v>
      </c>
      <c r="L2698" s="3" t="e">
        <f ca="1">[1]!BexGetData("DP_1","003N8EMH8GTFRIVNUPY2891V1","GSON531")</f>
        <v>#NAME?</v>
      </c>
      <c r="M2698" s="8" t="e">
        <f ca="1">[1]!BexGetData("DP_1","003N8EMH8GTFRIVOG7KG9IQXA","GSON531")</f>
        <v>#NAME?</v>
      </c>
      <c r="N2698" s="3" t="e">
        <f ca="1">[1]!BexGetData("DP_1","003N8EMH8GTFRIVOG7KG9IX8U","GSON531")</f>
        <v>#NAME?</v>
      </c>
      <c r="O2698" s="8" t="e">
        <f ca="1">[1]!BexGetData("DP_1","003N8EMH8GTFRIVOG7KG9J3KE","GSON531")</f>
        <v>#NAME?</v>
      </c>
      <c r="P2698" s="3" t="e">
        <f ca="1">[1]!BexGetData("DP_1","003N8EMH8GTFRIVOG7KG9J9VY","GSON531")</f>
        <v>#NAME?</v>
      </c>
      <c r="Q2698" s="4" t="e">
        <f ca="1">[1]!BexGetData("DP_1","00O2TNJGODT0G5Z4TTKYMM5MT","GSON531")</f>
        <v>#NAME?</v>
      </c>
      <c r="R2698" s="4" t="e">
        <f ca="1">[1]!BexGetData("DP_1","00O2TNJGODT0G5Z4TTKYMMBYD","GSON531")</f>
        <v>#NAME?</v>
      </c>
      <c r="S2698" s="4" t="e">
        <f ca="1">[1]!BexGetData("DP_1","00O2TNJGODT0G5Z4TTKYMMI9X","GSON531")</f>
        <v>#NAME?</v>
      </c>
      <c r="T2698" s="4" t="e">
        <f ca="1">[1]!BexGetData("DP_1","00O2TNJGODT0G5Z4TTKYMMOLH","GSON531")</f>
        <v>#NAME?</v>
      </c>
      <c r="U2698" s="4" t="e">
        <f ca="1">[1]!BexGetData("DP_1","00O2TNJGODT0G5Z4TTKYMMUX1","GSON531")</f>
        <v>#NAME?</v>
      </c>
      <c r="V2698" s="4" t="e">
        <f ca="1">[1]!BexGetData("DP_1","00O2TNJGODT0G5Z4TTKYMN18L","GSON531")</f>
        <v>#NAME?</v>
      </c>
      <c r="W2698" s="4" t="e">
        <f ca="1">[1]!BexGetData("DP_1","00O2TNJGODT0G5Z4TTKYMN7K5","GSON531")</f>
        <v>#NAME?</v>
      </c>
    </row>
    <row r="2699" spans="1:23" x14ac:dyDescent="0.2">
      <c r="A2699" s="15" t="s">
        <v>1578</v>
      </c>
      <c r="B2699" s="7" t="s">
        <v>1579</v>
      </c>
      <c r="C2699" s="3" t="e">
        <f ca="1">[1]!BexGetData("DP_1","003N8EMH8GTFRCSWKMPXRR8GU","GSON5311")</f>
        <v>#NAME?</v>
      </c>
      <c r="D2699" s="3" t="e">
        <f ca="1">[1]!BexGetData("DP_1","003N8EMH8GTFRCSWKMPXRRESE","GSON5311")</f>
        <v>#NAME?</v>
      </c>
      <c r="E2699" s="3" t="e">
        <f ca="1">[1]!BexGetData("DP_1","003N8EMH8GTFRCSWKMPXRRL3Y","GSON5311")</f>
        <v>#NAME?</v>
      </c>
      <c r="F2699" s="4" t="e">
        <f ca="1">[1]!BexGetData("DP_1","003N8EMH8GTFRCSWKMPXRRRFI","GSON5311")</f>
        <v>#NAME?</v>
      </c>
      <c r="G2699" s="4" t="e">
        <f ca="1">[1]!BexGetData("DP_1","003N8EMH8GTFRCSWKMPXRRXR2","GSON5311")</f>
        <v>#NAME?</v>
      </c>
      <c r="H2699" s="4" t="e">
        <f ca="1">[1]!BexGetData("DP_1","003N8EMH8GTFRCSWKMPXRS42M","GSON5311")</f>
        <v>#NAME?</v>
      </c>
      <c r="I2699" s="4" t="e">
        <f ca="1">[1]!BexGetData("DP_1","003N8EMH8GTFRCSWKMPXRSAE6","GSON5311")</f>
        <v>#NAME?</v>
      </c>
      <c r="J2699" s="4" t="e">
        <f ca="1">[1]!BexGetData("DP_1","003N8EMH8GTFRCSWKMPXRSGPQ","GSON5311")</f>
        <v>#NAME?</v>
      </c>
      <c r="K2699" s="3" t="e">
        <f ca="1">[1]!BexGetData("DP_1","003N8EMH8GTFRIVNUPY288VJH","GSON5311")</f>
        <v>#NAME?</v>
      </c>
      <c r="L2699" s="3" t="e">
        <f ca="1">[1]!BexGetData("DP_1","003N8EMH8GTFRIVNUPY2891V1","GSON5311")</f>
        <v>#NAME?</v>
      </c>
      <c r="M2699" s="8" t="e">
        <f ca="1">[1]!BexGetData("DP_1","003N8EMH8GTFRIVOG7KG9IQXA","GSON5311")</f>
        <v>#NAME?</v>
      </c>
      <c r="N2699" s="3" t="e">
        <f ca="1">[1]!BexGetData("DP_1","003N8EMH8GTFRIVOG7KG9IX8U","GSON5311")</f>
        <v>#NAME?</v>
      </c>
      <c r="O2699" s="8" t="e">
        <f ca="1">[1]!BexGetData("DP_1","003N8EMH8GTFRIVOG7KG9J3KE","GSON5311")</f>
        <v>#NAME?</v>
      </c>
      <c r="P2699" s="3" t="e">
        <f ca="1">[1]!BexGetData("DP_1","003N8EMH8GTFRIVOG7KG9J9VY","GSON5311")</f>
        <v>#NAME?</v>
      </c>
      <c r="Q2699" s="4" t="e">
        <f ca="1">[1]!BexGetData("DP_1","00O2TNJGODT0G5Z4TTKYMM5MT","GSON5311")</f>
        <v>#NAME?</v>
      </c>
      <c r="R2699" s="4" t="e">
        <f ca="1">[1]!BexGetData("DP_1","00O2TNJGODT0G5Z4TTKYMMBYD","GSON5311")</f>
        <v>#NAME?</v>
      </c>
      <c r="S2699" s="4" t="e">
        <f ca="1">[1]!BexGetData("DP_1","00O2TNJGODT0G5Z4TTKYMMI9X","GSON5311")</f>
        <v>#NAME?</v>
      </c>
      <c r="T2699" s="4" t="e">
        <f ca="1">[1]!BexGetData("DP_1","00O2TNJGODT0G5Z4TTKYMMOLH","GSON5311")</f>
        <v>#NAME?</v>
      </c>
      <c r="U2699" s="4" t="e">
        <f ca="1">[1]!BexGetData("DP_1","00O2TNJGODT0G5Z4TTKYMMUX1","GSON5311")</f>
        <v>#NAME?</v>
      </c>
      <c r="V2699" s="4" t="e">
        <f ca="1">[1]!BexGetData("DP_1","00O2TNJGODT0G5Z4TTKYMN18L","GSON5311")</f>
        <v>#NAME?</v>
      </c>
      <c r="W2699" s="4" t="e">
        <f ca="1">[1]!BexGetData("DP_1","00O2TNJGODT0G5Z4TTKYMN7K5","GSON5311")</f>
        <v>#NAME?</v>
      </c>
    </row>
    <row r="2700" spans="1:23" x14ac:dyDescent="0.2">
      <c r="A2700" s="16" t="s">
        <v>5507</v>
      </c>
      <c r="B2700" s="7" t="s">
        <v>1580</v>
      </c>
      <c r="C2700" s="3" t="e">
        <f ca="1">[1]!BexGetData("DP_1","003N8EMH8GTFRCSWKMPXRR8GU","GSON5311811011")</f>
        <v>#NAME?</v>
      </c>
      <c r="D2700" s="3" t="e">
        <f ca="1">[1]!BexGetData("DP_1","003N8EMH8GTFRCSWKMPXRRESE","GSON5311811011")</f>
        <v>#NAME?</v>
      </c>
      <c r="E2700" s="3" t="e">
        <f ca="1">[1]!BexGetData("DP_1","003N8EMH8GTFRCSWKMPXRRL3Y","GSON5311811011")</f>
        <v>#NAME?</v>
      </c>
      <c r="F2700" s="4" t="e">
        <f ca="1">[1]!BexGetData("DP_1","003N8EMH8GTFRCSWKMPXRRRFI","GSON5311811011")</f>
        <v>#NAME?</v>
      </c>
      <c r="G2700" s="4" t="e">
        <f ca="1">[1]!BexGetData("DP_1","003N8EMH8GTFRCSWKMPXRRXR2","GSON5311811011")</f>
        <v>#NAME?</v>
      </c>
      <c r="H2700" s="4" t="e">
        <f ca="1">[1]!BexGetData("DP_1","003N8EMH8GTFRCSWKMPXRS42M","GSON5311811011")</f>
        <v>#NAME?</v>
      </c>
      <c r="I2700" s="4" t="e">
        <f ca="1">[1]!BexGetData("DP_1","003N8EMH8GTFRCSWKMPXRSAE6","GSON5311811011")</f>
        <v>#NAME?</v>
      </c>
      <c r="J2700" s="4" t="e">
        <f ca="1">[1]!BexGetData("DP_1","003N8EMH8GTFRCSWKMPXRSGPQ","GSON5311811011")</f>
        <v>#NAME?</v>
      </c>
      <c r="K2700" s="3" t="e">
        <f ca="1">[1]!BexGetData("DP_1","003N8EMH8GTFRIVNUPY288VJH","GSON5311811011")</f>
        <v>#NAME?</v>
      </c>
      <c r="L2700" s="3" t="e">
        <f ca="1">[1]!BexGetData("DP_1","003N8EMH8GTFRIVNUPY2891V1","GSON5311811011")</f>
        <v>#NAME?</v>
      </c>
      <c r="M2700" s="8" t="e">
        <f ca="1">[1]!BexGetData("DP_1","003N8EMH8GTFRIVOG7KG9IQXA","GSON5311811011")</f>
        <v>#NAME?</v>
      </c>
      <c r="N2700" s="3" t="e">
        <f ca="1">[1]!BexGetData("DP_1","003N8EMH8GTFRIVOG7KG9IX8U","GSON5311811011")</f>
        <v>#NAME?</v>
      </c>
      <c r="O2700" s="8" t="e">
        <f ca="1">[1]!BexGetData("DP_1","003N8EMH8GTFRIVOG7KG9J3KE","GSON5311811011")</f>
        <v>#NAME?</v>
      </c>
      <c r="P2700" s="3" t="e">
        <f ca="1">[1]!BexGetData("DP_1","003N8EMH8GTFRIVOG7KG9J9VY","GSON5311811011")</f>
        <v>#NAME?</v>
      </c>
      <c r="Q2700" s="4" t="e">
        <f ca="1">[1]!BexGetData("DP_1","00O2TNJGODT0G5Z4TTKYMM5MT","GSON5311811011")</f>
        <v>#NAME?</v>
      </c>
      <c r="R2700" s="4" t="e">
        <f ca="1">[1]!BexGetData("DP_1","00O2TNJGODT0G5Z4TTKYMMBYD","GSON5311811011")</f>
        <v>#NAME?</v>
      </c>
      <c r="S2700" s="4" t="e">
        <f ca="1">[1]!BexGetData("DP_1","00O2TNJGODT0G5Z4TTKYMMI9X","GSON5311811011")</f>
        <v>#NAME?</v>
      </c>
      <c r="T2700" s="4" t="e">
        <f ca="1">[1]!BexGetData("DP_1","00O2TNJGODT0G5Z4TTKYMMOLH","GSON5311811011")</f>
        <v>#NAME?</v>
      </c>
      <c r="U2700" s="4" t="e">
        <f ca="1">[1]!BexGetData("DP_1","00O2TNJGODT0G5Z4TTKYMMUX1","GSON5311811011")</f>
        <v>#NAME?</v>
      </c>
      <c r="V2700" s="4" t="e">
        <f ca="1">[1]!BexGetData("DP_1","00O2TNJGODT0G5Z4TTKYMN18L","GSON5311811011")</f>
        <v>#NAME?</v>
      </c>
      <c r="W2700" s="4" t="e">
        <f ca="1">[1]!BexGetData("DP_1","00O2TNJGODT0G5Z4TTKYMN7K5","GSON5311811011")</f>
        <v>#NAME?</v>
      </c>
    </row>
    <row r="2701" spans="1:23" x14ac:dyDescent="0.2">
      <c r="A2701" s="16" t="s">
        <v>5508</v>
      </c>
      <c r="B2701" s="7" t="s">
        <v>1717</v>
      </c>
      <c r="C2701" s="3" t="e">
        <f ca="1">[1]!BexGetData("DP_1","003N8EMH8GTFRCSWKMPXRR8GU","GSON5311812011")</f>
        <v>#NAME?</v>
      </c>
      <c r="D2701" s="3" t="e">
        <f ca="1">[1]!BexGetData("DP_1","003N8EMH8GTFRCSWKMPXRRESE","GSON5311812011")</f>
        <v>#NAME?</v>
      </c>
      <c r="E2701" s="3" t="e">
        <f ca="1">[1]!BexGetData("DP_1","003N8EMH8GTFRCSWKMPXRRL3Y","GSON5311812011")</f>
        <v>#NAME?</v>
      </c>
      <c r="F2701" s="4" t="e">
        <f ca="1">[1]!BexGetData("DP_1","003N8EMH8GTFRCSWKMPXRRRFI","GSON5311812011")</f>
        <v>#NAME?</v>
      </c>
      <c r="G2701" s="4" t="e">
        <f ca="1">[1]!BexGetData("DP_1","003N8EMH8GTFRCSWKMPXRRXR2","GSON5311812011")</f>
        <v>#NAME?</v>
      </c>
      <c r="H2701" s="4" t="e">
        <f ca="1">[1]!BexGetData("DP_1","003N8EMH8GTFRCSWKMPXRS42M","GSON5311812011")</f>
        <v>#NAME?</v>
      </c>
      <c r="I2701" s="4" t="e">
        <f ca="1">[1]!BexGetData("DP_1","003N8EMH8GTFRCSWKMPXRSAE6","GSON5311812011")</f>
        <v>#NAME?</v>
      </c>
      <c r="J2701" s="4" t="e">
        <f ca="1">[1]!BexGetData("DP_1","003N8EMH8GTFRCSWKMPXRSGPQ","GSON5311812011")</f>
        <v>#NAME?</v>
      </c>
      <c r="K2701" s="3" t="e">
        <f ca="1">[1]!BexGetData("DP_1","003N8EMH8GTFRIVNUPY288VJH","GSON5311812011")</f>
        <v>#NAME?</v>
      </c>
      <c r="L2701" s="3" t="e">
        <f ca="1">[1]!BexGetData("DP_1","003N8EMH8GTFRIVNUPY2891V1","GSON5311812011")</f>
        <v>#NAME?</v>
      </c>
      <c r="M2701" s="8" t="e">
        <f ca="1">[1]!BexGetData("DP_1","003N8EMH8GTFRIVOG7KG9IQXA","GSON5311812011")</f>
        <v>#NAME?</v>
      </c>
      <c r="N2701" s="3" t="e">
        <f ca="1">[1]!BexGetData("DP_1","003N8EMH8GTFRIVOG7KG9IX8U","GSON5311812011")</f>
        <v>#NAME?</v>
      </c>
      <c r="O2701" s="8" t="e">
        <f ca="1">[1]!BexGetData("DP_1","003N8EMH8GTFRIVOG7KG9J3KE","GSON5311812011")</f>
        <v>#NAME?</v>
      </c>
      <c r="P2701" s="3" t="e">
        <f ca="1">[1]!BexGetData("DP_1","003N8EMH8GTFRIVOG7KG9J9VY","GSON5311812011")</f>
        <v>#NAME?</v>
      </c>
      <c r="Q2701" s="4" t="e">
        <f ca="1">[1]!BexGetData("DP_1","00O2TNJGODT0G5Z4TTKYMM5MT","GSON5311812011")</f>
        <v>#NAME?</v>
      </c>
      <c r="R2701" s="4" t="e">
        <f ca="1">[1]!BexGetData("DP_1","00O2TNJGODT0G5Z4TTKYMMBYD","GSON5311812011")</f>
        <v>#NAME?</v>
      </c>
      <c r="S2701" s="4" t="e">
        <f ca="1">[1]!BexGetData("DP_1","00O2TNJGODT0G5Z4TTKYMMI9X","GSON5311812011")</f>
        <v>#NAME?</v>
      </c>
      <c r="T2701" s="4" t="e">
        <f ca="1">[1]!BexGetData("DP_1","00O2TNJGODT0G5Z4TTKYMMOLH","GSON5311812011")</f>
        <v>#NAME?</v>
      </c>
      <c r="U2701" s="4" t="e">
        <f ca="1">[1]!BexGetData("DP_1","00O2TNJGODT0G5Z4TTKYMMUX1","GSON5311812011")</f>
        <v>#NAME?</v>
      </c>
      <c r="V2701" s="4" t="e">
        <f ca="1">[1]!BexGetData("DP_1","00O2TNJGODT0G5Z4TTKYMN18L","GSON5311812011")</f>
        <v>#NAME?</v>
      </c>
      <c r="W2701" s="4" t="e">
        <f ca="1">[1]!BexGetData("DP_1","00O2TNJGODT0G5Z4TTKYMN7K5","GSON5311812011")</f>
        <v>#NAME?</v>
      </c>
    </row>
    <row r="2702" spans="1:23" x14ac:dyDescent="0.2">
      <c r="A2702" s="16" t="s">
        <v>5509</v>
      </c>
      <c r="B2702" s="7" t="s">
        <v>1718</v>
      </c>
      <c r="C2702" s="3" t="e">
        <f ca="1">[1]!BexGetData("DP_1","003N8EMH8GTFRCSWKMPXRR8GU","GSON5311815011")</f>
        <v>#NAME?</v>
      </c>
      <c r="D2702" s="3" t="e">
        <f ca="1">[1]!BexGetData("DP_1","003N8EMH8GTFRCSWKMPXRRESE","GSON5311815011")</f>
        <v>#NAME?</v>
      </c>
      <c r="E2702" s="3" t="e">
        <f ca="1">[1]!BexGetData("DP_1","003N8EMH8GTFRCSWKMPXRRL3Y","GSON5311815011")</f>
        <v>#NAME?</v>
      </c>
      <c r="F2702" s="4" t="e">
        <f ca="1">[1]!BexGetData("DP_1","003N8EMH8GTFRCSWKMPXRRRFI","GSON5311815011")</f>
        <v>#NAME?</v>
      </c>
      <c r="G2702" s="4" t="e">
        <f ca="1">[1]!BexGetData("DP_1","003N8EMH8GTFRCSWKMPXRRXR2","GSON5311815011")</f>
        <v>#NAME?</v>
      </c>
      <c r="H2702" s="4" t="e">
        <f ca="1">[1]!BexGetData("DP_1","003N8EMH8GTFRCSWKMPXRS42M","GSON5311815011")</f>
        <v>#NAME?</v>
      </c>
      <c r="I2702" s="4" t="e">
        <f ca="1">[1]!BexGetData("DP_1","003N8EMH8GTFRCSWKMPXRSAE6","GSON5311815011")</f>
        <v>#NAME?</v>
      </c>
      <c r="J2702" s="4" t="e">
        <f ca="1">[1]!BexGetData("DP_1","003N8EMH8GTFRCSWKMPXRSGPQ","GSON5311815011")</f>
        <v>#NAME?</v>
      </c>
      <c r="K2702" s="3" t="e">
        <f ca="1">[1]!BexGetData("DP_1","003N8EMH8GTFRIVNUPY288VJH","GSON5311815011")</f>
        <v>#NAME?</v>
      </c>
      <c r="L2702" s="3" t="e">
        <f ca="1">[1]!BexGetData("DP_1","003N8EMH8GTFRIVNUPY2891V1","GSON5311815011")</f>
        <v>#NAME?</v>
      </c>
      <c r="M2702" s="8" t="e">
        <f ca="1">[1]!BexGetData("DP_1","003N8EMH8GTFRIVOG7KG9IQXA","GSON5311815011")</f>
        <v>#NAME?</v>
      </c>
      <c r="N2702" s="3" t="e">
        <f ca="1">[1]!BexGetData("DP_1","003N8EMH8GTFRIVOG7KG9IX8U","GSON5311815011")</f>
        <v>#NAME?</v>
      </c>
      <c r="O2702" s="8" t="e">
        <f ca="1">[1]!BexGetData("DP_1","003N8EMH8GTFRIVOG7KG9J3KE","GSON5311815011")</f>
        <v>#NAME?</v>
      </c>
      <c r="P2702" s="3" t="e">
        <f ca="1">[1]!BexGetData("DP_1","003N8EMH8GTFRIVOG7KG9J9VY","GSON5311815011")</f>
        <v>#NAME?</v>
      </c>
      <c r="Q2702" s="4" t="e">
        <f ca="1">[1]!BexGetData("DP_1","00O2TNJGODT0G5Z4TTKYMM5MT","GSON5311815011")</f>
        <v>#NAME?</v>
      </c>
      <c r="R2702" s="4" t="e">
        <f ca="1">[1]!BexGetData("DP_1","00O2TNJGODT0G5Z4TTKYMMBYD","GSON5311815011")</f>
        <v>#NAME?</v>
      </c>
      <c r="S2702" s="4" t="e">
        <f ca="1">[1]!BexGetData("DP_1","00O2TNJGODT0G5Z4TTKYMMI9X","GSON5311815011")</f>
        <v>#NAME?</v>
      </c>
      <c r="T2702" s="4" t="e">
        <f ca="1">[1]!BexGetData("DP_1","00O2TNJGODT0G5Z4TTKYMMOLH","GSON5311815011")</f>
        <v>#NAME?</v>
      </c>
      <c r="U2702" s="4" t="e">
        <f ca="1">[1]!BexGetData("DP_1","00O2TNJGODT0G5Z4TTKYMMUX1","GSON5311815011")</f>
        <v>#NAME?</v>
      </c>
      <c r="V2702" s="4" t="e">
        <f ca="1">[1]!BexGetData("DP_1","00O2TNJGODT0G5Z4TTKYMN18L","GSON5311815011")</f>
        <v>#NAME?</v>
      </c>
      <c r="W2702" s="4" t="e">
        <f ca="1">[1]!BexGetData("DP_1","00O2TNJGODT0G5Z4TTKYMN7K5","GSON5311815011")</f>
        <v>#NAME?</v>
      </c>
    </row>
    <row r="2703" spans="1:23" x14ac:dyDescent="0.2">
      <c r="A2703" s="16" t="s">
        <v>5510</v>
      </c>
      <c r="B2703" s="7" t="s">
        <v>1719</v>
      </c>
      <c r="C2703" s="3" t="e">
        <f ca="1">[1]!BexGetData("DP_1","003N8EMH8GTFRCSWKMPXRR8GU","GSON5311815021")</f>
        <v>#NAME?</v>
      </c>
      <c r="D2703" s="3" t="e">
        <f ca="1">[1]!BexGetData("DP_1","003N8EMH8GTFRCSWKMPXRRESE","GSON5311815021")</f>
        <v>#NAME?</v>
      </c>
      <c r="E2703" s="3" t="e">
        <f ca="1">[1]!BexGetData("DP_1","003N8EMH8GTFRCSWKMPXRRL3Y","GSON5311815021")</f>
        <v>#NAME?</v>
      </c>
      <c r="F2703" s="4" t="e">
        <f ca="1">[1]!BexGetData("DP_1","003N8EMH8GTFRCSWKMPXRRRFI","GSON5311815021")</f>
        <v>#NAME?</v>
      </c>
      <c r="G2703" s="4" t="e">
        <f ca="1">[1]!BexGetData("DP_1","003N8EMH8GTFRCSWKMPXRRXR2","GSON5311815021")</f>
        <v>#NAME?</v>
      </c>
      <c r="H2703" s="4" t="e">
        <f ca="1">[1]!BexGetData("DP_1","003N8EMH8GTFRCSWKMPXRS42M","GSON5311815021")</f>
        <v>#NAME?</v>
      </c>
      <c r="I2703" s="4" t="e">
        <f ca="1">[1]!BexGetData("DP_1","003N8EMH8GTFRCSWKMPXRSAE6","GSON5311815021")</f>
        <v>#NAME?</v>
      </c>
      <c r="J2703" s="4" t="e">
        <f ca="1">[1]!BexGetData("DP_1","003N8EMH8GTFRCSWKMPXRSGPQ","GSON5311815021")</f>
        <v>#NAME?</v>
      </c>
      <c r="K2703" s="3" t="e">
        <f ca="1">[1]!BexGetData("DP_1","003N8EMH8GTFRIVNUPY288VJH","GSON5311815021")</f>
        <v>#NAME?</v>
      </c>
      <c r="L2703" s="3" t="e">
        <f ca="1">[1]!BexGetData("DP_1","003N8EMH8GTFRIVNUPY2891V1","GSON5311815021")</f>
        <v>#NAME?</v>
      </c>
      <c r="M2703" s="8" t="e">
        <f ca="1">[1]!BexGetData("DP_1","003N8EMH8GTFRIVOG7KG9IQXA","GSON5311815021")</f>
        <v>#NAME?</v>
      </c>
      <c r="N2703" s="3" t="e">
        <f ca="1">[1]!BexGetData("DP_1","003N8EMH8GTFRIVOG7KG9IX8U","GSON5311815021")</f>
        <v>#NAME?</v>
      </c>
      <c r="O2703" s="8" t="e">
        <f ca="1">[1]!BexGetData("DP_1","003N8EMH8GTFRIVOG7KG9J3KE","GSON5311815021")</f>
        <v>#NAME?</v>
      </c>
      <c r="P2703" s="3" t="e">
        <f ca="1">[1]!BexGetData("DP_1","003N8EMH8GTFRIVOG7KG9J9VY","GSON5311815021")</f>
        <v>#NAME?</v>
      </c>
      <c r="Q2703" s="4" t="e">
        <f ca="1">[1]!BexGetData("DP_1","00O2TNJGODT0G5Z4TTKYMM5MT","GSON5311815021")</f>
        <v>#NAME?</v>
      </c>
      <c r="R2703" s="4" t="e">
        <f ca="1">[1]!BexGetData("DP_1","00O2TNJGODT0G5Z4TTKYMMBYD","GSON5311815021")</f>
        <v>#NAME?</v>
      </c>
      <c r="S2703" s="4" t="e">
        <f ca="1">[1]!BexGetData("DP_1","00O2TNJGODT0G5Z4TTKYMMI9X","GSON5311815021")</f>
        <v>#NAME?</v>
      </c>
      <c r="T2703" s="4" t="e">
        <f ca="1">[1]!BexGetData("DP_1","00O2TNJGODT0G5Z4TTKYMMOLH","GSON5311815021")</f>
        <v>#NAME?</v>
      </c>
      <c r="U2703" s="4" t="e">
        <f ca="1">[1]!BexGetData("DP_1","00O2TNJGODT0G5Z4TTKYMMUX1","GSON5311815021")</f>
        <v>#NAME?</v>
      </c>
      <c r="V2703" s="4" t="e">
        <f ca="1">[1]!BexGetData("DP_1","00O2TNJGODT0G5Z4TTKYMN18L","GSON5311815021")</f>
        <v>#NAME?</v>
      </c>
      <c r="W2703" s="4" t="e">
        <f ca="1">[1]!BexGetData("DP_1","00O2TNJGODT0G5Z4TTKYMN7K5","GSON5311815021")</f>
        <v>#NAME?</v>
      </c>
    </row>
    <row r="2704" spans="1:23" x14ac:dyDescent="0.2">
      <c r="A2704" s="16" t="s">
        <v>5511</v>
      </c>
      <c r="B2704" s="7" t="s">
        <v>1720</v>
      </c>
      <c r="C2704" s="3" t="e">
        <f ca="1">[1]!BexGetData("DP_1","003N8EMH8GTFRCSWKMPXRR8GU","GSON5311815031")</f>
        <v>#NAME?</v>
      </c>
      <c r="D2704" s="3" t="e">
        <f ca="1">[1]!BexGetData("DP_1","003N8EMH8GTFRCSWKMPXRRESE","GSON5311815031")</f>
        <v>#NAME?</v>
      </c>
      <c r="E2704" s="3" t="e">
        <f ca="1">[1]!BexGetData("DP_1","003N8EMH8GTFRCSWKMPXRRL3Y","GSON5311815031")</f>
        <v>#NAME?</v>
      </c>
      <c r="F2704" s="4" t="e">
        <f ca="1">[1]!BexGetData("DP_1","003N8EMH8GTFRCSWKMPXRRRFI","GSON5311815031")</f>
        <v>#NAME?</v>
      </c>
      <c r="G2704" s="4" t="e">
        <f ca="1">[1]!BexGetData("DP_1","003N8EMH8GTFRCSWKMPXRRXR2","GSON5311815031")</f>
        <v>#NAME?</v>
      </c>
      <c r="H2704" s="4" t="e">
        <f ca="1">[1]!BexGetData("DP_1","003N8EMH8GTFRCSWKMPXRS42M","GSON5311815031")</f>
        <v>#NAME?</v>
      </c>
      <c r="I2704" s="4" t="e">
        <f ca="1">[1]!BexGetData("DP_1","003N8EMH8GTFRCSWKMPXRSAE6","GSON5311815031")</f>
        <v>#NAME?</v>
      </c>
      <c r="J2704" s="4" t="e">
        <f ca="1">[1]!BexGetData("DP_1","003N8EMH8GTFRCSWKMPXRSGPQ","GSON5311815031")</f>
        <v>#NAME?</v>
      </c>
      <c r="K2704" s="3" t="e">
        <f ca="1">[1]!BexGetData("DP_1","003N8EMH8GTFRIVNUPY288VJH","GSON5311815031")</f>
        <v>#NAME?</v>
      </c>
      <c r="L2704" s="3" t="e">
        <f ca="1">[1]!BexGetData("DP_1","003N8EMH8GTFRIVNUPY2891V1","GSON5311815031")</f>
        <v>#NAME?</v>
      </c>
      <c r="M2704" s="8" t="e">
        <f ca="1">[1]!BexGetData("DP_1","003N8EMH8GTFRIVOG7KG9IQXA","GSON5311815031")</f>
        <v>#NAME?</v>
      </c>
      <c r="N2704" s="3" t="e">
        <f ca="1">[1]!BexGetData("DP_1","003N8EMH8GTFRIVOG7KG9IX8U","GSON5311815031")</f>
        <v>#NAME?</v>
      </c>
      <c r="O2704" s="8" t="e">
        <f ca="1">[1]!BexGetData("DP_1","003N8EMH8GTFRIVOG7KG9J3KE","GSON5311815031")</f>
        <v>#NAME?</v>
      </c>
      <c r="P2704" s="3" t="e">
        <f ca="1">[1]!BexGetData("DP_1","003N8EMH8GTFRIVOG7KG9J9VY","GSON5311815031")</f>
        <v>#NAME?</v>
      </c>
      <c r="Q2704" s="4" t="e">
        <f ca="1">[1]!BexGetData("DP_1","00O2TNJGODT0G5Z4TTKYMM5MT","GSON5311815031")</f>
        <v>#NAME?</v>
      </c>
      <c r="R2704" s="4" t="e">
        <f ca="1">[1]!BexGetData("DP_1","00O2TNJGODT0G5Z4TTKYMMBYD","GSON5311815031")</f>
        <v>#NAME?</v>
      </c>
      <c r="S2704" s="4" t="e">
        <f ca="1">[1]!BexGetData("DP_1","00O2TNJGODT0G5Z4TTKYMMI9X","GSON5311815031")</f>
        <v>#NAME?</v>
      </c>
      <c r="T2704" s="4" t="e">
        <f ca="1">[1]!BexGetData("DP_1","00O2TNJGODT0G5Z4TTKYMMOLH","GSON5311815031")</f>
        <v>#NAME?</v>
      </c>
      <c r="U2704" s="4" t="e">
        <f ca="1">[1]!BexGetData("DP_1","00O2TNJGODT0G5Z4TTKYMMUX1","GSON5311815031")</f>
        <v>#NAME?</v>
      </c>
      <c r="V2704" s="4" t="e">
        <f ca="1">[1]!BexGetData("DP_1","00O2TNJGODT0G5Z4TTKYMN18L","GSON5311815031")</f>
        <v>#NAME?</v>
      </c>
      <c r="W2704" s="4" t="e">
        <f ca="1">[1]!BexGetData("DP_1","00O2TNJGODT0G5Z4TTKYMN7K5","GSON5311815031")</f>
        <v>#NAME?</v>
      </c>
    </row>
    <row r="2705" spans="1:23" x14ac:dyDescent="0.2">
      <c r="A2705" s="16" t="s">
        <v>5512</v>
      </c>
      <c r="B2705" s="7" t="s">
        <v>1721</v>
      </c>
      <c r="C2705" s="3" t="e">
        <f ca="1">[1]!BexGetData("DP_1","003N8EMH8GTFRCSWKMPXRR8GU","GSON5311815041")</f>
        <v>#NAME?</v>
      </c>
      <c r="D2705" s="3" t="e">
        <f ca="1">[1]!BexGetData("DP_1","003N8EMH8GTFRCSWKMPXRRESE","GSON5311815041")</f>
        <v>#NAME?</v>
      </c>
      <c r="E2705" s="3" t="e">
        <f ca="1">[1]!BexGetData("DP_1","003N8EMH8GTFRCSWKMPXRRL3Y","GSON5311815041")</f>
        <v>#NAME?</v>
      </c>
      <c r="F2705" s="4" t="e">
        <f ca="1">[1]!BexGetData("DP_1","003N8EMH8GTFRCSWKMPXRRRFI","GSON5311815041")</f>
        <v>#NAME?</v>
      </c>
      <c r="G2705" s="4" t="e">
        <f ca="1">[1]!BexGetData("DP_1","003N8EMH8GTFRCSWKMPXRRXR2","GSON5311815041")</f>
        <v>#NAME?</v>
      </c>
      <c r="H2705" s="4" t="e">
        <f ca="1">[1]!BexGetData("DP_1","003N8EMH8GTFRCSWKMPXRS42M","GSON5311815041")</f>
        <v>#NAME?</v>
      </c>
      <c r="I2705" s="4" t="e">
        <f ca="1">[1]!BexGetData("DP_1","003N8EMH8GTFRCSWKMPXRSAE6","GSON5311815041")</f>
        <v>#NAME?</v>
      </c>
      <c r="J2705" s="4" t="e">
        <f ca="1">[1]!BexGetData("DP_1","003N8EMH8GTFRCSWKMPXRSGPQ","GSON5311815041")</f>
        <v>#NAME?</v>
      </c>
      <c r="K2705" s="3" t="e">
        <f ca="1">[1]!BexGetData("DP_1","003N8EMH8GTFRIVNUPY288VJH","GSON5311815041")</f>
        <v>#NAME?</v>
      </c>
      <c r="L2705" s="3" t="e">
        <f ca="1">[1]!BexGetData("DP_1","003N8EMH8GTFRIVNUPY2891V1","GSON5311815041")</f>
        <v>#NAME?</v>
      </c>
      <c r="M2705" s="8" t="e">
        <f ca="1">[1]!BexGetData("DP_1","003N8EMH8GTFRIVOG7KG9IQXA","GSON5311815041")</f>
        <v>#NAME?</v>
      </c>
      <c r="N2705" s="3" t="e">
        <f ca="1">[1]!BexGetData("DP_1","003N8EMH8GTFRIVOG7KG9IX8U","GSON5311815041")</f>
        <v>#NAME?</v>
      </c>
      <c r="O2705" s="8" t="e">
        <f ca="1">[1]!BexGetData("DP_1","003N8EMH8GTFRIVOG7KG9J3KE","GSON5311815041")</f>
        <v>#NAME?</v>
      </c>
      <c r="P2705" s="3" t="e">
        <f ca="1">[1]!BexGetData("DP_1","003N8EMH8GTFRIVOG7KG9J9VY","GSON5311815041")</f>
        <v>#NAME?</v>
      </c>
      <c r="Q2705" s="4" t="e">
        <f ca="1">[1]!BexGetData("DP_1","00O2TNJGODT0G5Z4TTKYMM5MT","GSON5311815041")</f>
        <v>#NAME?</v>
      </c>
      <c r="R2705" s="4" t="e">
        <f ca="1">[1]!BexGetData("DP_1","00O2TNJGODT0G5Z4TTKYMMBYD","GSON5311815041")</f>
        <v>#NAME?</v>
      </c>
      <c r="S2705" s="4" t="e">
        <f ca="1">[1]!BexGetData("DP_1","00O2TNJGODT0G5Z4TTKYMMI9X","GSON5311815041")</f>
        <v>#NAME?</v>
      </c>
      <c r="T2705" s="4" t="e">
        <f ca="1">[1]!BexGetData("DP_1","00O2TNJGODT0G5Z4TTKYMMOLH","GSON5311815041")</f>
        <v>#NAME?</v>
      </c>
      <c r="U2705" s="4" t="e">
        <f ca="1">[1]!BexGetData("DP_1","00O2TNJGODT0G5Z4TTKYMMUX1","GSON5311815041")</f>
        <v>#NAME?</v>
      </c>
      <c r="V2705" s="4" t="e">
        <f ca="1">[1]!BexGetData("DP_1","00O2TNJGODT0G5Z4TTKYMN18L","GSON5311815041")</f>
        <v>#NAME?</v>
      </c>
      <c r="W2705" s="4" t="e">
        <f ca="1">[1]!BexGetData("DP_1","00O2TNJGODT0G5Z4TTKYMN7K5","GSON5311815041")</f>
        <v>#NAME?</v>
      </c>
    </row>
    <row r="2706" spans="1:23" x14ac:dyDescent="0.2">
      <c r="A2706" s="16" t="s">
        <v>5513</v>
      </c>
      <c r="B2706" s="7" t="s">
        <v>1722</v>
      </c>
      <c r="C2706" s="3" t="e">
        <f ca="1">[1]!BexGetData("DP_1","003N8EMH8GTFRCSWKMPXRR8GU","GSON5311815051")</f>
        <v>#NAME?</v>
      </c>
      <c r="D2706" s="3" t="e">
        <f ca="1">[1]!BexGetData("DP_1","003N8EMH8GTFRCSWKMPXRRESE","GSON5311815051")</f>
        <v>#NAME?</v>
      </c>
      <c r="E2706" s="3" t="e">
        <f ca="1">[1]!BexGetData("DP_1","003N8EMH8GTFRCSWKMPXRRL3Y","GSON5311815051")</f>
        <v>#NAME?</v>
      </c>
      <c r="F2706" s="4" t="e">
        <f ca="1">[1]!BexGetData("DP_1","003N8EMH8GTFRCSWKMPXRRRFI","GSON5311815051")</f>
        <v>#NAME?</v>
      </c>
      <c r="G2706" s="4" t="e">
        <f ca="1">[1]!BexGetData("DP_1","003N8EMH8GTFRCSWKMPXRRXR2","GSON5311815051")</f>
        <v>#NAME?</v>
      </c>
      <c r="H2706" s="4" t="e">
        <f ca="1">[1]!BexGetData("DP_1","003N8EMH8GTFRCSWKMPXRS42M","GSON5311815051")</f>
        <v>#NAME?</v>
      </c>
      <c r="I2706" s="4" t="e">
        <f ca="1">[1]!BexGetData("DP_1","003N8EMH8GTFRCSWKMPXRSAE6","GSON5311815051")</f>
        <v>#NAME?</v>
      </c>
      <c r="J2706" s="4" t="e">
        <f ca="1">[1]!BexGetData("DP_1","003N8EMH8GTFRCSWKMPXRSGPQ","GSON5311815051")</f>
        <v>#NAME?</v>
      </c>
      <c r="K2706" s="3" t="e">
        <f ca="1">[1]!BexGetData("DP_1","003N8EMH8GTFRIVNUPY288VJH","GSON5311815051")</f>
        <v>#NAME?</v>
      </c>
      <c r="L2706" s="3" t="e">
        <f ca="1">[1]!BexGetData("DP_1","003N8EMH8GTFRIVNUPY2891V1","GSON5311815051")</f>
        <v>#NAME?</v>
      </c>
      <c r="M2706" s="8" t="e">
        <f ca="1">[1]!BexGetData("DP_1","003N8EMH8GTFRIVOG7KG9IQXA","GSON5311815051")</f>
        <v>#NAME?</v>
      </c>
      <c r="N2706" s="3" t="e">
        <f ca="1">[1]!BexGetData("DP_1","003N8EMH8GTFRIVOG7KG9IX8U","GSON5311815051")</f>
        <v>#NAME?</v>
      </c>
      <c r="O2706" s="8" t="e">
        <f ca="1">[1]!BexGetData("DP_1","003N8EMH8GTFRIVOG7KG9J3KE","GSON5311815051")</f>
        <v>#NAME?</v>
      </c>
      <c r="P2706" s="3" t="e">
        <f ca="1">[1]!BexGetData("DP_1","003N8EMH8GTFRIVOG7KG9J9VY","GSON5311815051")</f>
        <v>#NAME?</v>
      </c>
      <c r="Q2706" s="4" t="e">
        <f ca="1">[1]!BexGetData("DP_1","00O2TNJGODT0G5Z4TTKYMM5MT","GSON5311815051")</f>
        <v>#NAME?</v>
      </c>
      <c r="R2706" s="4" t="e">
        <f ca="1">[1]!BexGetData("DP_1","00O2TNJGODT0G5Z4TTKYMMBYD","GSON5311815051")</f>
        <v>#NAME?</v>
      </c>
      <c r="S2706" s="4" t="e">
        <f ca="1">[1]!BexGetData("DP_1","00O2TNJGODT0G5Z4TTKYMMI9X","GSON5311815051")</f>
        <v>#NAME?</v>
      </c>
      <c r="T2706" s="4" t="e">
        <f ca="1">[1]!BexGetData("DP_1","00O2TNJGODT0G5Z4TTKYMMOLH","GSON5311815051")</f>
        <v>#NAME?</v>
      </c>
      <c r="U2706" s="4" t="e">
        <f ca="1">[1]!BexGetData("DP_1","00O2TNJGODT0G5Z4TTKYMMUX1","GSON5311815051")</f>
        <v>#NAME?</v>
      </c>
      <c r="V2706" s="4" t="e">
        <f ca="1">[1]!BexGetData("DP_1","00O2TNJGODT0G5Z4TTKYMN18L","GSON5311815051")</f>
        <v>#NAME?</v>
      </c>
      <c r="W2706" s="4" t="e">
        <f ca="1">[1]!BexGetData("DP_1","00O2TNJGODT0G5Z4TTKYMN7K5","GSON5311815051")</f>
        <v>#NAME?</v>
      </c>
    </row>
    <row r="2707" spans="1:23" x14ac:dyDescent="0.2">
      <c r="A2707" s="16" t="s">
        <v>5514</v>
      </c>
      <c r="B2707" s="7" t="s">
        <v>1723</v>
      </c>
      <c r="C2707" s="3" t="e">
        <f ca="1">[1]!BexGetData("DP_1","003N8EMH8GTFRCSWKMPXRR8GU","GSON5311815061")</f>
        <v>#NAME?</v>
      </c>
      <c r="D2707" s="3" t="e">
        <f ca="1">[1]!BexGetData("DP_1","003N8EMH8GTFRCSWKMPXRRESE","GSON5311815061")</f>
        <v>#NAME?</v>
      </c>
      <c r="E2707" s="3" t="e">
        <f ca="1">[1]!BexGetData("DP_1","003N8EMH8GTFRCSWKMPXRRL3Y","GSON5311815061")</f>
        <v>#NAME?</v>
      </c>
      <c r="F2707" s="4" t="e">
        <f ca="1">[1]!BexGetData("DP_1","003N8EMH8GTFRCSWKMPXRRRFI","GSON5311815061")</f>
        <v>#NAME?</v>
      </c>
      <c r="G2707" s="4" t="e">
        <f ca="1">[1]!BexGetData("DP_1","003N8EMH8GTFRCSWKMPXRRXR2","GSON5311815061")</f>
        <v>#NAME?</v>
      </c>
      <c r="H2707" s="4" t="e">
        <f ca="1">[1]!BexGetData("DP_1","003N8EMH8GTFRCSWKMPXRS42M","GSON5311815061")</f>
        <v>#NAME?</v>
      </c>
      <c r="I2707" s="4" t="e">
        <f ca="1">[1]!BexGetData("DP_1","003N8EMH8GTFRCSWKMPXRSAE6","GSON5311815061")</f>
        <v>#NAME?</v>
      </c>
      <c r="J2707" s="4" t="e">
        <f ca="1">[1]!BexGetData("DP_1","003N8EMH8GTFRCSWKMPXRSGPQ","GSON5311815061")</f>
        <v>#NAME?</v>
      </c>
      <c r="K2707" s="3" t="e">
        <f ca="1">[1]!BexGetData("DP_1","003N8EMH8GTFRIVNUPY288VJH","GSON5311815061")</f>
        <v>#NAME?</v>
      </c>
      <c r="L2707" s="3" t="e">
        <f ca="1">[1]!BexGetData("DP_1","003N8EMH8GTFRIVNUPY2891V1","GSON5311815061")</f>
        <v>#NAME?</v>
      </c>
      <c r="M2707" s="8" t="e">
        <f ca="1">[1]!BexGetData("DP_1","003N8EMH8GTFRIVOG7KG9IQXA","GSON5311815061")</f>
        <v>#NAME?</v>
      </c>
      <c r="N2707" s="3" t="e">
        <f ca="1">[1]!BexGetData("DP_1","003N8EMH8GTFRIVOG7KG9IX8U","GSON5311815061")</f>
        <v>#NAME?</v>
      </c>
      <c r="O2707" s="8" t="e">
        <f ca="1">[1]!BexGetData("DP_1","003N8EMH8GTFRIVOG7KG9J3KE","GSON5311815061")</f>
        <v>#NAME?</v>
      </c>
      <c r="P2707" s="3" t="e">
        <f ca="1">[1]!BexGetData("DP_1","003N8EMH8GTFRIVOG7KG9J9VY","GSON5311815061")</f>
        <v>#NAME?</v>
      </c>
      <c r="Q2707" s="4" t="e">
        <f ca="1">[1]!BexGetData("DP_1","00O2TNJGODT0G5Z4TTKYMM5MT","GSON5311815061")</f>
        <v>#NAME?</v>
      </c>
      <c r="R2707" s="4" t="e">
        <f ca="1">[1]!BexGetData("DP_1","00O2TNJGODT0G5Z4TTKYMMBYD","GSON5311815061")</f>
        <v>#NAME?</v>
      </c>
      <c r="S2707" s="4" t="e">
        <f ca="1">[1]!BexGetData("DP_1","00O2TNJGODT0G5Z4TTKYMMI9X","GSON5311815061")</f>
        <v>#NAME?</v>
      </c>
      <c r="T2707" s="4" t="e">
        <f ca="1">[1]!BexGetData("DP_1","00O2TNJGODT0G5Z4TTKYMMOLH","GSON5311815061")</f>
        <v>#NAME?</v>
      </c>
      <c r="U2707" s="4" t="e">
        <f ca="1">[1]!BexGetData("DP_1","00O2TNJGODT0G5Z4TTKYMMUX1","GSON5311815061")</f>
        <v>#NAME?</v>
      </c>
      <c r="V2707" s="4" t="e">
        <f ca="1">[1]!BexGetData("DP_1","00O2TNJGODT0G5Z4TTKYMN18L","GSON5311815061")</f>
        <v>#NAME?</v>
      </c>
      <c r="W2707" s="4" t="e">
        <f ca="1">[1]!BexGetData("DP_1","00O2TNJGODT0G5Z4TTKYMN7K5","GSON5311815061")</f>
        <v>#NAME?</v>
      </c>
    </row>
    <row r="2708" spans="1:23" x14ac:dyDescent="0.2">
      <c r="A2708" s="15" t="s">
        <v>1724</v>
      </c>
      <c r="B2708" s="7" t="s">
        <v>1725</v>
      </c>
      <c r="C2708" s="3" t="e">
        <f ca="1">[1]!BexGetData("DP_1","003N8EMH8GTFRCSWKMPXRR8GU","GSON5312")</f>
        <v>#NAME?</v>
      </c>
      <c r="D2708" s="3" t="e">
        <f ca="1">[1]!BexGetData("DP_1","003N8EMH8GTFRCSWKMPXRRESE","GSON5312")</f>
        <v>#NAME?</v>
      </c>
      <c r="E2708" s="3" t="e">
        <f ca="1">[1]!BexGetData("DP_1","003N8EMH8GTFRCSWKMPXRRL3Y","GSON5312")</f>
        <v>#NAME?</v>
      </c>
      <c r="F2708" s="4" t="e">
        <f ca="1">[1]!BexGetData("DP_1","003N8EMH8GTFRCSWKMPXRRRFI","GSON5312")</f>
        <v>#NAME?</v>
      </c>
      <c r="G2708" s="4" t="e">
        <f ca="1">[1]!BexGetData("DP_1","003N8EMH8GTFRCSWKMPXRRXR2","GSON5312")</f>
        <v>#NAME?</v>
      </c>
      <c r="H2708" s="4" t="e">
        <f ca="1">[1]!BexGetData("DP_1","003N8EMH8GTFRCSWKMPXRS42M","GSON5312")</f>
        <v>#NAME?</v>
      </c>
      <c r="I2708" s="4" t="e">
        <f ca="1">[1]!BexGetData("DP_1","003N8EMH8GTFRCSWKMPXRSAE6","GSON5312")</f>
        <v>#NAME?</v>
      </c>
      <c r="J2708" s="4" t="e">
        <f ca="1">[1]!BexGetData("DP_1","003N8EMH8GTFRCSWKMPXRSGPQ","GSON5312")</f>
        <v>#NAME?</v>
      </c>
      <c r="K2708" s="3" t="e">
        <f ca="1">[1]!BexGetData("DP_1","003N8EMH8GTFRIVNUPY288VJH","GSON5312")</f>
        <v>#NAME?</v>
      </c>
      <c r="L2708" s="3" t="e">
        <f ca="1">[1]!BexGetData("DP_1","003N8EMH8GTFRIVNUPY2891V1","GSON5312")</f>
        <v>#NAME?</v>
      </c>
      <c r="M2708" s="8" t="e">
        <f ca="1">[1]!BexGetData("DP_1","003N8EMH8GTFRIVOG7KG9IQXA","GSON5312")</f>
        <v>#NAME?</v>
      </c>
      <c r="N2708" s="3" t="e">
        <f ca="1">[1]!BexGetData("DP_1","003N8EMH8GTFRIVOG7KG9IX8U","GSON5312")</f>
        <v>#NAME?</v>
      </c>
      <c r="O2708" s="8" t="e">
        <f ca="1">[1]!BexGetData("DP_1","003N8EMH8GTFRIVOG7KG9J3KE","GSON5312")</f>
        <v>#NAME?</v>
      </c>
      <c r="P2708" s="3" t="e">
        <f ca="1">[1]!BexGetData("DP_1","003N8EMH8GTFRIVOG7KG9J9VY","GSON5312")</f>
        <v>#NAME?</v>
      </c>
      <c r="Q2708" s="4" t="e">
        <f ca="1">[1]!BexGetData("DP_1","00O2TNJGODT0G5Z4TTKYMM5MT","GSON5312")</f>
        <v>#NAME?</v>
      </c>
      <c r="R2708" s="4" t="e">
        <f ca="1">[1]!BexGetData("DP_1","00O2TNJGODT0G5Z4TTKYMMBYD","GSON5312")</f>
        <v>#NAME?</v>
      </c>
      <c r="S2708" s="4" t="e">
        <f ca="1">[1]!BexGetData("DP_1","00O2TNJGODT0G5Z4TTKYMMI9X","GSON5312")</f>
        <v>#NAME?</v>
      </c>
      <c r="T2708" s="4" t="e">
        <f ca="1">[1]!BexGetData("DP_1","00O2TNJGODT0G5Z4TTKYMMOLH","GSON5312")</f>
        <v>#NAME?</v>
      </c>
      <c r="U2708" s="4" t="e">
        <f ca="1">[1]!BexGetData("DP_1","00O2TNJGODT0G5Z4TTKYMMUX1","GSON5312")</f>
        <v>#NAME?</v>
      </c>
      <c r="V2708" s="4" t="e">
        <f ca="1">[1]!BexGetData("DP_1","00O2TNJGODT0G5Z4TTKYMN18L","GSON5312")</f>
        <v>#NAME?</v>
      </c>
      <c r="W2708" s="4" t="e">
        <f ca="1">[1]!BexGetData("DP_1","00O2TNJGODT0G5Z4TTKYMN7K5","GSON5312")</f>
        <v>#NAME?</v>
      </c>
    </row>
    <row r="2709" spans="1:23" x14ac:dyDescent="0.2">
      <c r="A2709" s="16" t="s">
        <v>5515</v>
      </c>
      <c r="B2709" s="7" t="s">
        <v>1726</v>
      </c>
      <c r="C2709" s="3" t="e">
        <f ca="1">[1]!BexGetData("DP_1","003N8EMH8GTFRCSWKMPXRR8GU","GSON5312813011")</f>
        <v>#NAME?</v>
      </c>
      <c r="D2709" s="3" t="e">
        <f ca="1">[1]!BexGetData("DP_1","003N8EMH8GTFRCSWKMPXRRESE","GSON5312813011")</f>
        <v>#NAME?</v>
      </c>
      <c r="E2709" s="3" t="e">
        <f ca="1">[1]!BexGetData("DP_1","003N8EMH8GTFRCSWKMPXRRL3Y","GSON5312813011")</f>
        <v>#NAME?</v>
      </c>
      <c r="F2709" s="4" t="e">
        <f ca="1">[1]!BexGetData("DP_1","003N8EMH8GTFRCSWKMPXRRRFI","GSON5312813011")</f>
        <v>#NAME?</v>
      </c>
      <c r="G2709" s="4" t="e">
        <f ca="1">[1]!BexGetData("DP_1","003N8EMH8GTFRCSWKMPXRRXR2","GSON5312813011")</f>
        <v>#NAME?</v>
      </c>
      <c r="H2709" s="4" t="e">
        <f ca="1">[1]!BexGetData("DP_1","003N8EMH8GTFRCSWKMPXRS42M","GSON5312813011")</f>
        <v>#NAME?</v>
      </c>
      <c r="I2709" s="4" t="e">
        <f ca="1">[1]!BexGetData("DP_1","003N8EMH8GTFRCSWKMPXRSAE6","GSON5312813011")</f>
        <v>#NAME?</v>
      </c>
      <c r="J2709" s="4" t="e">
        <f ca="1">[1]!BexGetData("DP_1","003N8EMH8GTFRCSWKMPXRSGPQ","GSON5312813011")</f>
        <v>#NAME?</v>
      </c>
      <c r="K2709" s="3" t="e">
        <f ca="1">[1]!BexGetData("DP_1","003N8EMH8GTFRIVNUPY288VJH","GSON5312813011")</f>
        <v>#NAME?</v>
      </c>
      <c r="L2709" s="3" t="e">
        <f ca="1">[1]!BexGetData("DP_1","003N8EMH8GTFRIVNUPY2891V1","GSON5312813011")</f>
        <v>#NAME?</v>
      </c>
      <c r="M2709" s="8" t="e">
        <f ca="1">[1]!BexGetData("DP_1","003N8EMH8GTFRIVOG7KG9IQXA","GSON5312813011")</f>
        <v>#NAME?</v>
      </c>
      <c r="N2709" s="3" t="e">
        <f ca="1">[1]!BexGetData("DP_1","003N8EMH8GTFRIVOG7KG9IX8U","GSON5312813011")</f>
        <v>#NAME?</v>
      </c>
      <c r="O2709" s="8" t="e">
        <f ca="1">[1]!BexGetData("DP_1","003N8EMH8GTFRIVOG7KG9J3KE","GSON5312813011")</f>
        <v>#NAME?</v>
      </c>
      <c r="P2709" s="3" t="e">
        <f ca="1">[1]!BexGetData("DP_1","003N8EMH8GTFRIVOG7KG9J9VY","GSON5312813011")</f>
        <v>#NAME?</v>
      </c>
      <c r="Q2709" s="4" t="e">
        <f ca="1">[1]!BexGetData("DP_1","00O2TNJGODT0G5Z4TTKYMM5MT","GSON5312813011")</f>
        <v>#NAME?</v>
      </c>
      <c r="R2709" s="4" t="e">
        <f ca="1">[1]!BexGetData("DP_1","00O2TNJGODT0G5Z4TTKYMMBYD","GSON5312813011")</f>
        <v>#NAME?</v>
      </c>
      <c r="S2709" s="4" t="e">
        <f ca="1">[1]!BexGetData("DP_1","00O2TNJGODT0G5Z4TTKYMMI9X","GSON5312813011")</f>
        <v>#NAME?</v>
      </c>
      <c r="T2709" s="4" t="e">
        <f ca="1">[1]!BexGetData("DP_1","00O2TNJGODT0G5Z4TTKYMMOLH","GSON5312813011")</f>
        <v>#NAME?</v>
      </c>
      <c r="U2709" s="4" t="e">
        <f ca="1">[1]!BexGetData("DP_1","00O2TNJGODT0G5Z4TTKYMMUX1","GSON5312813011")</f>
        <v>#NAME?</v>
      </c>
      <c r="V2709" s="4" t="e">
        <f ca="1">[1]!BexGetData("DP_1","00O2TNJGODT0G5Z4TTKYMN18L","GSON5312813011")</f>
        <v>#NAME?</v>
      </c>
      <c r="W2709" s="4" t="e">
        <f ca="1">[1]!BexGetData("DP_1","00O2TNJGODT0G5Z4TTKYMN7K5","GSON5312813011")</f>
        <v>#NAME?</v>
      </c>
    </row>
    <row r="2710" spans="1:23" x14ac:dyDescent="0.2">
      <c r="A2710" s="16" t="s">
        <v>5516</v>
      </c>
      <c r="B2710" s="7" t="s">
        <v>1727</v>
      </c>
      <c r="C2710" s="3" t="e">
        <f ca="1">[1]!BexGetData("DP_1","003N8EMH8GTFRCSWKMPXRR8GU","GSON5312813021")</f>
        <v>#NAME?</v>
      </c>
      <c r="D2710" s="3" t="e">
        <f ca="1">[1]!BexGetData("DP_1","003N8EMH8GTFRCSWKMPXRRESE","GSON5312813021")</f>
        <v>#NAME?</v>
      </c>
      <c r="E2710" s="3" t="e">
        <f ca="1">[1]!BexGetData("DP_1","003N8EMH8GTFRCSWKMPXRRL3Y","GSON5312813021")</f>
        <v>#NAME?</v>
      </c>
      <c r="F2710" s="4" t="e">
        <f ca="1">[1]!BexGetData("DP_1","003N8EMH8GTFRCSWKMPXRRRFI","GSON5312813021")</f>
        <v>#NAME?</v>
      </c>
      <c r="G2710" s="4" t="e">
        <f ca="1">[1]!BexGetData("DP_1","003N8EMH8GTFRCSWKMPXRRXR2","GSON5312813021")</f>
        <v>#NAME?</v>
      </c>
      <c r="H2710" s="4" t="e">
        <f ca="1">[1]!BexGetData("DP_1","003N8EMH8GTFRCSWKMPXRS42M","GSON5312813021")</f>
        <v>#NAME?</v>
      </c>
      <c r="I2710" s="4" t="e">
        <f ca="1">[1]!BexGetData("DP_1","003N8EMH8GTFRCSWKMPXRSAE6","GSON5312813021")</f>
        <v>#NAME?</v>
      </c>
      <c r="J2710" s="4" t="e">
        <f ca="1">[1]!BexGetData("DP_1","003N8EMH8GTFRCSWKMPXRSGPQ","GSON5312813021")</f>
        <v>#NAME?</v>
      </c>
      <c r="K2710" s="3" t="e">
        <f ca="1">[1]!BexGetData("DP_1","003N8EMH8GTFRIVNUPY288VJH","GSON5312813021")</f>
        <v>#NAME?</v>
      </c>
      <c r="L2710" s="3" t="e">
        <f ca="1">[1]!BexGetData("DP_1","003N8EMH8GTFRIVNUPY2891V1","GSON5312813021")</f>
        <v>#NAME?</v>
      </c>
      <c r="M2710" s="8" t="e">
        <f ca="1">[1]!BexGetData("DP_1","003N8EMH8GTFRIVOG7KG9IQXA","GSON5312813021")</f>
        <v>#NAME?</v>
      </c>
      <c r="N2710" s="3" t="e">
        <f ca="1">[1]!BexGetData("DP_1","003N8EMH8GTFRIVOG7KG9IX8U","GSON5312813021")</f>
        <v>#NAME?</v>
      </c>
      <c r="O2710" s="8" t="e">
        <f ca="1">[1]!BexGetData("DP_1","003N8EMH8GTFRIVOG7KG9J3KE","GSON5312813021")</f>
        <v>#NAME?</v>
      </c>
      <c r="P2710" s="3" t="e">
        <f ca="1">[1]!BexGetData("DP_1","003N8EMH8GTFRIVOG7KG9J9VY","GSON5312813021")</f>
        <v>#NAME?</v>
      </c>
      <c r="Q2710" s="4" t="e">
        <f ca="1">[1]!BexGetData("DP_1","00O2TNJGODT0G5Z4TTKYMM5MT","GSON5312813021")</f>
        <v>#NAME?</v>
      </c>
      <c r="R2710" s="4" t="e">
        <f ca="1">[1]!BexGetData("DP_1","00O2TNJGODT0G5Z4TTKYMMBYD","GSON5312813021")</f>
        <v>#NAME?</v>
      </c>
      <c r="S2710" s="4" t="e">
        <f ca="1">[1]!BexGetData("DP_1","00O2TNJGODT0G5Z4TTKYMMI9X","GSON5312813021")</f>
        <v>#NAME?</v>
      </c>
      <c r="T2710" s="4" t="e">
        <f ca="1">[1]!BexGetData("DP_1","00O2TNJGODT0G5Z4TTKYMMOLH","GSON5312813021")</f>
        <v>#NAME?</v>
      </c>
      <c r="U2710" s="4" t="e">
        <f ca="1">[1]!BexGetData("DP_1","00O2TNJGODT0G5Z4TTKYMMUX1","GSON5312813021")</f>
        <v>#NAME?</v>
      </c>
      <c r="V2710" s="4" t="e">
        <f ca="1">[1]!BexGetData("DP_1","00O2TNJGODT0G5Z4TTKYMN18L","GSON5312813021")</f>
        <v>#NAME?</v>
      </c>
      <c r="W2710" s="4" t="e">
        <f ca="1">[1]!BexGetData("DP_1","00O2TNJGODT0G5Z4TTKYMN7K5","GSON5312813021")</f>
        <v>#NAME?</v>
      </c>
    </row>
    <row r="2711" spans="1:23" x14ac:dyDescent="0.2">
      <c r="A2711" s="16" t="s">
        <v>5515</v>
      </c>
      <c r="B2711" s="7" t="s">
        <v>1728</v>
      </c>
      <c r="C2711" s="3" t="e">
        <f ca="1">[1]!BexGetData("DP_1","003N8EMH8GTFRCSWKMPXRR8GU","GSON5312813031")</f>
        <v>#NAME?</v>
      </c>
      <c r="D2711" s="3" t="e">
        <f ca="1">[1]!BexGetData("DP_1","003N8EMH8GTFRCSWKMPXRRESE","GSON5312813031")</f>
        <v>#NAME?</v>
      </c>
      <c r="E2711" s="3" t="e">
        <f ca="1">[1]!BexGetData("DP_1","003N8EMH8GTFRCSWKMPXRRL3Y","GSON5312813031")</f>
        <v>#NAME?</v>
      </c>
      <c r="F2711" s="4" t="e">
        <f ca="1">[1]!BexGetData("DP_1","003N8EMH8GTFRCSWKMPXRRRFI","GSON5312813031")</f>
        <v>#NAME?</v>
      </c>
      <c r="G2711" s="4" t="e">
        <f ca="1">[1]!BexGetData("DP_1","003N8EMH8GTFRCSWKMPXRRXR2","GSON5312813031")</f>
        <v>#NAME?</v>
      </c>
      <c r="H2711" s="4" t="e">
        <f ca="1">[1]!BexGetData("DP_1","003N8EMH8GTFRCSWKMPXRS42M","GSON5312813031")</f>
        <v>#NAME?</v>
      </c>
      <c r="I2711" s="4" t="e">
        <f ca="1">[1]!BexGetData("DP_1","003N8EMH8GTFRCSWKMPXRSAE6","GSON5312813031")</f>
        <v>#NAME?</v>
      </c>
      <c r="J2711" s="4" t="e">
        <f ca="1">[1]!BexGetData("DP_1","003N8EMH8GTFRCSWKMPXRSGPQ","GSON5312813031")</f>
        <v>#NAME?</v>
      </c>
      <c r="K2711" s="3" t="e">
        <f ca="1">[1]!BexGetData("DP_1","003N8EMH8GTFRIVNUPY288VJH","GSON5312813031")</f>
        <v>#NAME?</v>
      </c>
      <c r="L2711" s="3" t="e">
        <f ca="1">[1]!BexGetData("DP_1","003N8EMH8GTFRIVNUPY2891V1","GSON5312813031")</f>
        <v>#NAME?</v>
      </c>
      <c r="M2711" s="8" t="e">
        <f ca="1">[1]!BexGetData("DP_1","003N8EMH8GTFRIVOG7KG9IQXA","GSON5312813031")</f>
        <v>#NAME?</v>
      </c>
      <c r="N2711" s="3" t="e">
        <f ca="1">[1]!BexGetData("DP_1","003N8EMH8GTFRIVOG7KG9IX8U","GSON5312813031")</f>
        <v>#NAME?</v>
      </c>
      <c r="O2711" s="8" t="e">
        <f ca="1">[1]!BexGetData("DP_1","003N8EMH8GTFRIVOG7KG9J3KE","GSON5312813031")</f>
        <v>#NAME?</v>
      </c>
      <c r="P2711" s="3" t="e">
        <f ca="1">[1]!BexGetData("DP_1","003N8EMH8GTFRIVOG7KG9J9VY","GSON5312813031")</f>
        <v>#NAME?</v>
      </c>
      <c r="Q2711" s="4" t="e">
        <f ca="1">[1]!BexGetData("DP_1","00O2TNJGODT0G5Z4TTKYMM5MT","GSON5312813031")</f>
        <v>#NAME?</v>
      </c>
      <c r="R2711" s="4" t="e">
        <f ca="1">[1]!BexGetData("DP_1","00O2TNJGODT0G5Z4TTKYMMBYD","GSON5312813031")</f>
        <v>#NAME?</v>
      </c>
      <c r="S2711" s="4" t="e">
        <f ca="1">[1]!BexGetData("DP_1","00O2TNJGODT0G5Z4TTKYMMI9X","GSON5312813031")</f>
        <v>#NAME?</v>
      </c>
      <c r="T2711" s="4" t="e">
        <f ca="1">[1]!BexGetData("DP_1","00O2TNJGODT0G5Z4TTKYMMOLH","GSON5312813031")</f>
        <v>#NAME?</v>
      </c>
      <c r="U2711" s="4" t="e">
        <f ca="1">[1]!BexGetData("DP_1","00O2TNJGODT0G5Z4TTKYMMUX1","GSON5312813031")</f>
        <v>#NAME?</v>
      </c>
      <c r="V2711" s="4" t="e">
        <f ca="1">[1]!BexGetData("DP_1","00O2TNJGODT0G5Z4TTKYMN18L","GSON5312813031")</f>
        <v>#NAME?</v>
      </c>
      <c r="W2711" s="4" t="e">
        <f ca="1">[1]!BexGetData("DP_1","00O2TNJGODT0G5Z4TTKYMN7K5","GSON5312813031")</f>
        <v>#NAME?</v>
      </c>
    </row>
    <row r="2712" spans="1:23" x14ac:dyDescent="0.2">
      <c r="A2712" s="16" t="s">
        <v>5517</v>
      </c>
      <c r="B2712" s="7" t="s">
        <v>1729</v>
      </c>
      <c r="C2712" s="3" t="e">
        <f ca="1">[1]!BexGetData("DP_1","003N8EMH8GTFRCSWKMPXRR8GU","GSON5312813041")</f>
        <v>#NAME?</v>
      </c>
      <c r="D2712" s="3" t="e">
        <f ca="1">[1]!BexGetData("DP_1","003N8EMH8GTFRCSWKMPXRRESE","GSON5312813041")</f>
        <v>#NAME?</v>
      </c>
      <c r="E2712" s="3" t="e">
        <f ca="1">[1]!BexGetData("DP_1","003N8EMH8GTFRCSWKMPXRRL3Y","GSON5312813041")</f>
        <v>#NAME?</v>
      </c>
      <c r="F2712" s="4" t="e">
        <f ca="1">[1]!BexGetData("DP_1","003N8EMH8GTFRCSWKMPXRRRFI","GSON5312813041")</f>
        <v>#NAME?</v>
      </c>
      <c r="G2712" s="4" t="e">
        <f ca="1">[1]!BexGetData("DP_1","003N8EMH8GTFRCSWKMPXRRXR2","GSON5312813041")</f>
        <v>#NAME?</v>
      </c>
      <c r="H2712" s="4" t="e">
        <f ca="1">[1]!BexGetData("DP_1","003N8EMH8GTFRCSWKMPXRS42M","GSON5312813041")</f>
        <v>#NAME?</v>
      </c>
      <c r="I2712" s="4" t="e">
        <f ca="1">[1]!BexGetData("DP_1","003N8EMH8GTFRCSWKMPXRSAE6","GSON5312813041")</f>
        <v>#NAME?</v>
      </c>
      <c r="J2712" s="4" t="e">
        <f ca="1">[1]!BexGetData("DP_1","003N8EMH8GTFRCSWKMPXRSGPQ","GSON5312813041")</f>
        <v>#NAME?</v>
      </c>
      <c r="K2712" s="3" t="e">
        <f ca="1">[1]!BexGetData("DP_1","003N8EMH8GTFRIVNUPY288VJH","GSON5312813041")</f>
        <v>#NAME?</v>
      </c>
      <c r="L2712" s="3" t="e">
        <f ca="1">[1]!BexGetData("DP_1","003N8EMH8GTFRIVNUPY2891V1","GSON5312813041")</f>
        <v>#NAME?</v>
      </c>
      <c r="M2712" s="8" t="e">
        <f ca="1">[1]!BexGetData("DP_1","003N8EMH8GTFRIVOG7KG9IQXA","GSON5312813041")</f>
        <v>#NAME?</v>
      </c>
      <c r="N2712" s="3" t="e">
        <f ca="1">[1]!BexGetData("DP_1","003N8EMH8GTFRIVOG7KG9IX8U","GSON5312813041")</f>
        <v>#NAME?</v>
      </c>
      <c r="O2712" s="8" t="e">
        <f ca="1">[1]!BexGetData("DP_1","003N8EMH8GTFRIVOG7KG9J3KE","GSON5312813041")</f>
        <v>#NAME?</v>
      </c>
      <c r="P2712" s="3" t="e">
        <f ca="1">[1]!BexGetData("DP_1","003N8EMH8GTFRIVOG7KG9J9VY","GSON5312813041")</f>
        <v>#NAME?</v>
      </c>
      <c r="Q2712" s="4" t="e">
        <f ca="1">[1]!BexGetData("DP_1","00O2TNJGODT0G5Z4TTKYMM5MT","GSON5312813041")</f>
        <v>#NAME?</v>
      </c>
      <c r="R2712" s="4" t="e">
        <f ca="1">[1]!BexGetData("DP_1","00O2TNJGODT0G5Z4TTKYMMBYD","GSON5312813041")</f>
        <v>#NAME?</v>
      </c>
      <c r="S2712" s="4" t="e">
        <f ca="1">[1]!BexGetData("DP_1","00O2TNJGODT0G5Z4TTKYMMI9X","GSON5312813041")</f>
        <v>#NAME?</v>
      </c>
      <c r="T2712" s="4" t="e">
        <f ca="1">[1]!BexGetData("DP_1","00O2TNJGODT0G5Z4TTKYMMOLH","GSON5312813041")</f>
        <v>#NAME?</v>
      </c>
      <c r="U2712" s="4" t="e">
        <f ca="1">[1]!BexGetData("DP_1","00O2TNJGODT0G5Z4TTKYMMUX1","GSON5312813041")</f>
        <v>#NAME?</v>
      </c>
      <c r="V2712" s="4" t="e">
        <f ca="1">[1]!BexGetData("DP_1","00O2TNJGODT0G5Z4TTKYMN18L","GSON5312813041")</f>
        <v>#NAME?</v>
      </c>
      <c r="W2712" s="4" t="e">
        <f ca="1">[1]!BexGetData("DP_1","00O2TNJGODT0G5Z4TTKYMN7K5","GSON5312813041")</f>
        <v>#NAME?</v>
      </c>
    </row>
    <row r="2713" spans="1:23" x14ac:dyDescent="0.2">
      <c r="A2713" s="16" t="s">
        <v>5518</v>
      </c>
      <c r="B2713" s="7" t="s">
        <v>1730</v>
      </c>
      <c r="C2713" s="3" t="e">
        <f ca="1">[1]!BexGetData("DP_1","003N8EMH8GTFRCSWKMPXRR8GU","GSON5312813051")</f>
        <v>#NAME?</v>
      </c>
      <c r="D2713" s="3" t="e">
        <f ca="1">[1]!BexGetData("DP_1","003N8EMH8GTFRCSWKMPXRRESE","GSON5312813051")</f>
        <v>#NAME?</v>
      </c>
      <c r="E2713" s="3" t="e">
        <f ca="1">[1]!BexGetData("DP_1","003N8EMH8GTFRCSWKMPXRRL3Y","GSON5312813051")</f>
        <v>#NAME?</v>
      </c>
      <c r="F2713" s="4" t="e">
        <f ca="1">[1]!BexGetData("DP_1","003N8EMH8GTFRCSWKMPXRRRFI","GSON5312813051")</f>
        <v>#NAME?</v>
      </c>
      <c r="G2713" s="4" t="e">
        <f ca="1">[1]!BexGetData("DP_1","003N8EMH8GTFRCSWKMPXRRXR2","GSON5312813051")</f>
        <v>#NAME?</v>
      </c>
      <c r="H2713" s="4" t="e">
        <f ca="1">[1]!BexGetData("DP_1","003N8EMH8GTFRCSWKMPXRS42M","GSON5312813051")</f>
        <v>#NAME?</v>
      </c>
      <c r="I2713" s="4" t="e">
        <f ca="1">[1]!BexGetData("DP_1","003N8EMH8GTFRCSWKMPXRSAE6","GSON5312813051")</f>
        <v>#NAME?</v>
      </c>
      <c r="J2713" s="4" t="e">
        <f ca="1">[1]!BexGetData("DP_1","003N8EMH8GTFRCSWKMPXRSGPQ","GSON5312813051")</f>
        <v>#NAME?</v>
      </c>
      <c r="K2713" s="3" t="e">
        <f ca="1">[1]!BexGetData("DP_1","003N8EMH8GTFRIVNUPY288VJH","GSON5312813051")</f>
        <v>#NAME?</v>
      </c>
      <c r="L2713" s="3" t="e">
        <f ca="1">[1]!BexGetData("DP_1","003N8EMH8GTFRIVNUPY2891V1","GSON5312813051")</f>
        <v>#NAME?</v>
      </c>
      <c r="M2713" s="8" t="e">
        <f ca="1">[1]!BexGetData("DP_1","003N8EMH8GTFRIVOG7KG9IQXA","GSON5312813051")</f>
        <v>#NAME?</v>
      </c>
      <c r="N2713" s="3" t="e">
        <f ca="1">[1]!BexGetData("DP_1","003N8EMH8GTFRIVOG7KG9IX8U","GSON5312813051")</f>
        <v>#NAME?</v>
      </c>
      <c r="O2713" s="8" t="e">
        <f ca="1">[1]!BexGetData("DP_1","003N8EMH8GTFRIVOG7KG9J3KE","GSON5312813051")</f>
        <v>#NAME?</v>
      </c>
      <c r="P2713" s="3" t="e">
        <f ca="1">[1]!BexGetData("DP_1","003N8EMH8GTFRIVOG7KG9J9VY","GSON5312813051")</f>
        <v>#NAME?</v>
      </c>
      <c r="Q2713" s="4" t="e">
        <f ca="1">[1]!BexGetData("DP_1","00O2TNJGODT0G5Z4TTKYMM5MT","GSON5312813051")</f>
        <v>#NAME?</v>
      </c>
      <c r="R2713" s="4" t="e">
        <f ca="1">[1]!BexGetData("DP_1","00O2TNJGODT0G5Z4TTKYMMBYD","GSON5312813051")</f>
        <v>#NAME?</v>
      </c>
      <c r="S2713" s="4" t="e">
        <f ca="1">[1]!BexGetData("DP_1","00O2TNJGODT0G5Z4TTKYMMI9X","GSON5312813051")</f>
        <v>#NAME?</v>
      </c>
      <c r="T2713" s="4" t="e">
        <f ca="1">[1]!BexGetData("DP_1","00O2TNJGODT0G5Z4TTKYMMOLH","GSON5312813051")</f>
        <v>#NAME?</v>
      </c>
      <c r="U2713" s="4" t="e">
        <f ca="1">[1]!BexGetData("DP_1","00O2TNJGODT0G5Z4TTKYMMUX1","GSON5312813051")</f>
        <v>#NAME?</v>
      </c>
      <c r="V2713" s="4" t="e">
        <f ca="1">[1]!BexGetData("DP_1","00O2TNJGODT0G5Z4TTKYMN18L","GSON5312813051")</f>
        <v>#NAME?</v>
      </c>
      <c r="W2713" s="4" t="e">
        <f ca="1">[1]!BexGetData("DP_1","00O2TNJGODT0G5Z4TTKYMN7K5","GSON5312813051")</f>
        <v>#NAME?</v>
      </c>
    </row>
    <row r="2714" spans="1:23" x14ac:dyDescent="0.2">
      <c r="A2714" s="16" t="s">
        <v>5519</v>
      </c>
      <c r="B2714" s="7" t="s">
        <v>5520</v>
      </c>
      <c r="C2714" s="3" t="e">
        <f ca="1">[1]!BexGetData("DP_1","003N8EMH8GTFRCSWKMPXRR8GU","GSON5312813061")</f>
        <v>#NAME?</v>
      </c>
      <c r="D2714" s="3" t="e">
        <f ca="1">[1]!BexGetData("DP_1","003N8EMH8GTFRCSWKMPXRRESE","GSON5312813061")</f>
        <v>#NAME?</v>
      </c>
      <c r="E2714" s="3" t="e">
        <f ca="1">[1]!BexGetData("DP_1","003N8EMH8GTFRCSWKMPXRRL3Y","GSON5312813061")</f>
        <v>#NAME?</v>
      </c>
      <c r="F2714" s="4" t="e">
        <f ca="1">[1]!BexGetData("DP_1","003N8EMH8GTFRCSWKMPXRRRFI","GSON5312813061")</f>
        <v>#NAME?</v>
      </c>
      <c r="G2714" s="4" t="e">
        <f ca="1">[1]!BexGetData("DP_1","003N8EMH8GTFRCSWKMPXRRXR2","GSON5312813061")</f>
        <v>#NAME?</v>
      </c>
      <c r="H2714" s="4" t="e">
        <f ca="1">[1]!BexGetData("DP_1","003N8EMH8GTFRCSWKMPXRS42M","GSON5312813061")</f>
        <v>#NAME?</v>
      </c>
      <c r="I2714" s="4" t="e">
        <f ca="1">[1]!BexGetData("DP_1","003N8EMH8GTFRCSWKMPXRSAE6","GSON5312813061")</f>
        <v>#NAME?</v>
      </c>
      <c r="J2714" s="4" t="e">
        <f ca="1">[1]!BexGetData("DP_1","003N8EMH8GTFRCSWKMPXRSGPQ","GSON5312813061")</f>
        <v>#NAME?</v>
      </c>
      <c r="K2714" s="3" t="e">
        <f ca="1">[1]!BexGetData("DP_1","003N8EMH8GTFRIVNUPY288VJH","GSON5312813061")</f>
        <v>#NAME?</v>
      </c>
      <c r="L2714" s="3" t="e">
        <f ca="1">[1]!BexGetData("DP_1","003N8EMH8GTFRIVNUPY2891V1","GSON5312813061")</f>
        <v>#NAME?</v>
      </c>
      <c r="M2714" s="8" t="e">
        <f ca="1">[1]!BexGetData("DP_1","003N8EMH8GTFRIVOG7KG9IQXA","GSON5312813061")</f>
        <v>#NAME?</v>
      </c>
      <c r="N2714" s="3" t="e">
        <f ca="1">[1]!BexGetData("DP_1","003N8EMH8GTFRIVOG7KG9IX8U","GSON5312813061")</f>
        <v>#NAME?</v>
      </c>
      <c r="O2714" s="8" t="e">
        <f ca="1">[1]!BexGetData("DP_1","003N8EMH8GTFRIVOG7KG9J3KE","GSON5312813061")</f>
        <v>#NAME?</v>
      </c>
      <c r="P2714" s="3" t="e">
        <f ca="1">[1]!BexGetData("DP_1","003N8EMH8GTFRIVOG7KG9J9VY","GSON5312813061")</f>
        <v>#NAME?</v>
      </c>
      <c r="Q2714" s="4" t="e">
        <f ca="1">[1]!BexGetData("DP_1","00O2TNJGODT0G5Z4TTKYMM5MT","GSON5312813061")</f>
        <v>#NAME?</v>
      </c>
      <c r="R2714" s="4" t="e">
        <f ca="1">[1]!BexGetData("DP_1","00O2TNJGODT0G5Z4TTKYMMBYD","GSON5312813061")</f>
        <v>#NAME?</v>
      </c>
      <c r="S2714" s="4" t="e">
        <f ca="1">[1]!BexGetData("DP_1","00O2TNJGODT0G5Z4TTKYMMI9X","GSON5312813061")</f>
        <v>#NAME?</v>
      </c>
      <c r="T2714" s="4" t="e">
        <f ca="1">[1]!BexGetData("DP_1","00O2TNJGODT0G5Z4TTKYMMOLH","GSON5312813061")</f>
        <v>#NAME?</v>
      </c>
      <c r="U2714" s="4" t="e">
        <f ca="1">[1]!BexGetData("DP_1","00O2TNJGODT0G5Z4TTKYMMUX1","GSON5312813061")</f>
        <v>#NAME?</v>
      </c>
      <c r="V2714" s="4" t="e">
        <f ca="1">[1]!BexGetData("DP_1","00O2TNJGODT0G5Z4TTKYMN18L","GSON5312813061")</f>
        <v>#NAME?</v>
      </c>
      <c r="W2714" s="4" t="e">
        <f ca="1">[1]!BexGetData("DP_1","00O2TNJGODT0G5Z4TTKYMN7K5","GSON5312813061")</f>
        <v>#NAME?</v>
      </c>
    </row>
    <row r="2715" spans="1:23" x14ac:dyDescent="0.2">
      <c r="A2715" s="14" t="s">
        <v>27</v>
      </c>
      <c r="B2715" s="7" t="s">
        <v>5521</v>
      </c>
      <c r="C2715" s="3" t="e">
        <f ca="1">[1]!BexGetData("DP_1","003N8EMH8GTFRCSWKMPXRR8GU","GSON532")</f>
        <v>#NAME?</v>
      </c>
      <c r="D2715" s="3" t="e">
        <f ca="1">[1]!BexGetData("DP_1","003N8EMH8GTFRCSWKMPXRRESE","GSON532")</f>
        <v>#NAME?</v>
      </c>
      <c r="E2715" s="3" t="e">
        <f ca="1">[1]!BexGetData("DP_1","003N8EMH8GTFRCSWKMPXRRL3Y","GSON532")</f>
        <v>#NAME?</v>
      </c>
      <c r="F2715" s="4" t="e">
        <f ca="1">[1]!BexGetData("DP_1","003N8EMH8GTFRCSWKMPXRRRFI","GSON532")</f>
        <v>#NAME?</v>
      </c>
      <c r="G2715" s="4" t="e">
        <f ca="1">[1]!BexGetData("DP_1","003N8EMH8GTFRCSWKMPXRRXR2","GSON532")</f>
        <v>#NAME?</v>
      </c>
      <c r="H2715" s="4" t="e">
        <f ca="1">[1]!BexGetData("DP_1","003N8EMH8GTFRCSWKMPXRS42M","GSON532")</f>
        <v>#NAME?</v>
      </c>
      <c r="I2715" s="4" t="e">
        <f ca="1">[1]!BexGetData("DP_1","003N8EMH8GTFRCSWKMPXRSAE6","GSON532")</f>
        <v>#NAME?</v>
      </c>
      <c r="J2715" s="4" t="e">
        <f ca="1">[1]!BexGetData("DP_1","003N8EMH8GTFRCSWKMPXRSGPQ","GSON532")</f>
        <v>#NAME?</v>
      </c>
      <c r="K2715" s="3" t="e">
        <f ca="1">[1]!BexGetData("DP_1","003N8EMH8GTFRIVNUPY288VJH","GSON532")</f>
        <v>#NAME?</v>
      </c>
      <c r="L2715" s="3" t="e">
        <f ca="1">[1]!BexGetData("DP_1","003N8EMH8GTFRIVNUPY2891V1","GSON532")</f>
        <v>#NAME?</v>
      </c>
      <c r="M2715" s="8" t="e">
        <f ca="1">[1]!BexGetData("DP_1","003N8EMH8GTFRIVOG7KG9IQXA","GSON532")</f>
        <v>#NAME?</v>
      </c>
      <c r="N2715" s="3" t="e">
        <f ca="1">[1]!BexGetData("DP_1","003N8EMH8GTFRIVOG7KG9IX8U","GSON532")</f>
        <v>#NAME?</v>
      </c>
      <c r="O2715" s="8" t="e">
        <f ca="1">[1]!BexGetData("DP_1","003N8EMH8GTFRIVOG7KG9J3KE","GSON532")</f>
        <v>#NAME?</v>
      </c>
      <c r="P2715" s="3" t="e">
        <f ca="1">[1]!BexGetData("DP_1","003N8EMH8GTFRIVOG7KG9J9VY","GSON532")</f>
        <v>#NAME?</v>
      </c>
      <c r="Q2715" s="4" t="e">
        <f ca="1">[1]!BexGetData("DP_1","00O2TNJGODT0G5Z4TTKYMM5MT","GSON532")</f>
        <v>#NAME?</v>
      </c>
      <c r="R2715" s="4" t="e">
        <f ca="1">[1]!BexGetData("DP_1","00O2TNJGODT0G5Z4TTKYMMBYD","GSON532")</f>
        <v>#NAME?</v>
      </c>
      <c r="S2715" s="4" t="e">
        <f ca="1">[1]!BexGetData("DP_1","00O2TNJGODT0G5Z4TTKYMMI9X","GSON532")</f>
        <v>#NAME?</v>
      </c>
      <c r="T2715" s="4" t="e">
        <f ca="1">[1]!BexGetData("DP_1","00O2TNJGODT0G5Z4TTKYMMOLH","GSON532")</f>
        <v>#NAME?</v>
      </c>
      <c r="U2715" s="4" t="e">
        <f ca="1">[1]!BexGetData("DP_1","00O2TNJGODT0G5Z4TTKYMMUX1","GSON532")</f>
        <v>#NAME?</v>
      </c>
      <c r="V2715" s="4" t="e">
        <f ca="1">[1]!BexGetData("DP_1","00O2TNJGODT0G5Z4TTKYMN18L","GSON532")</f>
        <v>#NAME?</v>
      </c>
      <c r="W2715" s="4" t="e">
        <f ca="1">[1]!BexGetData("DP_1","00O2TNJGODT0G5Z4TTKYMN7K5","GSON532")</f>
        <v>#NAME?</v>
      </c>
    </row>
    <row r="2716" spans="1:23" x14ac:dyDescent="0.2">
      <c r="A2716" s="15" t="s">
        <v>5522</v>
      </c>
      <c r="B2716" s="7" t="s">
        <v>5523</v>
      </c>
      <c r="C2716" s="3" t="e">
        <f ca="1">[1]!BexGetData("DP_1","003N8EMH8GTFRCSWKMPXRR8GU","GSON5321")</f>
        <v>#NAME?</v>
      </c>
      <c r="D2716" s="3" t="e">
        <f ca="1">[1]!BexGetData("DP_1","003N8EMH8GTFRCSWKMPXRRESE","GSON5321")</f>
        <v>#NAME?</v>
      </c>
      <c r="E2716" s="3" t="e">
        <f ca="1">[1]!BexGetData("DP_1","003N8EMH8GTFRCSWKMPXRRL3Y","GSON5321")</f>
        <v>#NAME?</v>
      </c>
      <c r="F2716" s="4" t="e">
        <f ca="1">[1]!BexGetData("DP_1","003N8EMH8GTFRCSWKMPXRRRFI","GSON5321")</f>
        <v>#NAME?</v>
      </c>
      <c r="G2716" s="4" t="e">
        <f ca="1">[1]!BexGetData("DP_1","003N8EMH8GTFRCSWKMPXRRXR2","GSON5321")</f>
        <v>#NAME?</v>
      </c>
      <c r="H2716" s="4" t="e">
        <f ca="1">[1]!BexGetData("DP_1","003N8EMH8GTFRCSWKMPXRS42M","GSON5321")</f>
        <v>#NAME?</v>
      </c>
      <c r="I2716" s="4" t="e">
        <f ca="1">[1]!BexGetData("DP_1","003N8EMH8GTFRCSWKMPXRSAE6","GSON5321")</f>
        <v>#NAME?</v>
      </c>
      <c r="J2716" s="4" t="e">
        <f ca="1">[1]!BexGetData("DP_1","003N8EMH8GTFRCSWKMPXRSGPQ","GSON5321")</f>
        <v>#NAME?</v>
      </c>
      <c r="K2716" s="3" t="e">
        <f ca="1">[1]!BexGetData("DP_1","003N8EMH8GTFRIVNUPY288VJH","GSON5321")</f>
        <v>#NAME?</v>
      </c>
      <c r="L2716" s="3" t="e">
        <f ca="1">[1]!BexGetData("DP_1","003N8EMH8GTFRIVNUPY2891V1","GSON5321")</f>
        <v>#NAME?</v>
      </c>
      <c r="M2716" s="8" t="e">
        <f ca="1">[1]!BexGetData("DP_1","003N8EMH8GTFRIVOG7KG9IQXA","GSON5321")</f>
        <v>#NAME?</v>
      </c>
      <c r="N2716" s="3" t="e">
        <f ca="1">[1]!BexGetData("DP_1","003N8EMH8GTFRIVOG7KG9IX8U","GSON5321")</f>
        <v>#NAME?</v>
      </c>
      <c r="O2716" s="8" t="e">
        <f ca="1">[1]!BexGetData("DP_1","003N8EMH8GTFRIVOG7KG9J3KE","GSON5321")</f>
        <v>#NAME?</v>
      </c>
      <c r="P2716" s="3" t="e">
        <f ca="1">[1]!BexGetData("DP_1","003N8EMH8GTFRIVOG7KG9J9VY","GSON5321")</f>
        <v>#NAME?</v>
      </c>
      <c r="Q2716" s="4" t="e">
        <f ca="1">[1]!BexGetData("DP_1","00O2TNJGODT0G5Z4TTKYMM5MT","GSON5321")</f>
        <v>#NAME?</v>
      </c>
      <c r="R2716" s="4" t="e">
        <f ca="1">[1]!BexGetData("DP_1","00O2TNJGODT0G5Z4TTKYMMBYD","GSON5321")</f>
        <v>#NAME?</v>
      </c>
      <c r="S2716" s="4" t="e">
        <f ca="1">[1]!BexGetData("DP_1","00O2TNJGODT0G5Z4TTKYMMI9X","GSON5321")</f>
        <v>#NAME?</v>
      </c>
      <c r="T2716" s="4" t="e">
        <f ca="1">[1]!BexGetData("DP_1","00O2TNJGODT0G5Z4TTKYMMOLH","GSON5321")</f>
        <v>#NAME?</v>
      </c>
      <c r="U2716" s="4" t="e">
        <f ca="1">[1]!BexGetData("DP_1","00O2TNJGODT0G5Z4TTKYMMUX1","GSON5321")</f>
        <v>#NAME?</v>
      </c>
      <c r="V2716" s="4" t="e">
        <f ca="1">[1]!BexGetData("DP_1","00O2TNJGODT0G5Z4TTKYMN18L","GSON5321")</f>
        <v>#NAME?</v>
      </c>
      <c r="W2716" s="4" t="e">
        <f ca="1">[1]!BexGetData("DP_1","00O2TNJGODT0G5Z4TTKYMN7K5","GSON5321")</f>
        <v>#NAME?</v>
      </c>
    </row>
    <row r="2717" spans="1:23" x14ac:dyDescent="0.2">
      <c r="A2717" s="16" t="s">
        <v>5524</v>
      </c>
      <c r="B2717" s="7" t="s">
        <v>5525</v>
      </c>
      <c r="C2717" s="3" t="e">
        <f ca="1">[1]!BexGetData("DP_1","003N8EMH8GTFRCSWKMPXRR8GU","GSON5321832011")</f>
        <v>#NAME?</v>
      </c>
      <c r="D2717" s="3" t="e">
        <f ca="1">[1]!BexGetData("DP_1","003N8EMH8GTFRCSWKMPXRRESE","GSON5321832011")</f>
        <v>#NAME?</v>
      </c>
      <c r="E2717" s="3" t="e">
        <f ca="1">[1]!BexGetData("DP_1","003N8EMH8GTFRCSWKMPXRRL3Y","GSON5321832011")</f>
        <v>#NAME?</v>
      </c>
      <c r="F2717" s="4" t="e">
        <f ca="1">[1]!BexGetData("DP_1","003N8EMH8GTFRCSWKMPXRRRFI","GSON5321832011")</f>
        <v>#NAME?</v>
      </c>
      <c r="G2717" s="4" t="e">
        <f ca="1">[1]!BexGetData("DP_1","003N8EMH8GTFRCSWKMPXRRXR2","GSON5321832011")</f>
        <v>#NAME?</v>
      </c>
      <c r="H2717" s="4" t="e">
        <f ca="1">[1]!BexGetData("DP_1","003N8EMH8GTFRCSWKMPXRS42M","GSON5321832011")</f>
        <v>#NAME?</v>
      </c>
      <c r="I2717" s="4" t="e">
        <f ca="1">[1]!BexGetData("DP_1","003N8EMH8GTFRCSWKMPXRSAE6","GSON5321832011")</f>
        <v>#NAME?</v>
      </c>
      <c r="J2717" s="4" t="e">
        <f ca="1">[1]!BexGetData("DP_1","003N8EMH8GTFRCSWKMPXRSGPQ","GSON5321832011")</f>
        <v>#NAME?</v>
      </c>
      <c r="K2717" s="3" t="e">
        <f ca="1">[1]!BexGetData("DP_1","003N8EMH8GTFRIVNUPY288VJH","GSON5321832011")</f>
        <v>#NAME?</v>
      </c>
      <c r="L2717" s="3" t="e">
        <f ca="1">[1]!BexGetData("DP_1","003N8EMH8GTFRIVNUPY2891V1","GSON5321832011")</f>
        <v>#NAME?</v>
      </c>
      <c r="M2717" s="8" t="e">
        <f ca="1">[1]!BexGetData("DP_1","003N8EMH8GTFRIVOG7KG9IQXA","GSON5321832011")</f>
        <v>#NAME?</v>
      </c>
      <c r="N2717" s="3" t="e">
        <f ca="1">[1]!BexGetData("DP_1","003N8EMH8GTFRIVOG7KG9IX8U","GSON5321832011")</f>
        <v>#NAME?</v>
      </c>
      <c r="O2717" s="8" t="e">
        <f ca="1">[1]!BexGetData("DP_1","003N8EMH8GTFRIVOG7KG9J3KE","GSON5321832011")</f>
        <v>#NAME?</v>
      </c>
      <c r="P2717" s="3" t="e">
        <f ca="1">[1]!BexGetData("DP_1","003N8EMH8GTFRIVOG7KG9J9VY","GSON5321832011")</f>
        <v>#NAME?</v>
      </c>
      <c r="Q2717" s="4" t="e">
        <f ca="1">[1]!BexGetData("DP_1","00O2TNJGODT0G5Z4TTKYMM5MT","GSON5321832011")</f>
        <v>#NAME?</v>
      </c>
      <c r="R2717" s="4" t="e">
        <f ca="1">[1]!BexGetData("DP_1","00O2TNJGODT0G5Z4TTKYMMBYD","GSON5321832011")</f>
        <v>#NAME?</v>
      </c>
      <c r="S2717" s="4" t="e">
        <f ca="1">[1]!BexGetData("DP_1","00O2TNJGODT0G5Z4TTKYMMI9X","GSON5321832011")</f>
        <v>#NAME?</v>
      </c>
      <c r="T2717" s="4" t="e">
        <f ca="1">[1]!BexGetData("DP_1","00O2TNJGODT0G5Z4TTKYMMOLH","GSON5321832011")</f>
        <v>#NAME?</v>
      </c>
      <c r="U2717" s="4" t="e">
        <f ca="1">[1]!BexGetData("DP_1","00O2TNJGODT0G5Z4TTKYMMUX1","GSON5321832011")</f>
        <v>#NAME?</v>
      </c>
      <c r="V2717" s="4" t="e">
        <f ca="1">[1]!BexGetData("DP_1","00O2TNJGODT0G5Z4TTKYMN18L","GSON5321832011")</f>
        <v>#NAME?</v>
      </c>
      <c r="W2717" s="4" t="e">
        <f ca="1">[1]!BexGetData("DP_1","00O2TNJGODT0G5Z4TTKYMN7K5","GSON5321832011")</f>
        <v>#NAME?</v>
      </c>
    </row>
    <row r="2718" spans="1:23" x14ac:dyDescent="0.2">
      <c r="A2718" s="16" t="s">
        <v>5524</v>
      </c>
      <c r="B2718" s="7" t="s">
        <v>5526</v>
      </c>
      <c r="C2718" s="3" t="e">
        <f ca="1">[1]!BexGetData("DP_1","003N8EMH8GTFRCSWKMPXRR8GU","GSON5321832021")</f>
        <v>#NAME?</v>
      </c>
      <c r="D2718" s="8" t="e">
        <f ca="1">[1]!BexGetData("DP_1","003N8EMH8GTFRCSWKMPXRRESE","GSON5321832021")</f>
        <v>#NAME?</v>
      </c>
      <c r="E2718" s="3" t="e">
        <f ca="1">[1]!BexGetData("DP_1","003N8EMH8GTFRCSWKMPXRRL3Y","GSON5321832021")</f>
        <v>#NAME?</v>
      </c>
      <c r="F2718" s="4" t="e">
        <f ca="1">[1]!BexGetData("DP_1","003N8EMH8GTFRCSWKMPXRRRFI","GSON5321832021")</f>
        <v>#NAME?</v>
      </c>
      <c r="G2718" s="4" t="e">
        <f ca="1">[1]!BexGetData("DP_1","003N8EMH8GTFRCSWKMPXRRXR2","GSON5321832021")</f>
        <v>#NAME?</v>
      </c>
      <c r="H2718" s="4" t="e">
        <f ca="1">[1]!BexGetData("DP_1","003N8EMH8GTFRCSWKMPXRS42M","GSON5321832021")</f>
        <v>#NAME?</v>
      </c>
      <c r="I2718" s="4" t="e">
        <f ca="1">[1]!BexGetData("DP_1","003N8EMH8GTFRCSWKMPXRSAE6","GSON5321832021")</f>
        <v>#NAME?</v>
      </c>
      <c r="J2718" s="4" t="e">
        <f ca="1">[1]!BexGetData("DP_1","003N8EMH8GTFRCSWKMPXRSGPQ","GSON5321832021")</f>
        <v>#NAME?</v>
      </c>
      <c r="K2718" s="3" t="e">
        <f ca="1">[1]!BexGetData("DP_1","003N8EMH8GTFRIVNUPY288VJH","GSON5321832021")</f>
        <v>#NAME?</v>
      </c>
      <c r="L2718" s="3" t="e">
        <f ca="1">[1]!BexGetData("DP_1","003N8EMH8GTFRIVNUPY2891V1","GSON5321832021")</f>
        <v>#NAME?</v>
      </c>
      <c r="M2718" s="8" t="e">
        <f ca="1">[1]!BexGetData("DP_1","003N8EMH8GTFRIVOG7KG9IQXA","GSON5321832021")</f>
        <v>#NAME?</v>
      </c>
      <c r="N2718" s="3" t="e">
        <f ca="1">[1]!BexGetData("DP_1","003N8EMH8GTFRIVOG7KG9IX8U","GSON5321832021")</f>
        <v>#NAME?</v>
      </c>
      <c r="O2718" s="8" t="e">
        <f ca="1">[1]!BexGetData("DP_1","003N8EMH8GTFRIVOG7KG9J3KE","GSON5321832021")</f>
        <v>#NAME?</v>
      </c>
      <c r="P2718" s="3" t="e">
        <f ca="1">[1]!BexGetData("DP_1","003N8EMH8GTFRIVOG7KG9J9VY","GSON5321832021")</f>
        <v>#NAME?</v>
      </c>
      <c r="Q2718" s="4" t="e">
        <f ca="1">[1]!BexGetData("DP_1","00O2TNJGODT0G5Z4TTKYMM5MT","GSON5321832021")</f>
        <v>#NAME?</v>
      </c>
      <c r="R2718" s="4" t="e">
        <f ca="1">[1]!BexGetData("DP_1","00O2TNJGODT0G5Z4TTKYMMBYD","GSON5321832021")</f>
        <v>#NAME?</v>
      </c>
      <c r="S2718" s="4" t="e">
        <f ca="1">[1]!BexGetData("DP_1","00O2TNJGODT0G5Z4TTKYMMI9X","GSON5321832021")</f>
        <v>#NAME?</v>
      </c>
      <c r="T2718" s="4" t="e">
        <f ca="1">[1]!BexGetData("DP_1","00O2TNJGODT0G5Z4TTKYMMOLH","GSON5321832021")</f>
        <v>#NAME?</v>
      </c>
      <c r="U2718" s="4" t="e">
        <f ca="1">[1]!BexGetData("DP_1","00O2TNJGODT0G5Z4TTKYMMUX1","GSON5321832021")</f>
        <v>#NAME?</v>
      </c>
      <c r="V2718" s="4" t="e">
        <f ca="1">[1]!BexGetData("DP_1","00O2TNJGODT0G5Z4TTKYMN18L","GSON5321832021")</f>
        <v>#NAME?</v>
      </c>
      <c r="W2718" s="4" t="e">
        <f ca="1">[1]!BexGetData("DP_1","00O2TNJGODT0G5Z4TTKYMN7K5","GSON5321832021")</f>
        <v>#NAME?</v>
      </c>
    </row>
    <row r="2719" spans="1:23" x14ac:dyDescent="0.2">
      <c r="A2719" s="16" t="s">
        <v>5527</v>
      </c>
      <c r="B2719" s="7" t="s">
        <v>5528</v>
      </c>
      <c r="C2719" s="3" t="e">
        <f ca="1">[1]!BexGetData("DP_1","003N8EMH8GTFRCSWKMPXRR8GU","GSON5321835011")</f>
        <v>#NAME?</v>
      </c>
      <c r="D2719" s="8" t="e">
        <f ca="1">[1]!BexGetData("DP_1","003N8EMH8GTFRCSWKMPXRRESE","GSON5321835011")</f>
        <v>#NAME?</v>
      </c>
      <c r="E2719" s="3" t="e">
        <f ca="1">[1]!BexGetData("DP_1","003N8EMH8GTFRCSWKMPXRRL3Y","GSON5321835011")</f>
        <v>#NAME?</v>
      </c>
      <c r="F2719" s="4" t="e">
        <f ca="1">[1]!BexGetData("DP_1","003N8EMH8GTFRCSWKMPXRRRFI","GSON5321835011")</f>
        <v>#NAME?</v>
      </c>
      <c r="G2719" s="4" t="e">
        <f ca="1">[1]!BexGetData("DP_1","003N8EMH8GTFRCSWKMPXRRXR2","GSON5321835011")</f>
        <v>#NAME?</v>
      </c>
      <c r="H2719" s="4" t="e">
        <f ca="1">[1]!BexGetData("DP_1","003N8EMH8GTFRCSWKMPXRS42M","GSON5321835011")</f>
        <v>#NAME?</v>
      </c>
      <c r="I2719" s="4" t="e">
        <f ca="1">[1]!BexGetData("DP_1","003N8EMH8GTFRCSWKMPXRSAE6","GSON5321835011")</f>
        <v>#NAME?</v>
      </c>
      <c r="J2719" s="4" t="e">
        <f ca="1">[1]!BexGetData("DP_1","003N8EMH8GTFRCSWKMPXRSGPQ","GSON5321835011")</f>
        <v>#NAME?</v>
      </c>
      <c r="K2719" s="3" t="e">
        <f ca="1">[1]!BexGetData("DP_1","003N8EMH8GTFRIVNUPY288VJH","GSON5321835011")</f>
        <v>#NAME?</v>
      </c>
      <c r="L2719" s="3" t="e">
        <f ca="1">[1]!BexGetData("DP_1","003N8EMH8GTFRIVNUPY2891V1","GSON5321835011")</f>
        <v>#NAME?</v>
      </c>
      <c r="M2719" s="8" t="e">
        <f ca="1">[1]!BexGetData("DP_1","003N8EMH8GTFRIVOG7KG9IQXA","GSON5321835011")</f>
        <v>#NAME?</v>
      </c>
      <c r="N2719" s="3" t="e">
        <f ca="1">[1]!BexGetData("DP_1","003N8EMH8GTFRIVOG7KG9IX8U","GSON5321835011")</f>
        <v>#NAME?</v>
      </c>
      <c r="O2719" s="8" t="e">
        <f ca="1">[1]!BexGetData("DP_1","003N8EMH8GTFRIVOG7KG9J3KE","GSON5321835011")</f>
        <v>#NAME?</v>
      </c>
      <c r="P2719" s="3" t="e">
        <f ca="1">[1]!BexGetData("DP_1","003N8EMH8GTFRIVOG7KG9J9VY","GSON5321835011")</f>
        <v>#NAME?</v>
      </c>
      <c r="Q2719" s="4" t="e">
        <f ca="1">[1]!BexGetData("DP_1","00O2TNJGODT0G5Z4TTKYMM5MT","GSON5321835011")</f>
        <v>#NAME?</v>
      </c>
      <c r="R2719" s="4" t="e">
        <f ca="1">[1]!BexGetData("DP_1","00O2TNJGODT0G5Z4TTKYMMBYD","GSON5321835011")</f>
        <v>#NAME?</v>
      </c>
      <c r="S2719" s="4" t="e">
        <f ca="1">[1]!BexGetData("DP_1","00O2TNJGODT0G5Z4TTKYMMI9X","GSON5321835011")</f>
        <v>#NAME?</v>
      </c>
      <c r="T2719" s="4" t="e">
        <f ca="1">[1]!BexGetData("DP_1","00O2TNJGODT0G5Z4TTKYMMOLH","GSON5321835011")</f>
        <v>#NAME?</v>
      </c>
      <c r="U2719" s="4" t="e">
        <f ca="1">[1]!BexGetData("DP_1","00O2TNJGODT0G5Z4TTKYMMUX1","GSON5321835011")</f>
        <v>#NAME?</v>
      </c>
      <c r="V2719" s="4" t="e">
        <f ca="1">[1]!BexGetData("DP_1","00O2TNJGODT0G5Z4TTKYMN18L","GSON5321835011")</f>
        <v>#NAME?</v>
      </c>
      <c r="W2719" s="4" t="e">
        <f ca="1">[1]!BexGetData("DP_1","00O2TNJGODT0G5Z4TTKYMN7K5","GSON5321835011")</f>
        <v>#NAME?</v>
      </c>
    </row>
    <row r="2720" spans="1:23" x14ac:dyDescent="0.2">
      <c r="A2720" s="14" t="s">
        <v>714</v>
      </c>
      <c r="B2720" s="7" t="s">
        <v>5529</v>
      </c>
      <c r="C2720" s="3" t="e">
        <f ca="1">[1]!BexGetData("DP_1","003N8EMH8GTFRCSWKMPXRR8GU","GSON533")</f>
        <v>#NAME?</v>
      </c>
      <c r="D2720" s="3" t="e">
        <f ca="1">[1]!BexGetData("DP_1","003N8EMH8GTFRCSWKMPXRRESE","GSON533")</f>
        <v>#NAME?</v>
      </c>
      <c r="E2720" s="3" t="e">
        <f ca="1">[1]!BexGetData("DP_1","003N8EMH8GTFRCSWKMPXRRL3Y","GSON533")</f>
        <v>#NAME?</v>
      </c>
      <c r="F2720" s="4" t="e">
        <f ca="1">[1]!BexGetData("DP_1","003N8EMH8GTFRCSWKMPXRRRFI","GSON533")</f>
        <v>#NAME?</v>
      </c>
      <c r="G2720" s="4" t="e">
        <f ca="1">[1]!BexGetData("DP_1","003N8EMH8GTFRCSWKMPXRRXR2","GSON533")</f>
        <v>#NAME?</v>
      </c>
      <c r="H2720" s="4" t="e">
        <f ca="1">[1]!BexGetData("DP_1","003N8EMH8GTFRCSWKMPXRS42M","GSON533")</f>
        <v>#NAME?</v>
      </c>
      <c r="I2720" s="4" t="e">
        <f ca="1">[1]!BexGetData("DP_1","003N8EMH8GTFRCSWKMPXRSAE6","GSON533")</f>
        <v>#NAME?</v>
      </c>
      <c r="J2720" s="4" t="e">
        <f ca="1">[1]!BexGetData("DP_1","003N8EMH8GTFRCSWKMPXRSGPQ","GSON533")</f>
        <v>#NAME?</v>
      </c>
      <c r="K2720" s="3" t="e">
        <f ca="1">[1]!BexGetData("DP_1","003N8EMH8GTFRIVNUPY288VJH","GSON533")</f>
        <v>#NAME?</v>
      </c>
      <c r="L2720" s="3" t="e">
        <f ca="1">[1]!BexGetData("DP_1","003N8EMH8GTFRIVNUPY2891V1","GSON533")</f>
        <v>#NAME?</v>
      </c>
      <c r="M2720" s="8" t="e">
        <f ca="1">[1]!BexGetData("DP_1","003N8EMH8GTFRIVOG7KG9IQXA","GSON533")</f>
        <v>#NAME?</v>
      </c>
      <c r="N2720" s="3" t="e">
        <f ca="1">[1]!BexGetData("DP_1","003N8EMH8GTFRIVOG7KG9IX8U","GSON533")</f>
        <v>#NAME?</v>
      </c>
      <c r="O2720" s="8" t="e">
        <f ca="1">[1]!BexGetData("DP_1","003N8EMH8GTFRIVOG7KG9J3KE","GSON533")</f>
        <v>#NAME?</v>
      </c>
      <c r="P2720" s="3" t="e">
        <f ca="1">[1]!BexGetData("DP_1","003N8EMH8GTFRIVOG7KG9J9VY","GSON533")</f>
        <v>#NAME?</v>
      </c>
      <c r="Q2720" s="4" t="e">
        <f ca="1">[1]!BexGetData("DP_1","00O2TNJGODT0G5Z4TTKYMM5MT","GSON533")</f>
        <v>#NAME?</v>
      </c>
      <c r="R2720" s="4" t="e">
        <f ca="1">[1]!BexGetData("DP_1","00O2TNJGODT0G5Z4TTKYMMBYD","GSON533")</f>
        <v>#NAME?</v>
      </c>
      <c r="S2720" s="4" t="e">
        <f ca="1">[1]!BexGetData("DP_1","00O2TNJGODT0G5Z4TTKYMMI9X","GSON533")</f>
        <v>#NAME?</v>
      </c>
      <c r="T2720" s="4" t="e">
        <f ca="1">[1]!BexGetData("DP_1","00O2TNJGODT0G5Z4TTKYMMOLH","GSON533")</f>
        <v>#NAME?</v>
      </c>
      <c r="U2720" s="4" t="e">
        <f ca="1">[1]!BexGetData("DP_1","00O2TNJGODT0G5Z4TTKYMMUX1","GSON533")</f>
        <v>#NAME?</v>
      </c>
      <c r="V2720" s="4" t="e">
        <f ca="1">[1]!BexGetData("DP_1","00O2TNJGODT0G5Z4TTKYMN18L","GSON533")</f>
        <v>#NAME?</v>
      </c>
      <c r="W2720" s="4" t="e">
        <f ca="1">[1]!BexGetData("DP_1","00O2TNJGODT0G5Z4TTKYMN7K5","GSON533")</f>
        <v>#NAME?</v>
      </c>
    </row>
    <row r="2721" spans="1:23" x14ac:dyDescent="0.2">
      <c r="A2721" s="15" t="s">
        <v>5530</v>
      </c>
      <c r="B2721" s="7" t="s">
        <v>5531</v>
      </c>
      <c r="C2721" s="3" t="e">
        <f ca="1">[1]!BexGetData("DP_1","003N8EMH8GTFRCSWKMPXRR8GU","GSON5332")</f>
        <v>#NAME?</v>
      </c>
      <c r="D2721" s="3" t="e">
        <f ca="1">[1]!BexGetData("DP_1","003N8EMH8GTFRCSWKMPXRRESE","GSON5332")</f>
        <v>#NAME?</v>
      </c>
      <c r="E2721" s="3" t="e">
        <f ca="1">[1]!BexGetData("DP_1","003N8EMH8GTFRCSWKMPXRRL3Y","GSON5332")</f>
        <v>#NAME?</v>
      </c>
      <c r="F2721" s="4" t="e">
        <f ca="1">[1]!BexGetData("DP_1","003N8EMH8GTFRCSWKMPXRRRFI","GSON5332")</f>
        <v>#NAME?</v>
      </c>
      <c r="G2721" s="4" t="e">
        <f ca="1">[1]!BexGetData("DP_1","003N8EMH8GTFRCSWKMPXRRXR2","GSON5332")</f>
        <v>#NAME?</v>
      </c>
      <c r="H2721" s="4" t="e">
        <f ca="1">[1]!BexGetData("DP_1","003N8EMH8GTFRCSWKMPXRS42M","GSON5332")</f>
        <v>#NAME?</v>
      </c>
      <c r="I2721" s="4" t="e">
        <f ca="1">[1]!BexGetData("DP_1","003N8EMH8GTFRCSWKMPXRSAE6","GSON5332")</f>
        <v>#NAME?</v>
      </c>
      <c r="J2721" s="4" t="e">
        <f ca="1">[1]!BexGetData("DP_1","003N8EMH8GTFRCSWKMPXRSGPQ","GSON5332")</f>
        <v>#NAME?</v>
      </c>
      <c r="K2721" s="3" t="e">
        <f ca="1">[1]!BexGetData("DP_1","003N8EMH8GTFRIVNUPY288VJH","GSON5332")</f>
        <v>#NAME?</v>
      </c>
      <c r="L2721" s="3" t="e">
        <f ca="1">[1]!BexGetData("DP_1","003N8EMH8GTFRIVNUPY2891V1","GSON5332")</f>
        <v>#NAME?</v>
      </c>
      <c r="M2721" s="8" t="e">
        <f ca="1">[1]!BexGetData("DP_1","003N8EMH8GTFRIVOG7KG9IQXA","GSON5332")</f>
        <v>#NAME?</v>
      </c>
      <c r="N2721" s="3" t="e">
        <f ca="1">[1]!BexGetData("DP_1","003N8EMH8GTFRIVOG7KG9IX8U","GSON5332")</f>
        <v>#NAME?</v>
      </c>
      <c r="O2721" s="8" t="e">
        <f ca="1">[1]!BexGetData("DP_1","003N8EMH8GTFRIVOG7KG9J3KE","GSON5332")</f>
        <v>#NAME?</v>
      </c>
      <c r="P2721" s="3" t="e">
        <f ca="1">[1]!BexGetData("DP_1","003N8EMH8GTFRIVOG7KG9J9VY","GSON5332")</f>
        <v>#NAME?</v>
      </c>
      <c r="Q2721" s="4" t="e">
        <f ca="1">[1]!BexGetData("DP_1","00O2TNJGODT0G5Z4TTKYMM5MT","GSON5332")</f>
        <v>#NAME?</v>
      </c>
      <c r="R2721" s="4" t="e">
        <f ca="1">[1]!BexGetData("DP_1","00O2TNJGODT0G5Z4TTKYMMBYD","GSON5332")</f>
        <v>#NAME?</v>
      </c>
      <c r="S2721" s="4" t="e">
        <f ca="1">[1]!BexGetData("DP_1","00O2TNJGODT0G5Z4TTKYMMI9X","GSON5332")</f>
        <v>#NAME?</v>
      </c>
      <c r="T2721" s="4" t="e">
        <f ca="1">[1]!BexGetData("DP_1","00O2TNJGODT0G5Z4TTKYMMOLH","GSON5332")</f>
        <v>#NAME?</v>
      </c>
      <c r="U2721" s="4" t="e">
        <f ca="1">[1]!BexGetData("DP_1","00O2TNJGODT0G5Z4TTKYMMUX1","GSON5332")</f>
        <v>#NAME?</v>
      </c>
      <c r="V2721" s="4" t="e">
        <f ca="1">[1]!BexGetData("DP_1","00O2TNJGODT0G5Z4TTKYMN18L","GSON5332")</f>
        <v>#NAME?</v>
      </c>
      <c r="W2721" s="4" t="e">
        <f ca="1">[1]!BexGetData("DP_1","00O2TNJGODT0G5Z4TTKYMN7K5","GSON5332")</f>
        <v>#NAME?</v>
      </c>
    </row>
    <row r="2722" spans="1:23" x14ac:dyDescent="0.2">
      <c r="A2722" s="16" t="s">
        <v>5532</v>
      </c>
      <c r="B2722" s="7" t="s">
        <v>5533</v>
      </c>
      <c r="C2722" s="3" t="e">
        <f ca="1">[1]!BexGetData("DP_1","003N8EMH8GTFRCSWKMPXRR8GU","GSON5332852011")</f>
        <v>#NAME?</v>
      </c>
      <c r="D2722" s="3" t="e">
        <f ca="1">[1]!BexGetData("DP_1","003N8EMH8GTFRCSWKMPXRRESE","GSON5332852011")</f>
        <v>#NAME?</v>
      </c>
      <c r="E2722" s="3" t="e">
        <f ca="1">[1]!BexGetData("DP_1","003N8EMH8GTFRCSWKMPXRRL3Y","GSON5332852011")</f>
        <v>#NAME?</v>
      </c>
      <c r="F2722" s="4" t="e">
        <f ca="1">[1]!BexGetData("DP_1","003N8EMH8GTFRCSWKMPXRRRFI","GSON5332852011")</f>
        <v>#NAME?</v>
      </c>
      <c r="G2722" s="4" t="e">
        <f ca="1">[1]!BexGetData("DP_1","003N8EMH8GTFRCSWKMPXRRXR2","GSON5332852011")</f>
        <v>#NAME?</v>
      </c>
      <c r="H2722" s="4" t="e">
        <f ca="1">[1]!BexGetData("DP_1","003N8EMH8GTFRCSWKMPXRS42M","GSON5332852011")</f>
        <v>#NAME?</v>
      </c>
      <c r="I2722" s="4" t="e">
        <f ca="1">[1]!BexGetData("DP_1","003N8EMH8GTFRCSWKMPXRSAE6","GSON5332852011")</f>
        <v>#NAME?</v>
      </c>
      <c r="J2722" s="4" t="e">
        <f ca="1">[1]!BexGetData("DP_1","003N8EMH8GTFRCSWKMPXRSGPQ","GSON5332852011")</f>
        <v>#NAME?</v>
      </c>
      <c r="K2722" s="3" t="e">
        <f ca="1">[1]!BexGetData("DP_1","003N8EMH8GTFRIVNUPY288VJH","GSON5332852011")</f>
        <v>#NAME?</v>
      </c>
      <c r="L2722" s="3" t="e">
        <f ca="1">[1]!BexGetData("DP_1","003N8EMH8GTFRIVNUPY2891V1","GSON5332852011")</f>
        <v>#NAME?</v>
      </c>
      <c r="M2722" s="8" t="e">
        <f ca="1">[1]!BexGetData("DP_1","003N8EMH8GTFRIVOG7KG9IQXA","GSON5332852011")</f>
        <v>#NAME?</v>
      </c>
      <c r="N2722" s="3" t="e">
        <f ca="1">[1]!BexGetData("DP_1","003N8EMH8GTFRIVOG7KG9IX8U","GSON5332852011")</f>
        <v>#NAME?</v>
      </c>
      <c r="O2722" s="8" t="e">
        <f ca="1">[1]!BexGetData("DP_1","003N8EMH8GTFRIVOG7KG9J3KE","GSON5332852011")</f>
        <v>#NAME?</v>
      </c>
      <c r="P2722" s="3" t="e">
        <f ca="1">[1]!BexGetData("DP_1","003N8EMH8GTFRIVOG7KG9J9VY","GSON5332852011")</f>
        <v>#NAME?</v>
      </c>
      <c r="Q2722" s="4" t="e">
        <f ca="1">[1]!BexGetData("DP_1","00O2TNJGODT0G5Z4TTKYMM5MT","GSON5332852011")</f>
        <v>#NAME?</v>
      </c>
      <c r="R2722" s="4" t="e">
        <f ca="1">[1]!BexGetData("DP_1","00O2TNJGODT0G5Z4TTKYMMBYD","GSON5332852011")</f>
        <v>#NAME?</v>
      </c>
      <c r="S2722" s="4" t="e">
        <f ca="1">[1]!BexGetData("DP_1","00O2TNJGODT0G5Z4TTKYMMI9X","GSON5332852011")</f>
        <v>#NAME?</v>
      </c>
      <c r="T2722" s="4" t="e">
        <f ca="1">[1]!BexGetData("DP_1","00O2TNJGODT0G5Z4TTKYMMOLH","GSON5332852011")</f>
        <v>#NAME?</v>
      </c>
      <c r="U2722" s="4" t="e">
        <f ca="1">[1]!BexGetData("DP_1","00O2TNJGODT0G5Z4TTKYMMUX1","GSON5332852011")</f>
        <v>#NAME?</v>
      </c>
      <c r="V2722" s="4" t="e">
        <f ca="1">[1]!BexGetData("DP_1","00O2TNJGODT0G5Z4TTKYMN18L","GSON5332852011")</f>
        <v>#NAME?</v>
      </c>
      <c r="W2722" s="4" t="e">
        <f ca="1">[1]!BexGetData("DP_1","00O2TNJGODT0G5Z4TTKYMN7K5","GSON5332852011")</f>
        <v>#NAME?</v>
      </c>
    </row>
    <row r="2723" spans="1:23" x14ac:dyDescent="0.2">
      <c r="A2723" s="13" t="s">
        <v>597</v>
      </c>
      <c r="B2723" s="7" t="s">
        <v>598</v>
      </c>
      <c r="C2723" s="3" t="e">
        <f ca="1">[1]!BexGetData("DP_1","003N8EMH8GTFRCSWKMPXRR8GU","GSON54")</f>
        <v>#NAME?</v>
      </c>
      <c r="D2723" s="3" t="e">
        <f ca="1">[1]!BexGetData("DP_1","003N8EMH8GTFRCSWKMPXRRESE","GSON54")</f>
        <v>#NAME?</v>
      </c>
      <c r="E2723" s="3" t="e">
        <f ca="1">[1]!BexGetData("DP_1","003N8EMH8GTFRCSWKMPXRRL3Y","GSON54")</f>
        <v>#NAME?</v>
      </c>
      <c r="F2723" s="4" t="e">
        <f ca="1">[1]!BexGetData("DP_1","003N8EMH8GTFRCSWKMPXRRRFI","GSON54")</f>
        <v>#NAME?</v>
      </c>
      <c r="G2723" s="4" t="e">
        <f ca="1">[1]!BexGetData("DP_1","003N8EMH8GTFRCSWKMPXRRXR2","GSON54")</f>
        <v>#NAME?</v>
      </c>
      <c r="H2723" s="4" t="e">
        <f ca="1">[1]!BexGetData("DP_1","003N8EMH8GTFRCSWKMPXRS42M","GSON54")</f>
        <v>#NAME?</v>
      </c>
      <c r="I2723" s="4" t="e">
        <f ca="1">[1]!BexGetData("DP_1","003N8EMH8GTFRCSWKMPXRSAE6","GSON54")</f>
        <v>#NAME?</v>
      </c>
      <c r="J2723" s="4" t="e">
        <f ca="1">[1]!BexGetData("DP_1","003N8EMH8GTFRCSWKMPXRSGPQ","GSON54")</f>
        <v>#NAME?</v>
      </c>
      <c r="K2723" s="3" t="e">
        <f ca="1">[1]!BexGetData("DP_1","003N8EMH8GTFRIVNUPY288VJH","GSON54")</f>
        <v>#NAME?</v>
      </c>
      <c r="L2723" s="3" t="e">
        <f ca="1">[1]!BexGetData("DP_1","003N8EMH8GTFRIVNUPY2891V1","GSON54")</f>
        <v>#NAME?</v>
      </c>
      <c r="M2723" s="8" t="e">
        <f ca="1">[1]!BexGetData("DP_1","003N8EMH8GTFRIVOG7KG9IQXA","GSON54")</f>
        <v>#NAME?</v>
      </c>
      <c r="N2723" s="3" t="e">
        <f ca="1">[1]!BexGetData("DP_1","003N8EMH8GTFRIVOG7KG9IX8U","GSON54")</f>
        <v>#NAME?</v>
      </c>
      <c r="O2723" s="8" t="e">
        <f ca="1">[1]!BexGetData("DP_1","003N8EMH8GTFRIVOG7KG9J3KE","GSON54")</f>
        <v>#NAME?</v>
      </c>
      <c r="P2723" s="3" t="e">
        <f ca="1">[1]!BexGetData("DP_1","003N8EMH8GTFRIVOG7KG9J9VY","GSON54")</f>
        <v>#NAME?</v>
      </c>
      <c r="Q2723" s="4" t="e">
        <f ca="1">[1]!BexGetData("DP_1","00O2TNJGODT0G5Z4TTKYMM5MT","GSON54")</f>
        <v>#NAME?</v>
      </c>
      <c r="R2723" s="4" t="e">
        <f ca="1">[1]!BexGetData("DP_1","00O2TNJGODT0G5Z4TTKYMMBYD","GSON54")</f>
        <v>#NAME?</v>
      </c>
      <c r="S2723" s="4" t="e">
        <f ca="1">[1]!BexGetData("DP_1","00O2TNJGODT0G5Z4TTKYMMI9X","GSON54")</f>
        <v>#NAME?</v>
      </c>
      <c r="T2723" s="4" t="e">
        <f ca="1">[1]!BexGetData("DP_1","00O2TNJGODT0G5Z4TTKYMMOLH","GSON54")</f>
        <v>#NAME?</v>
      </c>
      <c r="U2723" s="4" t="e">
        <f ca="1">[1]!BexGetData("DP_1","00O2TNJGODT0G5Z4TTKYMMUX1","GSON54")</f>
        <v>#NAME?</v>
      </c>
      <c r="V2723" s="4" t="e">
        <f ca="1">[1]!BexGetData("DP_1","00O2TNJGODT0G5Z4TTKYMN18L","GSON54")</f>
        <v>#NAME?</v>
      </c>
      <c r="W2723" s="4" t="e">
        <f ca="1">[1]!BexGetData("DP_1","00O2TNJGODT0G5Z4TTKYMN7K5","GSON54")</f>
        <v>#NAME?</v>
      </c>
    </row>
    <row r="2724" spans="1:23" x14ac:dyDescent="0.2">
      <c r="A2724" s="14" t="s">
        <v>599</v>
      </c>
      <c r="B2724" s="7" t="s">
        <v>600</v>
      </c>
      <c r="C2724" s="3" t="e">
        <f ca="1">[1]!BexGetData("DP_1","003N8EMH8GTFRCSWKMPXRR8GU","GSON541")</f>
        <v>#NAME?</v>
      </c>
      <c r="D2724" s="3" t="e">
        <f ca="1">[1]!BexGetData("DP_1","003N8EMH8GTFRCSWKMPXRRESE","GSON541")</f>
        <v>#NAME?</v>
      </c>
      <c r="E2724" s="3" t="e">
        <f ca="1">[1]!BexGetData("DP_1","003N8EMH8GTFRCSWKMPXRRL3Y","GSON541")</f>
        <v>#NAME?</v>
      </c>
      <c r="F2724" s="4" t="e">
        <f ca="1">[1]!BexGetData("DP_1","003N8EMH8GTFRCSWKMPXRRRFI","GSON541")</f>
        <v>#NAME?</v>
      </c>
      <c r="G2724" s="4" t="e">
        <f ca="1">[1]!BexGetData("DP_1","003N8EMH8GTFRCSWKMPXRRXR2","GSON541")</f>
        <v>#NAME?</v>
      </c>
      <c r="H2724" s="4" t="e">
        <f ca="1">[1]!BexGetData("DP_1","003N8EMH8GTFRCSWKMPXRS42M","GSON541")</f>
        <v>#NAME?</v>
      </c>
      <c r="I2724" s="4" t="e">
        <f ca="1">[1]!BexGetData("DP_1","003N8EMH8GTFRCSWKMPXRSAE6","GSON541")</f>
        <v>#NAME?</v>
      </c>
      <c r="J2724" s="4" t="e">
        <f ca="1">[1]!BexGetData("DP_1","003N8EMH8GTFRCSWKMPXRSGPQ","GSON541")</f>
        <v>#NAME?</v>
      </c>
      <c r="K2724" s="3" t="e">
        <f ca="1">[1]!BexGetData("DP_1","003N8EMH8GTFRIVNUPY288VJH","GSON541")</f>
        <v>#NAME?</v>
      </c>
      <c r="L2724" s="3" t="e">
        <f ca="1">[1]!BexGetData("DP_1","003N8EMH8GTFRIVNUPY2891V1","GSON541")</f>
        <v>#NAME?</v>
      </c>
      <c r="M2724" s="8" t="e">
        <f ca="1">[1]!BexGetData("DP_1","003N8EMH8GTFRIVOG7KG9IQXA","GSON541")</f>
        <v>#NAME?</v>
      </c>
      <c r="N2724" s="3" t="e">
        <f ca="1">[1]!BexGetData("DP_1","003N8EMH8GTFRIVOG7KG9IX8U","GSON541")</f>
        <v>#NAME?</v>
      </c>
      <c r="O2724" s="8" t="e">
        <f ca="1">[1]!BexGetData("DP_1","003N8EMH8GTFRIVOG7KG9J3KE","GSON541")</f>
        <v>#NAME?</v>
      </c>
      <c r="P2724" s="3" t="e">
        <f ca="1">[1]!BexGetData("DP_1","003N8EMH8GTFRIVOG7KG9J9VY","GSON541")</f>
        <v>#NAME?</v>
      </c>
      <c r="Q2724" s="4" t="e">
        <f ca="1">[1]!BexGetData("DP_1","00O2TNJGODT0G5Z4TTKYMM5MT","GSON541")</f>
        <v>#NAME?</v>
      </c>
      <c r="R2724" s="4" t="e">
        <f ca="1">[1]!BexGetData("DP_1","00O2TNJGODT0G5Z4TTKYMMBYD","GSON541")</f>
        <v>#NAME?</v>
      </c>
      <c r="S2724" s="4" t="e">
        <f ca="1">[1]!BexGetData("DP_1","00O2TNJGODT0G5Z4TTKYMMI9X","GSON541")</f>
        <v>#NAME?</v>
      </c>
      <c r="T2724" s="4" t="e">
        <f ca="1">[1]!BexGetData("DP_1","00O2TNJGODT0G5Z4TTKYMMOLH","GSON541")</f>
        <v>#NAME?</v>
      </c>
      <c r="U2724" s="4" t="e">
        <f ca="1">[1]!BexGetData("DP_1","00O2TNJGODT0G5Z4TTKYMMUX1","GSON541")</f>
        <v>#NAME?</v>
      </c>
      <c r="V2724" s="4" t="e">
        <f ca="1">[1]!BexGetData("DP_1","00O2TNJGODT0G5Z4TTKYMN18L","GSON541")</f>
        <v>#NAME?</v>
      </c>
      <c r="W2724" s="4" t="e">
        <f ca="1">[1]!BexGetData("DP_1","00O2TNJGODT0G5Z4TTKYMN7K5","GSON541")</f>
        <v>#NAME?</v>
      </c>
    </row>
    <row r="2725" spans="1:23" x14ac:dyDescent="0.2">
      <c r="A2725" s="15" t="s">
        <v>599</v>
      </c>
      <c r="B2725" s="7" t="s">
        <v>601</v>
      </c>
      <c r="C2725" s="3" t="e">
        <f ca="1">[1]!BexGetData("DP_1","003N8EMH8GTFRCSWKMPXRR8GU","GSON5411")</f>
        <v>#NAME?</v>
      </c>
      <c r="D2725" s="3" t="e">
        <f ca="1">[1]!BexGetData("DP_1","003N8EMH8GTFRCSWKMPXRRESE","GSON5411")</f>
        <v>#NAME?</v>
      </c>
      <c r="E2725" s="3" t="e">
        <f ca="1">[1]!BexGetData("DP_1","003N8EMH8GTFRCSWKMPXRRL3Y","GSON5411")</f>
        <v>#NAME?</v>
      </c>
      <c r="F2725" s="4" t="e">
        <f ca="1">[1]!BexGetData("DP_1","003N8EMH8GTFRCSWKMPXRRRFI","GSON5411")</f>
        <v>#NAME?</v>
      </c>
      <c r="G2725" s="4" t="e">
        <f ca="1">[1]!BexGetData("DP_1","003N8EMH8GTFRCSWKMPXRRXR2","GSON5411")</f>
        <v>#NAME?</v>
      </c>
      <c r="H2725" s="4" t="e">
        <f ca="1">[1]!BexGetData("DP_1","003N8EMH8GTFRCSWKMPXRS42M","GSON5411")</f>
        <v>#NAME?</v>
      </c>
      <c r="I2725" s="4" t="e">
        <f ca="1">[1]!BexGetData("DP_1","003N8EMH8GTFRCSWKMPXRSAE6","GSON5411")</f>
        <v>#NAME?</v>
      </c>
      <c r="J2725" s="4" t="e">
        <f ca="1">[1]!BexGetData("DP_1","003N8EMH8GTFRCSWKMPXRSGPQ","GSON5411")</f>
        <v>#NAME?</v>
      </c>
      <c r="K2725" s="3" t="e">
        <f ca="1">[1]!BexGetData("DP_1","003N8EMH8GTFRIVNUPY288VJH","GSON5411")</f>
        <v>#NAME?</v>
      </c>
      <c r="L2725" s="3" t="e">
        <f ca="1">[1]!BexGetData("DP_1","003N8EMH8GTFRIVNUPY2891V1","GSON5411")</f>
        <v>#NAME?</v>
      </c>
      <c r="M2725" s="8" t="e">
        <f ca="1">[1]!BexGetData("DP_1","003N8EMH8GTFRIVOG7KG9IQXA","GSON5411")</f>
        <v>#NAME?</v>
      </c>
      <c r="N2725" s="3" t="e">
        <f ca="1">[1]!BexGetData("DP_1","003N8EMH8GTFRIVOG7KG9IX8U","GSON5411")</f>
        <v>#NAME?</v>
      </c>
      <c r="O2725" s="8" t="e">
        <f ca="1">[1]!BexGetData("DP_1","003N8EMH8GTFRIVOG7KG9J3KE","GSON5411")</f>
        <v>#NAME?</v>
      </c>
      <c r="P2725" s="3" t="e">
        <f ca="1">[1]!BexGetData("DP_1","003N8EMH8GTFRIVOG7KG9J9VY","GSON5411")</f>
        <v>#NAME?</v>
      </c>
      <c r="Q2725" s="4" t="e">
        <f ca="1">[1]!BexGetData("DP_1","00O2TNJGODT0G5Z4TTKYMM5MT","GSON5411")</f>
        <v>#NAME?</v>
      </c>
      <c r="R2725" s="4" t="e">
        <f ca="1">[1]!BexGetData("DP_1","00O2TNJGODT0G5Z4TTKYMMBYD","GSON5411")</f>
        <v>#NAME?</v>
      </c>
      <c r="S2725" s="4" t="e">
        <f ca="1">[1]!BexGetData("DP_1","00O2TNJGODT0G5Z4TTKYMMI9X","GSON5411")</f>
        <v>#NAME?</v>
      </c>
      <c r="T2725" s="4" t="e">
        <f ca="1">[1]!BexGetData("DP_1","00O2TNJGODT0G5Z4TTKYMMOLH","GSON5411")</f>
        <v>#NAME?</v>
      </c>
      <c r="U2725" s="4" t="e">
        <f ca="1">[1]!BexGetData("DP_1","00O2TNJGODT0G5Z4TTKYMMUX1","GSON5411")</f>
        <v>#NAME?</v>
      </c>
      <c r="V2725" s="4" t="e">
        <f ca="1">[1]!BexGetData("DP_1","00O2TNJGODT0G5Z4TTKYMN18L","GSON5411")</f>
        <v>#NAME?</v>
      </c>
      <c r="W2725" s="4" t="e">
        <f ca="1">[1]!BexGetData("DP_1","00O2TNJGODT0G5Z4TTKYMN7K5","GSON5411")</f>
        <v>#NAME?</v>
      </c>
    </row>
    <row r="2726" spans="1:23" x14ac:dyDescent="0.2">
      <c r="A2726" s="16" t="s">
        <v>5534</v>
      </c>
      <c r="B2726" s="7" t="s">
        <v>602</v>
      </c>
      <c r="C2726" s="3" t="e">
        <f ca="1">[1]!BexGetData("DP_1","003N8EMH8GTFRCSWKMPXRR8GU","GSON5411921013")</f>
        <v>#NAME?</v>
      </c>
      <c r="D2726" s="3" t="e">
        <f ca="1">[1]!BexGetData("DP_1","003N8EMH8GTFRCSWKMPXRRESE","GSON5411921013")</f>
        <v>#NAME?</v>
      </c>
      <c r="E2726" s="3" t="e">
        <f ca="1">[1]!BexGetData("DP_1","003N8EMH8GTFRCSWKMPXRRL3Y","GSON5411921013")</f>
        <v>#NAME?</v>
      </c>
      <c r="F2726" s="4" t="e">
        <f ca="1">[1]!BexGetData("DP_1","003N8EMH8GTFRCSWKMPXRRRFI","GSON5411921013")</f>
        <v>#NAME?</v>
      </c>
      <c r="G2726" s="4" t="e">
        <f ca="1">[1]!BexGetData("DP_1","003N8EMH8GTFRCSWKMPXRRXR2","GSON5411921013")</f>
        <v>#NAME?</v>
      </c>
      <c r="H2726" s="4" t="e">
        <f ca="1">[1]!BexGetData("DP_1","003N8EMH8GTFRCSWKMPXRS42M","GSON5411921013")</f>
        <v>#NAME?</v>
      </c>
      <c r="I2726" s="4" t="e">
        <f ca="1">[1]!BexGetData("DP_1","003N8EMH8GTFRCSWKMPXRSAE6","GSON5411921013")</f>
        <v>#NAME?</v>
      </c>
      <c r="J2726" s="4" t="e">
        <f ca="1">[1]!BexGetData("DP_1","003N8EMH8GTFRCSWKMPXRSGPQ","GSON5411921013")</f>
        <v>#NAME?</v>
      </c>
      <c r="K2726" s="3" t="e">
        <f ca="1">[1]!BexGetData("DP_1","003N8EMH8GTFRIVNUPY288VJH","GSON5411921013")</f>
        <v>#NAME?</v>
      </c>
      <c r="L2726" s="3" t="e">
        <f ca="1">[1]!BexGetData("DP_1","003N8EMH8GTFRIVNUPY2891V1","GSON5411921013")</f>
        <v>#NAME?</v>
      </c>
      <c r="M2726" s="8" t="e">
        <f ca="1">[1]!BexGetData("DP_1","003N8EMH8GTFRIVOG7KG9IQXA","GSON5411921013")</f>
        <v>#NAME?</v>
      </c>
      <c r="N2726" s="3" t="e">
        <f ca="1">[1]!BexGetData("DP_1","003N8EMH8GTFRIVOG7KG9IX8U","GSON5411921013")</f>
        <v>#NAME?</v>
      </c>
      <c r="O2726" s="8" t="e">
        <f ca="1">[1]!BexGetData("DP_1","003N8EMH8GTFRIVOG7KG9J3KE","GSON5411921013")</f>
        <v>#NAME?</v>
      </c>
      <c r="P2726" s="3" t="e">
        <f ca="1">[1]!BexGetData("DP_1","003N8EMH8GTFRIVOG7KG9J9VY","GSON5411921013")</f>
        <v>#NAME?</v>
      </c>
      <c r="Q2726" s="4" t="e">
        <f ca="1">[1]!BexGetData("DP_1","00O2TNJGODT0G5Z4TTKYMM5MT","GSON5411921013")</f>
        <v>#NAME?</v>
      </c>
      <c r="R2726" s="4" t="e">
        <f ca="1">[1]!BexGetData("DP_1","00O2TNJGODT0G5Z4TTKYMMBYD","GSON5411921013")</f>
        <v>#NAME?</v>
      </c>
      <c r="S2726" s="4" t="e">
        <f ca="1">[1]!BexGetData("DP_1","00O2TNJGODT0G5Z4TTKYMMI9X","GSON5411921013")</f>
        <v>#NAME?</v>
      </c>
      <c r="T2726" s="4" t="e">
        <f ca="1">[1]!BexGetData("DP_1","00O2TNJGODT0G5Z4TTKYMMOLH","GSON5411921013")</f>
        <v>#NAME?</v>
      </c>
      <c r="U2726" s="4" t="e">
        <f ca="1">[1]!BexGetData("DP_1","00O2TNJGODT0G5Z4TTKYMMUX1","GSON5411921013")</f>
        <v>#NAME?</v>
      </c>
      <c r="V2726" s="4" t="e">
        <f ca="1">[1]!BexGetData("DP_1","00O2TNJGODT0G5Z4TTKYMN18L","GSON5411921013")</f>
        <v>#NAME?</v>
      </c>
      <c r="W2726" s="4" t="e">
        <f ca="1">[1]!BexGetData("DP_1","00O2TNJGODT0G5Z4TTKYMN7K5","GSON5411921013")</f>
        <v>#NAME?</v>
      </c>
    </row>
    <row r="2727" spans="1:23" x14ac:dyDescent="0.2">
      <c r="A2727" s="16" t="s">
        <v>5534</v>
      </c>
      <c r="B2727" s="7" t="s">
        <v>603</v>
      </c>
      <c r="C2727" s="3" t="e">
        <f ca="1">[1]!BexGetData("DP_1","003N8EMH8GTFRCSWKMPXRR8GU","GSON5411921014")</f>
        <v>#NAME?</v>
      </c>
      <c r="D2727" s="3" t="e">
        <f ca="1">[1]!BexGetData("DP_1","003N8EMH8GTFRCSWKMPXRRESE","GSON5411921014")</f>
        <v>#NAME?</v>
      </c>
      <c r="E2727" s="3" t="e">
        <f ca="1">[1]!BexGetData("DP_1","003N8EMH8GTFRCSWKMPXRRL3Y","GSON5411921014")</f>
        <v>#NAME?</v>
      </c>
      <c r="F2727" s="4" t="e">
        <f ca="1">[1]!BexGetData("DP_1","003N8EMH8GTFRCSWKMPXRRRFI","GSON5411921014")</f>
        <v>#NAME?</v>
      </c>
      <c r="G2727" s="4" t="e">
        <f ca="1">[1]!BexGetData("DP_1","003N8EMH8GTFRCSWKMPXRRXR2","GSON5411921014")</f>
        <v>#NAME?</v>
      </c>
      <c r="H2727" s="4" t="e">
        <f ca="1">[1]!BexGetData("DP_1","003N8EMH8GTFRCSWKMPXRS42M","GSON5411921014")</f>
        <v>#NAME?</v>
      </c>
      <c r="I2727" s="4" t="e">
        <f ca="1">[1]!BexGetData("DP_1","003N8EMH8GTFRCSWKMPXRSAE6","GSON5411921014")</f>
        <v>#NAME?</v>
      </c>
      <c r="J2727" s="4" t="e">
        <f ca="1">[1]!BexGetData("DP_1","003N8EMH8GTFRCSWKMPXRSGPQ","GSON5411921014")</f>
        <v>#NAME?</v>
      </c>
      <c r="K2727" s="3" t="e">
        <f ca="1">[1]!BexGetData("DP_1","003N8EMH8GTFRIVNUPY288VJH","GSON5411921014")</f>
        <v>#NAME?</v>
      </c>
      <c r="L2727" s="3" t="e">
        <f ca="1">[1]!BexGetData("DP_1","003N8EMH8GTFRIVNUPY2891V1","GSON5411921014")</f>
        <v>#NAME?</v>
      </c>
      <c r="M2727" s="8" t="e">
        <f ca="1">[1]!BexGetData("DP_1","003N8EMH8GTFRIVOG7KG9IQXA","GSON5411921014")</f>
        <v>#NAME?</v>
      </c>
      <c r="N2727" s="3" t="e">
        <f ca="1">[1]!BexGetData("DP_1","003N8EMH8GTFRIVOG7KG9IX8U","GSON5411921014")</f>
        <v>#NAME?</v>
      </c>
      <c r="O2727" s="8" t="e">
        <f ca="1">[1]!BexGetData("DP_1","003N8EMH8GTFRIVOG7KG9J3KE","GSON5411921014")</f>
        <v>#NAME?</v>
      </c>
      <c r="P2727" s="3" t="e">
        <f ca="1">[1]!BexGetData("DP_1","003N8EMH8GTFRIVOG7KG9J9VY","GSON5411921014")</f>
        <v>#NAME?</v>
      </c>
      <c r="Q2727" s="4" t="e">
        <f ca="1">[1]!BexGetData("DP_1","00O2TNJGODT0G5Z4TTKYMM5MT","GSON5411921014")</f>
        <v>#NAME?</v>
      </c>
      <c r="R2727" s="4" t="e">
        <f ca="1">[1]!BexGetData("DP_1","00O2TNJGODT0G5Z4TTKYMMBYD","GSON5411921014")</f>
        <v>#NAME?</v>
      </c>
      <c r="S2727" s="4" t="e">
        <f ca="1">[1]!BexGetData("DP_1","00O2TNJGODT0G5Z4TTKYMMI9X","GSON5411921014")</f>
        <v>#NAME?</v>
      </c>
      <c r="T2727" s="4" t="e">
        <f ca="1">[1]!BexGetData("DP_1","00O2TNJGODT0G5Z4TTKYMMOLH","GSON5411921014")</f>
        <v>#NAME?</v>
      </c>
      <c r="U2727" s="4" t="e">
        <f ca="1">[1]!BexGetData("DP_1","00O2TNJGODT0G5Z4TTKYMMUX1","GSON5411921014")</f>
        <v>#NAME?</v>
      </c>
      <c r="V2727" s="4" t="e">
        <f ca="1">[1]!BexGetData("DP_1","00O2TNJGODT0G5Z4TTKYMN18L","GSON5411921014")</f>
        <v>#NAME?</v>
      </c>
      <c r="W2727" s="4" t="e">
        <f ca="1">[1]!BexGetData("DP_1","00O2TNJGODT0G5Z4TTKYMN7K5","GSON5411921014")</f>
        <v>#NAME?</v>
      </c>
    </row>
    <row r="2728" spans="1:23" x14ac:dyDescent="0.2">
      <c r="A2728" s="16" t="s">
        <v>5535</v>
      </c>
      <c r="B2728" s="7" t="s">
        <v>641</v>
      </c>
      <c r="C2728" s="3" t="e">
        <f ca="1">[1]!BexGetData("DP_1","003N8EMH8GTFRCSWKMPXRR8GU","GSON5411921023")</f>
        <v>#NAME?</v>
      </c>
      <c r="D2728" s="3" t="e">
        <f ca="1">[1]!BexGetData("DP_1","003N8EMH8GTFRCSWKMPXRRESE","GSON5411921023")</f>
        <v>#NAME?</v>
      </c>
      <c r="E2728" s="3" t="e">
        <f ca="1">[1]!BexGetData("DP_1","003N8EMH8GTFRCSWKMPXRRL3Y","GSON5411921023")</f>
        <v>#NAME?</v>
      </c>
      <c r="F2728" s="4" t="e">
        <f ca="1">[1]!BexGetData("DP_1","003N8EMH8GTFRCSWKMPXRRRFI","GSON5411921023")</f>
        <v>#NAME?</v>
      </c>
      <c r="G2728" s="4" t="e">
        <f ca="1">[1]!BexGetData("DP_1","003N8EMH8GTFRCSWKMPXRRXR2","GSON5411921023")</f>
        <v>#NAME?</v>
      </c>
      <c r="H2728" s="4" t="e">
        <f ca="1">[1]!BexGetData("DP_1","003N8EMH8GTFRCSWKMPXRS42M","GSON5411921023")</f>
        <v>#NAME?</v>
      </c>
      <c r="I2728" s="4" t="e">
        <f ca="1">[1]!BexGetData("DP_1","003N8EMH8GTFRCSWKMPXRSAE6","GSON5411921023")</f>
        <v>#NAME?</v>
      </c>
      <c r="J2728" s="4" t="e">
        <f ca="1">[1]!BexGetData("DP_1","003N8EMH8GTFRCSWKMPXRSGPQ","GSON5411921023")</f>
        <v>#NAME?</v>
      </c>
      <c r="K2728" s="3" t="e">
        <f ca="1">[1]!BexGetData("DP_1","003N8EMH8GTFRIVNUPY288VJH","GSON5411921023")</f>
        <v>#NAME?</v>
      </c>
      <c r="L2728" s="3" t="e">
        <f ca="1">[1]!BexGetData("DP_1","003N8EMH8GTFRIVNUPY2891V1","GSON5411921023")</f>
        <v>#NAME?</v>
      </c>
      <c r="M2728" s="8" t="e">
        <f ca="1">[1]!BexGetData("DP_1","003N8EMH8GTFRIVOG7KG9IQXA","GSON5411921023")</f>
        <v>#NAME?</v>
      </c>
      <c r="N2728" s="3" t="e">
        <f ca="1">[1]!BexGetData("DP_1","003N8EMH8GTFRIVOG7KG9IX8U","GSON5411921023")</f>
        <v>#NAME?</v>
      </c>
      <c r="O2728" s="8" t="e">
        <f ca="1">[1]!BexGetData("DP_1","003N8EMH8GTFRIVOG7KG9J3KE","GSON5411921023")</f>
        <v>#NAME?</v>
      </c>
      <c r="P2728" s="3" t="e">
        <f ca="1">[1]!BexGetData("DP_1","003N8EMH8GTFRIVOG7KG9J9VY","GSON5411921023")</f>
        <v>#NAME?</v>
      </c>
      <c r="Q2728" s="4" t="e">
        <f ca="1">[1]!BexGetData("DP_1","00O2TNJGODT0G5Z4TTKYMM5MT","GSON5411921023")</f>
        <v>#NAME?</v>
      </c>
      <c r="R2728" s="4" t="e">
        <f ca="1">[1]!BexGetData("DP_1","00O2TNJGODT0G5Z4TTKYMMBYD","GSON5411921023")</f>
        <v>#NAME?</v>
      </c>
      <c r="S2728" s="4" t="e">
        <f ca="1">[1]!BexGetData("DP_1","00O2TNJGODT0G5Z4TTKYMMI9X","GSON5411921023")</f>
        <v>#NAME?</v>
      </c>
      <c r="T2728" s="4" t="e">
        <f ca="1">[1]!BexGetData("DP_1","00O2TNJGODT0G5Z4TTKYMMOLH","GSON5411921023")</f>
        <v>#NAME?</v>
      </c>
      <c r="U2728" s="4" t="e">
        <f ca="1">[1]!BexGetData("DP_1","00O2TNJGODT0G5Z4TTKYMMUX1","GSON5411921023")</f>
        <v>#NAME?</v>
      </c>
      <c r="V2728" s="4" t="e">
        <f ca="1">[1]!BexGetData("DP_1","00O2TNJGODT0G5Z4TTKYMN18L","GSON5411921023")</f>
        <v>#NAME?</v>
      </c>
      <c r="W2728" s="4" t="e">
        <f ca="1">[1]!BexGetData("DP_1","00O2TNJGODT0G5Z4TTKYMN7K5","GSON5411921023")</f>
        <v>#NAME?</v>
      </c>
    </row>
    <row r="2729" spans="1:23" x14ac:dyDescent="0.2">
      <c r="A2729" s="14" t="s">
        <v>604</v>
      </c>
      <c r="B2729" s="7" t="s">
        <v>605</v>
      </c>
      <c r="C2729" s="3" t="e">
        <f ca="1">[1]!BexGetData("DP_1","003N8EMH8GTFRCSWKMPXRR8GU","GSON542")</f>
        <v>#NAME?</v>
      </c>
      <c r="D2729" s="3" t="e">
        <f ca="1">[1]!BexGetData("DP_1","003N8EMH8GTFRCSWKMPXRRESE","GSON542")</f>
        <v>#NAME?</v>
      </c>
      <c r="E2729" s="3" t="e">
        <f ca="1">[1]!BexGetData("DP_1","003N8EMH8GTFRCSWKMPXRRL3Y","GSON542")</f>
        <v>#NAME?</v>
      </c>
      <c r="F2729" s="4" t="e">
        <f ca="1">[1]!BexGetData("DP_1","003N8EMH8GTFRCSWKMPXRRRFI","GSON542")</f>
        <v>#NAME?</v>
      </c>
      <c r="G2729" s="4" t="e">
        <f ca="1">[1]!BexGetData("DP_1","003N8EMH8GTFRCSWKMPXRRXR2","GSON542")</f>
        <v>#NAME?</v>
      </c>
      <c r="H2729" s="4" t="e">
        <f ca="1">[1]!BexGetData("DP_1","003N8EMH8GTFRCSWKMPXRS42M","GSON542")</f>
        <v>#NAME?</v>
      </c>
      <c r="I2729" s="4" t="e">
        <f ca="1">[1]!BexGetData("DP_1","003N8EMH8GTFRCSWKMPXRSAE6","GSON542")</f>
        <v>#NAME?</v>
      </c>
      <c r="J2729" s="4" t="e">
        <f ca="1">[1]!BexGetData("DP_1","003N8EMH8GTFRCSWKMPXRSGPQ","GSON542")</f>
        <v>#NAME?</v>
      </c>
      <c r="K2729" s="3" t="e">
        <f ca="1">[1]!BexGetData("DP_1","003N8EMH8GTFRIVNUPY288VJH","GSON542")</f>
        <v>#NAME?</v>
      </c>
      <c r="L2729" s="3" t="e">
        <f ca="1">[1]!BexGetData("DP_1","003N8EMH8GTFRIVNUPY2891V1","GSON542")</f>
        <v>#NAME?</v>
      </c>
      <c r="M2729" s="8" t="e">
        <f ca="1">[1]!BexGetData("DP_1","003N8EMH8GTFRIVOG7KG9IQXA","GSON542")</f>
        <v>#NAME?</v>
      </c>
      <c r="N2729" s="3" t="e">
        <f ca="1">[1]!BexGetData("DP_1","003N8EMH8GTFRIVOG7KG9IX8U","GSON542")</f>
        <v>#NAME?</v>
      </c>
      <c r="O2729" s="8" t="e">
        <f ca="1">[1]!BexGetData("DP_1","003N8EMH8GTFRIVOG7KG9J3KE","GSON542")</f>
        <v>#NAME?</v>
      </c>
      <c r="P2729" s="3" t="e">
        <f ca="1">[1]!BexGetData("DP_1","003N8EMH8GTFRIVOG7KG9J9VY","GSON542")</f>
        <v>#NAME?</v>
      </c>
      <c r="Q2729" s="4" t="e">
        <f ca="1">[1]!BexGetData("DP_1","00O2TNJGODT0G5Z4TTKYMM5MT","GSON542")</f>
        <v>#NAME?</v>
      </c>
      <c r="R2729" s="4" t="e">
        <f ca="1">[1]!BexGetData("DP_1","00O2TNJGODT0G5Z4TTKYMMBYD","GSON542")</f>
        <v>#NAME?</v>
      </c>
      <c r="S2729" s="4" t="e">
        <f ca="1">[1]!BexGetData("DP_1","00O2TNJGODT0G5Z4TTKYMMI9X","GSON542")</f>
        <v>#NAME?</v>
      </c>
      <c r="T2729" s="4" t="e">
        <f ca="1">[1]!BexGetData("DP_1","00O2TNJGODT0G5Z4TTKYMMOLH","GSON542")</f>
        <v>#NAME?</v>
      </c>
      <c r="U2729" s="4" t="e">
        <f ca="1">[1]!BexGetData("DP_1","00O2TNJGODT0G5Z4TTKYMMUX1","GSON542")</f>
        <v>#NAME?</v>
      </c>
      <c r="V2729" s="4" t="e">
        <f ca="1">[1]!BexGetData("DP_1","00O2TNJGODT0G5Z4TTKYMN18L","GSON542")</f>
        <v>#NAME?</v>
      </c>
      <c r="W2729" s="4" t="e">
        <f ca="1">[1]!BexGetData("DP_1","00O2TNJGODT0G5Z4TTKYMN7K5","GSON542")</f>
        <v>#NAME?</v>
      </c>
    </row>
    <row r="2730" spans="1:23" x14ac:dyDescent="0.2">
      <c r="A2730" s="15" t="s">
        <v>606</v>
      </c>
      <c r="B2730" s="7" t="s">
        <v>607</v>
      </c>
      <c r="C2730" s="3" t="e">
        <f ca="1">[1]!BexGetData("DP_1","003N8EMH8GTFRCSWKMPXRR8GU","GSON5421")</f>
        <v>#NAME?</v>
      </c>
      <c r="D2730" s="3" t="e">
        <f ca="1">[1]!BexGetData("DP_1","003N8EMH8GTFRCSWKMPXRRESE","GSON5421")</f>
        <v>#NAME?</v>
      </c>
      <c r="E2730" s="3" t="e">
        <f ca="1">[1]!BexGetData("DP_1","003N8EMH8GTFRCSWKMPXRRL3Y","GSON5421")</f>
        <v>#NAME?</v>
      </c>
      <c r="F2730" s="4" t="e">
        <f ca="1">[1]!BexGetData("DP_1","003N8EMH8GTFRCSWKMPXRRRFI","GSON5421")</f>
        <v>#NAME?</v>
      </c>
      <c r="G2730" s="4" t="e">
        <f ca="1">[1]!BexGetData("DP_1","003N8EMH8GTFRCSWKMPXRRXR2","GSON5421")</f>
        <v>#NAME?</v>
      </c>
      <c r="H2730" s="4" t="e">
        <f ca="1">[1]!BexGetData("DP_1","003N8EMH8GTFRCSWKMPXRS42M","GSON5421")</f>
        <v>#NAME?</v>
      </c>
      <c r="I2730" s="4" t="e">
        <f ca="1">[1]!BexGetData("DP_1","003N8EMH8GTFRCSWKMPXRSAE6","GSON5421")</f>
        <v>#NAME?</v>
      </c>
      <c r="J2730" s="4" t="e">
        <f ca="1">[1]!BexGetData("DP_1","003N8EMH8GTFRCSWKMPXRSGPQ","GSON5421")</f>
        <v>#NAME?</v>
      </c>
      <c r="K2730" s="3" t="e">
        <f ca="1">[1]!BexGetData("DP_1","003N8EMH8GTFRIVNUPY288VJH","GSON5421")</f>
        <v>#NAME?</v>
      </c>
      <c r="L2730" s="3" t="e">
        <f ca="1">[1]!BexGetData("DP_1","003N8EMH8GTFRIVNUPY2891V1","GSON5421")</f>
        <v>#NAME?</v>
      </c>
      <c r="M2730" s="8" t="e">
        <f ca="1">[1]!BexGetData("DP_1","003N8EMH8GTFRIVOG7KG9IQXA","GSON5421")</f>
        <v>#NAME?</v>
      </c>
      <c r="N2730" s="3" t="e">
        <f ca="1">[1]!BexGetData("DP_1","003N8EMH8GTFRIVOG7KG9IX8U","GSON5421")</f>
        <v>#NAME?</v>
      </c>
      <c r="O2730" s="8" t="e">
        <f ca="1">[1]!BexGetData("DP_1","003N8EMH8GTFRIVOG7KG9J3KE","GSON5421")</f>
        <v>#NAME?</v>
      </c>
      <c r="P2730" s="3" t="e">
        <f ca="1">[1]!BexGetData("DP_1","003N8EMH8GTFRIVOG7KG9J9VY","GSON5421")</f>
        <v>#NAME?</v>
      </c>
      <c r="Q2730" s="4" t="e">
        <f ca="1">[1]!BexGetData("DP_1","00O2TNJGODT0G5Z4TTKYMM5MT","GSON5421")</f>
        <v>#NAME?</v>
      </c>
      <c r="R2730" s="4" t="e">
        <f ca="1">[1]!BexGetData("DP_1","00O2TNJGODT0G5Z4TTKYMMBYD","GSON5421")</f>
        <v>#NAME?</v>
      </c>
      <c r="S2730" s="4" t="e">
        <f ca="1">[1]!BexGetData("DP_1","00O2TNJGODT0G5Z4TTKYMMI9X","GSON5421")</f>
        <v>#NAME?</v>
      </c>
      <c r="T2730" s="4" t="e">
        <f ca="1">[1]!BexGetData("DP_1","00O2TNJGODT0G5Z4TTKYMMOLH","GSON5421")</f>
        <v>#NAME?</v>
      </c>
      <c r="U2730" s="4" t="e">
        <f ca="1">[1]!BexGetData("DP_1","00O2TNJGODT0G5Z4TTKYMMUX1","GSON5421")</f>
        <v>#NAME?</v>
      </c>
      <c r="V2730" s="4" t="e">
        <f ca="1">[1]!BexGetData("DP_1","00O2TNJGODT0G5Z4TTKYMN18L","GSON5421")</f>
        <v>#NAME?</v>
      </c>
      <c r="W2730" s="4" t="e">
        <f ca="1">[1]!BexGetData("DP_1","00O2TNJGODT0G5Z4TTKYMN7K5","GSON5421")</f>
        <v>#NAME?</v>
      </c>
    </row>
    <row r="2731" spans="1:23" x14ac:dyDescent="0.2">
      <c r="A2731" s="16" t="s">
        <v>5536</v>
      </c>
      <c r="B2731" s="7" t="s">
        <v>608</v>
      </c>
      <c r="C2731" s="3" t="e">
        <f ca="1">[1]!BexGetData("DP_1","003N8EMH8GTFRCSWKMPXRR8GU","GSON5421931013")</f>
        <v>#NAME?</v>
      </c>
      <c r="D2731" s="3" t="e">
        <f ca="1">[1]!BexGetData("DP_1","003N8EMH8GTFRCSWKMPXRRESE","GSON5421931013")</f>
        <v>#NAME?</v>
      </c>
      <c r="E2731" s="3" t="e">
        <f ca="1">[1]!BexGetData("DP_1","003N8EMH8GTFRCSWKMPXRRL3Y","GSON5421931013")</f>
        <v>#NAME?</v>
      </c>
      <c r="F2731" s="4" t="e">
        <f ca="1">[1]!BexGetData("DP_1","003N8EMH8GTFRCSWKMPXRRRFI","GSON5421931013")</f>
        <v>#NAME?</v>
      </c>
      <c r="G2731" s="4" t="e">
        <f ca="1">[1]!BexGetData("DP_1","003N8EMH8GTFRCSWKMPXRRXR2","GSON5421931013")</f>
        <v>#NAME?</v>
      </c>
      <c r="H2731" s="4" t="e">
        <f ca="1">[1]!BexGetData("DP_1","003N8EMH8GTFRCSWKMPXRS42M","GSON5421931013")</f>
        <v>#NAME?</v>
      </c>
      <c r="I2731" s="4" t="e">
        <f ca="1">[1]!BexGetData("DP_1","003N8EMH8GTFRCSWKMPXRSAE6","GSON5421931013")</f>
        <v>#NAME?</v>
      </c>
      <c r="J2731" s="4" t="e">
        <f ca="1">[1]!BexGetData("DP_1","003N8EMH8GTFRCSWKMPXRSGPQ","GSON5421931013")</f>
        <v>#NAME?</v>
      </c>
      <c r="K2731" s="3" t="e">
        <f ca="1">[1]!BexGetData("DP_1","003N8EMH8GTFRIVNUPY288VJH","GSON5421931013")</f>
        <v>#NAME?</v>
      </c>
      <c r="L2731" s="3" t="e">
        <f ca="1">[1]!BexGetData("DP_1","003N8EMH8GTFRIVNUPY2891V1","GSON5421931013")</f>
        <v>#NAME?</v>
      </c>
      <c r="M2731" s="8" t="e">
        <f ca="1">[1]!BexGetData("DP_1","003N8EMH8GTFRIVOG7KG9IQXA","GSON5421931013")</f>
        <v>#NAME?</v>
      </c>
      <c r="N2731" s="3" t="e">
        <f ca="1">[1]!BexGetData("DP_1","003N8EMH8GTFRIVOG7KG9IX8U","GSON5421931013")</f>
        <v>#NAME?</v>
      </c>
      <c r="O2731" s="8" t="e">
        <f ca="1">[1]!BexGetData("DP_1","003N8EMH8GTFRIVOG7KG9J3KE","GSON5421931013")</f>
        <v>#NAME?</v>
      </c>
      <c r="P2731" s="3" t="e">
        <f ca="1">[1]!BexGetData("DP_1","003N8EMH8GTFRIVOG7KG9J9VY","GSON5421931013")</f>
        <v>#NAME?</v>
      </c>
      <c r="Q2731" s="4" t="e">
        <f ca="1">[1]!BexGetData("DP_1","00O2TNJGODT0G5Z4TTKYMM5MT","GSON5421931013")</f>
        <v>#NAME?</v>
      </c>
      <c r="R2731" s="4" t="e">
        <f ca="1">[1]!BexGetData("DP_1","00O2TNJGODT0G5Z4TTKYMMBYD","GSON5421931013")</f>
        <v>#NAME?</v>
      </c>
      <c r="S2731" s="4" t="e">
        <f ca="1">[1]!BexGetData("DP_1","00O2TNJGODT0G5Z4TTKYMMI9X","GSON5421931013")</f>
        <v>#NAME?</v>
      </c>
      <c r="T2731" s="4" t="e">
        <f ca="1">[1]!BexGetData("DP_1","00O2TNJGODT0G5Z4TTKYMMOLH","GSON5421931013")</f>
        <v>#NAME?</v>
      </c>
      <c r="U2731" s="4" t="e">
        <f ca="1">[1]!BexGetData("DP_1","00O2TNJGODT0G5Z4TTKYMMUX1","GSON5421931013")</f>
        <v>#NAME?</v>
      </c>
      <c r="V2731" s="4" t="e">
        <f ca="1">[1]!BexGetData("DP_1","00O2TNJGODT0G5Z4TTKYMN18L","GSON5421931013")</f>
        <v>#NAME?</v>
      </c>
      <c r="W2731" s="4" t="e">
        <f ca="1">[1]!BexGetData("DP_1","00O2TNJGODT0G5Z4TTKYMN7K5","GSON5421931013")</f>
        <v>#NAME?</v>
      </c>
    </row>
    <row r="2732" spans="1:23" x14ac:dyDescent="0.2">
      <c r="A2732" s="14" t="s">
        <v>609</v>
      </c>
      <c r="B2732" s="7" t="s">
        <v>610</v>
      </c>
      <c r="C2732" s="3" t="e">
        <f ca="1">[1]!BexGetData("DP_1","003N8EMH8GTFRCSWKMPXRR8GU","GSON543")</f>
        <v>#NAME?</v>
      </c>
      <c r="D2732" s="8" t="e">
        <f ca="1">[1]!BexGetData("DP_1","003N8EMH8GTFRCSWKMPXRRESE","GSON543")</f>
        <v>#NAME?</v>
      </c>
      <c r="E2732" s="3" t="e">
        <f ca="1">[1]!BexGetData("DP_1","003N8EMH8GTFRCSWKMPXRRL3Y","GSON543")</f>
        <v>#NAME?</v>
      </c>
      <c r="F2732" s="4" t="e">
        <f ca="1">[1]!BexGetData("DP_1","003N8EMH8GTFRCSWKMPXRRRFI","GSON543")</f>
        <v>#NAME?</v>
      </c>
      <c r="G2732" s="4" t="e">
        <f ca="1">[1]!BexGetData("DP_1","003N8EMH8GTFRCSWKMPXRRXR2","GSON543")</f>
        <v>#NAME?</v>
      </c>
      <c r="H2732" s="4" t="e">
        <f ca="1">[1]!BexGetData("DP_1","003N8EMH8GTFRCSWKMPXRS42M","GSON543")</f>
        <v>#NAME?</v>
      </c>
      <c r="I2732" s="4" t="e">
        <f ca="1">[1]!BexGetData("DP_1","003N8EMH8GTFRCSWKMPXRSAE6","GSON543")</f>
        <v>#NAME?</v>
      </c>
      <c r="J2732" s="4" t="e">
        <f ca="1">[1]!BexGetData("DP_1","003N8EMH8GTFRCSWKMPXRSGPQ","GSON543")</f>
        <v>#NAME?</v>
      </c>
      <c r="K2732" s="3" t="e">
        <f ca="1">[1]!BexGetData("DP_1","003N8EMH8GTFRIVNUPY288VJH","GSON543")</f>
        <v>#NAME?</v>
      </c>
      <c r="L2732" s="3" t="e">
        <f ca="1">[1]!BexGetData("DP_1","003N8EMH8GTFRIVNUPY2891V1","GSON543")</f>
        <v>#NAME?</v>
      </c>
      <c r="M2732" s="8" t="e">
        <f ca="1">[1]!BexGetData("DP_1","003N8EMH8GTFRIVOG7KG9IQXA","GSON543")</f>
        <v>#NAME?</v>
      </c>
      <c r="N2732" s="3" t="e">
        <f ca="1">[1]!BexGetData("DP_1","003N8EMH8GTFRIVOG7KG9IX8U","GSON543")</f>
        <v>#NAME?</v>
      </c>
      <c r="O2732" s="8" t="e">
        <f ca="1">[1]!BexGetData("DP_1","003N8EMH8GTFRIVOG7KG9J3KE","GSON543")</f>
        <v>#NAME?</v>
      </c>
      <c r="P2732" s="3" t="e">
        <f ca="1">[1]!BexGetData("DP_1","003N8EMH8GTFRIVOG7KG9J9VY","GSON543")</f>
        <v>#NAME?</v>
      </c>
      <c r="Q2732" s="4" t="e">
        <f ca="1">[1]!BexGetData("DP_1","00O2TNJGODT0G5Z4TTKYMM5MT","GSON543")</f>
        <v>#NAME?</v>
      </c>
      <c r="R2732" s="4" t="e">
        <f ca="1">[1]!BexGetData("DP_1","00O2TNJGODT0G5Z4TTKYMMBYD","GSON543")</f>
        <v>#NAME?</v>
      </c>
      <c r="S2732" s="4" t="e">
        <f ca="1">[1]!BexGetData("DP_1","00O2TNJGODT0G5Z4TTKYMMI9X","GSON543")</f>
        <v>#NAME?</v>
      </c>
      <c r="T2732" s="4" t="e">
        <f ca="1">[1]!BexGetData("DP_1","00O2TNJGODT0G5Z4TTKYMMOLH","GSON543")</f>
        <v>#NAME?</v>
      </c>
      <c r="U2732" s="4" t="e">
        <f ca="1">[1]!BexGetData("DP_1","00O2TNJGODT0G5Z4TTKYMMUX1","GSON543")</f>
        <v>#NAME?</v>
      </c>
      <c r="V2732" s="4" t="e">
        <f ca="1">[1]!BexGetData("DP_1","00O2TNJGODT0G5Z4TTKYMN18L","GSON543")</f>
        <v>#NAME?</v>
      </c>
      <c r="W2732" s="4" t="e">
        <f ca="1">[1]!BexGetData("DP_1","00O2TNJGODT0G5Z4TTKYMN7K5","GSON543")</f>
        <v>#NAME?</v>
      </c>
    </row>
    <row r="2733" spans="1:23" x14ac:dyDescent="0.2">
      <c r="A2733" s="15" t="s">
        <v>611</v>
      </c>
      <c r="B2733" s="7" t="s">
        <v>612</v>
      </c>
      <c r="C2733" s="3" t="e">
        <f ca="1">[1]!BexGetData("DP_1","003N8EMH8GTFRCSWKMPXRR8GU","GSON5431")</f>
        <v>#NAME?</v>
      </c>
      <c r="D2733" s="8" t="e">
        <f ca="1">[1]!BexGetData("DP_1","003N8EMH8GTFRCSWKMPXRRESE","GSON5431")</f>
        <v>#NAME?</v>
      </c>
      <c r="E2733" s="3" t="e">
        <f ca="1">[1]!BexGetData("DP_1","003N8EMH8GTFRCSWKMPXRRL3Y","GSON5431")</f>
        <v>#NAME?</v>
      </c>
      <c r="F2733" s="4" t="e">
        <f ca="1">[1]!BexGetData("DP_1","003N8EMH8GTFRCSWKMPXRRRFI","GSON5431")</f>
        <v>#NAME?</v>
      </c>
      <c r="G2733" s="4" t="e">
        <f ca="1">[1]!BexGetData("DP_1","003N8EMH8GTFRCSWKMPXRRXR2","GSON5431")</f>
        <v>#NAME?</v>
      </c>
      <c r="H2733" s="4" t="e">
        <f ca="1">[1]!BexGetData("DP_1","003N8EMH8GTFRCSWKMPXRS42M","GSON5431")</f>
        <v>#NAME?</v>
      </c>
      <c r="I2733" s="4" t="e">
        <f ca="1">[1]!BexGetData("DP_1","003N8EMH8GTFRCSWKMPXRSAE6","GSON5431")</f>
        <v>#NAME?</v>
      </c>
      <c r="J2733" s="4" t="e">
        <f ca="1">[1]!BexGetData("DP_1","003N8EMH8GTFRCSWKMPXRSGPQ","GSON5431")</f>
        <v>#NAME?</v>
      </c>
      <c r="K2733" s="3" t="e">
        <f ca="1">[1]!BexGetData("DP_1","003N8EMH8GTFRIVNUPY288VJH","GSON5431")</f>
        <v>#NAME?</v>
      </c>
      <c r="L2733" s="3" t="e">
        <f ca="1">[1]!BexGetData("DP_1","003N8EMH8GTFRIVNUPY2891V1","GSON5431")</f>
        <v>#NAME?</v>
      </c>
      <c r="M2733" s="8" t="e">
        <f ca="1">[1]!BexGetData("DP_1","003N8EMH8GTFRIVOG7KG9IQXA","GSON5431")</f>
        <v>#NAME?</v>
      </c>
      <c r="N2733" s="3" t="e">
        <f ca="1">[1]!BexGetData("DP_1","003N8EMH8GTFRIVOG7KG9IX8U","GSON5431")</f>
        <v>#NAME?</v>
      </c>
      <c r="O2733" s="8" t="e">
        <f ca="1">[1]!BexGetData("DP_1","003N8EMH8GTFRIVOG7KG9J3KE","GSON5431")</f>
        <v>#NAME?</v>
      </c>
      <c r="P2733" s="3" t="e">
        <f ca="1">[1]!BexGetData("DP_1","003N8EMH8GTFRIVOG7KG9J9VY","GSON5431")</f>
        <v>#NAME?</v>
      </c>
      <c r="Q2733" s="4" t="e">
        <f ca="1">[1]!BexGetData("DP_1","00O2TNJGODT0G5Z4TTKYMM5MT","GSON5431")</f>
        <v>#NAME?</v>
      </c>
      <c r="R2733" s="4" t="e">
        <f ca="1">[1]!BexGetData("DP_1","00O2TNJGODT0G5Z4TTKYMMBYD","GSON5431")</f>
        <v>#NAME?</v>
      </c>
      <c r="S2733" s="4" t="e">
        <f ca="1">[1]!BexGetData("DP_1","00O2TNJGODT0G5Z4TTKYMMI9X","GSON5431")</f>
        <v>#NAME?</v>
      </c>
      <c r="T2733" s="4" t="e">
        <f ca="1">[1]!BexGetData("DP_1","00O2TNJGODT0G5Z4TTKYMMOLH","GSON5431")</f>
        <v>#NAME?</v>
      </c>
      <c r="U2733" s="4" t="e">
        <f ca="1">[1]!BexGetData("DP_1","00O2TNJGODT0G5Z4TTKYMMUX1","GSON5431")</f>
        <v>#NAME?</v>
      </c>
      <c r="V2733" s="4" t="e">
        <f ca="1">[1]!BexGetData("DP_1","00O2TNJGODT0G5Z4TTKYMN18L","GSON5431")</f>
        <v>#NAME?</v>
      </c>
      <c r="W2733" s="4" t="e">
        <f ca="1">[1]!BexGetData("DP_1","00O2TNJGODT0G5Z4TTKYMN7K5","GSON5431")</f>
        <v>#NAME?</v>
      </c>
    </row>
    <row r="2734" spans="1:23" x14ac:dyDescent="0.2">
      <c r="A2734" s="16" t="s">
        <v>5537</v>
      </c>
      <c r="B2734" s="7" t="s">
        <v>613</v>
      </c>
      <c r="C2734" s="3" t="e">
        <f ca="1">[1]!BexGetData("DP_1","003N8EMH8GTFRCSWKMPXRR8GU","GSON5431941013")</f>
        <v>#NAME?</v>
      </c>
      <c r="D2734" s="8" t="e">
        <f ca="1">[1]!BexGetData("DP_1","003N8EMH8GTFRCSWKMPXRRESE","GSON5431941013")</f>
        <v>#NAME?</v>
      </c>
      <c r="E2734" s="3" t="e">
        <f ca="1">[1]!BexGetData("DP_1","003N8EMH8GTFRCSWKMPXRRL3Y","GSON5431941013")</f>
        <v>#NAME?</v>
      </c>
      <c r="F2734" s="4" t="e">
        <f ca="1">[1]!BexGetData("DP_1","003N8EMH8GTFRCSWKMPXRRRFI","GSON5431941013")</f>
        <v>#NAME?</v>
      </c>
      <c r="G2734" s="4" t="e">
        <f ca="1">[1]!BexGetData("DP_1","003N8EMH8GTFRCSWKMPXRRXR2","GSON5431941013")</f>
        <v>#NAME?</v>
      </c>
      <c r="H2734" s="4" t="e">
        <f ca="1">[1]!BexGetData("DP_1","003N8EMH8GTFRCSWKMPXRS42M","GSON5431941013")</f>
        <v>#NAME?</v>
      </c>
      <c r="I2734" s="4" t="e">
        <f ca="1">[1]!BexGetData("DP_1","003N8EMH8GTFRCSWKMPXRSAE6","GSON5431941013")</f>
        <v>#NAME?</v>
      </c>
      <c r="J2734" s="4" t="e">
        <f ca="1">[1]!BexGetData("DP_1","003N8EMH8GTFRCSWKMPXRSGPQ","GSON5431941013")</f>
        <v>#NAME?</v>
      </c>
      <c r="K2734" s="3" t="e">
        <f ca="1">[1]!BexGetData("DP_1","003N8EMH8GTFRIVNUPY288VJH","GSON5431941013")</f>
        <v>#NAME?</v>
      </c>
      <c r="L2734" s="3" t="e">
        <f ca="1">[1]!BexGetData("DP_1","003N8EMH8GTFRIVNUPY2891V1","GSON5431941013")</f>
        <v>#NAME?</v>
      </c>
      <c r="M2734" s="8" t="e">
        <f ca="1">[1]!BexGetData("DP_1","003N8EMH8GTFRIVOG7KG9IQXA","GSON5431941013")</f>
        <v>#NAME?</v>
      </c>
      <c r="N2734" s="3" t="e">
        <f ca="1">[1]!BexGetData("DP_1","003N8EMH8GTFRIVOG7KG9IX8U","GSON5431941013")</f>
        <v>#NAME?</v>
      </c>
      <c r="O2734" s="8" t="e">
        <f ca="1">[1]!BexGetData("DP_1","003N8EMH8GTFRIVOG7KG9J3KE","GSON5431941013")</f>
        <v>#NAME?</v>
      </c>
      <c r="P2734" s="3" t="e">
        <f ca="1">[1]!BexGetData("DP_1","003N8EMH8GTFRIVOG7KG9J9VY","GSON5431941013")</f>
        <v>#NAME?</v>
      </c>
      <c r="Q2734" s="4" t="e">
        <f ca="1">[1]!BexGetData("DP_1","00O2TNJGODT0G5Z4TTKYMM5MT","GSON5431941013")</f>
        <v>#NAME?</v>
      </c>
      <c r="R2734" s="4" t="e">
        <f ca="1">[1]!BexGetData("DP_1","00O2TNJGODT0G5Z4TTKYMMBYD","GSON5431941013")</f>
        <v>#NAME?</v>
      </c>
      <c r="S2734" s="4" t="e">
        <f ca="1">[1]!BexGetData("DP_1","00O2TNJGODT0G5Z4TTKYMMI9X","GSON5431941013")</f>
        <v>#NAME?</v>
      </c>
      <c r="T2734" s="4" t="e">
        <f ca="1">[1]!BexGetData("DP_1","00O2TNJGODT0G5Z4TTKYMMOLH","GSON5431941013")</f>
        <v>#NAME?</v>
      </c>
      <c r="U2734" s="4" t="e">
        <f ca="1">[1]!BexGetData("DP_1","00O2TNJGODT0G5Z4TTKYMMUX1","GSON5431941013")</f>
        <v>#NAME?</v>
      </c>
      <c r="V2734" s="4" t="e">
        <f ca="1">[1]!BexGetData("DP_1","00O2TNJGODT0G5Z4TTKYMN18L","GSON5431941013")</f>
        <v>#NAME?</v>
      </c>
      <c r="W2734" s="4" t="e">
        <f ca="1">[1]!BexGetData("DP_1","00O2TNJGODT0G5Z4TTKYMN7K5","GSON5431941013")</f>
        <v>#NAME?</v>
      </c>
    </row>
    <row r="2735" spans="1:23" x14ac:dyDescent="0.2">
      <c r="A2735" s="14" t="s">
        <v>5538</v>
      </c>
      <c r="B2735" s="7" t="s">
        <v>5539</v>
      </c>
      <c r="C2735" s="3" t="e">
        <f ca="1">[1]!BexGetData("DP_1","003N8EMH8GTFRCSWKMPXRR8GU","GSON544")</f>
        <v>#NAME?</v>
      </c>
      <c r="D2735" s="8" t="e">
        <f ca="1">[1]!BexGetData("DP_1","003N8EMH8GTFRCSWKMPXRRESE","GSON544")</f>
        <v>#NAME?</v>
      </c>
      <c r="E2735" s="3" t="e">
        <f ca="1">[1]!BexGetData("DP_1","003N8EMH8GTFRCSWKMPXRRL3Y","GSON544")</f>
        <v>#NAME?</v>
      </c>
      <c r="F2735" s="4" t="e">
        <f ca="1">[1]!BexGetData("DP_1","003N8EMH8GTFRCSWKMPXRRRFI","GSON544")</f>
        <v>#NAME?</v>
      </c>
      <c r="G2735" s="4" t="e">
        <f ca="1">[1]!BexGetData("DP_1","003N8EMH8GTFRCSWKMPXRRXR2","GSON544")</f>
        <v>#NAME?</v>
      </c>
      <c r="H2735" s="4" t="e">
        <f ca="1">[1]!BexGetData("DP_1","003N8EMH8GTFRCSWKMPXRS42M","GSON544")</f>
        <v>#NAME?</v>
      </c>
      <c r="I2735" s="4" t="e">
        <f ca="1">[1]!BexGetData("DP_1","003N8EMH8GTFRCSWKMPXRSAE6","GSON544")</f>
        <v>#NAME?</v>
      </c>
      <c r="J2735" s="4" t="e">
        <f ca="1">[1]!BexGetData("DP_1","003N8EMH8GTFRCSWKMPXRSGPQ","GSON544")</f>
        <v>#NAME?</v>
      </c>
      <c r="K2735" s="3" t="e">
        <f ca="1">[1]!BexGetData("DP_1","003N8EMH8GTFRIVNUPY288VJH","GSON544")</f>
        <v>#NAME?</v>
      </c>
      <c r="L2735" s="3" t="e">
        <f ca="1">[1]!BexGetData("DP_1","003N8EMH8GTFRIVNUPY2891V1","GSON544")</f>
        <v>#NAME?</v>
      </c>
      <c r="M2735" s="8" t="e">
        <f ca="1">[1]!BexGetData("DP_1","003N8EMH8GTFRIVOG7KG9IQXA","GSON544")</f>
        <v>#NAME?</v>
      </c>
      <c r="N2735" s="3" t="e">
        <f ca="1">[1]!BexGetData("DP_1","003N8EMH8GTFRIVOG7KG9IX8U","GSON544")</f>
        <v>#NAME?</v>
      </c>
      <c r="O2735" s="8" t="e">
        <f ca="1">[1]!BexGetData("DP_1","003N8EMH8GTFRIVOG7KG9J3KE","GSON544")</f>
        <v>#NAME?</v>
      </c>
      <c r="P2735" s="3" t="e">
        <f ca="1">[1]!BexGetData("DP_1","003N8EMH8GTFRIVOG7KG9J9VY","GSON544")</f>
        <v>#NAME?</v>
      </c>
      <c r="Q2735" s="4" t="e">
        <f ca="1">[1]!BexGetData("DP_1","00O2TNJGODT0G5Z4TTKYMM5MT","GSON544")</f>
        <v>#NAME?</v>
      </c>
      <c r="R2735" s="4" t="e">
        <f ca="1">[1]!BexGetData("DP_1","00O2TNJGODT0G5Z4TTKYMMBYD","GSON544")</f>
        <v>#NAME?</v>
      </c>
      <c r="S2735" s="4" t="e">
        <f ca="1">[1]!BexGetData("DP_1","00O2TNJGODT0G5Z4TTKYMMI9X","GSON544")</f>
        <v>#NAME?</v>
      </c>
      <c r="T2735" s="4" t="e">
        <f ca="1">[1]!BexGetData("DP_1","00O2TNJGODT0G5Z4TTKYMMOLH","GSON544")</f>
        <v>#NAME?</v>
      </c>
      <c r="U2735" s="4" t="e">
        <f ca="1">[1]!BexGetData("DP_1","00O2TNJGODT0G5Z4TTKYMMUX1","GSON544")</f>
        <v>#NAME?</v>
      </c>
      <c r="V2735" s="4" t="e">
        <f ca="1">[1]!BexGetData("DP_1","00O2TNJGODT0G5Z4TTKYMN18L","GSON544")</f>
        <v>#NAME?</v>
      </c>
      <c r="W2735" s="4" t="e">
        <f ca="1">[1]!BexGetData("DP_1","00O2TNJGODT0G5Z4TTKYMN7K5","GSON544")</f>
        <v>#NAME?</v>
      </c>
    </row>
    <row r="2736" spans="1:23" x14ac:dyDescent="0.2">
      <c r="A2736" s="15" t="s">
        <v>5538</v>
      </c>
      <c r="B2736" s="7" t="s">
        <v>5540</v>
      </c>
      <c r="C2736" s="3" t="e">
        <f ca="1">[1]!BexGetData("DP_1","003N8EMH8GTFRCSWKMPXRR8GU","GSON5441")</f>
        <v>#NAME?</v>
      </c>
      <c r="D2736" s="8" t="e">
        <f ca="1">[1]!BexGetData("DP_1","003N8EMH8GTFRCSWKMPXRRESE","GSON5441")</f>
        <v>#NAME?</v>
      </c>
      <c r="E2736" s="3" t="e">
        <f ca="1">[1]!BexGetData("DP_1","003N8EMH8GTFRCSWKMPXRRL3Y","GSON5441")</f>
        <v>#NAME?</v>
      </c>
      <c r="F2736" s="4" t="e">
        <f ca="1">[1]!BexGetData("DP_1","003N8EMH8GTFRCSWKMPXRRRFI","GSON5441")</f>
        <v>#NAME?</v>
      </c>
      <c r="G2736" s="4" t="e">
        <f ca="1">[1]!BexGetData("DP_1","003N8EMH8GTFRCSWKMPXRRXR2","GSON5441")</f>
        <v>#NAME?</v>
      </c>
      <c r="H2736" s="4" t="e">
        <f ca="1">[1]!BexGetData("DP_1","003N8EMH8GTFRCSWKMPXRS42M","GSON5441")</f>
        <v>#NAME?</v>
      </c>
      <c r="I2736" s="4" t="e">
        <f ca="1">[1]!BexGetData("DP_1","003N8EMH8GTFRCSWKMPXRSAE6","GSON5441")</f>
        <v>#NAME?</v>
      </c>
      <c r="J2736" s="4" t="e">
        <f ca="1">[1]!BexGetData("DP_1","003N8EMH8GTFRCSWKMPXRSGPQ","GSON5441")</f>
        <v>#NAME?</v>
      </c>
      <c r="K2736" s="3" t="e">
        <f ca="1">[1]!BexGetData("DP_1","003N8EMH8GTFRIVNUPY288VJH","GSON5441")</f>
        <v>#NAME?</v>
      </c>
      <c r="L2736" s="3" t="e">
        <f ca="1">[1]!BexGetData("DP_1","003N8EMH8GTFRIVNUPY2891V1","GSON5441")</f>
        <v>#NAME?</v>
      </c>
      <c r="M2736" s="8" t="e">
        <f ca="1">[1]!BexGetData("DP_1","003N8EMH8GTFRIVOG7KG9IQXA","GSON5441")</f>
        <v>#NAME?</v>
      </c>
      <c r="N2736" s="3" t="e">
        <f ca="1">[1]!BexGetData("DP_1","003N8EMH8GTFRIVOG7KG9IX8U","GSON5441")</f>
        <v>#NAME?</v>
      </c>
      <c r="O2736" s="8" t="e">
        <f ca="1">[1]!BexGetData("DP_1","003N8EMH8GTFRIVOG7KG9J3KE","GSON5441")</f>
        <v>#NAME?</v>
      </c>
      <c r="P2736" s="3" t="e">
        <f ca="1">[1]!BexGetData("DP_1","003N8EMH8GTFRIVOG7KG9J9VY","GSON5441")</f>
        <v>#NAME?</v>
      </c>
      <c r="Q2736" s="4" t="e">
        <f ca="1">[1]!BexGetData("DP_1","00O2TNJGODT0G5Z4TTKYMM5MT","GSON5441")</f>
        <v>#NAME?</v>
      </c>
      <c r="R2736" s="4" t="e">
        <f ca="1">[1]!BexGetData("DP_1","00O2TNJGODT0G5Z4TTKYMMBYD","GSON5441")</f>
        <v>#NAME?</v>
      </c>
      <c r="S2736" s="4" t="e">
        <f ca="1">[1]!BexGetData("DP_1","00O2TNJGODT0G5Z4TTKYMMI9X","GSON5441")</f>
        <v>#NAME?</v>
      </c>
      <c r="T2736" s="4" t="e">
        <f ca="1">[1]!BexGetData("DP_1","00O2TNJGODT0G5Z4TTKYMMOLH","GSON5441")</f>
        <v>#NAME?</v>
      </c>
      <c r="U2736" s="4" t="e">
        <f ca="1">[1]!BexGetData("DP_1","00O2TNJGODT0G5Z4TTKYMMUX1","GSON5441")</f>
        <v>#NAME?</v>
      </c>
      <c r="V2736" s="4" t="e">
        <f ca="1">[1]!BexGetData("DP_1","00O2TNJGODT0G5Z4TTKYMN18L","GSON5441")</f>
        <v>#NAME?</v>
      </c>
      <c r="W2736" s="4" t="e">
        <f ca="1">[1]!BexGetData("DP_1","00O2TNJGODT0G5Z4TTKYMN7K5","GSON5441")</f>
        <v>#NAME?</v>
      </c>
    </row>
    <row r="2737" spans="1:23" x14ac:dyDescent="0.2">
      <c r="A2737" s="16" t="s">
        <v>5541</v>
      </c>
      <c r="B2737" s="7" t="s">
        <v>5542</v>
      </c>
      <c r="C2737" s="3" t="e">
        <f ca="1">[1]!BexGetData("DP_1","003N8EMH8GTFRCSWKMPXRR8GU","GSON5441951013")</f>
        <v>#NAME?</v>
      </c>
      <c r="D2737" s="8" t="e">
        <f ca="1">[1]!BexGetData("DP_1","003N8EMH8GTFRCSWKMPXRRESE","GSON5441951013")</f>
        <v>#NAME?</v>
      </c>
      <c r="E2737" s="3" t="e">
        <f ca="1">[1]!BexGetData("DP_1","003N8EMH8GTFRCSWKMPXRRL3Y","GSON5441951013")</f>
        <v>#NAME?</v>
      </c>
      <c r="F2737" s="4" t="e">
        <f ca="1">[1]!BexGetData("DP_1","003N8EMH8GTFRCSWKMPXRRRFI","GSON5441951013")</f>
        <v>#NAME?</v>
      </c>
      <c r="G2737" s="4" t="e">
        <f ca="1">[1]!BexGetData("DP_1","003N8EMH8GTFRCSWKMPXRRXR2","GSON5441951013")</f>
        <v>#NAME?</v>
      </c>
      <c r="H2737" s="4" t="e">
        <f ca="1">[1]!BexGetData("DP_1","003N8EMH8GTFRCSWKMPXRS42M","GSON5441951013")</f>
        <v>#NAME?</v>
      </c>
      <c r="I2737" s="4" t="e">
        <f ca="1">[1]!BexGetData("DP_1","003N8EMH8GTFRCSWKMPXRSAE6","GSON5441951013")</f>
        <v>#NAME?</v>
      </c>
      <c r="J2737" s="4" t="e">
        <f ca="1">[1]!BexGetData("DP_1","003N8EMH8GTFRCSWKMPXRSGPQ","GSON5441951013")</f>
        <v>#NAME?</v>
      </c>
      <c r="K2737" s="3" t="e">
        <f ca="1">[1]!BexGetData("DP_1","003N8EMH8GTFRIVNUPY288VJH","GSON5441951013")</f>
        <v>#NAME?</v>
      </c>
      <c r="L2737" s="3" t="e">
        <f ca="1">[1]!BexGetData("DP_1","003N8EMH8GTFRIVNUPY2891V1","GSON5441951013")</f>
        <v>#NAME?</v>
      </c>
      <c r="M2737" s="8" t="e">
        <f ca="1">[1]!BexGetData("DP_1","003N8EMH8GTFRIVOG7KG9IQXA","GSON5441951013")</f>
        <v>#NAME?</v>
      </c>
      <c r="N2737" s="3" t="e">
        <f ca="1">[1]!BexGetData("DP_1","003N8EMH8GTFRIVOG7KG9IX8U","GSON5441951013")</f>
        <v>#NAME?</v>
      </c>
      <c r="O2737" s="8" t="e">
        <f ca="1">[1]!BexGetData("DP_1","003N8EMH8GTFRIVOG7KG9J3KE","GSON5441951013")</f>
        <v>#NAME?</v>
      </c>
      <c r="P2737" s="3" t="e">
        <f ca="1">[1]!BexGetData("DP_1","003N8EMH8GTFRIVOG7KG9J9VY","GSON5441951013")</f>
        <v>#NAME?</v>
      </c>
      <c r="Q2737" s="4" t="e">
        <f ca="1">[1]!BexGetData("DP_1","00O2TNJGODT0G5Z4TTKYMM5MT","GSON5441951013")</f>
        <v>#NAME?</v>
      </c>
      <c r="R2737" s="4" t="e">
        <f ca="1">[1]!BexGetData("DP_1","00O2TNJGODT0G5Z4TTKYMMBYD","GSON5441951013")</f>
        <v>#NAME?</v>
      </c>
      <c r="S2737" s="4" t="e">
        <f ca="1">[1]!BexGetData("DP_1","00O2TNJGODT0G5Z4TTKYMMI9X","GSON5441951013")</f>
        <v>#NAME?</v>
      </c>
      <c r="T2737" s="4" t="e">
        <f ca="1">[1]!BexGetData("DP_1","00O2TNJGODT0G5Z4TTKYMMOLH","GSON5441951013")</f>
        <v>#NAME?</v>
      </c>
      <c r="U2737" s="4" t="e">
        <f ca="1">[1]!BexGetData("DP_1","00O2TNJGODT0G5Z4TTKYMMUX1","GSON5441951013")</f>
        <v>#NAME?</v>
      </c>
      <c r="V2737" s="4" t="e">
        <f ca="1">[1]!BexGetData("DP_1","00O2TNJGODT0G5Z4TTKYMN18L","GSON5441951013")</f>
        <v>#NAME?</v>
      </c>
      <c r="W2737" s="4" t="e">
        <f ca="1">[1]!BexGetData("DP_1","00O2TNJGODT0G5Z4TTKYMN7K5","GSON5441951013")</f>
        <v>#NAME?</v>
      </c>
    </row>
    <row r="2738" spans="1:23" x14ac:dyDescent="0.2">
      <c r="A2738" s="14" t="s">
        <v>5543</v>
      </c>
      <c r="B2738" s="7" t="s">
        <v>5544</v>
      </c>
      <c r="C2738" s="3" t="e">
        <f ca="1">[1]!BexGetData("DP_1","003N8EMH8GTFRCSWKMPXRR8GU","GSON545")</f>
        <v>#NAME?</v>
      </c>
      <c r="D2738" s="3" t="e">
        <f ca="1">[1]!BexGetData("DP_1","003N8EMH8GTFRCSWKMPXRRESE","GSON545")</f>
        <v>#NAME?</v>
      </c>
      <c r="E2738" s="3" t="e">
        <f ca="1">[1]!BexGetData("DP_1","003N8EMH8GTFRCSWKMPXRRL3Y","GSON545")</f>
        <v>#NAME?</v>
      </c>
      <c r="F2738" s="4" t="e">
        <f ca="1">[1]!BexGetData("DP_1","003N8EMH8GTFRCSWKMPXRRRFI","GSON545")</f>
        <v>#NAME?</v>
      </c>
      <c r="G2738" s="4" t="e">
        <f ca="1">[1]!BexGetData("DP_1","003N8EMH8GTFRCSWKMPXRRXR2","GSON545")</f>
        <v>#NAME?</v>
      </c>
      <c r="H2738" s="4" t="e">
        <f ca="1">[1]!BexGetData("DP_1","003N8EMH8GTFRCSWKMPXRS42M","GSON545")</f>
        <v>#NAME?</v>
      </c>
      <c r="I2738" s="4" t="e">
        <f ca="1">[1]!BexGetData("DP_1","003N8EMH8GTFRCSWKMPXRSAE6","GSON545")</f>
        <v>#NAME?</v>
      </c>
      <c r="J2738" s="4" t="e">
        <f ca="1">[1]!BexGetData("DP_1","003N8EMH8GTFRCSWKMPXRSGPQ","GSON545")</f>
        <v>#NAME?</v>
      </c>
      <c r="K2738" s="3" t="e">
        <f ca="1">[1]!BexGetData("DP_1","003N8EMH8GTFRIVNUPY288VJH","GSON545")</f>
        <v>#NAME?</v>
      </c>
      <c r="L2738" s="3" t="e">
        <f ca="1">[1]!BexGetData("DP_1","003N8EMH8GTFRIVNUPY2891V1","GSON545")</f>
        <v>#NAME?</v>
      </c>
      <c r="M2738" s="8" t="e">
        <f ca="1">[1]!BexGetData("DP_1","003N8EMH8GTFRIVOG7KG9IQXA","GSON545")</f>
        <v>#NAME?</v>
      </c>
      <c r="N2738" s="3" t="e">
        <f ca="1">[1]!BexGetData("DP_1","003N8EMH8GTFRIVOG7KG9IX8U","GSON545")</f>
        <v>#NAME?</v>
      </c>
      <c r="O2738" s="8" t="e">
        <f ca="1">[1]!BexGetData("DP_1","003N8EMH8GTFRIVOG7KG9J3KE","GSON545")</f>
        <v>#NAME?</v>
      </c>
      <c r="P2738" s="3" t="e">
        <f ca="1">[1]!BexGetData("DP_1","003N8EMH8GTFRIVOG7KG9J9VY","GSON545")</f>
        <v>#NAME?</v>
      </c>
      <c r="Q2738" s="4" t="e">
        <f ca="1">[1]!BexGetData("DP_1","00O2TNJGODT0G5Z4TTKYMM5MT","GSON545")</f>
        <v>#NAME?</v>
      </c>
      <c r="R2738" s="4" t="e">
        <f ca="1">[1]!BexGetData("DP_1","00O2TNJGODT0G5Z4TTKYMMBYD","GSON545")</f>
        <v>#NAME?</v>
      </c>
      <c r="S2738" s="4" t="e">
        <f ca="1">[1]!BexGetData("DP_1","00O2TNJGODT0G5Z4TTKYMMI9X","GSON545")</f>
        <v>#NAME?</v>
      </c>
      <c r="T2738" s="4" t="e">
        <f ca="1">[1]!BexGetData("DP_1","00O2TNJGODT0G5Z4TTKYMMOLH","GSON545")</f>
        <v>#NAME?</v>
      </c>
      <c r="U2738" s="4" t="e">
        <f ca="1">[1]!BexGetData("DP_1","00O2TNJGODT0G5Z4TTKYMMUX1","GSON545")</f>
        <v>#NAME?</v>
      </c>
      <c r="V2738" s="4" t="e">
        <f ca="1">[1]!BexGetData("DP_1","00O2TNJGODT0G5Z4TTKYMN18L","GSON545")</f>
        <v>#NAME?</v>
      </c>
      <c r="W2738" s="4" t="e">
        <f ca="1">[1]!BexGetData("DP_1","00O2TNJGODT0G5Z4TTKYMN7K5","GSON545")</f>
        <v>#NAME?</v>
      </c>
    </row>
    <row r="2739" spans="1:23" x14ac:dyDescent="0.2">
      <c r="A2739" s="15" t="s">
        <v>5545</v>
      </c>
      <c r="B2739" s="7" t="s">
        <v>5546</v>
      </c>
      <c r="C2739" s="3" t="e">
        <f ca="1">[1]!BexGetData("DP_1","003N8EMH8GTFRCSWKMPXRR8GU","GSON5452")</f>
        <v>#NAME?</v>
      </c>
      <c r="D2739" s="3" t="e">
        <f ca="1">[1]!BexGetData("DP_1","003N8EMH8GTFRCSWKMPXRRESE","GSON5452")</f>
        <v>#NAME?</v>
      </c>
      <c r="E2739" s="3" t="e">
        <f ca="1">[1]!BexGetData("DP_1","003N8EMH8GTFRCSWKMPXRRL3Y","GSON5452")</f>
        <v>#NAME?</v>
      </c>
      <c r="F2739" s="4" t="e">
        <f ca="1">[1]!BexGetData("DP_1","003N8EMH8GTFRCSWKMPXRRRFI","GSON5452")</f>
        <v>#NAME?</v>
      </c>
      <c r="G2739" s="4" t="e">
        <f ca="1">[1]!BexGetData("DP_1","003N8EMH8GTFRCSWKMPXRRXR2","GSON5452")</f>
        <v>#NAME?</v>
      </c>
      <c r="H2739" s="4" t="e">
        <f ca="1">[1]!BexGetData("DP_1","003N8EMH8GTFRCSWKMPXRS42M","GSON5452")</f>
        <v>#NAME?</v>
      </c>
      <c r="I2739" s="4" t="e">
        <f ca="1">[1]!BexGetData("DP_1","003N8EMH8GTFRCSWKMPXRSAE6","GSON5452")</f>
        <v>#NAME?</v>
      </c>
      <c r="J2739" s="4" t="e">
        <f ca="1">[1]!BexGetData("DP_1","003N8EMH8GTFRCSWKMPXRSGPQ","GSON5452")</f>
        <v>#NAME?</v>
      </c>
      <c r="K2739" s="3" t="e">
        <f ca="1">[1]!BexGetData("DP_1","003N8EMH8GTFRIVNUPY288VJH","GSON5452")</f>
        <v>#NAME?</v>
      </c>
      <c r="L2739" s="3" t="e">
        <f ca="1">[1]!BexGetData("DP_1","003N8EMH8GTFRIVNUPY2891V1","GSON5452")</f>
        <v>#NAME?</v>
      </c>
      <c r="M2739" s="8" t="e">
        <f ca="1">[1]!BexGetData("DP_1","003N8EMH8GTFRIVOG7KG9IQXA","GSON5452")</f>
        <v>#NAME?</v>
      </c>
      <c r="N2739" s="3" t="e">
        <f ca="1">[1]!BexGetData("DP_1","003N8EMH8GTFRIVOG7KG9IX8U","GSON5452")</f>
        <v>#NAME?</v>
      </c>
      <c r="O2739" s="8" t="e">
        <f ca="1">[1]!BexGetData("DP_1","003N8EMH8GTFRIVOG7KG9J3KE","GSON5452")</f>
        <v>#NAME?</v>
      </c>
      <c r="P2739" s="3" t="e">
        <f ca="1">[1]!BexGetData("DP_1","003N8EMH8GTFRIVOG7KG9J9VY","GSON5452")</f>
        <v>#NAME?</v>
      </c>
      <c r="Q2739" s="4" t="e">
        <f ca="1">[1]!BexGetData("DP_1","00O2TNJGODT0G5Z4TTKYMM5MT","GSON5452")</f>
        <v>#NAME?</v>
      </c>
      <c r="R2739" s="4" t="e">
        <f ca="1">[1]!BexGetData("DP_1","00O2TNJGODT0G5Z4TTKYMMBYD","GSON5452")</f>
        <v>#NAME?</v>
      </c>
      <c r="S2739" s="4" t="e">
        <f ca="1">[1]!BexGetData("DP_1","00O2TNJGODT0G5Z4TTKYMMI9X","GSON5452")</f>
        <v>#NAME?</v>
      </c>
      <c r="T2739" s="4" t="e">
        <f ca="1">[1]!BexGetData("DP_1","00O2TNJGODT0G5Z4TTKYMMOLH","GSON5452")</f>
        <v>#NAME?</v>
      </c>
      <c r="U2739" s="4" t="e">
        <f ca="1">[1]!BexGetData("DP_1","00O2TNJGODT0G5Z4TTKYMMUX1","GSON5452")</f>
        <v>#NAME?</v>
      </c>
      <c r="V2739" s="4" t="e">
        <f ca="1">[1]!BexGetData("DP_1","00O2TNJGODT0G5Z4TTKYMN18L","GSON5452")</f>
        <v>#NAME?</v>
      </c>
      <c r="W2739" s="4" t="e">
        <f ca="1">[1]!BexGetData("DP_1","00O2TNJGODT0G5Z4TTKYMN7K5","GSON5452")</f>
        <v>#NAME?</v>
      </c>
    </row>
    <row r="2740" spans="1:23" x14ac:dyDescent="0.2">
      <c r="A2740" s="16" t="s">
        <v>5547</v>
      </c>
      <c r="B2740" s="7" t="s">
        <v>5548</v>
      </c>
      <c r="C2740" s="3" t="e">
        <f ca="1">[1]!BexGetData("DP_1","003N8EMH8GTFRCSWKMPXRR8GU","GSON5452962013")</f>
        <v>#NAME?</v>
      </c>
      <c r="D2740" s="3" t="e">
        <f ca="1">[1]!BexGetData("DP_1","003N8EMH8GTFRCSWKMPXRRESE","GSON5452962013")</f>
        <v>#NAME?</v>
      </c>
      <c r="E2740" s="3" t="e">
        <f ca="1">[1]!BexGetData("DP_1","003N8EMH8GTFRCSWKMPXRRL3Y","GSON5452962013")</f>
        <v>#NAME?</v>
      </c>
      <c r="F2740" s="4" t="e">
        <f ca="1">[1]!BexGetData("DP_1","003N8EMH8GTFRCSWKMPXRRRFI","GSON5452962013")</f>
        <v>#NAME?</v>
      </c>
      <c r="G2740" s="4" t="e">
        <f ca="1">[1]!BexGetData("DP_1","003N8EMH8GTFRCSWKMPXRRXR2","GSON5452962013")</f>
        <v>#NAME?</v>
      </c>
      <c r="H2740" s="4" t="e">
        <f ca="1">[1]!BexGetData("DP_1","003N8EMH8GTFRCSWKMPXRS42M","GSON5452962013")</f>
        <v>#NAME?</v>
      </c>
      <c r="I2740" s="4" t="e">
        <f ca="1">[1]!BexGetData("DP_1","003N8EMH8GTFRCSWKMPXRSAE6","GSON5452962013")</f>
        <v>#NAME?</v>
      </c>
      <c r="J2740" s="4" t="e">
        <f ca="1">[1]!BexGetData("DP_1","003N8EMH8GTFRCSWKMPXRSGPQ","GSON5452962013")</f>
        <v>#NAME?</v>
      </c>
      <c r="K2740" s="3" t="e">
        <f ca="1">[1]!BexGetData("DP_1","003N8EMH8GTFRIVNUPY288VJH","GSON5452962013")</f>
        <v>#NAME?</v>
      </c>
      <c r="L2740" s="3" t="e">
        <f ca="1">[1]!BexGetData("DP_1","003N8EMH8GTFRIVNUPY2891V1","GSON5452962013")</f>
        <v>#NAME?</v>
      </c>
      <c r="M2740" s="8" t="e">
        <f ca="1">[1]!BexGetData("DP_1","003N8EMH8GTFRIVOG7KG9IQXA","GSON5452962013")</f>
        <v>#NAME?</v>
      </c>
      <c r="N2740" s="3" t="e">
        <f ca="1">[1]!BexGetData("DP_1","003N8EMH8GTFRIVOG7KG9IX8U","GSON5452962013")</f>
        <v>#NAME?</v>
      </c>
      <c r="O2740" s="8" t="e">
        <f ca="1">[1]!BexGetData("DP_1","003N8EMH8GTFRIVOG7KG9J3KE","GSON5452962013")</f>
        <v>#NAME?</v>
      </c>
      <c r="P2740" s="3" t="e">
        <f ca="1">[1]!BexGetData("DP_1","003N8EMH8GTFRIVOG7KG9J9VY","GSON5452962013")</f>
        <v>#NAME?</v>
      </c>
      <c r="Q2740" s="4" t="e">
        <f ca="1">[1]!BexGetData("DP_1","00O2TNJGODT0G5Z4TTKYMM5MT","GSON5452962013")</f>
        <v>#NAME?</v>
      </c>
      <c r="R2740" s="4" t="e">
        <f ca="1">[1]!BexGetData("DP_1","00O2TNJGODT0G5Z4TTKYMMBYD","GSON5452962013")</f>
        <v>#NAME?</v>
      </c>
      <c r="S2740" s="4" t="e">
        <f ca="1">[1]!BexGetData("DP_1","00O2TNJGODT0G5Z4TTKYMMI9X","GSON5452962013")</f>
        <v>#NAME?</v>
      </c>
      <c r="T2740" s="4" t="e">
        <f ca="1">[1]!BexGetData("DP_1","00O2TNJGODT0G5Z4TTKYMMOLH","GSON5452962013")</f>
        <v>#NAME?</v>
      </c>
      <c r="U2740" s="4" t="e">
        <f ca="1">[1]!BexGetData("DP_1","00O2TNJGODT0G5Z4TTKYMMUX1","GSON5452962013")</f>
        <v>#NAME?</v>
      </c>
      <c r="V2740" s="4" t="e">
        <f ca="1">[1]!BexGetData("DP_1","00O2TNJGODT0G5Z4TTKYMN18L","GSON5452962013")</f>
        <v>#NAME?</v>
      </c>
      <c r="W2740" s="4" t="e">
        <f ca="1">[1]!BexGetData("DP_1","00O2TNJGODT0G5Z4TTKYMN7K5","GSON5452962013")</f>
        <v>#NAME?</v>
      </c>
    </row>
    <row r="2741" spans="1:23" x14ac:dyDescent="0.2">
      <c r="A2741" s="13" t="s">
        <v>112</v>
      </c>
      <c r="B2741" s="7" t="s">
        <v>113</v>
      </c>
      <c r="C2741" s="3" t="e">
        <f ca="1">[1]!BexGetData("DP_1","003N8EMH8GTFRCSWKMPXRR8GU","GSON55")</f>
        <v>#NAME?</v>
      </c>
      <c r="D2741" s="3" t="e">
        <f ca="1">[1]!BexGetData("DP_1","003N8EMH8GTFRCSWKMPXRRESE","GSON55")</f>
        <v>#NAME?</v>
      </c>
      <c r="E2741" s="3" t="e">
        <f ca="1">[1]!BexGetData("DP_1","003N8EMH8GTFRCSWKMPXRRL3Y","GSON55")</f>
        <v>#NAME?</v>
      </c>
      <c r="F2741" s="4" t="e">
        <f ca="1">[1]!BexGetData("DP_1","003N8EMH8GTFRCSWKMPXRRRFI","GSON55")</f>
        <v>#NAME?</v>
      </c>
      <c r="G2741" s="4" t="e">
        <f ca="1">[1]!BexGetData("DP_1","003N8EMH8GTFRCSWKMPXRRXR2","GSON55")</f>
        <v>#NAME?</v>
      </c>
      <c r="H2741" s="4" t="e">
        <f ca="1">[1]!BexGetData("DP_1","003N8EMH8GTFRCSWKMPXRS42M","GSON55")</f>
        <v>#NAME?</v>
      </c>
      <c r="I2741" s="4" t="e">
        <f ca="1">[1]!BexGetData("DP_1","003N8EMH8GTFRCSWKMPXRSAE6","GSON55")</f>
        <v>#NAME?</v>
      </c>
      <c r="J2741" s="4" t="e">
        <f ca="1">[1]!BexGetData("DP_1","003N8EMH8GTFRCSWKMPXRSGPQ","GSON55")</f>
        <v>#NAME?</v>
      </c>
      <c r="K2741" s="3" t="e">
        <f ca="1">[1]!BexGetData("DP_1","003N8EMH8GTFRIVNUPY288VJH","GSON55")</f>
        <v>#NAME?</v>
      </c>
      <c r="L2741" s="3" t="e">
        <f ca="1">[1]!BexGetData("DP_1","003N8EMH8GTFRIVNUPY2891V1","GSON55")</f>
        <v>#NAME?</v>
      </c>
      <c r="M2741" s="8" t="e">
        <f ca="1">[1]!BexGetData("DP_1","003N8EMH8GTFRIVOG7KG9IQXA","GSON55")</f>
        <v>#NAME?</v>
      </c>
      <c r="N2741" s="3" t="e">
        <f ca="1">[1]!BexGetData("DP_1","003N8EMH8GTFRIVOG7KG9IX8U","GSON55")</f>
        <v>#NAME?</v>
      </c>
      <c r="O2741" s="8" t="e">
        <f ca="1">[1]!BexGetData("DP_1","003N8EMH8GTFRIVOG7KG9J3KE","GSON55")</f>
        <v>#NAME?</v>
      </c>
      <c r="P2741" s="3" t="e">
        <f ca="1">[1]!BexGetData("DP_1","003N8EMH8GTFRIVOG7KG9J9VY","GSON55")</f>
        <v>#NAME?</v>
      </c>
      <c r="Q2741" s="4" t="e">
        <f ca="1">[1]!BexGetData("DP_1","00O2TNJGODT0G5Z4TTKYMM5MT","GSON55")</f>
        <v>#NAME?</v>
      </c>
      <c r="R2741" s="4" t="e">
        <f ca="1">[1]!BexGetData("DP_1","00O2TNJGODT0G5Z4TTKYMMBYD","GSON55")</f>
        <v>#NAME?</v>
      </c>
      <c r="S2741" s="4" t="e">
        <f ca="1">[1]!BexGetData("DP_1","00O2TNJGODT0G5Z4TTKYMMI9X","GSON55")</f>
        <v>#NAME?</v>
      </c>
      <c r="T2741" s="4" t="e">
        <f ca="1">[1]!BexGetData("DP_1","00O2TNJGODT0G5Z4TTKYMMOLH","GSON55")</f>
        <v>#NAME?</v>
      </c>
      <c r="U2741" s="4" t="e">
        <f ca="1">[1]!BexGetData("DP_1","00O2TNJGODT0G5Z4TTKYMMUX1","GSON55")</f>
        <v>#NAME?</v>
      </c>
      <c r="V2741" s="4" t="e">
        <f ca="1">[1]!BexGetData("DP_1","00O2TNJGODT0G5Z4TTKYMN18L","GSON55")</f>
        <v>#NAME?</v>
      </c>
      <c r="W2741" s="4" t="e">
        <f ca="1">[1]!BexGetData("DP_1","00O2TNJGODT0G5Z4TTKYMN7K5","GSON55")</f>
        <v>#NAME?</v>
      </c>
    </row>
    <row r="2742" spans="1:23" x14ac:dyDescent="0.2">
      <c r="A2742" s="14" t="s">
        <v>1581</v>
      </c>
      <c r="B2742" s="7" t="s">
        <v>1582</v>
      </c>
      <c r="C2742" s="3" t="e">
        <f ca="1">[1]!BexGetData("DP_1","003N8EMH8GTFRCSWKMPXRR8GU","GSON551")</f>
        <v>#NAME?</v>
      </c>
      <c r="D2742" s="3" t="e">
        <f ca="1">[1]!BexGetData("DP_1","003N8EMH8GTFRCSWKMPXRRESE","GSON551")</f>
        <v>#NAME?</v>
      </c>
      <c r="E2742" s="3" t="e">
        <f ca="1">[1]!BexGetData("DP_1","003N8EMH8GTFRCSWKMPXRRL3Y","GSON551")</f>
        <v>#NAME?</v>
      </c>
      <c r="F2742" s="4" t="e">
        <f ca="1">[1]!BexGetData("DP_1","003N8EMH8GTFRCSWKMPXRRRFI","GSON551")</f>
        <v>#NAME?</v>
      </c>
      <c r="G2742" s="4" t="e">
        <f ca="1">[1]!BexGetData("DP_1","003N8EMH8GTFRCSWKMPXRRXR2","GSON551")</f>
        <v>#NAME?</v>
      </c>
      <c r="H2742" s="4" t="e">
        <f ca="1">[1]!BexGetData("DP_1","003N8EMH8GTFRCSWKMPXRS42M","GSON551")</f>
        <v>#NAME?</v>
      </c>
      <c r="I2742" s="4" t="e">
        <f ca="1">[1]!BexGetData("DP_1","003N8EMH8GTFRCSWKMPXRSAE6","GSON551")</f>
        <v>#NAME?</v>
      </c>
      <c r="J2742" s="4" t="e">
        <f ca="1">[1]!BexGetData("DP_1","003N8EMH8GTFRCSWKMPXRSGPQ","GSON551")</f>
        <v>#NAME?</v>
      </c>
      <c r="K2742" s="3" t="e">
        <f ca="1">[1]!BexGetData("DP_1","003N8EMH8GTFRIVNUPY288VJH","GSON551")</f>
        <v>#NAME?</v>
      </c>
      <c r="L2742" s="3" t="e">
        <f ca="1">[1]!BexGetData("DP_1","003N8EMH8GTFRIVNUPY2891V1","GSON551")</f>
        <v>#NAME?</v>
      </c>
      <c r="M2742" s="8" t="e">
        <f ca="1">[1]!BexGetData("DP_1","003N8EMH8GTFRIVOG7KG9IQXA","GSON551")</f>
        <v>#NAME?</v>
      </c>
      <c r="N2742" s="3" t="e">
        <f ca="1">[1]!BexGetData("DP_1","003N8EMH8GTFRIVOG7KG9IX8U","GSON551")</f>
        <v>#NAME?</v>
      </c>
      <c r="O2742" s="8" t="e">
        <f ca="1">[1]!BexGetData("DP_1","003N8EMH8GTFRIVOG7KG9J3KE","GSON551")</f>
        <v>#NAME?</v>
      </c>
      <c r="P2742" s="3" t="e">
        <f ca="1">[1]!BexGetData("DP_1","003N8EMH8GTFRIVOG7KG9J9VY","GSON551")</f>
        <v>#NAME?</v>
      </c>
      <c r="Q2742" s="4" t="e">
        <f ca="1">[1]!BexGetData("DP_1","00O2TNJGODT0G5Z4TTKYMM5MT","GSON551")</f>
        <v>#NAME?</v>
      </c>
      <c r="R2742" s="4" t="e">
        <f ca="1">[1]!BexGetData("DP_1","00O2TNJGODT0G5Z4TTKYMMBYD","GSON551")</f>
        <v>#NAME?</v>
      </c>
      <c r="S2742" s="4" t="e">
        <f ca="1">[1]!BexGetData("DP_1","00O2TNJGODT0G5Z4TTKYMMI9X","GSON551")</f>
        <v>#NAME?</v>
      </c>
      <c r="T2742" s="4" t="e">
        <f ca="1">[1]!BexGetData("DP_1","00O2TNJGODT0G5Z4TTKYMMOLH","GSON551")</f>
        <v>#NAME?</v>
      </c>
      <c r="U2742" s="4" t="e">
        <f ca="1">[1]!BexGetData("DP_1","00O2TNJGODT0G5Z4TTKYMMUX1","GSON551")</f>
        <v>#NAME?</v>
      </c>
      <c r="V2742" s="4" t="e">
        <f ca="1">[1]!BexGetData("DP_1","00O2TNJGODT0G5Z4TTKYMN18L","GSON551")</f>
        <v>#NAME?</v>
      </c>
      <c r="W2742" s="4" t="e">
        <f ca="1">[1]!BexGetData("DP_1","00O2TNJGODT0G5Z4TTKYMN7K5","GSON551")</f>
        <v>#NAME?</v>
      </c>
    </row>
    <row r="2743" spans="1:23" x14ac:dyDescent="0.2">
      <c r="A2743" s="15" t="s">
        <v>1583</v>
      </c>
      <c r="B2743" s="7" t="s">
        <v>1584</v>
      </c>
      <c r="C2743" s="3" t="e">
        <f ca="1">[1]!BexGetData("DP_1","003N8EMH8GTFRCSWKMPXRR8GU","GSON5513")</f>
        <v>#NAME?</v>
      </c>
      <c r="D2743" s="8" t="e">
        <f ca="1">[1]!BexGetData("DP_1","003N8EMH8GTFRCSWKMPXRRESE","GSON5513")</f>
        <v>#NAME?</v>
      </c>
      <c r="E2743" s="3" t="e">
        <f ca="1">[1]!BexGetData("DP_1","003N8EMH8GTFRCSWKMPXRRL3Y","GSON5513")</f>
        <v>#NAME?</v>
      </c>
      <c r="F2743" s="4" t="e">
        <f ca="1">[1]!BexGetData("DP_1","003N8EMH8GTFRCSWKMPXRRRFI","GSON5513")</f>
        <v>#NAME?</v>
      </c>
      <c r="G2743" s="4" t="e">
        <f ca="1">[1]!BexGetData("DP_1","003N8EMH8GTFRCSWKMPXRRXR2","GSON5513")</f>
        <v>#NAME?</v>
      </c>
      <c r="H2743" s="4" t="e">
        <f ca="1">[1]!BexGetData("DP_1","003N8EMH8GTFRCSWKMPXRS42M","GSON5513")</f>
        <v>#NAME?</v>
      </c>
      <c r="I2743" s="4" t="e">
        <f ca="1">[1]!BexGetData("DP_1","003N8EMH8GTFRCSWKMPXRSAE6","GSON5513")</f>
        <v>#NAME?</v>
      </c>
      <c r="J2743" s="4" t="e">
        <f ca="1">[1]!BexGetData("DP_1","003N8EMH8GTFRCSWKMPXRSGPQ","GSON5513")</f>
        <v>#NAME?</v>
      </c>
      <c r="K2743" s="3" t="e">
        <f ca="1">[1]!BexGetData("DP_1","003N8EMH8GTFRIVNUPY288VJH","GSON5513")</f>
        <v>#NAME?</v>
      </c>
      <c r="L2743" s="3" t="e">
        <f ca="1">[1]!BexGetData("DP_1","003N8EMH8GTFRIVNUPY2891V1","GSON5513")</f>
        <v>#NAME?</v>
      </c>
      <c r="M2743" s="8" t="e">
        <f ca="1">[1]!BexGetData("DP_1","003N8EMH8GTFRIVOG7KG9IQXA","GSON5513")</f>
        <v>#NAME?</v>
      </c>
      <c r="N2743" s="3" t="e">
        <f ca="1">[1]!BexGetData("DP_1","003N8EMH8GTFRIVOG7KG9IX8U","GSON5513")</f>
        <v>#NAME?</v>
      </c>
      <c r="O2743" s="8" t="e">
        <f ca="1">[1]!BexGetData("DP_1","003N8EMH8GTFRIVOG7KG9J3KE","GSON5513")</f>
        <v>#NAME?</v>
      </c>
      <c r="P2743" s="3" t="e">
        <f ca="1">[1]!BexGetData("DP_1","003N8EMH8GTFRIVOG7KG9J9VY","GSON5513")</f>
        <v>#NAME?</v>
      </c>
      <c r="Q2743" s="4" t="e">
        <f ca="1">[1]!BexGetData("DP_1","00O2TNJGODT0G5Z4TTKYMM5MT","GSON5513")</f>
        <v>#NAME?</v>
      </c>
      <c r="R2743" s="4" t="e">
        <f ca="1">[1]!BexGetData("DP_1","00O2TNJGODT0G5Z4TTKYMMBYD","GSON5513")</f>
        <v>#NAME?</v>
      </c>
      <c r="S2743" s="4" t="e">
        <f ca="1">[1]!BexGetData("DP_1","00O2TNJGODT0G5Z4TTKYMMI9X","GSON5513")</f>
        <v>#NAME?</v>
      </c>
      <c r="T2743" s="4" t="e">
        <f ca="1">[1]!BexGetData("DP_1","00O2TNJGODT0G5Z4TTKYMMOLH","GSON5513")</f>
        <v>#NAME?</v>
      </c>
      <c r="U2743" s="4" t="e">
        <f ca="1">[1]!BexGetData("DP_1","00O2TNJGODT0G5Z4TTKYMMUX1","GSON5513")</f>
        <v>#NAME?</v>
      </c>
      <c r="V2743" s="4" t="e">
        <f ca="1">[1]!BexGetData("DP_1","00O2TNJGODT0G5Z4TTKYMN18L","GSON5513")</f>
        <v>#NAME?</v>
      </c>
      <c r="W2743" s="4" t="e">
        <f ca="1">[1]!BexGetData("DP_1","00O2TNJGODT0G5Z4TTKYMN7K5","GSON5513")</f>
        <v>#NAME?</v>
      </c>
    </row>
    <row r="2744" spans="1:23" x14ac:dyDescent="0.2">
      <c r="A2744" s="16" t="s">
        <v>1585</v>
      </c>
      <c r="B2744" s="7" t="s">
        <v>1586</v>
      </c>
      <c r="C2744" s="3" t="e">
        <f ca="1">[1]!BexGetData("DP_1","003N8EMH8GTFRCSWKMPXRR8GU","GSON5513100001")</f>
        <v>#NAME?</v>
      </c>
      <c r="D2744" s="8" t="e">
        <f ca="1">[1]!BexGetData("DP_1","003N8EMH8GTFRCSWKMPXRRESE","GSON5513100001")</f>
        <v>#NAME?</v>
      </c>
      <c r="E2744" s="3" t="e">
        <f ca="1">[1]!BexGetData("DP_1","003N8EMH8GTFRCSWKMPXRRL3Y","GSON5513100001")</f>
        <v>#NAME?</v>
      </c>
      <c r="F2744" s="4" t="e">
        <f ca="1">[1]!BexGetData("DP_1","003N8EMH8GTFRCSWKMPXRRRFI","GSON5513100001")</f>
        <v>#NAME?</v>
      </c>
      <c r="G2744" s="4" t="e">
        <f ca="1">[1]!BexGetData("DP_1","003N8EMH8GTFRCSWKMPXRRXR2","GSON5513100001")</f>
        <v>#NAME?</v>
      </c>
      <c r="H2744" s="4" t="e">
        <f ca="1">[1]!BexGetData("DP_1","003N8EMH8GTFRCSWKMPXRS42M","GSON5513100001")</f>
        <v>#NAME?</v>
      </c>
      <c r="I2744" s="4" t="e">
        <f ca="1">[1]!BexGetData("DP_1","003N8EMH8GTFRCSWKMPXRSAE6","GSON5513100001")</f>
        <v>#NAME?</v>
      </c>
      <c r="J2744" s="4" t="e">
        <f ca="1">[1]!BexGetData("DP_1","003N8EMH8GTFRCSWKMPXRSGPQ","GSON5513100001")</f>
        <v>#NAME?</v>
      </c>
      <c r="K2744" s="3" t="e">
        <f ca="1">[1]!BexGetData("DP_1","003N8EMH8GTFRIVNUPY288VJH","GSON5513100001")</f>
        <v>#NAME?</v>
      </c>
      <c r="L2744" s="3" t="e">
        <f ca="1">[1]!BexGetData("DP_1","003N8EMH8GTFRIVNUPY2891V1","GSON5513100001")</f>
        <v>#NAME?</v>
      </c>
      <c r="M2744" s="8" t="e">
        <f ca="1">[1]!BexGetData("DP_1","003N8EMH8GTFRIVOG7KG9IQXA","GSON5513100001")</f>
        <v>#NAME?</v>
      </c>
      <c r="N2744" s="3" t="e">
        <f ca="1">[1]!BexGetData("DP_1","003N8EMH8GTFRIVOG7KG9IX8U","GSON5513100001")</f>
        <v>#NAME?</v>
      </c>
      <c r="O2744" s="8" t="e">
        <f ca="1">[1]!BexGetData("DP_1","003N8EMH8GTFRIVOG7KG9J3KE","GSON5513100001")</f>
        <v>#NAME?</v>
      </c>
      <c r="P2744" s="3" t="e">
        <f ca="1">[1]!BexGetData("DP_1","003N8EMH8GTFRIVOG7KG9J9VY","GSON5513100001")</f>
        <v>#NAME?</v>
      </c>
      <c r="Q2744" s="4" t="e">
        <f ca="1">[1]!BexGetData("DP_1","00O2TNJGODT0G5Z4TTKYMM5MT","GSON5513100001")</f>
        <v>#NAME?</v>
      </c>
      <c r="R2744" s="4" t="e">
        <f ca="1">[1]!BexGetData("DP_1","00O2TNJGODT0G5Z4TTKYMMBYD","GSON5513100001")</f>
        <v>#NAME?</v>
      </c>
      <c r="S2744" s="4" t="e">
        <f ca="1">[1]!BexGetData("DP_1","00O2TNJGODT0G5Z4TTKYMMI9X","GSON5513100001")</f>
        <v>#NAME?</v>
      </c>
      <c r="T2744" s="4" t="e">
        <f ca="1">[1]!BexGetData("DP_1","00O2TNJGODT0G5Z4TTKYMMOLH","GSON5513100001")</f>
        <v>#NAME?</v>
      </c>
      <c r="U2744" s="4" t="e">
        <f ca="1">[1]!BexGetData("DP_1","00O2TNJGODT0G5Z4TTKYMMUX1","GSON5513100001")</f>
        <v>#NAME?</v>
      </c>
      <c r="V2744" s="4" t="e">
        <f ca="1">[1]!BexGetData("DP_1","00O2TNJGODT0G5Z4TTKYMN18L","GSON5513100001")</f>
        <v>#NAME?</v>
      </c>
      <c r="W2744" s="4" t="e">
        <f ca="1">[1]!BexGetData("DP_1","00O2TNJGODT0G5Z4TTKYMN7K5","GSON5513100001")</f>
        <v>#NAME?</v>
      </c>
    </row>
    <row r="2745" spans="1:23" x14ac:dyDescent="0.2">
      <c r="A2745" s="15" t="s">
        <v>1587</v>
      </c>
      <c r="B2745" s="7" t="s">
        <v>1588</v>
      </c>
      <c r="C2745" s="3" t="e">
        <f ca="1">[1]!BexGetData("DP_1","003N8EMH8GTFRCSWKMPXRR8GU","GSON5514")</f>
        <v>#NAME?</v>
      </c>
      <c r="D2745" s="8" t="e">
        <f ca="1">[1]!BexGetData("DP_1","003N8EMH8GTFRCSWKMPXRRESE","GSON5514")</f>
        <v>#NAME?</v>
      </c>
      <c r="E2745" s="3" t="e">
        <f ca="1">[1]!BexGetData("DP_1","003N8EMH8GTFRCSWKMPXRRL3Y","GSON5514")</f>
        <v>#NAME?</v>
      </c>
      <c r="F2745" s="4" t="e">
        <f ca="1">[1]!BexGetData("DP_1","003N8EMH8GTFRCSWKMPXRRRFI","GSON5514")</f>
        <v>#NAME?</v>
      </c>
      <c r="G2745" s="4" t="e">
        <f ca="1">[1]!BexGetData("DP_1","003N8EMH8GTFRCSWKMPXRRXR2","GSON5514")</f>
        <v>#NAME?</v>
      </c>
      <c r="H2745" s="4" t="e">
        <f ca="1">[1]!BexGetData("DP_1","003N8EMH8GTFRCSWKMPXRS42M","GSON5514")</f>
        <v>#NAME?</v>
      </c>
      <c r="I2745" s="4" t="e">
        <f ca="1">[1]!BexGetData("DP_1","003N8EMH8GTFRCSWKMPXRSAE6","GSON5514")</f>
        <v>#NAME?</v>
      </c>
      <c r="J2745" s="4" t="e">
        <f ca="1">[1]!BexGetData("DP_1","003N8EMH8GTFRCSWKMPXRSGPQ","GSON5514")</f>
        <v>#NAME?</v>
      </c>
      <c r="K2745" s="3" t="e">
        <f ca="1">[1]!BexGetData("DP_1","003N8EMH8GTFRIVNUPY288VJH","GSON5514")</f>
        <v>#NAME?</v>
      </c>
      <c r="L2745" s="3" t="e">
        <f ca="1">[1]!BexGetData("DP_1","003N8EMH8GTFRIVNUPY2891V1","GSON5514")</f>
        <v>#NAME?</v>
      </c>
      <c r="M2745" s="8" t="e">
        <f ca="1">[1]!BexGetData("DP_1","003N8EMH8GTFRIVOG7KG9IQXA","GSON5514")</f>
        <v>#NAME?</v>
      </c>
      <c r="N2745" s="3" t="e">
        <f ca="1">[1]!BexGetData("DP_1","003N8EMH8GTFRIVOG7KG9IX8U","GSON5514")</f>
        <v>#NAME?</v>
      </c>
      <c r="O2745" s="8" t="e">
        <f ca="1">[1]!BexGetData("DP_1","003N8EMH8GTFRIVOG7KG9J3KE","GSON5514")</f>
        <v>#NAME?</v>
      </c>
      <c r="P2745" s="3" t="e">
        <f ca="1">[1]!BexGetData("DP_1","003N8EMH8GTFRIVOG7KG9J9VY","GSON5514")</f>
        <v>#NAME?</v>
      </c>
      <c r="Q2745" s="4" t="e">
        <f ca="1">[1]!BexGetData("DP_1","00O2TNJGODT0G5Z4TTKYMM5MT","GSON5514")</f>
        <v>#NAME?</v>
      </c>
      <c r="R2745" s="4" t="e">
        <f ca="1">[1]!BexGetData("DP_1","00O2TNJGODT0G5Z4TTKYMMBYD","GSON5514")</f>
        <v>#NAME?</v>
      </c>
      <c r="S2745" s="4" t="e">
        <f ca="1">[1]!BexGetData("DP_1","00O2TNJGODT0G5Z4TTKYMMI9X","GSON5514")</f>
        <v>#NAME?</v>
      </c>
      <c r="T2745" s="4" t="e">
        <f ca="1">[1]!BexGetData("DP_1","00O2TNJGODT0G5Z4TTKYMMOLH","GSON5514")</f>
        <v>#NAME?</v>
      </c>
      <c r="U2745" s="4" t="e">
        <f ca="1">[1]!BexGetData("DP_1","00O2TNJGODT0G5Z4TTKYMMUX1","GSON5514")</f>
        <v>#NAME?</v>
      </c>
      <c r="V2745" s="4" t="e">
        <f ca="1">[1]!BexGetData("DP_1","00O2TNJGODT0G5Z4TTKYMN18L","GSON5514")</f>
        <v>#NAME?</v>
      </c>
      <c r="W2745" s="4" t="e">
        <f ca="1">[1]!BexGetData("DP_1","00O2TNJGODT0G5Z4TTKYMN7K5","GSON5514")</f>
        <v>#NAME?</v>
      </c>
    </row>
    <row r="2746" spans="1:23" x14ac:dyDescent="0.2">
      <c r="A2746" s="16" t="s">
        <v>1589</v>
      </c>
      <c r="B2746" s="7" t="s">
        <v>1590</v>
      </c>
      <c r="C2746" s="3" t="e">
        <f ca="1">[1]!BexGetData("DP_1","003N8EMH8GTFRCSWKMPXRR8GU","GSON5514100001")</f>
        <v>#NAME?</v>
      </c>
      <c r="D2746" s="8" t="e">
        <f ca="1">[1]!BexGetData("DP_1","003N8EMH8GTFRCSWKMPXRRESE","GSON5514100001")</f>
        <v>#NAME?</v>
      </c>
      <c r="E2746" s="3" t="e">
        <f ca="1">[1]!BexGetData("DP_1","003N8EMH8GTFRCSWKMPXRRL3Y","GSON5514100001")</f>
        <v>#NAME?</v>
      </c>
      <c r="F2746" s="4" t="e">
        <f ca="1">[1]!BexGetData("DP_1","003N8EMH8GTFRCSWKMPXRRRFI","GSON5514100001")</f>
        <v>#NAME?</v>
      </c>
      <c r="G2746" s="4" t="e">
        <f ca="1">[1]!BexGetData("DP_1","003N8EMH8GTFRCSWKMPXRRXR2","GSON5514100001")</f>
        <v>#NAME?</v>
      </c>
      <c r="H2746" s="4" t="e">
        <f ca="1">[1]!BexGetData("DP_1","003N8EMH8GTFRCSWKMPXRS42M","GSON5514100001")</f>
        <v>#NAME?</v>
      </c>
      <c r="I2746" s="4" t="e">
        <f ca="1">[1]!BexGetData("DP_1","003N8EMH8GTFRCSWKMPXRSAE6","GSON5514100001")</f>
        <v>#NAME?</v>
      </c>
      <c r="J2746" s="4" t="e">
        <f ca="1">[1]!BexGetData("DP_1","003N8EMH8GTFRCSWKMPXRSGPQ","GSON5514100001")</f>
        <v>#NAME?</v>
      </c>
      <c r="K2746" s="3" t="e">
        <f ca="1">[1]!BexGetData("DP_1","003N8EMH8GTFRIVNUPY288VJH","GSON5514100001")</f>
        <v>#NAME?</v>
      </c>
      <c r="L2746" s="3" t="e">
        <f ca="1">[1]!BexGetData("DP_1","003N8EMH8GTFRIVNUPY2891V1","GSON5514100001")</f>
        <v>#NAME?</v>
      </c>
      <c r="M2746" s="8" t="e">
        <f ca="1">[1]!BexGetData("DP_1","003N8EMH8GTFRIVOG7KG9IQXA","GSON5514100001")</f>
        <v>#NAME?</v>
      </c>
      <c r="N2746" s="3" t="e">
        <f ca="1">[1]!BexGetData("DP_1","003N8EMH8GTFRIVOG7KG9IX8U","GSON5514100001")</f>
        <v>#NAME?</v>
      </c>
      <c r="O2746" s="8" t="e">
        <f ca="1">[1]!BexGetData("DP_1","003N8EMH8GTFRIVOG7KG9J3KE","GSON5514100001")</f>
        <v>#NAME?</v>
      </c>
      <c r="P2746" s="3" t="e">
        <f ca="1">[1]!BexGetData("DP_1","003N8EMH8GTFRIVOG7KG9J9VY","GSON5514100001")</f>
        <v>#NAME?</v>
      </c>
      <c r="Q2746" s="4" t="e">
        <f ca="1">[1]!BexGetData("DP_1","00O2TNJGODT0G5Z4TTKYMM5MT","GSON5514100001")</f>
        <v>#NAME?</v>
      </c>
      <c r="R2746" s="4" t="e">
        <f ca="1">[1]!BexGetData("DP_1","00O2TNJGODT0G5Z4TTKYMMBYD","GSON5514100001")</f>
        <v>#NAME?</v>
      </c>
      <c r="S2746" s="4" t="e">
        <f ca="1">[1]!BexGetData("DP_1","00O2TNJGODT0G5Z4TTKYMMI9X","GSON5514100001")</f>
        <v>#NAME?</v>
      </c>
      <c r="T2746" s="4" t="e">
        <f ca="1">[1]!BexGetData("DP_1","00O2TNJGODT0G5Z4TTKYMMOLH","GSON5514100001")</f>
        <v>#NAME?</v>
      </c>
      <c r="U2746" s="4" t="e">
        <f ca="1">[1]!BexGetData("DP_1","00O2TNJGODT0G5Z4TTKYMMUX1","GSON5514100001")</f>
        <v>#NAME?</v>
      </c>
      <c r="V2746" s="4" t="e">
        <f ca="1">[1]!BexGetData("DP_1","00O2TNJGODT0G5Z4TTKYMN18L","GSON5514100001")</f>
        <v>#NAME?</v>
      </c>
      <c r="W2746" s="4" t="e">
        <f ca="1">[1]!BexGetData("DP_1","00O2TNJGODT0G5Z4TTKYMN7K5","GSON5514100001")</f>
        <v>#NAME?</v>
      </c>
    </row>
    <row r="2747" spans="1:23" x14ac:dyDescent="0.2">
      <c r="A2747" s="15" t="s">
        <v>1583</v>
      </c>
      <c r="B2747" s="7" t="s">
        <v>1591</v>
      </c>
      <c r="C2747" s="3" t="e">
        <f ca="1">[1]!BexGetData("DP_1","003N8EMH8GTFRCSWKMPXRR8GU","GSON5515")</f>
        <v>#NAME?</v>
      </c>
      <c r="D2747" s="3" t="e">
        <f ca="1">[1]!BexGetData("DP_1","003N8EMH8GTFRCSWKMPXRRESE","GSON5515")</f>
        <v>#NAME?</v>
      </c>
      <c r="E2747" s="3" t="e">
        <f ca="1">[1]!BexGetData("DP_1","003N8EMH8GTFRCSWKMPXRRL3Y","GSON5515")</f>
        <v>#NAME?</v>
      </c>
      <c r="F2747" s="4" t="e">
        <f ca="1">[1]!BexGetData("DP_1","003N8EMH8GTFRCSWKMPXRRRFI","GSON5515")</f>
        <v>#NAME?</v>
      </c>
      <c r="G2747" s="4" t="e">
        <f ca="1">[1]!BexGetData("DP_1","003N8EMH8GTFRCSWKMPXRRXR2","GSON5515")</f>
        <v>#NAME?</v>
      </c>
      <c r="H2747" s="4" t="e">
        <f ca="1">[1]!BexGetData("DP_1","003N8EMH8GTFRCSWKMPXRS42M","GSON5515")</f>
        <v>#NAME?</v>
      </c>
      <c r="I2747" s="4" t="e">
        <f ca="1">[1]!BexGetData("DP_1","003N8EMH8GTFRCSWKMPXRSAE6","GSON5515")</f>
        <v>#NAME?</v>
      </c>
      <c r="J2747" s="4" t="e">
        <f ca="1">[1]!BexGetData("DP_1","003N8EMH8GTFRCSWKMPXRSGPQ","GSON5515")</f>
        <v>#NAME?</v>
      </c>
      <c r="K2747" s="3" t="e">
        <f ca="1">[1]!BexGetData("DP_1","003N8EMH8GTFRIVNUPY288VJH","GSON5515")</f>
        <v>#NAME?</v>
      </c>
      <c r="L2747" s="3" t="e">
        <f ca="1">[1]!BexGetData("DP_1","003N8EMH8GTFRIVNUPY2891V1","GSON5515")</f>
        <v>#NAME?</v>
      </c>
      <c r="M2747" s="8" t="e">
        <f ca="1">[1]!BexGetData("DP_1","003N8EMH8GTFRIVOG7KG9IQXA","GSON5515")</f>
        <v>#NAME?</v>
      </c>
      <c r="N2747" s="3" t="e">
        <f ca="1">[1]!BexGetData("DP_1","003N8EMH8GTFRIVOG7KG9IX8U","GSON5515")</f>
        <v>#NAME?</v>
      </c>
      <c r="O2747" s="8" t="e">
        <f ca="1">[1]!BexGetData("DP_1","003N8EMH8GTFRIVOG7KG9J3KE","GSON5515")</f>
        <v>#NAME?</v>
      </c>
      <c r="P2747" s="3" t="e">
        <f ca="1">[1]!BexGetData("DP_1","003N8EMH8GTFRIVOG7KG9J9VY","GSON5515")</f>
        <v>#NAME?</v>
      </c>
      <c r="Q2747" s="4" t="e">
        <f ca="1">[1]!BexGetData("DP_1","00O2TNJGODT0G5Z4TTKYMM5MT","GSON5515")</f>
        <v>#NAME?</v>
      </c>
      <c r="R2747" s="4" t="e">
        <f ca="1">[1]!BexGetData("DP_1","00O2TNJGODT0G5Z4TTKYMMBYD","GSON5515")</f>
        <v>#NAME?</v>
      </c>
      <c r="S2747" s="4" t="e">
        <f ca="1">[1]!BexGetData("DP_1","00O2TNJGODT0G5Z4TTKYMMI9X","GSON5515")</f>
        <v>#NAME?</v>
      </c>
      <c r="T2747" s="4" t="e">
        <f ca="1">[1]!BexGetData("DP_1","00O2TNJGODT0G5Z4TTKYMMOLH","GSON5515")</f>
        <v>#NAME?</v>
      </c>
      <c r="U2747" s="4" t="e">
        <f ca="1">[1]!BexGetData("DP_1","00O2TNJGODT0G5Z4TTKYMMUX1","GSON5515")</f>
        <v>#NAME?</v>
      </c>
      <c r="V2747" s="4" t="e">
        <f ca="1">[1]!BexGetData("DP_1","00O2TNJGODT0G5Z4TTKYMN18L","GSON5515")</f>
        <v>#NAME?</v>
      </c>
      <c r="W2747" s="4" t="e">
        <f ca="1">[1]!BexGetData("DP_1","00O2TNJGODT0G5Z4TTKYMN7K5","GSON5515")</f>
        <v>#NAME?</v>
      </c>
    </row>
    <row r="2748" spans="1:23" x14ac:dyDescent="0.2">
      <c r="A2748" s="16" t="s">
        <v>1585</v>
      </c>
      <c r="B2748" s="7" t="s">
        <v>1592</v>
      </c>
      <c r="C2748" s="3" t="e">
        <f ca="1">[1]!BexGetData("DP_1","003N8EMH8GTFRCSWKMPXRR8GU","GSON5515100001")</f>
        <v>#NAME?</v>
      </c>
      <c r="D2748" s="3" t="e">
        <f ca="1">[1]!BexGetData("DP_1","003N8EMH8GTFRCSWKMPXRRESE","GSON5515100001")</f>
        <v>#NAME?</v>
      </c>
      <c r="E2748" s="3" t="e">
        <f ca="1">[1]!BexGetData("DP_1","003N8EMH8GTFRCSWKMPXRRL3Y","GSON5515100001")</f>
        <v>#NAME?</v>
      </c>
      <c r="F2748" s="4" t="e">
        <f ca="1">[1]!BexGetData("DP_1","003N8EMH8GTFRCSWKMPXRRRFI","GSON5515100001")</f>
        <v>#NAME?</v>
      </c>
      <c r="G2748" s="4" t="e">
        <f ca="1">[1]!BexGetData("DP_1","003N8EMH8GTFRCSWKMPXRRXR2","GSON5515100001")</f>
        <v>#NAME?</v>
      </c>
      <c r="H2748" s="4" t="e">
        <f ca="1">[1]!BexGetData("DP_1","003N8EMH8GTFRCSWKMPXRS42M","GSON5515100001")</f>
        <v>#NAME?</v>
      </c>
      <c r="I2748" s="4" t="e">
        <f ca="1">[1]!BexGetData("DP_1","003N8EMH8GTFRCSWKMPXRSAE6","GSON5515100001")</f>
        <v>#NAME?</v>
      </c>
      <c r="J2748" s="4" t="e">
        <f ca="1">[1]!BexGetData("DP_1","003N8EMH8GTFRCSWKMPXRSGPQ","GSON5515100001")</f>
        <v>#NAME?</v>
      </c>
      <c r="K2748" s="3" t="e">
        <f ca="1">[1]!BexGetData("DP_1","003N8EMH8GTFRIVNUPY288VJH","GSON5515100001")</f>
        <v>#NAME?</v>
      </c>
      <c r="L2748" s="3" t="e">
        <f ca="1">[1]!BexGetData("DP_1","003N8EMH8GTFRIVNUPY2891V1","GSON5515100001")</f>
        <v>#NAME?</v>
      </c>
      <c r="M2748" s="8" t="e">
        <f ca="1">[1]!BexGetData("DP_1","003N8EMH8GTFRIVOG7KG9IQXA","GSON5515100001")</f>
        <v>#NAME?</v>
      </c>
      <c r="N2748" s="3" t="e">
        <f ca="1">[1]!BexGetData("DP_1","003N8EMH8GTFRIVOG7KG9IX8U","GSON5515100001")</f>
        <v>#NAME?</v>
      </c>
      <c r="O2748" s="8" t="e">
        <f ca="1">[1]!BexGetData("DP_1","003N8EMH8GTFRIVOG7KG9J3KE","GSON5515100001")</f>
        <v>#NAME?</v>
      </c>
      <c r="P2748" s="3" t="e">
        <f ca="1">[1]!BexGetData("DP_1","003N8EMH8GTFRIVOG7KG9J9VY","GSON5515100001")</f>
        <v>#NAME?</v>
      </c>
      <c r="Q2748" s="4" t="e">
        <f ca="1">[1]!BexGetData("DP_1","00O2TNJGODT0G5Z4TTKYMM5MT","GSON5515100001")</f>
        <v>#NAME?</v>
      </c>
      <c r="R2748" s="4" t="e">
        <f ca="1">[1]!BexGetData("DP_1","00O2TNJGODT0G5Z4TTKYMMBYD","GSON5515100001")</f>
        <v>#NAME?</v>
      </c>
      <c r="S2748" s="4" t="e">
        <f ca="1">[1]!BexGetData("DP_1","00O2TNJGODT0G5Z4TTKYMMI9X","GSON5515100001")</f>
        <v>#NAME?</v>
      </c>
      <c r="T2748" s="4" t="e">
        <f ca="1">[1]!BexGetData("DP_1","00O2TNJGODT0G5Z4TTKYMMOLH","GSON5515100001")</f>
        <v>#NAME?</v>
      </c>
      <c r="U2748" s="4" t="e">
        <f ca="1">[1]!BexGetData("DP_1","00O2TNJGODT0G5Z4TTKYMMUX1","GSON5515100001")</f>
        <v>#NAME?</v>
      </c>
      <c r="V2748" s="4" t="e">
        <f ca="1">[1]!BexGetData("DP_1","00O2TNJGODT0G5Z4TTKYMN18L","GSON5515100001")</f>
        <v>#NAME?</v>
      </c>
      <c r="W2748" s="4" t="e">
        <f ca="1">[1]!BexGetData("DP_1","00O2TNJGODT0G5Z4TTKYMN7K5","GSON5515100001")</f>
        <v>#NAME?</v>
      </c>
    </row>
    <row r="2749" spans="1:23" x14ac:dyDescent="0.2">
      <c r="A2749" s="15" t="s">
        <v>1593</v>
      </c>
      <c r="B2749" s="7" t="s">
        <v>1594</v>
      </c>
      <c r="C2749" s="3" t="e">
        <f ca="1">[1]!BexGetData("DP_1","003N8EMH8GTFRCSWKMPXRR8GU","GSON5517")</f>
        <v>#NAME?</v>
      </c>
      <c r="D2749" s="3" t="e">
        <f ca="1">[1]!BexGetData("DP_1","003N8EMH8GTFRCSWKMPXRRESE","GSON5517")</f>
        <v>#NAME?</v>
      </c>
      <c r="E2749" s="3" t="e">
        <f ca="1">[1]!BexGetData("DP_1","003N8EMH8GTFRCSWKMPXRRL3Y","GSON5517")</f>
        <v>#NAME?</v>
      </c>
      <c r="F2749" s="4" t="e">
        <f ca="1">[1]!BexGetData("DP_1","003N8EMH8GTFRCSWKMPXRRRFI","GSON5517")</f>
        <v>#NAME?</v>
      </c>
      <c r="G2749" s="4" t="e">
        <f ca="1">[1]!BexGetData("DP_1","003N8EMH8GTFRCSWKMPXRRXR2","GSON5517")</f>
        <v>#NAME?</v>
      </c>
      <c r="H2749" s="4" t="e">
        <f ca="1">[1]!BexGetData("DP_1","003N8EMH8GTFRCSWKMPXRS42M","GSON5517")</f>
        <v>#NAME?</v>
      </c>
      <c r="I2749" s="4" t="e">
        <f ca="1">[1]!BexGetData("DP_1","003N8EMH8GTFRCSWKMPXRSAE6","GSON5517")</f>
        <v>#NAME?</v>
      </c>
      <c r="J2749" s="4" t="e">
        <f ca="1">[1]!BexGetData("DP_1","003N8EMH8GTFRCSWKMPXRSGPQ","GSON5517")</f>
        <v>#NAME?</v>
      </c>
      <c r="K2749" s="3" t="e">
        <f ca="1">[1]!BexGetData("DP_1","003N8EMH8GTFRIVNUPY288VJH","GSON5517")</f>
        <v>#NAME?</v>
      </c>
      <c r="L2749" s="3" t="e">
        <f ca="1">[1]!BexGetData("DP_1","003N8EMH8GTFRIVNUPY2891V1","GSON5517")</f>
        <v>#NAME?</v>
      </c>
      <c r="M2749" s="8" t="e">
        <f ca="1">[1]!BexGetData("DP_1","003N8EMH8GTFRIVOG7KG9IQXA","GSON5517")</f>
        <v>#NAME?</v>
      </c>
      <c r="N2749" s="3" t="e">
        <f ca="1">[1]!BexGetData("DP_1","003N8EMH8GTFRIVOG7KG9IX8U","GSON5517")</f>
        <v>#NAME?</v>
      </c>
      <c r="O2749" s="8" t="e">
        <f ca="1">[1]!BexGetData("DP_1","003N8EMH8GTFRIVOG7KG9J3KE","GSON5517")</f>
        <v>#NAME?</v>
      </c>
      <c r="P2749" s="3" t="e">
        <f ca="1">[1]!BexGetData("DP_1","003N8EMH8GTFRIVOG7KG9J9VY","GSON5517")</f>
        <v>#NAME?</v>
      </c>
      <c r="Q2749" s="4" t="e">
        <f ca="1">[1]!BexGetData("DP_1","00O2TNJGODT0G5Z4TTKYMM5MT","GSON5517")</f>
        <v>#NAME?</v>
      </c>
      <c r="R2749" s="4" t="e">
        <f ca="1">[1]!BexGetData("DP_1","00O2TNJGODT0G5Z4TTKYMMBYD","GSON5517")</f>
        <v>#NAME?</v>
      </c>
      <c r="S2749" s="4" t="e">
        <f ca="1">[1]!BexGetData("DP_1","00O2TNJGODT0G5Z4TTKYMMI9X","GSON5517")</f>
        <v>#NAME?</v>
      </c>
      <c r="T2749" s="4" t="e">
        <f ca="1">[1]!BexGetData("DP_1","00O2TNJGODT0G5Z4TTKYMMOLH","GSON5517")</f>
        <v>#NAME?</v>
      </c>
      <c r="U2749" s="4" t="e">
        <f ca="1">[1]!BexGetData("DP_1","00O2TNJGODT0G5Z4TTKYMMUX1","GSON5517")</f>
        <v>#NAME?</v>
      </c>
      <c r="V2749" s="4" t="e">
        <f ca="1">[1]!BexGetData("DP_1","00O2TNJGODT0G5Z4TTKYMN18L","GSON5517")</f>
        <v>#NAME?</v>
      </c>
      <c r="W2749" s="4" t="e">
        <f ca="1">[1]!BexGetData("DP_1","00O2TNJGODT0G5Z4TTKYMN7K5","GSON5517")</f>
        <v>#NAME?</v>
      </c>
    </row>
    <row r="2750" spans="1:23" x14ac:dyDescent="0.2">
      <c r="A2750" s="16" t="s">
        <v>5549</v>
      </c>
      <c r="B2750" s="7" t="s">
        <v>1595</v>
      </c>
      <c r="C2750" s="3" t="e">
        <f ca="1">[1]!BexGetData("DP_1","003N8EMH8GTFRCSWKMPXRR8GU","GSON5517100001")</f>
        <v>#NAME?</v>
      </c>
      <c r="D2750" s="3" t="e">
        <f ca="1">[1]!BexGetData("DP_1","003N8EMH8GTFRCSWKMPXRRESE","GSON5517100001")</f>
        <v>#NAME?</v>
      </c>
      <c r="E2750" s="3" t="e">
        <f ca="1">[1]!BexGetData("DP_1","003N8EMH8GTFRCSWKMPXRRL3Y","GSON5517100001")</f>
        <v>#NAME?</v>
      </c>
      <c r="F2750" s="4" t="e">
        <f ca="1">[1]!BexGetData("DP_1","003N8EMH8GTFRCSWKMPXRRRFI","GSON5517100001")</f>
        <v>#NAME?</v>
      </c>
      <c r="G2750" s="4" t="e">
        <f ca="1">[1]!BexGetData("DP_1","003N8EMH8GTFRCSWKMPXRRXR2","GSON5517100001")</f>
        <v>#NAME?</v>
      </c>
      <c r="H2750" s="4" t="e">
        <f ca="1">[1]!BexGetData("DP_1","003N8EMH8GTFRCSWKMPXRS42M","GSON5517100001")</f>
        <v>#NAME?</v>
      </c>
      <c r="I2750" s="4" t="e">
        <f ca="1">[1]!BexGetData("DP_1","003N8EMH8GTFRCSWKMPXRSAE6","GSON5517100001")</f>
        <v>#NAME?</v>
      </c>
      <c r="J2750" s="4" t="e">
        <f ca="1">[1]!BexGetData("DP_1","003N8EMH8GTFRCSWKMPXRSGPQ","GSON5517100001")</f>
        <v>#NAME?</v>
      </c>
      <c r="K2750" s="3" t="e">
        <f ca="1">[1]!BexGetData("DP_1","003N8EMH8GTFRIVNUPY288VJH","GSON5517100001")</f>
        <v>#NAME?</v>
      </c>
      <c r="L2750" s="3" t="e">
        <f ca="1">[1]!BexGetData("DP_1","003N8EMH8GTFRIVNUPY2891V1","GSON5517100001")</f>
        <v>#NAME?</v>
      </c>
      <c r="M2750" s="8" t="e">
        <f ca="1">[1]!BexGetData("DP_1","003N8EMH8GTFRIVOG7KG9IQXA","GSON5517100001")</f>
        <v>#NAME?</v>
      </c>
      <c r="N2750" s="3" t="e">
        <f ca="1">[1]!BexGetData("DP_1","003N8EMH8GTFRIVOG7KG9IX8U","GSON5517100001")</f>
        <v>#NAME?</v>
      </c>
      <c r="O2750" s="8" t="e">
        <f ca="1">[1]!BexGetData("DP_1","003N8EMH8GTFRIVOG7KG9J3KE","GSON5517100001")</f>
        <v>#NAME?</v>
      </c>
      <c r="P2750" s="3" t="e">
        <f ca="1">[1]!BexGetData("DP_1","003N8EMH8GTFRIVOG7KG9J9VY","GSON5517100001")</f>
        <v>#NAME?</v>
      </c>
      <c r="Q2750" s="4" t="e">
        <f ca="1">[1]!BexGetData("DP_1","00O2TNJGODT0G5Z4TTKYMM5MT","GSON5517100001")</f>
        <v>#NAME?</v>
      </c>
      <c r="R2750" s="4" t="e">
        <f ca="1">[1]!BexGetData("DP_1","00O2TNJGODT0G5Z4TTKYMMBYD","GSON5517100001")</f>
        <v>#NAME?</v>
      </c>
      <c r="S2750" s="4" t="e">
        <f ca="1">[1]!BexGetData("DP_1","00O2TNJGODT0G5Z4TTKYMMI9X","GSON5517100001")</f>
        <v>#NAME?</v>
      </c>
      <c r="T2750" s="4" t="e">
        <f ca="1">[1]!BexGetData("DP_1","00O2TNJGODT0G5Z4TTKYMMOLH","GSON5517100001")</f>
        <v>#NAME?</v>
      </c>
      <c r="U2750" s="4" t="e">
        <f ca="1">[1]!BexGetData("DP_1","00O2TNJGODT0G5Z4TTKYMMUX1","GSON5517100001")</f>
        <v>#NAME?</v>
      </c>
      <c r="V2750" s="4" t="e">
        <f ca="1">[1]!BexGetData("DP_1","00O2TNJGODT0G5Z4TTKYMN18L","GSON5517100001")</f>
        <v>#NAME?</v>
      </c>
      <c r="W2750" s="4" t="e">
        <f ca="1">[1]!BexGetData("DP_1","00O2TNJGODT0G5Z4TTKYMN7K5","GSON5517100001")</f>
        <v>#NAME?</v>
      </c>
    </row>
    <row r="2751" spans="1:23" x14ac:dyDescent="0.2">
      <c r="A2751" s="14" t="s">
        <v>114</v>
      </c>
      <c r="B2751" s="7" t="s">
        <v>115</v>
      </c>
      <c r="C2751" s="3" t="e">
        <f ca="1">[1]!BexGetData("DP_1","003N8EMH8GTFRCSWKMPXRR8GU","GSON559")</f>
        <v>#NAME?</v>
      </c>
      <c r="D2751" s="8" t="e">
        <f ca="1">[1]!BexGetData("DP_1","003N8EMH8GTFRCSWKMPXRRESE","GSON559")</f>
        <v>#NAME?</v>
      </c>
      <c r="E2751" s="3" t="e">
        <f ca="1">[1]!BexGetData("DP_1","003N8EMH8GTFRCSWKMPXRRL3Y","GSON559")</f>
        <v>#NAME?</v>
      </c>
      <c r="F2751" s="4" t="e">
        <f ca="1">[1]!BexGetData("DP_1","003N8EMH8GTFRCSWKMPXRRRFI","GSON559")</f>
        <v>#NAME?</v>
      </c>
      <c r="G2751" s="4" t="e">
        <f ca="1">[1]!BexGetData("DP_1","003N8EMH8GTFRCSWKMPXRRXR2","GSON559")</f>
        <v>#NAME?</v>
      </c>
      <c r="H2751" s="4" t="e">
        <f ca="1">[1]!BexGetData("DP_1","003N8EMH8GTFRCSWKMPXRS42M","GSON559")</f>
        <v>#NAME?</v>
      </c>
      <c r="I2751" s="4" t="e">
        <f ca="1">[1]!BexGetData("DP_1","003N8EMH8GTFRCSWKMPXRSAE6","GSON559")</f>
        <v>#NAME?</v>
      </c>
      <c r="J2751" s="4" t="e">
        <f ca="1">[1]!BexGetData("DP_1","003N8EMH8GTFRCSWKMPXRSGPQ","GSON559")</f>
        <v>#NAME?</v>
      </c>
      <c r="K2751" s="3" t="e">
        <f ca="1">[1]!BexGetData("DP_1","003N8EMH8GTFRIVNUPY288VJH","GSON559")</f>
        <v>#NAME?</v>
      </c>
      <c r="L2751" s="3" t="e">
        <f ca="1">[1]!BexGetData("DP_1","003N8EMH8GTFRIVNUPY2891V1","GSON559")</f>
        <v>#NAME?</v>
      </c>
      <c r="M2751" s="8" t="e">
        <f ca="1">[1]!BexGetData("DP_1","003N8EMH8GTFRIVOG7KG9IQXA","GSON559")</f>
        <v>#NAME?</v>
      </c>
      <c r="N2751" s="3" t="e">
        <f ca="1">[1]!BexGetData("DP_1","003N8EMH8GTFRIVOG7KG9IX8U","GSON559")</f>
        <v>#NAME?</v>
      </c>
      <c r="O2751" s="8" t="e">
        <f ca="1">[1]!BexGetData("DP_1","003N8EMH8GTFRIVOG7KG9J3KE","GSON559")</f>
        <v>#NAME?</v>
      </c>
      <c r="P2751" s="3" t="e">
        <f ca="1">[1]!BexGetData("DP_1","003N8EMH8GTFRIVOG7KG9J9VY","GSON559")</f>
        <v>#NAME?</v>
      </c>
      <c r="Q2751" s="4" t="e">
        <f ca="1">[1]!BexGetData("DP_1","00O2TNJGODT0G5Z4TTKYMM5MT","GSON559")</f>
        <v>#NAME?</v>
      </c>
      <c r="R2751" s="4" t="e">
        <f ca="1">[1]!BexGetData("DP_1","00O2TNJGODT0G5Z4TTKYMMBYD","GSON559")</f>
        <v>#NAME?</v>
      </c>
      <c r="S2751" s="4" t="e">
        <f ca="1">[1]!BexGetData("DP_1","00O2TNJGODT0G5Z4TTKYMMI9X","GSON559")</f>
        <v>#NAME?</v>
      </c>
      <c r="T2751" s="4" t="e">
        <f ca="1">[1]!BexGetData("DP_1","00O2TNJGODT0G5Z4TTKYMMOLH","GSON559")</f>
        <v>#NAME?</v>
      </c>
      <c r="U2751" s="4" t="e">
        <f ca="1">[1]!BexGetData("DP_1","00O2TNJGODT0G5Z4TTKYMMUX1","GSON559")</f>
        <v>#NAME?</v>
      </c>
      <c r="V2751" s="4" t="e">
        <f ca="1">[1]!BexGetData("DP_1","00O2TNJGODT0G5Z4TTKYMN18L","GSON559")</f>
        <v>#NAME?</v>
      </c>
      <c r="W2751" s="4" t="e">
        <f ca="1">[1]!BexGetData("DP_1","00O2TNJGODT0G5Z4TTKYMN7K5","GSON559")</f>
        <v>#NAME?</v>
      </c>
    </row>
    <row r="2752" spans="1:23" x14ac:dyDescent="0.2">
      <c r="A2752" s="15" t="s">
        <v>5026</v>
      </c>
      <c r="B2752" s="7" t="s">
        <v>5550</v>
      </c>
      <c r="C2752" s="3" t="e">
        <f ca="1">[1]!BexGetData("DP_1","003N8EMH8GTFRCSWKMPXRR8GU","GSON5596")</f>
        <v>#NAME?</v>
      </c>
      <c r="D2752" s="8" t="e">
        <f ca="1">[1]!BexGetData("DP_1","003N8EMH8GTFRCSWKMPXRRESE","GSON5596")</f>
        <v>#NAME?</v>
      </c>
      <c r="E2752" s="3" t="e">
        <f ca="1">[1]!BexGetData("DP_1","003N8EMH8GTFRCSWKMPXRRL3Y","GSON5596")</f>
        <v>#NAME?</v>
      </c>
      <c r="F2752" s="4" t="e">
        <f ca="1">[1]!BexGetData("DP_1","003N8EMH8GTFRCSWKMPXRRRFI","GSON5596")</f>
        <v>#NAME?</v>
      </c>
      <c r="G2752" s="4" t="e">
        <f ca="1">[1]!BexGetData("DP_1","003N8EMH8GTFRCSWKMPXRRXR2","GSON5596")</f>
        <v>#NAME?</v>
      </c>
      <c r="H2752" s="4" t="e">
        <f ca="1">[1]!BexGetData("DP_1","003N8EMH8GTFRCSWKMPXRS42M","GSON5596")</f>
        <v>#NAME?</v>
      </c>
      <c r="I2752" s="4" t="e">
        <f ca="1">[1]!BexGetData("DP_1","003N8EMH8GTFRCSWKMPXRSAE6","GSON5596")</f>
        <v>#NAME?</v>
      </c>
      <c r="J2752" s="4" t="e">
        <f ca="1">[1]!BexGetData("DP_1","003N8EMH8GTFRCSWKMPXRSGPQ","GSON5596")</f>
        <v>#NAME?</v>
      </c>
      <c r="K2752" s="3" t="e">
        <f ca="1">[1]!BexGetData("DP_1","003N8EMH8GTFRIVNUPY288VJH","GSON5596")</f>
        <v>#NAME?</v>
      </c>
      <c r="L2752" s="3" t="e">
        <f ca="1">[1]!BexGetData("DP_1","003N8EMH8GTFRIVNUPY2891V1","GSON5596")</f>
        <v>#NAME?</v>
      </c>
      <c r="M2752" s="8" t="e">
        <f ca="1">[1]!BexGetData("DP_1","003N8EMH8GTFRIVOG7KG9IQXA","GSON5596")</f>
        <v>#NAME?</v>
      </c>
      <c r="N2752" s="3" t="e">
        <f ca="1">[1]!BexGetData("DP_1","003N8EMH8GTFRIVOG7KG9IX8U","GSON5596")</f>
        <v>#NAME?</v>
      </c>
      <c r="O2752" s="8" t="e">
        <f ca="1">[1]!BexGetData("DP_1","003N8EMH8GTFRIVOG7KG9J3KE","GSON5596")</f>
        <v>#NAME?</v>
      </c>
      <c r="P2752" s="3" t="e">
        <f ca="1">[1]!BexGetData("DP_1","003N8EMH8GTFRIVOG7KG9J9VY","GSON5596")</f>
        <v>#NAME?</v>
      </c>
      <c r="Q2752" s="4" t="e">
        <f ca="1">[1]!BexGetData("DP_1","00O2TNJGODT0G5Z4TTKYMM5MT","GSON5596")</f>
        <v>#NAME?</v>
      </c>
      <c r="R2752" s="4" t="e">
        <f ca="1">[1]!BexGetData("DP_1","00O2TNJGODT0G5Z4TTKYMMBYD","GSON5596")</f>
        <v>#NAME?</v>
      </c>
      <c r="S2752" s="4" t="e">
        <f ca="1">[1]!BexGetData("DP_1","00O2TNJGODT0G5Z4TTKYMMI9X","GSON5596")</f>
        <v>#NAME?</v>
      </c>
      <c r="T2752" s="4" t="e">
        <f ca="1">[1]!BexGetData("DP_1","00O2TNJGODT0G5Z4TTKYMMOLH","GSON5596")</f>
        <v>#NAME?</v>
      </c>
      <c r="U2752" s="4" t="e">
        <f ca="1">[1]!BexGetData("DP_1","00O2TNJGODT0G5Z4TTKYMMUX1","GSON5596")</f>
        <v>#NAME?</v>
      </c>
      <c r="V2752" s="4" t="e">
        <f ca="1">[1]!BexGetData("DP_1","00O2TNJGODT0G5Z4TTKYMN18L","GSON5596")</f>
        <v>#NAME?</v>
      </c>
      <c r="W2752" s="4" t="e">
        <f ca="1">[1]!BexGetData("DP_1","00O2TNJGODT0G5Z4TTKYMN7K5","GSON5596")</f>
        <v>#NAME?</v>
      </c>
    </row>
    <row r="2753" spans="1:23" x14ac:dyDescent="0.2">
      <c r="A2753" s="16" t="s">
        <v>5551</v>
      </c>
      <c r="B2753" s="7" t="s">
        <v>5552</v>
      </c>
      <c r="C2753" s="3" t="e">
        <f ca="1">[1]!BexGetData("DP_1","003N8EMH8GTFRCSWKMPXRR8GU","GSON5596100001")</f>
        <v>#NAME?</v>
      </c>
      <c r="D2753" s="8" t="e">
        <f ca="1">[1]!BexGetData("DP_1","003N8EMH8GTFRCSWKMPXRRESE","GSON5596100001")</f>
        <v>#NAME?</v>
      </c>
      <c r="E2753" s="3" t="e">
        <f ca="1">[1]!BexGetData("DP_1","003N8EMH8GTFRCSWKMPXRRL3Y","GSON5596100001")</f>
        <v>#NAME?</v>
      </c>
      <c r="F2753" s="4" t="e">
        <f ca="1">[1]!BexGetData("DP_1","003N8EMH8GTFRCSWKMPXRRRFI","GSON5596100001")</f>
        <v>#NAME?</v>
      </c>
      <c r="G2753" s="4" t="e">
        <f ca="1">[1]!BexGetData("DP_1","003N8EMH8GTFRCSWKMPXRRXR2","GSON5596100001")</f>
        <v>#NAME?</v>
      </c>
      <c r="H2753" s="4" t="e">
        <f ca="1">[1]!BexGetData("DP_1","003N8EMH8GTFRCSWKMPXRS42M","GSON5596100001")</f>
        <v>#NAME?</v>
      </c>
      <c r="I2753" s="4" t="e">
        <f ca="1">[1]!BexGetData("DP_1","003N8EMH8GTFRCSWKMPXRSAE6","GSON5596100001")</f>
        <v>#NAME?</v>
      </c>
      <c r="J2753" s="4" t="e">
        <f ca="1">[1]!BexGetData("DP_1","003N8EMH8GTFRCSWKMPXRSGPQ","GSON5596100001")</f>
        <v>#NAME?</v>
      </c>
      <c r="K2753" s="3" t="e">
        <f ca="1">[1]!BexGetData("DP_1","003N8EMH8GTFRIVNUPY288VJH","GSON5596100001")</f>
        <v>#NAME?</v>
      </c>
      <c r="L2753" s="3" t="e">
        <f ca="1">[1]!BexGetData("DP_1","003N8EMH8GTFRIVNUPY2891V1","GSON5596100001")</f>
        <v>#NAME?</v>
      </c>
      <c r="M2753" s="8" t="e">
        <f ca="1">[1]!BexGetData("DP_1","003N8EMH8GTFRIVOG7KG9IQXA","GSON5596100001")</f>
        <v>#NAME?</v>
      </c>
      <c r="N2753" s="3" t="e">
        <f ca="1">[1]!BexGetData("DP_1","003N8EMH8GTFRIVOG7KG9IX8U","GSON5596100001")</f>
        <v>#NAME?</v>
      </c>
      <c r="O2753" s="8" t="e">
        <f ca="1">[1]!BexGetData("DP_1","003N8EMH8GTFRIVOG7KG9J3KE","GSON5596100001")</f>
        <v>#NAME?</v>
      </c>
      <c r="P2753" s="3" t="e">
        <f ca="1">[1]!BexGetData("DP_1","003N8EMH8GTFRIVOG7KG9J9VY","GSON5596100001")</f>
        <v>#NAME?</v>
      </c>
      <c r="Q2753" s="4" t="e">
        <f ca="1">[1]!BexGetData("DP_1","00O2TNJGODT0G5Z4TTKYMM5MT","GSON5596100001")</f>
        <v>#NAME?</v>
      </c>
      <c r="R2753" s="4" t="e">
        <f ca="1">[1]!BexGetData("DP_1","00O2TNJGODT0G5Z4TTKYMMBYD","GSON5596100001")</f>
        <v>#NAME?</v>
      </c>
      <c r="S2753" s="4" t="e">
        <f ca="1">[1]!BexGetData("DP_1","00O2TNJGODT0G5Z4TTKYMMI9X","GSON5596100001")</f>
        <v>#NAME?</v>
      </c>
      <c r="T2753" s="4" t="e">
        <f ca="1">[1]!BexGetData("DP_1","00O2TNJGODT0G5Z4TTKYMMOLH","GSON5596100001")</f>
        <v>#NAME?</v>
      </c>
      <c r="U2753" s="4" t="e">
        <f ca="1">[1]!BexGetData("DP_1","00O2TNJGODT0G5Z4TTKYMMUX1","GSON5596100001")</f>
        <v>#NAME?</v>
      </c>
      <c r="V2753" s="4" t="e">
        <f ca="1">[1]!BexGetData("DP_1","00O2TNJGODT0G5Z4TTKYMN18L","GSON5596100001")</f>
        <v>#NAME?</v>
      </c>
      <c r="W2753" s="4" t="e">
        <f ca="1">[1]!BexGetData("DP_1","00O2TNJGODT0G5Z4TTKYMN7K5","GSON5596100001")</f>
        <v>#NAME?</v>
      </c>
    </row>
    <row r="2754" spans="1:23" x14ac:dyDescent="0.2">
      <c r="A2754" s="15" t="s">
        <v>116</v>
      </c>
      <c r="B2754" s="7" t="s">
        <v>117</v>
      </c>
      <c r="C2754" s="3" t="e">
        <f ca="1">[1]!BexGetData("DP_1","003N8EMH8GTFRCSWKMPXRR8GU","GSON5599")</f>
        <v>#NAME?</v>
      </c>
      <c r="D2754" s="8" t="e">
        <f ca="1">[1]!BexGetData("DP_1","003N8EMH8GTFRCSWKMPXRRESE","GSON5599")</f>
        <v>#NAME?</v>
      </c>
      <c r="E2754" s="3" t="e">
        <f ca="1">[1]!BexGetData("DP_1","003N8EMH8GTFRCSWKMPXRRL3Y","GSON5599")</f>
        <v>#NAME?</v>
      </c>
      <c r="F2754" s="4" t="e">
        <f ca="1">[1]!BexGetData("DP_1","003N8EMH8GTFRCSWKMPXRRRFI","GSON5599")</f>
        <v>#NAME?</v>
      </c>
      <c r="G2754" s="4" t="e">
        <f ca="1">[1]!BexGetData("DP_1","003N8EMH8GTFRCSWKMPXRRXR2","GSON5599")</f>
        <v>#NAME?</v>
      </c>
      <c r="H2754" s="4" t="e">
        <f ca="1">[1]!BexGetData("DP_1","003N8EMH8GTFRCSWKMPXRS42M","GSON5599")</f>
        <v>#NAME?</v>
      </c>
      <c r="I2754" s="4" t="e">
        <f ca="1">[1]!BexGetData("DP_1","003N8EMH8GTFRCSWKMPXRSAE6","GSON5599")</f>
        <v>#NAME?</v>
      </c>
      <c r="J2754" s="4" t="e">
        <f ca="1">[1]!BexGetData("DP_1","003N8EMH8GTFRCSWKMPXRSGPQ","GSON5599")</f>
        <v>#NAME?</v>
      </c>
      <c r="K2754" s="3" t="e">
        <f ca="1">[1]!BexGetData("DP_1","003N8EMH8GTFRIVNUPY288VJH","GSON5599")</f>
        <v>#NAME?</v>
      </c>
      <c r="L2754" s="3" t="e">
        <f ca="1">[1]!BexGetData("DP_1","003N8EMH8GTFRIVNUPY2891V1","GSON5599")</f>
        <v>#NAME?</v>
      </c>
      <c r="M2754" s="8" t="e">
        <f ca="1">[1]!BexGetData("DP_1","003N8EMH8GTFRIVOG7KG9IQXA","GSON5599")</f>
        <v>#NAME?</v>
      </c>
      <c r="N2754" s="3" t="e">
        <f ca="1">[1]!BexGetData("DP_1","003N8EMH8GTFRIVOG7KG9IX8U","GSON5599")</f>
        <v>#NAME?</v>
      </c>
      <c r="O2754" s="8" t="e">
        <f ca="1">[1]!BexGetData("DP_1","003N8EMH8GTFRIVOG7KG9J3KE","GSON5599")</f>
        <v>#NAME?</v>
      </c>
      <c r="P2754" s="3" t="e">
        <f ca="1">[1]!BexGetData("DP_1","003N8EMH8GTFRIVOG7KG9J9VY","GSON5599")</f>
        <v>#NAME?</v>
      </c>
      <c r="Q2754" s="4" t="e">
        <f ca="1">[1]!BexGetData("DP_1","00O2TNJGODT0G5Z4TTKYMM5MT","GSON5599")</f>
        <v>#NAME?</v>
      </c>
      <c r="R2754" s="4" t="e">
        <f ca="1">[1]!BexGetData("DP_1","00O2TNJGODT0G5Z4TTKYMMBYD","GSON5599")</f>
        <v>#NAME?</v>
      </c>
      <c r="S2754" s="4" t="e">
        <f ca="1">[1]!BexGetData("DP_1","00O2TNJGODT0G5Z4TTKYMMI9X","GSON5599")</f>
        <v>#NAME?</v>
      </c>
      <c r="T2754" s="4" t="e">
        <f ca="1">[1]!BexGetData("DP_1","00O2TNJGODT0G5Z4TTKYMMOLH","GSON5599")</f>
        <v>#NAME?</v>
      </c>
      <c r="U2754" s="4" t="e">
        <f ca="1">[1]!BexGetData("DP_1","00O2TNJGODT0G5Z4TTKYMMUX1","GSON5599")</f>
        <v>#NAME?</v>
      </c>
      <c r="V2754" s="4" t="e">
        <f ca="1">[1]!BexGetData("DP_1","00O2TNJGODT0G5Z4TTKYMN18L","GSON5599")</f>
        <v>#NAME?</v>
      </c>
      <c r="W2754" s="4" t="e">
        <f ca="1">[1]!BexGetData("DP_1","00O2TNJGODT0G5Z4TTKYMN7K5","GSON5599")</f>
        <v>#NAME?</v>
      </c>
    </row>
    <row r="2755" spans="1:23" x14ac:dyDescent="0.2">
      <c r="A2755" s="16" t="s">
        <v>5553</v>
      </c>
      <c r="B2755" s="7" t="s">
        <v>403</v>
      </c>
      <c r="C2755" s="3" t="e">
        <f ca="1">[1]!BexGetData("DP_1","003N8EMH8GTFRCSWKMPXRR8GU","GSON5599109992")</f>
        <v>#NAME?</v>
      </c>
      <c r="D2755" s="8" t="e">
        <f ca="1">[1]!BexGetData("DP_1","003N8EMH8GTFRCSWKMPXRRESE","GSON5599109992")</f>
        <v>#NAME?</v>
      </c>
      <c r="E2755" s="3" t="e">
        <f ca="1">[1]!BexGetData("DP_1","003N8EMH8GTFRCSWKMPXRRL3Y","GSON5599109992")</f>
        <v>#NAME?</v>
      </c>
      <c r="F2755" s="4" t="e">
        <f ca="1">[1]!BexGetData("DP_1","003N8EMH8GTFRCSWKMPXRRRFI","GSON5599109992")</f>
        <v>#NAME?</v>
      </c>
      <c r="G2755" s="4" t="e">
        <f ca="1">[1]!BexGetData("DP_1","003N8EMH8GTFRCSWKMPXRRXR2","GSON5599109992")</f>
        <v>#NAME?</v>
      </c>
      <c r="H2755" s="4" t="e">
        <f ca="1">[1]!BexGetData("DP_1","003N8EMH8GTFRCSWKMPXRS42M","GSON5599109992")</f>
        <v>#NAME?</v>
      </c>
      <c r="I2755" s="4" t="e">
        <f ca="1">[1]!BexGetData("DP_1","003N8EMH8GTFRCSWKMPXRSAE6","GSON5599109992")</f>
        <v>#NAME?</v>
      </c>
      <c r="J2755" s="4" t="e">
        <f ca="1">[1]!BexGetData("DP_1","003N8EMH8GTFRCSWKMPXRSGPQ","GSON5599109992")</f>
        <v>#NAME?</v>
      </c>
      <c r="K2755" s="3" t="e">
        <f ca="1">[1]!BexGetData("DP_1","003N8EMH8GTFRIVNUPY288VJH","GSON5599109992")</f>
        <v>#NAME?</v>
      </c>
      <c r="L2755" s="3" t="e">
        <f ca="1">[1]!BexGetData("DP_1","003N8EMH8GTFRIVNUPY2891V1","GSON5599109992")</f>
        <v>#NAME?</v>
      </c>
      <c r="M2755" s="8" t="e">
        <f ca="1">[1]!BexGetData("DP_1","003N8EMH8GTFRIVOG7KG9IQXA","GSON5599109992")</f>
        <v>#NAME?</v>
      </c>
      <c r="N2755" s="3" t="e">
        <f ca="1">[1]!BexGetData("DP_1","003N8EMH8GTFRIVOG7KG9IX8U","GSON5599109992")</f>
        <v>#NAME?</v>
      </c>
      <c r="O2755" s="8" t="e">
        <f ca="1">[1]!BexGetData("DP_1","003N8EMH8GTFRIVOG7KG9J3KE","GSON5599109992")</f>
        <v>#NAME?</v>
      </c>
      <c r="P2755" s="3" t="e">
        <f ca="1">[1]!BexGetData("DP_1","003N8EMH8GTFRIVOG7KG9J9VY","GSON5599109992")</f>
        <v>#NAME?</v>
      </c>
      <c r="Q2755" s="4" t="e">
        <f ca="1">[1]!BexGetData("DP_1","00O2TNJGODT0G5Z4TTKYMM5MT","GSON5599109992")</f>
        <v>#NAME?</v>
      </c>
      <c r="R2755" s="4" t="e">
        <f ca="1">[1]!BexGetData("DP_1","00O2TNJGODT0G5Z4TTKYMMBYD","GSON5599109992")</f>
        <v>#NAME?</v>
      </c>
      <c r="S2755" s="4" t="e">
        <f ca="1">[1]!BexGetData("DP_1","00O2TNJGODT0G5Z4TTKYMMI9X","GSON5599109992")</f>
        <v>#NAME?</v>
      </c>
      <c r="T2755" s="4" t="e">
        <f ca="1">[1]!BexGetData("DP_1","00O2TNJGODT0G5Z4TTKYMMOLH","GSON5599109992")</f>
        <v>#NAME?</v>
      </c>
      <c r="U2755" s="4" t="e">
        <f ca="1">[1]!BexGetData("DP_1","00O2TNJGODT0G5Z4TTKYMMUX1","GSON5599109992")</f>
        <v>#NAME?</v>
      </c>
      <c r="V2755" s="4" t="e">
        <f ca="1">[1]!BexGetData("DP_1","00O2TNJGODT0G5Z4TTKYMN18L","GSON5599109992")</f>
        <v>#NAME?</v>
      </c>
      <c r="W2755" s="4" t="e">
        <f ca="1">[1]!BexGetData("DP_1","00O2TNJGODT0G5Z4TTKYMN7K5","GSON5599109992")</f>
        <v>#NAME?</v>
      </c>
    </row>
    <row r="2756" spans="1:23" x14ac:dyDescent="0.2">
      <c r="A2756" s="11" t="s">
        <v>118</v>
      </c>
      <c r="B2756" s="5" t="s">
        <v>119</v>
      </c>
      <c r="C2756" s="3" t="e">
        <f ca="1">[1]!BexGetData("DP_1","003N8EMH8GTFRCSWKMPXRR8GU","GSON7")</f>
        <v>#NAME?</v>
      </c>
      <c r="D2756" s="3" t="e">
        <f ca="1">[1]!BexGetData("DP_1","003N8EMH8GTFRCSWKMPXRRESE","GSON7")</f>
        <v>#NAME?</v>
      </c>
      <c r="E2756" s="8" t="e">
        <f ca="1">[1]!BexGetData("DP_1","003N8EMH8GTFRCSWKMPXRRL3Y","GSON7")</f>
        <v>#NAME?</v>
      </c>
      <c r="F2756" s="8" t="e">
        <f ca="1">[1]!BexGetData("DP_1","003N8EMH8GTFRCSWKMPXRRRFI","GSON7")</f>
        <v>#NAME?</v>
      </c>
      <c r="G2756" s="3" t="e">
        <f ca="1">[1]!BexGetData("DP_1","003N8EMH8GTFRCSWKMPXRRXR2","GSON7")</f>
        <v>#NAME?</v>
      </c>
      <c r="H2756" s="3" t="e">
        <f ca="1">[1]!BexGetData("DP_1","003N8EMH8GTFRCSWKMPXRS42M","GSON7")</f>
        <v>#NAME?</v>
      </c>
      <c r="I2756" s="8" t="e">
        <f ca="1">[1]!BexGetData("DP_1","003N8EMH8GTFRCSWKMPXRSAE6","GSON7")</f>
        <v>#NAME?</v>
      </c>
      <c r="J2756" s="4" t="e">
        <f ca="1">[1]!BexGetData("DP_1","003N8EMH8GTFRCSWKMPXRSGPQ","GSON7")</f>
        <v>#NAME?</v>
      </c>
      <c r="K2756" s="8" t="e">
        <f ca="1">[1]!BexGetData("DP_1","003N8EMH8GTFRIVNUPY288VJH","GSON7")</f>
        <v>#NAME?</v>
      </c>
      <c r="L2756" s="8" t="e">
        <f ca="1">[1]!BexGetData("DP_1","003N8EMH8GTFRIVNUPY2891V1","GSON7")</f>
        <v>#NAME?</v>
      </c>
      <c r="M2756" s="8" t="e">
        <f ca="1">[1]!BexGetData("DP_1","003N8EMH8GTFRIVOG7KG9IQXA","GSON7")</f>
        <v>#NAME?</v>
      </c>
      <c r="N2756" s="8" t="e">
        <f ca="1">[1]!BexGetData("DP_1","003N8EMH8GTFRIVOG7KG9IX8U","GSON7")</f>
        <v>#NAME?</v>
      </c>
      <c r="O2756" s="8" t="e">
        <f ca="1">[1]!BexGetData("DP_1","003N8EMH8GTFRIVOG7KG9J3KE","GSON7")</f>
        <v>#NAME?</v>
      </c>
      <c r="P2756" s="8" t="e">
        <f ca="1">[1]!BexGetData("DP_1","003N8EMH8GTFRIVOG7KG9J9VY","GSON7")</f>
        <v>#NAME?</v>
      </c>
      <c r="Q2756" s="4" t="e">
        <f ca="1">[1]!BexGetData("DP_1","00O2TNJGODT0G5Z4TTKYMM5MT","GSON7")</f>
        <v>#NAME?</v>
      </c>
      <c r="R2756" s="8" t="e">
        <f ca="1">[1]!BexGetData("DP_1","00O2TNJGODT0G5Z4TTKYMMBYD","GSON7")</f>
        <v>#NAME?</v>
      </c>
      <c r="S2756" s="8" t="e">
        <f ca="1">[1]!BexGetData("DP_1","00O2TNJGODT0G5Z4TTKYMMI9X","GSON7")</f>
        <v>#NAME?</v>
      </c>
      <c r="T2756" s="8" t="e">
        <f ca="1">[1]!BexGetData("DP_1","00O2TNJGODT0G5Z4TTKYMMOLH","GSON7")</f>
        <v>#NAME?</v>
      </c>
      <c r="U2756" s="8" t="e">
        <f ca="1">[1]!BexGetData("DP_1","00O2TNJGODT0G5Z4TTKYMMUX1","GSON7")</f>
        <v>#NAME?</v>
      </c>
      <c r="V2756" s="8" t="e">
        <f ca="1">[1]!BexGetData("DP_1","00O2TNJGODT0G5Z4TTKYMN18L","GSON7")</f>
        <v>#NAME?</v>
      </c>
      <c r="W2756" s="8" t="e">
        <f ca="1">[1]!BexGetData("DP_1","00O2TNJGODT0G5Z4TTKYMN7K5","GSON7")</f>
        <v>#NAME?</v>
      </c>
    </row>
    <row r="2757" spans="1:23" x14ac:dyDescent="0.2">
      <c r="A2757" s="12" t="s">
        <v>1596</v>
      </c>
      <c r="B2757" s="6" t="s">
        <v>1597</v>
      </c>
      <c r="C2757" s="3" t="e">
        <f ca="1">[1]!BexGetData("DP_1","003N8EMH8GTFRCSWKMPXRR8GU","GSON73")</f>
        <v>#NAME?</v>
      </c>
      <c r="D2757" s="3" t="e">
        <f ca="1">[1]!BexGetData("DP_1","003N8EMH8GTFRCSWKMPXRRESE","GSON73")</f>
        <v>#NAME?</v>
      </c>
      <c r="E2757" s="8" t="e">
        <f ca="1">[1]!BexGetData("DP_1","003N8EMH8GTFRCSWKMPXRRL3Y","GSON73")</f>
        <v>#NAME?</v>
      </c>
      <c r="F2757" s="8" t="e">
        <f ca="1">[1]!BexGetData("DP_1","003N8EMH8GTFRCSWKMPXRRRFI","GSON73")</f>
        <v>#NAME?</v>
      </c>
      <c r="G2757" s="3" t="e">
        <f ca="1">[1]!BexGetData("DP_1","003N8EMH8GTFRCSWKMPXRRXR2","GSON73")</f>
        <v>#NAME?</v>
      </c>
      <c r="H2757" s="3" t="e">
        <f ca="1">[1]!BexGetData("DP_1","003N8EMH8GTFRCSWKMPXRS42M","GSON73")</f>
        <v>#NAME?</v>
      </c>
      <c r="I2757" s="8" t="e">
        <f ca="1">[1]!BexGetData("DP_1","003N8EMH8GTFRCSWKMPXRSAE6","GSON73")</f>
        <v>#NAME?</v>
      </c>
      <c r="J2757" s="4" t="e">
        <f ca="1">[1]!BexGetData("DP_1","003N8EMH8GTFRCSWKMPXRSGPQ","GSON73")</f>
        <v>#NAME?</v>
      </c>
      <c r="K2757" s="8" t="e">
        <f ca="1">[1]!BexGetData("DP_1","003N8EMH8GTFRIVNUPY288VJH","GSON73")</f>
        <v>#NAME?</v>
      </c>
      <c r="L2757" s="8" t="e">
        <f ca="1">[1]!BexGetData("DP_1","003N8EMH8GTFRIVNUPY2891V1","GSON73")</f>
        <v>#NAME?</v>
      </c>
      <c r="M2757" s="8" t="e">
        <f ca="1">[1]!BexGetData("DP_1","003N8EMH8GTFRIVOG7KG9IQXA","GSON73")</f>
        <v>#NAME?</v>
      </c>
      <c r="N2757" s="8" t="e">
        <f ca="1">[1]!BexGetData("DP_1","003N8EMH8GTFRIVOG7KG9IX8U","GSON73")</f>
        <v>#NAME?</v>
      </c>
      <c r="O2757" s="8" t="e">
        <f ca="1">[1]!BexGetData("DP_1","003N8EMH8GTFRIVOG7KG9J3KE","GSON73")</f>
        <v>#NAME?</v>
      </c>
      <c r="P2757" s="8" t="e">
        <f ca="1">[1]!BexGetData("DP_1","003N8EMH8GTFRIVOG7KG9J9VY","GSON73")</f>
        <v>#NAME?</v>
      </c>
      <c r="Q2757" s="4" t="e">
        <f ca="1">[1]!BexGetData("DP_1","00O2TNJGODT0G5Z4TTKYMM5MT","GSON73")</f>
        <v>#NAME?</v>
      </c>
      <c r="R2757" s="8" t="e">
        <f ca="1">[1]!BexGetData("DP_1","00O2TNJGODT0G5Z4TTKYMMBYD","GSON73")</f>
        <v>#NAME?</v>
      </c>
      <c r="S2757" s="8" t="e">
        <f ca="1">[1]!BexGetData("DP_1","00O2TNJGODT0G5Z4TTKYMMI9X","GSON73")</f>
        <v>#NAME?</v>
      </c>
      <c r="T2757" s="8" t="e">
        <f ca="1">[1]!BexGetData("DP_1","00O2TNJGODT0G5Z4TTKYMMOLH","GSON73")</f>
        <v>#NAME?</v>
      </c>
      <c r="U2757" s="8" t="e">
        <f ca="1">[1]!BexGetData("DP_1","00O2TNJGODT0G5Z4TTKYMMUX1","GSON73")</f>
        <v>#NAME?</v>
      </c>
      <c r="V2757" s="8" t="e">
        <f ca="1">[1]!BexGetData("DP_1","00O2TNJGODT0G5Z4TTKYMN18L","GSON73")</f>
        <v>#NAME?</v>
      </c>
      <c r="W2757" s="8" t="e">
        <f ca="1">[1]!BexGetData("DP_1","00O2TNJGODT0G5Z4TTKYMN7K5","GSON73")</f>
        <v>#NAME?</v>
      </c>
    </row>
    <row r="2758" spans="1:23" x14ac:dyDescent="0.2">
      <c r="A2758" s="13" t="s">
        <v>5554</v>
      </c>
      <c r="B2758" s="7" t="s">
        <v>5555</v>
      </c>
      <c r="C2758" s="8" t="e">
        <f ca="1">[1]!BexGetData("DP_1","003N8EMH8GTFRCSWKMPXRR8GU","GSON7310100001")</f>
        <v>#NAME?</v>
      </c>
      <c r="D2758" s="3" t="e">
        <f ca="1">[1]!BexGetData("DP_1","003N8EMH8GTFRCSWKMPXRRESE","GSON7310100001")</f>
        <v>#NAME?</v>
      </c>
      <c r="E2758" s="3" t="e">
        <f ca="1">[1]!BexGetData("DP_1","003N8EMH8GTFRCSWKMPXRRL3Y","GSON7310100001")</f>
        <v>#NAME?</v>
      </c>
      <c r="F2758" s="3" t="e">
        <f ca="1">[1]!BexGetData("DP_1","003N8EMH8GTFRCSWKMPXRRRFI","GSON7310100001")</f>
        <v>#NAME?</v>
      </c>
      <c r="G2758" s="3" t="e">
        <f ca="1">[1]!BexGetData("DP_1","003N8EMH8GTFRCSWKMPXRRXR2","GSON7310100001")</f>
        <v>#NAME?</v>
      </c>
      <c r="H2758" s="8" t="e">
        <f ca="1">[1]!BexGetData("DP_1","003N8EMH8GTFRCSWKMPXRS42M","GSON7310100001")</f>
        <v>#NAME?</v>
      </c>
      <c r="I2758" s="3" t="e">
        <f ca="1">[1]!BexGetData("DP_1","003N8EMH8GTFRCSWKMPXRSAE6","GSON7310100001")</f>
        <v>#NAME?</v>
      </c>
      <c r="J2758" s="4" t="e">
        <f ca="1">[1]!BexGetData("DP_1","003N8EMH8GTFRCSWKMPXRSGPQ","GSON7310100001")</f>
        <v>#NAME?</v>
      </c>
      <c r="K2758" s="3" t="e">
        <f ca="1">[1]!BexGetData("DP_1","003N8EMH8GTFRIVNUPY288VJH","GSON7310100001")</f>
        <v>#NAME?</v>
      </c>
      <c r="L2758" s="3" t="e">
        <f ca="1">[1]!BexGetData("DP_1","003N8EMH8GTFRIVNUPY2891V1","GSON7310100001")</f>
        <v>#NAME?</v>
      </c>
      <c r="M2758" s="3" t="e">
        <f ca="1">[1]!BexGetData("DP_1","003N8EMH8GTFRIVOG7KG9IQXA","GSON7310100001")</f>
        <v>#NAME?</v>
      </c>
      <c r="N2758" s="8" t="e">
        <f ca="1">[1]!BexGetData("DP_1","003N8EMH8GTFRIVOG7KG9IX8U","GSON7310100001")</f>
        <v>#NAME?</v>
      </c>
      <c r="O2758" s="3" t="e">
        <f ca="1">[1]!BexGetData("DP_1","003N8EMH8GTFRIVOG7KG9J3KE","GSON7310100001")</f>
        <v>#NAME?</v>
      </c>
      <c r="P2758" s="8" t="e">
        <f ca="1">[1]!BexGetData("DP_1","003N8EMH8GTFRIVOG7KG9J9VY","GSON7310100001")</f>
        <v>#NAME?</v>
      </c>
      <c r="Q2758" s="4" t="e">
        <f ca="1">[1]!BexGetData("DP_1","00O2TNJGODT0G5Z4TTKYMM5MT","GSON7310100001")</f>
        <v>#NAME?</v>
      </c>
      <c r="R2758" s="3" t="e">
        <f ca="1">[1]!BexGetData("DP_1","00O2TNJGODT0G5Z4TTKYMMBYD","GSON7310100001")</f>
        <v>#NAME?</v>
      </c>
      <c r="S2758" s="3" t="e">
        <f ca="1">[1]!BexGetData("DP_1","00O2TNJGODT0G5Z4TTKYMMI9X","GSON7310100001")</f>
        <v>#NAME?</v>
      </c>
      <c r="T2758" s="8" t="e">
        <f ca="1">[1]!BexGetData("DP_1","00O2TNJGODT0G5Z4TTKYMMOLH","GSON7310100001")</f>
        <v>#NAME?</v>
      </c>
      <c r="U2758" s="3" t="e">
        <f ca="1">[1]!BexGetData("DP_1","00O2TNJGODT0G5Z4TTKYMMUX1","GSON7310100001")</f>
        <v>#NAME?</v>
      </c>
      <c r="V2758" s="8" t="e">
        <f ca="1">[1]!BexGetData("DP_1","00O2TNJGODT0G5Z4TTKYMN18L","GSON7310100001")</f>
        <v>#NAME?</v>
      </c>
      <c r="W2758" s="3" t="e">
        <f ca="1">[1]!BexGetData("DP_1","00O2TNJGODT0G5Z4TTKYMN7K5","GSON7310100001")</f>
        <v>#NAME?</v>
      </c>
    </row>
    <row r="2759" spans="1:23" x14ac:dyDescent="0.2">
      <c r="A2759" s="13" t="s">
        <v>5556</v>
      </c>
      <c r="B2759" s="7" t="s">
        <v>5557</v>
      </c>
      <c r="C2759" s="8" t="e">
        <f ca="1">[1]!BexGetData("DP_1","003N8EMH8GTFRCSWKMPXRR8GU","GSON7310100002")</f>
        <v>#NAME?</v>
      </c>
      <c r="D2759" s="3" t="e">
        <f ca="1">[1]!BexGetData("DP_1","003N8EMH8GTFRCSWKMPXRRESE","GSON7310100002")</f>
        <v>#NAME?</v>
      </c>
      <c r="E2759" s="3" t="e">
        <f ca="1">[1]!BexGetData("DP_1","003N8EMH8GTFRCSWKMPXRRL3Y","GSON7310100002")</f>
        <v>#NAME?</v>
      </c>
      <c r="F2759" s="3" t="e">
        <f ca="1">[1]!BexGetData("DP_1","003N8EMH8GTFRCSWKMPXRRRFI","GSON7310100002")</f>
        <v>#NAME?</v>
      </c>
      <c r="G2759" s="3" t="e">
        <f ca="1">[1]!BexGetData("DP_1","003N8EMH8GTFRCSWKMPXRRXR2","GSON7310100002")</f>
        <v>#NAME?</v>
      </c>
      <c r="H2759" s="8" t="e">
        <f ca="1">[1]!BexGetData("DP_1","003N8EMH8GTFRCSWKMPXRS42M","GSON7310100002")</f>
        <v>#NAME?</v>
      </c>
      <c r="I2759" s="3" t="e">
        <f ca="1">[1]!BexGetData("DP_1","003N8EMH8GTFRCSWKMPXRSAE6","GSON7310100002")</f>
        <v>#NAME?</v>
      </c>
      <c r="J2759" s="4" t="e">
        <f ca="1">[1]!BexGetData("DP_1","003N8EMH8GTFRCSWKMPXRSGPQ","GSON7310100002")</f>
        <v>#NAME?</v>
      </c>
      <c r="K2759" s="3" t="e">
        <f ca="1">[1]!BexGetData("DP_1","003N8EMH8GTFRIVNUPY288VJH","GSON7310100002")</f>
        <v>#NAME?</v>
      </c>
      <c r="L2759" s="3" t="e">
        <f ca="1">[1]!BexGetData("DP_1","003N8EMH8GTFRIVNUPY2891V1","GSON7310100002")</f>
        <v>#NAME?</v>
      </c>
      <c r="M2759" s="3" t="e">
        <f ca="1">[1]!BexGetData("DP_1","003N8EMH8GTFRIVOG7KG9IQXA","GSON7310100002")</f>
        <v>#NAME?</v>
      </c>
      <c r="N2759" s="8" t="e">
        <f ca="1">[1]!BexGetData("DP_1","003N8EMH8GTFRIVOG7KG9IX8U","GSON7310100002")</f>
        <v>#NAME?</v>
      </c>
      <c r="O2759" s="3" t="e">
        <f ca="1">[1]!BexGetData("DP_1","003N8EMH8GTFRIVOG7KG9J3KE","GSON7310100002")</f>
        <v>#NAME?</v>
      </c>
      <c r="P2759" s="8" t="e">
        <f ca="1">[1]!BexGetData("DP_1","003N8EMH8GTFRIVOG7KG9J9VY","GSON7310100002")</f>
        <v>#NAME?</v>
      </c>
      <c r="Q2759" s="4" t="e">
        <f ca="1">[1]!BexGetData("DP_1","00O2TNJGODT0G5Z4TTKYMM5MT","GSON7310100002")</f>
        <v>#NAME?</v>
      </c>
      <c r="R2759" s="3" t="e">
        <f ca="1">[1]!BexGetData("DP_1","00O2TNJGODT0G5Z4TTKYMMBYD","GSON7310100002")</f>
        <v>#NAME?</v>
      </c>
      <c r="S2759" s="3" t="e">
        <f ca="1">[1]!BexGetData("DP_1","00O2TNJGODT0G5Z4TTKYMMI9X","GSON7310100002")</f>
        <v>#NAME?</v>
      </c>
      <c r="T2759" s="8" t="e">
        <f ca="1">[1]!BexGetData("DP_1","00O2TNJGODT0G5Z4TTKYMMOLH","GSON7310100002")</f>
        <v>#NAME?</v>
      </c>
      <c r="U2759" s="3" t="e">
        <f ca="1">[1]!BexGetData("DP_1","00O2TNJGODT0G5Z4TTKYMMUX1","GSON7310100002")</f>
        <v>#NAME?</v>
      </c>
      <c r="V2759" s="8" t="e">
        <f ca="1">[1]!BexGetData("DP_1","00O2TNJGODT0G5Z4TTKYMN18L","GSON7310100002")</f>
        <v>#NAME?</v>
      </c>
      <c r="W2759" s="3" t="e">
        <f ca="1">[1]!BexGetData("DP_1","00O2TNJGODT0G5Z4TTKYMN7K5","GSON7310100002")</f>
        <v>#NAME?</v>
      </c>
    </row>
    <row r="2760" spans="1:23" x14ac:dyDescent="0.2">
      <c r="A2760" s="13" t="s">
        <v>5558</v>
      </c>
      <c r="B2760" s="7" t="s">
        <v>5559</v>
      </c>
      <c r="C2760" s="8" t="e">
        <f ca="1">[1]!BexGetData("DP_1","003N8EMH8GTFRCSWKMPXRR8GU","GSON7310100003")</f>
        <v>#NAME?</v>
      </c>
      <c r="D2760" s="3" t="e">
        <f ca="1">[1]!BexGetData("DP_1","003N8EMH8GTFRCSWKMPXRRESE","GSON7310100003")</f>
        <v>#NAME?</v>
      </c>
      <c r="E2760" s="8" t="e">
        <f ca="1">[1]!BexGetData("DP_1","003N8EMH8GTFRCSWKMPXRRL3Y","GSON7310100003")</f>
        <v>#NAME?</v>
      </c>
      <c r="F2760" s="3" t="e">
        <f ca="1">[1]!BexGetData("DP_1","003N8EMH8GTFRCSWKMPXRRRFI","GSON7310100003")</f>
        <v>#NAME?</v>
      </c>
      <c r="G2760" s="3" t="e">
        <f ca="1">[1]!BexGetData("DP_1","003N8EMH8GTFRCSWKMPXRRXR2","GSON7310100003")</f>
        <v>#NAME?</v>
      </c>
      <c r="H2760" s="8" t="e">
        <f ca="1">[1]!BexGetData("DP_1","003N8EMH8GTFRCSWKMPXRS42M","GSON7310100003")</f>
        <v>#NAME?</v>
      </c>
      <c r="I2760" s="3" t="e">
        <f ca="1">[1]!BexGetData("DP_1","003N8EMH8GTFRCSWKMPXRSAE6","GSON7310100003")</f>
        <v>#NAME?</v>
      </c>
      <c r="J2760" s="4" t="e">
        <f ca="1">[1]!BexGetData("DP_1","003N8EMH8GTFRCSWKMPXRSGPQ","GSON7310100003")</f>
        <v>#NAME?</v>
      </c>
      <c r="K2760" s="3" t="e">
        <f ca="1">[1]!BexGetData("DP_1","003N8EMH8GTFRIVNUPY288VJH","GSON7310100003")</f>
        <v>#NAME?</v>
      </c>
      <c r="L2760" s="3" t="e">
        <f ca="1">[1]!BexGetData("DP_1","003N8EMH8GTFRIVNUPY2891V1","GSON7310100003")</f>
        <v>#NAME?</v>
      </c>
      <c r="M2760" s="3" t="e">
        <f ca="1">[1]!BexGetData("DP_1","003N8EMH8GTFRIVOG7KG9IQXA","GSON7310100003")</f>
        <v>#NAME?</v>
      </c>
      <c r="N2760" s="8" t="e">
        <f ca="1">[1]!BexGetData("DP_1","003N8EMH8GTFRIVOG7KG9IX8U","GSON7310100003")</f>
        <v>#NAME?</v>
      </c>
      <c r="O2760" s="3" t="e">
        <f ca="1">[1]!BexGetData("DP_1","003N8EMH8GTFRIVOG7KG9J3KE","GSON7310100003")</f>
        <v>#NAME?</v>
      </c>
      <c r="P2760" s="8" t="e">
        <f ca="1">[1]!BexGetData("DP_1","003N8EMH8GTFRIVOG7KG9J9VY","GSON7310100003")</f>
        <v>#NAME?</v>
      </c>
      <c r="Q2760" s="4" t="e">
        <f ca="1">[1]!BexGetData("DP_1","00O2TNJGODT0G5Z4TTKYMM5MT","GSON7310100003")</f>
        <v>#NAME?</v>
      </c>
      <c r="R2760" s="3" t="e">
        <f ca="1">[1]!BexGetData("DP_1","00O2TNJGODT0G5Z4TTKYMMBYD","GSON7310100003")</f>
        <v>#NAME?</v>
      </c>
      <c r="S2760" s="3" t="e">
        <f ca="1">[1]!BexGetData("DP_1","00O2TNJGODT0G5Z4TTKYMMI9X","GSON7310100003")</f>
        <v>#NAME?</v>
      </c>
      <c r="T2760" s="8" t="e">
        <f ca="1">[1]!BexGetData("DP_1","00O2TNJGODT0G5Z4TTKYMMOLH","GSON7310100003")</f>
        <v>#NAME?</v>
      </c>
      <c r="U2760" s="3" t="e">
        <f ca="1">[1]!BexGetData("DP_1","00O2TNJGODT0G5Z4TTKYMMUX1","GSON7310100003")</f>
        <v>#NAME?</v>
      </c>
      <c r="V2760" s="8" t="e">
        <f ca="1">[1]!BexGetData("DP_1","00O2TNJGODT0G5Z4TTKYMN18L","GSON7310100003")</f>
        <v>#NAME?</v>
      </c>
      <c r="W2760" s="3" t="e">
        <f ca="1">[1]!BexGetData("DP_1","00O2TNJGODT0G5Z4TTKYMN7K5","GSON7310100003")</f>
        <v>#NAME?</v>
      </c>
    </row>
    <row r="2761" spans="1:23" x14ac:dyDescent="0.2">
      <c r="A2761" s="13" t="s">
        <v>5560</v>
      </c>
      <c r="B2761" s="7" t="s">
        <v>5561</v>
      </c>
      <c r="C2761" s="8" t="e">
        <f ca="1">[1]!BexGetData("DP_1","003N8EMH8GTFRCSWKMPXRR8GU","GSON7310100004")</f>
        <v>#NAME?</v>
      </c>
      <c r="D2761" s="3" t="e">
        <f ca="1">[1]!BexGetData("DP_1","003N8EMH8GTFRCSWKMPXRRESE","GSON7310100004")</f>
        <v>#NAME?</v>
      </c>
      <c r="E2761" s="8" t="e">
        <f ca="1">[1]!BexGetData("DP_1","003N8EMH8GTFRCSWKMPXRRL3Y","GSON7310100004")</f>
        <v>#NAME?</v>
      </c>
      <c r="F2761" s="3" t="e">
        <f ca="1">[1]!BexGetData("DP_1","003N8EMH8GTFRCSWKMPXRRRFI","GSON7310100004")</f>
        <v>#NAME?</v>
      </c>
      <c r="G2761" s="3" t="e">
        <f ca="1">[1]!BexGetData("DP_1","003N8EMH8GTFRCSWKMPXRRXR2","GSON7310100004")</f>
        <v>#NAME?</v>
      </c>
      <c r="H2761" s="8" t="e">
        <f ca="1">[1]!BexGetData("DP_1","003N8EMH8GTFRCSWKMPXRS42M","GSON7310100004")</f>
        <v>#NAME?</v>
      </c>
      <c r="I2761" s="3" t="e">
        <f ca="1">[1]!BexGetData("DP_1","003N8EMH8GTFRCSWKMPXRSAE6","GSON7310100004")</f>
        <v>#NAME?</v>
      </c>
      <c r="J2761" s="4" t="e">
        <f ca="1">[1]!BexGetData("DP_1","003N8EMH8GTFRCSWKMPXRSGPQ","GSON7310100004")</f>
        <v>#NAME?</v>
      </c>
      <c r="K2761" s="3" t="e">
        <f ca="1">[1]!BexGetData("DP_1","003N8EMH8GTFRIVNUPY288VJH","GSON7310100004")</f>
        <v>#NAME?</v>
      </c>
      <c r="L2761" s="3" t="e">
        <f ca="1">[1]!BexGetData("DP_1","003N8EMH8GTFRIVNUPY2891V1","GSON7310100004")</f>
        <v>#NAME?</v>
      </c>
      <c r="M2761" s="3" t="e">
        <f ca="1">[1]!BexGetData("DP_1","003N8EMH8GTFRIVOG7KG9IQXA","GSON7310100004")</f>
        <v>#NAME?</v>
      </c>
      <c r="N2761" s="8" t="e">
        <f ca="1">[1]!BexGetData("DP_1","003N8EMH8GTFRIVOG7KG9IX8U","GSON7310100004")</f>
        <v>#NAME?</v>
      </c>
      <c r="O2761" s="3" t="e">
        <f ca="1">[1]!BexGetData("DP_1","003N8EMH8GTFRIVOG7KG9J3KE","GSON7310100004")</f>
        <v>#NAME?</v>
      </c>
      <c r="P2761" s="8" t="e">
        <f ca="1">[1]!BexGetData("DP_1","003N8EMH8GTFRIVOG7KG9J9VY","GSON7310100004")</f>
        <v>#NAME?</v>
      </c>
      <c r="Q2761" s="4" t="e">
        <f ca="1">[1]!BexGetData("DP_1","00O2TNJGODT0G5Z4TTKYMM5MT","GSON7310100004")</f>
        <v>#NAME?</v>
      </c>
      <c r="R2761" s="3" t="e">
        <f ca="1">[1]!BexGetData("DP_1","00O2TNJGODT0G5Z4TTKYMMBYD","GSON7310100004")</f>
        <v>#NAME?</v>
      </c>
      <c r="S2761" s="3" t="e">
        <f ca="1">[1]!BexGetData("DP_1","00O2TNJGODT0G5Z4TTKYMMI9X","GSON7310100004")</f>
        <v>#NAME?</v>
      </c>
      <c r="T2761" s="8" t="e">
        <f ca="1">[1]!BexGetData("DP_1","00O2TNJGODT0G5Z4TTKYMMOLH","GSON7310100004")</f>
        <v>#NAME?</v>
      </c>
      <c r="U2761" s="3" t="e">
        <f ca="1">[1]!BexGetData("DP_1","00O2TNJGODT0G5Z4TTKYMMUX1","GSON7310100004")</f>
        <v>#NAME?</v>
      </c>
      <c r="V2761" s="8" t="e">
        <f ca="1">[1]!BexGetData("DP_1","00O2TNJGODT0G5Z4TTKYMN18L","GSON7310100004")</f>
        <v>#NAME?</v>
      </c>
      <c r="W2761" s="3" t="e">
        <f ca="1">[1]!BexGetData("DP_1","00O2TNJGODT0G5Z4TTKYMN7K5","GSON7310100004")</f>
        <v>#NAME?</v>
      </c>
    </row>
    <row r="2762" spans="1:23" x14ac:dyDescent="0.2">
      <c r="A2762" s="13" t="s">
        <v>5562</v>
      </c>
      <c r="B2762" s="7" t="s">
        <v>5563</v>
      </c>
      <c r="C2762" s="8" t="e">
        <f ca="1">[1]!BexGetData("DP_1","003N8EMH8GTFRCSWKMPXRR8GU","GSON7310100005")</f>
        <v>#NAME?</v>
      </c>
      <c r="D2762" s="3" t="e">
        <f ca="1">[1]!BexGetData("DP_1","003N8EMH8GTFRCSWKMPXRRESE","GSON7310100005")</f>
        <v>#NAME?</v>
      </c>
      <c r="E2762" s="8" t="e">
        <f ca="1">[1]!BexGetData("DP_1","003N8EMH8GTFRCSWKMPXRRL3Y","GSON7310100005")</f>
        <v>#NAME?</v>
      </c>
      <c r="F2762" s="3" t="e">
        <f ca="1">[1]!BexGetData("DP_1","003N8EMH8GTFRCSWKMPXRRRFI","GSON7310100005")</f>
        <v>#NAME?</v>
      </c>
      <c r="G2762" s="3" t="e">
        <f ca="1">[1]!BexGetData("DP_1","003N8EMH8GTFRCSWKMPXRRXR2","GSON7310100005")</f>
        <v>#NAME?</v>
      </c>
      <c r="H2762" s="8" t="e">
        <f ca="1">[1]!BexGetData("DP_1","003N8EMH8GTFRCSWKMPXRS42M","GSON7310100005")</f>
        <v>#NAME?</v>
      </c>
      <c r="I2762" s="3" t="e">
        <f ca="1">[1]!BexGetData("DP_1","003N8EMH8GTFRCSWKMPXRSAE6","GSON7310100005")</f>
        <v>#NAME?</v>
      </c>
      <c r="J2762" s="4" t="e">
        <f ca="1">[1]!BexGetData("DP_1","003N8EMH8GTFRCSWKMPXRSGPQ","GSON7310100005")</f>
        <v>#NAME?</v>
      </c>
      <c r="K2762" s="3" t="e">
        <f ca="1">[1]!BexGetData("DP_1","003N8EMH8GTFRIVNUPY288VJH","GSON7310100005")</f>
        <v>#NAME?</v>
      </c>
      <c r="L2762" s="3" t="e">
        <f ca="1">[1]!BexGetData("DP_1","003N8EMH8GTFRIVNUPY2891V1","GSON7310100005")</f>
        <v>#NAME?</v>
      </c>
      <c r="M2762" s="3" t="e">
        <f ca="1">[1]!BexGetData("DP_1","003N8EMH8GTFRIVOG7KG9IQXA","GSON7310100005")</f>
        <v>#NAME?</v>
      </c>
      <c r="N2762" s="8" t="e">
        <f ca="1">[1]!BexGetData("DP_1","003N8EMH8GTFRIVOG7KG9IX8U","GSON7310100005")</f>
        <v>#NAME?</v>
      </c>
      <c r="O2762" s="3" t="e">
        <f ca="1">[1]!BexGetData("DP_1","003N8EMH8GTFRIVOG7KG9J3KE","GSON7310100005")</f>
        <v>#NAME?</v>
      </c>
      <c r="P2762" s="8" t="e">
        <f ca="1">[1]!BexGetData("DP_1","003N8EMH8GTFRIVOG7KG9J9VY","GSON7310100005")</f>
        <v>#NAME?</v>
      </c>
      <c r="Q2762" s="4" t="e">
        <f ca="1">[1]!BexGetData("DP_1","00O2TNJGODT0G5Z4TTKYMM5MT","GSON7310100005")</f>
        <v>#NAME?</v>
      </c>
      <c r="R2762" s="3" t="e">
        <f ca="1">[1]!BexGetData("DP_1","00O2TNJGODT0G5Z4TTKYMMBYD","GSON7310100005")</f>
        <v>#NAME?</v>
      </c>
      <c r="S2762" s="3" t="e">
        <f ca="1">[1]!BexGetData("DP_1","00O2TNJGODT0G5Z4TTKYMMI9X","GSON7310100005")</f>
        <v>#NAME?</v>
      </c>
      <c r="T2762" s="8" t="e">
        <f ca="1">[1]!BexGetData("DP_1","00O2TNJGODT0G5Z4TTKYMMOLH","GSON7310100005")</f>
        <v>#NAME?</v>
      </c>
      <c r="U2762" s="3" t="e">
        <f ca="1">[1]!BexGetData("DP_1","00O2TNJGODT0G5Z4TTKYMMUX1","GSON7310100005")</f>
        <v>#NAME?</v>
      </c>
      <c r="V2762" s="8" t="e">
        <f ca="1">[1]!BexGetData("DP_1","00O2TNJGODT0G5Z4TTKYMN18L","GSON7310100005")</f>
        <v>#NAME?</v>
      </c>
      <c r="W2762" s="3" t="e">
        <f ca="1">[1]!BexGetData("DP_1","00O2TNJGODT0G5Z4TTKYMN7K5","GSON7310100005")</f>
        <v>#NAME?</v>
      </c>
    </row>
    <row r="2763" spans="1:23" x14ac:dyDescent="0.2">
      <c r="A2763" s="13" t="s">
        <v>5564</v>
      </c>
      <c r="B2763" s="7" t="s">
        <v>5565</v>
      </c>
      <c r="C2763" s="8" t="e">
        <f ca="1">[1]!BexGetData("DP_1","003N8EMH8GTFRCSWKMPXRR8GU","GSON7310100006")</f>
        <v>#NAME?</v>
      </c>
      <c r="D2763" s="3" t="e">
        <f ca="1">[1]!BexGetData("DP_1","003N8EMH8GTFRCSWKMPXRRESE","GSON7310100006")</f>
        <v>#NAME?</v>
      </c>
      <c r="E2763" s="8" t="e">
        <f ca="1">[1]!BexGetData("DP_1","003N8EMH8GTFRCSWKMPXRRL3Y","GSON7310100006")</f>
        <v>#NAME?</v>
      </c>
      <c r="F2763" s="3" t="e">
        <f ca="1">[1]!BexGetData("DP_1","003N8EMH8GTFRCSWKMPXRRRFI","GSON7310100006")</f>
        <v>#NAME?</v>
      </c>
      <c r="G2763" s="3" t="e">
        <f ca="1">[1]!BexGetData("DP_1","003N8EMH8GTFRCSWKMPXRRXR2","GSON7310100006")</f>
        <v>#NAME?</v>
      </c>
      <c r="H2763" s="8" t="e">
        <f ca="1">[1]!BexGetData("DP_1","003N8EMH8GTFRCSWKMPXRS42M","GSON7310100006")</f>
        <v>#NAME?</v>
      </c>
      <c r="I2763" s="3" t="e">
        <f ca="1">[1]!BexGetData("DP_1","003N8EMH8GTFRCSWKMPXRSAE6","GSON7310100006")</f>
        <v>#NAME?</v>
      </c>
      <c r="J2763" s="4" t="e">
        <f ca="1">[1]!BexGetData("DP_1","003N8EMH8GTFRCSWKMPXRSGPQ","GSON7310100006")</f>
        <v>#NAME?</v>
      </c>
      <c r="K2763" s="3" t="e">
        <f ca="1">[1]!BexGetData("DP_1","003N8EMH8GTFRIVNUPY288VJH","GSON7310100006")</f>
        <v>#NAME?</v>
      </c>
      <c r="L2763" s="3" t="e">
        <f ca="1">[1]!BexGetData("DP_1","003N8EMH8GTFRIVNUPY2891V1","GSON7310100006")</f>
        <v>#NAME?</v>
      </c>
      <c r="M2763" s="3" t="e">
        <f ca="1">[1]!BexGetData("DP_1","003N8EMH8GTFRIVOG7KG9IQXA","GSON7310100006")</f>
        <v>#NAME?</v>
      </c>
      <c r="N2763" s="8" t="e">
        <f ca="1">[1]!BexGetData("DP_1","003N8EMH8GTFRIVOG7KG9IX8U","GSON7310100006")</f>
        <v>#NAME?</v>
      </c>
      <c r="O2763" s="3" t="e">
        <f ca="1">[1]!BexGetData("DP_1","003N8EMH8GTFRIVOG7KG9J3KE","GSON7310100006")</f>
        <v>#NAME?</v>
      </c>
      <c r="P2763" s="8" t="e">
        <f ca="1">[1]!BexGetData("DP_1","003N8EMH8GTFRIVOG7KG9J9VY","GSON7310100006")</f>
        <v>#NAME?</v>
      </c>
      <c r="Q2763" s="4" t="e">
        <f ca="1">[1]!BexGetData("DP_1","00O2TNJGODT0G5Z4TTKYMM5MT","GSON7310100006")</f>
        <v>#NAME?</v>
      </c>
      <c r="R2763" s="3" t="e">
        <f ca="1">[1]!BexGetData("DP_1","00O2TNJGODT0G5Z4TTKYMMBYD","GSON7310100006")</f>
        <v>#NAME?</v>
      </c>
      <c r="S2763" s="3" t="e">
        <f ca="1">[1]!BexGetData("DP_1","00O2TNJGODT0G5Z4TTKYMMI9X","GSON7310100006")</f>
        <v>#NAME?</v>
      </c>
      <c r="T2763" s="8" t="e">
        <f ca="1">[1]!BexGetData("DP_1","00O2TNJGODT0G5Z4TTKYMMOLH","GSON7310100006")</f>
        <v>#NAME?</v>
      </c>
      <c r="U2763" s="3" t="e">
        <f ca="1">[1]!BexGetData("DP_1","00O2TNJGODT0G5Z4TTKYMMUX1","GSON7310100006")</f>
        <v>#NAME?</v>
      </c>
      <c r="V2763" s="8" t="e">
        <f ca="1">[1]!BexGetData("DP_1","00O2TNJGODT0G5Z4TTKYMN18L","GSON7310100006")</f>
        <v>#NAME?</v>
      </c>
      <c r="W2763" s="3" t="e">
        <f ca="1">[1]!BexGetData("DP_1","00O2TNJGODT0G5Z4TTKYMN7K5","GSON7310100006")</f>
        <v>#NAME?</v>
      </c>
    </row>
    <row r="2764" spans="1:23" x14ac:dyDescent="0.2">
      <c r="A2764" s="13" t="s">
        <v>5566</v>
      </c>
      <c r="B2764" s="7" t="s">
        <v>5567</v>
      </c>
      <c r="C2764" s="8" t="e">
        <f ca="1">[1]!BexGetData("DP_1","003N8EMH8GTFRCSWKMPXRR8GU","GSON7310100007")</f>
        <v>#NAME?</v>
      </c>
      <c r="D2764" s="3" t="e">
        <f ca="1">[1]!BexGetData("DP_1","003N8EMH8GTFRCSWKMPXRRESE","GSON7310100007")</f>
        <v>#NAME?</v>
      </c>
      <c r="E2764" s="8" t="e">
        <f ca="1">[1]!BexGetData("DP_1","003N8EMH8GTFRCSWKMPXRRL3Y","GSON7310100007")</f>
        <v>#NAME?</v>
      </c>
      <c r="F2764" s="3" t="e">
        <f ca="1">[1]!BexGetData("DP_1","003N8EMH8GTFRCSWKMPXRRRFI","GSON7310100007")</f>
        <v>#NAME?</v>
      </c>
      <c r="G2764" s="3" t="e">
        <f ca="1">[1]!BexGetData("DP_1","003N8EMH8GTFRCSWKMPXRRXR2","GSON7310100007")</f>
        <v>#NAME?</v>
      </c>
      <c r="H2764" s="8" t="e">
        <f ca="1">[1]!BexGetData("DP_1","003N8EMH8GTFRCSWKMPXRS42M","GSON7310100007")</f>
        <v>#NAME?</v>
      </c>
      <c r="I2764" s="3" t="e">
        <f ca="1">[1]!BexGetData("DP_1","003N8EMH8GTFRCSWKMPXRSAE6","GSON7310100007")</f>
        <v>#NAME?</v>
      </c>
      <c r="J2764" s="4" t="e">
        <f ca="1">[1]!BexGetData("DP_1","003N8EMH8GTFRCSWKMPXRSGPQ","GSON7310100007")</f>
        <v>#NAME?</v>
      </c>
      <c r="K2764" s="3" t="e">
        <f ca="1">[1]!BexGetData("DP_1","003N8EMH8GTFRIVNUPY288VJH","GSON7310100007")</f>
        <v>#NAME?</v>
      </c>
      <c r="L2764" s="3" t="e">
        <f ca="1">[1]!BexGetData("DP_1","003N8EMH8GTFRIVNUPY2891V1","GSON7310100007")</f>
        <v>#NAME?</v>
      </c>
      <c r="M2764" s="3" t="e">
        <f ca="1">[1]!BexGetData("DP_1","003N8EMH8GTFRIVOG7KG9IQXA","GSON7310100007")</f>
        <v>#NAME?</v>
      </c>
      <c r="N2764" s="8" t="e">
        <f ca="1">[1]!BexGetData("DP_1","003N8EMH8GTFRIVOG7KG9IX8U","GSON7310100007")</f>
        <v>#NAME?</v>
      </c>
      <c r="O2764" s="3" t="e">
        <f ca="1">[1]!BexGetData("DP_1","003N8EMH8GTFRIVOG7KG9J3KE","GSON7310100007")</f>
        <v>#NAME?</v>
      </c>
      <c r="P2764" s="8" t="e">
        <f ca="1">[1]!BexGetData("DP_1","003N8EMH8GTFRIVOG7KG9J9VY","GSON7310100007")</f>
        <v>#NAME?</v>
      </c>
      <c r="Q2764" s="4" t="e">
        <f ca="1">[1]!BexGetData("DP_1","00O2TNJGODT0G5Z4TTKYMM5MT","GSON7310100007")</f>
        <v>#NAME?</v>
      </c>
      <c r="R2764" s="3" t="e">
        <f ca="1">[1]!BexGetData("DP_1","00O2TNJGODT0G5Z4TTKYMMBYD","GSON7310100007")</f>
        <v>#NAME?</v>
      </c>
      <c r="S2764" s="3" t="e">
        <f ca="1">[1]!BexGetData("DP_1","00O2TNJGODT0G5Z4TTKYMMI9X","GSON7310100007")</f>
        <v>#NAME?</v>
      </c>
      <c r="T2764" s="8" t="e">
        <f ca="1">[1]!BexGetData("DP_1","00O2TNJGODT0G5Z4TTKYMMOLH","GSON7310100007")</f>
        <v>#NAME?</v>
      </c>
      <c r="U2764" s="3" t="e">
        <f ca="1">[1]!BexGetData("DP_1","00O2TNJGODT0G5Z4TTKYMMUX1","GSON7310100007")</f>
        <v>#NAME?</v>
      </c>
      <c r="V2764" s="8" t="e">
        <f ca="1">[1]!BexGetData("DP_1","00O2TNJGODT0G5Z4TTKYMN18L","GSON7310100007")</f>
        <v>#NAME?</v>
      </c>
      <c r="W2764" s="3" t="e">
        <f ca="1">[1]!BexGetData("DP_1","00O2TNJGODT0G5Z4TTKYMN7K5","GSON7310100007")</f>
        <v>#NAME?</v>
      </c>
    </row>
    <row r="2765" spans="1:23" x14ac:dyDescent="0.2">
      <c r="A2765" s="13" t="s">
        <v>5568</v>
      </c>
      <c r="B2765" s="7" t="s">
        <v>5569</v>
      </c>
      <c r="C2765" s="8" t="e">
        <f ca="1">[1]!BexGetData("DP_1","003N8EMH8GTFRCSWKMPXRR8GU","GSON7310100008")</f>
        <v>#NAME?</v>
      </c>
      <c r="D2765" s="3" t="e">
        <f ca="1">[1]!BexGetData("DP_1","003N8EMH8GTFRCSWKMPXRRESE","GSON7310100008")</f>
        <v>#NAME?</v>
      </c>
      <c r="E2765" s="8" t="e">
        <f ca="1">[1]!BexGetData("DP_1","003N8EMH8GTFRCSWKMPXRRL3Y","GSON7310100008")</f>
        <v>#NAME?</v>
      </c>
      <c r="F2765" s="3" t="e">
        <f ca="1">[1]!BexGetData("DP_1","003N8EMH8GTFRCSWKMPXRRRFI","GSON7310100008")</f>
        <v>#NAME?</v>
      </c>
      <c r="G2765" s="3" t="e">
        <f ca="1">[1]!BexGetData("DP_1","003N8EMH8GTFRCSWKMPXRRXR2","GSON7310100008")</f>
        <v>#NAME?</v>
      </c>
      <c r="H2765" s="8" t="e">
        <f ca="1">[1]!BexGetData("DP_1","003N8EMH8GTFRCSWKMPXRS42M","GSON7310100008")</f>
        <v>#NAME?</v>
      </c>
      <c r="I2765" s="3" t="e">
        <f ca="1">[1]!BexGetData("DP_1","003N8EMH8GTFRCSWKMPXRSAE6","GSON7310100008")</f>
        <v>#NAME?</v>
      </c>
      <c r="J2765" s="4" t="e">
        <f ca="1">[1]!BexGetData("DP_1","003N8EMH8GTFRCSWKMPXRSGPQ","GSON7310100008")</f>
        <v>#NAME?</v>
      </c>
      <c r="K2765" s="3" t="e">
        <f ca="1">[1]!BexGetData("DP_1","003N8EMH8GTFRIVNUPY288VJH","GSON7310100008")</f>
        <v>#NAME?</v>
      </c>
      <c r="L2765" s="3" t="e">
        <f ca="1">[1]!BexGetData("DP_1","003N8EMH8GTFRIVNUPY2891V1","GSON7310100008")</f>
        <v>#NAME?</v>
      </c>
      <c r="M2765" s="3" t="e">
        <f ca="1">[1]!BexGetData("DP_1","003N8EMH8GTFRIVOG7KG9IQXA","GSON7310100008")</f>
        <v>#NAME?</v>
      </c>
      <c r="N2765" s="8" t="e">
        <f ca="1">[1]!BexGetData("DP_1","003N8EMH8GTFRIVOG7KG9IX8U","GSON7310100008")</f>
        <v>#NAME?</v>
      </c>
      <c r="O2765" s="3" t="e">
        <f ca="1">[1]!BexGetData("DP_1","003N8EMH8GTFRIVOG7KG9J3KE","GSON7310100008")</f>
        <v>#NAME?</v>
      </c>
      <c r="P2765" s="8" t="e">
        <f ca="1">[1]!BexGetData("DP_1","003N8EMH8GTFRIVOG7KG9J9VY","GSON7310100008")</f>
        <v>#NAME?</v>
      </c>
      <c r="Q2765" s="4" t="e">
        <f ca="1">[1]!BexGetData("DP_1","00O2TNJGODT0G5Z4TTKYMM5MT","GSON7310100008")</f>
        <v>#NAME?</v>
      </c>
      <c r="R2765" s="3" t="e">
        <f ca="1">[1]!BexGetData("DP_1","00O2TNJGODT0G5Z4TTKYMMBYD","GSON7310100008")</f>
        <v>#NAME?</v>
      </c>
      <c r="S2765" s="3" t="e">
        <f ca="1">[1]!BexGetData("DP_1","00O2TNJGODT0G5Z4TTKYMMI9X","GSON7310100008")</f>
        <v>#NAME?</v>
      </c>
      <c r="T2765" s="8" t="e">
        <f ca="1">[1]!BexGetData("DP_1","00O2TNJGODT0G5Z4TTKYMMOLH","GSON7310100008")</f>
        <v>#NAME?</v>
      </c>
      <c r="U2765" s="3" t="e">
        <f ca="1">[1]!BexGetData("DP_1","00O2TNJGODT0G5Z4TTKYMMUX1","GSON7310100008")</f>
        <v>#NAME?</v>
      </c>
      <c r="V2765" s="8" t="e">
        <f ca="1">[1]!BexGetData("DP_1","00O2TNJGODT0G5Z4TTKYMN18L","GSON7310100008")</f>
        <v>#NAME?</v>
      </c>
      <c r="W2765" s="3" t="e">
        <f ca="1">[1]!BexGetData("DP_1","00O2TNJGODT0G5Z4TTKYMN7K5","GSON7310100008")</f>
        <v>#NAME?</v>
      </c>
    </row>
    <row r="2766" spans="1:23" x14ac:dyDescent="0.2">
      <c r="A2766" s="13" t="s">
        <v>5570</v>
      </c>
      <c r="B2766" s="7" t="s">
        <v>5571</v>
      </c>
      <c r="C2766" s="8" t="e">
        <f ca="1">[1]!BexGetData("DP_1","003N8EMH8GTFRCSWKMPXRR8GU","GSON7310100010")</f>
        <v>#NAME?</v>
      </c>
      <c r="D2766" s="3" t="e">
        <f ca="1">[1]!BexGetData("DP_1","003N8EMH8GTFRCSWKMPXRRESE","GSON7310100010")</f>
        <v>#NAME?</v>
      </c>
      <c r="E2766" s="8" t="e">
        <f ca="1">[1]!BexGetData("DP_1","003N8EMH8GTFRCSWKMPXRRL3Y","GSON7310100010")</f>
        <v>#NAME?</v>
      </c>
      <c r="F2766" s="3" t="e">
        <f ca="1">[1]!BexGetData("DP_1","003N8EMH8GTFRCSWKMPXRRRFI","GSON7310100010")</f>
        <v>#NAME?</v>
      </c>
      <c r="G2766" s="3" t="e">
        <f ca="1">[1]!BexGetData("DP_1","003N8EMH8GTFRCSWKMPXRRXR2","GSON7310100010")</f>
        <v>#NAME?</v>
      </c>
      <c r="H2766" s="8" t="e">
        <f ca="1">[1]!BexGetData("DP_1","003N8EMH8GTFRCSWKMPXRS42M","GSON7310100010")</f>
        <v>#NAME?</v>
      </c>
      <c r="I2766" s="3" t="e">
        <f ca="1">[1]!BexGetData("DP_1","003N8EMH8GTFRCSWKMPXRSAE6","GSON7310100010")</f>
        <v>#NAME?</v>
      </c>
      <c r="J2766" s="4" t="e">
        <f ca="1">[1]!BexGetData("DP_1","003N8EMH8GTFRCSWKMPXRSGPQ","GSON7310100010")</f>
        <v>#NAME?</v>
      </c>
      <c r="K2766" s="3" t="e">
        <f ca="1">[1]!BexGetData("DP_1","003N8EMH8GTFRIVNUPY288VJH","GSON7310100010")</f>
        <v>#NAME?</v>
      </c>
      <c r="L2766" s="3" t="e">
        <f ca="1">[1]!BexGetData("DP_1","003N8EMH8GTFRIVNUPY2891V1","GSON7310100010")</f>
        <v>#NAME?</v>
      </c>
      <c r="M2766" s="3" t="e">
        <f ca="1">[1]!BexGetData("DP_1","003N8EMH8GTFRIVOG7KG9IQXA","GSON7310100010")</f>
        <v>#NAME?</v>
      </c>
      <c r="N2766" s="8" t="e">
        <f ca="1">[1]!BexGetData("DP_1","003N8EMH8GTFRIVOG7KG9IX8U","GSON7310100010")</f>
        <v>#NAME?</v>
      </c>
      <c r="O2766" s="3" t="e">
        <f ca="1">[1]!BexGetData("DP_1","003N8EMH8GTFRIVOG7KG9J3KE","GSON7310100010")</f>
        <v>#NAME?</v>
      </c>
      <c r="P2766" s="8" t="e">
        <f ca="1">[1]!BexGetData("DP_1","003N8EMH8GTFRIVOG7KG9J9VY","GSON7310100010")</f>
        <v>#NAME?</v>
      </c>
      <c r="Q2766" s="4" t="e">
        <f ca="1">[1]!BexGetData("DP_1","00O2TNJGODT0G5Z4TTKYMM5MT","GSON7310100010")</f>
        <v>#NAME?</v>
      </c>
      <c r="R2766" s="3" t="e">
        <f ca="1">[1]!BexGetData("DP_1","00O2TNJGODT0G5Z4TTKYMMBYD","GSON7310100010")</f>
        <v>#NAME?</v>
      </c>
      <c r="S2766" s="3" t="e">
        <f ca="1">[1]!BexGetData("DP_1","00O2TNJGODT0G5Z4TTKYMMI9X","GSON7310100010")</f>
        <v>#NAME?</v>
      </c>
      <c r="T2766" s="8" t="e">
        <f ca="1">[1]!BexGetData("DP_1","00O2TNJGODT0G5Z4TTKYMMOLH","GSON7310100010")</f>
        <v>#NAME?</v>
      </c>
      <c r="U2766" s="3" t="e">
        <f ca="1">[1]!BexGetData("DP_1","00O2TNJGODT0G5Z4TTKYMMUX1","GSON7310100010")</f>
        <v>#NAME?</v>
      </c>
      <c r="V2766" s="8" t="e">
        <f ca="1">[1]!BexGetData("DP_1","00O2TNJGODT0G5Z4TTKYMN18L","GSON7310100010")</f>
        <v>#NAME?</v>
      </c>
      <c r="W2766" s="3" t="e">
        <f ca="1">[1]!BexGetData("DP_1","00O2TNJGODT0G5Z4TTKYMN7K5","GSON7310100010")</f>
        <v>#NAME?</v>
      </c>
    </row>
    <row r="2767" spans="1:23" x14ac:dyDescent="0.2">
      <c r="A2767" s="13" t="s">
        <v>5572</v>
      </c>
      <c r="B2767" s="7" t="s">
        <v>5573</v>
      </c>
      <c r="C2767" s="8" t="e">
        <f ca="1">[1]!BexGetData("DP_1","003N8EMH8GTFRCSWKMPXRR8GU","GSON7310100011")</f>
        <v>#NAME?</v>
      </c>
      <c r="D2767" s="3" t="e">
        <f ca="1">[1]!BexGetData("DP_1","003N8EMH8GTFRCSWKMPXRRESE","GSON7310100011")</f>
        <v>#NAME?</v>
      </c>
      <c r="E2767" s="8" t="e">
        <f ca="1">[1]!BexGetData("DP_1","003N8EMH8GTFRCSWKMPXRRL3Y","GSON7310100011")</f>
        <v>#NAME?</v>
      </c>
      <c r="F2767" s="3" t="e">
        <f ca="1">[1]!BexGetData("DP_1","003N8EMH8GTFRCSWKMPXRRRFI","GSON7310100011")</f>
        <v>#NAME?</v>
      </c>
      <c r="G2767" s="3" t="e">
        <f ca="1">[1]!BexGetData("DP_1","003N8EMH8GTFRCSWKMPXRRXR2","GSON7310100011")</f>
        <v>#NAME?</v>
      </c>
      <c r="H2767" s="8" t="e">
        <f ca="1">[1]!BexGetData("DP_1","003N8EMH8GTFRCSWKMPXRS42M","GSON7310100011")</f>
        <v>#NAME?</v>
      </c>
      <c r="I2767" s="3" t="e">
        <f ca="1">[1]!BexGetData("DP_1","003N8EMH8GTFRCSWKMPXRSAE6","GSON7310100011")</f>
        <v>#NAME?</v>
      </c>
      <c r="J2767" s="4" t="e">
        <f ca="1">[1]!BexGetData("DP_1","003N8EMH8GTFRCSWKMPXRSGPQ","GSON7310100011")</f>
        <v>#NAME?</v>
      </c>
      <c r="K2767" s="3" t="e">
        <f ca="1">[1]!BexGetData("DP_1","003N8EMH8GTFRIVNUPY288VJH","GSON7310100011")</f>
        <v>#NAME?</v>
      </c>
      <c r="L2767" s="3" t="e">
        <f ca="1">[1]!BexGetData("DP_1","003N8EMH8GTFRIVNUPY2891V1","GSON7310100011")</f>
        <v>#NAME?</v>
      </c>
      <c r="M2767" s="3" t="e">
        <f ca="1">[1]!BexGetData("DP_1","003N8EMH8GTFRIVOG7KG9IQXA","GSON7310100011")</f>
        <v>#NAME?</v>
      </c>
      <c r="N2767" s="8" t="e">
        <f ca="1">[1]!BexGetData("DP_1","003N8EMH8GTFRIVOG7KG9IX8U","GSON7310100011")</f>
        <v>#NAME?</v>
      </c>
      <c r="O2767" s="3" t="e">
        <f ca="1">[1]!BexGetData("DP_1","003N8EMH8GTFRIVOG7KG9J3KE","GSON7310100011")</f>
        <v>#NAME?</v>
      </c>
      <c r="P2767" s="8" t="e">
        <f ca="1">[1]!BexGetData("DP_1","003N8EMH8GTFRIVOG7KG9J9VY","GSON7310100011")</f>
        <v>#NAME?</v>
      </c>
      <c r="Q2767" s="4" t="e">
        <f ca="1">[1]!BexGetData("DP_1","00O2TNJGODT0G5Z4TTKYMM5MT","GSON7310100011")</f>
        <v>#NAME?</v>
      </c>
      <c r="R2767" s="3" t="e">
        <f ca="1">[1]!BexGetData("DP_1","00O2TNJGODT0G5Z4TTKYMMBYD","GSON7310100011")</f>
        <v>#NAME?</v>
      </c>
      <c r="S2767" s="3" t="e">
        <f ca="1">[1]!BexGetData("DP_1","00O2TNJGODT0G5Z4TTKYMMI9X","GSON7310100011")</f>
        <v>#NAME?</v>
      </c>
      <c r="T2767" s="8" t="e">
        <f ca="1">[1]!BexGetData("DP_1","00O2TNJGODT0G5Z4TTKYMMOLH","GSON7310100011")</f>
        <v>#NAME?</v>
      </c>
      <c r="U2767" s="3" t="e">
        <f ca="1">[1]!BexGetData("DP_1","00O2TNJGODT0G5Z4TTKYMMUX1","GSON7310100011")</f>
        <v>#NAME?</v>
      </c>
      <c r="V2767" s="8" t="e">
        <f ca="1">[1]!BexGetData("DP_1","00O2TNJGODT0G5Z4TTKYMN18L","GSON7310100011")</f>
        <v>#NAME?</v>
      </c>
      <c r="W2767" s="3" t="e">
        <f ca="1">[1]!BexGetData("DP_1","00O2TNJGODT0G5Z4TTKYMN7K5","GSON7310100011")</f>
        <v>#NAME?</v>
      </c>
    </row>
    <row r="2768" spans="1:23" x14ac:dyDescent="0.2">
      <c r="A2768" s="13" t="s">
        <v>5574</v>
      </c>
      <c r="B2768" s="7" t="s">
        <v>5575</v>
      </c>
      <c r="C2768" s="8" t="e">
        <f ca="1">[1]!BexGetData("DP_1","003N8EMH8GTFRCSWKMPXRR8GU","GSON7310100012")</f>
        <v>#NAME?</v>
      </c>
      <c r="D2768" s="3" t="e">
        <f ca="1">[1]!BexGetData("DP_1","003N8EMH8GTFRCSWKMPXRRESE","GSON7310100012")</f>
        <v>#NAME?</v>
      </c>
      <c r="E2768" s="3" t="e">
        <f ca="1">[1]!BexGetData("DP_1","003N8EMH8GTFRCSWKMPXRRL3Y","GSON7310100012")</f>
        <v>#NAME?</v>
      </c>
      <c r="F2768" s="3" t="e">
        <f ca="1">[1]!BexGetData("DP_1","003N8EMH8GTFRCSWKMPXRRRFI","GSON7310100012")</f>
        <v>#NAME?</v>
      </c>
      <c r="G2768" s="3" t="e">
        <f ca="1">[1]!BexGetData("DP_1","003N8EMH8GTFRCSWKMPXRRXR2","GSON7310100012")</f>
        <v>#NAME?</v>
      </c>
      <c r="H2768" s="8" t="e">
        <f ca="1">[1]!BexGetData("DP_1","003N8EMH8GTFRCSWKMPXRS42M","GSON7310100012")</f>
        <v>#NAME?</v>
      </c>
      <c r="I2768" s="3" t="e">
        <f ca="1">[1]!BexGetData("DP_1","003N8EMH8GTFRCSWKMPXRSAE6","GSON7310100012")</f>
        <v>#NAME?</v>
      </c>
      <c r="J2768" s="4" t="e">
        <f ca="1">[1]!BexGetData("DP_1","003N8EMH8GTFRCSWKMPXRSGPQ","GSON7310100012")</f>
        <v>#NAME?</v>
      </c>
      <c r="K2768" s="3" t="e">
        <f ca="1">[1]!BexGetData("DP_1","003N8EMH8GTFRIVNUPY288VJH","GSON7310100012")</f>
        <v>#NAME?</v>
      </c>
      <c r="L2768" s="3" t="e">
        <f ca="1">[1]!BexGetData("DP_1","003N8EMH8GTFRIVNUPY2891V1","GSON7310100012")</f>
        <v>#NAME?</v>
      </c>
      <c r="M2768" s="3" t="e">
        <f ca="1">[1]!BexGetData("DP_1","003N8EMH8GTFRIVOG7KG9IQXA","GSON7310100012")</f>
        <v>#NAME?</v>
      </c>
      <c r="N2768" s="8" t="e">
        <f ca="1">[1]!BexGetData("DP_1","003N8EMH8GTFRIVOG7KG9IX8U","GSON7310100012")</f>
        <v>#NAME?</v>
      </c>
      <c r="O2768" s="3" t="e">
        <f ca="1">[1]!BexGetData("DP_1","003N8EMH8GTFRIVOG7KG9J3KE","GSON7310100012")</f>
        <v>#NAME?</v>
      </c>
      <c r="P2768" s="8" t="e">
        <f ca="1">[1]!BexGetData("DP_1","003N8EMH8GTFRIVOG7KG9J9VY","GSON7310100012")</f>
        <v>#NAME?</v>
      </c>
      <c r="Q2768" s="4" t="e">
        <f ca="1">[1]!BexGetData("DP_1","00O2TNJGODT0G5Z4TTKYMM5MT","GSON7310100012")</f>
        <v>#NAME?</v>
      </c>
      <c r="R2768" s="3" t="e">
        <f ca="1">[1]!BexGetData("DP_1","00O2TNJGODT0G5Z4TTKYMMBYD","GSON7310100012")</f>
        <v>#NAME?</v>
      </c>
      <c r="S2768" s="3" t="e">
        <f ca="1">[1]!BexGetData("DP_1","00O2TNJGODT0G5Z4TTKYMMI9X","GSON7310100012")</f>
        <v>#NAME?</v>
      </c>
      <c r="T2768" s="8" t="e">
        <f ca="1">[1]!BexGetData("DP_1","00O2TNJGODT0G5Z4TTKYMMOLH","GSON7310100012")</f>
        <v>#NAME?</v>
      </c>
      <c r="U2768" s="3" t="e">
        <f ca="1">[1]!BexGetData("DP_1","00O2TNJGODT0G5Z4TTKYMMUX1","GSON7310100012")</f>
        <v>#NAME?</v>
      </c>
      <c r="V2768" s="8" t="e">
        <f ca="1">[1]!BexGetData("DP_1","00O2TNJGODT0G5Z4TTKYMN18L","GSON7310100012")</f>
        <v>#NAME?</v>
      </c>
      <c r="W2768" s="3" t="e">
        <f ca="1">[1]!BexGetData("DP_1","00O2TNJGODT0G5Z4TTKYMN7K5","GSON7310100012")</f>
        <v>#NAME?</v>
      </c>
    </row>
    <row r="2769" spans="1:23" x14ac:dyDescent="0.2">
      <c r="A2769" s="13" t="s">
        <v>5576</v>
      </c>
      <c r="B2769" s="7" t="s">
        <v>5577</v>
      </c>
      <c r="C2769" s="8" t="e">
        <f ca="1">[1]!BexGetData("DP_1","003N8EMH8GTFRCSWKMPXRR8GU","GSON7310100015")</f>
        <v>#NAME?</v>
      </c>
      <c r="D2769" s="3" t="e">
        <f ca="1">[1]!BexGetData("DP_1","003N8EMH8GTFRCSWKMPXRRESE","GSON7310100015")</f>
        <v>#NAME?</v>
      </c>
      <c r="E2769" s="8" t="e">
        <f ca="1">[1]!BexGetData("DP_1","003N8EMH8GTFRCSWKMPXRRL3Y","GSON7310100015")</f>
        <v>#NAME?</v>
      </c>
      <c r="F2769" s="3" t="e">
        <f ca="1">[1]!BexGetData("DP_1","003N8EMH8GTFRCSWKMPXRRRFI","GSON7310100015")</f>
        <v>#NAME?</v>
      </c>
      <c r="G2769" s="3" t="e">
        <f ca="1">[1]!BexGetData("DP_1","003N8EMH8GTFRCSWKMPXRRXR2","GSON7310100015")</f>
        <v>#NAME?</v>
      </c>
      <c r="H2769" s="8" t="e">
        <f ca="1">[1]!BexGetData("DP_1","003N8EMH8GTFRCSWKMPXRS42M","GSON7310100015")</f>
        <v>#NAME?</v>
      </c>
      <c r="I2769" s="3" t="e">
        <f ca="1">[1]!BexGetData("DP_1","003N8EMH8GTFRCSWKMPXRSAE6","GSON7310100015")</f>
        <v>#NAME?</v>
      </c>
      <c r="J2769" s="4" t="e">
        <f ca="1">[1]!BexGetData("DP_1","003N8EMH8GTFRCSWKMPXRSGPQ","GSON7310100015")</f>
        <v>#NAME?</v>
      </c>
      <c r="K2769" s="3" t="e">
        <f ca="1">[1]!BexGetData("DP_1","003N8EMH8GTFRIVNUPY288VJH","GSON7310100015")</f>
        <v>#NAME?</v>
      </c>
      <c r="L2769" s="3" t="e">
        <f ca="1">[1]!BexGetData("DP_1","003N8EMH8GTFRIVNUPY2891V1","GSON7310100015")</f>
        <v>#NAME?</v>
      </c>
      <c r="M2769" s="3" t="e">
        <f ca="1">[1]!BexGetData("DP_1","003N8EMH8GTFRIVOG7KG9IQXA","GSON7310100015")</f>
        <v>#NAME?</v>
      </c>
      <c r="N2769" s="8" t="e">
        <f ca="1">[1]!BexGetData("DP_1","003N8EMH8GTFRIVOG7KG9IX8U","GSON7310100015")</f>
        <v>#NAME?</v>
      </c>
      <c r="O2769" s="3" t="e">
        <f ca="1">[1]!BexGetData("DP_1","003N8EMH8GTFRIVOG7KG9J3KE","GSON7310100015")</f>
        <v>#NAME?</v>
      </c>
      <c r="P2769" s="8" t="e">
        <f ca="1">[1]!BexGetData("DP_1","003N8EMH8GTFRIVOG7KG9J9VY","GSON7310100015")</f>
        <v>#NAME?</v>
      </c>
      <c r="Q2769" s="4" t="e">
        <f ca="1">[1]!BexGetData("DP_1","00O2TNJGODT0G5Z4TTKYMM5MT","GSON7310100015")</f>
        <v>#NAME?</v>
      </c>
      <c r="R2769" s="3" t="e">
        <f ca="1">[1]!BexGetData("DP_1","00O2TNJGODT0G5Z4TTKYMMBYD","GSON7310100015")</f>
        <v>#NAME?</v>
      </c>
      <c r="S2769" s="3" t="e">
        <f ca="1">[1]!BexGetData("DP_1","00O2TNJGODT0G5Z4TTKYMMI9X","GSON7310100015")</f>
        <v>#NAME?</v>
      </c>
      <c r="T2769" s="8" t="e">
        <f ca="1">[1]!BexGetData("DP_1","00O2TNJGODT0G5Z4TTKYMMOLH","GSON7310100015")</f>
        <v>#NAME?</v>
      </c>
      <c r="U2769" s="3" t="e">
        <f ca="1">[1]!BexGetData("DP_1","00O2TNJGODT0G5Z4TTKYMMUX1","GSON7310100015")</f>
        <v>#NAME?</v>
      </c>
      <c r="V2769" s="8" t="e">
        <f ca="1">[1]!BexGetData("DP_1","00O2TNJGODT0G5Z4TTKYMN18L","GSON7310100015")</f>
        <v>#NAME?</v>
      </c>
      <c r="W2769" s="3" t="e">
        <f ca="1">[1]!BexGetData("DP_1","00O2TNJGODT0G5Z4TTKYMN7K5","GSON7310100015")</f>
        <v>#NAME?</v>
      </c>
    </row>
    <row r="2770" spans="1:23" x14ac:dyDescent="0.2">
      <c r="A2770" s="13" t="s">
        <v>5578</v>
      </c>
      <c r="B2770" s="7" t="s">
        <v>5579</v>
      </c>
      <c r="C2770" s="8" t="e">
        <f ca="1">[1]!BexGetData("DP_1","003N8EMH8GTFRCSWKMPXRR8GU","GSON7310100016")</f>
        <v>#NAME?</v>
      </c>
      <c r="D2770" s="3" t="e">
        <f ca="1">[1]!BexGetData("DP_1","003N8EMH8GTFRCSWKMPXRRESE","GSON7310100016")</f>
        <v>#NAME?</v>
      </c>
      <c r="E2770" s="8" t="e">
        <f ca="1">[1]!BexGetData("DP_1","003N8EMH8GTFRCSWKMPXRRL3Y","GSON7310100016")</f>
        <v>#NAME?</v>
      </c>
      <c r="F2770" s="3" t="e">
        <f ca="1">[1]!BexGetData("DP_1","003N8EMH8GTFRCSWKMPXRRRFI","GSON7310100016")</f>
        <v>#NAME?</v>
      </c>
      <c r="G2770" s="3" t="e">
        <f ca="1">[1]!BexGetData("DP_1","003N8EMH8GTFRCSWKMPXRRXR2","GSON7310100016")</f>
        <v>#NAME?</v>
      </c>
      <c r="H2770" s="8" t="e">
        <f ca="1">[1]!BexGetData("DP_1","003N8EMH8GTFRCSWKMPXRS42M","GSON7310100016")</f>
        <v>#NAME?</v>
      </c>
      <c r="I2770" s="3" t="e">
        <f ca="1">[1]!BexGetData("DP_1","003N8EMH8GTFRCSWKMPXRSAE6","GSON7310100016")</f>
        <v>#NAME?</v>
      </c>
      <c r="J2770" s="4" t="e">
        <f ca="1">[1]!BexGetData("DP_1","003N8EMH8GTFRCSWKMPXRSGPQ","GSON7310100016")</f>
        <v>#NAME?</v>
      </c>
      <c r="K2770" s="3" t="e">
        <f ca="1">[1]!BexGetData("DP_1","003N8EMH8GTFRIVNUPY288VJH","GSON7310100016")</f>
        <v>#NAME?</v>
      </c>
      <c r="L2770" s="3" t="e">
        <f ca="1">[1]!BexGetData("DP_1","003N8EMH8GTFRIVNUPY2891V1","GSON7310100016")</f>
        <v>#NAME?</v>
      </c>
      <c r="M2770" s="3" t="e">
        <f ca="1">[1]!BexGetData("DP_1","003N8EMH8GTFRIVOG7KG9IQXA","GSON7310100016")</f>
        <v>#NAME?</v>
      </c>
      <c r="N2770" s="8" t="e">
        <f ca="1">[1]!BexGetData("DP_1","003N8EMH8GTFRIVOG7KG9IX8U","GSON7310100016")</f>
        <v>#NAME?</v>
      </c>
      <c r="O2770" s="3" t="e">
        <f ca="1">[1]!BexGetData("DP_1","003N8EMH8GTFRIVOG7KG9J3KE","GSON7310100016")</f>
        <v>#NAME?</v>
      </c>
      <c r="P2770" s="8" t="e">
        <f ca="1">[1]!BexGetData("DP_1","003N8EMH8GTFRIVOG7KG9J9VY","GSON7310100016")</f>
        <v>#NAME?</v>
      </c>
      <c r="Q2770" s="4" t="e">
        <f ca="1">[1]!BexGetData("DP_1","00O2TNJGODT0G5Z4TTKYMM5MT","GSON7310100016")</f>
        <v>#NAME?</v>
      </c>
      <c r="R2770" s="3" t="e">
        <f ca="1">[1]!BexGetData("DP_1","00O2TNJGODT0G5Z4TTKYMMBYD","GSON7310100016")</f>
        <v>#NAME?</v>
      </c>
      <c r="S2770" s="3" t="e">
        <f ca="1">[1]!BexGetData("DP_1","00O2TNJGODT0G5Z4TTKYMMI9X","GSON7310100016")</f>
        <v>#NAME?</v>
      </c>
      <c r="T2770" s="8" t="e">
        <f ca="1">[1]!BexGetData("DP_1","00O2TNJGODT0G5Z4TTKYMMOLH","GSON7310100016")</f>
        <v>#NAME?</v>
      </c>
      <c r="U2770" s="3" t="e">
        <f ca="1">[1]!BexGetData("DP_1","00O2TNJGODT0G5Z4TTKYMMUX1","GSON7310100016")</f>
        <v>#NAME?</v>
      </c>
      <c r="V2770" s="8" t="e">
        <f ca="1">[1]!BexGetData("DP_1","00O2TNJGODT0G5Z4TTKYMN18L","GSON7310100016")</f>
        <v>#NAME?</v>
      </c>
      <c r="W2770" s="3" t="e">
        <f ca="1">[1]!BexGetData("DP_1","00O2TNJGODT0G5Z4TTKYMN7K5","GSON7310100016")</f>
        <v>#NAME?</v>
      </c>
    </row>
    <row r="2771" spans="1:23" x14ac:dyDescent="0.2">
      <c r="A2771" s="13" t="s">
        <v>5580</v>
      </c>
      <c r="B2771" s="7" t="s">
        <v>5581</v>
      </c>
      <c r="C2771" s="8" t="e">
        <f ca="1">[1]!BexGetData("DP_1","003N8EMH8GTFRCSWKMPXRR8GU","GSON7310100017")</f>
        <v>#NAME?</v>
      </c>
      <c r="D2771" s="3" t="e">
        <f ca="1">[1]!BexGetData("DP_1","003N8EMH8GTFRCSWKMPXRRESE","GSON7310100017")</f>
        <v>#NAME?</v>
      </c>
      <c r="E2771" s="8" t="e">
        <f ca="1">[1]!BexGetData("DP_1","003N8EMH8GTFRCSWKMPXRRL3Y","GSON7310100017")</f>
        <v>#NAME?</v>
      </c>
      <c r="F2771" s="3" t="e">
        <f ca="1">[1]!BexGetData("DP_1","003N8EMH8GTFRCSWKMPXRRRFI","GSON7310100017")</f>
        <v>#NAME?</v>
      </c>
      <c r="G2771" s="3" t="e">
        <f ca="1">[1]!BexGetData("DP_1","003N8EMH8GTFRCSWKMPXRRXR2","GSON7310100017")</f>
        <v>#NAME?</v>
      </c>
      <c r="H2771" s="8" t="e">
        <f ca="1">[1]!BexGetData("DP_1","003N8EMH8GTFRCSWKMPXRS42M","GSON7310100017")</f>
        <v>#NAME?</v>
      </c>
      <c r="I2771" s="3" t="e">
        <f ca="1">[1]!BexGetData("DP_1","003N8EMH8GTFRCSWKMPXRSAE6","GSON7310100017")</f>
        <v>#NAME?</v>
      </c>
      <c r="J2771" s="4" t="e">
        <f ca="1">[1]!BexGetData("DP_1","003N8EMH8GTFRCSWKMPXRSGPQ","GSON7310100017")</f>
        <v>#NAME?</v>
      </c>
      <c r="K2771" s="3" t="e">
        <f ca="1">[1]!BexGetData("DP_1","003N8EMH8GTFRIVNUPY288VJH","GSON7310100017")</f>
        <v>#NAME?</v>
      </c>
      <c r="L2771" s="3" t="e">
        <f ca="1">[1]!BexGetData("DP_1","003N8EMH8GTFRIVNUPY2891V1","GSON7310100017")</f>
        <v>#NAME?</v>
      </c>
      <c r="M2771" s="3" t="e">
        <f ca="1">[1]!BexGetData("DP_1","003N8EMH8GTFRIVOG7KG9IQXA","GSON7310100017")</f>
        <v>#NAME?</v>
      </c>
      <c r="N2771" s="8" t="e">
        <f ca="1">[1]!BexGetData("DP_1","003N8EMH8GTFRIVOG7KG9IX8U","GSON7310100017")</f>
        <v>#NAME?</v>
      </c>
      <c r="O2771" s="3" t="e">
        <f ca="1">[1]!BexGetData("DP_1","003N8EMH8GTFRIVOG7KG9J3KE","GSON7310100017")</f>
        <v>#NAME?</v>
      </c>
      <c r="P2771" s="8" t="e">
        <f ca="1">[1]!BexGetData("DP_1","003N8EMH8GTFRIVOG7KG9J9VY","GSON7310100017")</f>
        <v>#NAME?</v>
      </c>
      <c r="Q2771" s="4" t="e">
        <f ca="1">[1]!BexGetData("DP_1","00O2TNJGODT0G5Z4TTKYMM5MT","GSON7310100017")</f>
        <v>#NAME?</v>
      </c>
      <c r="R2771" s="3" t="e">
        <f ca="1">[1]!BexGetData("DP_1","00O2TNJGODT0G5Z4TTKYMMBYD","GSON7310100017")</f>
        <v>#NAME?</v>
      </c>
      <c r="S2771" s="3" t="e">
        <f ca="1">[1]!BexGetData("DP_1","00O2TNJGODT0G5Z4TTKYMMI9X","GSON7310100017")</f>
        <v>#NAME?</v>
      </c>
      <c r="T2771" s="8" t="e">
        <f ca="1">[1]!BexGetData("DP_1","00O2TNJGODT0G5Z4TTKYMMOLH","GSON7310100017")</f>
        <v>#NAME?</v>
      </c>
      <c r="U2771" s="3" t="e">
        <f ca="1">[1]!BexGetData("DP_1","00O2TNJGODT0G5Z4TTKYMMUX1","GSON7310100017")</f>
        <v>#NAME?</v>
      </c>
      <c r="V2771" s="8" t="e">
        <f ca="1">[1]!BexGetData("DP_1","00O2TNJGODT0G5Z4TTKYMN18L","GSON7310100017")</f>
        <v>#NAME?</v>
      </c>
      <c r="W2771" s="3" t="e">
        <f ca="1">[1]!BexGetData("DP_1","00O2TNJGODT0G5Z4TTKYMN7K5","GSON7310100017")</f>
        <v>#NAME?</v>
      </c>
    </row>
    <row r="2772" spans="1:23" x14ac:dyDescent="0.2">
      <c r="A2772" s="13" t="s">
        <v>5582</v>
      </c>
      <c r="B2772" s="7" t="s">
        <v>5583</v>
      </c>
      <c r="C2772" s="8" t="e">
        <f ca="1">[1]!BexGetData("DP_1","003N8EMH8GTFRCSWKMPXRR8GU","GSON7310100019")</f>
        <v>#NAME?</v>
      </c>
      <c r="D2772" s="3" t="e">
        <f ca="1">[1]!BexGetData("DP_1","003N8EMH8GTFRCSWKMPXRRESE","GSON7310100019")</f>
        <v>#NAME?</v>
      </c>
      <c r="E2772" s="8" t="e">
        <f ca="1">[1]!BexGetData("DP_1","003N8EMH8GTFRCSWKMPXRRL3Y","GSON7310100019")</f>
        <v>#NAME?</v>
      </c>
      <c r="F2772" s="3" t="e">
        <f ca="1">[1]!BexGetData("DP_1","003N8EMH8GTFRCSWKMPXRRRFI","GSON7310100019")</f>
        <v>#NAME?</v>
      </c>
      <c r="G2772" s="3" t="e">
        <f ca="1">[1]!BexGetData("DP_1","003N8EMH8GTFRCSWKMPXRRXR2","GSON7310100019")</f>
        <v>#NAME?</v>
      </c>
      <c r="H2772" s="8" t="e">
        <f ca="1">[1]!BexGetData("DP_1","003N8EMH8GTFRCSWKMPXRS42M","GSON7310100019")</f>
        <v>#NAME?</v>
      </c>
      <c r="I2772" s="3" t="e">
        <f ca="1">[1]!BexGetData("DP_1","003N8EMH8GTFRCSWKMPXRSAE6","GSON7310100019")</f>
        <v>#NAME?</v>
      </c>
      <c r="J2772" s="4" t="e">
        <f ca="1">[1]!BexGetData("DP_1","003N8EMH8GTFRCSWKMPXRSGPQ","GSON7310100019")</f>
        <v>#NAME?</v>
      </c>
      <c r="K2772" s="3" t="e">
        <f ca="1">[1]!BexGetData("DP_1","003N8EMH8GTFRIVNUPY288VJH","GSON7310100019")</f>
        <v>#NAME?</v>
      </c>
      <c r="L2772" s="3" t="e">
        <f ca="1">[1]!BexGetData("DP_1","003N8EMH8GTFRIVNUPY2891V1","GSON7310100019")</f>
        <v>#NAME?</v>
      </c>
      <c r="M2772" s="3" t="e">
        <f ca="1">[1]!BexGetData("DP_1","003N8EMH8GTFRIVOG7KG9IQXA","GSON7310100019")</f>
        <v>#NAME?</v>
      </c>
      <c r="N2772" s="8" t="e">
        <f ca="1">[1]!BexGetData("DP_1","003N8EMH8GTFRIVOG7KG9IX8U","GSON7310100019")</f>
        <v>#NAME?</v>
      </c>
      <c r="O2772" s="3" t="e">
        <f ca="1">[1]!BexGetData("DP_1","003N8EMH8GTFRIVOG7KG9J3KE","GSON7310100019")</f>
        <v>#NAME?</v>
      </c>
      <c r="P2772" s="8" t="e">
        <f ca="1">[1]!BexGetData("DP_1","003N8EMH8GTFRIVOG7KG9J9VY","GSON7310100019")</f>
        <v>#NAME?</v>
      </c>
      <c r="Q2772" s="4" t="e">
        <f ca="1">[1]!BexGetData("DP_1","00O2TNJGODT0G5Z4TTKYMM5MT","GSON7310100019")</f>
        <v>#NAME?</v>
      </c>
      <c r="R2772" s="3" t="e">
        <f ca="1">[1]!BexGetData("DP_1","00O2TNJGODT0G5Z4TTKYMMBYD","GSON7310100019")</f>
        <v>#NAME?</v>
      </c>
      <c r="S2772" s="3" t="e">
        <f ca="1">[1]!BexGetData("DP_1","00O2TNJGODT0G5Z4TTKYMMI9X","GSON7310100019")</f>
        <v>#NAME?</v>
      </c>
      <c r="T2772" s="8" t="e">
        <f ca="1">[1]!BexGetData("DP_1","00O2TNJGODT0G5Z4TTKYMMOLH","GSON7310100019")</f>
        <v>#NAME?</v>
      </c>
      <c r="U2772" s="3" t="e">
        <f ca="1">[1]!BexGetData("DP_1","00O2TNJGODT0G5Z4TTKYMMUX1","GSON7310100019")</f>
        <v>#NAME?</v>
      </c>
      <c r="V2772" s="8" t="e">
        <f ca="1">[1]!BexGetData("DP_1","00O2TNJGODT0G5Z4TTKYMN18L","GSON7310100019")</f>
        <v>#NAME?</v>
      </c>
      <c r="W2772" s="3" t="e">
        <f ca="1">[1]!BexGetData("DP_1","00O2TNJGODT0G5Z4TTKYMN7K5","GSON7310100019")</f>
        <v>#NAME?</v>
      </c>
    </row>
    <row r="2773" spans="1:23" x14ac:dyDescent="0.2">
      <c r="A2773" s="13" t="s">
        <v>5584</v>
      </c>
      <c r="B2773" s="7" t="s">
        <v>5585</v>
      </c>
      <c r="C2773" s="8" t="e">
        <f ca="1">[1]!BexGetData("DP_1","003N8EMH8GTFRCSWKMPXRR8GU","GSON7310100020")</f>
        <v>#NAME?</v>
      </c>
      <c r="D2773" s="3" t="e">
        <f ca="1">[1]!BexGetData("DP_1","003N8EMH8GTFRCSWKMPXRRESE","GSON7310100020")</f>
        <v>#NAME?</v>
      </c>
      <c r="E2773" s="8" t="e">
        <f ca="1">[1]!BexGetData("DP_1","003N8EMH8GTFRCSWKMPXRRL3Y","GSON7310100020")</f>
        <v>#NAME?</v>
      </c>
      <c r="F2773" s="3" t="e">
        <f ca="1">[1]!BexGetData("DP_1","003N8EMH8GTFRCSWKMPXRRRFI","GSON7310100020")</f>
        <v>#NAME?</v>
      </c>
      <c r="G2773" s="3" t="e">
        <f ca="1">[1]!BexGetData("DP_1","003N8EMH8GTFRCSWKMPXRRXR2","GSON7310100020")</f>
        <v>#NAME?</v>
      </c>
      <c r="H2773" s="8" t="e">
        <f ca="1">[1]!BexGetData("DP_1","003N8EMH8GTFRCSWKMPXRS42M","GSON7310100020")</f>
        <v>#NAME?</v>
      </c>
      <c r="I2773" s="3" t="e">
        <f ca="1">[1]!BexGetData("DP_1","003N8EMH8GTFRCSWKMPXRSAE6","GSON7310100020")</f>
        <v>#NAME?</v>
      </c>
      <c r="J2773" s="4" t="e">
        <f ca="1">[1]!BexGetData("DP_1","003N8EMH8GTFRCSWKMPXRSGPQ","GSON7310100020")</f>
        <v>#NAME?</v>
      </c>
      <c r="K2773" s="3" t="e">
        <f ca="1">[1]!BexGetData("DP_1","003N8EMH8GTFRIVNUPY288VJH","GSON7310100020")</f>
        <v>#NAME?</v>
      </c>
      <c r="L2773" s="3" t="e">
        <f ca="1">[1]!BexGetData("DP_1","003N8EMH8GTFRIVNUPY2891V1","GSON7310100020")</f>
        <v>#NAME?</v>
      </c>
      <c r="M2773" s="3" t="e">
        <f ca="1">[1]!BexGetData("DP_1","003N8EMH8GTFRIVOG7KG9IQXA","GSON7310100020")</f>
        <v>#NAME?</v>
      </c>
      <c r="N2773" s="8" t="e">
        <f ca="1">[1]!BexGetData("DP_1","003N8EMH8GTFRIVOG7KG9IX8U","GSON7310100020")</f>
        <v>#NAME?</v>
      </c>
      <c r="O2773" s="3" t="e">
        <f ca="1">[1]!BexGetData("DP_1","003N8EMH8GTFRIVOG7KG9J3KE","GSON7310100020")</f>
        <v>#NAME?</v>
      </c>
      <c r="P2773" s="8" t="e">
        <f ca="1">[1]!BexGetData("DP_1","003N8EMH8GTFRIVOG7KG9J9VY","GSON7310100020")</f>
        <v>#NAME?</v>
      </c>
      <c r="Q2773" s="4" t="e">
        <f ca="1">[1]!BexGetData("DP_1","00O2TNJGODT0G5Z4TTKYMM5MT","GSON7310100020")</f>
        <v>#NAME?</v>
      </c>
      <c r="R2773" s="3" t="e">
        <f ca="1">[1]!BexGetData("DP_1","00O2TNJGODT0G5Z4TTKYMMBYD","GSON7310100020")</f>
        <v>#NAME?</v>
      </c>
      <c r="S2773" s="3" t="e">
        <f ca="1">[1]!BexGetData("DP_1","00O2TNJGODT0G5Z4TTKYMMI9X","GSON7310100020")</f>
        <v>#NAME?</v>
      </c>
      <c r="T2773" s="8" t="e">
        <f ca="1">[1]!BexGetData("DP_1","00O2TNJGODT0G5Z4TTKYMMOLH","GSON7310100020")</f>
        <v>#NAME?</v>
      </c>
      <c r="U2773" s="3" t="e">
        <f ca="1">[1]!BexGetData("DP_1","00O2TNJGODT0G5Z4TTKYMMUX1","GSON7310100020")</f>
        <v>#NAME?</v>
      </c>
      <c r="V2773" s="8" t="e">
        <f ca="1">[1]!BexGetData("DP_1","00O2TNJGODT0G5Z4TTKYMN18L","GSON7310100020")</f>
        <v>#NAME?</v>
      </c>
      <c r="W2773" s="3" t="e">
        <f ca="1">[1]!BexGetData("DP_1","00O2TNJGODT0G5Z4TTKYMN7K5","GSON7310100020")</f>
        <v>#NAME?</v>
      </c>
    </row>
    <row r="2774" spans="1:23" x14ac:dyDescent="0.2">
      <c r="A2774" s="13" t="s">
        <v>5586</v>
      </c>
      <c r="B2774" s="7" t="s">
        <v>5587</v>
      </c>
      <c r="C2774" s="8" t="e">
        <f ca="1">[1]!BexGetData("DP_1","003N8EMH8GTFRCSWKMPXRR8GU","GSON7310100021")</f>
        <v>#NAME?</v>
      </c>
      <c r="D2774" s="3" t="e">
        <f ca="1">[1]!BexGetData("DP_1","003N8EMH8GTFRCSWKMPXRRESE","GSON7310100021")</f>
        <v>#NAME?</v>
      </c>
      <c r="E2774" s="8" t="e">
        <f ca="1">[1]!BexGetData("DP_1","003N8EMH8GTFRCSWKMPXRRL3Y","GSON7310100021")</f>
        <v>#NAME?</v>
      </c>
      <c r="F2774" s="3" t="e">
        <f ca="1">[1]!BexGetData("DP_1","003N8EMH8GTFRCSWKMPXRRRFI","GSON7310100021")</f>
        <v>#NAME?</v>
      </c>
      <c r="G2774" s="3" t="e">
        <f ca="1">[1]!BexGetData("DP_1","003N8EMH8GTFRCSWKMPXRRXR2","GSON7310100021")</f>
        <v>#NAME?</v>
      </c>
      <c r="H2774" s="8" t="e">
        <f ca="1">[1]!BexGetData("DP_1","003N8EMH8GTFRCSWKMPXRS42M","GSON7310100021")</f>
        <v>#NAME?</v>
      </c>
      <c r="I2774" s="3" t="e">
        <f ca="1">[1]!BexGetData("DP_1","003N8EMH8GTFRCSWKMPXRSAE6","GSON7310100021")</f>
        <v>#NAME?</v>
      </c>
      <c r="J2774" s="4" t="e">
        <f ca="1">[1]!BexGetData("DP_1","003N8EMH8GTFRCSWKMPXRSGPQ","GSON7310100021")</f>
        <v>#NAME?</v>
      </c>
      <c r="K2774" s="3" t="e">
        <f ca="1">[1]!BexGetData("DP_1","003N8EMH8GTFRIVNUPY288VJH","GSON7310100021")</f>
        <v>#NAME?</v>
      </c>
      <c r="L2774" s="3" t="e">
        <f ca="1">[1]!BexGetData("DP_1","003N8EMH8GTFRIVNUPY2891V1","GSON7310100021")</f>
        <v>#NAME?</v>
      </c>
      <c r="M2774" s="3" t="e">
        <f ca="1">[1]!BexGetData("DP_1","003N8EMH8GTFRIVOG7KG9IQXA","GSON7310100021")</f>
        <v>#NAME?</v>
      </c>
      <c r="N2774" s="8" t="e">
        <f ca="1">[1]!BexGetData("DP_1","003N8EMH8GTFRIVOG7KG9IX8U","GSON7310100021")</f>
        <v>#NAME?</v>
      </c>
      <c r="O2774" s="3" t="e">
        <f ca="1">[1]!BexGetData("DP_1","003N8EMH8GTFRIVOG7KG9J3KE","GSON7310100021")</f>
        <v>#NAME?</v>
      </c>
      <c r="P2774" s="8" t="e">
        <f ca="1">[1]!BexGetData("DP_1","003N8EMH8GTFRIVOG7KG9J9VY","GSON7310100021")</f>
        <v>#NAME?</v>
      </c>
      <c r="Q2774" s="4" t="e">
        <f ca="1">[1]!BexGetData("DP_1","00O2TNJGODT0G5Z4TTKYMM5MT","GSON7310100021")</f>
        <v>#NAME?</v>
      </c>
      <c r="R2774" s="3" t="e">
        <f ca="1">[1]!BexGetData("DP_1","00O2TNJGODT0G5Z4TTKYMMBYD","GSON7310100021")</f>
        <v>#NAME?</v>
      </c>
      <c r="S2774" s="3" t="e">
        <f ca="1">[1]!BexGetData("DP_1","00O2TNJGODT0G5Z4TTKYMMI9X","GSON7310100021")</f>
        <v>#NAME?</v>
      </c>
      <c r="T2774" s="8" t="e">
        <f ca="1">[1]!BexGetData("DP_1","00O2TNJGODT0G5Z4TTKYMMOLH","GSON7310100021")</f>
        <v>#NAME?</v>
      </c>
      <c r="U2774" s="3" t="e">
        <f ca="1">[1]!BexGetData("DP_1","00O2TNJGODT0G5Z4TTKYMMUX1","GSON7310100021")</f>
        <v>#NAME?</v>
      </c>
      <c r="V2774" s="8" t="e">
        <f ca="1">[1]!BexGetData("DP_1","00O2TNJGODT0G5Z4TTKYMN18L","GSON7310100021")</f>
        <v>#NAME?</v>
      </c>
      <c r="W2774" s="3" t="e">
        <f ca="1">[1]!BexGetData("DP_1","00O2TNJGODT0G5Z4TTKYMN7K5","GSON7310100021")</f>
        <v>#NAME?</v>
      </c>
    </row>
    <row r="2775" spans="1:23" x14ac:dyDescent="0.2">
      <c r="A2775" s="13" t="s">
        <v>5588</v>
      </c>
      <c r="B2775" s="7" t="s">
        <v>5589</v>
      </c>
      <c r="C2775" s="8" t="e">
        <f ca="1">[1]!BexGetData("DP_1","003N8EMH8GTFRCSWKMPXRR8GU","GSON7310100022")</f>
        <v>#NAME?</v>
      </c>
      <c r="D2775" s="3" t="e">
        <f ca="1">[1]!BexGetData("DP_1","003N8EMH8GTFRCSWKMPXRRESE","GSON7310100022")</f>
        <v>#NAME?</v>
      </c>
      <c r="E2775" s="8" t="e">
        <f ca="1">[1]!BexGetData("DP_1","003N8EMH8GTFRCSWKMPXRRL3Y","GSON7310100022")</f>
        <v>#NAME?</v>
      </c>
      <c r="F2775" s="3" t="e">
        <f ca="1">[1]!BexGetData("DP_1","003N8EMH8GTFRCSWKMPXRRRFI","GSON7310100022")</f>
        <v>#NAME?</v>
      </c>
      <c r="G2775" s="3" t="e">
        <f ca="1">[1]!BexGetData("DP_1","003N8EMH8GTFRCSWKMPXRRXR2","GSON7310100022")</f>
        <v>#NAME?</v>
      </c>
      <c r="H2775" s="8" t="e">
        <f ca="1">[1]!BexGetData("DP_1","003N8EMH8GTFRCSWKMPXRS42M","GSON7310100022")</f>
        <v>#NAME?</v>
      </c>
      <c r="I2775" s="3" t="e">
        <f ca="1">[1]!BexGetData("DP_1","003N8EMH8GTFRCSWKMPXRSAE6","GSON7310100022")</f>
        <v>#NAME?</v>
      </c>
      <c r="J2775" s="4" t="e">
        <f ca="1">[1]!BexGetData("DP_1","003N8EMH8GTFRCSWKMPXRSGPQ","GSON7310100022")</f>
        <v>#NAME?</v>
      </c>
      <c r="K2775" s="3" t="e">
        <f ca="1">[1]!BexGetData("DP_1","003N8EMH8GTFRIVNUPY288VJH","GSON7310100022")</f>
        <v>#NAME?</v>
      </c>
      <c r="L2775" s="3" t="e">
        <f ca="1">[1]!BexGetData("DP_1","003N8EMH8GTFRIVNUPY2891V1","GSON7310100022")</f>
        <v>#NAME?</v>
      </c>
      <c r="M2775" s="3" t="e">
        <f ca="1">[1]!BexGetData("DP_1","003N8EMH8GTFRIVOG7KG9IQXA","GSON7310100022")</f>
        <v>#NAME?</v>
      </c>
      <c r="N2775" s="8" t="e">
        <f ca="1">[1]!BexGetData("DP_1","003N8EMH8GTFRIVOG7KG9IX8U","GSON7310100022")</f>
        <v>#NAME?</v>
      </c>
      <c r="O2775" s="3" t="e">
        <f ca="1">[1]!BexGetData("DP_1","003N8EMH8GTFRIVOG7KG9J3KE","GSON7310100022")</f>
        <v>#NAME?</v>
      </c>
      <c r="P2775" s="8" t="e">
        <f ca="1">[1]!BexGetData("DP_1","003N8EMH8GTFRIVOG7KG9J9VY","GSON7310100022")</f>
        <v>#NAME?</v>
      </c>
      <c r="Q2775" s="4" t="e">
        <f ca="1">[1]!BexGetData("DP_1","00O2TNJGODT0G5Z4TTKYMM5MT","GSON7310100022")</f>
        <v>#NAME?</v>
      </c>
      <c r="R2775" s="3" t="e">
        <f ca="1">[1]!BexGetData("DP_1","00O2TNJGODT0G5Z4TTKYMMBYD","GSON7310100022")</f>
        <v>#NAME?</v>
      </c>
      <c r="S2775" s="3" t="e">
        <f ca="1">[1]!BexGetData("DP_1","00O2TNJGODT0G5Z4TTKYMMI9X","GSON7310100022")</f>
        <v>#NAME?</v>
      </c>
      <c r="T2775" s="8" t="e">
        <f ca="1">[1]!BexGetData("DP_1","00O2TNJGODT0G5Z4TTKYMMOLH","GSON7310100022")</f>
        <v>#NAME?</v>
      </c>
      <c r="U2775" s="3" t="e">
        <f ca="1">[1]!BexGetData("DP_1","00O2TNJGODT0G5Z4TTKYMMUX1","GSON7310100022")</f>
        <v>#NAME?</v>
      </c>
      <c r="V2775" s="8" t="e">
        <f ca="1">[1]!BexGetData("DP_1","00O2TNJGODT0G5Z4TTKYMN18L","GSON7310100022")</f>
        <v>#NAME?</v>
      </c>
      <c r="W2775" s="3" t="e">
        <f ca="1">[1]!BexGetData("DP_1","00O2TNJGODT0G5Z4TTKYMN7K5","GSON7310100022")</f>
        <v>#NAME?</v>
      </c>
    </row>
    <row r="2776" spans="1:23" x14ac:dyDescent="0.2">
      <c r="A2776" s="13" t="s">
        <v>5590</v>
      </c>
      <c r="B2776" s="7" t="s">
        <v>5591</v>
      </c>
      <c r="C2776" s="8" t="e">
        <f ca="1">[1]!BexGetData("DP_1","003N8EMH8GTFRCSWKMPXRR8GU","GSON7310100023")</f>
        <v>#NAME?</v>
      </c>
      <c r="D2776" s="3" t="e">
        <f ca="1">[1]!BexGetData("DP_1","003N8EMH8GTFRCSWKMPXRRESE","GSON7310100023")</f>
        <v>#NAME?</v>
      </c>
      <c r="E2776" s="8" t="e">
        <f ca="1">[1]!BexGetData("DP_1","003N8EMH8GTFRCSWKMPXRRL3Y","GSON7310100023")</f>
        <v>#NAME?</v>
      </c>
      <c r="F2776" s="3" t="e">
        <f ca="1">[1]!BexGetData("DP_1","003N8EMH8GTFRCSWKMPXRRRFI","GSON7310100023")</f>
        <v>#NAME?</v>
      </c>
      <c r="G2776" s="3" t="e">
        <f ca="1">[1]!BexGetData("DP_1","003N8EMH8GTFRCSWKMPXRRXR2","GSON7310100023")</f>
        <v>#NAME?</v>
      </c>
      <c r="H2776" s="8" t="e">
        <f ca="1">[1]!BexGetData("DP_1","003N8EMH8GTFRCSWKMPXRS42M","GSON7310100023")</f>
        <v>#NAME?</v>
      </c>
      <c r="I2776" s="3" t="e">
        <f ca="1">[1]!BexGetData("DP_1","003N8EMH8GTFRCSWKMPXRSAE6","GSON7310100023")</f>
        <v>#NAME?</v>
      </c>
      <c r="J2776" s="4" t="e">
        <f ca="1">[1]!BexGetData("DP_1","003N8EMH8GTFRCSWKMPXRSGPQ","GSON7310100023")</f>
        <v>#NAME?</v>
      </c>
      <c r="K2776" s="3" t="e">
        <f ca="1">[1]!BexGetData("DP_1","003N8EMH8GTFRIVNUPY288VJH","GSON7310100023")</f>
        <v>#NAME?</v>
      </c>
      <c r="L2776" s="3" t="e">
        <f ca="1">[1]!BexGetData("DP_1","003N8EMH8GTFRIVNUPY2891V1","GSON7310100023")</f>
        <v>#NAME?</v>
      </c>
      <c r="M2776" s="3" t="e">
        <f ca="1">[1]!BexGetData("DP_1","003N8EMH8GTFRIVOG7KG9IQXA","GSON7310100023")</f>
        <v>#NAME?</v>
      </c>
      <c r="N2776" s="8" t="e">
        <f ca="1">[1]!BexGetData("DP_1","003N8EMH8GTFRIVOG7KG9IX8U","GSON7310100023")</f>
        <v>#NAME?</v>
      </c>
      <c r="O2776" s="3" t="e">
        <f ca="1">[1]!BexGetData("DP_1","003N8EMH8GTFRIVOG7KG9J3KE","GSON7310100023")</f>
        <v>#NAME?</v>
      </c>
      <c r="P2776" s="8" t="e">
        <f ca="1">[1]!BexGetData("DP_1","003N8EMH8GTFRIVOG7KG9J9VY","GSON7310100023")</f>
        <v>#NAME?</v>
      </c>
      <c r="Q2776" s="4" t="e">
        <f ca="1">[1]!BexGetData("DP_1","00O2TNJGODT0G5Z4TTKYMM5MT","GSON7310100023")</f>
        <v>#NAME?</v>
      </c>
      <c r="R2776" s="3" t="e">
        <f ca="1">[1]!BexGetData("DP_1","00O2TNJGODT0G5Z4TTKYMMBYD","GSON7310100023")</f>
        <v>#NAME?</v>
      </c>
      <c r="S2776" s="3" t="e">
        <f ca="1">[1]!BexGetData("DP_1","00O2TNJGODT0G5Z4TTKYMMI9X","GSON7310100023")</f>
        <v>#NAME?</v>
      </c>
      <c r="T2776" s="8" t="e">
        <f ca="1">[1]!BexGetData("DP_1","00O2TNJGODT0G5Z4TTKYMMOLH","GSON7310100023")</f>
        <v>#NAME?</v>
      </c>
      <c r="U2776" s="3" t="e">
        <f ca="1">[1]!BexGetData("DP_1","00O2TNJGODT0G5Z4TTKYMMUX1","GSON7310100023")</f>
        <v>#NAME?</v>
      </c>
      <c r="V2776" s="8" t="e">
        <f ca="1">[1]!BexGetData("DP_1","00O2TNJGODT0G5Z4TTKYMN18L","GSON7310100023")</f>
        <v>#NAME?</v>
      </c>
      <c r="W2776" s="3" t="e">
        <f ca="1">[1]!BexGetData("DP_1","00O2TNJGODT0G5Z4TTKYMN7K5","GSON7310100023")</f>
        <v>#NAME?</v>
      </c>
    </row>
    <row r="2777" spans="1:23" x14ac:dyDescent="0.2">
      <c r="A2777" s="13" t="s">
        <v>5592</v>
      </c>
      <c r="B2777" s="7" t="s">
        <v>5593</v>
      </c>
      <c r="C2777" s="8" t="e">
        <f ca="1">[1]!BexGetData("DP_1","003N8EMH8GTFRCSWKMPXRR8GU","GSON7310100024")</f>
        <v>#NAME?</v>
      </c>
      <c r="D2777" s="3" t="e">
        <f ca="1">[1]!BexGetData("DP_1","003N8EMH8GTFRCSWKMPXRRESE","GSON7310100024")</f>
        <v>#NAME?</v>
      </c>
      <c r="E2777" s="8" t="e">
        <f ca="1">[1]!BexGetData("DP_1","003N8EMH8GTFRCSWKMPXRRL3Y","GSON7310100024")</f>
        <v>#NAME?</v>
      </c>
      <c r="F2777" s="3" t="e">
        <f ca="1">[1]!BexGetData("DP_1","003N8EMH8GTFRCSWKMPXRRRFI","GSON7310100024")</f>
        <v>#NAME?</v>
      </c>
      <c r="G2777" s="3" t="e">
        <f ca="1">[1]!BexGetData("DP_1","003N8EMH8GTFRCSWKMPXRRXR2","GSON7310100024")</f>
        <v>#NAME?</v>
      </c>
      <c r="H2777" s="8" t="e">
        <f ca="1">[1]!BexGetData("DP_1","003N8EMH8GTFRCSWKMPXRS42M","GSON7310100024")</f>
        <v>#NAME?</v>
      </c>
      <c r="I2777" s="3" t="e">
        <f ca="1">[1]!BexGetData("DP_1","003N8EMH8GTFRCSWKMPXRSAE6","GSON7310100024")</f>
        <v>#NAME?</v>
      </c>
      <c r="J2777" s="4" t="e">
        <f ca="1">[1]!BexGetData("DP_1","003N8EMH8GTFRCSWKMPXRSGPQ","GSON7310100024")</f>
        <v>#NAME?</v>
      </c>
      <c r="K2777" s="3" t="e">
        <f ca="1">[1]!BexGetData("DP_1","003N8EMH8GTFRIVNUPY288VJH","GSON7310100024")</f>
        <v>#NAME?</v>
      </c>
      <c r="L2777" s="3" t="e">
        <f ca="1">[1]!BexGetData("DP_1","003N8EMH8GTFRIVNUPY2891V1","GSON7310100024")</f>
        <v>#NAME?</v>
      </c>
      <c r="M2777" s="3" t="e">
        <f ca="1">[1]!BexGetData("DP_1","003N8EMH8GTFRIVOG7KG9IQXA","GSON7310100024")</f>
        <v>#NAME?</v>
      </c>
      <c r="N2777" s="8" t="e">
        <f ca="1">[1]!BexGetData("DP_1","003N8EMH8GTFRIVOG7KG9IX8U","GSON7310100024")</f>
        <v>#NAME?</v>
      </c>
      <c r="O2777" s="3" t="e">
        <f ca="1">[1]!BexGetData("DP_1","003N8EMH8GTFRIVOG7KG9J3KE","GSON7310100024")</f>
        <v>#NAME?</v>
      </c>
      <c r="P2777" s="8" t="e">
        <f ca="1">[1]!BexGetData("DP_1","003N8EMH8GTFRIVOG7KG9J9VY","GSON7310100024")</f>
        <v>#NAME?</v>
      </c>
      <c r="Q2777" s="4" t="e">
        <f ca="1">[1]!BexGetData("DP_1","00O2TNJGODT0G5Z4TTKYMM5MT","GSON7310100024")</f>
        <v>#NAME?</v>
      </c>
      <c r="R2777" s="3" t="e">
        <f ca="1">[1]!BexGetData("DP_1","00O2TNJGODT0G5Z4TTKYMMBYD","GSON7310100024")</f>
        <v>#NAME?</v>
      </c>
      <c r="S2777" s="3" t="e">
        <f ca="1">[1]!BexGetData("DP_1","00O2TNJGODT0G5Z4TTKYMMI9X","GSON7310100024")</f>
        <v>#NAME?</v>
      </c>
      <c r="T2777" s="8" t="e">
        <f ca="1">[1]!BexGetData("DP_1","00O2TNJGODT0G5Z4TTKYMMOLH","GSON7310100024")</f>
        <v>#NAME?</v>
      </c>
      <c r="U2777" s="3" t="e">
        <f ca="1">[1]!BexGetData("DP_1","00O2TNJGODT0G5Z4TTKYMMUX1","GSON7310100024")</f>
        <v>#NAME?</v>
      </c>
      <c r="V2777" s="8" t="e">
        <f ca="1">[1]!BexGetData("DP_1","00O2TNJGODT0G5Z4TTKYMN18L","GSON7310100024")</f>
        <v>#NAME?</v>
      </c>
      <c r="W2777" s="3" t="e">
        <f ca="1">[1]!BexGetData("DP_1","00O2TNJGODT0G5Z4TTKYMN7K5","GSON7310100024")</f>
        <v>#NAME?</v>
      </c>
    </row>
    <row r="2778" spans="1:23" x14ac:dyDescent="0.2">
      <c r="A2778" s="13" t="s">
        <v>5594</v>
      </c>
      <c r="B2778" s="7" t="s">
        <v>5595</v>
      </c>
      <c r="C2778" s="8" t="e">
        <f ca="1">[1]!BexGetData("DP_1","003N8EMH8GTFRCSWKMPXRR8GU","GSON7310100025")</f>
        <v>#NAME?</v>
      </c>
      <c r="D2778" s="3" t="e">
        <f ca="1">[1]!BexGetData("DP_1","003N8EMH8GTFRCSWKMPXRRESE","GSON7310100025")</f>
        <v>#NAME?</v>
      </c>
      <c r="E2778" s="3" t="e">
        <f ca="1">[1]!BexGetData("DP_1","003N8EMH8GTFRCSWKMPXRRL3Y","GSON7310100025")</f>
        <v>#NAME?</v>
      </c>
      <c r="F2778" s="3" t="e">
        <f ca="1">[1]!BexGetData("DP_1","003N8EMH8GTFRCSWKMPXRRRFI","GSON7310100025")</f>
        <v>#NAME?</v>
      </c>
      <c r="G2778" s="3" t="e">
        <f ca="1">[1]!BexGetData("DP_1","003N8EMH8GTFRCSWKMPXRRXR2","GSON7310100025")</f>
        <v>#NAME?</v>
      </c>
      <c r="H2778" s="8" t="e">
        <f ca="1">[1]!BexGetData("DP_1","003N8EMH8GTFRCSWKMPXRS42M","GSON7310100025")</f>
        <v>#NAME?</v>
      </c>
      <c r="I2778" s="3" t="e">
        <f ca="1">[1]!BexGetData("DP_1","003N8EMH8GTFRCSWKMPXRSAE6","GSON7310100025")</f>
        <v>#NAME?</v>
      </c>
      <c r="J2778" s="4" t="e">
        <f ca="1">[1]!BexGetData("DP_1","003N8EMH8GTFRCSWKMPXRSGPQ","GSON7310100025")</f>
        <v>#NAME?</v>
      </c>
      <c r="K2778" s="3" t="e">
        <f ca="1">[1]!BexGetData("DP_1","003N8EMH8GTFRIVNUPY288VJH","GSON7310100025")</f>
        <v>#NAME?</v>
      </c>
      <c r="L2778" s="3" t="e">
        <f ca="1">[1]!BexGetData("DP_1","003N8EMH8GTFRIVNUPY2891V1","GSON7310100025")</f>
        <v>#NAME?</v>
      </c>
      <c r="M2778" s="3" t="e">
        <f ca="1">[1]!BexGetData("DP_1","003N8EMH8GTFRIVOG7KG9IQXA","GSON7310100025")</f>
        <v>#NAME?</v>
      </c>
      <c r="N2778" s="8" t="e">
        <f ca="1">[1]!BexGetData("DP_1","003N8EMH8GTFRIVOG7KG9IX8U","GSON7310100025")</f>
        <v>#NAME?</v>
      </c>
      <c r="O2778" s="3" t="e">
        <f ca="1">[1]!BexGetData("DP_1","003N8EMH8GTFRIVOG7KG9J3KE","GSON7310100025")</f>
        <v>#NAME?</v>
      </c>
      <c r="P2778" s="8" t="e">
        <f ca="1">[1]!BexGetData("DP_1","003N8EMH8GTFRIVOG7KG9J9VY","GSON7310100025")</f>
        <v>#NAME?</v>
      </c>
      <c r="Q2778" s="4" t="e">
        <f ca="1">[1]!BexGetData("DP_1","00O2TNJGODT0G5Z4TTKYMM5MT","GSON7310100025")</f>
        <v>#NAME?</v>
      </c>
      <c r="R2778" s="3" t="e">
        <f ca="1">[1]!BexGetData("DP_1","00O2TNJGODT0G5Z4TTKYMMBYD","GSON7310100025")</f>
        <v>#NAME?</v>
      </c>
      <c r="S2778" s="3" t="e">
        <f ca="1">[1]!BexGetData("DP_1","00O2TNJGODT0G5Z4TTKYMMI9X","GSON7310100025")</f>
        <v>#NAME?</v>
      </c>
      <c r="T2778" s="8" t="e">
        <f ca="1">[1]!BexGetData("DP_1","00O2TNJGODT0G5Z4TTKYMMOLH","GSON7310100025")</f>
        <v>#NAME?</v>
      </c>
      <c r="U2778" s="3" t="e">
        <f ca="1">[1]!BexGetData("DP_1","00O2TNJGODT0G5Z4TTKYMMUX1","GSON7310100025")</f>
        <v>#NAME?</v>
      </c>
      <c r="V2778" s="8" t="e">
        <f ca="1">[1]!BexGetData("DP_1","00O2TNJGODT0G5Z4TTKYMN18L","GSON7310100025")</f>
        <v>#NAME?</v>
      </c>
      <c r="W2778" s="3" t="e">
        <f ca="1">[1]!BexGetData("DP_1","00O2TNJGODT0G5Z4TTKYMN7K5","GSON7310100025")</f>
        <v>#NAME?</v>
      </c>
    </row>
    <row r="2779" spans="1:23" x14ac:dyDescent="0.2">
      <c r="A2779" s="13" t="s">
        <v>5596</v>
      </c>
      <c r="B2779" s="7" t="s">
        <v>5597</v>
      </c>
      <c r="C2779" s="3" t="e">
        <f ca="1">[1]!BexGetData("DP_1","003N8EMH8GTFRCSWKMPXRR8GU","GSON7310200001")</f>
        <v>#NAME?</v>
      </c>
      <c r="D2779" s="3" t="e">
        <f ca="1">[1]!BexGetData("DP_1","003N8EMH8GTFRCSWKMPXRRESE","GSON7310200001")</f>
        <v>#NAME?</v>
      </c>
      <c r="E2779" s="3" t="e">
        <f ca="1">[1]!BexGetData("DP_1","003N8EMH8GTFRCSWKMPXRRL3Y","GSON7310200001")</f>
        <v>#NAME?</v>
      </c>
      <c r="F2779" s="3" t="e">
        <f ca="1">[1]!BexGetData("DP_1","003N8EMH8GTFRCSWKMPXRRRFI","GSON7310200001")</f>
        <v>#NAME?</v>
      </c>
      <c r="G2779" s="3" t="e">
        <f ca="1">[1]!BexGetData("DP_1","003N8EMH8GTFRCSWKMPXRRXR2","GSON7310200001")</f>
        <v>#NAME?</v>
      </c>
      <c r="H2779" s="8" t="e">
        <f ca="1">[1]!BexGetData("DP_1","003N8EMH8GTFRCSWKMPXRS42M","GSON7310200001")</f>
        <v>#NAME?</v>
      </c>
      <c r="I2779" s="3" t="e">
        <f ca="1">[1]!BexGetData("DP_1","003N8EMH8GTFRCSWKMPXRSAE6","GSON7310200001")</f>
        <v>#NAME?</v>
      </c>
      <c r="J2779" s="4" t="e">
        <f ca="1">[1]!BexGetData("DP_1","003N8EMH8GTFRCSWKMPXRSGPQ","GSON7310200001")</f>
        <v>#NAME?</v>
      </c>
      <c r="K2779" s="3" t="e">
        <f ca="1">[1]!BexGetData("DP_1","003N8EMH8GTFRIVNUPY288VJH","GSON7310200001")</f>
        <v>#NAME?</v>
      </c>
      <c r="L2779" s="3" t="e">
        <f ca="1">[1]!BexGetData("DP_1","003N8EMH8GTFRIVNUPY2891V1","GSON7310200001")</f>
        <v>#NAME?</v>
      </c>
      <c r="M2779" s="3" t="e">
        <f ca="1">[1]!BexGetData("DP_1","003N8EMH8GTFRIVOG7KG9IQXA","GSON7310200001")</f>
        <v>#NAME?</v>
      </c>
      <c r="N2779" s="8" t="e">
        <f ca="1">[1]!BexGetData("DP_1","003N8EMH8GTFRIVOG7KG9IX8U","GSON7310200001")</f>
        <v>#NAME?</v>
      </c>
      <c r="O2779" s="3" t="e">
        <f ca="1">[1]!BexGetData("DP_1","003N8EMH8GTFRIVOG7KG9J3KE","GSON7310200001")</f>
        <v>#NAME?</v>
      </c>
      <c r="P2779" s="8" t="e">
        <f ca="1">[1]!BexGetData("DP_1","003N8EMH8GTFRIVOG7KG9J9VY","GSON7310200001")</f>
        <v>#NAME?</v>
      </c>
      <c r="Q2779" s="4" t="e">
        <f ca="1">[1]!BexGetData("DP_1","00O2TNJGODT0G5Z4TTKYMM5MT","GSON7310200001")</f>
        <v>#NAME?</v>
      </c>
      <c r="R2779" s="3" t="e">
        <f ca="1">[1]!BexGetData("DP_1","00O2TNJGODT0G5Z4TTKYMMBYD","GSON7310200001")</f>
        <v>#NAME?</v>
      </c>
      <c r="S2779" s="3" t="e">
        <f ca="1">[1]!BexGetData("DP_1","00O2TNJGODT0G5Z4TTKYMMI9X","GSON7310200001")</f>
        <v>#NAME?</v>
      </c>
      <c r="T2779" s="8" t="e">
        <f ca="1">[1]!BexGetData("DP_1","00O2TNJGODT0G5Z4TTKYMMOLH","GSON7310200001")</f>
        <v>#NAME?</v>
      </c>
      <c r="U2779" s="3" t="e">
        <f ca="1">[1]!BexGetData("DP_1","00O2TNJGODT0G5Z4TTKYMMUX1","GSON7310200001")</f>
        <v>#NAME?</v>
      </c>
      <c r="V2779" s="8" t="e">
        <f ca="1">[1]!BexGetData("DP_1","00O2TNJGODT0G5Z4TTKYMN18L","GSON7310200001")</f>
        <v>#NAME?</v>
      </c>
      <c r="W2779" s="3" t="e">
        <f ca="1">[1]!BexGetData("DP_1","00O2TNJGODT0G5Z4TTKYMN7K5","GSON7310200001")</f>
        <v>#NAME?</v>
      </c>
    </row>
    <row r="2780" spans="1:23" x14ac:dyDescent="0.2">
      <c r="A2780" s="13" t="s">
        <v>5598</v>
      </c>
      <c r="B2780" s="7" t="s">
        <v>5599</v>
      </c>
      <c r="C2780" s="3" t="e">
        <f ca="1">[1]!BexGetData("DP_1","003N8EMH8GTFRCSWKMPXRR8GU","GSON7310200002")</f>
        <v>#NAME?</v>
      </c>
      <c r="D2780" s="3" t="e">
        <f ca="1">[1]!BexGetData("DP_1","003N8EMH8GTFRCSWKMPXRRESE","GSON7310200002")</f>
        <v>#NAME?</v>
      </c>
      <c r="E2780" s="8" t="e">
        <f ca="1">[1]!BexGetData("DP_1","003N8EMH8GTFRCSWKMPXRRL3Y","GSON7310200002")</f>
        <v>#NAME?</v>
      </c>
      <c r="F2780" s="3" t="e">
        <f ca="1">[1]!BexGetData("DP_1","003N8EMH8GTFRCSWKMPXRRRFI","GSON7310200002")</f>
        <v>#NAME?</v>
      </c>
      <c r="G2780" s="3" t="e">
        <f ca="1">[1]!BexGetData("DP_1","003N8EMH8GTFRCSWKMPXRRXR2","GSON7310200002")</f>
        <v>#NAME?</v>
      </c>
      <c r="H2780" s="8" t="e">
        <f ca="1">[1]!BexGetData("DP_1","003N8EMH8GTFRCSWKMPXRS42M","GSON7310200002")</f>
        <v>#NAME?</v>
      </c>
      <c r="I2780" s="3" t="e">
        <f ca="1">[1]!BexGetData("DP_1","003N8EMH8GTFRCSWKMPXRSAE6","GSON7310200002")</f>
        <v>#NAME?</v>
      </c>
      <c r="J2780" s="4" t="e">
        <f ca="1">[1]!BexGetData("DP_1","003N8EMH8GTFRCSWKMPXRSGPQ","GSON7310200002")</f>
        <v>#NAME?</v>
      </c>
      <c r="K2780" s="3" t="e">
        <f ca="1">[1]!BexGetData("DP_1","003N8EMH8GTFRIVNUPY288VJH","GSON7310200002")</f>
        <v>#NAME?</v>
      </c>
      <c r="L2780" s="3" t="e">
        <f ca="1">[1]!BexGetData("DP_1","003N8EMH8GTFRIVNUPY2891V1","GSON7310200002")</f>
        <v>#NAME?</v>
      </c>
      <c r="M2780" s="3" t="e">
        <f ca="1">[1]!BexGetData("DP_1","003N8EMH8GTFRIVOG7KG9IQXA","GSON7310200002")</f>
        <v>#NAME?</v>
      </c>
      <c r="N2780" s="8" t="e">
        <f ca="1">[1]!BexGetData("DP_1","003N8EMH8GTFRIVOG7KG9IX8U","GSON7310200002")</f>
        <v>#NAME?</v>
      </c>
      <c r="O2780" s="3" t="e">
        <f ca="1">[1]!BexGetData("DP_1","003N8EMH8GTFRIVOG7KG9J3KE","GSON7310200002")</f>
        <v>#NAME?</v>
      </c>
      <c r="P2780" s="8" t="e">
        <f ca="1">[1]!BexGetData("DP_1","003N8EMH8GTFRIVOG7KG9J9VY","GSON7310200002")</f>
        <v>#NAME?</v>
      </c>
      <c r="Q2780" s="4" t="e">
        <f ca="1">[1]!BexGetData("DP_1","00O2TNJGODT0G5Z4TTKYMM5MT","GSON7310200002")</f>
        <v>#NAME?</v>
      </c>
      <c r="R2780" s="3" t="e">
        <f ca="1">[1]!BexGetData("DP_1","00O2TNJGODT0G5Z4TTKYMMBYD","GSON7310200002")</f>
        <v>#NAME?</v>
      </c>
      <c r="S2780" s="3" t="e">
        <f ca="1">[1]!BexGetData("DP_1","00O2TNJGODT0G5Z4TTKYMMI9X","GSON7310200002")</f>
        <v>#NAME?</v>
      </c>
      <c r="T2780" s="8" t="e">
        <f ca="1">[1]!BexGetData("DP_1","00O2TNJGODT0G5Z4TTKYMMOLH","GSON7310200002")</f>
        <v>#NAME?</v>
      </c>
      <c r="U2780" s="3" t="e">
        <f ca="1">[1]!BexGetData("DP_1","00O2TNJGODT0G5Z4TTKYMMUX1","GSON7310200002")</f>
        <v>#NAME?</v>
      </c>
      <c r="V2780" s="8" t="e">
        <f ca="1">[1]!BexGetData("DP_1","00O2TNJGODT0G5Z4TTKYMN18L","GSON7310200002")</f>
        <v>#NAME?</v>
      </c>
      <c r="W2780" s="3" t="e">
        <f ca="1">[1]!BexGetData("DP_1","00O2TNJGODT0G5Z4TTKYMN7K5","GSON7310200002")</f>
        <v>#NAME?</v>
      </c>
    </row>
    <row r="2781" spans="1:23" x14ac:dyDescent="0.2">
      <c r="A2781" s="13" t="s">
        <v>5600</v>
      </c>
      <c r="B2781" s="7" t="s">
        <v>5601</v>
      </c>
      <c r="C2781" s="3" t="e">
        <f ca="1">[1]!BexGetData("DP_1","003N8EMH8GTFRCSWKMPXRR8GU","GSON7310200003")</f>
        <v>#NAME?</v>
      </c>
      <c r="D2781" s="3" t="e">
        <f ca="1">[1]!BexGetData("DP_1","003N8EMH8GTFRCSWKMPXRRESE","GSON7310200003")</f>
        <v>#NAME?</v>
      </c>
      <c r="E2781" s="8" t="e">
        <f ca="1">[1]!BexGetData("DP_1","003N8EMH8GTFRCSWKMPXRRL3Y","GSON7310200003")</f>
        <v>#NAME?</v>
      </c>
      <c r="F2781" s="3" t="e">
        <f ca="1">[1]!BexGetData("DP_1","003N8EMH8GTFRCSWKMPXRRRFI","GSON7310200003")</f>
        <v>#NAME?</v>
      </c>
      <c r="G2781" s="3" t="e">
        <f ca="1">[1]!BexGetData("DP_1","003N8EMH8GTFRCSWKMPXRRXR2","GSON7310200003")</f>
        <v>#NAME?</v>
      </c>
      <c r="H2781" s="8" t="e">
        <f ca="1">[1]!BexGetData("DP_1","003N8EMH8GTFRCSWKMPXRS42M","GSON7310200003")</f>
        <v>#NAME?</v>
      </c>
      <c r="I2781" s="3" t="e">
        <f ca="1">[1]!BexGetData("DP_1","003N8EMH8GTFRCSWKMPXRSAE6","GSON7310200003")</f>
        <v>#NAME?</v>
      </c>
      <c r="J2781" s="4" t="e">
        <f ca="1">[1]!BexGetData("DP_1","003N8EMH8GTFRCSWKMPXRSGPQ","GSON7310200003")</f>
        <v>#NAME?</v>
      </c>
      <c r="K2781" s="3" t="e">
        <f ca="1">[1]!BexGetData("DP_1","003N8EMH8GTFRIVNUPY288VJH","GSON7310200003")</f>
        <v>#NAME?</v>
      </c>
      <c r="L2781" s="3" t="e">
        <f ca="1">[1]!BexGetData("DP_1","003N8EMH8GTFRIVNUPY2891V1","GSON7310200003")</f>
        <v>#NAME?</v>
      </c>
      <c r="M2781" s="3" t="e">
        <f ca="1">[1]!BexGetData("DP_1","003N8EMH8GTFRIVOG7KG9IQXA","GSON7310200003")</f>
        <v>#NAME?</v>
      </c>
      <c r="N2781" s="8" t="e">
        <f ca="1">[1]!BexGetData("DP_1","003N8EMH8GTFRIVOG7KG9IX8U","GSON7310200003")</f>
        <v>#NAME?</v>
      </c>
      <c r="O2781" s="3" t="e">
        <f ca="1">[1]!BexGetData("DP_1","003N8EMH8GTFRIVOG7KG9J3KE","GSON7310200003")</f>
        <v>#NAME?</v>
      </c>
      <c r="P2781" s="8" t="e">
        <f ca="1">[1]!BexGetData("DP_1","003N8EMH8GTFRIVOG7KG9J9VY","GSON7310200003")</f>
        <v>#NAME?</v>
      </c>
      <c r="Q2781" s="4" t="e">
        <f ca="1">[1]!BexGetData("DP_1","00O2TNJGODT0G5Z4TTKYMM5MT","GSON7310200003")</f>
        <v>#NAME?</v>
      </c>
      <c r="R2781" s="3" t="e">
        <f ca="1">[1]!BexGetData("DP_1","00O2TNJGODT0G5Z4TTKYMMBYD","GSON7310200003")</f>
        <v>#NAME?</v>
      </c>
      <c r="S2781" s="3" t="e">
        <f ca="1">[1]!BexGetData("DP_1","00O2TNJGODT0G5Z4TTKYMMI9X","GSON7310200003")</f>
        <v>#NAME?</v>
      </c>
      <c r="T2781" s="8" t="e">
        <f ca="1">[1]!BexGetData("DP_1","00O2TNJGODT0G5Z4TTKYMMOLH","GSON7310200003")</f>
        <v>#NAME?</v>
      </c>
      <c r="U2781" s="3" t="e">
        <f ca="1">[1]!BexGetData("DP_1","00O2TNJGODT0G5Z4TTKYMMUX1","GSON7310200003")</f>
        <v>#NAME?</v>
      </c>
      <c r="V2781" s="8" t="e">
        <f ca="1">[1]!BexGetData("DP_1","00O2TNJGODT0G5Z4TTKYMN18L","GSON7310200003")</f>
        <v>#NAME?</v>
      </c>
      <c r="W2781" s="3" t="e">
        <f ca="1">[1]!BexGetData("DP_1","00O2TNJGODT0G5Z4TTKYMN7K5","GSON7310200003")</f>
        <v>#NAME?</v>
      </c>
    </row>
    <row r="2782" spans="1:23" x14ac:dyDescent="0.2">
      <c r="A2782" s="13" t="s">
        <v>5602</v>
      </c>
      <c r="B2782" s="7" t="s">
        <v>5603</v>
      </c>
      <c r="C2782" s="3" t="e">
        <f ca="1">[1]!BexGetData("DP_1","003N8EMH8GTFRCSWKMPXRR8GU","GSON7310200004")</f>
        <v>#NAME?</v>
      </c>
      <c r="D2782" s="3" t="e">
        <f ca="1">[1]!BexGetData("DP_1","003N8EMH8GTFRCSWKMPXRRESE","GSON7310200004")</f>
        <v>#NAME?</v>
      </c>
      <c r="E2782" s="3" t="e">
        <f ca="1">[1]!BexGetData("DP_1","003N8EMH8GTFRCSWKMPXRRL3Y","GSON7310200004")</f>
        <v>#NAME?</v>
      </c>
      <c r="F2782" s="3" t="e">
        <f ca="1">[1]!BexGetData("DP_1","003N8EMH8GTFRCSWKMPXRRRFI","GSON7310200004")</f>
        <v>#NAME?</v>
      </c>
      <c r="G2782" s="3" t="e">
        <f ca="1">[1]!BexGetData("DP_1","003N8EMH8GTFRCSWKMPXRRXR2","GSON7310200004")</f>
        <v>#NAME?</v>
      </c>
      <c r="H2782" s="8" t="e">
        <f ca="1">[1]!BexGetData("DP_1","003N8EMH8GTFRCSWKMPXRS42M","GSON7310200004")</f>
        <v>#NAME?</v>
      </c>
      <c r="I2782" s="3" t="e">
        <f ca="1">[1]!BexGetData("DP_1","003N8EMH8GTFRCSWKMPXRSAE6","GSON7310200004")</f>
        <v>#NAME?</v>
      </c>
      <c r="J2782" s="4" t="e">
        <f ca="1">[1]!BexGetData("DP_1","003N8EMH8GTFRCSWKMPXRSGPQ","GSON7310200004")</f>
        <v>#NAME?</v>
      </c>
      <c r="K2782" s="3" t="e">
        <f ca="1">[1]!BexGetData("DP_1","003N8EMH8GTFRIVNUPY288VJH","GSON7310200004")</f>
        <v>#NAME?</v>
      </c>
      <c r="L2782" s="3" t="e">
        <f ca="1">[1]!BexGetData("DP_1","003N8EMH8GTFRIVNUPY2891V1","GSON7310200004")</f>
        <v>#NAME?</v>
      </c>
      <c r="M2782" s="3" t="e">
        <f ca="1">[1]!BexGetData("DP_1","003N8EMH8GTFRIVOG7KG9IQXA","GSON7310200004")</f>
        <v>#NAME?</v>
      </c>
      <c r="N2782" s="8" t="e">
        <f ca="1">[1]!BexGetData("DP_1","003N8EMH8GTFRIVOG7KG9IX8U","GSON7310200004")</f>
        <v>#NAME?</v>
      </c>
      <c r="O2782" s="3" t="e">
        <f ca="1">[1]!BexGetData("DP_1","003N8EMH8GTFRIVOG7KG9J3KE","GSON7310200004")</f>
        <v>#NAME?</v>
      </c>
      <c r="P2782" s="8" t="e">
        <f ca="1">[1]!BexGetData("DP_1","003N8EMH8GTFRIVOG7KG9J9VY","GSON7310200004")</f>
        <v>#NAME?</v>
      </c>
      <c r="Q2782" s="4" t="e">
        <f ca="1">[1]!BexGetData("DP_1","00O2TNJGODT0G5Z4TTKYMM5MT","GSON7310200004")</f>
        <v>#NAME?</v>
      </c>
      <c r="R2782" s="3" t="e">
        <f ca="1">[1]!BexGetData("DP_1","00O2TNJGODT0G5Z4TTKYMMBYD","GSON7310200004")</f>
        <v>#NAME?</v>
      </c>
      <c r="S2782" s="3" t="e">
        <f ca="1">[1]!BexGetData("DP_1","00O2TNJGODT0G5Z4TTKYMMI9X","GSON7310200004")</f>
        <v>#NAME?</v>
      </c>
      <c r="T2782" s="8" t="e">
        <f ca="1">[1]!BexGetData("DP_1","00O2TNJGODT0G5Z4TTKYMMOLH","GSON7310200004")</f>
        <v>#NAME?</v>
      </c>
      <c r="U2782" s="3" t="e">
        <f ca="1">[1]!BexGetData("DP_1","00O2TNJGODT0G5Z4TTKYMMUX1","GSON7310200004")</f>
        <v>#NAME?</v>
      </c>
      <c r="V2782" s="8" t="e">
        <f ca="1">[1]!BexGetData("DP_1","00O2TNJGODT0G5Z4TTKYMN18L","GSON7310200004")</f>
        <v>#NAME?</v>
      </c>
      <c r="W2782" s="3" t="e">
        <f ca="1">[1]!BexGetData("DP_1","00O2TNJGODT0G5Z4TTKYMN7K5","GSON7310200004")</f>
        <v>#NAME?</v>
      </c>
    </row>
    <row r="2783" spans="1:23" x14ac:dyDescent="0.2">
      <c r="A2783" s="13" t="s">
        <v>5604</v>
      </c>
      <c r="B2783" s="7" t="s">
        <v>5605</v>
      </c>
      <c r="C2783" s="3" t="e">
        <f ca="1">[1]!BexGetData("DP_1","003N8EMH8GTFRCSWKMPXRR8GU","GSON7310200005")</f>
        <v>#NAME?</v>
      </c>
      <c r="D2783" s="3" t="e">
        <f ca="1">[1]!BexGetData("DP_1","003N8EMH8GTFRCSWKMPXRRESE","GSON7310200005")</f>
        <v>#NAME?</v>
      </c>
      <c r="E2783" s="3" t="e">
        <f ca="1">[1]!BexGetData("DP_1","003N8EMH8GTFRCSWKMPXRRL3Y","GSON7310200005")</f>
        <v>#NAME?</v>
      </c>
      <c r="F2783" s="3" t="e">
        <f ca="1">[1]!BexGetData("DP_1","003N8EMH8GTFRCSWKMPXRRRFI","GSON7310200005")</f>
        <v>#NAME?</v>
      </c>
      <c r="G2783" s="3" t="e">
        <f ca="1">[1]!BexGetData("DP_1","003N8EMH8GTFRCSWKMPXRRXR2","GSON7310200005")</f>
        <v>#NAME?</v>
      </c>
      <c r="H2783" s="8" t="e">
        <f ca="1">[1]!BexGetData("DP_1","003N8EMH8GTFRCSWKMPXRS42M","GSON7310200005")</f>
        <v>#NAME?</v>
      </c>
      <c r="I2783" s="3" t="e">
        <f ca="1">[1]!BexGetData("DP_1","003N8EMH8GTFRCSWKMPXRSAE6","GSON7310200005")</f>
        <v>#NAME?</v>
      </c>
      <c r="J2783" s="4" t="e">
        <f ca="1">[1]!BexGetData("DP_1","003N8EMH8GTFRCSWKMPXRSGPQ","GSON7310200005")</f>
        <v>#NAME?</v>
      </c>
      <c r="K2783" s="3" t="e">
        <f ca="1">[1]!BexGetData("DP_1","003N8EMH8GTFRIVNUPY288VJH","GSON7310200005")</f>
        <v>#NAME?</v>
      </c>
      <c r="L2783" s="3" t="e">
        <f ca="1">[1]!BexGetData("DP_1","003N8EMH8GTFRIVNUPY2891V1","GSON7310200005")</f>
        <v>#NAME?</v>
      </c>
      <c r="M2783" s="3" t="e">
        <f ca="1">[1]!BexGetData("DP_1","003N8EMH8GTFRIVOG7KG9IQXA","GSON7310200005")</f>
        <v>#NAME?</v>
      </c>
      <c r="N2783" s="8" t="e">
        <f ca="1">[1]!BexGetData("DP_1","003N8EMH8GTFRIVOG7KG9IX8U","GSON7310200005")</f>
        <v>#NAME?</v>
      </c>
      <c r="O2783" s="3" t="e">
        <f ca="1">[1]!BexGetData("DP_1","003N8EMH8GTFRIVOG7KG9J3KE","GSON7310200005")</f>
        <v>#NAME?</v>
      </c>
      <c r="P2783" s="8" t="e">
        <f ca="1">[1]!BexGetData("DP_1","003N8EMH8GTFRIVOG7KG9J9VY","GSON7310200005")</f>
        <v>#NAME?</v>
      </c>
      <c r="Q2783" s="4" t="e">
        <f ca="1">[1]!BexGetData("DP_1","00O2TNJGODT0G5Z4TTKYMM5MT","GSON7310200005")</f>
        <v>#NAME?</v>
      </c>
      <c r="R2783" s="3" t="e">
        <f ca="1">[1]!BexGetData("DP_1","00O2TNJGODT0G5Z4TTKYMMBYD","GSON7310200005")</f>
        <v>#NAME?</v>
      </c>
      <c r="S2783" s="3" t="e">
        <f ca="1">[1]!BexGetData("DP_1","00O2TNJGODT0G5Z4TTKYMMI9X","GSON7310200005")</f>
        <v>#NAME?</v>
      </c>
      <c r="T2783" s="8" t="e">
        <f ca="1">[1]!BexGetData("DP_1","00O2TNJGODT0G5Z4TTKYMMOLH","GSON7310200005")</f>
        <v>#NAME?</v>
      </c>
      <c r="U2783" s="3" t="e">
        <f ca="1">[1]!BexGetData("DP_1","00O2TNJGODT0G5Z4TTKYMMUX1","GSON7310200005")</f>
        <v>#NAME?</v>
      </c>
      <c r="V2783" s="8" t="e">
        <f ca="1">[1]!BexGetData("DP_1","00O2TNJGODT0G5Z4TTKYMN18L","GSON7310200005")</f>
        <v>#NAME?</v>
      </c>
      <c r="W2783" s="3" t="e">
        <f ca="1">[1]!BexGetData("DP_1","00O2TNJGODT0G5Z4TTKYMN7K5","GSON7310200005")</f>
        <v>#NAME?</v>
      </c>
    </row>
    <row r="2784" spans="1:23" x14ac:dyDescent="0.2">
      <c r="A2784" s="13" t="s">
        <v>5606</v>
      </c>
      <c r="B2784" s="7" t="s">
        <v>5607</v>
      </c>
      <c r="C2784" s="3" t="e">
        <f ca="1">[1]!BexGetData("DP_1","003N8EMH8GTFRCSWKMPXRR8GU","GSON7310200006")</f>
        <v>#NAME?</v>
      </c>
      <c r="D2784" s="3" t="e">
        <f ca="1">[1]!BexGetData("DP_1","003N8EMH8GTFRCSWKMPXRRESE","GSON7310200006")</f>
        <v>#NAME?</v>
      </c>
      <c r="E2784" s="3" t="e">
        <f ca="1">[1]!BexGetData("DP_1","003N8EMH8GTFRCSWKMPXRRL3Y","GSON7310200006")</f>
        <v>#NAME?</v>
      </c>
      <c r="F2784" s="3" t="e">
        <f ca="1">[1]!BexGetData("DP_1","003N8EMH8GTFRCSWKMPXRRRFI","GSON7310200006")</f>
        <v>#NAME?</v>
      </c>
      <c r="G2784" s="3" t="e">
        <f ca="1">[1]!BexGetData("DP_1","003N8EMH8GTFRCSWKMPXRRXR2","GSON7310200006")</f>
        <v>#NAME?</v>
      </c>
      <c r="H2784" s="8" t="e">
        <f ca="1">[1]!BexGetData("DP_1","003N8EMH8GTFRCSWKMPXRS42M","GSON7310200006")</f>
        <v>#NAME?</v>
      </c>
      <c r="I2784" s="3" t="e">
        <f ca="1">[1]!BexGetData("DP_1","003N8EMH8GTFRCSWKMPXRSAE6","GSON7310200006")</f>
        <v>#NAME?</v>
      </c>
      <c r="J2784" s="4" t="e">
        <f ca="1">[1]!BexGetData("DP_1","003N8EMH8GTFRCSWKMPXRSGPQ","GSON7310200006")</f>
        <v>#NAME?</v>
      </c>
      <c r="K2784" s="3" t="e">
        <f ca="1">[1]!BexGetData("DP_1","003N8EMH8GTFRIVNUPY288VJH","GSON7310200006")</f>
        <v>#NAME?</v>
      </c>
      <c r="L2784" s="3" t="e">
        <f ca="1">[1]!BexGetData("DP_1","003N8EMH8GTFRIVNUPY2891V1","GSON7310200006")</f>
        <v>#NAME?</v>
      </c>
      <c r="M2784" s="3" t="e">
        <f ca="1">[1]!BexGetData("DP_1","003N8EMH8GTFRIVOG7KG9IQXA","GSON7310200006")</f>
        <v>#NAME?</v>
      </c>
      <c r="N2784" s="8" t="e">
        <f ca="1">[1]!BexGetData("DP_1","003N8EMH8GTFRIVOG7KG9IX8U","GSON7310200006")</f>
        <v>#NAME?</v>
      </c>
      <c r="O2784" s="3" t="e">
        <f ca="1">[1]!BexGetData("DP_1","003N8EMH8GTFRIVOG7KG9J3KE","GSON7310200006")</f>
        <v>#NAME?</v>
      </c>
      <c r="P2784" s="8" t="e">
        <f ca="1">[1]!BexGetData("DP_1","003N8EMH8GTFRIVOG7KG9J9VY","GSON7310200006")</f>
        <v>#NAME?</v>
      </c>
      <c r="Q2784" s="4" t="e">
        <f ca="1">[1]!BexGetData("DP_1","00O2TNJGODT0G5Z4TTKYMM5MT","GSON7310200006")</f>
        <v>#NAME?</v>
      </c>
      <c r="R2784" s="3" t="e">
        <f ca="1">[1]!BexGetData("DP_1","00O2TNJGODT0G5Z4TTKYMMBYD","GSON7310200006")</f>
        <v>#NAME?</v>
      </c>
      <c r="S2784" s="3" t="e">
        <f ca="1">[1]!BexGetData("DP_1","00O2TNJGODT0G5Z4TTKYMMI9X","GSON7310200006")</f>
        <v>#NAME?</v>
      </c>
      <c r="T2784" s="8" t="e">
        <f ca="1">[1]!BexGetData("DP_1","00O2TNJGODT0G5Z4TTKYMMOLH","GSON7310200006")</f>
        <v>#NAME?</v>
      </c>
      <c r="U2784" s="3" t="e">
        <f ca="1">[1]!BexGetData("DP_1","00O2TNJGODT0G5Z4TTKYMMUX1","GSON7310200006")</f>
        <v>#NAME?</v>
      </c>
      <c r="V2784" s="8" t="e">
        <f ca="1">[1]!BexGetData("DP_1","00O2TNJGODT0G5Z4TTKYMN18L","GSON7310200006")</f>
        <v>#NAME?</v>
      </c>
      <c r="W2784" s="3" t="e">
        <f ca="1">[1]!BexGetData("DP_1","00O2TNJGODT0G5Z4TTKYMN7K5","GSON7310200006")</f>
        <v>#NAME?</v>
      </c>
    </row>
    <row r="2785" spans="1:23" x14ac:dyDescent="0.2">
      <c r="A2785" s="13" t="s">
        <v>5608</v>
      </c>
      <c r="B2785" s="7" t="s">
        <v>5609</v>
      </c>
      <c r="C2785" s="3" t="e">
        <f ca="1">[1]!BexGetData("DP_1","003N8EMH8GTFRCSWKMPXRR8GU","GSON7310200007")</f>
        <v>#NAME?</v>
      </c>
      <c r="D2785" s="8" t="e">
        <f ca="1">[1]!BexGetData("DP_1","003N8EMH8GTFRCSWKMPXRRESE","GSON7310200007")</f>
        <v>#NAME?</v>
      </c>
      <c r="E2785" s="3" t="e">
        <f ca="1">[1]!BexGetData("DP_1","003N8EMH8GTFRCSWKMPXRRL3Y","GSON7310200007")</f>
        <v>#NAME?</v>
      </c>
      <c r="F2785" s="4" t="e">
        <f ca="1">[1]!BexGetData("DP_1","003N8EMH8GTFRCSWKMPXRRRFI","GSON7310200007")</f>
        <v>#NAME?</v>
      </c>
      <c r="G2785" s="4" t="e">
        <f ca="1">[1]!BexGetData("DP_1","003N8EMH8GTFRCSWKMPXRRXR2","GSON7310200007")</f>
        <v>#NAME?</v>
      </c>
      <c r="H2785" s="4" t="e">
        <f ca="1">[1]!BexGetData("DP_1","003N8EMH8GTFRCSWKMPXRS42M","GSON7310200007")</f>
        <v>#NAME?</v>
      </c>
      <c r="I2785" s="4" t="e">
        <f ca="1">[1]!BexGetData("DP_1","003N8EMH8GTFRCSWKMPXRSAE6","GSON7310200007")</f>
        <v>#NAME?</v>
      </c>
      <c r="J2785" s="4" t="e">
        <f ca="1">[1]!BexGetData("DP_1","003N8EMH8GTFRCSWKMPXRSGPQ","GSON7310200007")</f>
        <v>#NAME?</v>
      </c>
      <c r="K2785" s="3" t="e">
        <f ca="1">[1]!BexGetData("DP_1","003N8EMH8GTFRIVNUPY288VJH","GSON7310200007")</f>
        <v>#NAME?</v>
      </c>
      <c r="L2785" s="3" t="e">
        <f ca="1">[1]!BexGetData("DP_1","003N8EMH8GTFRIVNUPY2891V1","GSON7310200007")</f>
        <v>#NAME?</v>
      </c>
      <c r="M2785" s="8" t="e">
        <f ca="1">[1]!BexGetData("DP_1","003N8EMH8GTFRIVOG7KG9IQXA","GSON7310200007")</f>
        <v>#NAME?</v>
      </c>
      <c r="N2785" s="3" t="e">
        <f ca="1">[1]!BexGetData("DP_1","003N8EMH8GTFRIVOG7KG9IX8U","GSON7310200007")</f>
        <v>#NAME?</v>
      </c>
      <c r="O2785" s="8" t="e">
        <f ca="1">[1]!BexGetData("DP_1","003N8EMH8GTFRIVOG7KG9J3KE","GSON7310200007")</f>
        <v>#NAME?</v>
      </c>
      <c r="P2785" s="3" t="e">
        <f ca="1">[1]!BexGetData("DP_1","003N8EMH8GTFRIVOG7KG9J9VY","GSON7310200007")</f>
        <v>#NAME?</v>
      </c>
      <c r="Q2785" s="4" t="e">
        <f ca="1">[1]!BexGetData("DP_1","00O2TNJGODT0G5Z4TTKYMM5MT","GSON7310200007")</f>
        <v>#NAME?</v>
      </c>
      <c r="R2785" s="4" t="e">
        <f ca="1">[1]!BexGetData("DP_1","00O2TNJGODT0G5Z4TTKYMMBYD","GSON7310200007")</f>
        <v>#NAME?</v>
      </c>
      <c r="S2785" s="4" t="e">
        <f ca="1">[1]!BexGetData("DP_1","00O2TNJGODT0G5Z4TTKYMMI9X","GSON7310200007")</f>
        <v>#NAME?</v>
      </c>
      <c r="T2785" s="4" t="e">
        <f ca="1">[1]!BexGetData("DP_1","00O2TNJGODT0G5Z4TTKYMMOLH","GSON7310200007")</f>
        <v>#NAME?</v>
      </c>
      <c r="U2785" s="4" t="e">
        <f ca="1">[1]!BexGetData("DP_1","00O2TNJGODT0G5Z4TTKYMMUX1","GSON7310200007")</f>
        <v>#NAME?</v>
      </c>
      <c r="V2785" s="4" t="e">
        <f ca="1">[1]!BexGetData("DP_1","00O2TNJGODT0G5Z4TTKYMN18L","GSON7310200007")</f>
        <v>#NAME?</v>
      </c>
      <c r="W2785" s="4" t="e">
        <f ca="1">[1]!BexGetData("DP_1","00O2TNJGODT0G5Z4TTKYMN7K5","GSON7310200007")</f>
        <v>#NAME?</v>
      </c>
    </row>
    <row r="2786" spans="1:23" x14ac:dyDescent="0.2">
      <c r="A2786" s="13" t="s">
        <v>5610</v>
      </c>
      <c r="B2786" s="7" t="s">
        <v>5611</v>
      </c>
      <c r="C2786" s="3" t="e">
        <f ca="1">[1]!BexGetData("DP_1","003N8EMH8GTFRCSWKMPXRR8GU","GSON7320100001")</f>
        <v>#NAME?</v>
      </c>
      <c r="D2786" s="8" t="e">
        <f ca="1">[1]!BexGetData("DP_1","003N8EMH8GTFRCSWKMPXRRESE","GSON7320100001")</f>
        <v>#NAME?</v>
      </c>
      <c r="E2786" s="8" t="e">
        <f ca="1">[1]!BexGetData("DP_1","003N8EMH8GTFRCSWKMPXRRL3Y","GSON7320100001")</f>
        <v>#NAME?</v>
      </c>
      <c r="F2786" s="3" t="e">
        <f ca="1">[1]!BexGetData("DP_1","003N8EMH8GTFRCSWKMPXRRRFI","GSON7320100001")</f>
        <v>#NAME?</v>
      </c>
      <c r="G2786" s="8" t="e">
        <f ca="1">[1]!BexGetData("DP_1","003N8EMH8GTFRCSWKMPXRRXR2","GSON7320100001")</f>
        <v>#NAME?</v>
      </c>
      <c r="H2786" s="3" t="e">
        <f ca="1">[1]!BexGetData("DP_1","003N8EMH8GTFRCSWKMPXRS42M","GSON7320100001")</f>
        <v>#NAME?</v>
      </c>
      <c r="I2786" s="3" t="e">
        <f ca="1">[1]!BexGetData("DP_1","003N8EMH8GTFRCSWKMPXRSAE6","GSON7320100001")</f>
        <v>#NAME?</v>
      </c>
      <c r="J2786" s="4" t="e">
        <f ca="1">[1]!BexGetData("DP_1","003N8EMH8GTFRCSWKMPXRSGPQ","GSON7320100001")</f>
        <v>#NAME?</v>
      </c>
      <c r="K2786" s="3" t="e">
        <f ca="1">[1]!BexGetData("DP_1","003N8EMH8GTFRIVNUPY288VJH","GSON7320100001")</f>
        <v>#NAME?</v>
      </c>
      <c r="L2786" s="3" t="e">
        <f ca="1">[1]!BexGetData("DP_1","003N8EMH8GTFRIVNUPY2891V1","GSON7320100001")</f>
        <v>#NAME?</v>
      </c>
      <c r="M2786" s="8" t="e">
        <f ca="1">[1]!BexGetData("DP_1","003N8EMH8GTFRIVOG7KG9IQXA","GSON7320100001")</f>
        <v>#NAME?</v>
      </c>
      <c r="N2786" s="3" t="e">
        <f ca="1">[1]!BexGetData("DP_1","003N8EMH8GTFRIVOG7KG9IX8U","GSON7320100001")</f>
        <v>#NAME?</v>
      </c>
      <c r="O2786" s="8" t="e">
        <f ca="1">[1]!BexGetData("DP_1","003N8EMH8GTFRIVOG7KG9J3KE","GSON7320100001")</f>
        <v>#NAME?</v>
      </c>
      <c r="P2786" s="3" t="e">
        <f ca="1">[1]!BexGetData("DP_1","003N8EMH8GTFRIVOG7KG9J9VY","GSON7320100001")</f>
        <v>#NAME?</v>
      </c>
      <c r="Q2786" s="4" t="e">
        <f ca="1">[1]!BexGetData("DP_1","00O2TNJGODT0G5Z4TTKYMM5MT","GSON7320100001")</f>
        <v>#NAME?</v>
      </c>
      <c r="R2786" s="3" t="e">
        <f ca="1">[1]!BexGetData("DP_1","00O2TNJGODT0G5Z4TTKYMMBYD","GSON7320100001")</f>
        <v>#NAME?</v>
      </c>
      <c r="S2786" s="3" t="e">
        <f ca="1">[1]!BexGetData("DP_1","00O2TNJGODT0G5Z4TTKYMMI9X","GSON7320100001")</f>
        <v>#NAME?</v>
      </c>
      <c r="T2786" s="3" t="e">
        <f ca="1">[1]!BexGetData("DP_1","00O2TNJGODT0G5Z4TTKYMMOLH","GSON7320100001")</f>
        <v>#NAME?</v>
      </c>
      <c r="U2786" s="8" t="e">
        <f ca="1">[1]!BexGetData("DP_1","00O2TNJGODT0G5Z4TTKYMMUX1","GSON7320100001")</f>
        <v>#NAME?</v>
      </c>
      <c r="V2786" s="3" t="e">
        <f ca="1">[1]!BexGetData("DP_1","00O2TNJGODT0G5Z4TTKYMN18L","GSON7320100001")</f>
        <v>#NAME?</v>
      </c>
      <c r="W2786" s="8" t="e">
        <f ca="1">[1]!BexGetData("DP_1","00O2TNJGODT0G5Z4TTKYMN7K5","GSON7320100001")</f>
        <v>#NAME?</v>
      </c>
    </row>
    <row r="2787" spans="1:23" x14ac:dyDescent="0.2">
      <c r="A2787" s="13" t="s">
        <v>5612</v>
      </c>
      <c r="B2787" s="7" t="s">
        <v>5613</v>
      </c>
      <c r="C2787" s="3" t="e">
        <f ca="1">[1]!BexGetData("DP_1","003N8EMH8GTFRCSWKMPXRR8GU","GSON7320100002")</f>
        <v>#NAME?</v>
      </c>
      <c r="D2787" s="3" t="e">
        <f ca="1">[1]!BexGetData("DP_1","003N8EMH8GTFRCSWKMPXRRESE","GSON7320100002")</f>
        <v>#NAME?</v>
      </c>
      <c r="E2787" s="3" t="e">
        <f ca="1">[1]!BexGetData("DP_1","003N8EMH8GTFRCSWKMPXRRL3Y","GSON7320100002")</f>
        <v>#NAME?</v>
      </c>
      <c r="F2787" s="3" t="e">
        <f ca="1">[1]!BexGetData("DP_1","003N8EMH8GTFRCSWKMPXRRRFI","GSON7320100002")</f>
        <v>#NAME?</v>
      </c>
      <c r="G2787" s="8" t="e">
        <f ca="1">[1]!BexGetData("DP_1","003N8EMH8GTFRCSWKMPXRRXR2","GSON7320100002")</f>
        <v>#NAME?</v>
      </c>
      <c r="H2787" s="3" t="e">
        <f ca="1">[1]!BexGetData("DP_1","003N8EMH8GTFRCSWKMPXRS42M","GSON7320100002")</f>
        <v>#NAME?</v>
      </c>
      <c r="I2787" s="3" t="e">
        <f ca="1">[1]!BexGetData("DP_1","003N8EMH8GTFRCSWKMPXRSAE6","GSON7320100002")</f>
        <v>#NAME?</v>
      </c>
      <c r="J2787" s="4" t="e">
        <f ca="1">[1]!BexGetData("DP_1","003N8EMH8GTFRCSWKMPXRSGPQ","GSON7320100002")</f>
        <v>#NAME?</v>
      </c>
      <c r="K2787" s="3" t="e">
        <f ca="1">[1]!BexGetData("DP_1","003N8EMH8GTFRIVNUPY288VJH","GSON7320100002")</f>
        <v>#NAME?</v>
      </c>
      <c r="L2787" s="3" t="e">
        <f ca="1">[1]!BexGetData("DP_1","003N8EMH8GTFRIVNUPY2891V1","GSON7320100002")</f>
        <v>#NAME?</v>
      </c>
      <c r="M2787" s="8" t="e">
        <f ca="1">[1]!BexGetData("DP_1","003N8EMH8GTFRIVOG7KG9IQXA","GSON7320100002")</f>
        <v>#NAME?</v>
      </c>
      <c r="N2787" s="3" t="e">
        <f ca="1">[1]!BexGetData("DP_1","003N8EMH8GTFRIVOG7KG9IX8U","GSON7320100002")</f>
        <v>#NAME?</v>
      </c>
      <c r="O2787" s="8" t="e">
        <f ca="1">[1]!BexGetData("DP_1","003N8EMH8GTFRIVOG7KG9J3KE","GSON7320100002")</f>
        <v>#NAME?</v>
      </c>
      <c r="P2787" s="3" t="e">
        <f ca="1">[1]!BexGetData("DP_1","003N8EMH8GTFRIVOG7KG9J9VY","GSON7320100002")</f>
        <v>#NAME?</v>
      </c>
      <c r="Q2787" s="4" t="e">
        <f ca="1">[1]!BexGetData("DP_1","00O2TNJGODT0G5Z4TTKYMM5MT","GSON7320100002")</f>
        <v>#NAME?</v>
      </c>
      <c r="R2787" s="3" t="e">
        <f ca="1">[1]!BexGetData("DP_1","00O2TNJGODT0G5Z4TTKYMMBYD","GSON7320100002")</f>
        <v>#NAME?</v>
      </c>
      <c r="S2787" s="3" t="e">
        <f ca="1">[1]!BexGetData("DP_1","00O2TNJGODT0G5Z4TTKYMMI9X","GSON7320100002")</f>
        <v>#NAME?</v>
      </c>
      <c r="T2787" s="3" t="e">
        <f ca="1">[1]!BexGetData("DP_1","00O2TNJGODT0G5Z4TTKYMMOLH","GSON7320100002")</f>
        <v>#NAME?</v>
      </c>
      <c r="U2787" s="8" t="e">
        <f ca="1">[1]!BexGetData("DP_1","00O2TNJGODT0G5Z4TTKYMMUX1","GSON7320100002")</f>
        <v>#NAME?</v>
      </c>
      <c r="V2787" s="3" t="e">
        <f ca="1">[1]!BexGetData("DP_1","00O2TNJGODT0G5Z4TTKYMN18L","GSON7320100002")</f>
        <v>#NAME?</v>
      </c>
      <c r="W2787" s="8" t="e">
        <f ca="1">[1]!BexGetData("DP_1","00O2TNJGODT0G5Z4TTKYMN7K5","GSON7320100002")</f>
        <v>#NAME?</v>
      </c>
    </row>
    <row r="2788" spans="1:23" x14ac:dyDescent="0.2">
      <c r="A2788" s="12" t="s">
        <v>5614</v>
      </c>
      <c r="B2788" s="6" t="s">
        <v>5615</v>
      </c>
      <c r="C2788" s="8" t="e">
        <f ca="1">[1]!BexGetData("DP_1","003N8EMH8GTFRCSWKMPXRR8GU","GSON74")</f>
        <v>#NAME?</v>
      </c>
      <c r="D2788" s="8" t="e">
        <f ca="1">[1]!BexGetData("DP_1","003N8EMH8GTFRCSWKMPXRRESE","GSON74")</f>
        <v>#NAME?</v>
      </c>
      <c r="E2788" s="8" t="e">
        <f ca="1">[1]!BexGetData("DP_1","003N8EMH8GTFRCSWKMPXRRL3Y","GSON74")</f>
        <v>#NAME?</v>
      </c>
      <c r="F2788" s="8" t="e">
        <f ca="1">[1]!BexGetData("DP_1","003N8EMH8GTFRCSWKMPXRRRFI","GSON74")</f>
        <v>#NAME?</v>
      </c>
      <c r="G2788" s="3" t="e">
        <f ca="1">[1]!BexGetData("DP_1","003N8EMH8GTFRCSWKMPXRRXR2","GSON74")</f>
        <v>#NAME?</v>
      </c>
      <c r="H2788" s="3" t="e">
        <f ca="1">[1]!BexGetData("DP_1","003N8EMH8GTFRCSWKMPXRS42M","GSON74")</f>
        <v>#NAME?</v>
      </c>
      <c r="I2788" s="8" t="e">
        <f ca="1">[1]!BexGetData("DP_1","003N8EMH8GTFRCSWKMPXRSAE6","GSON74")</f>
        <v>#NAME?</v>
      </c>
      <c r="J2788" s="4" t="e">
        <f ca="1">[1]!BexGetData("DP_1","003N8EMH8GTFRCSWKMPXRSGPQ","GSON74")</f>
        <v>#NAME?</v>
      </c>
      <c r="K2788" s="8" t="e">
        <f ca="1">[1]!BexGetData("DP_1","003N8EMH8GTFRIVNUPY288VJH","GSON74")</f>
        <v>#NAME?</v>
      </c>
      <c r="L2788" s="8" t="e">
        <f ca="1">[1]!BexGetData("DP_1","003N8EMH8GTFRIVNUPY2891V1","GSON74")</f>
        <v>#NAME?</v>
      </c>
      <c r="M2788" s="8" t="e">
        <f ca="1">[1]!BexGetData("DP_1","003N8EMH8GTFRIVOG7KG9IQXA","GSON74")</f>
        <v>#NAME?</v>
      </c>
      <c r="N2788" s="8" t="e">
        <f ca="1">[1]!BexGetData("DP_1","003N8EMH8GTFRIVOG7KG9IX8U","GSON74")</f>
        <v>#NAME?</v>
      </c>
      <c r="O2788" s="8" t="e">
        <f ca="1">[1]!BexGetData("DP_1","003N8EMH8GTFRIVOG7KG9J3KE","GSON74")</f>
        <v>#NAME?</v>
      </c>
      <c r="P2788" s="8" t="e">
        <f ca="1">[1]!BexGetData("DP_1","003N8EMH8GTFRIVOG7KG9J9VY","GSON74")</f>
        <v>#NAME?</v>
      </c>
      <c r="Q2788" s="4" t="e">
        <f ca="1">[1]!BexGetData("DP_1","00O2TNJGODT0G5Z4TTKYMM5MT","GSON74")</f>
        <v>#NAME?</v>
      </c>
      <c r="R2788" s="8" t="e">
        <f ca="1">[1]!BexGetData("DP_1","00O2TNJGODT0G5Z4TTKYMMBYD","GSON74")</f>
        <v>#NAME?</v>
      </c>
      <c r="S2788" s="8" t="e">
        <f ca="1">[1]!BexGetData("DP_1","00O2TNJGODT0G5Z4TTKYMMI9X","GSON74")</f>
        <v>#NAME?</v>
      </c>
      <c r="T2788" s="8" t="e">
        <f ca="1">[1]!BexGetData("DP_1","00O2TNJGODT0G5Z4TTKYMMOLH","GSON74")</f>
        <v>#NAME?</v>
      </c>
      <c r="U2788" s="8" t="e">
        <f ca="1">[1]!BexGetData("DP_1","00O2TNJGODT0G5Z4TTKYMMUX1","GSON74")</f>
        <v>#NAME?</v>
      </c>
      <c r="V2788" s="8" t="e">
        <f ca="1">[1]!BexGetData("DP_1","00O2TNJGODT0G5Z4TTKYMN18L","GSON74")</f>
        <v>#NAME?</v>
      </c>
      <c r="W2788" s="8" t="e">
        <f ca="1">[1]!BexGetData("DP_1","00O2TNJGODT0G5Z4TTKYMN7K5","GSON74")</f>
        <v>#NAME?</v>
      </c>
    </row>
    <row r="2789" spans="1:23" x14ac:dyDescent="0.2">
      <c r="A2789" s="13" t="s">
        <v>5616</v>
      </c>
      <c r="B2789" s="7" t="s">
        <v>5617</v>
      </c>
      <c r="C2789" s="8" t="e">
        <f ca="1">[1]!BexGetData("DP_1","003N8EMH8GTFRCSWKMPXRR8GU","GSON7410100001")</f>
        <v>#NAME?</v>
      </c>
      <c r="D2789" s="8" t="e">
        <f ca="1">[1]!BexGetData("DP_1","003N8EMH8GTFRCSWKMPXRRESE","GSON7410100001")</f>
        <v>#NAME?</v>
      </c>
      <c r="E2789" s="3" t="e">
        <f ca="1">[1]!BexGetData("DP_1","003N8EMH8GTFRCSWKMPXRRL3Y","GSON7410100001")</f>
        <v>#NAME?</v>
      </c>
      <c r="F2789" s="3" t="e">
        <f ca="1">[1]!BexGetData("DP_1","003N8EMH8GTFRCSWKMPXRRRFI","GSON7410100001")</f>
        <v>#NAME?</v>
      </c>
      <c r="G2789" s="3" t="e">
        <f ca="1">[1]!BexGetData("DP_1","003N8EMH8GTFRCSWKMPXRRXR2","GSON7410100001")</f>
        <v>#NAME?</v>
      </c>
      <c r="H2789" s="8" t="e">
        <f ca="1">[1]!BexGetData("DP_1","003N8EMH8GTFRCSWKMPXRS42M","GSON7410100001")</f>
        <v>#NAME?</v>
      </c>
      <c r="I2789" s="3" t="e">
        <f ca="1">[1]!BexGetData("DP_1","003N8EMH8GTFRCSWKMPXRSAE6","GSON7410100001")</f>
        <v>#NAME?</v>
      </c>
      <c r="J2789" s="4" t="e">
        <f ca="1">[1]!BexGetData("DP_1","003N8EMH8GTFRCSWKMPXRSGPQ","GSON7410100001")</f>
        <v>#NAME?</v>
      </c>
      <c r="K2789" s="8" t="e">
        <f ca="1">[1]!BexGetData("DP_1","003N8EMH8GTFRIVNUPY288VJH","GSON7410100001")</f>
        <v>#NAME?</v>
      </c>
      <c r="L2789" s="8" t="e">
        <f ca="1">[1]!BexGetData("DP_1","003N8EMH8GTFRIVNUPY2891V1","GSON7410100001")</f>
        <v>#NAME?</v>
      </c>
      <c r="M2789" s="8" t="e">
        <f ca="1">[1]!BexGetData("DP_1","003N8EMH8GTFRIVOG7KG9IQXA","GSON7410100001")</f>
        <v>#NAME?</v>
      </c>
      <c r="N2789" s="8" t="e">
        <f ca="1">[1]!BexGetData("DP_1","003N8EMH8GTFRIVOG7KG9IX8U","GSON7410100001")</f>
        <v>#NAME?</v>
      </c>
      <c r="O2789" s="8" t="e">
        <f ca="1">[1]!BexGetData("DP_1","003N8EMH8GTFRIVOG7KG9J3KE","GSON7410100001")</f>
        <v>#NAME?</v>
      </c>
      <c r="P2789" s="8" t="e">
        <f ca="1">[1]!BexGetData("DP_1","003N8EMH8GTFRIVOG7KG9J9VY","GSON7410100001")</f>
        <v>#NAME?</v>
      </c>
      <c r="Q2789" s="4" t="e">
        <f ca="1">[1]!BexGetData("DP_1","00O2TNJGODT0G5Z4TTKYMM5MT","GSON7410100001")</f>
        <v>#NAME?</v>
      </c>
      <c r="R2789" s="3" t="e">
        <f ca="1">[1]!BexGetData("DP_1","00O2TNJGODT0G5Z4TTKYMMBYD","GSON7410100001")</f>
        <v>#NAME?</v>
      </c>
      <c r="S2789" s="3" t="e">
        <f ca="1">[1]!BexGetData("DP_1","00O2TNJGODT0G5Z4TTKYMMI9X","GSON7410100001")</f>
        <v>#NAME?</v>
      </c>
      <c r="T2789" s="8" t="e">
        <f ca="1">[1]!BexGetData("DP_1","00O2TNJGODT0G5Z4TTKYMMOLH","GSON7410100001")</f>
        <v>#NAME?</v>
      </c>
      <c r="U2789" s="3" t="e">
        <f ca="1">[1]!BexGetData("DP_1","00O2TNJGODT0G5Z4TTKYMMUX1","GSON7410100001")</f>
        <v>#NAME?</v>
      </c>
      <c r="V2789" s="8" t="e">
        <f ca="1">[1]!BexGetData("DP_1","00O2TNJGODT0G5Z4TTKYMN18L","GSON7410100001")</f>
        <v>#NAME?</v>
      </c>
      <c r="W2789" s="3" t="e">
        <f ca="1">[1]!BexGetData("DP_1","00O2TNJGODT0G5Z4TTKYMN7K5","GSON7410100001")</f>
        <v>#NAME?</v>
      </c>
    </row>
    <row r="2790" spans="1:23" x14ac:dyDescent="0.2">
      <c r="A2790" s="13" t="s">
        <v>5618</v>
      </c>
      <c r="B2790" s="7" t="s">
        <v>5619</v>
      </c>
      <c r="C2790" s="8" t="e">
        <f ca="1">[1]!BexGetData("DP_1","003N8EMH8GTFRCSWKMPXRR8GU","GSON7420100001")</f>
        <v>#NAME?</v>
      </c>
      <c r="D2790" s="8" t="e">
        <f ca="1">[1]!BexGetData("DP_1","003N8EMH8GTFRCSWKMPXRRESE","GSON7420100001")</f>
        <v>#NAME?</v>
      </c>
      <c r="E2790" s="3" t="e">
        <f ca="1">[1]!BexGetData("DP_1","003N8EMH8GTFRCSWKMPXRRL3Y","GSON7420100001")</f>
        <v>#NAME?</v>
      </c>
      <c r="F2790" s="3" t="e">
        <f ca="1">[1]!BexGetData("DP_1","003N8EMH8GTFRCSWKMPXRRRFI","GSON7420100001")</f>
        <v>#NAME?</v>
      </c>
      <c r="G2790" s="8" t="e">
        <f ca="1">[1]!BexGetData("DP_1","003N8EMH8GTFRCSWKMPXRRXR2","GSON7420100001")</f>
        <v>#NAME?</v>
      </c>
      <c r="H2790" s="3" t="e">
        <f ca="1">[1]!BexGetData("DP_1","003N8EMH8GTFRCSWKMPXRS42M","GSON7420100001")</f>
        <v>#NAME?</v>
      </c>
      <c r="I2790" s="3" t="e">
        <f ca="1">[1]!BexGetData("DP_1","003N8EMH8GTFRCSWKMPXRSAE6","GSON7420100001")</f>
        <v>#NAME?</v>
      </c>
      <c r="J2790" s="4" t="e">
        <f ca="1">[1]!BexGetData("DP_1","003N8EMH8GTFRCSWKMPXRSGPQ","GSON7420100001")</f>
        <v>#NAME?</v>
      </c>
      <c r="K2790" s="8" t="e">
        <f ca="1">[1]!BexGetData("DP_1","003N8EMH8GTFRIVNUPY288VJH","GSON7420100001")</f>
        <v>#NAME?</v>
      </c>
      <c r="L2790" s="8" t="e">
        <f ca="1">[1]!BexGetData("DP_1","003N8EMH8GTFRIVNUPY2891V1","GSON7420100001")</f>
        <v>#NAME?</v>
      </c>
      <c r="M2790" s="8" t="e">
        <f ca="1">[1]!BexGetData("DP_1","003N8EMH8GTFRIVOG7KG9IQXA","GSON7420100001")</f>
        <v>#NAME?</v>
      </c>
      <c r="N2790" s="8" t="e">
        <f ca="1">[1]!BexGetData("DP_1","003N8EMH8GTFRIVOG7KG9IX8U","GSON7420100001")</f>
        <v>#NAME?</v>
      </c>
      <c r="O2790" s="8" t="e">
        <f ca="1">[1]!BexGetData("DP_1","003N8EMH8GTFRIVOG7KG9J3KE","GSON7420100001")</f>
        <v>#NAME?</v>
      </c>
      <c r="P2790" s="8" t="e">
        <f ca="1">[1]!BexGetData("DP_1","003N8EMH8GTFRIVOG7KG9J9VY","GSON7420100001")</f>
        <v>#NAME?</v>
      </c>
      <c r="Q2790" s="4" t="e">
        <f ca="1">[1]!BexGetData("DP_1","00O2TNJGODT0G5Z4TTKYMM5MT","GSON7420100001")</f>
        <v>#NAME?</v>
      </c>
      <c r="R2790" s="3" t="e">
        <f ca="1">[1]!BexGetData("DP_1","00O2TNJGODT0G5Z4TTKYMMBYD","GSON7420100001")</f>
        <v>#NAME?</v>
      </c>
      <c r="S2790" s="3" t="e">
        <f ca="1">[1]!BexGetData("DP_1","00O2TNJGODT0G5Z4TTKYMMI9X","GSON7420100001")</f>
        <v>#NAME?</v>
      </c>
      <c r="T2790" s="3" t="e">
        <f ca="1">[1]!BexGetData("DP_1","00O2TNJGODT0G5Z4TTKYMMOLH","GSON7420100001")</f>
        <v>#NAME?</v>
      </c>
      <c r="U2790" s="8" t="e">
        <f ca="1">[1]!BexGetData("DP_1","00O2TNJGODT0G5Z4TTKYMMUX1","GSON7420100001")</f>
        <v>#NAME?</v>
      </c>
      <c r="V2790" s="3" t="e">
        <f ca="1">[1]!BexGetData("DP_1","00O2TNJGODT0G5Z4TTKYMN18L","GSON7420100001")</f>
        <v>#NAME?</v>
      </c>
      <c r="W2790" s="8" t="e">
        <f ca="1">[1]!BexGetData("DP_1","00O2TNJGODT0G5Z4TTKYMN7K5","GSON7420100001")</f>
        <v>#NAME?</v>
      </c>
    </row>
    <row r="2791" spans="1:23" x14ac:dyDescent="0.2">
      <c r="A2791" s="12" t="s">
        <v>404</v>
      </c>
      <c r="B2791" s="6" t="s">
        <v>5620</v>
      </c>
      <c r="C2791" s="8" t="e">
        <f ca="1">[1]!BexGetData("DP_1","003N8EMH8GTFRCSWKMPXRR8GU","GSON75")</f>
        <v>#NAME?</v>
      </c>
      <c r="D2791" s="8" t="e">
        <f ca="1">[1]!BexGetData("DP_1","003N8EMH8GTFRCSWKMPXRRESE","GSON75")</f>
        <v>#NAME?</v>
      </c>
      <c r="E2791" s="8" t="e">
        <f ca="1">[1]!BexGetData("DP_1","003N8EMH8GTFRCSWKMPXRRL3Y","GSON75")</f>
        <v>#NAME?</v>
      </c>
      <c r="F2791" s="8" t="e">
        <f ca="1">[1]!BexGetData("DP_1","003N8EMH8GTFRCSWKMPXRRRFI","GSON75")</f>
        <v>#NAME?</v>
      </c>
      <c r="G2791" s="3" t="e">
        <f ca="1">[1]!BexGetData("DP_1","003N8EMH8GTFRCSWKMPXRRXR2","GSON75")</f>
        <v>#NAME?</v>
      </c>
      <c r="H2791" s="3" t="e">
        <f ca="1">[1]!BexGetData("DP_1","003N8EMH8GTFRCSWKMPXRS42M","GSON75")</f>
        <v>#NAME?</v>
      </c>
      <c r="I2791" s="8" t="e">
        <f ca="1">[1]!BexGetData("DP_1","003N8EMH8GTFRCSWKMPXRSAE6","GSON75")</f>
        <v>#NAME?</v>
      </c>
      <c r="J2791" s="4" t="e">
        <f ca="1">[1]!BexGetData("DP_1","003N8EMH8GTFRCSWKMPXRSGPQ","GSON75")</f>
        <v>#NAME?</v>
      </c>
      <c r="K2791" s="8" t="e">
        <f ca="1">[1]!BexGetData("DP_1","003N8EMH8GTFRIVNUPY288VJH","GSON75")</f>
        <v>#NAME?</v>
      </c>
      <c r="L2791" s="8" t="e">
        <f ca="1">[1]!BexGetData("DP_1","003N8EMH8GTFRIVNUPY2891V1","GSON75")</f>
        <v>#NAME?</v>
      </c>
      <c r="M2791" s="8" t="e">
        <f ca="1">[1]!BexGetData("DP_1","003N8EMH8GTFRIVOG7KG9IQXA","GSON75")</f>
        <v>#NAME?</v>
      </c>
      <c r="N2791" s="8" t="e">
        <f ca="1">[1]!BexGetData("DP_1","003N8EMH8GTFRIVOG7KG9IX8U","GSON75")</f>
        <v>#NAME?</v>
      </c>
      <c r="O2791" s="8" t="e">
        <f ca="1">[1]!BexGetData("DP_1","003N8EMH8GTFRIVOG7KG9J3KE","GSON75")</f>
        <v>#NAME?</v>
      </c>
      <c r="P2791" s="8" t="e">
        <f ca="1">[1]!BexGetData("DP_1","003N8EMH8GTFRIVOG7KG9J9VY","GSON75")</f>
        <v>#NAME?</v>
      </c>
      <c r="Q2791" s="4" t="e">
        <f ca="1">[1]!BexGetData("DP_1","00O2TNJGODT0G5Z4TTKYMM5MT","GSON75")</f>
        <v>#NAME?</v>
      </c>
      <c r="R2791" s="8" t="e">
        <f ca="1">[1]!BexGetData("DP_1","00O2TNJGODT0G5Z4TTKYMMBYD","GSON75")</f>
        <v>#NAME?</v>
      </c>
      <c r="S2791" s="8" t="e">
        <f ca="1">[1]!BexGetData("DP_1","00O2TNJGODT0G5Z4TTKYMMI9X","GSON75")</f>
        <v>#NAME?</v>
      </c>
      <c r="T2791" s="8" t="e">
        <f ca="1">[1]!BexGetData("DP_1","00O2TNJGODT0G5Z4TTKYMMOLH","GSON75")</f>
        <v>#NAME?</v>
      </c>
      <c r="U2791" s="8" t="e">
        <f ca="1">[1]!BexGetData("DP_1","00O2TNJGODT0G5Z4TTKYMMUX1","GSON75")</f>
        <v>#NAME?</v>
      </c>
      <c r="V2791" s="8" t="e">
        <f ca="1">[1]!BexGetData("DP_1","00O2TNJGODT0G5Z4TTKYMN18L","GSON75")</f>
        <v>#NAME?</v>
      </c>
      <c r="W2791" s="8" t="e">
        <f ca="1">[1]!BexGetData("DP_1","00O2TNJGODT0G5Z4TTKYMN7K5","GSON75")</f>
        <v>#NAME?</v>
      </c>
    </row>
    <row r="2792" spans="1:23" x14ac:dyDescent="0.2">
      <c r="A2792" s="13" t="s">
        <v>5621</v>
      </c>
      <c r="B2792" s="7" t="s">
        <v>5622</v>
      </c>
      <c r="C2792" s="8" t="e">
        <f ca="1">[1]!BexGetData("DP_1","003N8EMH8GTFRCSWKMPXRR8GU","GSON7510100001")</f>
        <v>#NAME?</v>
      </c>
      <c r="D2792" s="8" t="e">
        <f ca="1">[1]!BexGetData("DP_1","003N8EMH8GTFRCSWKMPXRRESE","GSON7510100001")</f>
        <v>#NAME?</v>
      </c>
      <c r="E2792" s="3" t="e">
        <f ca="1">[1]!BexGetData("DP_1","003N8EMH8GTFRCSWKMPXRRL3Y","GSON7510100001")</f>
        <v>#NAME?</v>
      </c>
      <c r="F2792" s="3" t="e">
        <f ca="1">[1]!BexGetData("DP_1","003N8EMH8GTFRCSWKMPXRRRFI","GSON7510100001")</f>
        <v>#NAME?</v>
      </c>
      <c r="G2792" s="3" t="e">
        <f ca="1">[1]!BexGetData("DP_1","003N8EMH8GTFRCSWKMPXRRXR2","GSON7510100001")</f>
        <v>#NAME?</v>
      </c>
      <c r="H2792" s="8" t="e">
        <f ca="1">[1]!BexGetData("DP_1","003N8EMH8GTFRCSWKMPXRS42M","GSON7510100001")</f>
        <v>#NAME?</v>
      </c>
      <c r="I2792" s="3" t="e">
        <f ca="1">[1]!BexGetData("DP_1","003N8EMH8GTFRCSWKMPXRSAE6","GSON7510100001")</f>
        <v>#NAME?</v>
      </c>
      <c r="J2792" s="4" t="e">
        <f ca="1">[1]!BexGetData("DP_1","003N8EMH8GTFRCSWKMPXRSGPQ","GSON7510100001")</f>
        <v>#NAME?</v>
      </c>
      <c r="K2792" s="8" t="e">
        <f ca="1">[1]!BexGetData("DP_1","003N8EMH8GTFRIVNUPY288VJH","GSON7510100001")</f>
        <v>#NAME?</v>
      </c>
      <c r="L2792" s="8" t="e">
        <f ca="1">[1]!BexGetData("DP_1","003N8EMH8GTFRIVNUPY2891V1","GSON7510100001")</f>
        <v>#NAME?</v>
      </c>
      <c r="M2792" s="8" t="e">
        <f ca="1">[1]!BexGetData("DP_1","003N8EMH8GTFRIVOG7KG9IQXA","GSON7510100001")</f>
        <v>#NAME?</v>
      </c>
      <c r="N2792" s="8" t="e">
        <f ca="1">[1]!BexGetData("DP_1","003N8EMH8GTFRIVOG7KG9IX8U","GSON7510100001")</f>
        <v>#NAME?</v>
      </c>
      <c r="O2792" s="8" t="e">
        <f ca="1">[1]!BexGetData("DP_1","003N8EMH8GTFRIVOG7KG9J3KE","GSON7510100001")</f>
        <v>#NAME?</v>
      </c>
      <c r="P2792" s="8" t="e">
        <f ca="1">[1]!BexGetData("DP_1","003N8EMH8GTFRIVOG7KG9J9VY","GSON7510100001")</f>
        <v>#NAME?</v>
      </c>
      <c r="Q2792" s="4" t="e">
        <f ca="1">[1]!BexGetData("DP_1","00O2TNJGODT0G5Z4TTKYMM5MT","GSON7510100001")</f>
        <v>#NAME?</v>
      </c>
      <c r="R2792" s="3" t="e">
        <f ca="1">[1]!BexGetData("DP_1","00O2TNJGODT0G5Z4TTKYMMBYD","GSON7510100001")</f>
        <v>#NAME?</v>
      </c>
      <c r="S2792" s="3" t="e">
        <f ca="1">[1]!BexGetData("DP_1","00O2TNJGODT0G5Z4TTKYMMI9X","GSON7510100001")</f>
        <v>#NAME?</v>
      </c>
      <c r="T2792" s="8" t="e">
        <f ca="1">[1]!BexGetData("DP_1","00O2TNJGODT0G5Z4TTKYMMOLH","GSON7510100001")</f>
        <v>#NAME?</v>
      </c>
      <c r="U2792" s="3" t="e">
        <f ca="1">[1]!BexGetData("DP_1","00O2TNJGODT0G5Z4TTKYMMUX1","GSON7510100001")</f>
        <v>#NAME?</v>
      </c>
      <c r="V2792" s="8" t="e">
        <f ca="1">[1]!BexGetData("DP_1","00O2TNJGODT0G5Z4TTKYMN18L","GSON7510100001")</f>
        <v>#NAME?</v>
      </c>
      <c r="W2792" s="3" t="e">
        <f ca="1">[1]!BexGetData("DP_1","00O2TNJGODT0G5Z4TTKYMN7K5","GSON7510100001")</f>
        <v>#NAME?</v>
      </c>
    </row>
    <row r="2793" spans="1:23" x14ac:dyDescent="0.2">
      <c r="A2793" s="13" t="s">
        <v>5407</v>
      </c>
      <c r="B2793" s="7" t="s">
        <v>5623</v>
      </c>
      <c r="C2793" s="8" t="e">
        <f ca="1">[1]!BexGetData("DP_1","003N8EMH8GTFRCSWKMPXRR8GU","GSON7520100001")</f>
        <v>#NAME?</v>
      </c>
      <c r="D2793" s="8" t="e">
        <f ca="1">[1]!BexGetData("DP_1","003N8EMH8GTFRCSWKMPXRRESE","GSON7520100001")</f>
        <v>#NAME?</v>
      </c>
      <c r="E2793" s="3" t="e">
        <f ca="1">[1]!BexGetData("DP_1","003N8EMH8GTFRCSWKMPXRRL3Y","GSON7520100001")</f>
        <v>#NAME?</v>
      </c>
      <c r="F2793" s="3" t="e">
        <f ca="1">[1]!BexGetData("DP_1","003N8EMH8GTFRCSWKMPXRRRFI","GSON7520100001")</f>
        <v>#NAME?</v>
      </c>
      <c r="G2793" s="8" t="e">
        <f ca="1">[1]!BexGetData("DP_1","003N8EMH8GTFRCSWKMPXRRXR2","GSON7520100001")</f>
        <v>#NAME?</v>
      </c>
      <c r="H2793" s="3" t="e">
        <f ca="1">[1]!BexGetData("DP_1","003N8EMH8GTFRCSWKMPXRS42M","GSON7520100001")</f>
        <v>#NAME?</v>
      </c>
      <c r="I2793" s="3" t="e">
        <f ca="1">[1]!BexGetData("DP_1","003N8EMH8GTFRCSWKMPXRSAE6","GSON7520100001")</f>
        <v>#NAME?</v>
      </c>
      <c r="J2793" s="4" t="e">
        <f ca="1">[1]!BexGetData("DP_1","003N8EMH8GTFRCSWKMPXRSGPQ","GSON7520100001")</f>
        <v>#NAME?</v>
      </c>
      <c r="K2793" s="8" t="e">
        <f ca="1">[1]!BexGetData("DP_1","003N8EMH8GTFRIVNUPY288VJH","GSON7520100001")</f>
        <v>#NAME?</v>
      </c>
      <c r="L2793" s="8" t="e">
        <f ca="1">[1]!BexGetData("DP_1","003N8EMH8GTFRIVNUPY2891V1","GSON7520100001")</f>
        <v>#NAME?</v>
      </c>
      <c r="M2793" s="8" t="e">
        <f ca="1">[1]!BexGetData("DP_1","003N8EMH8GTFRIVOG7KG9IQXA","GSON7520100001")</f>
        <v>#NAME?</v>
      </c>
      <c r="N2793" s="8" t="e">
        <f ca="1">[1]!BexGetData("DP_1","003N8EMH8GTFRIVOG7KG9IX8U","GSON7520100001")</f>
        <v>#NAME?</v>
      </c>
      <c r="O2793" s="8" t="e">
        <f ca="1">[1]!BexGetData("DP_1","003N8EMH8GTFRIVOG7KG9J3KE","GSON7520100001")</f>
        <v>#NAME?</v>
      </c>
      <c r="P2793" s="8" t="e">
        <f ca="1">[1]!BexGetData("DP_1","003N8EMH8GTFRIVOG7KG9J9VY","GSON7520100001")</f>
        <v>#NAME?</v>
      </c>
      <c r="Q2793" s="4" t="e">
        <f ca="1">[1]!BexGetData("DP_1","00O2TNJGODT0G5Z4TTKYMM5MT","GSON7520100001")</f>
        <v>#NAME?</v>
      </c>
      <c r="R2793" s="3" t="e">
        <f ca="1">[1]!BexGetData("DP_1","00O2TNJGODT0G5Z4TTKYMMBYD","GSON7520100001")</f>
        <v>#NAME?</v>
      </c>
      <c r="S2793" s="3" t="e">
        <f ca="1">[1]!BexGetData("DP_1","00O2TNJGODT0G5Z4TTKYMMI9X","GSON7520100001")</f>
        <v>#NAME?</v>
      </c>
      <c r="T2793" s="3" t="e">
        <f ca="1">[1]!BexGetData("DP_1","00O2TNJGODT0G5Z4TTKYMMOLH","GSON7520100001")</f>
        <v>#NAME?</v>
      </c>
      <c r="U2793" s="8" t="e">
        <f ca="1">[1]!BexGetData("DP_1","00O2TNJGODT0G5Z4TTKYMMUX1","GSON7520100001")</f>
        <v>#NAME?</v>
      </c>
      <c r="V2793" s="3" t="e">
        <f ca="1">[1]!BexGetData("DP_1","00O2TNJGODT0G5Z4TTKYMN18L","GSON7520100001")</f>
        <v>#NAME?</v>
      </c>
      <c r="W2793" s="8" t="e">
        <f ca="1">[1]!BexGetData("DP_1","00O2TNJGODT0G5Z4TTKYMN7K5","GSON7520100001")</f>
        <v>#NAME?</v>
      </c>
    </row>
    <row r="2794" spans="1:23" x14ac:dyDescent="0.2">
      <c r="A2794" s="12" t="s">
        <v>120</v>
      </c>
      <c r="B2794" s="6" t="s">
        <v>121</v>
      </c>
      <c r="C2794" s="3" t="e">
        <f ca="1">[1]!BexGetData("DP_1","003N8EMH8GTFRCSWKMPXRR8GU","GSON76")</f>
        <v>#NAME?</v>
      </c>
      <c r="D2794" s="3" t="e">
        <f ca="1">[1]!BexGetData("DP_1","003N8EMH8GTFRCSWKMPXRRESE","GSON76")</f>
        <v>#NAME?</v>
      </c>
      <c r="E2794" s="8" t="e">
        <f ca="1">[1]!BexGetData("DP_1","003N8EMH8GTFRCSWKMPXRRL3Y","GSON76")</f>
        <v>#NAME?</v>
      </c>
      <c r="F2794" s="8" t="e">
        <f ca="1">[1]!BexGetData("DP_1","003N8EMH8GTFRCSWKMPXRRRFI","GSON76")</f>
        <v>#NAME?</v>
      </c>
      <c r="G2794" s="3" t="e">
        <f ca="1">[1]!BexGetData("DP_1","003N8EMH8GTFRCSWKMPXRRXR2","GSON76")</f>
        <v>#NAME?</v>
      </c>
      <c r="H2794" s="3" t="e">
        <f ca="1">[1]!BexGetData("DP_1","003N8EMH8GTFRCSWKMPXRS42M","GSON76")</f>
        <v>#NAME?</v>
      </c>
      <c r="I2794" s="8" t="e">
        <f ca="1">[1]!BexGetData("DP_1","003N8EMH8GTFRCSWKMPXRSAE6","GSON76")</f>
        <v>#NAME?</v>
      </c>
      <c r="J2794" s="4" t="e">
        <f ca="1">[1]!BexGetData("DP_1","003N8EMH8GTFRCSWKMPXRSGPQ","GSON76")</f>
        <v>#NAME?</v>
      </c>
      <c r="K2794" s="8" t="e">
        <f ca="1">[1]!BexGetData("DP_1","003N8EMH8GTFRIVNUPY288VJH","GSON76")</f>
        <v>#NAME?</v>
      </c>
      <c r="L2794" s="8" t="e">
        <f ca="1">[1]!BexGetData("DP_1","003N8EMH8GTFRIVNUPY2891V1","GSON76")</f>
        <v>#NAME?</v>
      </c>
      <c r="M2794" s="8" t="e">
        <f ca="1">[1]!BexGetData("DP_1","003N8EMH8GTFRIVOG7KG9IQXA","GSON76")</f>
        <v>#NAME?</v>
      </c>
      <c r="N2794" s="8" t="e">
        <f ca="1">[1]!BexGetData("DP_1","003N8EMH8GTFRIVOG7KG9IX8U","GSON76")</f>
        <v>#NAME?</v>
      </c>
      <c r="O2794" s="8" t="e">
        <f ca="1">[1]!BexGetData("DP_1","003N8EMH8GTFRIVOG7KG9J3KE","GSON76")</f>
        <v>#NAME?</v>
      </c>
      <c r="P2794" s="8" t="e">
        <f ca="1">[1]!BexGetData("DP_1","003N8EMH8GTFRIVOG7KG9J9VY","GSON76")</f>
        <v>#NAME?</v>
      </c>
      <c r="Q2794" s="4" t="e">
        <f ca="1">[1]!BexGetData("DP_1","00O2TNJGODT0G5Z4TTKYMM5MT","GSON76")</f>
        <v>#NAME?</v>
      </c>
      <c r="R2794" s="8" t="e">
        <f ca="1">[1]!BexGetData("DP_1","00O2TNJGODT0G5Z4TTKYMMBYD","GSON76")</f>
        <v>#NAME?</v>
      </c>
      <c r="S2794" s="8" t="e">
        <f ca="1">[1]!BexGetData("DP_1","00O2TNJGODT0G5Z4TTKYMMI9X","GSON76")</f>
        <v>#NAME?</v>
      </c>
      <c r="T2794" s="8" t="e">
        <f ca="1">[1]!BexGetData("DP_1","00O2TNJGODT0G5Z4TTKYMMOLH","GSON76")</f>
        <v>#NAME?</v>
      </c>
      <c r="U2794" s="8" t="e">
        <f ca="1">[1]!BexGetData("DP_1","00O2TNJGODT0G5Z4TTKYMMUX1","GSON76")</f>
        <v>#NAME?</v>
      </c>
      <c r="V2794" s="8" t="e">
        <f ca="1">[1]!BexGetData("DP_1","00O2TNJGODT0G5Z4TTKYMN18L","GSON76")</f>
        <v>#NAME?</v>
      </c>
      <c r="W2794" s="8" t="e">
        <f ca="1">[1]!BexGetData("DP_1","00O2TNJGODT0G5Z4TTKYMN7K5","GSON76")</f>
        <v>#NAME?</v>
      </c>
    </row>
    <row r="2795" spans="1:23" x14ac:dyDescent="0.2">
      <c r="A2795" s="13" t="s">
        <v>5624</v>
      </c>
      <c r="B2795" s="7" t="s">
        <v>405</v>
      </c>
      <c r="C2795" s="3" t="e">
        <f ca="1">[1]!BexGetData("DP_1","003N8EMH8GTFRCSWKMPXRR8GU","GSON7630100001")</f>
        <v>#NAME?</v>
      </c>
      <c r="D2795" s="8" t="e">
        <f ca="1">[1]!BexGetData("DP_1","003N8EMH8GTFRCSWKMPXRRESE","GSON7630100001")</f>
        <v>#NAME?</v>
      </c>
      <c r="E2795" s="3" t="e">
        <f ca="1">[1]!BexGetData("DP_1","003N8EMH8GTFRCSWKMPXRRL3Y","GSON7630100001")</f>
        <v>#NAME?</v>
      </c>
      <c r="F2795" s="3" t="e">
        <f ca="1">[1]!BexGetData("DP_1","003N8EMH8GTFRCSWKMPXRRRFI","GSON7630100001")</f>
        <v>#NAME?</v>
      </c>
      <c r="G2795" s="3" t="e">
        <f ca="1">[1]!BexGetData("DP_1","003N8EMH8GTFRCSWKMPXRRXR2","GSON7630100001")</f>
        <v>#NAME?</v>
      </c>
      <c r="H2795" s="8" t="e">
        <f ca="1">[1]!BexGetData("DP_1","003N8EMH8GTFRCSWKMPXRS42M","GSON7630100001")</f>
        <v>#NAME?</v>
      </c>
      <c r="I2795" s="3" t="e">
        <f ca="1">[1]!BexGetData("DP_1","003N8EMH8GTFRCSWKMPXRSAE6","GSON7630100001")</f>
        <v>#NAME?</v>
      </c>
      <c r="J2795" s="4" t="e">
        <f ca="1">[1]!BexGetData("DP_1","003N8EMH8GTFRCSWKMPXRSGPQ","GSON7630100001")</f>
        <v>#NAME?</v>
      </c>
      <c r="K2795" s="3" t="e">
        <f ca="1">[1]!BexGetData("DP_1","003N8EMH8GTFRIVNUPY288VJH","GSON7630100001")</f>
        <v>#NAME?</v>
      </c>
      <c r="L2795" s="3" t="e">
        <f ca="1">[1]!BexGetData("DP_1","003N8EMH8GTFRIVNUPY2891V1","GSON7630100001")</f>
        <v>#NAME?</v>
      </c>
      <c r="M2795" s="8" t="e">
        <f ca="1">[1]!BexGetData("DP_1","003N8EMH8GTFRIVOG7KG9IQXA","GSON7630100001")</f>
        <v>#NAME?</v>
      </c>
      <c r="N2795" s="3" t="e">
        <f ca="1">[1]!BexGetData("DP_1","003N8EMH8GTFRIVOG7KG9IX8U","GSON7630100001")</f>
        <v>#NAME?</v>
      </c>
      <c r="O2795" s="8" t="e">
        <f ca="1">[1]!BexGetData("DP_1","003N8EMH8GTFRIVOG7KG9J3KE","GSON7630100001")</f>
        <v>#NAME?</v>
      </c>
      <c r="P2795" s="3" t="e">
        <f ca="1">[1]!BexGetData("DP_1","003N8EMH8GTFRIVOG7KG9J9VY","GSON7630100001")</f>
        <v>#NAME?</v>
      </c>
      <c r="Q2795" s="4" t="e">
        <f ca="1">[1]!BexGetData("DP_1","00O2TNJGODT0G5Z4TTKYMM5MT","GSON7630100001")</f>
        <v>#NAME?</v>
      </c>
      <c r="R2795" s="3" t="e">
        <f ca="1">[1]!BexGetData("DP_1","00O2TNJGODT0G5Z4TTKYMMBYD","GSON7630100001")</f>
        <v>#NAME?</v>
      </c>
      <c r="S2795" s="3" t="e">
        <f ca="1">[1]!BexGetData("DP_1","00O2TNJGODT0G5Z4TTKYMMI9X","GSON7630100001")</f>
        <v>#NAME?</v>
      </c>
      <c r="T2795" s="8" t="e">
        <f ca="1">[1]!BexGetData("DP_1","00O2TNJGODT0G5Z4TTKYMMOLH","GSON7630100001")</f>
        <v>#NAME?</v>
      </c>
      <c r="U2795" s="3" t="e">
        <f ca="1">[1]!BexGetData("DP_1","00O2TNJGODT0G5Z4TTKYMMUX1","GSON7630100001")</f>
        <v>#NAME?</v>
      </c>
      <c r="V2795" s="8" t="e">
        <f ca="1">[1]!BexGetData("DP_1","00O2TNJGODT0G5Z4TTKYMN18L","GSON7630100001")</f>
        <v>#NAME?</v>
      </c>
      <c r="W2795" s="3" t="e">
        <f ca="1">[1]!BexGetData("DP_1","00O2TNJGODT0G5Z4TTKYMN7K5","GSON7630100001")</f>
        <v>#NAME?</v>
      </c>
    </row>
    <row r="2796" spans="1:23" x14ac:dyDescent="0.2">
      <c r="A2796" s="13" t="s">
        <v>122</v>
      </c>
      <c r="B2796" s="7" t="s">
        <v>406</v>
      </c>
      <c r="C2796" s="8" t="e">
        <f ca="1">[1]!BexGetData("DP_1","003N8EMH8GTFRCSWKMPXRR8GU","GSON7640100001")</f>
        <v>#NAME?</v>
      </c>
      <c r="D2796" s="3" t="e">
        <f ca="1">[1]!BexGetData("DP_1","003N8EMH8GTFRCSWKMPXRRESE","GSON7640100001")</f>
        <v>#NAME?</v>
      </c>
      <c r="E2796" s="3" t="e">
        <f ca="1">[1]!BexGetData("DP_1","003N8EMH8GTFRCSWKMPXRRL3Y","GSON7640100001")</f>
        <v>#NAME?</v>
      </c>
      <c r="F2796" s="3" t="e">
        <f ca="1">[1]!BexGetData("DP_1","003N8EMH8GTFRCSWKMPXRRRFI","GSON7640100001")</f>
        <v>#NAME?</v>
      </c>
      <c r="G2796" s="8" t="e">
        <f ca="1">[1]!BexGetData("DP_1","003N8EMH8GTFRCSWKMPXRRXR2","GSON7640100001")</f>
        <v>#NAME?</v>
      </c>
      <c r="H2796" s="3" t="e">
        <f ca="1">[1]!BexGetData("DP_1","003N8EMH8GTFRCSWKMPXRS42M","GSON7640100001")</f>
        <v>#NAME?</v>
      </c>
      <c r="I2796" s="3" t="e">
        <f ca="1">[1]!BexGetData("DP_1","003N8EMH8GTFRCSWKMPXRSAE6","GSON7640100001")</f>
        <v>#NAME?</v>
      </c>
      <c r="J2796" s="4" t="e">
        <f ca="1">[1]!BexGetData("DP_1","003N8EMH8GTFRCSWKMPXRSGPQ","GSON7640100001")</f>
        <v>#NAME?</v>
      </c>
      <c r="K2796" s="3" t="e">
        <f ca="1">[1]!BexGetData("DP_1","003N8EMH8GTFRIVNUPY288VJH","GSON7640100001")</f>
        <v>#NAME?</v>
      </c>
      <c r="L2796" s="3" t="e">
        <f ca="1">[1]!BexGetData("DP_1","003N8EMH8GTFRIVNUPY2891V1","GSON7640100001")</f>
        <v>#NAME?</v>
      </c>
      <c r="M2796" s="3" t="e">
        <f ca="1">[1]!BexGetData("DP_1","003N8EMH8GTFRIVOG7KG9IQXA","GSON7640100001")</f>
        <v>#NAME?</v>
      </c>
      <c r="N2796" s="8" t="e">
        <f ca="1">[1]!BexGetData("DP_1","003N8EMH8GTFRIVOG7KG9IX8U","GSON7640100001")</f>
        <v>#NAME?</v>
      </c>
      <c r="O2796" s="3" t="e">
        <f ca="1">[1]!BexGetData("DP_1","003N8EMH8GTFRIVOG7KG9J3KE","GSON7640100001")</f>
        <v>#NAME?</v>
      </c>
      <c r="P2796" s="8" t="e">
        <f ca="1">[1]!BexGetData("DP_1","003N8EMH8GTFRIVOG7KG9J9VY","GSON7640100001")</f>
        <v>#NAME?</v>
      </c>
      <c r="Q2796" s="4" t="e">
        <f ca="1">[1]!BexGetData("DP_1","00O2TNJGODT0G5Z4TTKYMM5MT","GSON7640100001")</f>
        <v>#NAME?</v>
      </c>
      <c r="R2796" s="3" t="e">
        <f ca="1">[1]!BexGetData("DP_1","00O2TNJGODT0G5Z4TTKYMMBYD","GSON7640100001")</f>
        <v>#NAME?</v>
      </c>
      <c r="S2796" s="3" t="e">
        <f ca="1">[1]!BexGetData("DP_1","00O2TNJGODT0G5Z4TTKYMMI9X","GSON7640100001")</f>
        <v>#NAME?</v>
      </c>
      <c r="T2796" s="3" t="e">
        <f ca="1">[1]!BexGetData("DP_1","00O2TNJGODT0G5Z4TTKYMMOLH","GSON7640100001")</f>
        <v>#NAME?</v>
      </c>
      <c r="U2796" s="8" t="e">
        <f ca="1">[1]!BexGetData("DP_1","00O2TNJGODT0G5Z4TTKYMMUX1","GSON7640100001")</f>
        <v>#NAME?</v>
      </c>
      <c r="V2796" s="3" t="e">
        <f ca="1">[1]!BexGetData("DP_1","00O2TNJGODT0G5Z4TTKYMN18L","GSON7640100001")</f>
        <v>#NAME?</v>
      </c>
      <c r="W2796" s="8" t="e">
        <f ca="1">[1]!BexGetData("DP_1","00O2TNJGODT0G5Z4TTKYMN7K5","GSON7640100001")</f>
        <v>#NAME?</v>
      </c>
    </row>
    <row r="2797" spans="1:23" x14ac:dyDescent="0.2">
      <c r="A2797" s="13" t="s">
        <v>5625</v>
      </c>
      <c r="B2797" s="7" t="s">
        <v>5626</v>
      </c>
      <c r="C2797" s="8" t="e">
        <f ca="1">[1]!BexGetData("DP_1","003N8EMH8GTFRCSWKMPXRR8GU","GSON7710100001")</f>
        <v>#NAME?</v>
      </c>
      <c r="D2797" s="8" t="e">
        <f ca="1">[1]!BexGetData("DP_1","003N8EMH8GTFRCSWKMPXRRESE","GSON7710100001")</f>
        <v>#NAME?</v>
      </c>
      <c r="E2797" s="3" t="e">
        <f ca="1">[1]!BexGetData("DP_1","003N8EMH8GTFRCSWKMPXRRL3Y","GSON7710100001")</f>
        <v>#NAME?</v>
      </c>
      <c r="F2797" s="3" t="e">
        <f ca="1">[1]!BexGetData("DP_1","003N8EMH8GTFRCSWKMPXRRRFI","GSON7710100001")</f>
        <v>#NAME?</v>
      </c>
      <c r="G2797" s="3" t="e">
        <f ca="1">[1]!BexGetData("DP_1","003N8EMH8GTFRCSWKMPXRRXR2","GSON7710100001")</f>
        <v>#NAME?</v>
      </c>
      <c r="H2797" s="8" t="e">
        <f ca="1">[1]!BexGetData("DP_1","003N8EMH8GTFRCSWKMPXRS42M","GSON7710100001")</f>
        <v>#NAME?</v>
      </c>
      <c r="I2797" s="3" t="e">
        <f ca="1">[1]!BexGetData("DP_1","003N8EMH8GTFRCSWKMPXRSAE6","GSON7710100001")</f>
        <v>#NAME?</v>
      </c>
      <c r="J2797" s="4" t="e">
        <f ca="1">[1]!BexGetData("DP_1","003N8EMH8GTFRCSWKMPXRSGPQ","GSON7710100001")</f>
        <v>#NAME?</v>
      </c>
      <c r="K2797" s="8" t="e">
        <f ca="1">[1]!BexGetData("DP_1","003N8EMH8GTFRIVNUPY288VJH","GSON7710100001")</f>
        <v>#NAME?</v>
      </c>
      <c r="L2797" s="8" t="e">
        <f ca="1">[1]!BexGetData("DP_1","003N8EMH8GTFRIVNUPY2891V1","GSON7710100001")</f>
        <v>#NAME?</v>
      </c>
      <c r="M2797" s="8" t="e">
        <f ca="1">[1]!BexGetData("DP_1","003N8EMH8GTFRIVOG7KG9IQXA","GSON7710100001")</f>
        <v>#NAME?</v>
      </c>
      <c r="N2797" s="8" t="e">
        <f ca="1">[1]!BexGetData("DP_1","003N8EMH8GTFRIVOG7KG9IX8U","GSON7710100001")</f>
        <v>#NAME?</v>
      </c>
      <c r="O2797" s="8" t="e">
        <f ca="1">[1]!BexGetData("DP_1","003N8EMH8GTFRIVOG7KG9J3KE","GSON7710100001")</f>
        <v>#NAME?</v>
      </c>
      <c r="P2797" s="8" t="e">
        <f ca="1">[1]!BexGetData("DP_1","003N8EMH8GTFRIVOG7KG9J9VY","GSON7710100001")</f>
        <v>#NAME?</v>
      </c>
      <c r="Q2797" s="4" t="e">
        <f ca="1">[1]!BexGetData("DP_1","00O2TNJGODT0G5Z4TTKYMM5MT","GSON7710100001")</f>
        <v>#NAME?</v>
      </c>
      <c r="R2797" s="3" t="e">
        <f ca="1">[1]!BexGetData("DP_1","00O2TNJGODT0G5Z4TTKYMMBYD","GSON7710100001")</f>
        <v>#NAME?</v>
      </c>
      <c r="S2797" s="3" t="e">
        <f ca="1">[1]!BexGetData("DP_1","00O2TNJGODT0G5Z4TTKYMMI9X","GSON7710100001")</f>
        <v>#NAME?</v>
      </c>
      <c r="T2797" s="8" t="e">
        <f ca="1">[1]!BexGetData("DP_1","00O2TNJGODT0G5Z4TTKYMMOLH","GSON7710100001")</f>
        <v>#NAME?</v>
      </c>
      <c r="U2797" s="3" t="e">
        <f ca="1">[1]!BexGetData("DP_1","00O2TNJGODT0G5Z4TTKYMMUX1","GSON7710100001")</f>
        <v>#NAME?</v>
      </c>
      <c r="V2797" s="8" t="e">
        <f ca="1">[1]!BexGetData("DP_1","00O2TNJGODT0G5Z4TTKYMN18L","GSON7710100001")</f>
        <v>#NAME?</v>
      </c>
      <c r="W2797" s="3" t="e">
        <f ca="1">[1]!BexGetData("DP_1","00O2TNJGODT0G5Z4TTKYMN7K5","GSON7710100001")</f>
        <v>#NAME?</v>
      </c>
    </row>
    <row r="2798" spans="1:23" x14ac:dyDescent="0.2">
      <c r="A2798" s="13" t="s">
        <v>5627</v>
      </c>
      <c r="B2798" s="7" t="s">
        <v>5628</v>
      </c>
      <c r="C2798" s="8" t="e">
        <f ca="1">[1]!BexGetData("DP_1","003N8EMH8GTFRCSWKMPXRR8GU","GSON7720100001")</f>
        <v>#NAME?</v>
      </c>
      <c r="D2798" s="8" t="e">
        <f ca="1">[1]!BexGetData("DP_1","003N8EMH8GTFRCSWKMPXRRESE","GSON7720100001")</f>
        <v>#NAME?</v>
      </c>
      <c r="E2798" s="3" t="e">
        <f ca="1">[1]!BexGetData("DP_1","003N8EMH8GTFRCSWKMPXRRL3Y","GSON7720100001")</f>
        <v>#NAME?</v>
      </c>
      <c r="F2798" s="3" t="e">
        <f ca="1">[1]!BexGetData("DP_1","003N8EMH8GTFRCSWKMPXRRRFI","GSON7720100001")</f>
        <v>#NAME?</v>
      </c>
      <c r="G2798" s="8" t="e">
        <f ca="1">[1]!BexGetData("DP_1","003N8EMH8GTFRCSWKMPXRRXR2","GSON7720100001")</f>
        <v>#NAME?</v>
      </c>
      <c r="H2798" s="3" t="e">
        <f ca="1">[1]!BexGetData("DP_1","003N8EMH8GTFRCSWKMPXRS42M","GSON7720100001")</f>
        <v>#NAME?</v>
      </c>
      <c r="I2798" s="3" t="e">
        <f ca="1">[1]!BexGetData("DP_1","003N8EMH8GTFRCSWKMPXRSAE6","GSON7720100001")</f>
        <v>#NAME?</v>
      </c>
      <c r="J2798" s="4" t="e">
        <f ca="1">[1]!BexGetData("DP_1","003N8EMH8GTFRCSWKMPXRSGPQ","GSON7720100001")</f>
        <v>#NAME?</v>
      </c>
      <c r="K2798" s="8" t="e">
        <f ca="1">[1]!BexGetData("DP_1","003N8EMH8GTFRIVNUPY288VJH","GSON7720100001")</f>
        <v>#NAME?</v>
      </c>
      <c r="L2798" s="8" t="e">
        <f ca="1">[1]!BexGetData("DP_1","003N8EMH8GTFRIVNUPY2891V1","GSON7720100001")</f>
        <v>#NAME?</v>
      </c>
      <c r="M2798" s="8" t="e">
        <f ca="1">[1]!BexGetData("DP_1","003N8EMH8GTFRIVOG7KG9IQXA","GSON7720100001")</f>
        <v>#NAME?</v>
      </c>
      <c r="N2798" s="8" t="e">
        <f ca="1">[1]!BexGetData("DP_1","003N8EMH8GTFRIVOG7KG9IX8U","GSON7720100001")</f>
        <v>#NAME?</v>
      </c>
      <c r="O2798" s="8" t="e">
        <f ca="1">[1]!BexGetData("DP_1","003N8EMH8GTFRIVOG7KG9J3KE","GSON7720100001")</f>
        <v>#NAME?</v>
      </c>
      <c r="P2798" s="8" t="e">
        <f ca="1">[1]!BexGetData("DP_1","003N8EMH8GTFRIVOG7KG9J9VY","GSON7720100001")</f>
        <v>#NAME?</v>
      </c>
      <c r="Q2798" s="4" t="e">
        <f ca="1">[1]!BexGetData("DP_1","00O2TNJGODT0G5Z4TTKYMM5MT","GSON7720100001")</f>
        <v>#NAME?</v>
      </c>
      <c r="R2798" s="3" t="e">
        <f ca="1">[1]!BexGetData("DP_1","00O2TNJGODT0G5Z4TTKYMMBYD","GSON7720100001")</f>
        <v>#NAME?</v>
      </c>
      <c r="S2798" s="3" t="e">
        <f ca="1">[1]!BexGetData("DP_1","00O2TNJGODT0G5Z4TTKYMMI9X","GSON7720100001")</f>
        <v>#NAME?</v>
      </c>
      <c r="T2798" s="3" t="e">
        <f ca="1">[1]!BexGetData("DP_1","00O2TNJGODT0G5Z4TTKYMMOLH","GSON7720100001")</f>
        <v>#NAME?</v>
      </c>
      <c r="U2798" s="8" t="e">
        <f ca="1">[1]!BexGetData("DP_1","00O2TNJGODT0G5Z4TTKYMMUX1","GSON7720100001")</f>
        <v>#NAME?</v>
      </c>
      <c r="V2798" s="3" t="e">
        <f ca="1">[1]!BexGetData("DP_1","00O2TNJGODT0G5Z4TTKYMN18L","GSON7720100001")</f>
        <v>#NAME?</v>
      </c>
      <c r="W2798" s="8" t="e">
        <f ca="1">[1]!BexGetData("DP_1","00O2TNJGODT0G5Z4TTKYMN7K5","GSON7720100001")</f>
        <v>#NAME?</v>
      </c>
    </row>
    <row r="2799" spans="1:23" x14ac:dyDescent="0.2">
      <c r="A2799" s="11" t="s">
        <v>123</v>
      </c>
      <c r="B2799" s="5" t="s">
        <v>124</v>
      </c>
      <c r="C2799" s="3" t="e">
        <f ca="1">[1]!BexGetData("DP_1","003N8EMH8GTFRCSWKMPXRR8GU","GSON8")</f>
        <v>#NAME?</v>
      </c>
      <c r="D2799" s="3" t="e">
        <f ca="1">[1]!BexGetData("DP_1","003N8EMH8GTFRCSWKMPXRRESE","GSON8")</f>
        <v>#NAME?</v>
      </c>
      <c r="E2799" s="8" t="e">
        <f ca="1">[1]!BexGetData("DP_1","003N8EMH8GTFRCSWKMPXRRL3Y","GSON8")</f>
        <v>#NAME?</v>
      </c>
      <c r="F2799" s="4" t="e">
        <f ca="1">[1]!BexGetData("DP_1","003N8EMH8GTFRCSWKMPXRRRFI","GSON8")</f>
        <v>#NAME?</v>
      </c>
      <c r="G2799" s="4" t="e">
        <f ca="1">[1]!BexGetData("DP_1","003N8EMH8GTFRCSWKMPXRRXR2","GSON8")</f>
        <v>#NAME?</v>
      </c>
      <c r="H2799" s="4" t="e">
        <f ca="1">[1]!BexGetData("DP_1","003N8EMH8GTFRCSWKMPXRS42M","GSON8")</f>
        <v>#NAME?</v>
      </c>
      <c r="I2799" s="4" t="e">
        <f ca="1">[1]!BexGetData("DP_1","003N8EMH8GTFRCSWKMPXRSAE6","GSON8")</f>
        <v>#NAME?</v>
      </c>
      <c r="J2799" s="4" t="e">
        <f ca="1">[1]!BexGetData("DP_1","003N8EMH8GTFRCSWKMPXRSGPQ","GSON8")</f>
        <v>#NAME?</v>
      </c>
      <c r="K2799" s="8" t="e">
        <f ca="1">[1]!BexGetData("DP_1","003N8EMH8GTFRIVNUPY288VJH","GSON8")</f>
        <v>#NAME?</v>
      </c>
      <c r="L2799" s="8" t="e">
        <f ca="1">[1]!BexGetData("DP_1","003N8EMH8GTFRIVNUPY2891V1","GSON8")</f>
        <v>#NAME?</v>
      </c>
      <c r="M2799" s="8" t="e">
        <f ca="1">[1]!BexGetData("DP_1","003N8EMH8GTFRIVOG7KG9IQXA","GSON8")</f>
        <v>#NAME?</v>
      </c>
      <c r="N2799" s="8" t="e">
        <f ca="1">[1]!BexGetData("DP_1","003N8EMH8GTFRIVOG7KG9IX8U","GSON8")</f>
        <v>#NAME?</v>
      </c>
      <c r="O2799" s="8" t="e">
        <f ca="1">[1]!BexGetData("DP_1","003N8EMH8GTFRIVOG7KG9J3KE","GSON8")</f>
        <v>#NAME?</v>
      </c>
      <c r="P2799" s="8" t="e">
        <f ca="1">[1]!BexGetData("DP_1","003N8EMH8GTFRIVOG7KG9J9VY","GSON8")</f>
        <v>#NAME?</v>
      </c>
      <c r="Q2799" s="4" t="e">
        <f ca="1">[1]!BexGetData("DP_1","00O2TNJGODT0G5Z4TTKYMM5MT","GSON8")</f>
        <v>#NAME?</v>
      </c>
      <c r="R2799" s="4" t="e">
        <f ca="1">[1]!BexGetData("DP_1","00O2TNJGODT0G5Z4TTKYMMBYD","GSON8")</f>
        <v>#NAME?</v>
      </c>
      <c r="S2799" s="4" t="e">
        <f ca="1">[1]!BexGetData("DP_1","00O2TNJGODT0G5Z4TTKYMMI9X","GSON8")</f>
        <v>#NAME?</v>
      </c>
      <c r="T2799" s="4" t="e">
        <f ca="1">[1]!BexGetData("DP_1","00O2TNJGODT0G5Z4TTKYMMOLH","GSON8")</f>
        <v>#NAME?</v>
      </c>
      <c r="U2799" s="4" t="e">
        <f ca="1">[1]!BexGetData("DP_1","00O2TNJGODT0G5Z4TTKYMMUX1","GSON8")</f>
        <v>#NAME?</v>
      </c>
      <c r="V2799" s="4" t="e">
        <f ca="1">[1]!BexGetData("DP_1","00O2TNJGODT0G5Z4TTKYMN18L","GSON8")</f>
        <v>#NAME?</v>
      </c>
      <c r="W2799" s="4" t="e">
        <f ca="1">[1]!BexGetData("DP_1","00O2TNJGODT0G5Z4TTKYMN7K5","GSON8")</f>
        <v>#NAME?</v>
      </c>
    </row>
    <row r="2800" spans="1:23" x14ac:dyDescent="0.2">
      <c r="A2800" s="12" t="s">
        <v>614</v>
      </c>
      <c r="B2800" s="6" t="s">
        <v>615</v>
      </c>
      <c r="C2800" s="3" t="e">
        <f ca="1">[1]!BexGetData("DP_1","003N8EMH8GTFRCSWKMPXRR8GU","GSON81")</f>
        <v>#NAME?</v>
      </c>
      <c r="D2800" s="3" t="e">
        <f ca="1">[1]!BexGetData("DP_1","003N8EMH8GTFRCSWKMPXRRESE","GSON81")</f>
        <v>#NAME?</v>
      </c>
      <c r="E2800" s="8" t="e">
        <f ca="1">[1]!BexGetData("DP_1","003N8EMH8GTFRCSWKMPXRRL3Y","GSON81")</f>
        <v>#NAME?</v>
      </c>
      <c r="F2800" s="4" t="e">
        <f ca="1">[1]!BexGetData("DP_1","003N8EMH8GTFRCSWKMPXRRRFI","GSON81")</f>
        <v>#NAME?</v>
      </c>
      <c r="G2800" s="4" t="e">
        <f ca="1">[1]!BexGetData("DP_1","003N8EMH8GTFRCSWKMPXRRXR2","GSON81")</f>
        <v>#NAME?</v>
      </c>
      <c r="H2800" s="4" t="e">
        <f ca="1">[1]!BexGetData("DP_1","003N8EMH8GTFRCSWKMPXRS42M","GSON81")</f>
        <v>#NAME?</v>
      </c>
      <c r="I2800" s="4" t="e">
        <f ca="1">[1]!BexGetData("DP_1","003N8EMH8GTFRCSWKMPXRSAE6","GSON81")</f>
        <v>#NAME?</v>
      </c>
      <c r="J2800" s="4" t="e">
        <f ca="1">[1]!BexGetData("DP_1","003N8EMH8GTFRCSWKMPXRSGPQ","GSON81")</f>
        <v>#NAME?</v>
      </c>
      <c r="K2800" s="8" t="e">
        <f ca="1">[1]!BexGetData("DP_1","003N8EMH8GTFRIVNUPY288VJH","GSON81")</f>
        <v>#NAME?</v>
      </c>
      <c r="L2800" s="8" t="e">
        <f ca="1">[1]!BexGetData("DP_1","003N8EMH8GTFRIVNUPY2891V1","GSON81")</f>
        <v>#NAME?</v>
      </c>
      <c r="M2800" s="8" t="e">
        <f ca="1">[1]!BexGetData("DP_1","003N8EMH8GTFRIVOG7KG9IQXA","GSON81")</f>
        <v>#NAME?</v>
      </c>
      <c r="N2800" s="8" t="e">
        <f ca="1">[1]!BexGetData("DP_1","003N8EMH8GTFRIVOG7KG9IX8U","GSON81")</f>
        <v>#NAME?</v>
      </c>
      <c r="O2800" s="8" t="e">
        <f ca="1">[1]!BexGetData("DP_1","003N8EMH8GTFRIVOG7KG9J3KE","GSON81")</f>
        <v>#NAME?</v>
      </c>
      <c r="P2800" s="8" t="e">
        <f ca="1">[1]!BexGetData("DP_1","003N8EMH8GTFRIVOG7KG9J9VY","GSON81")</f>
        <v>#NAME?</v>
      </c>
      <c r="Q2800" s="4" t="e">
        <f ca="1">[1]!BexGetData("DP_1","00O2TNJGODT0G5Z4TTKYMM5MT","GSON81")</f>
        <v>#NAME?</v>
      </c>
      <c r="R2800" s="4" t="e">
        <f ca="1">[1]!BexGetData("DP_1","00O2TNJGODT0G5Z4TTKYMMBYD","GSON81")</f>
        <v>#NAME?</v>
      </c>
      <c r="S2800" s="4" t="e">
        <f ca="1">[1]!BexGetData("DP_1","00O2TNJGODT0G5Z4TTKYMMI9X","GSON81")</f>
        <v>#NAME?</v>
      </c>
      <c r="T2800" s="4" t="e">
        <f ca="1">[1]!BexGetData("DP_1","00O2TNJGODT0G5Z4TTKYMMOLH","GSON81")</f>
        <v>#NAME?</v>
      </c>
      <c r="U2800" s="4" t="e">
        <f ca="1">[1]!BexGetData("DP_1","00O2TNJGODT0G5Z4TTKYMMUX1","GSON81")</f>
        <v>#NAME?</v>
      </c>
      <c r="V2800" s="4" t="e">
        <f ca="1">[1]!BexGetData("DP_1","00O2TNJGODT0G5Z4TTKYMN18L","GSON81")</f>
        <v>#NAME?</v>
      </c>
      <c r="W2800" s="4" t="e">
        <f ca="1">[1]!BexGetData("DP_1","00O2TNJGODT0G5Z4TTKYMN7K5","GSON81")</f>
        <v>#NAME?</v>
      </c>
    </row>
    <row r="2801" spans="1:23" x14ac:dyDescent="0.2">
      <c r="A2801" s="13" t="s">
        <v>5629</v>
      </c>
      <c r="B2801" s="7" t="s">
        <v>1598</v>
      </c>
      <c r="C2801" s="3" t="e">
        <f ca="1">[1]!BexGetData("DP_1","003N8EMH8GTFRCSWKMPXRR8GU","GSON8110000000")</f>
        <v>#NAME?</v>
      </c>
      <c r="D2801" s="3" t="e">
        <f ca="1">[1]!BexGetData("DP_1","003N8EMH8GTFRCSWKMPXRRESE","GSON8110000000")</f>
        <v>#NAME?</v>
      </c>
      <c r="E2801" s="3" t="e">
        <f ca="1">[1]!BexGetData("DP_1","003N8EMH8GTFRCSWKMPXRRL3Y","GSON8110000000")</f>
        <v>#NAME?</v>
      </c>
      <c r="F2801" s="4" t="e">
        <f ca="1">[1]!BexGetData("DP_1","003N8EMH8GTFRCSWKMPXRRRFI","GSON8110000000")</f>
        <v>#NAME?</v>
      </c>
      <c r="G2801" s="4" t="e">
        <f ca="1">[1]!BexGetData("DP_1","003N8EMH8GTFRCSWKMPXRRXR2","GSON8110000000")</f>
        <v>#NAME?</v>
      </c>
      <c r="H2801" s="4" t="e">
        <f ca="1">[1]!BexGetData("DP_1","003N8EMH8GTFRCSWKMPXRS42M","GSON8110000000")</f>
        <v>#NAME?</v>
      </c>
      <c r="I2801" s="4" t="e">
        <f ca="1">[1]!BexGetData("DP_1","003N8EMH8GTFRCSWKMPXRSAE6","GSON8110000000")</f>
        <v>#NAME?</v>
      </c>
      <c r="J2801" s="4" t="e">
        <f ca="1">[1]!BexGetData("DP_1","003N8EMH8GTFRCSWKMPXRSGPQ","GSON8110000000")</f>
        <v>#NAME?</v>
      </c>
      <c r="K2801" s="3" t="e">
        <f ca="1">[1]!BexGetData("DP_1","003N8EMH8GTFRIVNUPY288VJH","GSON8110000000")</f>
        <v>#NAME?</v>
      </c>
      <c r="L2801" s="3" t="e">
        <f ca="1">[1]!BexGetData("DP_1","003N8EMH8GTFRIVNUPY2891V1","GSON8110000000")</f>
        <v>#NAME?</v>
      </c>
      <c r="M2801" s="8" t="e">
        <f ca="1">[1]!BexGetData("DP_1","003N8EMH8GTFRIVOG7KG9IQXA","GSON8110000000")</f>
        <v>#NAME?</v>
      </c>
      <c r="N2801" s="3" t="e">
        <f ca="1">[1]!BexGetData("DP_1","003N8EMH8GTFRIVOG7KG9IX8U","GSON8110000000")</f>
        <v>#NAME?</v>
      </c>
      <c r="O2801" s="8" t="e">
        <f ca="1">[1]!BexGetData("DP_1","003N8EMH8GTFRIVOG7KG9J3KE","GSON8110000000")</f>
        <v>#NAME?</v>
      </c>
      <c r="P2801" s="3" t="e">
        <f ca="1">[1]!BexGetData("DP_1","003N8EMH8GTFRIVOG7KG9J9VY","GSON8110000000")</f>
        <v>#NAME?</v>
      </c>
      <c r="Q2801" s="4" t="e">
        <f ca="1">[1]!BexGetData("DP_1","00O2TNJGODT0G5Z4TTKYMM5MT","GSON8110000000")</f>
        <v>#NAME?</v>
      </c>
      <c r="R2801" s="4" t="e">
        <f ca="1">[1]!BexGetData("DP_1","00O2TNJGODT0G5Z4TTKYMMBYD","GSON8110000000")</f>
        <v>#NAME?</v>
      </c>
      <c r="S2801" s="4" t="e">
        <f ca="1">[1]!BexGetData("DP_1","00O2TNJGODT0G5Z4TTKYMMI9X","GSON8110000000")</f>
        <v>#NAME?</v>
      </c>
      <c r="T2801" s="4" t="e">
        <f ca="1">[1]!BexGetData("DP_1","00O2TNJGODT0G5Z4TTKYMMOLH","GSON8110000000")</f>
        <v>#NAME?</v>
      </c>
      <c r="U2801" s="4" t="e">
        <f ca="1">[1]!BexGetData("DP_1","00O2TNJGODT0G5Z4TTKYMMUX1","GSON8110000000")</f>
        <v>#NAME?</v>
      </c>
      <c r="V2801" s="4" t="e">
        <f ca="1">[1]!BexGetData("DP_1","00O2TNJGODT0G5Z4TTKYMN18L","GSON8110000000")</f>
        <v>#NAME?</v>
      </c>
      <c r="W2801" s="4" t="e">
        <f ca="1">[1]!BexGetData("DP_1","00O2TNJGODT0G5Z4TTKYMN7K5","GSON8110000000")</f>
        <v>#NAME?</v>
      </c>
    </row>
    <row r="2802" spans="1:23" x14ac:dyDescent="0.2">
      <c r="A2802" s="13" t="s">
        <v>5630</v>
      </c>
      <c r="B2802" s="7" t="s">
        <v>616</v>
      </c>
      <c r="C2802" s="3" t="e">
        <f ca="1">[1]!BexGetData("DP_1","003N8EMH8GTFRCSWKMPXRR8GU","GSON8120000000")</f>
        <v>#NAME?</v>
      </c>
      <c r="D2802" s="3" t="e">
        <f ca="1">[1]!BexGetData("DP_1","003N8EMH8GTFRCSWKMPXRRESE","GSON8120000000")</f>
        <v>#NAME?</v>
      </c>
      <c r="E2802" s="3" t="e">
        <f ca="1">[1]!BexGetData("DP_1","003N8EMH8GTFRCSWKMPXRRL3Y","GSON8120000000")</f>
        <v>#NAME?</v>
      </c>
      <c r="F2802" s="4" t="e">
        <f ca="1">[1]!BexGetData("DP_1","003N8EMH8GTFRCSWKMPXRRRFI","GSON8120000000")</f>
        <v>#NAME?</v>
      </c>
      <c r="G2802" s="4" t="e">
        <f ca="1">[1]!BexGetData("DP_1","003N8EMH8GTFRCSWKMPXRRXR2","GSON8120000000")</f>
        <v>#NAME?</v>
      </c>
      <c r="H2802" s="4" t="e">
        <f ca="1">[1]!BexGetData("DP_1","003N8EMH8GTFRCSWKMPXRS42M","GSON8120000000")</f>
        <v>#NAME?</v>
      </c>
      <c r="I2802" s="4" t="e">
        <f ca="1">[1]!BexGetData("DP_1","003N8EMH8GTFRCSWKMPXRSAE6","GSON8120000000")</f>
        <v>#NAME?</v>
      </c>
      <c r="J2802" s="4" t="e">
        <f ca="1">[1]!BexGetData("DP_1","003N8EMH8GTFRCSWKMPXRSGPQ","GSON8120000000")</f>
        <v>#NAME?</v>
      </c>
      <c r="K2802" s="3" t="e">
        <f ca="1">[1]!BexGetData("DP_1","003N8EMH8GTFRIVNUPY288VJH","GSON8120000000")</f>
        <v>#NAME?</v>
      </c>
      <c r="L2802" s="3" t="e">
        <f ca="1">[1]!BexGetData("DP_1","003N8EMH8GTFRIVNUPY2891V1","GSON8120000000")</f>
        <v>#NAME?</v>
      </c>
      <c r="M2802" s="8" t="e">
        <f ca="1">[1]!BexGetData("DP_1","003N8EMH8GTFRIVOG7KG9IQXA","GSON8120000000")</f>
        <v>#NAME?</v>
      </c>
      <c r="N2802" s="3" t="e">
        <f ca="1">[1]!BexGetData("DP_1","003N8EMH8GTFRIVOG7KG9IX8U","GSON8120000000")</f>
        <v>#NAME?</v>
      </c>
      <c r="O2802" s="8" t="e">
        <f ca="1">[1]!BexGetData("DP_1","003N8EMH8GTFRIVOG7KG9J3KE","GSON8120000000")</f>
        <v>#NAME?</v>
      </c>
      <c r="P2802" s="3" t="e">
        <f ca="1">[1]!BexGetData("DP_1","003N8EMH8GTFRIVOG7KG9J9VY","GSON8120000000")</f>
        <v>#NAME?</v>
      </c>
      <c r="Q2802" s="4" t="e">
        <f ca="1">[1]!BexGetData("DP_1","00O2TNJGODT0G5Z4TTKYMM5MT","GSON8120000000")</f>
        <v>#NAME?</v>
      </c>
      <c r="R2802" s="4" t="e">
        <f ca="1">[1]!BexGetData("DP_1","00O2TNJGODT0G5Z4TTKYMMBYD","GSON8120000000")</f>
        <v>#NAME?</v>
      </c>
      <c r="S2802" s="4" t="e">
        <f ca="1">[1]!BexGetData("DP_1","00O2TNJGODT0G5Z4TTKYMMI9X","GSON8120000000")</f>
        <v>#NAME?</v>
      </c>
      <c r="T2802" s="4" t="e">
        <f ca="1">[1]!BexGetData("DP_1","00O2TNJGODT0G5Z4TTKYMMOLH","GSON8120000000")</f>
        <v>#NAME?</v>
      </c>
      <c r="U2802" s="4" t="e">
        <f ca="1">[1]!BexGetData("DP_1","00O2TNJGODT0G5Z4TTKYMMUX1","GSON8120000000")</f>
        <v>#NAME?</v>
      </c>
      <c r="V2802" s="4" t="e">
        <f ca="1">[1]!BexGetData("DP_1","00O2TNJGODT0G5Z4TTKYMN18L","GSON8120000000")</f>
        <v>#NAME?</v>
      </c>
      <c r="W2802" s="4" t="e">
        <f ca="1">[1]!BexGetData("DP_1","00O2TNJGODT0G5Z4TTKYMN7K5","GSON8120000000")</f>
        <v>#NAME?</v>
      </c>
    </row>
    <row r="2803" spans="1:23" x14ac:dyDescent="0.2">
      <c r="A2803" s="13" t="s">
        <v>5631</v>
      </c>
      <c r="B2803" s="7" t="s">
        <v>729</v>
      </c>
      <c r="C2803" s="8" t="e">
        <f ca="1">[1]!BexGetData("DP_1","003N8EMH8GTFRCSWKMPXRR8GU","GSON8130000000")</f>
        <v>#NAME?</v>
      </c>
      <c r="D2803" s="3" t="e">
        <f ca="1">[1]!BexGetData("DP_1","003N8EMH8GTFRCSWKMPXRRESE","GSON8130000000")</f>
        <v>#NAME?</v>
      </c>
      <c r="E2803" s="3" t="e">
        <f ca="1">[1]!BexGetData("DP_1","003N8EMH8GTFRCSWKMPXRRL3Y","GSON8130000000")</f>
        <v>#NAME?</v>
      </c>
      <c r="F2803" s="4" t="e">
        <f ca="1">[1]!BexGetData("DP_1","003N8EMH8GTFRCSWKMPXRRRFI","GSON8130000000")</f>
        <v>#NAME?</v>
      </c>
      <c r="G2803" s="4" t="e">
        <f ca="1">[1]!BexGetData("DP_1","003N8EMH8GTFRCSWKMPXRRXR2","GSON8130000000")</f>
        <v>#NAME?</v>
      </c>
      <c r="H2803" s="4" t="e">
        <f ca="1">[1]!BexGetData("DP_1","003N8EMH8GTFRCSWKMPXRS42M","GSON8130000000")</f>
        <v>#NAME?</v>
      </c>
      <c r="I2803" s="4" t="e">
        <f ca="1">[1]!BexGetData("DP_1","003N8EMH8GTFRCSWKMPXRSAE6","GSON8130000000")</f>
        <v>#NAME?</v>
      </c>
      <c r="J2803" s="4" t="e">
        <f ca="1">[1]!BexGetData("DP_1","003N8EMH8GTFRCSWKMPXRSGPQ","GSON8130000000")</f>
        <v>#NAME?</v>
      </c>
      <c r="K2803" s="3" t="e">
        <f ca="1">[1]!BexGetData("DP_1","003N8EMH8GTFRIVNUPY288VJH","GSON8130000000")</f>
        <v>#NAME?</v>
      </c>
      <c r="L2803" s="3" t="e">
        <f ca="1">[1]!BexGetData("DP_1","003N8EMH8GTFRIVNUPY2891V1","GSON8130000000")</f>
        <v>#NAME?</v>
      </c>
      <c r="M2803" s="3" t="e">
        <f ca="1">[1]!BexGetData("DP_1","003N8EMH8GTFRIVOG7KG9IQXA","GSON8130000000")</f>
        <v>#NAME?</v>
      </c>
      <c r="N2803" s="8" t="e">
        <f ca="1">[1]!BexGetData("DP_1","003N8EMH8GTFRIVOG7KG9IX8U","GSON8130000000")</f>
        <v>#NAME?</v>
      </c>
      <c r="O2803" s="3" t="e">
        <f ca="1">[1]!BexGetData("DP_1","003N8EMH8GTFRIVOG7KG9J3KE","GSON8130000000")</f>
        <v>#NAME?</v>
      </c>
      <c r="P2803" s="8" t="e">
        <f ca="1">[1]!BexGetData("DP_1","003N8EMH8GTFRIVOG7KG9J9VY","GSON8130000000")</f>
        <v>#NAME?</v>
      </c>
      <c r="Q2803" s="4" t="e">
        <f ca="1">[1]!BexGetData("DP_1","00O2TNJGODT0G5Z4TTKYMM5MT","GSON8130000000")</f>
        <v>#NAME?</v>
      </c>
      <c r="R2803" s="4" t="e">
        <f ca="1">[1]!BexGetData("DP_1","00O2TNJGODT0G5Z4TTKYMMBYD","GSON8130000000")</f>
        <v>#NAME?</v>
      </c>
      <c r="S2803" s="4" t="e">
        <f ca="1">[1]!BexGetData("DP_1","00O2TNJGODT0G5Z4TTKYMMI9X","GSON8130000000")</f>
        <v>#NAME?</v>
      </c>
      <c r="T2803" s="4" t="e">
        <f ca="1">[1]!BexGetData("DP_1","00O2TNJGODT0G5Z4TTKYMMOLH","GSON8130000000")</f>
        <v>#NAME?</v>
      </c>
      <c r="U2803" s="4" t="e">
        <f ca="1">[1]!BexGetData("DP_1","00O2TNJGODT0G5Z4TTKYMMUX1","GSON8130000000")</f>
        <v>#NAME?</v>
      </c>
      <c r="V2803" s="4" t="e">
        <f ca="1">[1]!BexGetData("DP_1","00O2TNJGODT0G5Z4TTKYMN18L","GSON8130000000")</f>
        <v>#NAME?</v>
      </c>
      <c r="W2803" s="4" t="e">
        <f ca="1">[1]!BexGetData("DP_1","00O2TNJGODT0G5Z4TTKYMN7K5","GSON8130000000")</f>
        <v>#NAME?</v>
      </c>
    </row>
    <row r="2804" spans="1:23" x14ac:dyDescent="0.2">
      <c r="A2804" s="13" t="s">
        <v>5632</v>
      </c>
      <c r="B2804" s="7" t="s">
        <v>617</v>
      </c>
      <c r="C2804" s="3" t="e">
        <f ca="1">[1]!BexGetData("DP_1","003N8EMH8GTFRCSWKMPXRR8GU","GSON8140000000")</f>
        <v>#NAME?</v>
      </c>
      <c r="D2804" s="3" t="e">
        <f ca="1">[1]!BexGetData("DP_1","003N8EMH8GTFRCSWKMPXRRESE","GSON8140000000")</f>
        <v>#NAME?</v>
      </c>
      <c r="E2804" s="3" t="e">
        <f ca="1">[1]!BexGetData("DP_1","003N8EMH8GTFRCSWKMPXRRL3Y","GSON8140000000")</f>
        <v>#NAME?</v>
      </c>
      <c r="F2804" s="4" t="e">
        <f ca="1">[1]!BexGetData("DP_1","003N8EMH8GTFRCSWKMPXRRRFI","GSON8140000000")</f>
        <v>#NAME?</v>
      </c>
      <c r="G2804" s="4" t="e">
        <f ca="1">[1]!BexGetData("DP_1","003N8EMH8GTFRCSWKMPXRRXR2","GSON8140000000")</f>
        <v>#NAME?</v>
      </c>
      <c r="H2804" s="4" t="e">
        <f ca="1">[1]!BexGetData("DP_1","003N8EMH8GTFRCSWKMPXRS42M","GSON8140000000")</f>
        <v>#NAME?</v>
      </c>
      <c r="I2804" s="4" t="e">
        <f ca="1">[1]!BexGetData("DP_1","003N8EMH8GTFRCSWKMPXRSAE6","GSON8140000000")</f>
        <v>#NAME?</v>
      </c>
      <c r="J2804" s="4" t="e">
        <f ca="1">[1]!BexGetData("DP_1","003N8EMH8GTFRCSWKMPXRSGPQ","GSON8140000000")</f>
        <v>#NAME?</v>
      </c>
      <c r="K2804" s="3" t="e">
        <f ca="1">[1]!BexGetData("DP_1","003N8EMH8GTFRIVNUPY288VJH","GSON8140000000")</f>
        <v>#NAME?</v>
      </c>
      <c r="L2804" s="3" t="e">
        <f ca="1">[1]!BexGetData("DP_1","003N8EMH8GTFRIVNUPY2891V1","GSON8140000000")</f>
        <v>#NAME?</v>
      </c>
      <c r="M2804" s="8" t="e">
        <f ca="1">[1]!BexGetData("DP_1","003N8EMH8GTFRIVOG7KG9IQXA","GSON8140000000")</f>
        <v>#NAME?</v>
      </c>
      <c r="N2804" s="3" t="e">
        <f ca="1">[1]!BexGetData("DP_1","003N8EMH8GTFRIVOG7KG9IX8U","GSON8140000000")</f>
        <v>#NAME?</v>
      </c>
      <c r="O2804" s="8" t="e">
        <f ca="1">[1]!BexGetData("DP_1","003N8EMH8GTFRIVOG7KG9J3KE","GSON8140000000")</f>
        <v>#NAME?</v>
      </c>
      <c r="P2804" s="3" t="e">
        <f ca="1">[1]!BexGetData("DP_1","003N8EMH8GTFRIVOG7KG9J9VY","GSON8140000000")</f>
        <v>#NAME?</v>
      </c>
      <c r="Q2804" s="4" t="e">
        <f ca="1">[1]!BexGetData("DP_1","00O2TNJGODT0G5Z4TTKYMM5MT","GSON8140000000")</f>
        <v>#NAME?</v>
      </c>
      <c r="R2804" s="4" t="e">
        <f ca="1">[1]!BexGetData("DP_1","00O2TNJGODT0G5Z4TTKYMMBYD","GSON8140000000")</f>
        <v>#NAME?</v>
      </c>
      <c r="S2804" s="4" t="e">
        <f ca="1">[1]!BexGetData("DP_1","00O2TNJGODT0G5Z4TTKYMMI9X","GSON8140000000")</f>
        <v>#NAME?</v>
      </c>
      <c r="T2804" s="4" t="e">
        <f ca="1">[1]!BexGetData("DP_1","00O2TNJGODT0G5Z4TTKYMMOLH","GSON8140000000")</f>
        <v>#NAME?</v>
      </c>
      <c r="U2804" s="4" t="e">
        <f ca="1">[1]!BexGetData("DP_1","00O2TNJGODT0G5Z4TTKYMMUX1","GSON8140000000")</f>
        <v>#NAME?</v>
      </c>
      <c r="V2804" s="4" t="e">
        <f ca="1">[1]!BexGetData("DP_1","00O2TNJGODT0G5Z4TTKYMN18L","GSON8140000000")</f>
        <v>#NAME?</v>
      </c>
      <c r="W2804" s="4" t="e">
        <f ca="1">[1]!BexGetData("DP_1","00O2TNJGODT0G5Z4TTKYMN7K5","GSON8140000000")</f>
        <v>#NAME?</v>
      </c>
    </row>
    <row r="2805" spans="1:23" x14ac:dyDescent="0.2">
      <c r="A2805" s="13" t="s">
        <v>5633</v>
      </c>
      <c r="B2805" s="7" t="s">
        <v>618</v>
      </c>
      <c r="C2805" s="3" t="e">
        <f ca="1">[1]!BexGetData("DP_1","003N8EMH8GTFRCSWKMPXRR8GU","GSON8140000001")</f>
        <v>#NAME?</v>
      </c>
      <c r="D2805" s="3" t="e">
        <f ca="1">[1]!BexGetData("DP_1","003N8EMH8GTFRCSWKMPXRRESE","GSON8140000001")</f>
        <v>#NAME?</v>
      </c>
      <c r="E2805" s="3" t="e">
        <f ca="1">[1]!BexGetData("DP_1","003N8EMH8GTFRCSWKMPXRRL3Y","GSON8140000001")</f>
        <v>#NAME?</v>
      </c>
      <c r="F2805" s="4" t="e">
        <f ca="1">[1]!BexGetData("DP_1","003N8EMH8GTFRCSWKMPXRRRFI","GSON8140000001")</f>
        <v>#NAME?</v>
      </c>
      <c r="G2805" s="4" t="e">
        <f ca="1">[1]!BexGetData("DP_1","003N8EMH8GTFRCSWKMPXRRXR2","GSON8140000001")</f>
        <v>#NAME?</v>
      </c>
      <c r="H2805" s="4" t="e">
        <f ca="1">[1]!BexGetData("DP_1","003N8EMH8GTFRCSWKMPXRS42M","GSON8140000001")</f>
        <v>#NAME?</v>
      </c>
      <c r="I2805" s="4" t="e">
        <f ca="1">[1]!BexGetData("DP_1","003N8EMH8GTFRCSWKMPXRSAE6","GSON8140000001")</f>
        <v>#NAME?</v>
      </c>
      <c r="J2805" s="4" t="e">
        <f ca="1">[1]!BexGetData("DP_1","003N8EMH8GTFRCSWKMPXRSGPQ","GSON8140000001")</f>
        <v>#NAME?</v>
      </c>
      <c r="K2805" s="3" t="e">
        <f ca="1">[1]!BexGetData("DP_1","003N8EMH8GTFRIVNUPY288VJH","GSON8140000001")</f>
        <v>#NAME?</v>
      </c>
      <c r="L2805" s="3" t="e">
        <f ca="1">[1]!BexGetData("DP_1","003N8EMH8GTFRIVNUPY2891V1","GSON8140000001")</f>
        <v>#NAME?</v>
      </c>
      <c r="M2805" s="3" t="e">
        <f ca="1">[1]!BexGetData("DP_1","003N8EMH8GTFRIVOG7KG9IQXA","GSON8140000001")</f>
        <v>#NAME?</v>
      </c>
      <c r="N2805" s="8" t="e">
        <f ca="1">[1]!BexGetData("DP_1","003N8EMH8GTFRIVOG7KG9IX8U","GSON8140000001")</f>
        <v>#NAME?</v>
      </c>
      <c r="O2805" s="3" t="e">
        <f ca="1">[1]!BexGetData("DP_1","003N8EMH8GTFRIVOG7KG9J3KE","GSON8140000001")</f>
        <v>#NAME?</v>
      </c>
      <c r="P2805" s="8" t="e">
        <f ca="1">[1]!BexGetData("DP_1","003N8EMH8GTFRIVOG7KG9J9VY","GSON8140000001")</f>
        <v>#NAME?</v>
      </c>
      <c r="Q2805" s="4" t="e">
        <f ca="1">[1]!BexGetData("DP_1","00O2TNJGODT0G5Z4TTKYMM5MT","GSON8140000001")</f>
        <v>#NAME?</v>
      </c>
      <c r="R2805" s="4" t="e">
        <f ca="1">[1]!BexGetData("DP_1","00O2TNJGODT0G5Z4TTKYMMBYD","GSON8140000001")</f>
        <v>#NAME?</v>
      </c>
      <c r="S2805" s="4" t="e">
        <f ca="1">[1]!BexGetData("DP_1","00O2TNJGODT0G5Z4TTKYMMI9X","GSON8140000001")</f>
        <v>#NAME?</v>
      </c>
      <c r="T2805" s="4" t="e">
        <f ca="1">[1]!BexGetData("DP_1","00O2TNJGODT0G5Z4TTKYMMOLH","GSON8140000001")</f>
        <v>#NAME?</v>
      </c>
      <c r="U2805" s="4" t="e">
        <f ca="1">[1]!BexGetData("DP_1","00O2TNJGODT0G5Z4TTKYMMUX1","GSON8140000001")</f>
        <v>#NAME?</v>
      </c>
      <c r="V2805" s="4" t="e">
        <f ca="1">[1]!BexGetData("DP_1","00O2TNJGODT0G5Z4TTKYMN18L","GSON8140000001")</f>
        <v>#NAME?</v>
      </c>
      <c r="W2805" s="4" t="e">
        <f ca="1">[1]!BexGetData("DP_1","00O2TNJGODT0G5Z4TTKYMN7K5","GSON8140000001")</f>
        <v>#NAME?</v>
      </c>
    </row>
    <row r="2806" spans="1:23" x14ac:dyDescent="0.2">
      <c r="A2806" s="13" t="s">
        <v>5634</v>
      </c>
      <c r="B2806" s="7" t="s">
        <v>619</v>
      </c>
      <c r="C2806" s="3" t="e">
        <f ca="1">[1]!BexGetData("DP_1","003N8EMH8GTFRCSWKMPXRR8GU","GSON8150000000")</f>
        <v>#NAME?</v>
      </c>
      <c r="D2806" s="3" t="e">
        <f ca="1">[1]!BexGetData("DP_1","003N8EMH8GTFRCSWKMPXRRESE","GSON8150000000")</f>
        <v>#NAME?</v>
      </c>
      <c r="E2806" s="3" t="e">
        <f ca="1">[1]!BexGetData("DP_1","003N8EMH8GTFRCSWKMPXRRL3Y","GSON8150000000")</f>
        <v>#NAME?</v>
      </c>
      <c r="F2806" s="4" t="e">
        <f ca="1">[1]!BexGetData("DP_1","003N8EMH8GTFRCSWKMPXRRRFI","GSON8150000000")</f>
        <v>#NAME?</v>
      </c>
      <c r="G2806" s="4" t="e">
        <f ca="1">[1]!BexGetData("DP_1","003N8EMH8GTFRCSWKMPXRRXR2","GSON8150000000")</f>
        <v>#NAME?</v>
      </c>
      <c r="H2806" s="4" t="e">
        <f ca="1">[1]!BexGetData("DP_1","003N8EMH8GTFRCSWKMPXRS42M","GSON8150000000")</f>
        <v>#NAME?</v>
      </c>
      <c r="I2806" s="4" t="e">
        <f ca="1">[1]!BexGetData("DP_1","003N8EMH8GTFRCSWKMPXRSAE6","GSON8150000000")</f>
        <v>#NAME?</v>
      </c>
      <c r="J2806" s="4" t="e">
        <f ca="1">[1]!BexGetData("DP_1","003N8EMH8GTFRCSWKMPXRSGPQ","GSON8150000000")</f>
        <v>#NAME?</v>
      </c>
      <c r="K2806" s="3" t="e">
        <f ca="1">[1]!BexGetData("DP_1","003N8EMH8GTFRIVNUPY288VJH","GSON8150000000")</f>
        <v>#NAME?</v>
      </c>
      <c r="L2806" s="3" t="e">
        <f ca="1">[1]!BexGetData("DP_1","003N8EMH8GTFRIVNUPY2891V1","GSON8150000000")</f>
        <v>#NAME?</v>
      </c>
      <c r="M2806" s="3" t="e">
        <f ca="1">[1]!BexGetData("DP_1","003N8EMH8GTFRIVOG7KG9IQXA","GSON8150000000")</f>
        <v>#NAME?</v>
      </c>
      <c r="N2806" s="8" t="e">
        <f ca="1">[1]!BexGetData("DP_1","003N8EMH8GTFRIVOG7KG9IX8U","GSON8150000000")</f>
        <v>#NAME?</v>
      </c>
      <c r="O2806" s="3" t="e">
        <f ca="1">[1]!BexGetData("DP_1","003N8EMH8GTFRIVOG7KG9J3KE","GSON8150000000")</f>
        <v>#NAME?</v>
      </c>
      <c r="P2806" s="8" t="e">
        <f ca="1">[1]!BexGetData("DP_1","003N8EMH8GTFRIVOG7KG9J9VY","GSON8150000000")</f>
        <v>#NAME?</v>
      </c>
      <c r="Q2806" s="4" t="e">
        <f ca="1">[1]!BexGetData("DP_1","00O2TNJGODT0G5Z4TTKYMM5MT","GSON8150000000")</f>
        <v>#NAME?</v>
      </c>
      <c r="R2806" s="4" t="e">
        <f ca="1">[1]!BexGetData("DP_1","00O2TNJGODT0G5Z4TTKYMMBYD","GSON8150000000")</f>
        <v>#NAME?</v>
      </c>
      <c r="S2806" s="4" t="e">
        <f ca="1">[1]!BexGetData("DP_1","00O2TNJGODT0G5Z4TTKYMMI9X","GSON8150000000")</f>
        <v>#NAME?</v>
      </c>
      <c r="T2806" s="4" t="e">
        <f ca="1">[1]!BexGetData("DP_1","00O2TNJGODT0G5Z4TTKYMMOLH","GSON8150000000")</f>
        <v>#NAME?</v>
      </c>
      <c r="U2806" s="4" t="e">
        <f ca="1">[1]!BexGetData("DP_1","00O2TNJGODT0G5Z4TTKYMMUX1","GSON8150000000")</f>
        <v>#NAME?</v>
      </c>
      <c r="V2806" s="4" t="e">
        <f ca="1">[1]!BexGetData("DP_1","00O2TNJGODT0G5Z4TTKYMN18L","GSON8150000000")</f>
        <v>#NAME?</v>
      </c>
      <c r="W2806" s="4" t="e">
        <f ca="1">[1]!BexGetData("DP_1","00O2TNJGODT0G5Z4TTKYMN7K5","GSON8150000000")</f>
        <v>#NAME?</v>
      </c>
    </row>
    <row r="2807" spans="1:23" x14ac:dyDescent="0.2">
      <c r="A2807" s="12" t="s">
        <v>125</v>
      </c>
      <c r="B2807" s="6" t="s">
        <v>126</v>
      </c>
      <c r="C2807" s="3" t="e">
        <f ca="1">[1]!BexGetData("DP_1","003N8EMH8GTFRCSWKMPXRR8GU","GSON82")</f>
        <v>#NAME?</v>
      </c>
      <c r="D2807" s="3" t="e">
        <f ca="1">[1]!BexGetData("DP_1","003N8EMH8GTFRCSWKMPXRRESE","GSON82")</f>
        <v>#NAME?</v>
      </c>
      <c r="E2807" s="8" t="e">
        <f ca="1">[1]!BexGetData("DP_1","003N8EMH8GTFRCSWKMPXRRL3Y","GSON82")</f>
        <v>#NAME?</v>
      </c>
      <c r="F2807" s="4" t="e">
        <f ca="1">[1]!BexGetData("DP_1","003N8EMH8GTFRCSWKMPXRRRFI","GSON82")</f>
        <v>#NAME?</v>
      </c>
      <c r="G2807" s="4" t="e">
        <f ca="1">[1]!BexGetData("DP_1","003N8EMH8GTFRCSWKMPXRRXR2","GSON82")</f>
        <v>#NAME?</v>
      </c>
      <c r="H2807" s="4" t="e">
        <f ca="1">[1]!BexGetData("DP_1","003N8EMH8GTFRCSWKMPXRS42M","GSON82")</f>
        <v>#NAME?</v>
      </c>
      <c r="I2807" s="4" t="e">
        <f ca="1">[1]!BexGetData("DP_1","003N8EMH8GTFRCSWKMPXRSAE6","GSON82")</f>
        <v>#NAME?</v>
      </c>
      <c r="J2807" s="4" t="e">
        <f ca="1">[1]!BexGetData("DP_1","003N8EMH8GTFRCSWKMPXRSGPQ","GSON82")</f>
        <v>#NAME?</v>
      </c>
      <c r="K2807" s="8" t="e">
        <f ca="1">[1]!BexGetData("DP_1","003N8EMH8GTFRIVNUPY288VJH","GSON82")</f>
        <v>#NAME?</v>
      </c>
      <c r="L2807" s="8" t="e">
        <f ca="1">[1]!BexGetData("DP_1","003N8EMH8GTFRIVNUPY2891V1","GSON82")</f>
        <v>#NAME?</v>
      </c>
      <c r="M2807" s="8" t="e">
        <f ca="1">[1]!BexGetData("DP_1","003N8EMH8GTFRIVOG7KG9IQXA","GSON82")</f>
        <v>#NAME?</v>
      </c>
      <c r="N2807" s="8" t="e">
        <f ca="1">[1]!BexGetData("DP_1","003N8EMH8GTFRIVOG7KG9IX8U","GSON82")</f>
        <v>#NAME?</v>
      </c>
      <c r="O2807" s="8" t="e">
        <f ca="1">[1]!BexGetData("DP_1","003N8EMH8GTFRIVOG7KG9J3KE","GSON82")</f>
        <v>#NAME?</v>
      </c>
      <c r="P2807" s="8" t="e">
        <f ca="1">[1]!BexGetData("DP_1","003N8EMH8GTFRIVOG7KG9J9VY","GSON82")</f>
        <v>#NAME?</v>
      </c>
      <c r="Q2807" s="4" t="e">
        <f ca="1">[1]!BexGetData("DP_1","00O2TNJGODT0G5Z4TTKYMM5MT","GSON82")</f>
        <v>#NAME?</v>
      </c>
      <c r="R2807" s="4" t="e">
        <f ca="1">[1]!BexGetData("DP_1","00O2TNJGODT0G5Z4TTKYMMBYD","GSON82")</f>
        <v>#NAME?</v>
      </c>
      <c r="S2807" s="4" t="e">
        <f ca="1">[1]!BexGetData("DP_1","00O2TNJGODT0G5Z4TTKYMMI9X","GSON82")</f>
        <v>#NAME?</v>
      </c>
      <c r="T2807" s="4" t="e">
        <f ca="1">[1]!BexGetData("DP_1","00O2TNJGODT0G5Z4TTKYMMOLH","GSON82")</f>
        <v>#NAME?</v>
      </c>
      <c r="U2807" s="4" t="e">
        <f ca="1">[1]!BexGetData("DP_1","00O2TNJGODT0G5Z4TTKYMMUX1","GSON82")</f>
        <v>#NAME?</v>
      </c>
      <c r="V2807" s="4" t="e">
        <f ca="1">[1]!BexGetData("DP_1","00O2TNJGODT0G5Z4TTKYMN18L","GSON82")</f>
        <v>#NAME?</v>
      </c>
      <c r="W2807" s="4" t="e">
        <f ca="1">[1]!BexGetData("DP_1","00O2TNJGODT0G5Z4TTKYMN7K5","GSON82")</f>
        <v>#NAME?</v>
      </c>
    </row>
    <row r="2808" spans="1:23" x14ac:dyDescent="0.2">
      <c r="A2808" s="13" t="s">
        <v>5635</v>
      </c>
      <c r="B2808" s="7" t="s">
        <v>127</v>
      </c>
      <c r="C2808" s="3" t="e">
        <f ca="1">[1]!BexGetData("DP_1","003N8EMH8GTFRCSWKMPXRR8GU","GSON8210000000")</f>
        <v>#NAME?</v>
      </c>
      <c r="D2808" s="3" t="e">
        <f ca="1">[1]!BexGetData("DP_1","003N8EMH8GTFRCSWKMPXRRESE","GSON8210000000")</f>
        <v>#NAME?</v>
      </c>
      <c r="E2808" s="3" t="e">
        <f ca="1">[1]!BexGetData("DP_1","003N8EMH8GTFRCSWKMPXRRL3Y","GSON8210000000")</f>
        <v>#NAME?</v>
      </c>
      <c r="F2808" s="4" t="e">
        <f ca="1">[1]!BexGetData("DP_1","003N8EMH8GTFRCSWKMPXRRRFI","GSON8210000000")</f>
        <v>#NAME?</v>
      </c>
      <c r="G2808" s="4" t="e">
        <f ca="1">[1]!BexGetData("DP_1","003N8EMH8GTFRCSWKMPXRRXR2","GSON8210000000")</f>
        <v>#NAME?</v>
      </c>
      <c r="H2808" s="4" t="e">
        <f ca="1">[1]!BexGetData("DP_1","003N8EMH8GTFRCSWKMPXRS42M","GSON8210000000")</f>
        <v>#NAME?</v>
      </c>
      <c r="I2808" s="4" t="e">
        <f ca="1">[1]!BexGetData("DP_1","003N8EMH8GTFRCSWKMPXRSAE6","GSON8210000000")</f>
        <v>#NAME?</v>
      </c>
      <c r="J2808" s="4" t="e">
        <f ca="1">[1]!BexGetData("DP_1","003N8EMH8GTFRCSWKMPXRSGPQ","GSON8210000000")</f>
        <v>#NAME?</v>
      </c>
      <c r="K2808" s="3" t="e">
        <f ca="1">[1]!BexGetData("DP_1","003N8EMH8GTFRIVNUPY288VJH","GSON8210000000")</f>
        <v>#NAME?</v>
      </c>
      <c r="L2808" s="3" t="e">
        <f ca="1">[1]!BexGetData("DP_1","003N8EMH8GTFRIVNUPY2891V1","GSON8210000000")</f>
        <v>#NAME?</v>
      </c>
      <c r="M2808" s="3" t="e">
        <f ca="1">[1]!BexGetData("DP_1","003N8EMH8GTFRIVOG7KG9IQXA","GSON8210000000")</f>
        <v>#NAME?</v>
      </c>
      <c r="N2808" s="8" t="e">
        <f ca="1">[1]!BexGetData("DP_1","003N8EMH8GTFRIVOG7KG9IX8U","GSON8210000000")</f>
        <v>#NAME?</v>
      </c>
      <c r="O2808" s="3" t="e">
        <f ca="1">[1]!BexGetData("DP_1","003N8EMH8GTFRIVOG7KG9J3KE","GSON8210000000")</f>
        <v>#NAME?</v>
      </c>
      <c r="P2808" s="8" t="e">
        <f ca="1">[1]!BexGetData("DP_1","003N8EMH8GTFRIVOG7KG9J9VY","GSON8210000000")</f>
        <v>#NAME?</v>
      </c>
      <c r="Q2808" s="4" t="e">
        <f ca="1">[1]!BexGetData("DP_1","00O2TNJGODT0G5Z4TTKYMM5MT","GSON8210000000")</f>
        <v>#NAME?</v>
      </c>
      <c r="R2808" s="4" t="e">
        <f ca="1">[1]!BexGetData("DP_1","00O2TNJGODT0G5Z4TTKYMMBYD","GSON8210000000")</f>
        <v>#NAME?</v>
      </c>
      <c r="S2808" s="4" t="e">
        <f ca="1">[1]!BexGetData("DP_1","00O2TNJGODT0G5Z4TTKYMMI9X","GSON8210000000")</f>
        <v>#NAME?</v>
      </c>
      <c r="T2808" s="4" t="e">
        <f ca="1">[1]!BexGetData("DP_1","00O2TNJGODT0G5Z4TTKYMMOLH","GSON8210000000")</f>
        <v>#NAME?</v>
      </c>
      <c r="U2808" s="4" t="e">
        <f ca="1">[1]!BexGetData("DP_1","00O2TNJGODT0G5Z4TTKYMMUX1","GSON8210000000")</f>
        <v>#NAME?</v>
      </c>
      <c r="V2808" s="4" t="e">
        <f ca="1">[1]!BexGetData("DP_1","00O2TNJGODT0G5Z4TTKYMN18L","GSON8210000000")</f>
        <v>#NAME?</v>
      </c>
      <c r="W2808" s="4" t="e">
        <f ca="1">[1]!BexGetData("DP_1","00O2TNJGODT0G5Z4TTKYMN7K5","GSON8210000000")</f>
        <v>#NAME?</v>
      </c>
    </row>
    <row r="2809" spans="1:23" x14ac:dyDescent="0.2">
      <c r="A2809" s="13" t="s">
        <v>5636</v>
      </c>
      <c r="B2809" s="7" t="s">
        <v>128</v>
      </c>
      <c r="C2809" s="3" t="e">
        <f ca="1">[1]!BexGetData("DP_1","003N8EMH8GTFRCSWKMPXRR8GU","GSON8220000000")</f>
        <v>#NAME?</v>
      </c>
      <c r="D2809" s="3" t="e">
        <f ca="1">[1]!BexGetData("DP_1","003N8EMH8GTFRCSWKMPXRRESE","GSON8220000000")</f>
        <v>#NAME?</v>
      </c>
      <c r="E2809" s="3" t="e">
        <f ca="1">[1]!BexGetData("DP_1","003N8EMH8GTFRCSWKMPXRRL3Y","GSON8220000000")</f>
        <v>#NAME?</v>
      </c>
      <c r="F2809" s="4" t="e">
        <f ca="1">[1]!BexGetData("DP_1","003N8EMH8GTFRCSWKMPXRRRFI","GSON8220000000")</f>
        <v>#NAME?</v>
      </c>
      <c r="G2809" s="4" t="e">
        <f ca="1">[1]!BexGetData("DP_1","003N8EMH8GTFRCSWKMPXRRXR2","GSON8220000000")</f>
        <v>#NAME?</v>
      </c>
      <c r="H2809" s="4" t="e">
        <f ca="1">[1]!BexGetData("DP_1","003N8EMH8GTFRCSWKMPXRS42M","GSON8220000000")</f>
        <v>#NAME?</v>
      </c>
      <c r="I2809" s="4" t="e">
        <f ca="1">[1]!BexGetData("DP_1","003N8EMH8GTFRCSWKMPXRSAE6","GSON8220000000")</f>
        <v>#NAME?</v>
      </c>
      <c r="J2809" s="4" t="e">
        <f ca="1">[1]!BexGetData("DP_1","003N8EMH8GTFRCSWKMPXRSGPQ","GSON8220000000")</f>
        <v>#NAME?</v>
      </c>
      <c r="K2809" s="3" t="e">
        <f ca="1">[1]!BexGetData("DP_1","003N8EMH8GTFRIVNUPY288VJH","GSON8220000000")</f>
        <v>#NAME?</v>
      </c>
      <c r="L2809" s="3" t="e">
        <f ca="1">[1]!BexGetData("DP_1","003N8EMH8GTFRIVNUPY2891V1","GSON8220000000")</f>
        <v>#NAME?</v>
      </c>
      <c r="M2809" s="8" t="e">
        <f ca="1">[1]!BexGetData("DP_1","003N8EMH8GTFRIVOG7KG9IQXA","GSON8220000000")</f>
        <v>#NAME?</v>
      </c>
      <c r="N2809" s="3" t="e">
        <f ca="1">[1]!BexGetData("DP_1","003N8EMH8GTFRIVOG7KG9IX8U","GSON8220000000")</f>
        <v>#NAME?</v>
      </c>
      <c r="O2809" s="8" t="e">
        <f ca="1">[1]!BexGetData("DP_1","003N8EMH8GTFRIVOG7KG9J3KE","GSON8220000000")</f>
        <v>#NAME?</v>
      </c>
      <c r="P2809" s="3" t="e">
        <f ca="1">[1]!BexGetData("DP_1","003N8EMH8GTFRIVOG7KG9J9VY","GSON8220000000")</f>
        <v>#NAME?</v>
      </c>
      <c r="Q2809" s="4" t="e">
        <f ca="1">[1]!BexGetData("DP_1","00O2TNJGODT0G5Z4TTKYMM5MT","GSON8220000000")</f>
        <v>#NAME?</v>
      </c>
      <c r="R2809" s="4" t="e">
        <f ca="1">[1]!BexGetData("DP_1","00O2TNJGODT0G5Z4TTKYMMBYD","GSON8220000000")</f>
        <v>#NAME?</v>
      </c>
      <c r="S2809" s="4" t="e">
        <f ca="1">[1]!BexGetData("DP_1","00O2TNJGODT0G5Z4TTKYMMI9X","GSON8220000000")</f>
        <v>#NAME?</v>
      </c>
      <c r="T2809" s="4" t="e">
        <f ca="1">[1]!BexGetData("DP_1","00O2TNJGODT0G5Z4TTKYMMOLH","GSON8220000000")</f>
        <v>#NAME?</v>
      </c>
      <c r="U2809" s="4" t="e">
        <f ca="1">[1]!BexGetData("DP_1","00O2TNJGODT0G5Z4TTKYMMUX1","GSON8220000000")</f>
        <v>#NAME?</v>
      </c>
      <c r="V2809" s="4" t="e">
        <f ca="1">[1]!BexGetData("DP_1","00O2TNJGODT0G5Z4TTKYMN18L","GSON8220000000")</f>
        <v>#NAME?</v>
      </c>
      <c r="W2809" s="4" t="e">
        <f ca="1">[1]!BexGetData("DP_1","00O2TNJGODT0G5Z4TTKYMN7K5","GSON8220000000")</f>
        <v>#NAME?</v>
      </c>
    </row>
    <row r="2810" spans="1:23" x14ac:dyDescent="0.2">
      <c r="A2810" s="13" t="s">
        <v>5637</v>
      </c>
      <c r="B2810" s="7" t="s">
        <v>5638</v>
      </c>
      <c r="C2810" s="8" t="e">
        <f ca="1">[1]!BexGetData("DP_1","003N8EMH8GTFRCSWKMPXRR8GU","GSON8220000001")</f>
        <v>#NAME?</v>
      </c>
      <c r="D2810" s="3" t="e">
        <f ca="1">[1]!BexGetData("DP_1","003N8EMH8GTFRCSWKMPXRRESE","GSON8220000001")</f>
        <v>#NAME?</v>
      </c>
      <c r="E2810" s="3" t="e">
        <f ca="1">[1]!BexGetData("DP_1","003N8EMH8GTFRCSWKMPXRRL3Y","GSON8220000001")</f>
        <v>#NAME?</v>
      </c>
      <c r="F2810" s="4" t="e">
        <f ca="1">[1]!BexGetData("DP_1","003N8EMH8GTFRCSWKMPXRRRFI","GSON8220000001")</f>
        <v>#NAME?</v>
      </c>
      <c r="G2810" s="4" t="e">
        <f ca="1">[1]!BexGetData("DP_1","003N8EMH8GTFRCSWKMPXRRXR2","GSON8220000001")</f>
        <v>#NAME?</v>
      </c>
      <c r="H2810" s="4" t="e">
        <f ca="1">[1]!BexGetData("DP_1","003N8EMH8GTFRCSWKMPXRS42M","GSON8220000001")</f>
        <v>#NAME?</v>
      </c>
      <c r="I2810" s="4" t="e">
        <f ca="1">[1]!BexGetData("DP_1","003N8EMH8GTFRCSWKMPXRSAE6","GSON8220000001")</f>
        <v>#NAME?</v>
      </c>
      <c r="J2810" s="4" t="e">
        <f ca="1">[1]!BexGetData("DP_1","003N8EMH8GTFRCSWKMPXRSGPQ","GSON8220000001")</f>
        <v>#NAME?</v>
      </c>
      <c r="K2810" s="3" t="e">
        <f ca="1">[1]!BexGetData("DP_1","003N8EMH8GTFRIVNUPY288VJH","GSON8220000001")</f>
        <v>#NAME?</v>
      </c>
      <c r="L2810" s="3" t="e">
        <f ca="1">[1]!BexGetData("DP_1","003N8EMH8GTFRIVNUPY2891V1","GSON8220000001")</f>
        <v>#NAME?</v>
      </c>
      <c r="M2810" s="3" t="e">
        <f ca="1">[1]!BexGetData("DP_1","003N8EMH8GTFRIVOG7KG9IQXA","GSON8220000001")</f>
        <v>#NAME?</v>
      </c>
      <c r="N2810" s="8" t="e">
        <f ca="1">[1]!BexGetData("DP_1","003N8EMH8GTFRIVOG7KG9IX8U","GSON8220000001")</f>
        <v>#NAME?</v>
      </c>
      <c r="O2810" s="3" t="e">
        <f ca="1">[1]!BexGetData("DP_1","003N8EMH8GTFRIVOG7KG9J3KE","GSON8220000001")</f>
        <v>#NAME?</v>
      </c>
      <c r="P2810" s="8" t="e">
        <f ca="1">[1]!BexGetData("DP_1","003N8EMH8GTFRIVOG7KG9J9VY","GSON8220000001")</f>
        <v>#NAME?</v>
      </c>
      <c r="Q2810" s="4" t="e">
        <f ca="1">[1]!BexGetData("DP_1","00O2TNJGODT0G5Z4TTKYMM5MT","GSON8220000001")</f>
        <v>#NAME?</v>
      </c>
      <c r="R2810" s="4" t="e">
        <f ca="1">[1]!BexGetData("DP_1","00O2TNJGODT0G5Z4TTKYMMBYD","GSON8220000001")</f>
        <v>#NAME?</v>
      </c>
      <c r="S2810" s="4" t="e">
        <f ca="1">[1]!BexGetData("DP_1","00O2TNJGODT0G5Z4TTKYMMI9X","GSON8220000001")</f>
        <v>#NAME?</v>
      </c>
      <c r="T2810" s="4" t="e">
        <f ca="1">[1]!BexGetData("DP_1","00O2TNJGODT0G5Z4TTKYMMOLH","GSON8220000001")</f>
        <v>#NAME?</v>
      </c>
      <c r="U2810" s="4" t="e">
        <f ca="1">[1]!BexGetData("DP_1","00O2TNJGODT0G5Z4TTKYMMUX1","GSON8220000001")</f>
        <v>#NAME?</v>
      </c>
      <c r="V2810" s="4" t="e">
        <f ca="1">[1]!BexGetData("DP_1","00O2TNJGODT0G5Z4TTKYMN18L","GSON8220000001")</f>
        <v>#NAME?</v>
      </c>
      <c r="W2810" s="4" t="e">
        <f ca="1">[1]!BexGetData("DP_1","00O2TNJGODT0G5Z4TTKYMN7K5","GSON8220000001")</f>
        <v>#NAME?</v>
      </c>
    </row>
    <row r="2811" spans="1:23" x14ac:dyDescent="0.2">
      <c r="A2811" s="13" t="s">
        <v>5639</v>
      </c>
      <c r="B2811" s="7" t="s">
        <v>129</v>
      </c>
      <c r="C2811" s="3" t="e">
        <f ca="1">[1]!BexGetData("DP_1","003N8EMH8GTFRCSWKMPXRR8GU","GSON8230000000")</f>
        <v>#NAME?</v>
      </c>
      <c r="D2811" s="3" t="e">
        <f ca="1">[1]!BexGetData("DP_1","003N8EMH8GTFRCSWKMPXRRESE","GSON8230000000")</f>
        <v>#NAME?</v>
      </c>
      <c r="E2811" s="3" t="e">
        <f ca="1">[1]!BexGetData("DP_1","003N8EMH8GTFRCSWKMPXRRL3Y","GSON8230000000")</f>
        <v>#NAME?</v>
      </c>
      <c r="F2811" s="4" t="e">
        <f ca="1">[1]!BexGetData("DP_1","003N8EMH8GTFRCSWKMPXRRRFI","GSON8230000000")</f>
        <v>#NAME?</v>
      </c>
      <c r="G2811" s="4" t="e">
        <f ca="1">[1]!BexGetData("DP_1","003N8EMH8GTFRCSWKMPXRRXR2","GSON8230000000")</f>
        <v>#NAME?</v>
      </c>
      <c r="H2811" s="4" t="e">
        <f ca="1">[1]!BexGetData("DP_1","003N8EMH8GTFRCSWKMPXRS42M","GSON8230000000")</f>
        <v>#NAME?</v>
      </c>
      <c r="I2811" s="4" t="e">
        <f ca="1">[1]!BexGetData("DP_1","003N8EMH8GTFRCSWKMPXRSAE6","GSON8230000000")</f>
        <v>#NAME?</v>
      </c>
      <c r="J2811" s="4" t="e">
        <f ca="1">[1]!BexGetData("DP_1","003N8EMH8GTFRCSWKMPXRSGPQ","GSON8230000000")</f>
        <v>#NAME?</v>
      </c>
      <c r="K2811" s="3" t="e">
        <f ca="1">[1]!BexGetData("DP_1","003N8EMH8GTFRIVNUPY288VJH","GSON8230000000")</f>
        <v>#NAME?</v>
      </c>
      <c r="L2811" s="3" t="e">
        <f ca="1">[1]!BexGetData("DP_1","003N8EMH8GTFRIVNUPY2891V1","GSON8230000000")</f>
        <v>#NAME?</v>
      </c>
      <c r="M2811" s="3" t="e">
        <f ca="1">[1]!BexGetData("DP_1","003N8EMH8GTFRIVOG7KG9IQXA","GSON8230000000")</f>
        <v>#NAME?</v>
      </c>
      <c r="N2811" s="8" t="e">
        <f ca="1">[1]!BexGetData("DP_1","003N8EMH8GTFRIVOG7KG9IX8U","GSON8230000000")</f>
        <v>#NAME?</v>
      </c>
      <c r="O2811" s="3" t="e">
        <f ca="1">[1]!BexGetData("DP_1","003N8EMH8GTFRIVOG7KG9J3KE","GSON8230000000")</f>
        <v>#NAME?</v>
      </c>
      <c r="P2811" s="8" t="e">
        <f ca="1">[1]!BexGetData("DP_1","003N8EMH8GTFRIVOG7KG9J9VY","GSON8230000000")</f>
        <v>#NAME?</v>
      </c>
      <c r="Q2811" s="4" t="e">
        <f ca="1">[1]!BexGetData("DP_1","00O2TNJGODT0G5Z4TTKYMM5MT","GSON8230000000")</f>
        <v>#NAME?</v>
      </c>
      <c r="R2811" s="4" t="e">
        <f ca="1">[1]!BexGetData("DP_1","00O2TNJGODT0G5Z4TTKYMMBYD","GSON8230000000")</f>
        <v>#NAME?</v>
      </c>
      <c r="S2811" s="4" t="e">
        <f ca="1">[1]!BexGetData("DP_1","00O2TNJGODT0G5Z4TTKYMMI9X","GSON8230000000")</f>
        <v>#NAME?</v>
      </c>
      <c r="T2811" s="4" t="e">
        <f ca="1">[1]!BexGetData("DP_1","00O2TNJGODT0G5Z4TTKYMMOLH","GSON8230000000")</f>
        <v>#NAME?</v>
      </c>
      <c r="U2811" s="4" t="e">
        <f ca="1">[1]!BexGetData("DP_1","00O2TNJGODT0G5Z4TTKYMMUX1","GSON8230000000")</f>
        <v>#NAME?</v>
      </c>
      <c r="V2811" s="4" t="e">
        <f ca="1">[1]!BexGetData("DP_1","00O2TNJGODT0G5Z4TTKYMN18L","GSON8230000000")</f>
        <v>#NAME?</v>
      </c>
      <c r="W2811" s="4" t="e">
        <f ca="1">[1]!BexGetData("DP_1","00O2TNJGODT0G5Z4TTKYMN7K5","GSON8230000000")</f>
        <v>#NAME?</v>
      </c>
    </row>
    <row r="2812" spans="1:23" x14ac:dyDescent="0.2">
      <c r="A2812" s="13" t="s">
        <v>5640</v>
      </c>
      <c r="B2812" s="7" t="s">
        <v>130</v>
      </c>
      <c r="C2812" s="3" t="e">
        <f ca="1">[1]!BexGetData("DP_1","003N8EMH8GTFRCSWKMPXRR8GU","GSON8240000000")</f>
        <v>#NAME?</v>
      </c>
      <c r="D2812" s="3" t="e">
        <f ca="1">[1]!BexGetData("DP_1","003N8EMH8GTFRCSWKMPXRRESE","GSON8240000000")</f>
        <v>#NAME?</v>
      </c>
      <c r="E2812" s="3" t="e">
        <f ca="1">[1]!BexGetData("DP_1","003N8EMH8GTFRCSWKMPXRRL3Y","GSON8240000000")</f>
        <v>#NAME?</v>
      </c>
      <c r="F2812" s="4" t="e">
        <f ca="1">[1]!BexGetData("DP_1","003N8EMH8GTFRCSWKMPXRRRFI","GSON8240000000")</f>
        <v>#NAME?</v>
      </c>
      <c r="G2812" s="4" t="e">
        <f ca="1">[1]!BexGetData("DP_1","003N8EMH8GTFRCSWKMPXRRXR2","GSON8240000000")</f>
        <v>#NAME?</v>
      </c>
      <c r="H2812" s="4" t="e">
        <f ca="1">[1]!BexGetData("DP_1","003N8EMH8GTFRCSWKMPXRS42M","GSON8240000000")</f>
        <v>#NAME?</v>
      </c>
      <c r="I2812" s="4" t="e">
        <f ca="1">[1]!BexGetData("DP_1","003N8EMH8GTFRCSWKMPXRSAE6","GSON8240000000")</f>
        <v>#NAME?</v>
      </c>
      <c r="J2812" s="4" t="e">
        <f ca="1">[1]!BexGetData("DP_1","003N8EMH8GTFRCSWKMPXRSGPQ","GSON8240000000")</f>
        <v>#NAME?</v>
      </c>
      <c r="K2812" s="3" t="e">
        <f ca="1">[1]!BexGetData("DP_1","003N8EMH8GTFRIVNUPY288VJH","GSON8240000000")</f>
        <v>#NAME?</v>
      </c>
      <c r="L2812" s="3" t="e">
        <f ca="1">[1]!BexGetData("DP_1","003N8EMH8GTFRIVNUPY2891V1","GSON8240000000")</f>
        <v>#NAME?</v>
      </c>
      <c r="M2812" s="8" t="e">
        <f ca="1">[1]!BexGetData("DP_1","003N8EMH8GTFRIVOG7KG9IQXA","GSON8240000000")</f>
        <v>#NAME?</v>
      </c>
      <c r="N2812" s="3" t="e">
        <f ca="1">[1]!BexGetData("DP_1","003N8EMH8GTFRIVOG7KG9IX8U","GSON8240000000")</f>
        <v>#NAME?</v>
      </c>
      <c r="O2812" s="8" t="e">
        <f ca="1">[1]!BexGetData("DP_1","003N8EMH8GTFRIVOG7KG9J3KE","GSON8240000000")</f>
        <v>#NAME?</v>
      </c>
      <c r="P2812" s="3" t="e">
        <f ca="1">[1]!BexGetData("DP_1","003N8EMH8GTFRIVOG7KG9J9VY","GSON8240000000")</f>
        <v>#NAME?</v>
      </c>
      <c r="Q2812" s="4" t="e">
        <f ca="1">[1]!BexGetData("DP_1","00O2TNJGODT0G5Z4TTKYMM5MT","GSON8240000000")</f>
        <v>#NAME?</v>
      </c>
      <c r="R2812" s="4" t="e">
        <f ca="1">[1]!BexGetData("DP_1","00O2TNJGODT0G5Z4TTKYMMBYD","GSON8240000000")</f>
        <v>#NAME?</v>
      </c>
      <c r="S2812" s="4" t="e">
        <f ca="1">[1]!BexGetData("DP_1","00O2TNJGODT0G5Z4TTKYMMI9X","GSON8240000000")</f>
        <v>#NAME?</v>
      </c>
      <c r="T2812" s="4" t="e">
        <f ca="1">[1]!BexGetData("DP_1","00O2TNJGODT0G5Z4TTKYMMOLH","GSON8240000000")</f>
        <v>#NAME?</v>
      </c>
      <c r="U2812" s="4" t="e">
        <f ca="1">[1]!BexGetData("DP_1","00O2TNJGODT0G5Z4TTKYMMUX1","GSON8240000000")</f>
        <v>#NAME?</v>
      </c>
      <c r="V2812" s="4" t="e">
        <f ca="1">[1]!BexGetData("DP_1","00O2TNJGODT0G5Z4TTKYMN18L","GSON8240000000")</f>
        <v>#NAME?</v>
      </c>
      <c r="W2812" s="4" t="e">
        <f ca="1">[1]!BexGetData("DP_1","00O2TNJGODT0G5Z4TTKYMN7K5","GSON8240000000")</f>
        <v>#NAME?</v>
      </c>
    </row>
    <row r="2813" spans="1:23" x14ac:dyDescent="0.2">
      <c r="A2813" s="13" t="s">
        <v>5641</v>
      </c>
      <c r="B2813" s="7" t="s">
        <v>1599</v>
      </c>
      <c r="C2813" s="3" t="e">
        <f ca="1">[1]!BexGetData("DP_1","003N8EMH8GTFRCSWKMPXRR8GU","GSON8240000001")</f>
        <v>#NAME?</v>
      </c>
      <c r="D2813" s="3" t="e">
        <f ca="1">[1]!BexGetData("DP_1","003N8EMH8GTFRCSWKMPXRRESE","GSON8240000001")</f>
        <v>#NAME?</v>
      </c>
      <c r="E2813" s="3" t="e">
        <f ca="1">[1]!BexGetData("DP_1","003N8EMH8GTFRCSWKMPXRRL3Y","GSON8240000001")</f>
        <v>#NAME?</v>
      </c>
      <c r="F2813" s="4" t="e">
        <f ca="1">[1]!BexGetData("DP_1","003N8EMH8GTFRCSWKMPXRRRFI","GSON8240000001")</f>
        <v>#NAME?</v>
      </c>
      <c r="G2813" s="4" t="e">
        <f ca="1">[1]!BexGetData("DP_1","003N8EMH8GTFRCSWKMPXRRXR2","GSON8240000001")</f>
        <v>#NAME?</v>
      </c>
      <c r="H2813" s="4" t="e">
        <f ca="1">[1]!BexGetData("DP_1","003N8EMH8GTFRCSWKMPXRS42M","GSON8240000001")</f>
        <v>#NAME?</v>
      </c>
      <c r="I2813" s="4" t="e">
        <f ca="1">[1]!BexGetData("DP_1","003N8EMH8GTFRCSWKMPXRSAE6","GSON8240000001")</f>
        <v>#NAME?</v>
      </c>
      <c r="J2813" s="4" t="e">
        <f ca="1">[1]!BexGetData("DP_1","003N8EMH8GTFRCSWKMPXRSGPQ","GSON8240000001")</f>
        <v>#NAME?</v>
      </c>
      <c r="K2813" s="3" t="e">
        <f ca="1">[1]!BexGetData("DP_1","003N8EMH8GTFRIVNUPY288VJH","GSON8240000001")</f>
        <v>#NAME?</v>
      </c>
      <c r="L2813" s="3" t="e">
        <f ca="1">[1]!BexGetData("DP_1","003N8EMH8GTFRIVNUPY2891V1","GSON8240000001")</f>
        <v>#NAME?</v>
      </c>
      <c r="M2813" s="3" t="e">
        <f ca="1">[1]!BexGetData("DP_1","003N8EMH8GTFRIVOG7KG9IQXA","GSON8240000001")</f>
        <v>#NAME?</v>
      </c>
      <c r="N2813" s="8" t="e">
        <f ca="1">[1]!BexGetData("DP_1","003N8EMH8GTFRIVOG7KG9IX8U","GSON8240000001")</f>
        <v>#NAME?</v>
      </c>
      <c r="O2813" s="3" t="e">
        <f ca="1">[1]!BexGetData("DP_1","003N8EMH8GTFRIVOG7KG9J3KE","GSON8240000001")</f>
        <v>#NAME?</v>
      </c>
      <c r="P2813" s="8" t="e">
        <f ca="1">[1]!BexGetData("DP_1","003N8EMH8GTFRIVOG7KG9J9VY","GSON8240000001")</f>
        <v>#NAME?</v>
      </c>
      <c r="Q2813" s="4" t="e">
        <f ca="1">[1]!BexGetData("DP_1","00O2TNJGODT0G5Z4TTKYMM5MT","GSON8240000001")</f>
        <v>#NAME?</v>
      </c>
      <c r="R2813" s="4" t="e">
        <f ca="1">[1]!BexGetData("DP_1","00O2TNJGODT0G5Z4TTKYMMBYD","GSON8240000001")</f>
        <v>#NAME?</v>
      </c>
      <c r="S2813" s="4" t="e">
        <f ca="1">[1]!BexGetData("DP_1","00O2TNJGODT0G5Z4TTKYMMI9X","GSON8240000001")</f>
        <v>#NAME?</v>
      </c>
      <c r="T2813" s="4" t="e">
        <f ca="1">[1]!BexGetData("DP_1","00O2TNJGODT0G5Z4TTKYMMOLH","GSON8240000001")</f>
        <v>#NAME?</v>
      </c>
      <c r="U2813" s="4" t="e">
        <f ca="1">[1]!BexGetData("DP_1","00O2TNJGODT0G5Z4TTKYMMUX1","GSON8240000001")</f>
        <v>#NAME?</v>
      </c>
      <c r="V2813" s="4" t="e">
        <f ca="1">[1]!BexGetData("DP_1","00O2TNJGODT0G5Z4TTKYMN18L","GSON8240000001")</f>
        <v>#NAME?</v>
      </c>
      <c r="W2813" s="4" t="e">
        <f ca="1">[1]!BexGetData("DP_1","00O2TNJGODT0G5Z4TTKYMN7K5","GSON8240000001")</f>
        <v>#NAME?</v>
      </c>
    </row>
    <row r="2814" spans="1:23" x14ac:dyDescent="0.2">
      <c r="A2814" s="13" t="s">
        <v>5642</v>
      </c>
      <c r="B2814" s="7" t="s">
        <v>131</v>
      </c>
      <c r="C2814" s="3" t="e">
        <f ca="1">[1]!BexGetData("DP_1","003N8EMH8GTFRCSWKMPXRR8GU","GSON8250000000")</f>
        <v>#NAME?</v>
      </c>
      <c r="D2814" s="3" t="e">
        <f ca="1">[1]!BexGetData("DP_1","003N8EMH8GTFRCSWKMPXRRESE","GSON8250000000")</f>
        <v>#NAME?</v>
      </c>
      <c r="E2814" s="3" t="e">
        <f ca="1">[1]!BexGetData("DP_1","003N8EMH8GTFRCSWKMPXRRL3Y","GSON8250000000")</f>
        <v>#NAME?</v>
      </c>
      <c r="F2814" s="4" t="e">
        <f ca="1">[1]!BexGetData("DP_1","003N8EMH8GTFRCSWKMPXRRRFI","GSON8250000000")</f>
        <v>#NAME?</v>
      </c>
      <c r="G2814" s="4" t="e">
        <f ca="1">[1]!BexGetData("DP_1","003N8EMH8GTFRCSWKMPXRRXR2","GSON8250000000")</f>
        <v>#NAME?</v>
      </c>
      <c r="H2814" s="4" t="e">
        <f ca="1">[1]!BexGetData("DP_1","003N8EMH8GTFRCSWKMPXRS42M","GSON8250000000")</f>
        <v>#NAME?</v>
      </c>
      <c r="I2814" s="4" t="e">
        <f ca="1">[1]!BexGetData("DP_1","003N8EMH8GTFRCSWKMPXRSAE6","GSON8250000000")</f>
        <v>#NAME?</v>
      </c>
      <c r="J2814" s="4" t="e">
        <f ca="1">[1]!BexGetData("DP_1","003N8EMH8GTFRCSWKMPXRSGPQ","GSON8250000000")</f>
        <v>#NAME?</v>
      </c>
      <c r="K2814" s="3" t="e">
        <f ca="1">[1]!BexGetData("DP_1","003N8EMH8GTFRIVNUPY288VJH","GSON8250000000")</f>
        <v>#NAME?</v>
      </c>
      <c r="L2814" s="3" t="e">
        <f ca="1">[1]!BexGetData("DP_1","003N8EMH8GTFRIVNUPY2891V1","GSON8250000000")</f>
        <v>#NAME?</v>
      </c>
      <c r="M2814" s="8" t="e">
        <f ca="1">[1]!BexGetData("DP_1","003N8EMH8GTFRIVOG7KG9IQXA","GSON8250000000")</f>
        <v>#NAME?</v>
      </c>
      <c r="N2814" s="3" t="e">
        <f ca="1">[1]!BexGetData("DP_1","003N8EMH8GTFRIVOG7KG9IX8U","GSON8250000000")</f>
        <v>#NAME?</v>
      </c>
      <c r="O2814" s="8" t="e">
        <f ca="1">[1]!BexGetData("DP_1","003N8EMH8GTFRIVOG7KG9J3KE","GSON8250000000")</f>
        <v>#NAME?</v>
      </c>
      <c r="P2814" s="3" t="e">
        <f ca="1">[1]!BexGetData("DP_1","003N8EMH8GTFRIVOG7KG9J9VY","GSON8250000000")</f>
        <v>#NAME?</v>
      </c>
      <c r="Q2814" s="4" t="e">
        <f ca="1">[1]!BexGetData("DP_1","00O2TNJGODT0G5Z4TTKYMM5MT","GSON8250000000")</f>
        <v>#NAME?</v>
      </c>
      <c r="R2814" s="4" t="e">
        <f ca="1">[1]!BexGetData("DP_1","00O2TNJGODT0G5Z4TTKYMMBYD","GSON8250000000")</f>
        <v>#NAME?</v>
      </c>
      <c r="S2814" s="4" t="e">
        <f ca="1">[1]!BexGetData("DP_1","00O2TNJGODT0G5Z4TTKYMMI9X","GSON8250000000")</f>
        <v>#NAME?</v>
      </c>
      <c r="T2814" s="4" t="e">
        <f ca="1">[1]!BexGetData("DP_1","00O2TNJGODT0G5Z4TTKYMMOLH","GSON8250000000")</f>
        <v>#NAME?</v>
      </c>
      <c r="U2814" s="4" t="e">
        <f ca="1">[1]!BexGetData("DP_1","00O2TNJGODT0G5Z4TTKYMMUX1","GSON8250000000")</f>
        <v>#NAME?</v>
      </c>
      <c r="V2814" s="4" t="e">
        <f ca="1">[1]!BexGetData("DP_1","00O2TNJGODT0G5Z4TTKYMN18L","GSON8250000000")</f>
        <v>#NAME?</v>
      </c>
      <c r="W2814" s="4" t="e">
        <f ca="1">[1]!BexGetData("DP_1","00O2TNJGODT0G5Z4TTKYMN7K5","GSON8250000000")</f>
        <v>#NAME?</v>
      </c>
    </row>
    <row r="2815" spans="1:23" x14ac:dyDescent="0.2">
      <c r="A2815" s="13" t="s">
        <v>5642</v>
      </c>
      <c r="B2815" s="7" t="s">
        <v>132</v>
      </c>
      <c r="C2815" s="3" t="e">
        <f ca="1">[1]!BexGetData("DP_1","003N8EMH8GTFRCSWKMPXRR8GU","GSON8250000001")</f>
        <v>#NAME?</v>
      </c>
      <c r="D2815" s="3" t="e">
        <f ca="1">[1]!BexGetData("DP_1","003N8EMH8GTFRCSWKMPXRRESE","GSON8250000001")</f>
        <v>#NAME?</v>
      </c>
      <c r="E2815" s="3" t="e">
        <f ca="1">[1]!BexGetData("DP_1","003N8EMH8GTFRCSWKMPXRRL3Y","GSON8250000001")</f>
        <v>#NAME?</v>
      </c>
      <c r="F2815" s="4" t="e">
        <f ca="1">[1]!BexGetData("DP_1","003N8EMH8GTFRCSWKMPXRRRFI","GSON8250000001")</f>
        <v>#NAME?</v>
      </c>
      <c r="G2815" s="4" t="e">
        <f ca="1">[1]!BexGetData("DP_1","003N8EMH8GTFRCSWKMPXRRXR2","GSON8250000001")</f>
        <v>#NAME?</v>
      </c>
      <c r="H2815" s="4" t="e">
        <f ca="1">[1]!BexGetData("DP_1","003N8EMH8GTFRCSWKMPXRS42M","GSON8250000001")</f>
        <v>#NAME?</v>
      </c>
      <c r="I2815" s="4" t="e">
        <f ca="1">[1]!BexGetData("DP_1","003N8EMH8GTFRCSWKMPXRSAE6","GSON8250000001")</f>
        <v>#NAME?</v>
      </c>
      <c r="J2815" s="4" t="e">
        <f ca="1">[1]!BexGetData("DP_1","003N8EMH8GTFRCSWKMPXRSGPQ","GSON8250000001")</f>
        <v>#NAME?</v>
      </c>
      <c r="K2815" s="3" t="e">
        <f ca="1">[1]!BexGetData("DP_1","003N8EMH8GTFRIVNUPY288VJH","GSON8250000001")</f>
        <v>#NAME?</v>
      </c>
      <c r="L2815" s="3" t="e">
        <f ca="1">[1]!BexGetData("DP_1","003N8EMH8GTFRIVNUPY2891V1","GSON8250000001")</f>
        <v>#NAME?</v>
      </c>
      <c r="M2815" s="3" t="e">
        <f ca="1">[1]!BexGetData("DP_1","003N8EMH8GTFRIVOG7KG9IQXA","GSON8250000001")</f>
        <v>#NAME?</v>
      </c>
      <c r="N2815" s="8" t="e">
        <f ca="1">[1]!BexGetData("DP_1","003N8EMH8GTFRIVOG7KG9IX8U","GSON8250000001")</f>
        <v>#NAME?</v>
      </c>
      <c r="O2815" s="3" t="e">
        <f ca="1">[1]!BexGetData("DP_1","003N8EMH8GTFRIVOG7KG9J3KE","GSON8250000001")</f>
        <v>#NAME?</v>
      </c>
      <c r="P2815" s="8" t="e">
        <f ca="1">[1]!BexGetData("DP_1","003N8EMH8GTFRIVOG7KG9J9VY","GSON8250000001")</f>
        <v>#NAME?</v>
      </c>
      <c r="Q2815" s="4" t="e">
        <f ca="1">[1]!BexGetData("DP_1","00O2TNJGODT0G5Z4TTKYMM5MT","GSON8250000001")</f>
        <v>#NAME?</v>
      </c>
      <c r="R2815" s="4" t="e">
        <f ca="1">[1]!BexGetData("DP_1","00O2TNJGODT0G5Z4TTKYMMBYD","GSON8250000001")</f>
        <v>#NAME?</v>
      </c>
      <c r="S2815" s="4" t="e">
        <f ca="1">[1]!BexGetData("DP_1","00O2TNJGODT0G5Z4TTKYMMI9X","GSON8250000001")</f>
        <v>#NAME?</v>
      </c>
      <c r="T2815" s="4" t="e">
        <f ca="1">[1]!BexGetData("DP_1","00O2TNJGODT0G5Z4TTKYMMOLH","GSON8250000001")</f>
        <v>#NAME?</v>
      </c>
      <c r="U2815" s="4" t="e">
        <f ca="1">[1]!BexGetData("DP_1","00O2TNJGODT0G5Z4TTKYMMUX1","GSON8250000001")</f>
        <v>#NAME?</v>
      </c>
      <c r="V2815" s="4" t="e">
        <f ca="1">[1]!BexGetData("DP_1","00O2TNJGODT0G5Z4TTKYMN18L","GSON8250000001")</f>
        <v>#NAME?</v>
      </c>
      <c r="W2815" s="4" t="e">
        <f ca="1">[1]!BexGetData("DP_1","00O2TNJGODT0G5Z4TTKYMN7K5","GSON8250000001")</f>
        <v>#NAME?</v>
      </c>
    </row>
    <row r="2816" spans="1:23" x14ac:dyDescent="0.2">
      <c r="A2816" s="13" t="s">
        <v>5643</v>
      </c>
      <c r="B2816" s="7" t="s">
        <v>133</v>
      </c>
      <c r="C2816" s="3" t="e">
        <f ca="1">[1]!BexGetData("DP_1","003N8EMH8GTFRCSWKMPXRR8GU","GSON8260000000")</f>
        <v>#NAME?</v>
      </c>
      <c r="D2816" s="3" t="e">
        <f ca="1">[1]!BexGetData("DP_1","003N8EMH8GTFRCSWKMPXRRESE","GSON8260000000")</f>
        <v>#NAME?</v>
      </c>
      <c r="E2816" s="3" t="e">
        <f ca="1">[1]!BexGetData("DP_1","003N8EMH8GTFRCSWKMPXRRL3Y","GSON8260000000")</f>
        <v>#NAME?</v>
      </c>
      <c r="F2816" s="4" t="e">
        <f ca="1">[1]!BexGetData("DP_1","003N8EMH8GTFRCSWKMPXRRRFI","GSON8260000000")</f>
        <v>#NAME?</v>
      </c>
      <c r="G2816" s="4" t="e">
        <f ca="1">[1]!BexGetData("DP_1","003N8EMH8GTFRCSWKMPXRRXR2","GSON8260000000")</f>
        <v>#NAME?</v>
      </c>
      <c r="H2816" s="4" t="e">
        <f ca="1">[1]!BexGetData("DP_1","003N8EMH8GTFRCSWKMPXRS42M","GSON8260000000")</f>
        <v>#NAME?</v>
      </c>
      <c r="I2816" s="4" t="e">
        <f ca="1">[1]!BexGetData("DP_1","003N8EMH8GTFRCSWKMPXRSAE6","GSON8260000000")</f>
        <v>#NAME?</v>
      </c>
      <c r="J2816" s="4" t="e">
        <f ca="1">[1]!BexGetData("DP_1","003N8EMH8GTFRCSWKMPXRSGPQ","GSON8260000000")</f>
        <v>#NAME?</v>
      </c>
      <c r="K2816" s="3" t="e">
        <f ca="1">[1]!BexGetData("DP_1","003N8EMH8GTFRIVNUPY288VJH","GSON8260000000")</f>
        <v>#NAME?</v>
      </c>
      <c r="L2816" s="3" t="e">
        <f ca="1">[1]!BexGetData("DP_1","003N8EMH8GTFRIVNUPY2891V1","GSON8260000000")</f>
        <v>#NAME?</v>
      </c>
      <c r="M2816" s="3" t="e">
        <f ca="1">[1]!BexGetData("DP_1","003N8EMH8GTFRIVOG7KG9IQXA","GSON8260000000")</f>
        <v>#NAME?</v>
      </c>
      <c r="N2816" s="8" t="e">
        <f ca="1">[1]!BexGetData("DP_1","003N8EMH8GTFRIVOG7KG9IX8U","GSON8260000000")</f>
        <v>#NAME?</v>
      </c>
      <c r="O2816" s="3" t="e">
        <f ca="1">[1]!BexGetData("DP_1","003N8EMH8GTFRIVOG7KG9J3KE","GSON8260000000")</f>
        <v>#NAME?</v>
      </c>
      <c r="P2816" s="8" t="e">
        <f ca="1">[1]!BexGetData("DP_1","003N8EMH8GTFRIVOG7KG9J9VY","GSON8260000000")</f>
        <v>#NAME?</v>
      </c>
      <c r="Q2816" s="4" t="e">
        <f ca="1">[1]!BexGetData("DP_1","00O2TNJGODT0G5Z4TTKYMM5MT","GSON8260000000")</f>
        <v>#NAME?</v>
      </c>
      <c r="R2816" s="4" t="e">
        <f ca="1">[1]!BexGetData("DP_1","00O2TNJGODT0G5Z4TTKYMMBYD","GSON8260000000")</f>
        <v>#NAME?</v>
      </c>
      <c r="S2816" s="4" t="e">
        <f ca="1">[1]!BexGetData("DP_1","00O2TNJGODT0G5Z4TTKYMMI9X","GSON8260000000")</f>
        <v>#NAME?</v>
      </c>
      <c r="T2816" s="4" t="e">
        <f ca="1">[1]!BexGetData("DP_1","00O2TNJGODT0G5Z4TTKYMMOLH","GSON8260000000")</f>
        <v>#NAME?</v>
      </c>
      <c r="U2816" s="4" t="e">
        <f ca="1">[1]!BexGetData("DP_1","00O2TNJGODT0G5Z4TTKYMMUX1","GSON8260000000")</f>
        <v>#NAME?</v>
      </c>
      <c r="V2816" s="4" t="e">
        <f ca="1">[1]!BexGetData("DP_1","00O2TNJGODT0G5Z4TTKYMN18L","GSON8260000000")</f>
        <v>#NAME?</v>
      </c>
      <c r="W2816" s="4" t="e">
        <f ca="1">[1]!BexGetData("DP_1","00O2TNJGODT0G5Z4TTKYMN7K5","GSON8260000000")</f>
        <v>#NAME?</v>
      </c>
    </row>
    <row r="2817" spans="1:23" x14ac:dyDescent="0.2">
      <c r="A2817" s="13" t="s">
        <v>5644</v>
      </c>
      <c r="B2817" s="7" t="s">
        <v>620</v>
      </c>
      <c r="C2817" s="3" t="e">
        <f ca="1">[1]!BexGetData("DP_1","003N8EMH8GTFRCSWKMPXRR8GU","GSON8260000001")</f>
        <v>#NAME?</v>
      </c>
      <c r="D2817" s="3" t="e">
        <f ca="1">[1]!BexGetData("DP_1","003N8EMH8GTFRCSWKMPXRRESE","GSON8260000001")</f>
        <v>#NAME?</v>
      </c>
      <c r="E2817" s="3" t="e">
        <f ca="1">[1]!BexGetData("DP_1","003N8EMH8GTFRCSWKMPXRRL3Y","GSON8260000001")</f>
        <v>#NAME?</v>
      </c>
      <c r="F2817" s="4" t="e">
        <f ca="1">[1]!BexGetData("DP_1","003N8EMH8GTFRCSWKMPXRRRFI","GSON8260000001")</f>
        <v>#NAME?</v>
      </c>
      <c r="G2817" s="4" t="e">
        <f ca="1">[1]!BexGetData("DP_1","003N8EMH8GTFRCSWKMPXRRXR2","GSON8260000001")</f>
        <v>#NAME?</v>
      </c>
      <c r="H2817" s="4" t="e">
        <f ca="1">[1]!BexGetData("DP_1","003N8EMH8GTFRCSWKMPXRS42M","GSON8260000001")</f>
        <v>#NAME?</v>
      </c>
      <c r="I2817" s="4" t="e">
        <f ca="1">[1]!BexGetData("DP_1","003N8EMH8GTFRCSWKMPXRSAE6","GSON8260000001")</f>
        <v>#NAME?</v>
      </c>
      <c r="J2817" s="4" t="e">
        <f ca="1">[1]!BexGetData("DP_1","003N8EMH8GTFRCSWKMPXRSGPQ","GSON8260000001")</f>
        <v>#NAME?</v>
      </c>
      <c r="K2817" s="3" t="e">
        <f ca="1">[1]!BexGetData("DP_1","003N8EMH8GTFRIVNUPY288VJH","GSON8260000001")</f>
        <v>#NAME?</v>
      </c>
      <c r="L2817" s="3" t="e">
        <f ca="1">[1]!BexGetData("DP_1","003N8EMH8GTFRIVNUPY2891V1","GSON8260000001")</f>
        <v>#NAME?</v>
      </c>
      <c r="M2817" s="8" t="e">
        <f ca="1">[1]!BexGetData("DP_1","003N8EMH8GTFRIVOG7KG9IQXA","GSON8260000001")</f>
        <v>#NAME?</v>
      </c>
      <c r="N2817" s="3" t="e">
        <f ca="1">[1]!BexGetData("DP_1","003N8EMH8GTFRIVOG7KG9IX8U","GSON8260000001")</f>
        <v>#NAME?</v>
      </c>
      <c r="O2817" s="8" t="e">
        <f ca="1">[1]!BexGetData("DP_1","003N8EMH8GTFRIVOG7KG9J3KE","GSON8260000001")</f>
        <v>#NAME?</v>
      </c>
      <c r="P2817" s="3" t="e">
        <f ca="1">[1]!BexGetData("DP_1","003N8EMH8GTFRIVOG7KG9J9VY","GSON8260000001")</f>
        <v>#NAME?</v>
      </c>
      <c r="Q2817" s="4" t="e">
        <f ca="1">[1]!BexGetData("DP_1","00O2TNJGODT0G5Z4TTKYMM5MT","GSON8260000001")</f>
        <v>#NAME?</v>
      </c>
      <c r="R2817" s="4" t="e">
        <f ca="1">[1]!BexGetData("DP_1","00O2TNJGODT0G5Z4TTKYMMBYD","GSON8260000001")</f>
        <v>#NAME?</v>
      </c>
      <c r="S2817" s="4" t="e">
        <f ca="1">[1]!BexGetData("DP_1","00O2TNJGODT0G5Z4TTKYMMI9X","GSON8260000001")</f>
        <v>#NAME?</v>
      </c>
      <c r="T2817" s="4" t="e">
        <f ca="1">[1]!BexGetData("DP_1","00O2TNJGODT0G5Z4TTKYMMOLH","GSON8260000001")</f>
        <v>#NAME?</v>
      </c>
      <c r="U2817" s="4" t="e">
        <f ca="1">[1]!BexGetData("DP_1","00O2TNJGODT0G5Z4TTKYMMUX1","GSON8260000001")</f>
        <v>#NAME?</v>
      </c>
      <c r="V2817" s="4" t="e">
        <f ca="1">[1]!BexGetData("DP_1","00O2TNJGODT0G5Z4TTKYMN18L","GSON8260000001")</f>
        <v>#NAME?</v>
      </c>
      <c r="W2817" s="4" t="e">
        <f ca="1">[1]!BexGetData("DP_1","00O2TNJGODT0G5Z4TTKYMN7K5","GSON8260000001")</f>
        <v>#NAME?</v>
      </c>
    </row>
    <row r="2818" spans="1:23" x14ac:dyDescent="0.2">
      <c r="A2818" s="13" t="s">
        <v>5645</v>
      </c>
      <c r="B2818" s="7" t="s">
        <v>134</v>
      </c>
      <c r="C2818" s="3" t="e">
        <f ca="1">[1]!BexGetData("DP_1","003N8EMH8GTFRCSWKMPXRR8GU","GSON8270000000")</f>
        <v>#NAME?</v>
      </c>
      <c r="D2818" s="3" t="e">
        <f ca="1">[1]!BexGetData("DP_1","003N8EMH8GTFRCSWKMPXRRESE","GSON8270000000")</f>
        <v>#NAME?</v>
      </c>
      <c r="E2818" s="3" t="e">
        <f ca="1">[1]!BexGetData("DP_1","003N8EMH8GTFRCSWKMPXRRL3Y","GSON8270000000")</f>
        <v>#NAME?</v>
      </c>
      <c r="F2818" s="4" t="e">
        <f ca="1">[1]!BexGetData("DP_1","003N8EMH8GTFRCSWKMPXRRRFI","GSON8270000000")</f>
        <v>#NAME?</v>
      </c>
      <c r="G2818" s="4" t="e">
        <f ca="1">[1]!BexGetData("DP_1","003N8EMH8GTFRCSWKMPXRRXR2","GSON8270000000")</f>
        <v>#NAME?</v>
      </c>
      <c r="H2818" s="4" t="e">
        <f ca="1">[1]!BexGetData("DP_1","003N8EMH8GTFRCSWKMPXRS42M","GSON8270000000")</f>
        <v>#NAME?</v>
      </c>
      <c r="I2818" s="4" t="e">
        <f ca="1">[1]!BexGetData("DP_1","003N8EMH8GTFRCSWKMPXRSAE6","GSON8270000000")</f>
        <v>#NAME?</v>
      </c>
      <c r="J2818" s="4" t="e">
        <f ca="1">[1]!BexGetData("DP_1","003N8EMH8GTFRCSWKMPXRSGPQ","GSON8270000000")</f>
        <v>#NAME?</v>
      </c>
      <c r="K2818" s="3" t="e">
        <f ca="1">[1]!BexGetData("DP_1","003N8EMH8GTFRIVNUPY288VJH","GSON8270000000")</f>
        <v>#NAME?</v>
      </c>
      <c r="L2818" s="3" t="e">
        <f ca="1">[1]!BexGetData("DP_1","003N8EMH8GTFRIVNUPY2891V1","GSON8270000000")</f>
        <v>#NAME?</v>
      </c>
      <c r="M2818" s="8" t="e">
        <f ca="1">[1]!BexGetData("DP_1","003N8EMH8GTFRIVOG7KG9IQXA","GSON8270000000")</f>
        <v>#NAME?</v>
      </c>
      <c r="N2818" s="3" t="e">
        <f ca="1">[1]!BexGetData("DP_1","003N8EMH8GTFRIVOG7KG9IX8U","GSON8270000000")</f>
        <v>#NAME?</v>
      </c>
      <c r="O2818" s="8" t="e">
        <f ca="1">[1]!BexGetData("DP_1","003N8EMH8GTFRIVOG7KG9J3KE","GSON8270000000")</f>
        <v>#NAME?</v>
      </c>
      <c r="P2818" s="3" t="e">
        <f ca="1">[1]!BexGetData("DP_1","003N8EMH8GTFRIVOG7KG9J9VY","GSON8270000000")</f>
        <v>#NAME?</v>
      </c>
      <c r="Q2818" s="4" t="e">
        <f ca="1">[1]!BexGetData("DP_1","00O2TNJGODT0G5Z4TTKYMM5MT","GSON8270000000")</f>
        <v>#NAME?</v>
      </c>
      <c r="R2818" s="4" t="e">
        <f ca="1">[1]!BexGetData("DP_1","00O2TNJGODT0G5Z4TTKYMMBYD","GSON8270000000")</f>
        <v>#NAME?</v>
      </c>
      <c r="S2818" s="4" t="e">
        <f ca="1">[1]!BexGetData("DP_1","00O2TNJGODT0G5Z4TTKYMMI9X","GSON8270000000")</f>
        <v>#NAME?</v>
      </c>
      <c r="T2818" s="4" t="e">
        <f ca="1">[1]!BexGetData("DP_1","00O2TNJGODT0G5Z4TTKYMMOLH","GSON8270000000")</f>
        <v>#NAME?</v>
      </c>
      <c r="U2818" s="4" t="e">
        <f ca="1">[1]!BexGetData("DP_1","00O2TNJGODT0G5Z4TTKYMMUX1","GSON8270000000")</f>
        <v>#NAME?</v>
      </c>
      <c r="V2818" s="4" t="e">
        <f ca="1">[1]!BexGetData("DP_1","00O2TNJGODT0G5Z4TTKYMN18L","GSON8270000000")</f>
        <v>#NAME?</v>
      </c>
      <c r="W2818" s="4" t="e">
        <f ca="1">[1]!BexGetData("DP_1","00O2TNJGODT0G5Z4TTKYMN7K5","GSON8270000000")</f>
        <v>#NAME?</v>
      </c>
    </row>
    <row r="2819" spans="1:23" x14ac:dyDescent="0.2">
      <c r="A2819" s="24" t="s">
        <v>621</v>
      </c>
      <c r="B2819" s="22" t="s">
        <v>42</v>
      </c>
      <c r="C2819" s="8" t="e">
        <f ca="1">[1]!BexGetData("DP_1","003N8EMH8GTFRCSWKMPXRR8GU","REST_H")</f>
        <v>#NAME?</v>
      </c>
      <c r="D2819" s="8" t="e">
        <f ca="1">[1]!BexGetData("DP_1","003N8EMH8GTFRCSWKMPXRRESE","REST_H")</f>
        <v>#NAME?</v>
      </c>
      <c r="E2819" s="8" t="e">
        <f ca="1">[1]!BexGetData("DP_1","003N8EMH8GTFRCSWKMPXRRL3Y","REST_H")</f>
        <v>#NAME?</v>
      </c>
      <c r="F2819" s="8" t="e">
        <f ca="1">[1]!BexGetData("DP_1","003N8EMH8GTFRCSWKMPXRRRFI","REST_H")</f>
        <v>#NAME?</v>
      </c>
      <c r="G2819" s="3" t="e">
        <f ca="1">[1]!BexGetData("DP_1","003N8EMH8GTFRCSWKMPXRRXR2","REST_H")</f>
        <v>#NAME?</v>
      </c>
      <c r="H2819" s="3" t="e">
        <f ca="1">[1]!BexGetData("DP_1","003N8EMH8GTFRCSWKMPXRS42M","REST_H")</f>
        <v>#NAME?</v>
      </c>
      <c r="I2819" s="8" t="e">
        <f ca="1">[1]!BexGetData("DP_1","003N8EMH8GTFRCSWKMPXRSAE6","REST_H")</f>
        <v>#NAME?</v>
      </c>
      <c r="J2819" s="4" t="e">
        <f ca="1">[1]!BexGetData("DP_1","003N8EMH8GTFRCSWKMPXRSGPQ","REST_H")</f>
        <v>#NAME?</v>
      </c>
      <c r="K2819" s="8" t="e">
        <f ca="1">[1]!BexGetData("DP_1","003N8EMH8GTFRIVNUPY288VJH","REST_H")</f>
        <v>#NAME?</v>
      </c>
      <c r="L2819" s="8" t="e">
        <f ca="1">[1]!BexGetData("DP_1","003N8EMH8GTFRIVNUPY2891V1","REST_H")</f>
        <v>#NAME?</v>
      </c>
      <c r="M2819" s="8" t="e">
        <f ca="1">[1]!BexGetData("DP_1","003N8EMH8GTFRIVOG7KG9IQXA","REST_H")</f>
        <v>#NAME?</v>
      </c>
      <c r="N2819" s="8" t="e">
        <f ca="1">[1]!BexGetData("DP_1","003N8EMH8GTFRIVOG7KG9IX8U","REST_H")</f>
        <v>#NAME?</v>
      </c>
      <c r="O2819" s="8" t="e">
        <f ca="1">[1]!BexGetData("DP_1","003N8EMH8GTFRIVOG7KG9J3KE","REST_H")</f>
        <v>#NAME?</v>
      </c>
      <c r="P2819" s="8" t="e">
        <f ca="1">[1]!BexGetData("DP_1","003N8EMH8GTFRIVOG7KG9J9VY","REST_H")</f>
        <v>#NAME?</v>
      </c>
      <c r="Q2819" s="4" t="e">
        <f ca="1">[1]!BexGetData("DP_1","00O2TNJGODT0G5Z4TTKYMM5MT","REST_H")</f>
        <v>#NAME?</v>
      </c>
      <c r="R2819" s="8" t="e">
        <f ca="1">[1]!BexGetData("DP_1","00O2TNJGODT0G5Z4TTKYMMBYD","REST_H")</f>
        <v>#NAME?</v>
      </c>
      <c r="S2819" s="8" t="e">
        <f ca="1">[1]!BexGetData("DP_1","00O2TNJGODT0G5Z4TTKYMMI9X","REST_H")</f>
        <v>#NAME?</v>
      </c>
      <c r="T2819" s="8" t="e">
        <f ca="1">[1]!BexGetData("DP_1","00O2TNJGODT0G5Z4TTKYMMOLH","REST_H")</f>
        <v>#NAME?</v>
      </c>
      <c r="U2819" s="8" t="e">
        <f ca="1">[1]!BexGetData("DP_1","00O2TNJGODT0G5Z4TTKYMMUX1","REST_H")</f>
        <v>#NAME?</v>
      </c>
      <c r="V2819" s="8" t="e">
        <f ca="1">[1]!BexGetData("DP_1","00O2TNJGODT0G5Z4TTKYMN18L","REST_H")</f>
        <v>#NAME?</v>
      </c>
      <c r="W2819" s="8" t="e">
        <f ca="1">[1]!BexGetData("DP_1","00O2TNJGODT0G5Z4TTKYMN7K5","REST_H")</f>
        <v>#NAME?</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D M f 2 t 8 f P z 1 9 f f L q 7 O U b / m K c n h I G s y q d 5 e n r o l 1 n 0 + I f / V u X 6 b N i S W g V e Z 0 9 v u u 3 f / z s 1 Z c v 3 p y + e P r 7 a y e / / 9 m L Z 1 8 e P d j f 2 R k T V c Z 7 O 7 s P H 9 + N N 3 r 8 5 v d / e v z m + O W r L 3 / y 7 O n p K 0 L v 9 a v f / / X v 3 f n w x f E X p 0 d P X / 7 + h D L / S o P 4 i a 9 O X 7 8 h v M + + o L 9 e / d 6 / / + / 9 / P X v z 3 + c f f n k O y + + O N p 5 9 t W L k 9 / / + N X p 8 e O 7 + h F / 9 e b 3 f p P e P X r 8 + q s v j p 8 8 P z 3 6 v R / f N b 8 + P n v 9 + 7 9 + 8 + q r k z d f v T p F m + P f + + w 1 f r 7 8 8 v X Z m 6 O d n Z 1 9 o i z / / v j k 2 8 c / + f z 3 P x V Y 8 o c C 5 j / w y 4 s v n 5 7 + / t I z f / 7 V F 1 / x 5 y + f n / 7 k q b a g r r k H N H v 5 6 v W L N 5 g 8 9 8 d j Q u f N 7 / / 8 J 5 9 T 5 4 S n + e P x t 1 / 9 P r / / 8 c m b s 5 9 k N L 9 9 d i p d K G H x K 5 H v 9 M 2 X w J k f m i / 5 4 P H r 3 / / N 7 / P y 6 P c i a P w L / U 2 9 B c S S T x 6 D m q + O + G / 8 Q n + f P n / z 1 d n T X a a e / r H H / Q u o b z + + q 7 / h E 4 K h 3 y k Y / Q 2 f e I D s X w L J p 8 3 T 0 7 O n 3 g D 0 g 8 c n X x I L v X h 1 J J + a v / D x m + O z F 6 9 / / 9 / r 9 3 m G 9 z 8 / e / 3 m J a g p v + D v 4 z d v X p 0 J p Y R 4 v / / r 0 + e n J 2 B h 7 z N A P D O f g d A 8 j z z t l t j P n h 9 / D v F x f x j a m 2 / 8 P 3 U y z F f e X 4 / p 3 z e / v 7 I X S Y j 7 S 7 5 5 3 f n O / G 2 + J W I D J / 2 L y M v j e H 5 6 / I y Q f v 3 y a O / x X e 8 v + 8 3 J t 3 k O X 3 5 5 A s j 8 8 7 H M A l H 1 3 o u D 0 y + + f f D 5 m 2 e v T l 5 / 9 / f 6 4 u X v / e o n v v P p F 4 / v a g v 0 9 v n e U W q e f c a N P n n 8 5 t v f e a P o f L 6 P X 9 7 w b D K D f 3 H 8 e 8 t f 6 N H 9 8 f i L s x f e 5 / Y P E P 6 1 m Q A a 5 e l r p f 1 r 4 M i E x 2 + P X x O d u a f f + 8 3 r b z 9 7 f v T 7 P L 5 r f s V n X z y l X 3 5 v / o x / x W f P P 7 f t + F d S O C R L J 6 e v X / / + X 9 B M M 2 U M W 9 h P v j j 9 4 s n p q 2 4 7 w u I V U Z 1 x e 3 p K 7 P f 8 9 6 d 3 A q Z C E 2 I s Y U X 3 B 2 l e X 2 V F 9 R d p v 2 d n b 3 7 / k z e v v j k F t v f / W w X m U + t H G u x H G q y j w T 7 9 z t m g B t v 7 f 5 M G + 7 3 / f 6 T B T r 5 8 / e b k l J y + b 1 C D 3 f / / r Q b z q f U j D f Y j D d b R Y C / P P h 3 U Y P d / p M F Y 4 r 5 x D f b 5 c / T 3 5 V c v 3 n y Q B s N Y + a f T Y 7 s / + 3 r s 3 o A e e x j X Y x i F 9 5 d I 2 d H n r 7 9 8 o U L 2 P t r t 2 1 3 t 5 l P y G 9 N u I V j 9 7 P 9 f + g 7 6 o / P J z 5 7 + 2 / 3 m 9 Z / / 1 3 v r v J 9 8 8 x O D O u / T G 3 U e 1 A p R 5 / l P C s k I x o s v v v j y 9 L t n X 3 7 n 7 D v P 3 + z t P H n x 5 b 1 v f / n 7 n D z 4 C S Y j O i E G A t n A P O b X x 8 + P X 3 z + 1 d H r x 3 f l F w U P Y h l N y f r u 6 E V x m Z c p J F v + J g V j + / 9 Z x W R v A J O 9 H z o m 9 w Y w u f d D x 2 R / A J P 9 H z o m 9 w c w u f 9 D x + T T A U w + / a F j 8 m A A k w c / d E w O B j A 5 + K F j 8 n A A k 4 c x T L T p a 9 + r e 3 h r r 0 6 y 7 P B 2 X v / + 9 H f U 1 q s 9 f 0 j P 7 t 4 9 a z M C J + A N e S 1 H s l T Q u N U B + v 3 z a k K / L L G A U P p r C d W y w u I B v 4 f h B E j c F d S s u y k + m f f n J q + M f K U X X x D F 9 x 6 S h J s / j K 9 2 d L L O l 2 0 G F B b Z d V X L a / i C J u j 1 l 8 9 P 3 7 C r B s + C Q L K D 4 W h n C P c C W J g e z B + P X 3 B f I U 7 6 G X C y n p j 9 / f G X z 2 C o 0 N + r 0 2 c A g 1 / v d o b 6 j Y 3 8 R Y W 5 o Y H / N C 3 b 1 L 9 o / Y / + 9 d k H j f 7 e w 8 j g v w 0 n H B 7 K N z L 2 u 9 7 v 3 5 Y g 4 9 7 7 h R u / T y T c k H b / 7 w 4 3 n n z 1 + h t e s f r 0 Z z / M 2 P m 5 S Z c 4 W n 1 j 4 Y R + 9 / + f 4 M H S + m c j W D A B w T c Y L H x T y Z K X + 1 8 M J 0 s O v q m E 7 z e T L v l 9 I v r r 9 4 7 o r 9 / n / w P 6 K z Y X r / b u b 9 R n r E w 8 N Y b B B 3 9 L B u X 3 / u F k U I 6 + g u D y b 0 7 F M b Y f p t c Y R F y R D R P t a y o 2 / S 1 Q a P r b z 7 Y i w z Q F f / 8 Q 1 N r O o F r b G V Z r 1 r 7 8 M N S a / 5 d T Z f i 5 S Y k J D w w o s Q f / r 1 J i + i s U l v 4 K P Y V f / 9 + q q V 6 f f v 7 F 6 Q d m d f H z Z 1 c b 4 T f n W + 3 + 3 D h a l l R f U x 3 9 y M / 6 / 6 2 f 9 R M 7 D 3 6 f Q R W 1 + / 8 i B f X / q y j x J z H u b 0 5 z 3 f v Z 1 1 x 7 P z e a S w n 1 I 7 3 1 I 7 3 V 0 V s n P 7 k 3 q L f u / b 9 d b / 3 e E b 3 1 / 7 L o 8 C 7 / S 5 3 4 m W b + 8 / a h I u u c g Y Y H n 3 / F a U X o D f 5 B g z 9 6 U 7 V Z m T 7 N J 0 V b p c f T d p 2 V 2 g j f x l y 1 b 5 8 9 f X r 6 Q u n B 0 4 K 0 v P 3 9 8 U t K M E n 4 9 / T V 2 f P n r 9 8 Q p x 8 9 p 9 G 5 v x 5 / + / j 1 0 9 N n x 1 8 9 f / P 0 y 5 O v e B E 9 / I R Y 5 e W L 4 y + Y w E + O X 5 8 + B U 3 f P P / y 8 y + P M N T H d z s f u k Z K q q e n T 8 7 e e M 2 U P v b v k y + / e H n 2 N A R / a u l B q d 8 y a 9 J p R Q n w S V E W P 8 i m R b X M m z R f p j m T K / d R 6 G b m f / b m 8 P T 1 6 d A c n t T 5 7 I Z J 3 P v / 2 C S e v D p 9 + r M 3 i 9 / O J n n 9 c z O N z + / 9 P v 1 p f J 2 V s 4 3 T 5 5 y O / 2 9 M 3 5 N j W q w 7 O f 0 a 8 y e k y K b r x b r M Z t X P z S S 9 e n Y 2 N E l P i 2 l 0 h v Z / N E M / z B n 6 v V / t 3 W T R l m 1 e F 1 i 8 j M z W / f + P z d b / P 2 3 a 6 / 2 9 L 2 6 0 a Z u m 0 S 3 X / X 9 j G v / / a t V e H 5 9 + O m j V N k 3 g g / + P T e D / t 7 X m 6 8 9 f / s Q G u 3 Y c n a K D H 0 3 R D 2 G K z n 7 y x V c v f 5 + 9 g 4 O f / M 6 3 I 1 M E 3 z D d T l 9 D m q K z 9 H D T L D 3 7 s F l i W E O z E n z C 4 w s + G a A 1 P v h h k P P h 7 k / u R s m 5 V H J O o + T c 3 f k R O U N y f v n 5 g 9 / r 8 4 d n P / F 7 G y X h k f P L V 1 H N s d t J H P y I i E r E 3 / s g k o 0 5 f h k n 4 s b A / e c v E b 9 z 7 / e K p E O + f P U y S s S N 4 f P P Y y I + / M l I M u L 4 Z Z y I G y P c n y d E / H L v z Y v v f P 7 l 0 z c 7 n 9 / / q f 0 3 b 3 6 v 3 + e L L + 5 / 8 e Y m 3 3 f b G K G Q o v 9 f i 0 L / P + R a x S b q y e / z d K M v s G w H 5 m l j m P n z m P P P H v 7 e A w T d 3 t 3 k r e 5 u D P t + H h P 0 y + c R 5 5 / c q 0 F C b g z O f h 4 T 8 q v f O + L 2 k 4 s 1 S M g f x U 9 R Q r 7 Y P X g e d b O G C L n 3 o 8 g p T s g H v 9 f 9 q K s 1 S M j / H 0 R P d / n f E 1 k J f 3 Z 8 g h / H b 1 4 R h W n x m 3 8 x t H 3 2 1 Y u T 3 5 + G 4 R H z + M 2 b V 2 f 0 y 0 8 9 + + L k 9 N n Z i 8 d 3 z S f y 1 R v p 0 2 Z A u o z H D p D 8 x t 2 8 f P X 6 x Z u j P e l A / n j 8 7 P n x m 9 9 f I T y + 6 / 0 l 3 7 z u f G f + N t 8 S + X l k 8 t f T s 1 f 4 6 / T 5 m 6 + E P n f t M N 9 n v D s v v / r 9 n 7 3 4 / V 9 / 9 W T 3 5 9 O Q X 7 9 5 9 f u f P f 3 5 M m J m 6 p e v P v 9 5 N d 7 T 7 7 z 6 Z s b 7 + f 9 H x v v 6 z T c z 3 v + P z C + p r J 8 v 4 3 V K e u / n y 5 B 5 i r / 4 8 u e N i n Z T f O / n y 5 D F 1 f r q 5 4 2 r x e N 9 c / b / L 6 3 1 8 t W X z 8 7 e / P 4 n b 1 7 F e P r k + P d / e k o B w / + / L N P G M b 8 6 f f 3 y 9 / / q 9 e k 3 5 H z 8 f 2 b I L 0 9 f v f 7 5 M + T X p 5 9 / Q V H w N z P g 3 f 8 P D J h C 9 d e / z z c 0 w f 9 f G C / 9 / f u f f P X q G 5 L i n f 8 P j P j 1 l 1 + 9 o i l + c / r F N z P m n + N Z v t W Y Y a C + f X b 6 4 v 9 f b u b J l 6 / f n J B 2 O o 0 N + c l X r 9 U / + S Z G / P 8 S x t 4 4 4 v 8 f q q 6 N 4 / 3 / p e r a O O L / f z o g G 4 f s q 7 V v Y s z / n 5 n m / 9 + 5 1 p 8 / / / 2 P T 0 6 + / A r e Z F 9 b H z / / / Q n m / 7 8 y t x t H / J o W m r i j b 2 b I / y 9 R 2 B u H / P 9 D A 7 V x v J 8 / p + 9 o E e + b G f H + / w d G / P 9 T 3 3 r j m M 9 e n L x + 8 / 8 / 5 e X 8 5 5 8 P c r x h t P / / 4 O m 7 / O / J 6 X M Z P P 8 i 7 X Y J 9 S / 3 3 r z 4 z u d f P n 2 z 8 / n 9 n 9 p / 8 + b 3 + n 2 + e P H g 9 7 r / + K 5 p o m 3 3 e J j R x 7 T d O 3 r 8 4 q s v f v / X J 8 f P T 4 E C / n j 5 6 v S E E f v i 5 b e P X 5 + 9 Z q o 9 P / 3 J 0 + f 4 7 e S r L 7 7 i X 0 i E P n 9 1 B F D y 2 + M X t E z w C l S U X 3 x i 7 e 1 9 U 9 T 6 v c 6 e 4 g X 8 E H o N E e n e i 4 P T L 7 5 9 8 P m b Z 6 9 O X n / 3 9 / r i 5 e / 9 6 t X B 5 1 / 9 v 5 l I P 3 Q a R R j p i y + f f / v / x T T a f f h D J 1 K M k X 7 v V 3 v / L y b S p / + v o N H p 6 9 P / F 9 P o 3 s 8 l j c 5 + 8 s V X L 3 + f v Y O H u z + 5 + 0 3 S C C r E / v 5 N U m t 3 9 4 d O r p h u + u r 3 / k b J 9 Q 2 z 1 J 4 h x A + P S B G e O v j J 7 3 y j C v x n j 6 d + T s l l 1 d S r Z 2 f f J L m + Y Z 6 6 / 0 O n U U z u 7 n / x 5 v / F N N r 9 O b V 3 Z z / 5 5 e c P f q / P H 3 7 n 3 u / 1 / 2 Z 7 t 7 v / Q y d S j J P O H v 7 e 3 y S R f v a U 0 8 E P n V w x 5 f T 8 3 u / z T Z L r G + a p H z 5 L R W j 0 + v O X P / H / Y h r 9 n M Y r V j c 9 / M n / N / P R 7 g / f y s U Y a X / v i 5 9 1 I n 1 9 I j 3 4 f w W N j k 8 / / X 8 x j X 5 O l b Y R t r P f + + D / z V m m 3 R 9 + 5 B t z B J 7 8 P k + / S S L 9 7 D k C P 6 d y Z 3 n q J 3 7 v 4 2 + S X N 8 0 T / 2 / I n X 5 Y v f g + f + L i b T 3 s 5 x D u c v / P n 1 1 9 p x R e / n q 5 Z u z 0 9 d C v J e v v n x 5 + k r + x s v 6 I A Q H k J 8 8 f v 4 V D / 1 u t / G G l z G e r / / y 3 o e 8 f O 8 D X r 7 3 I W P e / 6 C X P 4 R g + z 7 B m O P k t / c D 4 h P u a w L Z 3 f F p A F b / O j A + g B S 7 O w E p d r 8 e A h / A Q r s 7 + 9 8 A A v c / B I F P P + T l B y E T R N y 8 L 1 / 9 1 N 7 X G 9 X B h y D 2 M E D s a y G w G 4 r J 1 4 P x I b y x + w 3 w x t 4 H a J n d D 1 H L e x 8 u 2 / s 7 H w 7 j / j c A 4 + E 3 A 8 M n 5 t G T r M y W P 8 j S z / N l X m f l 1 4 P Y 0 e O x r M / e / e O v B T v g m 6 8 5 4 o B 9 v g 6 M X f z / x j G + / q k v T 7 8 e 7 J v p 9 / W 0 F 2 A H 5 v G n n p 3 9 / l + c 7 H w N E Q a o Q A 0 Y U L / / T + x 8 X X i + u T h 6 8 8 X v v f 3 F F 8 f U 7 M X X p K J v Q B j c T 7 4 + e / 6 T X 4 P t A C w 0 K L t 3 d / b v 7 u 3 s f v r 1 g P k W 5 G j n 4 O 7 O Q w C 7 n + 4 e P N q 5 9 + j + 1 y R f Y F o + W I 5 3 O 6 6 z N + h 0 9 / 6 j v X u P 9 r / e 6 H c D y T n 5 8 s X T s 5 M v X 3 + 9 O e 6 Y Q g / D v U f 3 H j z 6 m v M T G M d b T f Z d G 4 n 8 5 P E r g c 2 / / O S L 4 y + O f u r s 9 6 e G 9 3 5 / C C z + R h u K e c R w 8 m + P f / L l 8 a v X F N r Q M p 3 5 9 f H r s 8 9 f 4 A P + + f j L l 2 + O n t A K F X 4 + f v 7 l d 4 9 Y y v A L / v r 9 T 3 / v N 4 B n f n 3 8 7 b P P v 3 3 E K P N v / L c 0 0 o + k G b V / 8 3 u / 4 S i P f / v 9 n 5 + + g E f h / c W v a i P 9 1 b T y / 3 z 8 7 V e / j 2 n F v 9 l G 7 q / H P 6 k t f t J 8 A m 1 u / 3 j 8 7 d P n L 3 / / 4 5 8 8 P u P g 7 o v X n / / + L z g W P P v y y X d e f H G 0 8 + z s 9 Q k o S b M j n / D Q T 7 5 4 a V 2 A G P V f / v 7 P f p / T 4 1 c 3 E / / l R u K f / o R H f O K G / Q 7 1 7 U d u A g z J 8 I m j 8 f + X q C 2 E e w 9 q 7 5 z 9 / m 6 W f s T t H 0 r / 9 + b 2 n d e / / 8 m X X 7 y k f 5 6 e / v 6 7 N 0 / B 6 9 v z P E x M d w 7 M R z f x / N H n 1 a T I 6 2 W V n j Z t N q v S W Z 6 + r p Z V n R n q B 3 O y / / / a S b H E f b 9 Z + V n S Q f f 7 O u j + r e b j h y o D R 6 c / n d f T Y l p U Q u m v T f y v p 5 F e / / 5 P v n p 9 f D P p u 6 I A o E R s J Z X + M G T 8 f w l p P 4 C T i S i / / / G r 0 + M b i H m X / / 3 2 8 Y u n z x G K w D X S P x 6 / f n P 8 h n 6 8 o f z x 7 / 8 T X 5 2 + + n 2 A o f f X 4 7 M X L 7 9 6 8 w U J C x b 2 3 B + S 6 X 1 + 9 p r R P / n q 1 e / 1 U / j l 9 a u n g A d H a 3 t n f x s K X z 9 6 T G r w 7 C e P f i + y r / L b 4 9 d f v a T s 9 e v X v / 8 X 9 M / x 5 6 c W 2 u u v v u D k 8 u / / 6 s v v v s Y s h x + 4 7 0 + + f P 7 V F y / C J u a z x 1 8 R n X / / 4 5 M 3 Z z 9 5 y u 8 B s v + Z N s T H L 3 7 / k 2 8 T 0 / z + X 7 6 w X X Y / 8 t v Q m 6 9 B p u 5 H 1 O b 1 m 1 d f n d i X u E 3 4 k d + G X 9 o N 2 g i c 1 9 + m W X z 6 J W X v T 1 + 8 A X 3 e H D N d O h 8 f K 7 n C j 4 n a 0 h o w d 3 9 / w y r D A X z Y U N 7 b 0 z 8 9 Q K / P n v 7 + Z y + e n v 7 e T O 7 u Z 6 Y V r V T g w 2 d n v z d G 3 / / Q g H d v m m b + Z 6 Z V B F r w 4 W M M F r P w 4 n N Z E T n 9 r p 3 r s x f k 6 J 8 9 5 V 9 f v / j y D a 1 J v P l 9 W B q P i U i / D 8 3 H q z P k D f w / 0 Q c z 6 9 1 X p 8 T / r 0 n N E Y d + 9 Z x + f n H 8 e / / + v / c R M v r y G 3 / w + x z t H e w + l I 9 I V j 5 / R X h 9 + e z Z c w p 3 S e 8 c P W Z a U d v f B z + p w d O j j 0 / W + b L N Y D s X 2 X V V P 7 5 L M c r Z 0 c 7 n z 4 k v T 7 7 8 6 g U 5 T I T H m 6 N v 0 y / U 7 d 0 v F d B e C I i H F X v t 9 w p f u 9 f t / 0 3 V Z m X 6 N J 8 U b Z U e T 9 s 1 4 k r B w W e R k E U I 9 M n A 9 w e f 0 y L y C b p + H f a 8 H + / 5 p M 5 n 3 1 D X p w g 4 Y 1 3 f 7 3 b 9 O i t n 3 0 i X z + / 9 P v E u P 4 1 3 + b S Y f l B / r 5 6 d x f t 7 s H l e l 2 1 e F 4 6 7 v l b f v / e r v X j f B z f M 7 D f Q + e v 9 v S / i n T 8 c m N t v o t P j 0 0 / j n S K J M j C 9 x x / U 4 + c v f 2 K g x 5 7 i e A 3 + T b f T 1 x j r 1 + n 0 7 C d f f P X y 9 9 k 7 O P j J 7 3 x 7 o N O O k u F O l 9 r p 9 I M 6 f b j 7 k 7 s D n f Z U 1 J e v v h Z R z 3 7 y y 8 8 f / F 6 f P z z 7 i d / 7 e K C r n k 4 6 f v l h X f 3 e B w P a b 7 e n g 7 5 8 9 f J D u v r O v d 9 r Q N s h P u 6 O 6 s O 6 e v i T A 1 p u t 6 d 2 Q u n b 3 r 1 1 v 1 / u v X n x n c + / f P p m 5 / P 7 P 7 X / 5 s 3 v 9 f t 8 8 c X 9 L 9 4 M 9 N t T O R 5 j L t s P 7 P b J 7 / N 0 o N u + s p H u 3 l s M Y 9 2 e P f y 9 4 9 3 u 9 b Q N S c Q H d / f l 8 w G p x 0 p K T y o + u L u v f u 8 B e d / r K R m S j A / t 7 s X u w f O B 7 n r q h a T j g 7 t 7 8 H v d H 2 A Z 7 W 3 P 9 P Y q b 9 Y l p 0 t a W M k B f + / k i A K Y L 4 y A n 3 R 8 P 8 M P O w z 0 D L 7 f m 6 P j u K N n O t 7 b u 7 d 7 f 2 f 3 4 d 6 n 9 x / u j R 9 8 K h 3 L q 0 / j n t r X e N V o O f P q z o a 2 R k 3 d p q 3 R M x a l + 7 v 7 + w 8 f P N j f u f 9 w v H e w 4 U 2 j K d 7 / T S P s t 8 H P O g T a m N 3 x e M s u R 2 w E a 2 T j V o 2 7 U 7 6 x c X e S N z Z + n 2 m 1 5 u d W j T s T u 4 F u 3 Y n c C P Z 9 5 s 6 q 1 1 s 1 f p / p s 6 r t V o 3 f a / q 0 7 T 2 j V i Q F 2 6 T P i m W 2 n F J a t m o G V c v n r 7 9 8 M a B Z D M I W r r S 9 B a C B O N M A e g 8 d Y j j z a 7 x q + N S 8 e h v 1 c 5 u 2 h k t N 2 9 1 7 u / f u P 9 i n / x 4 + H H 9 6 7 x b q 5 / 3 f N C x 8 G / y s + t H G t 1 A / t w L b Z Y d b q Z 9 b N e 5 O 8 q 3 U z 6 0 a v 8 + 8 W v V z M 9 2 6 E 3 k r 9 X O b x l b 9 3 K r x + 0 y f V T + 3 a v x e 0 6 d t 9 4 2 a e J K V p H b y 9 P N 8 m d c b v B p o j O M b d I 8 F q o 1 v A 2 p A + x h Q u / s 7 D x 4 + u H / / w b 0 H O / v j h 7 d Q P t 6 b B w / p / / c e H N z b H R 8 c 3 E L 5 m F e 3 H 3 5 6 f + / T / d 2 9 T 8 c P N 7 1 n G N a 8 d x t F Z N H b e 0 C 9 7 B / s 0 j / j g 9 s o o v d / 0 z D z b f C z i k g b 3 0 I R v S + 5 r F I y L 9 7 2 v S 5 T 3 L r D L k / c S l e 9 L 3 b v w w V W b d 1 M 5 e 6 0 3 0 p t 3 a a x V V u 3 a t y d 7 F u p r V s 1 7 s 7 q b d T W f a N h K I l V X F Y b V Y y J W o e 0 l Y W l j W 8 D a k B b G V C 7 e w / v 7 R 0 8 u L + z 8 3 B v d / z g w S 3 U l f f q L m m q + w f 7 9 O / 4 0 / 1 b q C v z 6 v 1 P P 9 1 5 c P / B g 5 0 H u + P 7 m 1 S k 4 V T 7 4 v 3 d n X v 0 8 s N 7 9 8 b 7 n 9 5 C e Z k X H x 7 c u 3 d A g 7 y / v z O + v w l V w 8 T m x f 1 7 e / f 2 7 + 0 f E M L j n U 1 S Z R j 6 v V G 1 e k z f v I U e s 1 N w f + f e w 9 1 P d + 8 d j H c 3 q V W r x 8 y L 2 7 d + s 8 s w G 3 m + x y K 3 7 a X L I B t 7 6 T L F 7 Q f T 4 Y p b 6 L L 3 n 8 0 u H 2 z f + l W r 5 m 5 D B a v m 3 h t D q / N u 1 U 1 3 / m 8 / H I P g p 6 E G T E + K e r o u M 0 r b b t Z g N 2 l D C 9 e 0 v h W w A X 1 o g O 1 i u W C H F N v e v Y e f j u / d x n 3 z X j 2 4 t 3 P / 4 N P 9 T / f 3 x / c V o Y 3 6 0 L y 6 v 3 P v w R 6 F a / f v j X c 2 k d R w v n m P d N O 9 h z u k 0 3 b H u 5 t 0 k + F 7 2 9 8 9 y k t 9 e v / e w / 3 x v d s 4 c n a I 9 F A u 6 + H D e 2 O I 7 O B 7 R g b e F 0 + r C v X F W 6 h C 0 8 X B z r 1 7 O w 8 e 3 L / B c b a a 0 L y 3 f d s X u 5 x y K 0 X 4 v t h 1 G e N W e v C 9 h 9 J h h 1 u o w f e e y C 4 H b N / 2 z b 2 d x 7 c n g V W C 7 4 u f 1 Y G 3 6 q U 7 9 b c e j E H v g V F V p + e 5 K M H r 9 P Q X r Y v L r M y X N y i u m 9 S g h W 2 b 3 w 7 c g C I 0 4 H Y p F f a Q / n 9 w c J + 0 0 s b k t W F 2 / 9 V P H + 7 s P X j w 6 f 1 P x / u 3 U Y T 2 1 Y f 3 7 + 1 9 u r t 7 / 8 F 4 7 9 N b K E L 7 H q l P 8 g L 2 P t 3 Z r L M N 5 5 v 3 9 j 4 l x f v p g w P K z 3 + 6 a Y h G D s x 7 8 D Z 2 H 5 A m H O 9 t 6 s 5 I w f u i a f W g v n g L P W h H d I + 6 o D z C p + O D T c 6 8 1 Y P m v e 3 b v t h l l F v p w f f F r s s X t 9 K D 7 z 2 U D j f c Q g + + 9 0 R 2 O W D 7 t m 9 a Z / A 2 J L B 6 8 H 3 x s 3 r w V r 1 0 p / 7 W g z H o H X T 1 4 E 3 K 6 i b l Z w G 6 9 r c E O K D + D E C S 7 g f 7 u w f 3 2 A 3 c 2 e Q j G R b 3 3 z x A t m t n / + H 4 / i b + M 0 x u 3 9 x 7 + O A e a c D N c a b h d v P W / Q e f H h w c 7 B + M P 9 2 7 h e I z b 1 H o f f D p p x Q M 7 2 / y 4 w z b W w z v 7 d B y 5 s P d 2 y X x 3 g 9 D q / P 0 t V v o P N P B 9 v 7 + g 9 3 7 5 M 9 u D u 2 t z j P v 3 f K 1 L m / c t r s u Z 2 x U Y l 1 m u G U f X W 7 Y 2 E e H C W 6 h 7 9 5 z C r s z v 3 2 7 9 6 y u u 8 0 o r K 5 7 P 9 y s p r t V H 7 0 p v 1 0 n B r W H R i 2 d H H / n + H X 6 6 v T k + K u n 6 e u n X 9 6 o n n Z 3 8 N y g 9 S x 4 v H X X f + 2 9 o A + o Q A N 9 E 4 E M a 5 u 2 9 8 m L u p k 8 h s d v 0 4 N h 7 P f r w X C 4 e e s B U h W 3 V n P m r f d T c + + H o V V z + t o t 1 J z p Y P u W P X T Z 5 J a v d e f / t t 1 1 e e F W a u 4 9 c e t y w 6 3 U 3 M 0 U 7 k 7 8 L b H p z v w t K W X V 3 G 1 G Y d X c + + F m 1 d y t + v i 6 U 6 6 v g Z c 7 e i 4 9 f X Z 6 8 u b s J 2 + p 6 X Z v 0 H S u h 1 D V 7 b 4 n + A F V Z 8 H f p 1 j u 4 D 6 t S V D m 7 p 4 C 3 6 j 4 I m / S G s g t d J 9 9 c W f 8 Y F N H h u N N + 2 E u N u x + c 0 v D 7 j e 3 N B x + c 0 u r z 2 7 R t M c 3 N 9 D A a j L 7 w v Z N b / R m d q O m 6 M 3 m T e D 7 s 3 g b r X V 7 9 G 8 / l 1 Z 3 3 a L p 7 W f T q q h b N O 3 O 5 o a m 3 X n c 0 L Q 7 g R u G Z V r u 9 r X Q y b d P f + K r 0 9 s p i b 2 b d J C F H + o g 1 Z C 3 B j + k g w x 4 i j U p f z s G D w w y i G V Y 8 x K t 9 9 O C / + a X L N O a l 2 i N A r M 3 + I L l W 3 1 h e A 4 s v 9 7 Y 0 r L r j S 0 t t 9 7 Y 0 u m e m 5 v 2 u O U m I j j l Y 9 7 Y v v G V 3 p z e T v v c G q X e T N 5 O / d x + A L e f T 6 d / b m 5 6 + x l 1 + u f m p t 0 Z 3 d C 0 O 5 U b m n a n c M O w T M u 9 v v 4 h L 4 h 0 U P r m y e 1 0 x P 5 N K s h 2 E a q g / f c E P 6 S C D P h P d 3 b v 7 T 3 c 2 3 1 4 s L M 5 / 2 5 Z 1 3 t z j 3 p 6 8 P D e 7 n g T h 1 k O N i 9 S 0 m t 3 H 6 m y 3 U 3 9 W V b W 1 4 Z n x X L w j S 0 t A 9 / Y 0 v L v j S 2 d R r q 5 a Y 9 / b k c K p 5 f M e 9 u 3 f L E 3 3 b f T T u + J X m + G b 6 e j 3 n c w t 5 9 n p 6 l u b n r 7 m X a a 6 u a m 3 Z n e 0 L Q 7 u R u a d q d z w 7 B M y 3 t G j T z 7 8 s X T L 1 + n z 8 6 + Q / 8 + J V 1 F m u t G X Q I B v z l i s 3 1 Y V W X e e y / w Q 6 r K g N / E V Z Z 1 T e N 9 h n 0 b t X Q b 8 J Z n b w 3 e M u u t 3 7 A 8 e x u E L N f e G r z T U / r K b f S U g b 5 9 M / g e N 9 z 8 i p v h 2 3 f T m + i N r X u T f H M H v a n e 2 L o 7 z b f R S b f H p T f L N x P I K a n b 4 O / 0 1 K 2 R c v r q V h 1 8 n T k 2 r + w b v Q J d R c 7 V 2 c l x e r N S u X c r n W V h W 5 1 l 3 n s v 8 E M 6 y 4 D / 9 G D 3 / v 3 9 8 f 1 N u W j L 0 u / z k u V s 8 9 K t 1 J c 2 H u Z S y 8 8 3 t r T s f G N L y 8 U 3 t n Q 6 6 u a m P S 6 5 n X a 6 V e v e N N 5 O J d 2 q 9 X t N n N N G t 2 p 9 + 9 l z 2 u j m p r e f P 6 d 8 b m 7 a n b 8 N T b u T t 6 F p d + Y 2 D M u 0 v B / R M n u 3 U w N 7 N 2 k Z C z v U M u 8 L f k j L G P C k U R 9 8 S u v G D 2 + j Z d 7 n J c u s 5 q V b a R l t P E x 7 y 6 c 3 t r R s e m N L y 6 U 3 t n R a 5 u a m P S 6 5 n Z a 5 V e v e N N 5 O y 9 y q 9 X t N n N M y t 2 p 9 + 9 l z W u b m p r e f P 6 d l b m 7 a n b 8 N T b u T t 6 F p d + Y 2 D M u 0 / D S i Z e 7 d T g 3 c u 0 n L W N i h l n l f 8 E N a x o C n Z X V a X B 8 f 3 E r L v M 9 L l l n N S 7 f S M t p 4 m P a W T 2 9 s a d n 0 x p a W S 2 9 s 6 b T M z U 1 7 X H I 7 L X O r 1 r 1 p v J 2 W u V X r 9 5 o 4 p 2 V u 1 f r 2 s + e 0 z M 1 N b z 9 / T s v c 3 L Q 7 f x u a d i d v Q 9 P u z G 0 Y l m n 5 I K J l 9 m + n B v Z v 0 j I W d q h l 3 h f 8 k J Y x 4 H f 3 7 3 + 6 8 3 D 8 8 N P b a J n 3 e c k y q 3 n p V l p G G w / T 3 v L p j S 0 t m 9 7 Y 0 n L p j S 2 d l r m 5 a Y 9 L b q d l b t W 6 N 4 2 3 0 z K 3 a v 1 e E + e 0 z K 1 a 3 3 7 2 n J a 5 u e n t 5 8 9 p m Z u b d u d v Q 9 P u 5 G 1 o 2 p 2 5 D c M y L Q 8 i W k Z z F T e p g f s 3 a R k L O 9 Q y 7 w t + S M s Y 8 L t 7 n + 5 + u j f + V P M 9 0 f F a L n 2 f l y y z m p d u p W W 0 8 T D t L Z / e 2 N K y 6 Y 0 t L Z f e 2 N J p m Z u b 9 r j k d l r m V q 1 7 0 3 g 7 L X O r 1 u 8 1 c U 7 L 3 K r 1 7 W f P a Z m b m 9 5 + / p y W u b l p d / 4 2 N O 1 O 3 o a m 3 Z n b M C z T 8 m F E y 3 x 6 O z X w 6 U 1 a x s I O t c z 7 g h / S M g b 8 7 s 6 n 7 J b c R s m 8 x z u W V c 0 7 t 9 I x 2 n i Y 8 p Z L b 2 x p m f T G l p Z H b 2 z p d M z N T X s 8 c j s d c 6 v W v U m 8 n Y 6 5 V e v 3 m j i n Y 2 7 V + v a z 5 3 T M z U 1 v P 3 9 O x 9 z c t D t / G 5 p 2 J 2 9 D 0 + 7 M b R i W t g T O P R 3 z 4 H Z K 4 M E N O s b B D n X M + 4 I f 0 D E W / P 7 B z j 6 l c R 9 q T j k 6 X s O l 7 / W S Y V b 7 0 m 2 0 j G k 8 T H v D p z e 3 N G x 6 c 0 v D p T e 3 t F r m F k 1 7 X H I r L X O 7 1 r 1 p v J W W u V 3 r 9 5 o 4 q 2 V u 1 / r 2 s 2 e 1 z C 2 a P r x 1 U 6 t l b t G 0 O 3 + 3 0 D K 3 a N q d u V t o m d 2 I l l H 7 f p M a e H i T l r G w Q y 3 z v u C H t I w B / + D B / o N 7 O + M 9 1 V 6 b t c z 7 v G S Z 1 b x 0 K y 2 j j W + h Z W 5 s a d n 0 x p Z W y 9 z Y 0 m m Z m 5 v 2 u O R 2 W u Z W r X v T e D s t c 6 v W 7 z V x T s v c q v X t Z 8 9 p m Z u b 3 n 7 + n J a 5 u W l 3 / j Y 0 7 U 7 e h q b d m d s w L N N y L 6 J l d p X M N + g B N N u s Z i z w Q M 2 8 N / g h N W P A P 9 x 5 C F Y Z 5 A z L o r d 9 w X K p e e F W 6 k U b D x P d M u i N L S 1 / 3 t j S s u e N L Z 1 6 u b l p j z 1 u p 1 5 u 1 b o 3 f b d T L 7 d q / V 4 T 5 9 T L r V r f f v a c e r m 5 6 e 3 n z 6 m X m 5 t 2 5 2 9 D 0 + 7 k b W j a n b k N w z I t 7 8 X U y + 7 t 5 H / 3 J v V i g Y f q 5 X 3 B D 6 k X A 3 5 3 f / / T h / f G n x 7 c R s W 8 z 0 u W W 8 1 L t 1 I z 2 n i Y + J Z R b 2 x p + f T G l p Z N b 2 z p 1 M z N T X t s c j s 1 c 6 v W v W m 8 n Z q 5 V e v 3 m j i n Z m 7 V + v a z 5 9 T M z U 1 v P 3 9 O z d z c t D t / G 5 p 2 J 2 9 D 0 + 7 M b R i W a b k f U z N 7 t 9 M D e z e p G Q s 8 V D P v C 3 5 I z R j w l M L d 3 T k Y f 3 o b L f M e 7 1 h e N e / c S s l o 4 2 H S W z a 9 s a X l 0 h t b W i a 9 s a V T M j c 3 7 T H J 7 Z T M r V r 3 J v F 2 S u Z W r d 9 r 4 p y S u V X r 2 8 + e U z I 3 N 7 3 9 / D k l c 3 P T 7 v x t a N q d v A 1 N u z O 3 Y V i m 5 f 2 Y k r l 3 O y 1 w 7 y Y l Y 4 G H S u Z 9 w Q 8 p G Q P + 3 s H D g / s P x v d V e U U H b N n 0 f V 6 y 3 G p e u p W a 0 c b D x L e M e m N L y 6 c 3 t r R s e m N L p 2 Z u b t p j k 9 u p m V u 1 7 k 3 j 7 d T M r V q / 1 8 Q 5 N X O r 1 r e f P a d m b m 5 6 + / l z a u b m p t 3 5 2 9 C 0 O 3 k b m n Z n b s O w T M t P Y 2 p m / 3 Z 6 Y P 8 m N W O B h 2 r m f c E P q R k D f n f v 0 / 3 d n f G e w o 0 O 2 L L p + 7 x k u d W 8 d C s 1 o 4 2 H i W 8 Z 9 c a W l k 9 v b G n Z 9 M a W T s 3 c 3 L T H J r d T M 7 d q 3 Z v G 2 6 m Z W 7 V + r 4 l z a u Z W r W 8 / e 0 7 N 3 N z 0 9 v P n 1 M z N T b v z t 6 F p d / I 2 N O 3 O 3 I Z h m Z Y P Y m r m / u 3 0 w P 2 b 1 I w F H q q Z 9 w U / p G Y M + N 2 9 v f u f 7 o 1 3 b q V m 3 u c l y 6 3 m p V u p G W 0 8 T H z L q D e 2 t H x 6 Y 0 v L p j e 2 d G r m 5 q Y 9 N r m d m r l V 6 9 4 0 3 k 7 N 3 K r 1 e 0 2 c U z O 3 a n 3 7 2 X N q 5 u a m t 5 8 / p 2 Z u b t q d v w 1 N u 5 O 3 o W l 3 5 j Y M y 7 Q 8 i K m Z T 2 + n B z 6 9 Q c 0 4 4 K G a e V / w Q 2 r G g N + 9 T 8 1 v o 2 J u + 4 L l U v P C r d S L N h 4 m u m X Q G 1 t a / r y x p W X P G 1 s 6 9 X J z 0 x 5 7 3 E 6 9 3 K p 1 b / p u p 1 5 u 1 f q 9 J s 6 p l 1 u 1 v v 3 s O f V y c 9 P b z 5 9 T L z c 3 7 c 7 f h q b d y d v Q t D t z G 4 Z l W j 6 M q Z c H t 5 P / B z e p F w s 8 V C / v C 3 5 I v R j w u 3 s P s V R 0 7 + A 2 K u Z 9 X r L c a l 6 6 l Z r R x s P E t 4 x 6 Y 0 v L p z e 2 t G x 6 Y 0 u n Z m 5 u 2 m O T 2 6 m Z W 7 X u T e P t 1 M y t W r / X x D k 1 c 6 v W t 5 8 9 p 2 Z u b n r 7 + X N q 5 u a m 3 f n b 0 L Q 7 e R u a d m d u w 7 C 0 5 b 2 d m J p R 0 b t J D x z c o G Y c 8 F D N v C / 4 A T V j w e / v H x w 8 G B / s 3 0 L L v M 8 7 h l f t O 7 d R M q b x M O k N m 9 7 c 0 n D p z S 0 N k 9 7 c 0 i q Z W z T t M c m t l M z t W v c m 8 V Z K 5 n a t 3 2 v i r J K 5 X e v b z 5 5 V M r d o e v v 5 s 0 r m F k 2 7 8 7 e h a X f y N j T t z t y G Y Z m W u z E l 8 / B 2 W u D h T U r G A g + V z P u C H 1 I y B v z + z u 1 C p V u / Y L n U v H A r 9 a K N h 4 l u G f T G l p Y / b 2 x p 2 f P G l k 6 9 3 N y 0 x x 6 3 U y + 3 a t 2 b v t u p l 1 u 1 f q + J c + r l V q 1 v P 3 t O v d z c 9 P b z 5 9 T L z U 2 7 8 7 e h a X f y N j T t z t y G Y Z m W e x H 1 s q d k v k H + 0 W y z e r H A A / X y 3 u C H 1 I s B f + + 2 6 u W 2 L 1 g u N S / c S r 1 o 4 2 G i W w a 9 s a X l z x t b W v a 8 s a V T L z c 3 7 b H H 7 d T L r V r 3 p u 9 2 6 u V W r d 9 r 4 p x 6 u V X r 2 8 + e U y 8 3 N 7 3 9 / D n 1 c n P T 7 v x t a N q d v A 1 N u z O 3 Y V i m 5 b 2 Y e t m 9 n f z v 3 q R e L P B Q v b w v + C H 1 Y s A / f P D g 4 G B 8 s H c b D f M e 7 1 h e N e / c S s l o 4 2 H S W z a 9 s a X l 0 h t b W i a 9 s a V T M j c 3 7 T H J 7 Z T M r V r 3 J v F 2 S u Z W r d 9 r 4 p y S u V X r 2 8 + e U z I 3 N 7 3 9 / D k l c 3 P T 7 v x t a N q d v A 1 N u z O 3 Y V i m 5 X 5 M y a j o 3 a Q F 9 m 5 S M h Z 4 q G T e F / y Q k j H g 9 z 5 9 8 O n 9 h + P 9 e 7 f R M u / z k u V W 8 9 K t 1 I w 2 H i a + Z d Q b W 1 o + v b G l Z d M b W z o 1 c 3 P T H p v c T s 3 c q n V v G m + n Z m 7 V + r 0 m z q m Z W 7 W + / e w 5 N X N z 0 9 v P n 1 M z N z f t z t + G p t 3 J 2 9 C 0 O 3 M b h m V a 3 o + p m f 3 b 6 Y H 9 m 9 S M B R 6 q m f c F P 6 R m D P h b h 0 q 3 f c F y q X n h V u p F G w 8 T 3 T L o j S 0 t f 5 q W g y 0 t e 9 7 Y 0 q m X m 5 v 2 2 O N 2 6 u V W r X v T d z v 1 c q v W 7 z V x T r 3 c q v X t Z 8 + p l 5 u b 3 n 7 + n H q 5 u W l 3 / m 6 j X m 5 u 2 p 2 5 W 6 i X T 2 P q 5 f 7 t 5 P / + T e r F A g / V y / u C H 1 I v B v y D / U 9 v p 1 5 u + 4 L l U v P C r d S L N r 6 F e r m x p e X P G 1 t a 9 r y x p V M v N z f t s c f t 1 M u t W v e m 7 3 b q 5 V a t 3 2 v i n H q 5 V e v b z 5 5 T L z c 3 v f 3 8 O f V y c 9 P u / G 1 o 2 p 2 8 D U 2 7 M 7 d h W K b l g 5 h 6 + f R 2 8 v / p T e r F A g / V y / u C H 1 I v B v z u w c H O g 4 P x / q 1 S M e / z k u V W 8 9 K t 1 I w 2 H i a + Z d Q b W 1 o + v b G l Z d M b W z o 1 c 3 P T H p v c T s 3 c q n V v G m + n Z m 7 V + r 0 m z q m Z W 7 W + / e w 5 N X N z 0 9 v P n 1 M z N z f t z t + G p t 3 J 2 9 C 0 O 3 M b h m V a H s T U z M H t 9 M D B T W r G A g / V z P u C H 1 I z B v z u / q f 7 D 3 b G C A 0 H u c O y 6 f u 8 Z L n V v H Q r N a O N h 4 l v G f X G l p Z P b 2 x p 2 f T G l k 7 N 3 N y 0 x y a 3 U z O 3 a t 2 b x t u p m V u 1 f q + J c 2 r m V q 1 v P 3 t O z d z c 9 P b z 5 9 T M z U 2 7 8 7 e h a X f y N j T t z t y G Y Z m W D 2 N q 5 u H t 9 M D D m 9 S M B R 6 q m f c F P 6 R m D P g D i n 1 2 x / c 0 B o u O 1 3 L p e 7 x j e d W 8 c y s l o 4 2 H S W / Z 9 M a W l k t v b G m Z 9 M a W T s n c 3 L T H J L d T M r d q 3 Z v E 2 y m Z W 7 V + r 4 l z S u Z W r W 8 / e 0 7 J 3 N z 0 9 v P n l M z N T b v z t 6 F p d / I 2 N O 3 O 3 I Z h a c v 9 n Y i S u a d k v k E L o N l G J e O A B 0 r m v c E P K B k L f v f e / t 6 9 v f v j B w e 3 U D P v 9 5 b h V / v W b R S N a T x M f s O q N 7 c 0 n H p z S 8 O o N 7 e 0 i u Y W T X u M c i t F c 7 v W v Y m 8 l a K 5 X e v 3 m j i r a G 7 X + v a z Z x X N L Z r e f v 6 s o r l F 0 + 7 8 b W j a n b w N T b s z t 2 F Y p u V u T N H s 3 k 4 T 7 N 6 k a C z w U N G 8 L / g h R W P A 7 + 7 u 3 D u 4 P 9 5 V u N E B W z Z 9 n 5 c s t 5 q X b q V m t P E w 8 S 2 j 3 t j S 8 u m N L S 2 b 3 t j S q Z m b m / b Y 5 H Z q 5 l a t e 9 N 4 O z V z q 9 b v N X F O z d y q 9 e 1 n z 6 m Z m 5 v e f v 6 c m r m 5 a X f + N j T t T t 6 G p t 2 Z 2 z A s 0 3 I v p m Y 0 L X q T H t i 7 S c 1 Y 4 K G a e V / w Q 2 r G g N 9 F I u f + e P / B b d T M + 7 x k u d W 8 d C s 1 o 4 2 H i W 8 Z 9 c a W l k 9 v b G n Z 9 M a W T s 3 c 3 L T H J r d T M 7 d q 3 Z v G 2 6 m Z W 7 X u T t w t 1 c y t Y N 9 + 9 p y a u b n p 7 e f P q Z m b m 3 b n b 0 P T 7 u R t a N q d u Q 3 D M i 3 v x d T M v d v p g X s 3 q R k L P F Q z 7 w t + S M 0 Y 8 P e p 9 S b O s C x 6 2 x c s l 5 o X b q V e t P E w 0 S 2 D 3 t j S 8 u e N L S 1 7 3 t j S q Z e b m / b Y 4 3 b q 5 V a t e 9 N 3 O / V y q 9 b v N X F O v d y q 9 e 1 n z 6 m X m 5 v e f v 6 c e r m 5 a X f + N j T t T t 6 G p t 2 Z 2 z A s 0 3 I / p l 7 2 b y f / + z e p F w s 8 V C / v C 3 5 I v R j w u z v 3 9 + 7 d G x / s 3 k b F v M 9 L l l v N S 7 d S M 9 p 4 m P i W U W 9 s a f n 0 x p a W T W 9 s 6 d T M z U 1 7 b H I 7 N X O r 1 r 1 p v J 2 a u V X r 9 5 o 4 p 2 Z u 1 f r 2 s + f U z M 1 N b z 9 / T s 3 c 3 L Q 7 f x u a d i d v Q 9 P u z G 0 Y l m l 5 P 6 Z m d N 3 l J j 1 w / y Y 1 Y 4 G H a u Z 9 w Q + p G Q P + 3 s M H D x / e R s X c 9 g X L p e a F W 6 k X b T x M d M u g N 7 a 0 / H l j S 8 u e N 7 Z 0 6 u X m p j 3 2 u J 1 6 u V X r 3 v T d T r 3 c q v V 7 T Z x T L 7 d q f f v Z c + r l 5 q a 3 n z + n X m 5 u 2 p 2 / D U 2 7 k 7 e h a X f m N g z L t P w 0 p l 4 + v Z 3 8 f 3 q T e r H A Q / X y v u C H 1 I s B / / D g 0 9 s F S b d 9 w X K p e e F W 6 k U b D x P d M u i N L S 1 / 3 t j S s u e N L Z 1 6 u b l p j z 1 u p 1 5 u 1 b o 3 f b d T L 7 d q / V 4 T 5 9 T L r V r f f v a c e r m 5 6 e 3 n z 6 m X m 5 t 2 5 2 9 D 0 + 7 k b W j a n b k N w z I t H 8 T U i 6 Y / b 5 L / B z e p F w s 8 V C / v C 3 5 I v R j w t 8 7 B 3 P Y F y 6 X m h V u p F 2 0 8 T H T L o D e 2 t P x 5 Y 0 v L n j e 2 d O r l 5 q Y 9 9 r i d e r l V 6 9 7 0 3 U 6 9 3 K r 1 e 0 2 c U y + 3 a n 3 7 2 X P q 5 e a m t 5 8 / p 1 5 u b t q d v w 1 N u 5 O 3 o W l 3 5 j Y M y 7 Q 8 i K m X g 9 v J / 8 F N 6 s U C D 9 X L + 4 I f U i 8 G / M H + 7 v 7 D 8 c H e b T T M e 7 x j e d W 8 c y s l o 4 2 H S W / Z 9 M a W l k t v b G m Z 9 M a W T s n c 3 L T H J L d T M r d q 3 Z v E 2 y m Z W 7 V + r 4 l z S u Z W r W 8 / e 0 7 J 3 N z 0 9 v P n l M z N T b v z t 6 F p d / I 2 N O 3 O 3 I Z h m Z Y P Y 0 p G s x M 3 a Y G H N y k Z C z x U M u 8 L f k j J G P C 7 D 3 Z 3 H u y P P 9 X M T n T A l k 3 f 5 y X L r e a l W 6 k Z b T x M f M u o N 7 a 0 f H p j S 8 u m N 7 Z 0 a u b m p j 0 2 u Z 2 a u V X r 3 j T e T s 3 c q v V 7 T Z x T M 7 d q f f v Z c 2 r m 5 q a 3 n z + n Z m 5 u 2 p 2 / D U 2 7 k 7 e h 6 b 3 H d 2 / Z 1 P R / f y e i Z v a V z D f o A T T b q G Y c 8 E D N v D f 4 A T V j w X + 6 v 3 / v 4 O F 4 / x Z a x n v n 3 s G n 9 8 e Y 3 s G X D L P a l + 7 v 7 Y 8 x d Y N v G I Y 1 b w x P g G H W m 1 s a X r 2 5 p W H V m 1 t a V X O L p j 1 W u Z E K V t / Y V 7 Z v f q c 3 q 7 f S O u + B V G 8 2 b 6 V 6 3 m c I t 5 9 T q 4 B u 0 f T 2 s 2 o V 0 C 2 a d m d 1 Q 9 P u b G 5 o 2 p 3 E D c M y L X d j C k j J f J O G 2 L 1 J A V n g o Q J 6 X / B D C s i A P 7 h l r u b W L 1 h e N S 9 s a m x Z V R s P E 9 0 y 6 I 0 t L X / e 2 N K y 5 4 0 t n d K 5 u W m P P T Y K a 2 + + N 7 b u T d / t N M 2 t W r / X x D k l c 6 v W t 5 8 9 p 1 5 u b n r 7 + X P q 5 e a m 3 f n b 0 L Q 7 e R u a d m d u w 7 B M y 7 2 Y e t E M x k 3 y v 3 e T e r H A Q / X y v u C H 1 I s B v 7 d 7 s P d g Z 4 x R D 3 K H Z d P 3 e c l y q 3 n p V m p G G w 8 T 3 z L q j S 0 t n 9 7 Y 0 r L p j S 2 d m r m 5 a Y 9 N b q d m b t W 6 N 4 2 3 U z O 3 a v 1 e E + f U z K 1 a 3 3 7 2 n J q 5 u e n t 5 8 + p m Z u b d u d v Q 9 P u 5 G 1 o 2 p 2 5 D c M y L e / F 1 M y 9 2 + m B e z e p G Q s 8 V D P v C 3 5 I z R j w 1 P 7 B Q / J x H 9 x G z b z P S 5 Z b z U u 3 U j P a e J j 4 l l F v b G n 5 9 M a W l k 1 v b O n U z M 1 N e 2 x y O z V z q 9 a 9 a b y d m r l V 6 / e a O K d m b t X 6 9 r P n 1 M z N T W 8 / f 0 7 N 3 N y 0 O 3 8 b m n Y n b 0 P T 7 s x t G J Z p u R 9 T M / u 3 0 w P 7 N 6 k Z C z x U M + 8 L f k j N G P A P H 9 7 b P b h d s u b 2 r 1 h O N a / c S s V o 4 2 H C W y a 9 s a X l 0 R t b W h a 9 s a V T M T c 3 7 b H I 7 V T M r V r 3 p v B 2 K u Z W r d 9 r 4 p y K u V X r 2 8 + e U z E 3 N 7 3 9 / D k V c 3 P T 7 v x t a N q d v A 1 N u z O 3 Y V i m 5 f 2 Y i t G 1 m J t 0 w P 2 b V I w F H q q Y 9 w U / p G I M + P v 3 9 h 7 e e z D e v 5 U n 8 z 4 v W W 4 1 L 9 1 K z W j j Y e J b R r 2 x p e X T G 1 t a N r 2 x p V M z N z f t s c n t 1 M y t W v e m 8 X Z q 5 l a t 3 2 v i n J q 5 V e v b z 5 5 T M z c 3 v f 3 8 O T V z c 9 P u / G 1 o 2 p 2 8 D U 2 7 M 7 d h W K b l p z E 1 8 + n t 9 M C n N 6 k Z C z x U M + 8 L f k j N G P C 7 + 7 t 7 D 8 k v u X c b N f M + L 1 l u N S / d S s 1 o 4 2 H i W 0 a 9 s a X l 0 x t b W j a 9 s a V T M z c 3 7 b H J 7 d T M r V r 3 p v F 2 a u Z W r d 9 r 4 p y a u V X r 2 8 + e U z M 3 N 7 3 9 / D k 1 c 3 P T 7 v x t a N q d v A 1 N u z O 3 Y V i m 5 Y O Y m l E L f 5 M e e H C T m r H A Q z X z v u C H 1 I w B f / + 2 q 0 t 4 4 T Y v W C 4 1 L 9 x K v W j j Y a J b B r 2 x p e X P G 1 t a 9 r y x p V M v N z f t s c f t 1 M u t W v e m 7 3 b q 5 V a t 3 2 v i n H q 5 V e v b z 5 5 T L z c 3 v f 3 8 O f V y c 9 P u / G 1 o 2 p 2 8 D U 2 7 M 7 d h W K b l Q U y 9 H N x O / g 9 u U i 8 W e K h e 3 h f 8 k H o x 4 D / d v / f p p 2 P w 7 S B z W C 5 9 j 3 c s r 5 p 3 b q V k t P E w 6 S 2 b 3 t j S c u m N L S 2 T 3 t j S K Z m b m / a Y 5 H Z K 5 l a t e 5 N 4 O y V z q 9 b v N X F O y d y q 9 e 1 n z y m Z m 5 v e f v 6 c k r m 5 a X f + N j T t T t 6 G p t 2 Z 2 z A s 0 / J h R M m Y Z d 0 b t A C a b V Y y F n i g Z N 4 b / J C S M e B 3 9 2 7 r x N z 6 D c u n 5 o 1 b K R h t P E x 2 y 6 I 3 t r Q c e m N L y 6 A 3 t n Q K 5 u a m P Q a 5 n Y K 5 V e v e B N 5 O w d y q 9 X t N n F M w t 2 p 9 + 9 l z C u b m p r e f P 6 d g b m 7 a n b 8 N T b u T t 6 F p d + Y 2 D E t b f r o T U z B 7 t 9 M A e z c o G A c 8 V D D v C 3 5 A w V j w t w 2 S b v 2 C 4 V L 7 w m 3 U i 2 k 8 T H T D o D e 3 N P x 5 c 0 v D n j e 3 t O r l F k 1 7 7 H E r 9 X K 7 1 r 3 p u 5 V 6 u V 3 r 9 5 o 4 q 1 5 u 1 / r 2 s 2 f V y y 2 a 3 n 7 + r H q 5 R d P u / G 1 o 2 p 2 8 D U 2 7 M 7 d h W K b l b k y 9 3 L + d / N + / S b 1 Y 4 K F 6 e V / w Q + r F g N 9 7 s P v p w b 3 x p w 9 v o 2 L e 5 y X L r e a l W 6 k Z b T x M f M u o N 7 a 0 f H p j S 8 u m N 7 Z 0 a u b m p j 0 2 u Z 2 a u V X r 3 j T e T s 3 c q v V 7 T Z x T M 7 d q f f v Z c 2 r m 5 q a 3 n z + n Z m 5 u 2 p 2 / D U 2 7 k 7 e h a X f m N g z L t N y L q Z l P b 6 c H P r 1 J z V j g o Z p 5 X / B D a s a A v 7 U X c 9 s X L J e a F 2 6 l X r T x M N E t g 9 7 Y 0 v L n j S 0 t e 9 7 Y 0 q m X m 5 v 2 2 O N 2 6 u V W r X v T d z v 1 c q v W 7 z V x T r 3 c q v X t Z 8 + p l 5 u b 3 n 7 + n H q 5 u W l 3 / j Y 0 7 U 7 e h q b d m d s w L N P y X k y 9 P L i d / D + 4 S b 1 Y 4 K F 6 e V / w Q + r F g L 8 x p 2 J 5 9 N Z v W D 4 1 b 9 x K w W j j Y b J b F r 2 x p e X Q G 1 t a B r 2 x p V M w N z f t M c j t F M y t W v c m 8 H Y K 5 l a t 3 2 v i n I K 5 V e v b z 5 5 T M D c 3 v f 3 8 O Q V z c 9 P u / G 1 o 2 p 2 8 D U 2 7 M 7 d h W K b l f k z B H N x O A x z c p G A s 8 F D B v C / 4 I Q V j w H 9 6 W / 1 y 2 x c s l 5 o X b q V e t P E w 0 S 2 D 3 t j S 8 u e N L S 1 7 3 t j S q Z e b m / b Y 4 w b 1 8 j 6 t e 9 N 3 O / V y q 9 b v N X F O v d y q 9 e 1 n z 6 m X m 5 v e f v 6 c e r m 5 a X f + b q N e b m 7 a n b l b q J f 7 R g M 8 y Z b T q r n 7 J m + q O q / / 0 b 8 + u 0 k H 7 N 2 k X C x o 9 8 I t I Q 7 p E w P x 4 c M H 9 + / f e 3 D / 3 s H D + + M H D 2 + j W b x X 9 w 7 2 H 1 A C Z u f h G N N w s 4 4 x r + 7 u 3 9 v 5 9 N O D / U / 3 x w / 3 b 6 N v 7 I u 7 n 1 L G Z + / g w c H 4 3 q c b X r Q M b F 7 c 2 7 m / / 2 D n 3 v 7 B / f G B U m + z N j I v H j y 8 t 7 O 3 8 + n O g / H + p g 4 t b 7 8 v p k 5 V 6 Z u 3 U V V 2 V J 8 e P D y 4 f / / g 0 7 E x N P E X e 4 y 0 f d s 3 e w x z O w 3 2 v g j 2 O O R 2 y u y 9 h 9 P l i 9 s o t v e e 0 R 4 v b N / 2 V a f 3 b k M H p / r e F 0 W n C W / V T 4 8 J b j 0 g i + G n R o M d P 0 t 3 d t P X x 8 + f f p m e v D l O n x y / u F G Z 7 e z u 7 E B O N i t J 2 4 X x w O x 7 7 w V + S G M a 8 L f y v k z j + w c H e 5 + S B h n v b F K t l v v N a w e f H p B O P b i V a n R d P d y 9 9 + D e w / H D e 7 d R j O / 3 m h W G 2 1 D B 8 v / 7 9 e E 0 o b 5 3 G 0 1 o u t i + H a W d J n y / G X J 6 8 H 0 7 7 L H E 7 Z y 6 9 0 S v x w 2 3 c + 9 u J n R v 4 m 8 5 l z 0 e 2 L 7 d i 0 4 D 3 m Y k T g O + H 3 p O / 9 2 q l 9 j k 3 6 Y b i 9 2 D U P u d v f j 8 1 e n r L 1 / f T j P t 3 q T 4 L P R Q 8 a l H d m v w Q 4 r P g N 9 / u L P z K X l Q n 4 7 v b X L 2 L M O / 5 3 u W 9 c 1 7 m 6 b E 8 r s 2 H u Z g y + s 3 t r S s f m N L y 9 w 3 t n Q 6 7 e a m P W 7 Z K M O 9 2 d / Y u j e Z t 3 P j b t X 6 v S b O a a p b t b 7 9 7 D l N d X P T 2 8 + f U 0 c 3 N + 3 O 3 4 a m 3 c n b 0 L Q 7 c x u G Z V o e h N r m V J Q N J b x O f + K r 0 9 s p h R s j U t t H q H N u D k x D 8 E M 6 x 4 C n u O v g 4 a 0 8 r l u / Y d n V v H E r P a O N h 6 l v O f X G l p Z R b 2 x p + f T G l k 7 P 3 N y 0 x y e 3 0 z O 3 a t 2 b w N v p m V u 1 f q + J c 3 r m V q 1 v P 3 t O z 9 z c 9 P b z 5 / T M z U 2 7 8 7 e h a X f y N j T t z t y G Y Z m W D 0 M 9 c / a T x + n v k 5 5 8 + c X Z 6 7 M v X 9 x O E e z f p G d s H 6 G e 2 X 9 P 8 E N 6 x o B / u L N / c B s t c 8 v 2 l l V N + 1 v p G G 0 8 T H n L p T e 2 t E x 6 Y 0 v L o z e 2 d D r m 5 q Y 9 H r m d j r l V 6 9 7 k 3 U 7 H 3 K r 1 e 0 2 c 0 z G 3 a n 3 7 2 X M 6 5 u a m t 5 8 / p 2 N u b t q d v w 1 N u 5 O 3 o W l 3 5 j Y M S 1 s + 2 P F 1 z N 7 X y B t h 1 B t V j O s i U D F 7 O p e 3 B j + g Y i z 4 T b x h m P R W j Q 2 P 2 s a 7 D x 7 e u z / e l N U 2 j P o e r x h u f Y 9 X D N f e a h S G b 9 8 D v l V A 5 p 1 b K K B b 4 W I V 0 O 1 a v 9 f U W g V 0 u 9 a 9 y b 2 V A r p d 6 + 6 U 3 k I B v c / s 9 G Z 0 + + a X r E 6 6 1 Q i s W n o P t K x + u l 0 P v b m 9 x S A s V r u h s n q v N A / G t l l P W e i h n t p 9 T / B D e s q A R 1 5 / 9 9 O d T V S y L P 0 e 7 1 j G N u 9 s a m z 5 W h s P c 6 r l 6 R t b W p a + s a V l 5 G j L Y O Y t + 9 7 c t M c l t 9 N I t 2 r d m 8 T b a a R b t X 6 v i X M a 6 V a t b z 9 7 T i P d 3 P T 2 8 + f U z 8 1 N u / O 3 o W l 3 8 j Y 0 7 c 7 c h m G Z l n t G D z z 5 z t d Y S t u 7 x V K a 6 8 K p G n 3 v v c A P q R o D / l Y 6 5 j a N L Y + a x g 8 / p S W 0 8 f 7 9 2 + i Y 9 3 j H 8 u t 7 v G M Z 9 z Y D s a z 7 H h 0 4 J a Q v 3 U Y J 3 Q Y Z p 4 R u 1 f q 9 p t c p o V u 1 7 k 3 w 7 Z T Q r V p 3 J / U 2 S u h 9 p q c 3 p 9 u 3 e M t p p t u M w S m n 9 0 D M q a l b d d G b 3 t s M w + J 1 z 1 d a 7 x 3 H 7 d 0 m j r N d B E r r N n F c A H 5 I a R n w D 3 Y + v X 9 / v P / w N r r L v L P 3 c O / e R h f S 8 r d 5 4 9 6 D B / v 3 d s f 3 9 2 + j w e x L O w 8 / f f h w v H c r F f Y + L 1 m + N y / d S o e 9 T w 9 O i e l b t 1 F i p o N P H z y 4 t z f e 2 z Q l T p e Z l 7 Z v 8 1 Z v 9 m + n 0 9 4 H s d 7 U 3 0 6 1 v d c w u p N + G x X 3 X r P X m / P t 2 7 z m l N x t x u 6 U 3 P u g 5 r T c r f r o T f i t B m I x 2 w / V 3 O 0 j w L 3 b R I A W e q j h d t 8 T / J C G M + B 3 7 z 0 8 + P T h + O A 2 G u 4 9 3 r G M b t 7 Z N B G W z 7 X x M M d a 3 r 6 x p W X t G 1 t a d r 6 x p d N b N z f t c c n t n K 9 b t e 5 N 4 u 0 U 1 a 1 a v 9 f E O Q 1 1 q 9 a 3 n z 2 n m W 5 u e v v 5 c y r o 5 q b d + d v Q t D t 5 G 5 p 2 Z 2 7 D s E z L + x 0 t 8 5 4 L b 1 A G + z f p G t t H q G v 2 3 x P 8 k K 4 x 4 P c P y M t R o N F B W 1 a 9 9 R u W X c 0 b t 9 I z 2 n i Y + p Z T b 2 x p G f X G l p Z P b 2 z p 9 M z N T X t 8 c j s 9 c 6 v W v Q m 8 n Z 6 5 V e v 3 m j i n Z 2 7 V + v a z 5 / T M z U 1 v P 3 9 O z 9 z c t D t / G 5 p 2 J 2 9 D 0 + 7 M b R i W a f l p R 8 + 8 e J N + f v z i + O l t H Z r 7 N y k Z 2 0 G o Z N T V u j X 4 I S V j w O / t H N z O m 7 n t C 5 Z T z Q u 3 U j H a e J j w l k l v b G l 5 9 M a W l k V v b O l U z M 1 N e y x y O x V z q 9 a 9 6 b u d i r l V 6 / e a O K d i b t X 6 9 r P n V M z N T W 8 / f 0 7 F 3 N y 0 O 3 8 b m n Y n b 0 P T 7 s x t G J Z p + c B X M f e + R l 7 o 3 s 5 N S s Z 2 E S i Z e z q X t w Y / p G Q M + H s P d + 9 v T v J Y V j W v 3 N / b f 7 D 3 8 N P x Q 4 3 g o m 9 Z l j V v 3 U r X u C 5 2 D n b 3 7 4 0 f b O r C c u 5 7 v W W Z + D a I W T Z + r y 6 c S t L X b q O S T A / b t + u i x y e 3 e 6 0 3 / 7 f s r s c E t 9 N X 7 4 d c j w 1 u p 7 h u J n J v z m + H T 2 / 2 b 0 c s p 9 F u M w 6 n 1 N 4 L O a f g b t X J 1 5 1 3 8 9 p B q P D e K 0 N 0 b / c m X W e h h 7 p O M b s 1 + C F d Z 8 D f 3 x v f / / Q 2 m u 6 2 L 1 g + N y / c S s l p 4 2 F + t Z x 9 Y 0 v L 2 D e 2 t L x 8 Y 0 u n v W 5 u 2 u O P j R L b m + + N r X v T t 7 F 1 b + 5 u p 6 B u 1 b o 7 c 7 f U S z e T 7 / b T 5 3 T R j U 2 d + r m 5 a X f + N j T t T t 6 G p t 2 Z 2 z A s 0 / J h q F 9 O R b 2 k J 9 8 + / Y m v T m + n B v Z u 0 j K 2 j 1 D L q O 9 z a / B D W s a A f 3 j v 4 f 0 H O + N 7 + 7 f R N O a l / U 8 f P j i 4 P w b z D L 5 k m d a 8 d C t t Y x p v 3 6 Y L y 7 u 3 6 c J y 7 / s M w v L x e + H l d J K + d h u d 9 D 5 o O d 3 0 f n j 1 Z v 9 2 S u q 9 U H u v e X f K 6 v 0 G 0 p 3 5 2 2 i t 9 + u h N / O 3 e c s p s / f q z C m 2 2 9 D M 6 b b 3 Q u 3 9 5 l 4 b H + z E N d 2 b V 7 d T Q / d u 0 H I O f q j l 7 r 0 n + A E t Z 8 E / v H 9 / f / + A l s 5 u o + b e 7 y 3 D 7 / a t 2 + g 5 0 3 i Y b w 2 H 3 9 z S M P j N L Q 1 P 3 9 z S a r B b N O 3 x y k b G 6 s 3 8 x t a 9 i b y V w r p d 6 / e a O K u o b t f 6 9 r N n 9 d M t m t 5 + / q w i u k X T 7 v x t a N q d v A 1 N u z O 3 Y V i m 5 W 6 o a 7 7 G i h u 8 m M 3 6 x v Y R 6 h s V 8 F u D H 9 I 3 B v z 9 e / f G n 9 5 G 1 d z 2 B c u s 5 o V b a R l t P E x 7 y 6 c 3 t r R s e m N L y 6 U 3 t n R a 5 u a m P S 6 5 n Z a 5 V e v e 9 N 1 O y 9 y q 9 X t N n N M y t 2 p 9 + 9 l z W u b m p r e f P 6 d l b m 7 a n b 8 N T b u T t 6 F p d + Y 2 D M u 0 3 O t o m f d c b 7 t 3 0 3 q b 6 y B U M b d b b 3 P g h 1 S M A b + 7 8 + n D + / v j T 2 + l Z t 7 n J c u x 5 q V b q R p t P D w B l l l v b G l 5 9 c a W l l V v b O l U z c 1 N e 6 x y O 1 V z q 9 a 9 a b y d q r l V 6 / e a O K d q b t X 6 9 r P n V M 3 N T W 8 / f 0 7 V 3 N y 0 O 3 8 b m n Y n b 0 P T 7 s x t G J Z p e c 9 X N f t f Y 9 1 t f + c m Z W O 7 C J T N v s 7 l r c E P K R s D / u H e v V t q G v P G J m 6 y j G o a 3 z v Y v b / / 6 f j g N o r G v b P z K W E F G R l 8 y X L t + 7 x k + f c 2 Q 7 E c / D 4 9 O G W k b 9 1 G G d 1 6 K p x G M q 9 s 3 / x O b 8 Z v p 5 d u j 1 R v z m + n n N 5 j C N 3 J v o 2 K e q 9 Z 6 8 3 1 9 m 1 e c 5 r r N i N 3 y u t 9 U H N 6 7 F Z 9 9 C b 7 V g O x m O 2 H a u 2 9 V t f 2 d 2 / S a B Z 6 q N F 2 3 x P 8 k E Y z 4 G m x b O 8 2 + u y W 7 S 1 7 m / a 3 c p q 0 8 T C n W p 6 + s a V l 6 R t b W j a + s a X T U z c 3 7 X H H 7 Z y m W 7 X u T d 7 t l N O t W r / X x D m 9 d K v W t 5 8 9 p 5 F u b n r 7 + X O q 5 + a m 3 f n b 0 L Q 7 e R u a d m d u w 7 B M y / t d 7 f J + 8 d n + j f G Z 7 S B U M L e L z x z 4 I Q V j w O 8 + e E g p + V v p m N u / Y r n V v H I r N a O N h 4 l v G f X G l p Z P b 2 x p 2 f T G l k 7 N 2 K Y 3 q 5 n b E M C p m V u 1 7 k 3 h 7 d T M r V q / 1 8 Q 5 N X O r 1 r e f P a d m b m 5 6 + / l z a u b m p t 3 5 u 4 2 a u b l p d + Z u o W Y + t W r m i 3 R n Z / d 9 g 7 N 7 9 M 7 O T Z r G 9 u E 0 j b 7 3 X u C H N I 0 B D 8 2 0 t 3 9 / Z 3 d 3 v P / p b f S N f X H 3 0 9 1 7 D 3 Y e 7 O + M 9 2 + l d c y L t O C 4 t / P p p z u b l x w t F 5 v X P t 3 Z / / Q e r a d B 0 g b f s t x s 3 r q 3 8 / D h / u 6 D 3 b F q 6 M 1 6 y b y 1 t / 9 w / 8 G D g 7 3 x v d u s 7 7 8 f i k 5 h 6 W s b + K 3 H c P s 7 B w / 2 9 2 g 4 O / u 3 U l 3 m v e 1 b v t h j j 9 t p s f d E r 8 c S t 9 N n 7 z u Y L j P c R r W 9 3 1 T 2 O G D 7 V u 8 5 n X c b A j i 1 9 1 7 I O R V 4 q 0 5 6 M 3 + 7 o V j c H n R U 4 u 0 D O 6 i r G w M 7 C z 7 U h r c I 7 A L w Q 9 r Q g N + 7 9 + n e 3 g G N + 9 P x g 0 0 a w 3 L + + 7 5 o W d + 8 e C s f T B s P M 7 B l 9 R t b W k 6 / s a V l 7 h t b O p V 2 c 9 M e w 9 z O B 7 t V 6 9 5 0 3 k 5 7 3 a r 1 e 0 2 c 0 1 m 3 a n 3 7 2 X O K 6 u a m t 5 8 / p 4 9 u b t q d v w 1 N u 5 O 3 o W l 3 5 j Y M y 7 Q 8 6 C i c U 9 E 3 6 c m 3 T 3 / i q 9 u p h b 2 b t I 7 t I 9 Q 6 6 u 7 c G v y Q 1 j H g 7 + 3 e e 7 h 7 8 O D B 3 v 3 x 3 q e 3 0 T r u x Q c P K R H / 6 b 3 d 8 Y G q w u i L l n n N i 9 v 3 H h 7 c 3 3 u 4 8 + n 4 / i Z t Z d l Y 3 x u e F s v C N 7 a 0 H H x j S 8 v A N 7 Z 0 C u j m p j 0 G u i U t n C 6 y 1 L / d e 7 3 p v m 2 H v e m + n Y J 6 T / S 6 c 3 x L V X U z o W 8 / 0 U 5 V 3 d j U q a q b m 3 Z n e k P T 7 t x u a N q d z g 3 D M i 0 f D q i q N 6 9 u p 0 j u 3 a S n b A e h n l L H 7 d b g h / S U A X 9 / d / / + g w N E b g 9 v o 6 X e 7 z X L v + a 1 T X x o m V Y b D 0 + C Z d g b W 1 p + v b G l Z d c b W z r F d H P T H r t s F M T e 3 G 9 s 3 Z v K j a 1 7 M 3 g 7 x X O r 1 t 2 Z u 6 W 6 u Z l 8 t 5 8 + p 2 5 u b O r U z c 1 N u / O 3 o W l 3 8 j Y 0 7 c 7 c h m F p y 4 c 7 H X V z 9 p P H 6 e + T n n z 5 x d n r s y 9 v p x L 2 b 9 A 4 r o 9 Q 4 + y / J / g B j W P B k w 2 7 9 + m n 4 / 1 N I a j h 1 v d 6 y T C t f e k 2 2 s Y 0 H p 4 D w 6 8 3 t z T s e n N L w 6 0 3 t 7 T a 5 h Z N e 9 x y K 2 1 z u 9 a 9 a b y V t r l d 6 / e a O K t t b t f 6 9 r N n t c 0 t m t 5 + / q y 2 u U X T 7 v x t a N q d v A 1 N u z O 3 Y V i m 5 W 5 X 2 7 z P m h u U w f 2 b d I 3 t I d Q 1 6 t X e G v y Q r j H g 9 + 7 f f / j g d q 7 N + 7 x j G d a 8 c y t N o 4 2 H 6 W 9 5 9 c a W l l V v b G k 5 9 c a W T t P c 3 L T H K b f T N L d q 3 Z v E 2 2 m a W 7 V + r 4 l z m u Z W r W 8 / e 0 7 T 3 N z 0 9 v P n N M 3 N T b v z t 6 F p d / I 2 N O 3 O 3 I Z h m Z Z 7 g a b Z + x q r b h j 2 Z l 1 j + w h 0 z Z 5 O 5 q 3 B D + k a A / 7 e v b 0 H n 3 L y Z n x v / z Y K x 3 / x 4 O G n e / d 2 x p 9 + e h u t Y 1 7 c O z i 4 v 3 t / 8 4 q J 5 W H z 0 v 1 P P z 3 Y 3 x 3 f 2 9 S T Z e X 3 e c k y t X l p k 7 R Y t r 5 l D 8 I 1 l s P 1 r d t o K N P B N h H 5 3 t 6 n 4 3 u a 6 b t B V V k a 3 + a t H i / c r r M e J 9 x O d 7 0 X a r 3 5 v 5 0 O u 5 n A v e m + D Y 8 4 d W Y p d Z v X n G q 7 z S i c d n s f 1 J y i u 1 U f / S m / T S c W s 3 s d v f d e S 2 s Y 4 G a V Z 8 G H K m / 3 P c E P q T w D / t 4 D W i M 7 o J X / / f H + g 9 u o P P / F + 5 / u 3 b 9 3 f / x w k / a y P G 9 e v J W j Z R p v 7 + 4 + v L 9 3 M L 6 / K W q 0 L H + b L i z T m 8 a 3 6 c H y / H v h 5 Z S d v n Y b Z f c + a D l d 9 3 5 4 9 b j g d v 7 Z e 6 H 2 X v P u d N z 7 D a Q 7 8 7 d R d u / X Q 2 / m b / O W U 3 b v 1 Z n T e r e h m d N 2 7 4 X a + 8 2 9 a b z f U X b v m S t H r 5 v V n e 0 g V H c 6 l F u D / 7 0 G 1 J 0 B f + / + A V F p 7 / 6 n 9 8 a b l L x l e f + 9 v Z 2 d h w / o v V t p O / P i N h m U n V v 6 d / r O M B N b d r + x p e X 2 G 1 t a B r + x p V N n N z f t M c 4 t 6 O C 0 m X n p F u / 0 Z v g 2 H f W m 9 3 Z e 2 3 u g 1 Z 3 T W / p s N x P 2 9 h P r V N e N T Z 2 + u r l p d 2 Y 3 N O 3 O 5 4 a m 3 W n c M C z T 8 n 5 H J b 1 / P n 1 v / y a t Z P s I t Z J O / a 3 B D 2 k l A 5 4 W 4 n Y O P h 0 f 3 E Y j v c c 7 l n H N O 7 d y v b T x 8 A x Y b r 2 x p W X W G 1 t a X r 2 x p d N C N z f t 8 c p G K e z N + s b W v U m 8 n Q 9 1 q 9 b v N X F O 1 9 y q 9 e 1 n z + m a m 5 v e f v 6 c r r m 5 a X f + N j T t T t 6 G p t 2 Z 2 z A s 0 / L T r q 5 5 z 2 z 6 3 v 2 b N I 3 t I d Q 0 9 9 8 T / J C m M e A / f Y D E u A a R 0 T F b T r 3 9 K 5 Z d z S u 3 0 j P a e J j 6 l l N v b G k Z 9 c a W l k 9 v b O n 0 z M 1 N e 3 x y O z 1 z q 9 a 9 K b y d n r l V 6 / e a O K d n b t X 6 9 r P n 9 M z N T W 8 / f 0 7 P 3 N y 0 O 3 8 b m n Y n b 0 P T 7 s x t G J Z p + S D Q M / e + R i 7 9 3 s 5 N m s b 2 E W i a e z q Z t w Y / p G k M + L 0 H 9 / Y e 3 t 8 9 2 D 0 4 G I M Z B j n F s q x 7 c 2 f / 3 u 7 e / T 3 K S d 3 f 9 K Z l X / P m P c p j 7 T 5 8 e O / B + N N N + s o y s n 1 v f 4 8 6 3 d 0 f 7 2 x 6 z X L 0 + 7 1 m u d u 8 t k l s L H + / X x 9 O W e l 7 t 1 F W l t 4 H n 9 5 7 u P d w b 3 N I 7 N S W e W / 7 l i / 2 W O N 2 G u w 9 0 e s x w + 1 0 2 f s O p s s E t 1 F r 7 z m X P R 7 Y v t 2 L T u P d h g R O 6 b 0 f e k 4 D 3 q q X 3 u T f c j A W u 4 O O S n y v N P u 9 3 Z u 0 o Q U f a k N F 7 d b g h 7 S h A X 9 / / 8 H u w 9 3 9 v f 0 H e + P 9 T f k 5 y / 7 e m / u 0 I H n z m 1 Y A z J u 3 8 s J M 4 7 2 H D 3 f w 3 E b / v c c 7 V g Z u g 5 R l / P f o w G k + f e k 2 m s / A 3 7 5 N B z 1 W u c 1 L P Q a 4 V V e 9 y d / Y u j f h t + m i N / E b W 3 e n / D b a 7 n 2 w 6 c 3 4 b c j k 9 N x t x u D 0 3 H s g 5 p T c r b r 4 e r N t X n r Y 0 X A m t 3 7 y 7 d O f + O p 2 e m j v J j V n + w j V n K 4 7 3 x r 8 k J o z 4 H d 3 a C 2 R P D f S V Q c P O 2 P 3 X 7 S M b l / c / f T e / Z 3 7 F G t u d h Y t z 5 s X t 3 f v H 9 y j F U z K y E J 8 B l + 0 f G 9 f / P Q e 9 b e / c 2 9 8 8 O l t l J 5 5 b 9 O U W h k w j W / X h 5 W C 9 8 T N 6 T 5 9 8 T a 6 z / a B t a K d / Z 1 P x 3 s H t 1 J / 5 s V b v t f j j d t 2 2 O O N 2 y n B 9 0 S v x w + 3 0 4 M 3 E 7 r H A 7 e d z B 4 X 3 O 4 9 p w 3 f s 0 O n G G 9 D A q c R 3 x O 9 H h / c R i f u Q n N G l e I t F x z v 3 b T g 6 P U Q q s T b r T g 6 + A M q 0 c H f P 7 h 3 s L e / v / f p D r m 8 t 3 H 9 v s a r R g r c q 5 u o b H j f t h 5 m Z 8 P 4 t 2 h q G P 8 W T Q 2 r 3 6 K p 1 X G 3 a d t n n 4 3 M 1 u e F j c 3 7 U 7 u x e X 8 6 b 6 X I b t m 8 N 4 e 3 U 2 C 3 o e J 7 T K R V W r d o a x X V b d r 2 Z n J D 2 9 4 0 b m j b m 8 M N Y 7 N N d z u 6 6 P 1 X G u / t 3 6 i O b C e h O t p / T / i D 6 s j A 3 z u 4 d / / h 3 g P K r e 3 d J i v 3 3 i 8 6 P j Y v 3 k 4 V a e v h + X A s f G N T x 8 E 3 N n U M f G N T T x X d 3 L b P P b d U R b d q 3 p / W W 6 q i W z V / v y n 0 V N G t m r / H P H q q 6 O a 2 7 z G T n i q 6 u W 1 v J j e 0 7 U 3 j h r a 9 O d w w N t t 0 r 6 u K 3 n M h 8 t 5 N C 5 F e F 6 E i u t 1 K p I M / q I g M / E 9 3 K F I c P 1 Q F F x 2 3 4 9 v 3 e M l x r 3 n p d g p I W w / P g m P c G 5 s 6 v r 2 x q W P b G 5 t 6 C u j m t n 2 e u a U C u l X z / n T e U g H d q v n 7 T a G n g G 7 V / D 3 m 0 V N A N 7 d 9 j 5 n 0 F N D N b X s z u a F t b x o 3 t O 3 N 4 Y a x 2 a b 3 A g W 0 / z V W K P d 3 b l R B t p N A B e 3 r r N 4 a / q A K M v D 3 H 9 x 7 c L D / K U V Z O 2 N M 9 S D P O P 5 1 r + 7 v H F C 6 6 v 7 O 3 h i U H H z V 8 b J 5 9 e H e w c G D + + O d T 2 + l l s x b 9 3 Z 3 7 z 1 8 + P D B G J I 9 + J 7 j 7 f d 7 z / G 5 e W + T C D l O f 7 9 e P A W m L 9 5 K g Z l O t u / t 7 G G W 9 8 Y 7 a o 1 u 0 m U W v d u 9 2 O e Q 2 3 b Z Z 5 B b K r j 3 x L D P F 7 d U d T f T u 8 8 C t 5 z U P j d s 3 + 5 N T w v e Z j S e I n w / D D 2 t e K t + Y m x w q 4 4 c g v s d N f l e q 5 b 7 u z d q S A s / 1 J C K 3 K 3 h D 2 p I A 5 + G f P D p w a f 7 0 J C 3 y u h / j V e d M J h X b + e w a e t h l n b c f 2 N T x / w 3 N n X s f m N T T 9 / d 3 L b P P L d 0 2 G 7 V v D + 1 t 3 T Y b t X 8 / a b Q 0 2 K 3 a v 4 e 8 + h p s Z v b v s d M e q r q 5 r a 9 m d z Q t j e N G 9 r 2 5 n D D 2 G z T + x 1 N 9 J 6 J 9 P 1 7 N + o i 2 0 O o i 9 Q p u j X 8 Q V 1 k 4 D + 8 v 7 9 7 7 9 5 9 c t o o G 3 6 7 3 J V 7 9 d 7 B v f 1 b v O o Y 2 b x 6 O 1 1 k W t 9 m 4 d e x 8 2 3 6 c A x t W t + i C 8 f Z 7 4 O Y p 6 7 0 t V u p q / f A y 9 N a 7 4 V Y n x l u q b 3 e B 7 f 3 m 3 t P i b 3 X U H q z f y t l 9 l 5 d 9 G f / F m 9 5 G u 5 9 O v O U 3 Q 1 U k + Z 9 B r h N J + 8 5 / 7 b 1 p x 3 l 9 7 7 p s v 3 7 N 2 o / 2 0 W o / d S L v z X 8 Q e 1 n 4 H / 6 6 f 3 d e z v j B 7 d T f O / z l u N 7 8 9 b t d J 6 2 H u Z f x + o 3 N n W c f m N T x 9 0 3 N v U U 2 s 1 t + 1 x z S 0 1 2 q + b 9 C b 2 l B r t V 8 / e b Q k 9 1 3 a r 5 e 8 y j p 7 J u b v s e M + l p p 5 v b 9 m Z y Q 9 v e N G 5 o 2 5 v D D W O z T R 8 E K u j T r 5 E w + 3 T n R i V k O w m U 0 K c 6 q 7 e G P 6 i E D P z d B 7 v 3 x g 8 P b q W C z D u b W M v x r e 1 h / 9 P 7 n + 7 s b v b S H P 9 6 r 9 2 j r N p 4 Z 1 O g 6 f j 4 v V 5 z L H 2 b I T m m f q 9 O P F W l 7 9 1 K V d 1 + Y j y F Z V 7 a v s V b f R 6 4 p d 5 6 D 8 z 6 X H B L 7 f U + A + l N / q 2 U 2 P v N Y X / u t 2 / 1 o q f d b k M B T 8 G 9 F 3 6 e s r t V N / 2 5 v 9 1 w H H o H H e X 3 X m m w T 2 9 O g 1 n 4 o d 6 7 X R r M w R / U e w b + 3 s G D 3 f H e p 7 f S e 7 d / x / G 9 e W f T d D i 2 1 9 b D D O x 4 / c a m j t V v b O q 4 + 8 a m n j a 7 u W 2 f X T a K f 3 / 2 N z b v T + Y t F d i t m r / f F H q q 6 1 b N 3 2 M e P Z 1 1 c 9 v 3 m E l P N d 3 c t j e T G 9 r 2 p n F D 2 9 4 c b h i b b f q w p 3 v e L / b 7 9 O b Y z 3 Y R q p / b x X 4 O / q D 6 M f A / f X h / D L 4 f 5 B T H t b d + x X G u e e V 2 y k d b D 8 + A Y 9 o b m z q e v b G p Y 9 k b m 3 r K 5 + a 2 f X 6 5 p f K 5 V f P + V N 5 S + d y q + f t N o a d 8 b t X 8 P e b R U z 4 3 t 3 2 P m f S U z 8 1 t e z O 5 o W 1 v G j e 0 7 c 3 h h r G Z p m B B T / k 8 + B p R 3 4 O d m 9 S P 6 y R Q P w 9 0 V m 8 N f 0 j 9 W P i 7 n z 6 4 N / 7 0 4 W 3 0 j 3 3 n 3 v 3 x A 1 0 B i L 5 h e d f 1 s v N w 5 8 H e z n h P 1 W f 0 N c v D 3 m s H D 3 c O 9 s Z 7 m / C z v P x + r 1 m 2 t q 9 t k h j L 2 O / X i V N X 5 r 3 b q C t v c u 4 9 G D / 8 9 F Z K y 7 6 0 f Y u 3 + n x w O 9 3 1 P p j 1 u e B 2 G u y 9 B t K b / N s o s v e c w / 7 c b 9 / q R a f h b k U B p + T e D z + n 8 G 7 X T X / u b z c c h 9 5 u R w G + V + T 3 Y P d G 3 W f h h 7 p v 9 z 3 h D + o + A 3 + X F i f G e / u 3 0 n 2 3 f 8 f x v X l n 0 3 Q 4 t t f W w w z s e P 3 G p o 7 V b 2 z q u P v G p p 4 2 u 7 l t n 1 0 2 i n 9 / 9 j c 2 7 0 / m L R X Y r Z q / 3 x R 6 q u t W z d 9 j H j 2 d d X P b 9 5 h J T z X d 3 L Y 3 k x v a 9 q Z x Q 9 v e H G 4 Y m 2 2 6 1 9 M 9 7 x f 5 P b g x 8 n N d h O r n d p G f g z + o f g z 8 3 f 2 D T 8 f 3 V a t F h + 3 Y 9 v b v O N 4 1 7 9 x O / W j r 4 T l w b H t j U 8 e 1 N z Z 1 T H t j U 0 / 9 3 N y 2 z z G 3 V D + 3 a t 6 f z F u q n 1 s 1 f 7 8 p 9 N T P r Z q / x z x 6 6 m d z 2 1 D 9 3 N j W U z 8 3 t + 3 N 5 K 3 U z 8 1 t e 3 N 4 G / V z L 1 A / B 1 8 j 9 j v Y u V E B 2 U 4 C B X S g s 3 p r + I M K y M D f 3 b + 3 O 9 7 / 9 F Y K y L y z i b U c 3 7 o e 9 u 8 f 7 I w f 7 t 9 K B f l 4 7 T 8 c 7 x 9 s e M t x 8 f u 8 5 f j 5 N u N x H P 0 + f X h q S l + 7 l Z q 6 / a R 4 y s q 8 t H 2 L t / r z f 0 u d 9 R 6 Y 9 T n g l p r r f Q b S m / p b K b D 3 m s L + z G / f 5 j 1 P r 9 1 m / J 5 q e x / s P C 1 3 q 1 7 6 E 3 + r w T j k 9 j t K 7 7 3 i v Y P d G / W d h R / q O / V y b g 1 / U N 8 Z + H s H 9 + 6 N H 2 z S R Y 7 p b / + O 4 3 n z z u 0 c L m 0 9 z L y O z 2 9 s 6 t j 8 x q a O t W 9 s 6 m m y m 9 v 2 2 e W W D t e t m v c n 8 5 b K 6 1 b N 3 2 8 K P b V 1 q + b v M Y + e v r q 5 7 X v M p K e Y b m 7 b m 8 k N b X v T u K F t b w 4 3 j M 0 2 v d / T P e 8 X 7 x 3 c H O / Z L k L 1 c 7 t 4 z 8 E f V D 8 G / t 7 D M e Z 3 k F E c 0 9 7 2 D c e 3 5 o 3 b q R 5 t P U x / x 7 I 3 N n U c e 2 N T x 7 A 3 N v V U z 8 1 t + 9 x y S 9 V z q + b 9 i b y l 6 r l V 8 / e b Q k / 1 3 K r 5 e 8 y j p 3 p u b v s e M + m p n p v b 9 m Z y Q 9 v e N G 5 o 2 5 v D D W O z T T 8 N V M / D r x H r P d y 5 U f n Y T g L l 8 1 B n 9 d b w B 5 W P g b + 7 v / t w v K M 6 L T p w x 7 j m n U 2 s 5 f j W t N 7 b f b B 7 b / x w 7 1 Y a y L 6 0 s / d w f 3 z w Y M N L j o f f 4 y X H z L c Z j G P n 9 + j C U 1 H 6 1 q 1 U 1 O 0 n x F N U 5 q X t W 7 z V n / t b 6 q v 3 w K w / + 7 f U W u 8 z k N 7 E 3 0 p 5 v c 8 M 9 u d 9 + x a v e R r t N q P 3 l N p 7 4 O a p t 1 t 1 0 p / 1 2 w z F o f a g o + z e K 8 Z 7 e H O M Z + G H e u 5 2 M Z 6 D P 6 j n D P y b 1 + c c w 9 / + H c f v 5 p 3 b O V r a e p h x H Y / f 2 N S x + I 1 N H V / f 2 N T T Y j e 3 7 b P L L R 2 t W z X v T + Y t F d e t m r / f F H o q 6 1 b N 3 2 M e P V 1 1 c 9 v 3 m E l P L d 3 c t j e T G 9 r 2 p n F D 2 9 4 c b h i b b X r Q 0 z 3 v F + M 9 v H + j + r F d h O p H 7 c + t 4 Q + q H w P / 4 b 2 D 2 2 q f W 7 / i O N e 8 c j v l o 6 2 H Z 8 A x 7 Y 1 N H c / e 2 N S x 7 I 1 N P e V z c 9 s + v 9 x S + d y q e X 8 q b 6 l 8 b t X 8 / a b Q U z 6 3 a v 4 e 8 + g p n 5 v b v s d M e s r n 5 r a 9 m d z Q t j e N G 9 r 2 5 n D D 2 G z T h 7 7 y 2 d 1 5 / y h v d 2 f n R v V j O / H V D 7 / 4 X v A H 1 Y + B v 3 f v / v 7 4 w a Y Q z D G u e e c h J b g 3 + e G O d 8 0 b + / f 2 H + 6 O 9 w 5 u p Y X s S 3 s 7 D 3 b G O 5 9 u e M n x 8 X u 8 5 B j a v L R J V h x L v 0 c X n p r S t 2 6 l p k w P u / t 7 R K 1 N k + I p K / P S 9 i 3 e 6 s / / L X X W e 2 D W n / 1 Y H 7 Z 5 f 9 5 v M 5 D e x N 9 K g b 3 P D P b n f f s W r 3 l a 7 T a j 9 x T b e + D m q b h b d d K f 9 d s M x a K G M Q U K 7 3 0 i v d 2 d 3 Z t 0 n Y M f 6 r r d 9 4 Q / p O s s / J t X 5 i z D v 8 c 7 l t / t O 5 s m w 7 K 7 a T 3 M u J b H b 2 5 q W f z m p p a v b 2 7 q t N g t 2 v b Z Z a P Y 9 2 d / Y / P + Z N 5 O c d 2 u + f t N o V N Z t 2 v + H v P o d N U t 2 r 7 H T D q 1 d I u 2 v Z n c 0 L Y 3 j R v a 9 u Z w w 9 h s 0 9 2 e 7 n m v S G 9 3 x 0 Z i g + r H d h G q n 1 t F e h 7 8 Q f V j 4 O / u j M E 6 g 4 z i m P a 2 b z i + N W / c T v V o 6 2 H 6 O 5 a 9 s a n j 2 B u b O o a 9 s a m n e m 5 u 2 + e W W 6 q e W z X v T + Q t V c + t m r / f F H q q 5 1 b N 3 2 M e P d V z c 9 v 3 m E l P 9 d z c t j e T G 9 r 2 p n F D 2 9 4 c b h i b b b o X q J 7 d r x H n g Y t v U D 6 2 k 0 D 5 7 O q s 3 h r + o P I x 8 D e x i W N Z 2 3 r 8 6 S b 3 2 z H t b c A 7 n r 0 l e M e 1 t 3 z B s e 5 t 8 H H M e 0 v w n j L S N 2 6 l j A z 0 7 Z v A 9 7 n h p j f 6 8 3 t j J 5 F J v p 1 e u i 1 O k W m + n W q 6 m a a R + b 0 B m f 4 c 3 0 Q g T 0 / d B n 9 P V d 0 S J 0 9 h 3 a q D r z H H 9 o 1 7 H d V 1 K g F b + u b V 7 f T K v R v 1 l u 0 h 1 F v 3 3 h P + o N 4 y 8 H d v m R y / 7 Q u O r 8 0 L t 1 N d 2 n q Y S R 0 / 3 9 j U s f O N T R 0 f 3 9 j U 0 1 I 3 t + 2 z y i 1 d p l s 1 7 0 / j L V 2 m W z V / v y n 0 9 N K t m r / H P H p 6 6 e a 2 7 z G T n i q 6 u W 1 v J j e 0 7 U 3 j h r a 9 O d w w N t t 0 P 9 A 7 e 1 / D Z c L Y b 1 A 9 t p N A 9 e z p r N 4 a / q D q M f A p j X 4 w V o U W H b f j W / P K w w f 3 7 j 1 8 M H 7 w 6 a 0 0 k H n r d h r I 9 b F 3 7 + D h e H 9 T H 4 6 J 3 + c t x 8 6 3 w c w x 9 P v 0 4 W k p f e 1 W W s p 0 s X 2 r P v q 8 c q v X + i x w u + 7 6 f H B L / f V e 2 P U 5 4 Z Z 6 7 G Y 6 9 y f + V h j 1 O e B W 9 P L U 2 2 1 G 4 m m 4 9 8 H O U 3 a 3 6 u X r T r 5 9 7 X 5 H 9 7 1 X l h y D v E H t W f i h 2 t t 9 T / i D a s / A 3 3 2 4 s 7 t 5 z I 7 f b / + O Y 3 r z z u 2 0 n r Y e Z l 7 H 5 z c 2 d W x + Y 1 P H 2 j c 2 9 T T a z W 3 7 7 H J L v + t W z f u T e U u / 6 1 b N 3 2 8 K P X 1 1 q + b v M Y + e v r q 5 7 X v M p K e Y b m 7 b m 8 k N b X v T u K F t b w 4 3 j M 0 2 / b S j e 9 4 z 3 k O n N 2 g f 2 0 O o f d Q 9 u j X 8 Q e 1 j 4 O 8 e 7 O w e 7 O 2 N H x 7 c S g G 9 1 2 u O g c 1 r t 9 N B 2 n p 4 I h z v 3 t j U s e 6 N T R 3 n 3 t j U 0 0 E 3 t + 2 z z S 1 1 0 K 2 a 9 6 c 0 2 r y v g 2 7 V / P 2 m 0 N N B t 2 r + H v P o 6 a C b 2 7 7 H T H o 6 6 O a 2 v Z m 8 l Q 6 6 u W 1 v D m + j g x 5 0 d N D 7 r t R B 3 9 2 g h G w X o R K 6 / 5 7 w B 5 W Q g b + 7 e 3 8 M z r y F A r r 1 K 4 5 z z S u 3 U z 7 a + j b K 5 8 a m j m d v b O p Y 9 s a m n v K 5 u W 2 f X 2 6 p f G 7 V v D + V t 1 Q + t 2 r + f l P o K Z 9 b N X + P e f S U z 8 1 t 3 2 M m P e V z c 9 v e T G 5 o 2 5 v G D W 1 7 c 7 h h b L b p Q a B 8 7 n 2 N x N O 9 n R v V j + 0 k U D / 3 d F Z v D X 9 Q / R j 4 m 9 j E s a x t P Y a W H n z B M e 1 t w D u e v S V 4 x 7 W 3 f M G x 7 m 3 w c c x 7 S / C e M t I 3 b q W M D P T t m 8 D 3 u e G m N / r z e 2 M n k U m + n V 6 6 L U 6 R a b 6 d a r q Z p p H 5 v Q G Z / h z f R C B P T 9 0 G f 0 9 V 3 R I n T 2 H d q o O v M c f 2 j Y c d 1 f W e s d u 9 m 2 M 3 2 0 O o t 2 4 X u z n 4 g 3 r L w N 8 Z 3 9 + 0 P O m 4 + p Y v O L 6 2 L 9 x K d W n r Y S Z 1 / H x j U 8 f O N z Z 1 f H x j U 0 9 L 3 d y 2 z y o b h b U / 7 x u b R 6 b x d q r p V s 3 f b w o 9 v X S r 5 u 8 x j 5 5 e u r n t e 8 y k p 4 p u b t u b y Q 1 t e 9 O 4 o W 1 v D j e M z T S F P 6 J 6 5 y T d 3 f 8 a H t P + z k 2 a x / U R a J 5 9 n d R b w x / S P B b + 7 v 7 + / v j B 7 m 2 U j 3 1 n E 2 d Z t r W t 9 x 7 s P 9 y 5 P 7 6 / f x s N 5 L 1 1 b / / T n f G B q t r N y u i 9 3 r L s f K v x W I Z + r z 6 c l j K v 3 U Z L v c e k O F 1 l X 9 q + x V v 9 + b + d y n o f z P o c c D v F 9 V 4 D 6 U 3 9 b f T X + 0 1 h f + a 3 b / O e U 2 u 3 G r / T b O + F n V N y t + u l P / G 3 G o x D b t f q P P h a + + + 3 R r e / e 6 O + s / B D f a d M c G v 4 g / r O w N 8 7 u H d v / G C T L n J M f / t 3 H M + b d z b N h m N 5 b T 3 M v I 7 P b 2 z q 2 P z G p o 6 1 b 2 z q a b K b 2 / b Z Z a P o 9 2 d / Y / P + Z N 5 S e d 2 q + f t N o a e 2 b t X 8 P e b R 0 1 c 3 t 3 2 P m f Q U 0 8 1 t e z O 5 o W 1 v G j e 0 7 c 3 h h r H Z p n s 9 3 f N + + f H 9 G / P j r o t Q / d w u P + 7 g D 6 o f A / / T + + O d g 1 s p n 9 u + 4 f j W v H E 7 1 a O t h + n v W P b G p o 5 j b 2 z q G P b G p p 7 q u b l t n 1 t u q X p u 1 b w / k b d U P b d q / n 5 T 6 K m e W z V / j 3 n 0 V M / N b d 9 j J j 3 V c 3 P b 3 k x u a N u b x g 1 t e 3 O 4 Y W y 2 6 b 1 A 9 X z 6 N W K 9 T 3 d u V D 6 2 k 0 D 5 f K q z e m v 4 g 8 r H w L 9 / c L A z / n T v V u o n f O f h r R S Q e e d 2 C s i 2 H u 8 8 2 P C C Y 9 9 b v u B 4 + D b 4 O C 6 + J X h P K + k b t 9 J K B v r 2 T e D 7 b N F 5 Y 4 N y u n U n / X m + p Y K 6 L U 6 R a b 6 d j r q Z p p H 5 v Q G Z / h z f R C B P Y d 0 G f 0 9 n 3 R I n T 3 P d q o O v M c f 2 j f 2 O D n u v 0 O 3 T 3 R v V l 4 U f q q / d 9 4 Q / q L 4 M / N 3 d B 5 / u j s G 7 g 4 N 2 f P 0 e L z n u N i / d T o F p 6 2 F W d V x 9 Y 1 P H 1 D c 2 d d x 8 Y 1 N P V 9 3 c t s 8 w t / S g b t W 8 P 5 2 3 9 K B u 1 f z 9 p t D T T r d q / h 7 z 6 G m n m 9 u + x 0 x 6 C u n m t r 2 Z 3 N C 2 N 4 0 b 2 v b m c M P Y b N P 7 H e 3 z n o t 0 n 9 6 7 U f / Y H k L 9 c + 8 9 4 Q / q H w O f d O / D 3 f H + p 7 f S P + / x k m N e 8 9 L t 9 I + 2 H p 4 E x 7 c 3 N n V s e 2 N T x 7 U 3 N v X 0 z 8 1 t + y x z S / 1 z q + b 9 6 b y l / r l V 8 / e b Q k / / 3 K r 5 e 8 y j p 3 9 u b v s e M + n p n 5 v b 9 m Z y Q 9 v e N G 5 o 2 5 v D D W O z T T / t 6 J + z n z x O f 5 / 0 5 M s v z l 6 f f X k 7 F b F / o w q y n Y Q q a P 8 9 4 Q + q I A P / 5 k y 0 Y 9 z b v + O 4 1 7 x z O w W k r Y d n w T H u j U 0 d 3 9 7 Y 1 L H t j U 0 9 B X R z 2 z 7 P 3 F I B 3 a p 5 f z J v q Y B u 1 f z 9 p t B T Q L d q / h 7 z 6 C m g m 9 u + x 0 x 6 C u j m t r 2 Z 3 N C 2 N 4 0 b 2 v b m c M P Y b N M H X Q X 0 n t n r T + / f q H 5 s F 6 H 6 u f + e 8 A f V j 4 G / M 9 a g L j p k x 7 K 3 a + 9 4 1 r a / l d r R 1 s O 0 d + x 6 Y 1 P H r T c 2 d c x 6 Y 1 N P 7 d z c t s 8 p t 1 Q 7 t 2 o e m c T b q Z 1 b N X + / K f T U z q 2 a v 8 c 8 e m r n 5 r b v M Z O e 2 r m 5 b W 8 m N 7 T t T e O G t r 0 5 3 D A 2 2 / Q g U D s P v k b m + s H O j Y r H d h I o n g c 6 q 7 e G P 6 h 4 D P y 9 e / t 7 4 0 8 P b q V 8 z D s P 7 + + M H 2 g Q G H 3 F M a 9 5 Z X f / 3 o P x / U 3 d O A 4 2 7 + z f H 5 t Q 8 w Z l d N s 3 H C u b N z Z J i W P m 2 8 L 3 t J O + c i v t Z I m E g P a h 2 p a b d J R 5 a f s W b / W n / Z a q 6 j 0 w 6 8 / 5 L R X W + w y k N + W 3 0 l u 3 n r 7 + j G / f 9 I 6 n x m 4 z b k + T 3 R Y r T 6 H d q o f + Z N 8 4 C I f U w 4 5 u e 6 + M 9 o O b M 9 o W f q j W b p f R d v A H 1 Z q B v / / p w f 3 x 3 u 3 U 2 u 3 f c T x u 3 t k 0 E 4 7 F t f U w s z q + v r G p Y + s b m z p 2 v r G p p 7 l u b t t n l 4 2 i 3 p / 9 j c 3 7 k 3 l L Z X W r 5 u 8 3 h Z 6 a u l X z 9 5 h H T z / d 3 P Y 9 Z t J T S D e 3 7 c 3 k h r a 9 a d z Q t j e H G 8 Z m m u 7 v d H X P e + e T k I v Z r I B c J 6 E C 2 n 9 P + E M K y M L f f b h z 2 4 z 2 e 7 x j u d e + c y s F Z F o P z 4 J l 3 J u b W r 6 9 u a l l 2 5 u b O g V 0 i 7 Z 9 n r m d A r q h e V c B 3 a 5 5 f x 5 v p 4 B u 1 7 w 3 h 7 d U Q L e g 4 n t M p F N A N 7 d 1 C u g W b X s z e R s F d I u 2 v T m 8 j Q L a 7 S q g 9 8 w n P b g x n + S 6 C N X P 7 f J J D v 6 g + j H w d 8 Y 7 B 7 f S P b d 8 w X G t f e F W i k d b 3 0 b x 3 N j U 8 e u N T R 2 7 3 t j U U z w 3 t + 3 z y i 0 V z 6 2 a R 6 b x d o r n V s 3 f b w o 9 x X O r 5 u 8 x j 5 7 i u b n t e 8 y k p 3 h u b t u b y Q 1 t e 9 O 4 o W 1 v D j e M z T b d C x T P w d f I K B 3 s 3 K h 6 b C e B 6 j n Q W b 0 1 / E H V Y + D v 3 a P 0 0 M O 9 W 2 k f 8 8 5 D W k j b F P g 7 3 j V v 3 N + n Z M G 9 T e 8 4 B j b v 7 O 8 8 u D d + e K u U 0 n u 8 4 7 j Z v L N J U B w / 3 7 4 H T 0 X p S 7 d S U a Y D Y s U H Y / w 1 3 E G f S 7 Z v 8 V Z / 7 m + p r 9 4 D s / 7 M 3 1 J r v c 9 A e t N + K + X 1 H h P Y n / X t m 9 / y 9 N l t x u 6 p t N t j 5 u m 2 W / X R n / J b D M Q h d q + j 6 N 4 r v X S w e 6 O O s / B D H b f 7 n v A H d Z y B f 2 9 3 7 4 a V f 8 f s t 3 / H 8 b p 5 5 3 Z O l r Y e Z l r H 3 z c 2 d e x 9 Y 1 P H 1 D c 2 9 T T Y z W 3 7 7 H J L J + t W z f u T e U u l d a v m 7 z e F n r q 6 V f P 3 m E d P T 9 3 c 9 j 1 m 0 l N K N 7 f t z e S G t r 1 p 3 N C 2 N 4 c b x m a b 7 v d 0 z / t F d w c 3 R 3 e 2 i 1 D 9 3 C 6 6 c / A H 1 Y + B v z u + n X t 1 u / a O Z 0 3 7 2 6 k d b T 1 M e 8 e u N z Z 1 3 H p j U 8 e s N z b 1 1 M 7 N b f u c c k u 1 c 6 v m / U m 8 p d q 5 V f P 3 m 0 J P 7 d y q + X v M o 6 d 2 b m 7 7 H j P p q Z 2 b 2 / Z m c k P b 3 j R u a N u b w w 1 j s 0 3 v B 2 r n 4 d e I 7 R 7 a 2 O v N k O K x n Q S K 5 6 H O 6 q 3 h D y o e A 3 8 T m z i W N a 1 3 x / c f 3 E r v 3 A a 8 4 9 l b g n d c e 8 s X H O v e B h / H v L c E 7 y k j f e N W y s h A 3 7 4 J f J 8 b b n q j P 7 8 3 d t K f 5 F v q p d v i 1 J / m W 6 q m m 2 n a n 9 + b k O n P 8 U 0 E 8 v T U b f D 3 V N U t c f I U 1 q 0 6 + B p z b N / 4 t K O 6 T i V Y S 9 + 8 u p 1 e u X e j 3 r I 9 h H r r 3 n v C H 9 R b B v 6 9 M T h 3 c M i O q 2 / 5 g u N r 8 8 L t V J e 2 H m Z S x 8 8 3 N n X s f G N T x 8 c 3 N v W 0 1 M 1 t + 6 x y S 5 f p V s 3 7 0 3 h L l + l W z d 9 v C j 2 9 d K v m 7 z G P n l 6 6 u e 1 7 z K S n i m 5 u 2 5 v J D W 1 7 0 7 i h b W 8 O N 4 z N N n 3 g 6 5 2 9 n f d 3 m f Z 2 b n a Z b C e + 6 u E X 3 w v + o O o x 8 G / n M t n W 4 x 2 N F q M v O K a 9 D X j H s 7 c E 7 7 j 2 l i 8 4 1 r 0 N P o 5 5 b w n e U 0 b 6 x q 2 U k Y G + f R P 4 D j f c A q H + / N 7 Y S W S S b 6 e X b k u k y D T f T j X d T N P I / N 6 A T H + O b y K Q p 6 d u g 7 + n q m 6 J k 6 e w b t X B 1 5 h j + 8 Z B R 3 W 9 n 8 t E / 7 9 R b 9 k e Q r 1 1 K 5 f J g z + o t w z 8 n b F m z W / Q X L d r 7 7 j a t r + V 4 t L W w y z q u P n G p o 6 Z b 2 z q u P j G p p 6 O u r l t n 1 E 2 i m p / 1 j c 2 j 0 z i 7 R T T r Z q / 3 x R 6 W u l W z d 9 j H j 2 t d H P b 9 5 h J T x H d 3 L Y 3 k x v a 9 q Z x Q 9 v e H G 4 Y m 2 3 6 M N A 6 e 1 / D Y c L Y b 1 A 8 t p N A 8 e D F 9 4 I / q H g M / E 1 s 4 l j W t L 7 3 8 L Y e 0 2 3 g O 6 a 9 L X z H t 7 d 9 w 3 H v b T B y / H t b + J 5 C 0 l d u p Z A M + O 0 b 4 f d Z 4 s Z X + r N 8 c z f 9 u b 6 l e r o 1 V v 3 Z v q W K u p m u / U m + E Z v + T N 9 I I 0 9 j 3 W Y E n t K 6 L V a e 7 r p V D 1 9 n o s 0 r 9 3 c 6 a u w 9 n S d 0 v l m H u R 5 C H X Y 7 5 8 n B H 9 J h F v 6 D g 9 t 5 T 7 d 9 w T K 3 f e F W W s y 0 H m Z U y 9 M 3 N 7 U s f X N T y 8 o 3 N 3 X a 6 h Z t + 6 y y U W D 7 8 7 6 x e X 8 a N z b v T + L t 9 N P t m v f m 8 J a 6 6 R Z U f I + J d E r p 5 r Z O G d 2 i b W 8 m N 7 T t T e O G t r 0 5 3 D A 2 2 3 Q 3 0 D v 3 v o b 7 d G / n R t V j O w l U D 1 5 8 L / i D q s f A p 8 V J U r g H t 9 I + 5 p 1 N r O X 4 1 r S + t / v g 4 M H D 8 c G D W 6 k g 9 9 a n + / d 2 x g 8 e 3 s a Z e q + 3 H D / f Z j y O o 9 + n D 0 9 N 6 W u 3 U l O 3 n x R P W Z m X t m / x V n / + b 6 m z 3 g O z P g f c U n O 9 z 0 B 6 U 3 8 r B f Z e U 9 i f + e 3 b v O f p t d u M 3 1 N t 7 4 O d p + V u 1 U t / 4 m 8 1 G I f c X k f p n b 0 Q b + t 2 + m j 3 R n 1 n 4 Y f 6 b v c 9 4 Q / q O w N / 7 + D e v f G D / V v p u 9 u / 4 3 j e v L N p N h z L a + t h 5 n V 8 f m N T x + Y 3 N n W s f W N T T 5 P d 3 L b P L h t F v z / 7 G 5 v 3 J / O W y u t W z d 9 v C j 2 1 d a v m 7 z G P n r 6 6 u e 1 7 z K S n m G 5 u 2 5 v J D W 1 7 0 7 i h b W 8 O N 4 z N N r 3 X 0 z 1 v 0 s + P X x w / v a 3 6 u X + j + r F d h O p H A 9 F b w x 9 U P w b + g / t j j R 6 j Y 3 Y 8 e 8 s X H N e a F 2 6 n e L T 1 M P U d w 9 7 Y 1 P H r j U 0 d u 9 7 Y 1 F M 8 N 7 f t 8 8 o t F c + t m v e n 8 Z a K 5 1 b N 3 2 8 K P c V z q + b v M Y + e 4 r m 5 7 X v M p K d 4 b m 7 b m 8 k N b X v T u K F t b w 4 3 j M 0 2 3 Q 8 U z / 7 X i P T 2 d 2 5 U P b a T Q P X s 6 6 z e G v 6 g 6 j H w H 9 z b e b C 7 e 2 / 3 Y P z p p l D M c a / 3 4 q d 7 D / f I B 7 q / y V d 0 f G x e f H h / Z + / + + M H e r T S S e W l 3 7 + H + z v j T / Q 0 v O Z 5 + j 5 c c c 5 u X N s m N Y + / h L j a p L H 3 r V i r L 9 H C w t 3 N w / 9 Z h n 3 l r + z a v 9 b n h l h r s f X D r M 8 A t F d l 7 D a U 3 + b d S a O 8 z i / 2 5 3 7 7 F a 5 6 W u 8 3 w P U X 3 H r h 5 K u 9 W n f T n / T Z D c a j d 7 y j A 9 4 r 6 9 m + O + i z 8 U P f d L u p z 8 A d 1 n 4 G / u 7 N / 7 + G 9 e / c + f T i + / + m t l N / 7 v u m Y 3 7 x 5 O 0 d M W w 8 z s e P 3 G 5 s 6 d r + x q e P x G 5 t 6 W u 3 m t n 3 W u a U j d q v m / Y m 9 p R q 7 V f P 3 m 0 J P f 9 2 q + X v M o 6 e 3 b m 7 7 H j P p q a i b 2 / Z m c k P b 3 j R u a N u b w w 1 j s 0 0 / 7 e g h s 9 R 3 8 u 3 T n / j q d s p i 7 0 Z l Z D s J l Z G 6 L 7 e G P 6 i M D P y d 8 Y E q u O i o H d f e 8 g X H t / a F W 6 k e b T 1 M f 8 e y N z Z 1 H H t j U 8 e w N z b 1 V M / N b f v c c k v V c 6 v m k W m 8 n e q 5 V f P 3 m 0 J P 9 d y q + X v M o 6 d 6 b m 7 7 H j P p q Z 6 b 2 / Z m c k P b 3 j R u a N u b w w 1 j s 0 0 f D K i e N 6 9 u p x f u 3 a h 3 b A + h 3 r n 3 n v A H 9 Y 6 B / + n e p / d 3 K A D c H d 9 T 2 N G h O 9 Y N X 9 y 7 / 2 D 8 8 N N b 6 S H z 4 u 3 0 k G m 9 f f / e + N 6 m 0 N T x 8 W 0 6 c J x s W t 8 E 3 / H z r V H y N J S + c y s N d V u M P C 1 1 e 5 T 6 M 3 9 L V X V r r N 5 v p j 1 1 d f t B 9 O b 6 V j r r 9 v D 7 c 3 3 T K 5 4 K u 3 U 3 n i q 7 D a U 8 b X Z r r N 5 z t m 3 r g 4 5 e O / v J 4 / T 3 S U + + / O L s 9 d m X t 1 M 9 + z e q N t t J q N r 2 3 x P + o G o z 8 G / t U t 3 y B c f g 9 o V b q T J t P c y r j q 1 v b O q 4 + s a m j p l v b O o p r J v b 9 r n l l i 7 V r Z p H p v F 2 e u p W z d 9 v C j 0 d d a v m 7 z G P n n q 6 u e 1 7 z K S n j 2 5 u 2 5 v J D W 1 7 0 7 i h b W 8 O N 4 z N N n 3 Y V T 3 v u Z 6 3 f / 9 G x W O 7 C B X P / f e E P 6 h 4 D P z 7 n 4 7 3 P 7 2 V 5 r n t G 4 5 v z R u 3 U z 3 a e p j + j m V v b O o 4 9 s a m j m F v b O q p n p v b 9 r n l l q r n V s 3 7 E 3 l L 1 X O r 5 u 8 3 h Z 7 q u V X z 9 5 h H T / X c 3 P Y 9 Z t J T P T e 3 7 c 3 k h r a 9 a d z Q t j e H G 8 Z m m n 6 6 E 6 i e + 1 9 j R e / + z k 3 K x 3 U S K J / 7 O q u 3 h j + k f C z 8 3 f 2 9 n c 0 h m W V c + 8 4 m 1 r J 8 a 1 v v 7 + z v H 4 z v P b y N B r I v 3 X u 4 s / d g b O L X z b r o f V 6 y z H y r w V h 2 f p 8 u n I o y b 9 1 G R b 3 H h D h F Z V / a v s V b / b m / n b 5 6 H 8 z 6 s 3 8 7 r f V e A + l N / G 2 U 1 3 v N Y H / e t 2 / x m t N o t x q 9 U 2 r v g 5 t T b 7 f r p D / r t x m K Q 2 2 3 o + z e a / X u / u 6 N e s 7 C D / X c 7 n v C H 9 R z B v 7 e w b 1 7 4 w f 7 t 9 J z t 3 / H 8 b t 5 Z 9 N k O H b X 1 u n d m 5 X b j U 0 d i 9 / Y 1 P H 1 j U 0 9 L X Z z 2 z 6 7 b B T 7 / u x v b N 6 f z F s q r l s 1 f 7 8 p 9 F T W r Z q / x z x 6 u u r m t u 8 x k 5 5 a u r l t b y Y 3 t O 1 N 4 4 a 2 v T n c M D b b d K + r e 9 4 7 v X R / / 0 Y F Z D s J F Z B K / a 3 h D y o g A 3 / 3 4 N N N O T j H t b d 8 w f G t e e F 2 q k d b D 9 P f s e y N T R 3 H 3 t j U M e y N T T 3 V c 3 P b P r f c U v X c q n l / G m + p e m 7 V / P 2 m 0 F M 9 t 2 r + H v P o q Z 6 b 2 7 7 H T H q q 5 + a 2 v Z n c 0 L Y 3 j R v a 9 u Z w w 9 h s 0 3 t d 1 f O e 6 a X 7 N 6 a X X B e h 4 r l d e s n B H 1 Q 8 B v 7 D s V F m 0 T E 7 n r 3 l C 4 5 r z Q u 3 U z z a e p j 6 j m F v b O r 4 9 c a m j l 1 v b O o p n p v b 9 n n l l o r n V s 3 7 0 3 h L x X O r 5 u 8 3 h Z 7 i u V X z 9 5 h H T / H c 3 P Y 9 Z t J T P D e 3 7 c 3 k h r a 9 a d z Q t j e H G 8 Z m m + 4 H i u f T r 5 F c Q q B 3 g + q x n Q S q 5 1 O d 1 V v D H 1 Q 9 B v 4 m N n E s e 5 v W j m N N 6 4 P 7 4 7 1 N / p F j 2 t u + 4 f j 2 t m 8 4 7 r 3 N G B z / 3 h a + p 5 D 0 l V s p p N s g 4 y m k W z V / v 8 n 1 F N K t m v e n 9 5 Y K 6 V b N e x N 7 K 4 V 0 6 0 n q z + v 2 T e 9 4 + u k 2 I / B U 1 G 2 x 8 j T V r X r o z + + N g 3 B I 3 Q + U 1 o O v o b Q e 3 K y 0 b C e B 0 n q g o 7 o 1 / E G l Z e D f T m n d p r X j a t N 6 d 3 9 / / P D g V l r r 1 q 8 4 7 r 7 1 K 4 7 J b z M M x 9 + 3 7 s B T X P r O r R T X b b D x F N e t m r / f B H u K 6 1 b N + 1 N 8 S 8 V 1 q + a 9 q b 2 V 4 r r 9 L P V n d v v G l z z V d Z s x e K r r 1 n h 5 u u t W X f S n + O Z h O L Q + D Z T X w d d Q X g c 3 K y / b S a C 8 D n R Y t 4 Y / q L w M / N 3 9 3 Q f j e / d u p c L M O 7 d T Y a b 1 / o N P 7 9 1 W h 5 l 3 7 t 3 b / 3 S M y R l 8 x 3 H 6 7 d 9 x H H + b k T h e v 3 0 P n h r T l 2 6 l x m 4 / G Z 4 y M y 9 t 3 + K t / r z f U q e 9 B 2 b 9 m b + l Z n u f g f S m / V Y K 7 j 0 m s D / r 2 z e / 5 a m 4 2 4 z d U 3 G 3 x 8 z T c b f q o z / l t x i I Q + x B R 8 m 9 1 z L e w e 6 N + s 3 C D / X b 7 n v C H 9 R v B v 7 N S 3 K O 2 W / / j u N 1 8 8 6 m u X C s r q 2 H m d b x 9 4 1 N H X v f 2 N Q x 9 Y 1 N P Q 1 2 c 9 s + u 9 z S E b t V 8 / 5 k 3 l J p 3 a r 5 + 0 2 h p 6 5 u 1 f w 9 5 t H T U z e 3 f Y + Z 9 J T S z W 1 7 M 7 m h b W 8 a N 7 T t z e G G s d m m B z 3 d 8 3 6 5 9 I P 7 N 6 o f 2 0 W o f l Q 3 3 h r + o P o x 8 H f H O 7 f T P b d 8 4 X 7 v h d s p H m 1 9 G 8 V z Y 1 P H r z c 2 d e x 6 Y 1 N P 8 d z c t s 8 r t 1 Q 8 t 2 r e n 8 Z b K p 5 b N X e K 5 1 b N e 3 N 4 W 8 V z M x X f Y y I 9 x X N j W 0 / x 3 N y 2 N 5 O 3 U j w 3 t + 3 N 4 W 0 U z 8 N A 8 T z 8 G p H d w 5 0 b V Y / t J F A 9 e P G 9 4 A + q H g P / w c G 9 / d 2 D B 5 + O M X e 3 0 E D u v f 3 9 n f 1 P H 4 x 3 N n m K j o v N e 7 v j + 5 / e S h e Z F x 4 e 3 H + 4 N 9 7 f 2 / C S 4 + b 3 e M m x t X l p k 8 Q 4 x n 6 P L j x l p W / d S l m Z H r b R x c 7 4 Y B O 9 P K X l I 3 b T W 3 0 + u F V n f T a 4 p Q 5 7 H 9 z 6 L H B L V X Y z j f t z f p t Z 7 M / 9 9 i 1 e 8 / T b b c b h q b j 3 w M 1 T d r f q Z G D e b 6 K A e Q v p 7 k D 1 v V e 8 9 3 D 3 J q 3 n 4 I d a b / c 9 4 Q 9 p P Q t / d + f T v f 2 9 v X u 7 4 7 3 9 2 6 i 9 9 3 3 R c r 5 9 c d O 0 W I 4 3 r Y d Z 2 H L 7 z U 0 t s 9 / c 1 H L 4 z U 2 d T r t F 2 z 7 j b B T l P h 9 s b N 6 f 1 o 3 N + 5 N 5 O + V 1 u + a 9 O b y l 1 r o F F d 9 j I p 2 u u r m t U 1 C 3 a N u b y Q 1 t e 9 O 4 o W 1 v D j e M z T b d 7 W i h U 1 F C 6 Z t X t 9 M T 9 2 7 U Q 7 a H U A 9 p 0 v H W 8 A f 1 k I F P 6 m R / f / c + r S p 8 e i s 1 9 H 7 v O R Y 2 7 9 1 O C 2 n r 4 a l w 3 H t j U 8 e 8 N z Z 1 v H t j U 0 8 L 3 d y 2 z z i 3 1 E K 3 a t 6 f 1 F t q o V s 1 f 7 8 p 9 L T Q r Z q / x z x 6 W u j m t u 8 x k 5 4 W u r l t b y Y 3 t O 1 N 4 4 a 2 v T n c M D b b d K + j h d 4 3 / / T w x v y T 6 y J U Q 7 f L P z n 4 g 2 r I w L + 3 8 + n 9 8 c O H t 1 J B t 3 / H 8 a 5 5 5 3 b q R 1 s P z 4 F j 2 x u b O q 6 9 s a l j 2 h u b e u r n 5 r Z 9 j r m l + r l V 8 / 5 k 3 l L 9 3 K r 5 + 0 2 h p 3 5 u 1 f w 9 5 t F T P z e 3 f Y + Z 9 N T P z W 1 7 M 7 m h b W 8 a N 7 T t z e G G s d m m 9 3 z 1 c 2 / n / b N Q 9 3 Z 2 b l R A t h N f A f G L 7 w V / U A E Z + P c o I H 2 I w G p s 1 v a i o 3 f c a 1 7 c u 3 9 v 7 9 M D v L i z d y t V Z F 7 8 9 N 7 D h / c e 3 P t 0 / G C T C n M M b T v 8 9 C G 9 t e E V x 9 S 3 f s X x t n l l k 9 g 4 7 r 5 1 B 5 6 + 0 n d u p a 8 c r R 7 s 7 e / s 7 G y m l a e 5 z I v b t 3 y z z x C 3 V G L v i W G f D W 6 p z t 5 3 Q D 0 m u J V m u / 1 8 9 n l g + 8 a X P F V 3 m 9 F 7 2 u 7 W e H l a 7 1 Z d 9 O f 9 5 m E 4 t P Y 7 G v B 9 k l H 3 d n Z v V H 4 W f q j 8 V E H d G v 6 g 8 j P w P 9 3 f 2 d v / 9 P 6 9 B 2 P j 2 d 2 g / N 7 z R c f 1 5 s X b + W H a e p h 1 H Z f f 2 N Q x + Y 1 N H W / f 2 N T T a z e 3 7 T P O L f 2 w W z X v T + s t V d i t m r / f F H q K 6 1 b N 3 2 M e P W 1 1 c 9 v 3 m E l P O d 3 c t j e T G 9 r 2 p n F D 2 9 4 c b h i b b X q / o 4 X e L x l F / 9 2 o h 2 w P o R 6 6 t w F + D P 6 g H j L w 7 + / s 7 u 3 t 7 O z f G 3 / 6 4 F Z 6 6 D 1 f d E x s X r y d H t L W w 5 P h + P f G p o 5 9 b 2 z q u P f G p p 4 e u r l t n 3 V u q Y d u 1 b w / r b f U Q 7 d q / n 5 T 6 O m h W z V / j 3 n 0 9 N D N b d 9 j J j 0 9 d H P b 3 k x u a N u b x g 1 t e 3 O 4 Y W y 2 6 a c d P f S e 6 a h 7 W M e / Q R H Z L k J F p L 7 H r e E P K i I D f 4 8 i w X v j + w e 3 U k L v 8 Z L j X v P S 7 R S Q t h 6 e B c e 4 N z Z 1 f H t j U 8 e 2 N z b 1 F N D N b f s 8 c 0 s F d K v m / e m 8 p Q K 6 V f P 3 m 0 J P A d 2 q + X v M o 6 e A b m 7 7 H j P p K a C b 2 / Z m c k P b 3 j R u a N u b w w 1 j s 0 0 f B A p o 9 2 s k p M D F N 6 g g 2 0 m g g n Z 1 V m 8 N f 1 A F G f h 7 l B u 6 v 7 / 7 c H e 8 f z t f y L 6 4 e 7 B / 7 9 7 e z s E Y y b z B F x 0 f m x e p r 4 f 3 P 3 1 w b / x A 9 W n 0 P c f Q t s M H + 5 8 + 3 J Q 0 c 0 x 9 6 1 c c b 5 t X N o m N 4 + 5 b d + D p K 3 3 n V v r K 0 u r g 4 d 7 O w 4 O 9 z b T y N J d 5 c f u W b / Y Z 4 p Z K 7 D 0 x 7 L P B L d X Z + w 6 o x w S 3 0 m y 3 n 8 8 + D 2 z f + J K n 6 m 4 z e k / b 3 R o v T + v d q o v + v N 8 8 D I f W Q U c D v l d C C m x + g / K z 8 E P l d 7 u E l I M / q P w M / P 0 H B / s P d + / v 3 x / v 7 9 9 K + b 3 n i 4 7 r z Y u 3 8 8 O 0 9 T D r O i 6 / s a l j 8 h u b O t 6 + s a m n 1 2 5 u 2 2 e c j c L f 5 4 O N z f v T e k s V d q v m 7 z e F n u K 6 V f P 3 m E d P W 9 3 c 9 j 1 m 0 l N O N 7 f t z e S G t r 1 p 3 N C 2 N 4 c b x m a b P u x o o f d M S I F x b t B D t o d Q D 9 0 u I e X g D + o h A 5 / 8 r 0 9 p 6 P c f j G + n h t 7 v P c f C 5 r 3 b a S F t P T w V j n t v b O q Y 9 8 a m j n d v b O p p o Z v b 9 h n n l l r o V s 3 7 k 3 p L L X S r 5 u 8 3 h Z 4 W u l X z 9 5 h H T w v d 3 P Y 9 Z t L T Q j e 3 7 c 3 k h r a 9 a d z Q t j e H G 8 Z m m h 7 s d L T Q + 6 a j M L e b 1 Z D r I l R D t 0 t H O f h D a s j C 3 7 1 / / + G D 8 a Z o z r L t e 7 x j e d e + c y v 1 Y 1 o P z 4 F l 2 5 u b W q 6 9 u a l l 2 p u b O v V z i 7 Z 9 j r m d + r l d 8 / 5 k 3 k 7 9 3 K 7 5 + 0 2 h U z + 3 a / 4 e 8 + j U z y 3 a v s d M O v V z i 7 a 9 m d z Q t j e N G 9 r 2 5 n D D 2 G z T 3 U D 9 7 H 2 N Z B T G f o M C s p 0 E C g g v v h f 8 Q Q V k 4 O / u 7 + 3 d U v + Y V x 7 u P H i w N z 7 4 9 F Y K y L x 0 O w V k W h 8 8 v H d / Z / z p p i 4 c C 7 / H S 4 6 X b 4 O X 4 + b 3 6 M L T U P r W r T S U 6 W H 7 N l 3 0 2 e Q 2 b / U n / 1 a d 9 R n g l o r r f X D r s 8 A t 9 d f N N O 7 P + W 0 Q 6 s / 9 b Y j l K b X b j M P T a + + B m 6 f h b t X J 1 5 x 3 + 9 Z e q O / e L / W E I d 6 g 6 i z 8 U N X t v i f 8 Q V V n 4 O 8 d 3 K M M + P 6 t d N 3 t 3 3 H 8 b t 6 5 n a r T 1 s O M 6 3 j 8 x q a O x W 9 s 6 v j 6 x q a e J r u 5 b Z 9 d N g p w f / Y 3 N u 9 P 5 s b m / X m 8 p c q 6 V f P e H N 5 W V 9 1 M x f e Y S E 9 D 3 d j W U 0 s 3 t + 3 N 5 I a 2 v W n c 0 L Y 3 h x v G Z p v e 6 + i e 9 0 w 4 o d M b t I / t I d Q + t 0 s 4 O f i D 2 s f A J + 2 L 5 P X G l T v H t + / z l m N f 8 9 b t N J C 2 H p 4 G x 7 k 3 N n W M e 2 N T x 7 c 3 N v U 0 0 M 1 t + 0 x z S w 1 0 q + b 9 C b 2 l B r p V 8 / e b Q k 8 D 3 a r 5 e 8 y j p 4 F u b v s e M + l p o J v b 9 m Z y Q 9 v e N G 5 o 2 5 v D D W O z T f c 7 G u h 9 k 0 1 7 N y e b b B e h C r p d s s n B H 1 R B B v 7 u D S 6 f Y 9 r b v u H 4 1 r x x O 9 W j r Y f p 7 1 j 2 x q a O Y 2 9 s 6 h j 2 x q a e 6 r m 5 b Z 9 b b q l 6 b t W 8 P 5 G 3 V D 2 3 a v 5 + U + i p n l s 1 f 4 9 5 9 F T P z W 3 f Y y Y 9 1 X N z 2 9 5 M b m j b m 8 Y N b X t z u G F s t u n 9 Q P X c + x q J p n s 7 N y o f 2 0 m g f O 7 p r N 4 a / q D y M f D 3 D h 7 c + / T g / v 5 4 5 3 Y q y L 7 3 6 c O D T + / f V 2 U Y f c m x s H l p 9 + B g d 4 f 8 J o 0 h o 2 8 5 T r Z v 3 d t 5 s P / p e G d / w 1 u O o d / n L c f a 5 q 1 N U u O Y + 3 3 6 8 D S W v n Y r j W W 7 e H B / Z + / h w 8 3 T 4 6 k u 8 9 7 2 7 V 7 s M 8 Q t l d j 7 4 d d n h V t q s / c c T o 8 N b q X X 3 m s 6 + 1 y w f Z v 3 P H V 3 G x J 4 G u 9 9 s P O U 3 6 1 6 6 U / / r Q b j k P u 0 o w v f K w l 1 7 + Y k l I U f q s H b J a E c / E E 1 a O D f f / D g Y P / B z s F t E 1 H v 9 5 5 j f / P e 7 f w x b T 3 M x I 7 f b 2 z q 2 P 3 G p o 7 F b 2 z q a b e b 2 / b Z 5 p b + 2 K 2 a 9 y f 1 l q r s V s 3 f b w o 9 D X a r 5 u 8 x j 5 7 e u r n t e 8 y k p 6 B u b t u b y Q 1 t e 9 O 4 o W 1 v D j e M z T Z 9 0 N F B 7 5 m M u n f v R i 1 k e w i 1 0 L 3 3 h D + o h Q z 8 T + / t 3 n 9 4 7 + H D 8 c P b a a H 3 e 8 + x s H n v d l p I W w 9 P h e P e G 5 s 6 5 r 2 x q e P d G 5 t 6 W u j m t n 3 G u a U W u l X z / q T e U g v d q v n 7 T a G n h W 7 V / D 3 m 0 d N C N 7 d 9 j 5 n 0 t N D N b X s z u a F t b x o 3 t O 3 N 4 Y a x 2 a Y H H S 3 0 v g m p e / d v V E O 2 i 1 A N a Q x 2 a / i D a s j A / 3 T v 3 h g E G + Q U x 7 W 3 f s V x r n n l d s p H W w / P g G P a G 5 s 6 n r 2 x q W P Z G 5 t 6 y u f m t n 1 + u a X y u V X z / l T e U v n c q v n 7 T a G n f G 7 V / D 3 m 0 V M + N 7 d 9 j 5 n 0 l M / N b X s z u a F t b x o 3 t O 3 N 4 Y a x 2 a Y P H 9 / 1 l M / + 1 0 h J 7 e / c q H 4 e R t U P X n w v + I P q x 8 D f e 3 h / / 2 D / 0 0 / v j T 9 9 c C s l Z F 9 8 8 G D 3 0 3 s 7 9 w 9 u p Y f M W + R r 7 h w 8 3 N n d 3 J v j Z t v b w Y O 9 h 5 9 u e M V x 9 K 1 f c Y x t X t k k M 4 6 1 b 9 2 B p 6 z 0 n V s p K 0 e r e 3 u 7 n + 7 c 3 0 w r T 2 2 Z F 7 d v + W a f G 2 6 p w d 4 T w z 4 b 3 F K X v e + A e k x w K 7 V 2 + / n s 8 8 D 2 j S 9 5 e u 4 2 o / d U 3 a 3 x 8 l T e r b r o z / v N w 7 B o P d w x m k n V 3 3 t l o f Z 3 b 9 J 8 D n 6 o + X b f E / 6 Q 5 r P w 7 9 / b 2 d / d u f d w b w z O H h y 4 5 f r 3 f d F y v X 1 x 0 6 R Y p j e t h 1 n X c v n N T S 2 T 3 9 z U 8 v b N T Z 1 e u 0 X b P u N s F P 4 + H 2 x s 3 p / W 2 6 m w 2 z V / v y l 0 i u t 2 z d 9 j H p 2 2 u k X b 9 5 h J p 5 x u 0 b Y 3 k x v a 9 q Z x Q 9 v e H G 4 Y m 2 2 6 2 9 F C 7 5 m H 2 r 8 x D + V 6 C P X Q 7 f J Q D v 6 g H j L w 7 + 8 8 v H f / w a e f H o z 3 b u W B v e + L j o n N i 7 f T Q 9 p 6 e D I c / 9 7 Y 1 L H v j U 0 d 9 9 7 Y 1 N N D N 7 f t s 8 4 t 9 d C t m v e n 9 Z Z 6 6 F b N 3 2 8 K P T 1 0 q + b v M Y + e H r q 5 7 X v M p K e H b m 7 b m 8 k N b X v T u K F t b w 4 3 j M 0 2 3 e v o o f f N R O 3 f m I l y X Y S K 6 H a Z K A d / U B E Z + L s 7 O 6 R L H h 7 c S g m 9 x 0 u O e 8 1 L t 1 N A 2 n p 4 F h z j 3 t j U 8 e 2 N T R 3 b 3 t j U U 0 A 3 t + 3 z z C 0 V 0 K 2 a 9 6 f z l g r o V s 3 f b w o 9 B X S r 5 u 8 x j 5 4 C u r n t e 8 y k p 4 B u b t u b y Q 1 t e 9 O 4 o W 1 v D j e M z T a 9 F y i g + 1 8 j G 3 V / 5 0 Y V Z D s J V N B 9 n d V b w x 9 U Q Q b + v f v 3 d n f H + 7 f z g 8 x L u / u U E H 8 4 f r B 7 K x 1 k 3 r q d D r J 9 7 O 4 8 3 C N H a 3 / D W 4 6 N 3 + c t x 9 C 3 w c y x 9 P v 0 4 e k p f e 1 W e s p 0 s X 2 r P v r c c q v X + k x w u + 7 6 f H B L D f Z e 2 P U 5 4 Z a a 7 G Y 6 9 y f + V h j 1 O e B W 9 P I U 3 G 1 G 4 u m 4 9 8 H O U 3 e 3 6 u X r T r 5 9 b b + j / d 4 r G X V / 9 0 b F Z + G H i k 9 V z a 3 h D y o + A / / B z q e 7 + + M H m w b t G P 4 9 X n J s b 1 6 6 n d 7 T 1 s P s 6 z j 9 x q a O 0 W 9 s 6 p j 7 x q a e T r u 5 b Z 9 h b u l 7 3 a p 5 f z p v 6 X v d q v n 7 T a G n s W 7 V / D 3 m 0 d N Y N 7 d 9 j 5 n 0 V N P N b X s z u a F t b x o 3 t O 3 N 4 Y a x 2 a b 3 O 9 r n P Z N Q 9 + / d q H 9 s D 6 H + u f e e 8 A f 1 j 4 F P S w H 3 7 h + M D 2 7 n e b 3 P W 4 5 9 z V u 3 0 0 D a e n g a H O f e 2 N Q x 7 o 1 N H d / e 2 N T T Q D e 3 7 T P N L T X Q r Z r 3 J / S W G u h W z d 9 v C j 0 N d K v m 7 z G P n g a 6 u e 1 7 z K S n g W 5 u i 5 m 8 b d v e N G 5 o 2 5 v D D W O z T T / t a K D 3 T T / d t + m h Q R V k u w h V 0 P 3 3 h D + o g g z 8 v b 3 x g 7 1 b q Z / b v u H 4 1 r x x O 9 W j r Y f p 7 1 j 2 x q a O Y 2 9 s 6 h j 2 x q a e 6 r m 5 b Z 9 b b q l 6 b t W 8 P 5 G 3 V D 2 3 a v 5 + U + i p n l s 1 f 4 9 5 9 F T P z W 3 f Y y Y 9 1 X N z 2 9 5 M b m j b m 8 Y N b X t z u G F s t u m D Q P V 8 + j U S T 5 / u 3 K h 8 b C e B 8 v l U Z / X W 8 A e V j 4 G / i U 0 c y 9 6 m t e N Y 0 3 p / f 2 + 8 9 / B W m u f W r z j O v f U r j o F v M w z H w r f u w F N K + s 6 t l N J t s P G U 0 q 2 a v 9 8 E e 0 r p V s 3 7 U 3 x L p X S r 5 r 2 p v Z V S u v 0 s 9 W d 2 + 8 a X P C 1 1 m z F 4 i u r W e H k K 6 1 Z d 9 K f 4 5 m E 4 t A 4 6 y u t 9 / a Z P b / a b b B e h 6 r q d 3 + T g D 6 o u A / / e / o P x g 4 N b 6 a 9 b v + I 4 3 L y y a S 4 c g 2 v r Y Y 5 1 z H 1 j U 8 f b N z Z 1 L H 1 j U 0 9 J 3 d y 2 z y + 3 V F K 3 a t 6 f y l s q q V s 1 f 7 8 p 9 J T U r Z q / x z x 6 S u r m t u 8 x k 5 5 O u r l t b y Y 3 t O 1 N 4 4 a 2 v T n c M D b b 9 G G g f B 5 8 D c / p w c 6 N 6 s d 2 E q g f v P h e 8 A f V j 4 G / + + m 9 3 b F J i E c H 7 h j X v P P p H q X 4 9 8 e f a h o r + p b j X / P W z n h n 0 w u O g 1 0 3 D z 6 9 f 2 + 8 q y r 3 B o X 0 P m 8 5 l r b I 3 c q X e p 8 + P E 2 l r 9 1 K U 5 k u t k 0 f m y J k T 2 V 1 U d v 4 W p 8 N b t d d n x V u q c P e C 7 s + J 9 x S l 9 1 M 5 / 7 E 3 2 o q + x x g 6 b X p P U / F 3 W Y k n p Z 7 H + w 8 h X e r X j Z M / k Y i 6 G t 7 O z s d / f d e i 3 Z Y 5 t + o + j z 4 o e p T H X V r + A O q z 8 H f O 7 h 3 7 3 Z r d u / z j m F 6 9 8 6 m 2 T C 8 b l s P M 6 / h 8 1 s 0 N W x + i 6 a G t W / R 1 G q 0 2 7 T t s 8 t G I e 7 P / s b m / c n c 2 L w / j 7 f S W 7 d s 3 p v D 2 + m r 2 1 D x P S b S K q l b t L W K 6 T Z t e z O 5 o W 1 v G j e 0 7 c 3 h h r H Z p r s d 3 f O e S 3 Y P b l q y 8 3 o I t c / t l u w c / E H t Y + D v 7 t 0 / u P / p w / H e p 7 d S Q O / 1 m m N g 8 9 r t d J C 2 H p 4 I x 7 s 3 N n W s e 2 N T x 7 k 3 N v V 0 0 M 1 t + 2 x z S x 1 0 q + b 9 K b 2 l D r p V 8 / e b Q k 8 H 3 a r 5 e 8 y j p 4 N u b v s e M + n p o J v b 9 m Z y Q 9 v e N G 5 o 2 5 v D D W O z T f c 6 O u h 9 k 0 8 P b k o + e V 2 E S u h 2 y S c H f 1 A J G f i 7 u w c P x / d v s 2 z 3 P u 8 4 3 j X v 3 E 7 9 a O v h O X B s e 2 N T x 7 U 3 N n V M e 2 N T T / 3 c 3 L b P M b d U P 7 d q 3 p / M W 6 q f W z V / v y n 0 1 M + t m r / H P H r q 5 + a 2 t 5 3 J U P 3 c C N d T P z e 3 7 U 3 j r d T P j W 0 d C v c C 9 X P w N d J P B z s 3 K i D b S a C A D n R W b w 1 / U A E Z + L s P 7 t 0 f P 3 h w K w V k 3 z l 4 Q G u D m x j M c a 9 5 5 + D e p + M H D 2 + l h b x u 9 h 7 s 7 I 4 x N 4 O v O U 5 + r 9 c c U 5 v X N g 3 H s f V 7 d e I p K 3 3 v V s r K 9 L F N n e w e f L o / B p s O d 9 L n m d u 9 1 + e F W 3 b Y Z 4 h b a r L 3 w 6 / P E L d U a T f T u j / 7 t 5 v P P h 9 s 3 + p F T 9 f d Z i y e u n s v / D z V d 6 t u 4 h x w c z 8 O v f 2 O K n y v T N T B 7 o 1 a 0 M I P t e D u e 8 I f 1 I I G / s 1 Z J c f 0 t 3 / H c b 5 5 5 3 Z u m L Y e Z m D H 6 z c 2 d a x + Y 1 P H 3 T c 2 9 T T b z W 3 7 7 H J L N + x W z f u T e U s 3 7 F b N 3 2 8 K P Z 1 1 q + b v M Y + e z r q 5 7 X v M p K e a b m 7 b m 8 k N b X v T u K F t b w 4 3 j M 0 2 v d / R P e + Z i T q 4 d 6 P 2 s T 2 E 2 k e t 1 q 3 h D 2 o f A / / e g / 0 H e x v 9 K c e 1 t 3 / H s a 5 5 5 3 b a R 1 s P T 4 H j 2 h u b O q a 9 s a n j 2 R u b e t r n 5 r Z 9 h r m l 9 r l V 8 / 5 k 3 l L 7 3 K r 5 + 0 2 h p 3 1 u 1 f w 9 5 t H T P j e 3 f Y + Z 9 L T P z W 1 7 M 7 m h b W 8 a N 7 T t z e G G s d m m n 3 a 0 z / v m o A 5 s j m h Q / d g u Q v V z / z 3 h D 6 o f A / 9 g 5 / 5 4 / + B W 2 u f W r z j O N a / c T v l o 6 + E Z c E x 7 Y 1 P H s z c 2 d S x 7 Y 1 N P + d z c t s 8 v t 1 Q + t 2 r e n 8 p b K p 9 b N X + / K f S U z 6 2 a v 8 c 8 e s r n 5 r b v M Z O e 8 r m 5 b W 8 m N 7 T t T e O G t r 0 5 3 D A 2 2 / R B o H w e f o 0 M 1 M O d G 9 W P 7 S R Q P w 9 1 V m 8 N f 1 D 9 G P j 7 9 x / s 3 d + h U E q j u u j Y H e 9 6 r + 3 s H O y N d 2 6 n h s x r u 5 9 S Z 7 v j T z e l H h w r u 7 e o r 0 3 8 7 N j 5 1 q 8 4 r j a v b G r t + P r W H X i a S t + 5 l a Y y 8 P f 2 9 2 6 g k 6 e v z E v b t 3 i r z w K 3 V F v v g V l / 4 m + p v N 5 n I L 1 J v 5 U O u / 3 8 9 e d 8 + 8 a X P K V 2 m 5 F 7 e u 3 W e H n 6 7 V Z d 9 O f 7 5 m E 4 t A 4 6 u u 6 9 U k w P b 0 4 x W f i h m r t d i s n B H 1 R z B v 7 D 3 f 3 9 G z N G j t f f 6 z X H 7 e a 1 T b R 1 z K 6 t h 9 n W c f i N T R 2 D 3 9 j U 8 f W N T T 0 d d n P b P t N s Z L E + D 2 x s 3 p / S W 6 q t W z V / v y n 0 F N a t m r / H P H q a 6 u a 2 7 z G T n m K 6 u W 1 v J j e 0 7 U 3 j h r a 9 O d w w N t v 0 Y U c D m U T T y b d P f + K r 2 6 m J v R v V k O 0 k V E O a h r 8 1 / E E 1 Z O C T P t n Z p b U X c N A g v z j e f a / X H A + b 1 2 6 n h r T 1 8 F w 4 9 r 2 x q e P e G 5 s 6 5 r 2 x q a e G b m 7 b 5 5 x b q q F b N e 9 P 6 S 3 V 0 K 2 a v 9 8 U e m r o V s 3 t P N 6 C i u 8 x k Z 4 a u r G t p 4 Z u b t u b y Q 1 t e 9 O 4 o W 1 v D j e M z T Q F C w Z q 6 H 0 z T g 9 v z D i 5 L k I l d L u M k 4 M / p I Q s / N 0 H D z f H b Z Z r b / + K 5 V z 7 y q 2 U j 2 k 9 P A O W a W 9 u a n n 2 5 q a W Z W 9 u 6 p T P L d r 2 + e V 2 y u d 2 z f t T e T v l c 7 v m 7 z e F T v n c r v l 7 z K N T P r d o + x 4 z 6 Z T P L d r 2 Z n J D 2 9 4 0 b m j b m 8 M N Y 7 N N d 3 3 l s / 8 1 M k 7 7 N 2 e c X C e + + u E X 3 w v + o P o x 8 O / v f f r p w / v k z T z c v 5 U O c u 8 d 7 O z v 7 z w Y 3 9 / 0 n u N i 8 9 7 e g 3 v 7 u 2 M Q f v A l x 8 v m J U p U 7 R 7 c G 5 v V x h t U 0 / u 8 5 Z j b v L V J b h x 7 v 0 8 f n s 7 S 1 2 6 l s 0 w X 2 7 v 3 9 g / 2 9 8 a f 3 k 5 3 W c x u 8 V a f H W 7 V W Z 8 b b q n K 3 g e 3 P h f c U q P d T O P + p N 9 q G v u z v 3 2 b 9 z x F d 5 u R e L r u f b D z 1 N 6 t e o l N / S 2 6 c c j t d b T g + + S i 9 m / O R T n 4 o Q L c f U / 4 g w r Q w P / 0 w e 7 B w 4 c P K c G 5 u 2 n g j u e 9 F x 8 8 3 P m U V O D G F x 3 3 m x f v 3 b 9 / 7 + D B r R S g e W V v n / q 5 n f a 7 9 S t O C s w r t 1 N 9 t + 7 A 0 3 v 6 z q 3 0 n o G / u / P w H l T N M P w + s 2 z f / F K f A 2 7 p t t 0 e r / 6 U 3 9 J 3 e 4 9 h 9 C b 8 V v r u 9 n P X n + / t G 1 / y N N 1 t B u 5 p u l v j 5 a m 5 W 3 X R n + 2 b h + H Q u t f R c e + d 7 d q / O d v l O g k V 3 d 5 7 w h 9 U d A b + 3 r 1 b h p m 3 f M F x u X l h 0 0 w 4 J t f W w / z q W P v G p o 6 z b 2 z q G P r G p p 7 i u r l t n 1 s 2 C n t / 3 j c 2 7 0 / j L b X V r Z q / 3 x R 6 i u p W z d 9 j H j 0 V d X P b 9 5 h J T y P d 3 L Y 3 k x v a 9 q Z x Q 9 v e H G 4 Y m 2 2 6 P 6 B 6 3 r y 6 n V 6 4 d 6 P e s T 2 E e k c 1 4 6 3 h D + o d A 5 9 e 2 X n 4 c P f T g / G D h 7 f S P + / 5 o m N i 8 + L t 9 J C 2 H p 4 M x 7 8 3 N n X s e 2 N T x 7 0 3 N v X 0 0 M 1 t + 6 x z S z 1 0 q + b 9 a b 2 l H r p V 8 / e b Q k 8 P 3 a r 5 e 8 y j p 4 d u b v s e M + n p o Z v b 9 m Z y Q 9 v e N G 5 o 2 5 v D D W O z T e 9 3 9 N D Z T x 6 n v 0 9 6 8 u U X Z 6 / P v r y d q t i / U R X Z T k J V t P + e 8 A d V k Y F / 7 2 B v / 8 G 9 8 Y 4 C j g 7 d s e 7 7 v O U 4 2 L x 1 O y W k r Y d n w j H v j U 0 d 7 9 7 Y 1 L H u j U 0 9 J X R z 2 z 7 f 3 F I J 3 a p 5 f 0 J v q Y R u 1 f z 9 p t B T Q r d q / h 7 z 6 C m h m 9 u + x 0 x 6 S u j m t r 2 Z 3 N C 2 N 4 0 b 2 v b m c M P Y b N N P f S V 0 f + f 9 M + 7 3 d 3 Z u V E K 2 E 1 8 J 8 Y v v B X 9 Q C R n 4 n 3 6 6 9 / D e p / c / H d + 7 n R p y 7 + 3 v U N b 9 3 t i 4 a N H 3 H B e b 9 / Y e 7 O 1 8 O r 5 / / 1 b 6 y L y 0 e + / g 4 N 7 + e H c T i o 6 l 3 + c t x 9 z m r U 1 y 4 9 j 7 f f r w d J a + d i u d Z b r Y p l n 9 d I + W N j a 5 n Z 7 y s q j d 5 r U e Q 9 y y u z 5 D 3 F K b v R d 2 f U 6 4 p V a 7 m c 7 9 i b / V V P Y 5 Y P s 2 7 3 n K 7 j Y j 8 f T d + 2 D n q b 5 b 9 R K b / F t 0 4 5 B 7 0 N G E 7 5 N 1 v 7 9 j s + J v h p S g h R 8 q w d 3 3 h D + o B A 3 8 3 d 2 H 9 + 5 9 + m D / / n h H E 1 0 3 a E H v x U 9 3 9 j 4 l j X Z L N W h e 3 D / 4 9 N 6 n 4 5 1 N 3 O + Y 3 7 x E S d j 9 h w e 3 0 o G 3 f s X J g X n l d g r w 1 h 1 4 2 k / f u Z X 2 M / C 3 9 z 6 9 f / D p 7 t g s t d y k / c x 7 t 3 q t z w m 3 6 6 7 P C L f U f u + F X Z 8 B b q n 9 b q Z z f 9 Z v n s f + 3 G / f + J K n 9 2 4 z B k / v 3 R o v T + n d q o v I n N / Y h 0 P r o K P x 3 j s H f x 8 a 5 g a 1 Z z s J 1 d 6 t c v A e / E G 1 Z + D f 3 9 3 / d J M G c m x u 3 r j 3 4 P 7 9 T T z r O N 2 8 s X v v 4 e 4 m 0 j o m 1 z e G u d Y x + I 1 N H X / f 2 N S x 9 Y 1 N P V V 2 c 9 s + z 9 x E C k + L m V e 2 b 3 y n P 6 s b l U R / S m / s o T + n G 3 v o T e g t B v E e M + u p r p v b v s f c e p r q 5 r a 9 u d 3 Q t j e p G 9 r 2 J n P D 2 G z T h w M q 6 X a 5 + f s 7 N + f m b Q + h P r p V b t 6 D P 6 i P D P z d e / d 2 7 z 3 Y u X c w P n h w K 7 X k v b j z 4 O D h 3 s F 4 / 3 b a y b x 4 / 4 C y + u P 9 T 2 + l o P S l 4 T l x b H x j U 8 f F N z Z 1 T H x j U 0 9 B 3 d y 2 z 0 G 3 o I a n o 8 x b 2 7 d 5 r T / Z t 1 R T 7 4 N b f 3 5 v q a n e a y j v M c u e s r q 5 7 X v M s 6 e s b m 7 b m + c N b X u z u 6 F t b 0 o 3 j M 0 0 B e K B s n r v B P 5 9 J L 4 3 6 y v X S a i v 9 t 8 T / p C + s v A P d j 9 9 + P B g D E Y a Z B f L y d 5 b D / Z v e s t y s n 1 r 2 + b + o i 9 Y X j Y v D E + G 5 d + b m 1 r 2 v b m p 5 d 6 b m z o t d Y u 2 f d a 5 g R J O Q 9 k 3 b n i h P 7 E 3 d d G f 1 I 3 N + 7 N 5 A / z e b N 4 y 8 r s F P d 9 j S p 1 G u r m t 0 0 i 3 a N u b 0 w 1 t e 7 O 5 o W 1 v I j e M z T b d t R r p J L 2 / + z W S + W D n G x S S 7 S N Q S H j x v e A P K i Q D / x 6 l o / Y e 3 D t 4 O D 6 4 l U q y 7 + 3 t P N z Z u 3 + w s z k j 4 f j Y v r h z n 9 Y i 7 2 3 y 1 h w v m 5 d 2 8 d a n + + P 9 T U g 6 n n 6 v 1 x x 7 m 9 c 2 S Y 5 j 8 P f q x F N g + t 6 t F J j p Y 3 t 3 7 8 H 9 3 Y e 7 Y 3 w 3 3 E m f f W 7 3 X p 8 t b t l h n y 9 u q d X e D 7 8 + Q 9 x S u d 1 M 6 / 7 s 3 2 4 + + 3 y w f a s X P a 1 3 m 7 F 4 i u + 9 8 P O U 4 K 2 6 i X H A b f p x 6 O 2 F S v G 9 8 v q Y / R v 0 o Q U f 6 k N l m 1 v D H 9 S H B v 7 9 h w 9 2 7 + 0 d 7 D 0 c 7 9 8 q r + + 9 e G 9 / d + / e / Y f j n U 0 r l U 4 E z I u f 3 t v Z f X D v / v j + / q 1 U o n m N d O 8 u 5 Y T H u 5 s 0 q Z O E 9 3 r N C Y V 5 7 X Y q 8 b 0 6 8 V S i v n c r l W j 6 u E e r w v s P d j Z b E k 8 j m v e 2 b / d i n z M 2 q p w + P 9 y u m z 4 7 b O y m z w a 3 H E 6 P E W 6 l E t 9 v P v t 8 s H 2 r F z 2 V e B s i e C r x v f D z V O K t u u l z w O 2 G 4 9 C 7 F 6 r E I P F / e j v F t X e j Y r S d h I p R l d e t 4 Q 8 q R g P / w Y N P d 3 b 2 x / f 7 Q 4 9 p R f M W G Z G H t 9 K G r h t a Y L i / u R s n B f r W M D M 7 v r + x q W P 7 G 5 s 6 T r + x q a f l b m 7 b Z 5 3 b k M N T c u a 1 7 V u 9 1 5 / k W + q 4 9 8 K u P 8 e 3 V H H v N 5 j 3 m G l P w 9 3 c 9 j 3 m 2 l N k N 7 f t z f W G t r 0 J 3 t C 2 N 6 k b x m a b 7 s c 1 1 S 3 X A 8 B I N 2 g p 2 0 G o p e 6 9 J / x B L W X g f 7 r / 4 M G 9 e w 8 e 7 o 8 f 3 M 5 9 8 1 7 c v 7 f 3 8 N O D z S 8 6 Z j Y v 3 t v Z O d j 7 9 F b a S l 8 Z n h D H w z c 2 d S x 8 Y 1 P H w T c 2 9 b T V z W 3 7 7 H M j L T x V Z d 7 Z v v m l / j T f U k / d H q / + v N 5 S S b 3 H M N 5 j d j 0 N d X P b 9 5 h f T 0 P d 3 L Y 3 v x v a 9 u Z 1 Q 9 v e d G 4 Y m 2 1 6 P 9 R Q w S L A i 9 t p k f 0 b t Z T t J N R S + + 8 J f 1 B L G f j 3 9 u / f / 3 T 3 w f j + J n 5 x b G x f w 0 r n P r n 6 t 1 J Q 5 q 2 D + 3 s P H o x v q a L 0 p e E Z c U x 8 Y 1 P H w z c 2 d S x 8 Y 1 N P R d 3 c t s 8 / t 6 C G p 6 T M W 9 u 3 e a 0 / z 7 d U U + + D W 3 9 + b 6 m o 3 m s o 7 z H L n q q 6 u e 1 7 z L O n q m 5 u 2 5 v n D W 1 7 s 7 u h b W 9 K N 4 z N N v 3 U V 1 V 7 X 2 N 5 A E O / Q V P Z P g J N t a e 8 c G v 4 g 5 r K w L + / + + m n n + 5 9 S t m w T U r H s b J 7 7 8 G D g / 1 P P x 0 / u H 8 r Z W X e 2 7 v 3 4 N O N K x G O o c 0 r u 7 v 7 9 x / s j 0 3 E e 4 P W e p + 3 H G e b t 2 6 X B n u f P j x 1 p q / d S p 2 Z L r Z p S n c f P h j f 2 9 h H n 2 9 u 9 V q f H W 7 X X Z 8 d N u q o P h f c q p c + J 2 z s p c c C t 1 J p 7 z W V f Q 7 Y v s 1 7 n q a 7 z U g 8 Z f c + 2 H l 6 7 1 a 9 R C f / 5 m 4 c c g 9 C N f h e C w I Y 4 w 0 a 0 I I P N e D t F g Q c / E E N a O D v 7 n z 6 Y G / / 4 c P 7 4 0 2 J L M f y 3 n v 3 D j 5 9 8 H B n v L v p R c f 8 5 s X 9 / Y c 7 5 O Q 9 0 J H c o A V t d 7 s 7 B / c 2 6 V r H / 7 d + x Y m B e e V 2 + u / W H X j K T 9 + 5 l f I z 8 O / d O 9 j b u b + Z U p 7 u M 6 9 t 3 + q 9 P i f c 0 p t 7 L + z 6 0 3 9 L d + 7 9 B t O b / F s p v 9 v P Y 3 / u t 2 9 8 y V N 7 t x m 7 p / Z u j Z e n 8 2 7 V R X / O b x 6 G Q + s g V H h f I 9 0 P f G 9 Q e 7 a T U O 3 d L t 3 v 4 A + q P Q N / 9 w F l + 2 + n 8 W 7 9 i m N 2 8 8 q m 2 X C 8 r q 2 H e d a x 9 4 1 N H X f f 2 N Q x 9 Y 1 N P U V 2 c 9 s + x 2 y U + f 7 c b 2 z e n 8 p b 6 q 1 b N X + / K f T 0 1 a 2 a v 8 c 8 e m r q 5 r b v M Z O e V r q 5 b W 8 m N 7 T t T e O G t r 0 5 3 D A 2 2 / R h X P 3 c M o e P P m 9 Q P b a D U P X c L o f v 4 A + q H g P / 4 O G n + 5 / u 3 t / d G A c 6 v v V e 2 6 U M 2 f 7 G 1 x z / m t f u U T b k w a 3 U k L 4 x P B e O f W 9 s 6 r j 3 x q a O e W 9 s 6 q m h m 9 v 2 O e c m U n i q y L y y f e M 7 / f m 9 p T 6 6 N V b 9 O b 2 l T r r 9 I N 5 j Z j 3 F d H P b 9 5 h b T z H d 3 L Y 3 t x v a 9 i Z 1 Q 9 v e Z K L Z D Y r p 3 k 6 o m L 5 G 6 h 4 L B Z u V k + s k V E 7 7 7 w l / S D l Z + J 8 + 2 H 1 A q m l / E 7 t Y H n 6 v t y w b 2 7 c 2 s b H l Y t N 6 e C Y s 8 9 7 c 1 P L u z U 0 t 6 9 7 c 1 K m l W 7 T t 8 8 1 G a e 5 z w M b m / Q m 9 n T a 6 X f P 3 m 0 K n i W 7 X / D 3 m 0 S m h W 7 R 9 j 5 l 0 S u g W b X s z u a F t b x o 3 t O 3 N 4 Y a x 2 a a 7 v h K 6 9 z W S 8 u j s B h 1 k + w h 0 E F 5 8 L / i D O s j A p + z o p / f v P 7 h / 7 7 Z q y L 2 4 t / N w f 2 f v 0 / F D V Y z R F x 0 b m x f v 3 U d K 6 t 7 D W y k k 8 9 L + g 3 v 3 d u + N D z 7 d 8 J b j 6 f d 5 y 3 G 3 e W u T 4 D j + f p 8 + P K W l r 9 1 K a Z k u t v c p L / P g h h n y t J d F 7 T a v 9 V n i d t 3 1 O e K W 6 u y 9 s O t z w i 3 V 2 s 1 0 7 k / 8 r a a y z w H b t 3 n P 0 3 a 3 G Y m n 8 N 4 H O 0 / 3 3 a q X 2 O T f o h u H 3 F 6 o C t 8 r M Y 8 + b 9 C C F n y o B X f f E / 6 g F j T w K e u 5 8 / D e 3 t 7 + + P 7 B r b S g e 5 H y 8 p / e o 8 V J e L G D L z r u N y 9 u 7 + 3 s 3 H + 4 d 9 v c v H 1 v 9 / 6 D B 3 t m Z e I G N X j 7 d 5 w s m H d u p w R v 3 4 O n A v W l W 6 l A S 6 5 7 9 w / u 7 e 7 v 3 j Z B b 1 + 8 3 X t 9 j r h l h 3 2 O u K U W f D / 8 + n x w S z V 4 M 6 3 7 U 3 + L y e x z w P b N b 3 k q 8 D a j 8 F T g 7 T H z F O C t + o h M / M 2 d O M T u h e r v a 6 T p 0 e 8 N S t B 2 E i r B v f e E P 6 g E D f y 9 T 3 d 3 H m 5 S + 4 7 Z z S s P H t 5 H W n H w D c f v 5 o 3 d g 9 3 7 n 2 5 6 x b G 6 v j L M u 4 7 N b 2 z q u P z G p o 6 3 b 2 z q K b W b 2 / a 5 5 k Z a e P r M v L N 9 8 0 v 9 m d 2 o L P q z e n M X / X n d 2 E V v T m 8 z j P e Y X U + J 3 d z 2 P e b X 0 1 g 3 t + 3 N 7 4 a 2 v X n d 0 L Y 3 n R v G Z p v u x x X T L R P 4 6 O k G p W Q 7 C J X S v f e E P 6 i U D P y 9 / d 2 d / b 3 9 + / t j A z s 6 c s f E 7 / m i 4 2 T z 4 i Z O d o y s r Y f n w r H v j U 0 d 9 9 7 Y 1 D H v j U 0 9 5 X R z 2 z 7 n b B T o P h 9 s b N 6 f 1 l t q p F s 1 f 7 8 p 9 J T R r Z q / x z x 6 a u j m t u 8 x k 5 4 a u r l t b y Y 3 t O 1 N 4 4 a 2 v T n c M D b b 9 H 6 o h r 5 G u h 6 9 3 a C K b C e h K t p / T / i D q s j A 3 6 W l R F o W H N / b Z L Y c 7 7 r X 7 u / c P 9 g b H 9 z O U T K v b d 9 7 + O n D 8 f 1 b K S N 9 Z 3 h G H B P f 2 N T x 8 I 1 N H Q v f 2 N R T R j e 3 7 f P P z c T w V J J 5 6 e Z 3 + n N 8 i 4 7 6 M 3 x L 7 X R 7 v H o z e 1 s V d T N t 3 2 N 6 P R V 1 Y 1 t P R d 3 c t j e / G 9 r 2 p n V D 2 9 5 0 b h i b b f q p r 6 L u f 4 1 k / v 2 d G z W U 7 S P Q U P d 1 U m 8 N f 1 B D G f j 3 7 j / Y 3 9 8 9 u L 8 5 m + A Y 2 L 7 3 6 c 7 u v Q d 7 D 8 d 7 m 9 j S c b J 5 7 8 G D A / K v 9 j c p N s f K t j P K M D 4 8 G O 9 o / H q D v n q f t x x v m 7 c 2 i Y 3 j 7 v f p w 1 N k + t q t F J n p Y n v v 0 4 f 3 9 + + N 7 + / f T p e Z 9 2 7 1 W p 8 h b t d d n y F u q d H e C 7 s + J 0 R 6 i S m 1 m + n c n / h b T W W f A 7 Z v 8 5 6 n 6 2 4 z E k / d v Q 9 2 n u a 7 V S + R y b 9 N N w 6 5 B 6 E i f K 9 U / v 3 d G 3 W g B R / q Q F V U t 4 Y / q A M N / A f 3 d v b u f 7 p D C 0 u b h u 1 Y 3 r 2 3 S 9 E i k W v j e 4 7 3 z X t 7 p H E / 3 R R h O r 4 3 r 9 z b v 7 e 7 c Z 3 B 8 f 6 t X 3 E i Y F 6 5 n e 6 7 d Q e e 4 t N 3 b q X 4 D P z t h w c P H 9 7 S g T P v 3 P h K f / Z v 7 q Y / 8 7 d U d r f G q j / h t 1 R 0 N 9 O 1 P 8 s 3 z 1 t / r r d v f M l T c b c Z g 6 f i b o 2 X p 9 9 u 1 U V k r m / s w 6 F 1 E C q 3 r 5 G o v 3 9 z o t 5 2 E q q 4 2 y X q H f x B F W f g k 4 b b f 3 g r 5 W b e 2 H u 4 t 3 s 7 t W b e 2 N 0 B n Q d f c D y u L w w z r e P v G 5 s 6 9 r 6 x q e P q G 5 t 6 m u v m t n 2 W u Y E S n t 4 y b 2 z f 9 E p / S j d q i P 5 8 3 t R B f z 4 3 d t C b z Z u H 8 B 6 z 6 m m t m 9 u + x 7 x 6 S u r m t r 1 5 3 d C 2 N 6 M b 2 v a m c s P Y b N O H c W 1 0 y + z 8 / Z u z 8 7 a D U B P d L j v v 4 A 9 q I g P / U / K Y d v c f 7 I 8 3 8 Y p j X / f a p z s P b n r N 8 b B 5 b X v 3 0 5 2 d T Y z s + F h f G Z 4 M x 7 8 3 N n X s e 2 N T x 7 0 3 N v W 0 0 s 1 t + 6 x z I y 0 8 v W T e u f G V / g T f 3 E 1 / d j c 2 7 8 / q j T 3 0 Z v W 2 / t T N d H 2 P q f U 0 0 4 1 t P c 1 0 c 9 v e 3 G 5 o 2 5 v T D W 1 7 k 7 l h b K b p / k 6 o m b 5 G w h 5 J g M 3 a y X U S a q f 9 9 4 Q / p J 0 s / A N K a + 3 t j P c V c H T o l n 3 f 6 y 3 L x f a t W 6 k l 0 3 p 4 J i z z 3 t z U 8 u 7 N T S 3 r 3 t z U q a V b t O 3 z z e 0 0 0 u 2 a 9 y f 0 d o r o d s 3 f b w q d E r p d 8 / e Y R 6 e E b t H 2 P W b S K a F b t O 3 N 5 I a 2 v W n c 0 L Y 3 h x v G Z p v u + k r o 0 6 + R k v 9 0 5 0 Y d Z P s I d B B e f C / 4 g z r I w L 9 3 s L / z 6 c H + / f F G d 9 r x r n v v / s O d h 7 T a e H A r H 8 m + 9 + n O w c H 4 4 a 2 U k X l l 9 + H O 7 v 0 H 4 0 3 6 z r H z e 7 z k + N q 8 t E l k H G e / R x e e t t K 3 b q W t T A / b u z w 7 t 1 x Y d I j d 4 q 0 + J 9 y q s z 4 j 3 F K J v Q 9 u f R a 4 p S 6 7 m c b 9 O b / N L P b n f v s W r 3 k K 7 j b j 8 H T c e + D m a b t b d R K b 9 5 t 7 c a j t h b r v v b L w n + 7 e q P Y s + F D t 7 b 4 n / E G 1 Z + A / Q J J 0 b 3 d n D G Y b H L b j d v v e w 3 s H B / u 7 u + N N r z m u N 6 9 t 7 + 4 d 7 D 1 8 u N l p c 2 x v X t v 7 d P / h 7 d Y h b / + K k w D z y u 2 0 3 q 0 7 8 H S e v n M r n W d J d e / h v b 2 d 3 c 2 k 8 p S e e e 9 W r / U Z 4 X b d 9 R n h l m r v v b D r M 8 A t 9 d 7 N d O 7 P + s 3 z 2 J / 7 7 R t f 8 n T e b c b g 6 b x b 4 + V p v F t 1 E Z n z G / t w a N 0 L 9 d 3 X S M x / u n e j 1 r O d h F p P M b w 1 / E G t Z + A T F x 4 8 H N + / n a d n X t r b u b 9 3 O 2 1 n 3 t g 9 O P j 0 3 u Z u H K v r S 8 O 8 6 9 j 8 x q a O y 2 9 s 6 p j 7 x q a e Q r t 3 Y 9 s + 5 9 y C G p 4 6 M 2 9 t 3 + a 1 / g x v V B j 9 u b 1 N J / 3 5 3 d h J b 2 Z v N 5 T 3 m G V P m d 3 c 9 j 3 m 2 d N d N 7 f t z f O G t r 3 Z 3 d C 2 N 6 U b x m a b 7 s e V 1 C 3 z 9 Z / e u 1 F B 2 Q 5 C B X X v P e E P K i g D / 8 G D n Y M H n z 7 c G 2 9 c D X R 8 7 N 7 b v b e 7 9 + m n m 9 9 z n G z e 2 9 6 / d / / B / q 3 0 l L 4 y P B 2 O g 2 9 s 6 h j 4 x q a O f 2 9 s 6 u m p m 9 v 2 m e d G W n h a y r x z 4 y v 9 K b 6 5 m / 7 0 3 t L Z u j V W v V m 9 r a N 1 M 1 3 f Y 2 o 9 3 X R j W 0 8 3 3 d y 2 N 7 c b 2 v b m d E P b 3 m R u G J t t e j / U T V 8 j Y / / p / o 3 6 y X Y S 6 i d l g l v D H 9 R P B v 7 e p / f 2 d u + P P z 2 4 l X Y y b + 0 + 2 H n 4 6 Q 1 v O S 4 2 b z 3 c 2 7 u / i S 0 d E + s b w 7 P h G P j G p o 5 / b 2 z q 2 P f G p p 5 q u r l t n 3 d u I o W n m c w r 2 z e + 0 5 / d W z p P t 8 a q P 6 e 3 9 J x u P 4 j 3 m F l P N d 3 c 9 j 3 m 1 l N N N 7 f t z e 2 G t r 1 J 3 d C 2 N 5 k b x m a b f u q r p g d f I 4 / / Y O d G z W T 7 C D T T A 5 3 U W 8 M f 1 E w G / u 6 9 h w / u 7 + z d H 2 O a B / n F M b F 9 b 3 9 n l / 7 b 2 + y e O 0 4 2 7 9 1 7 + O n + z v i B e o D R l x w / m 5 c e 7 D / Y P d j s o z m G f o + X H G e b l z Y J j e P t 9 + j C 0 2 D 6 1 q 0 0 m O l h + 9 7 9 n Q c P x l j q H u 6 i z z W 3 e a v P C 7 f q r M 8 K t 9 R l 7 4 N b n w V u q c 1 u p n F / z m 8 z i / 2 5 3 7 7 F a 5 6 K u 8 0 4 P C 3 3 H r h 5 + u 5 W n U T m / R a 9 O N Q e h N r v v T L 5 D 2 7 O 5 F v w o e K 7 X S b f w R 9 U f A b + 3 s H O p z v 3 7 t M C 5 q e 3 U n z e e / c f f H r v w e b 3 H N v b 9 x 5 s 1 L C O 4 / W F Y R Z 2 3 H 5 j U 8 f s N z Z 1 H H 5 j U 0 + n 3 d y 2 z z g 3 U M J T Z + a N 7 Z t e 6 U / v L X 2 y 2 + L U n 8 9 b u m S 3 H s J 7 z K q n w 2 5 u + x 7 z 6 q m r m 9 v 2 5 n V D 2 9 6 M b m j b m 8 o N Y 7 N N D 0 K d 9 J 6 J L H g j N 2 g l 2 0 G o l W 6 X y H L w B 7 W S g U / L f f u 0 0 n 1 v v L 9 J G T v + f b / 3 H B e b 9 z Z x s W N i b T 0 8 E 4 5 5 b 2 z q e P f G p o 5 1 b 2 z q q a S b 2 / b 5 Z q M w 9 7 l g Y / P + p N 5 S F 9 2 q + f t N o a e I b t X 8 P e b R U 0 I 3 t 3 2 P m f S U 0 M 1 t e z O 5 o W 1 v G j e 0 7 c 3 h h r H Z p g 9 D J f Q 1 M l b I P t 6 g i G w n o S L a f 0 / 4 g 4 r I w N / d P a B 1 5 w e 3 0 0 L v 8 Z L j X / P S 7 V S Q t h 6 e B 8 e 6 N z Z 1 n H t j U 8 e 4 N z b 1 V N D N b f t c c 0 s V d K v m / e m 8 p Q q 6 V f P 3 m 0 J P B d 2 q + X v M o 6 e C b m 7 7 H j P p q a C b 2 / Z m c k P b 3 j R u a N u b w w 1 j M 0 2 R 8 3 M q 6 O B r Z K Y O d m 7 S Q K 6 P Q A M d 6 K T e G v 6 Q B r L w H + 4 + v E + r c w d j E / t F x 2 5 5 1 7 1 H y w y 0 C n p / v H e r z J R 9 b 3 f 3 / t 7 D h 2 O w 9 + B b l p f t W 5 / u f L q / e 3 8 z j g 8 e 3 / 0 a b 1 n m t m 9 t k h v L 3 u / V h 9 N Z 5 r X b 6 C z b x f b + Q 5 r Y T 8 f 3 P 7 2 V 8 r L v 3 e q 1 P k f c r r s + R 9 x O m 7 0 f d n 1 O u J 1 W u w W d + x N / q 6 n s c 8 D 2 b d 5 z y u 5 W I 3 H 6 7 r 2 w c 6 r v d r 1 E J v 8 2 3 T j k d k N N + F 5 Z q o P d G 5 W g B R 8 q Q c X t 1 v A H l a C B v 7 d z c E B K k / T S w 0 3 s 6 H j e e 3 H 3 0 9 2 9 g w f j g 0 0 K z X G / e Z E S + 5 / e P 6 B s 4 C Y 6 O + 4 3 r 9 F S 5 Y M H m 1 B 0 E n D r V 5 w g m F d u p w F v 3 Y G n / v S d W 6 k / A / / T h 5 8 e 7 O 5 t p p S n / c x r 2 7 d 6 r 8 8 L G x V M n w N u 1 U t / / j f 2 0 p / 3 2 w 2 m N / m 3 U n + 3 n 8 f + 3 G / f + J K n + G 4 z d k / x 3 R o v T + v d q o v + n N 8 8 D I f W X q j y T B L s 5 N u n P / H V 6 e 0 U 0 9 6 N i s 9 2 E i o + D f l u D X 9 Q 8 R n 4 D x 5 y A n B w 2 I 7 f z R v 3 P 9 3 b e 3 g r V W f e 2 L u 3 c 7 u c v H l j m G s d g 9 / Y 1 P H 3 j U 0 d W 9 / Y 1 F N l N 7 f t 8 8 x N p P D U m H l l + 8 Z 3 + r N 6 S x V 2 a 6 z 6 c 3 p L 9 X X 7 Q b z H z H q q 6 + a 2 7 z G 3 n q a 6 u W 1 v b j e 0 7 U 3 q h r a 9 y d w w N t v 0 X l w l 3 T I v f 3 B j X t 5 1 E K q j 2 + X l H f x B d W T g 7 x 7 s f / o p + W G 7 4 / 1 N 3 O J Y 2 H v x A f X 1 Y H / z i 4 6 R z Y v b 9 / Y f m n F E X 3 H M r K 8 M T 4 j j 4 R u b O h a + s a n j 4 B u b e t r p 5 r Z 9 9 r m R F p 5 6 M u / c + E p / k m / u p j + / G / V N f 1 Z v 7 K E 3 q 7 e N K 2 + m 6 3 t M r a e d b m z r a a e b 2 / b m d k P b 3 p x u a N u b z A 1 j s 0 3 3 Q + 3 0 N R L 2 B / s 3 a i j b S a i h 9 t 8 T / q C G M v A f H u z e u 6 d Q o + N 2 v H v r V x z / m l c 2 M a N j X W 0 9 P A e O b W 9 s 6 r j 2 x q a O a W 9 s 6 i m k m 9 v 2 O W a j T P b n f m P z / l T e 0 k u 6 V f P 3 m 0 J P / d y q + X v M o 6 d + b m 7 7 H j P p q Z + b 2 / Z m c k P b 3 j R u a N u b w w 1 j s 0 3 v + + r n 4 d d I 1 j / c u V H 7 2 D 4 C 7 f N Q J / X W 8 A e 1 j 4 G / + + n B / Z 2 d h / s P x p 9 u S g Q 4 5 v V e p A z X z v 7 e + H Z p K v P e 3 v 2 H 9 8 m n 2 t S Z 4 2 X z 0 v 7 u z s 7 + w / E m A + w 4 + j 1 e c q x t X t o k N Y 6 5 3 6 M L T 2 H p W 7 d S W K a H 7 X s H + z Q 9 4 4 N N E b K n u c x 7 t 3 q t z w 6 3 6 6 7 P D b d U Z e + F X Z 8 N b q n S b q Z z f 9 5 v M 5 P 9 + d + + x W u e n r v N O D x V 9 x 6 4 e U r v V p 1 E Z v 4 W v T j U P g 1 V 4 H t l 6 R / u 3 q j 9 L P h Q + 6 n S u D X 8 Q e 1 n 4 N / b + 3 R 3 9 + G n 9 + 6 P 9 z d p M c f v 3 o s 7 e / c + p e h w b / 9 W 6 s + 8 u H v v 4 b 1 P P 9 0 Z 7 + l Y b l C A 9 r W 9 h w 8 + f b h J X B z 7 3 / 4 d J w b m n d u p v 9 v 3 4 G k / f e l W 2 s 9 0 8 P D + w 0 9 3 N 9 P K 0 3 3 m r e 3 b v N Z n h l t 6 b + + D W 3 / + b + n E v d d Q e l N / K 8 3 3 H p P Y n / n t m 9 / y 9 N 5 t B u / p v d t j 5 q m 9 W / X R n / S b B h J o v Q e h 1 v s a i f q H e z f q P t t J q P v 2 3 h P + o O 4 z 8 H f v 3 a c F o P G n t 9 J 7 5 q U H D x / s P N j 4 j m N 5 8 8 7 9 + w 8 f b F K S j u v 1 j W H 2 d Z x + Y 1 P H 6 D c 2 d e x 9 Y 1 N P n 9 3 c t s 8 4 N 5 H C U 2 b m l e 0 b 3 + l P 7 S 0 1 2 a 2 x 6 s / p L d X Y 7 Q f x H j P r 6 b C b 2 7 7 H 3 H o K 6 + a 2 v b n d 0 L Y 3 q R v a 9 i Z z w 9 h s 0 4 O 4 X r p l t v 7 h v R t 1 k u 0 g 1 E n q K 9 4 a / q B O M v D 3 H n 7 6 4 O H O w 7 3 7 Y 1 V 3 0 Y E 7 D n 6 / 9 x w b m / c 2 s b H j Y m 0 9 P B O O e W 9 s 6 n j 3 x q a O d W 9 s 6 q m l m 9 v 2 + W a j N P e 5 Y G P z / q T e U h v d q v n 7 T a G n i W 7 V / D 3 m 0 V N C N 7 d 9 j 5 n 0 l N D N b X s z u a F t b x o 3 t O 3 N 4 Y a x 2 a Y P Q y X 0 N Z L y D / d v V E S 2 k 1 A R 7 b 8 n / E F F Z O D v H u w e P N j f H 9 + 7 X V j 4 X q 8 5 H j a v 3 U 4 N a e v h u X D s e 2 N T x 7 0 3 N n X M e 2 N T T w 3 d 3 L b P O b d U Q 7 d q 3 p / S W 6 q h W z V / v y n 0 1 N C t m r / H P H p q 6 O a 2 7 z G T n h q 6 u W 1 v J j e 0 7 U 3 j h r a 9 O d w w N t P 0 0 x 1 P D X 2 6 8 / 7 J + U 9 3 d m 7 S Q q 4 P X w v x i + 8 F f 0 g L W f i f 7 u 8 e 7 N y / R y n 2 T 2 + j h v z 3 H h w 8 2 N s d g 5 U G 3 7 N M 7 N 5 7 u H / / Y P x g 0 0 u W l d 1 L D z 6 l 1 Y N 7 B x t e s g z 9 P i 9 Z z r Y v b R I a y 9 v v 0 4 X T V + a t 2 + g r 2 w N p + 9 3 x v Y e 3 0 l r 2 p e 1 b v N X n h N s p r / f B r D / 7 t 1 N h 7 z W Q 3 s T f R p O 9 1 w z 2 5 3 3 7 F q 8 5 9 X a r 0 T s N 9 z 6 4 O V 1 3 u 0 7 6 s 3 6 b o T j U d k P N 9 z 4 5 + U 9 3 d m 9 U e h Z 8 q P R 2 3 x P + o N I z 8 H d 3 7 j 3 Y P b h / c H 9 8 7 3 Z a z 3 v x 4 N O d e / d 2 x w e b C O Y Y 3 7 x 4 s P / g A a 0 A b H r J s b 9 5 a W / v 0 / u Y 4 c F X H O / f + h U n A u a V 2 6 m 8 W 3 f g K T x 9 5 1 Y K z 8 D f 3 i X D s v / p + P 7 G P v o s c 6 v X + p x w u + 7 6 j L B R k f W n / 1 a 9 9 B l g Y y + 9 y b + V 4 r v 9 P P b n f v v G l z y l d 5 s x e E r v 1 n h 5 K u 9 W X U T m / M Y + H F p 7 o c J 7 / 3 Q 8 r e H d q P Z s J 6 H a U w x v D X 9 Q 7 R n 4 u z v 3 D z 6 9 V b R p X z n Y 2 b R Y 6 x j d 6 2 L n U 0 X 8 B i 2 n r w x z r W P w G 5 s 6 / r 6 x q W P r G 5 t 6 q u z m t n 2 e u Z E W n h o z 7 2 z f / F J / X j e q i f 6 c 3 t x F f 1 5 v 6 b i 9 x z D e Y 3 Y 9 9 X V z 2 / e Y X 0 9 b 3 d y 2 N 7 8 b 2 v b m d U P b 3 n R u G J t t e i + u l m 6 X j f 8 U M n 2 D S r I d h C r p V t l 4 D / 6 g S j L w i U / u 7 9 z b v b 8 7 N u o u O n L H x N 6 L D / b u f b q 3 s / l F x 8 n m R d L + O / u f P r y V i t J 3 h m f E M f G N T R 0 P 3 9 j U s f C N T T 0 V d X P b P v / c T A x P R 5 m X b n 6 n P 8 + 3 6 K g / x 7 d 0 s m 6 P V 2 9 m b + t h 3 U z b 9 5 h e T 0 V x 2 1 u q q J v b 9 u Z 3 Q 9 v e t G 5 o 2 5 v O D W O z T f d D F f X + u f p P d / Z v V F O 2 k 1 B N 7 b 8 n / E E 1 Z e D f 3 z 1 4 + H B 3 v H s r F W V e 2 n t 4 7 6 a X H B P b l / b u 7 5 g s X / Q V x 8 P 6 y v B k O P 6 9 s a l j 3 x u b O u 6 9 s a m n n W 5 u 2 2 e d G 2 n h K S f z z v b N L / W n 9 5 Y O 1 O 3 x 6 s / r L R 2 o 9 x j G e 8 y u p 5 1 u b v s e 8 + t p p 5 v b 9 u Z 3 Q 9 v e v G 5 o 2 5 v O D W O z T e / 7 2 m n 3 a 6 T w w d o 3 K C f b R 6 C c d n V S b w 1 / U D k Z + L t 7 e / f u f 3 p / f 3 e 8 M a h 1 f O x e 3 D 2 4 t 7 e / s z N + c O 9 W S s q 8 e L C / 9 + D g 4 f j B p 7 f S U + a t e 7 s H n + 4 / H O 9 t y v 0 7 p n 6 f t x x 7 m 7 c 2 S Y 5 j 8 P f p w 9 N l + t q t d J n p 4 v 7 e / u 7 + z n j / l r 6 W e W 3 7 V u / 1 e e K W G u 2 9 s O v z w S 2 V 2 v s N p s c C t 9 J r 7 z W V f Q 7 Y v s 1 7 n r q 7 D Q U 8 j f c + 2 H n K 7 1 a 9 9 C f / V o N x y H 0 a 6 s L 3 S u q D 0 2 9 Q g x Z 8 q A b V L b o 1 / E E 1 a O D v 3 X t w n 5 Y k 7 z + 4 7 V K m / + K n D + 5 9 u j P + 9 O B W a t C 8 e J 9 W p 0 h 5 b l w K c F J g 3 / r 0 4 Q P j o d 6 g A 2 / 9 i p M D 8 8 r t F O C t O / C 0 n 7 5 z K + 1 n 4 O / u 3 n v 4 6 W Z C e c r P v L V 9 m 9 f 6 j H B L 3 f c + u P X n / p a q 7 7 2 G 0 p v 4 W 2 m + 2 8 9 h f 9 6 3 b 3 z J 0 3 m 3 G b q n 8 2 6 N l 6 f w b t V F f 8 Z v H o Z D 6 0 G o 7 b 5 G R h + c e o P O s 5 2 E O k / d s 1 v D H 9 R 5 B v 7 9 B / f I D z u 4 n d t n X t p E X M f o 7 9 G F Y 3 d 9 a Z h v H Y v f 2 N R x + I 1 N H W P f 2 N R T Z D e 3 7 X P N L a j h K T L z 1 v Z t X u v P 7 i 0 V 2 f v g 1 p / f W y q y 9 x r K e 8 y y p 8 h u b v s e 8 + z p r Z v b 9 u Z 5 Q 9 v e 7 G 5 o 2 5 v S D W O z T Q / i C u q W u X 2 w 0 Q 3 K y X Y Q K i c N A W 8 N f 1 A 5 G f h 7 9 / b 3 H + 7 u 7 N 4 f 7 2 w y e 4 6 R v R c f P H x I Q e b m F x 0 v m x e 3 7 + 0 c H G z 0 e h 1 D 6 z v D M + K Y + M a m j o d v b O p Y + M a m n q q 6 u W 2 f f 2 4 m h q e p z E s 3 v 9 O f 5 1 t 0 1 J / j j W q n P 7 M 3 d 9 G b 2 d v m 9 m + m 7 X t M r 6 e i b m z r q a i b 2 / b m d 0 P b 3 r R u a N u b z g 1 j s 0 0 f h i r q a + T 2 w R E 3 q C n b S a i m 9 t 8 T / q C a M v A / f X h v / + D W Q a N 5 i 2 L G G 9 9 y b G z f 2 j 2 4 b X Z f X x m e D s f B N z Z 1 D H x j U 8 e / N z b 1 9 N P N b f v M c y M t P P V k 3 t m + + a X + B G 9 s H p n Z G 7 v o z + v G 5 r 0 5 v c 0 w 3 m N 2 P f 1 0 c 9 v 3 m F 9 P P 9 3 c t j e / G 9 r 2 5 n V D 2 9 5 0 b h i b a f p g x 9 d P e 1 8 j u 4 + h b 1 Z P r o 9 A P e 3 p p N 4 a / p B 6 s v D v P 7 h / / + H 4 3 i b b Z 3 n Y v r T / c H / / 0 / G t d J N 9 h 3 j y 4 Y P x w e 5 t t J N 9 i X J n B + T f 7 W 9 4 y X L y + 7 x k W d q + t E l a L F O / T x d O f Z m 3 b q O + b A + U + 9 s b P 7 i d e 2 V f 2 o 6 9 N a T A b j V 0 p 8 D e B 7 P + 7 N 9 O g 7 3 X Q H o T f x s V 9 l 4 z 2 J / 3 7 V u 8 5 v T a r U b v V N v 7 4 O a U 3 O 0 6 6 c / 6 b Y b i U N s N V d 5 7 J f E x w h u 0 n Q U f a j t V F r e G P 6 j t D P z d 3 f 1 P 7 9 2 / r b p 7 n 7 c c y 5 u 3 H h 4 8 v J W u u 1 1 7 x + 2 3 a + 8 4 3 r S / n Y a 7 H X R P u e k L t 1 J u t 0 H F U 2 u 3 a t 6 f 5 F v q s 1 s 1 7 0 / r L T X Z r Z r 3 J v V W K u y W U 9 S f 0 + 3 N b 3 i K 6 z b Y e 4 r r d h h 5 O u t W 8 P s z e 8 M A H E J 7 o b p 6 z y Q X e r 5 B Y d k O Q o V 1 u y S X g z + o s A z 8 h z c 4 8 o 6 d b / u G 4 2 j z x q b W j q G 1 9 T C H O m a + s a n j 5 R u b O i 6 + s a m n l G 5 u 2 + e V W y q l W z X v T + Q t l d K t m r / f F H p K 6 V b N 3 2 M e P a V 0 c 9 v 3 m E l P E 9 3 c t j e T G 9 r 2 p n F D 2 9 4 c b h i b b X o v V D x f I 3 W 1 t 3 + j 8 r G d h M p n / z 3 h D y o f A / / g 4 b 3 x 3 q 2 U z 2 3 f c J x r 3 r i d 8 t H W w z P g m P b G p o 5 n b 2 z q W P b G p p 7 y u b l t n 1 9 u q X x u 1 b w / k b d U P r d q / n 5 T 6 C m f W z V / j 3 n 0 l M / N b d 9 j J j 3 l c 3 P b 3 k x u a N u b x g 1 t e 3 O 4 Y W y 2 6 b 6 v f O 5 9 j b z U v Z 0 b d Y / t I 9 A 9 9 3 R S b w 1 / U P c Y + A 9 I U 3 3 6 6 a f 3 K Q d + K w 1 k 3 9 s 9 u H f v w d 7 D 3 f H O 7 q 0 U k X l x e 3 d n / / 7 9 / f 3 7 t 8 1 R m R d 3 P 9 2 9 v 0 u 5 + k 3 R o W P r 9 3 n L M b h 5 a 5 P s O B Z / n z 4 8 v a W v 3 U p v O a r t 7 d B U 3 b s 3 v r + J a p 4 K s 8 j d 7 s U + Z 9 y 2 y z 5 v 3 F K v v S e G f Y 6 4 p Y a 7 m d 5 9 B r j V l P Y 5 Y f s 2 7 3 m K 7 z Y j 8 X T f + 2 D n q c F b 9 R J j g F t 0 4 5 C 7 H 2 r F 9 0 p d 3 d u 9 U S F a 8 K F C V J a 5 N f x B h W j g 7 9 6 7 d 3 / n 3 v 2 D / Y P x w c G t V K J 7 c + 8 + e t v f G 3 + 6 6 U 0 n A f b N v f 2 H 9 z 5 9 s D M + u H c r l W j e I 8 2 9 c / D p / v j T T a 8 5 Q X i v 1 5 x M m N d u p x T f q x N P K + p 7 t 9 K K p o + H B / f 2 D n Y + 3 e g K e y r R v L Z 9 q / f 6 r H F L 9 + 6 9 s O s z w y 3 d v P c b T I 8 J b q U N 3 2 8 u + z y w f a s X P X 1 4 G x p 4 + v C 9 8 P M U 4 q 2 6 6 c / / 7 Y b j 0 P s 0 1 I g m O 3 b y 7 d O f + O r 0 d n p r 7 0 a 9 a D s J 9 a J y w 6 3 h D + p F A 3 9 / Z / f + A w o 7 9 2 + l E 8 1 b m y j s W P 9 9 + n A S o G 8 N c 7 J j + h u b O p 6 / s a l j 8 x u b e u r t 5 r Z 9 v r k N O T z 1 Z l 7 b v t V 7 / R m + p X p 7 L + z 6 c 3 x L 9 f Z + g 3 m P m f b U 2 8 1 t 3 2 O u P S 1 2 c 9 v e X G 9 o 2 5 v g D W 1 7 k 7 p h b L b p g 7 i a u m U S / 9 6 9 G 1 W U 7 S B U U a p E b w 1 / U E U Z + L v k t j 1 8 u P P p w f 3 x g 4 e 3 U l P e m / f 3 H n 5 6 n 5 y + + 5 t 0 u 2 N n 8 + a 9 T x / u 7 9 5 7 M N 7 7 9 F Y 6 S 1 8 b n h b H y T c 2 d Y x 8 Y 1 P H x z c 2 9 X T W z W 3 7 T H Q r e n h K y 7 y 3 f b s X + 5 N + S 6 3 1 f v j 1 5 / m W a u s 9 h / M e s + 3 p r Z v b v s d 8 e 3 r r 5 r a 9 + d 7 Q t j f H G 9 r 2 p n X D 2 G z T g 1 B v f Y 0 1 g H v 7 N + o u 2 0 m o u / b f E / 6 g 7 j L w 9 z 7 d f / j w w f 5 4 k / Z x 3 G z f 2 q N F y L 3 7 4 3 u b u M w x s 3 l t n / o i V f d Q R x F 9 y / G 0 v j U 8 J Y 6 L b 2 z q m P j G p o 6 H b 2 z q 6 a y b 2 / Y Z 6 D b k 8 F S W e W 3 7 V u / 1 p / q W G u u 9 s O v P 8 S 0 V 1 v s N 5 j 1 m 2 t N X N 7 d 9 j 7 n 2 9 N X N b X t z v a F t b 4 I 3 t O 1 N 6 o a x 2 a Y P O / r q x Z v 0 8 + M X x 0 9 v m y O 7 f 6 O y s j 2 E y u r + e 8 I f V F Y G / i b e c g x s W l N y 6 + H t 9 J N 5 Y / u m V x z / 6 i v D 9 H c s e 2 N T x 7 E 3 N n U M e 2 N T T z n d 3 L b P L T f S w t N M t 6 W 4 p 5 R u 3 0 1 / Y j e q m P 6 s 3 t h D b 1 Z v m + G / m a 7 v M b W e M r q x r a e M b m 7 b m 9 s N b X t z u q F t b z I 3 j M 0 0 P d j x l d H + 1 1 j D 3 N + 5 S R 2 5 P g J 1 t K + T e m v 4 Q + r I w j 9 4 c L B D O Y K 9 M f h 6 k F 8 s / 7 r 3 D n b v P d z d e T D e e X A b 9 W T f e 3 j / / o O D z T 6 X Z W X 7 0 v 7 e w Q G l M T Z h a B n 6 f V 6 y n G 1 f 2 i Q 0 l r f f p w u n w c x b t 9 F g t o f t e / T s 7 t / W v 7 L v 3 e q 1 P j f c r r s + N 9 x O m 7 0 f d n 0 2 u J 1 G u w W d + / N + m 5 n s z / / 2 L V 5 z a u 5 W 4 3 C a 7 n 1 w c z r v d p 1 E Z v 4 W v T j U d k M N + F 7 r l f u 7 N y o / C z 5 U f r v v C X 9 Q + R n 4 u / d o t f L B / Q d 7 4 4 c P b 6 X 9 / B c / v f / w 4 c P x w a 2 0 n 3 n v 0 4 f 3 H z x 4 M N 7 d 1 J v j e / P W A 1 o W 3 d k k K 4 7 3 b / 2 K E w H z y u 1 U 3 6 0 7 8 B S f v n M r x W f g b x / s 7 3 0 6 x p / D P f Q Z 5 h Y v 9 b n g N l 3 1 W e C W K u 8 9 M O t P / C 0 V 3 s 3 0 7 c / 2 z f P X n / P t G 1 / y l N 1 t x u A p u 1 v j 5 a m 6 W 3 U R m e 8 b + 3 B o 7 Y W K 7 m s s Q + 7 f u A z p O g n V 3 e 2 W I R 3 8 Q X V n 4 O / t P t j Z x I G O y c 0 b m y j r e P y 2 8 B 2 D 6 x v D H O u Y + 8 a m j r d v b O p Y + s a m n v q 6 u W 2 f X 2 4 i h a e 7 z C v b N 7 7 T n 9 G N C q I / n T f 2 0 J / T j T 3 0 J v Q W g 3 i P m f X U 1 s 1 t 3 2 N u P S 1 1 c 9 v e 3 G 5 o 2 5 v U D W 1 7 k 7 l h b L b p v b g 6 u u V y 4 / 6 9 G 1 W R 7 S B U R e o V 3 h r + o C o y 8 H f v f 3 r / 3 r 2 d g / v j T x / e S i N 5 L 3 5 K a 0 M H B 5 t f d I x s X t w + 2 H m w s 8 m 7 d c y s r w x P i O P h G 5 s 6 F r 6 x q e P g G 5 t 6 2 u n m t n 3 2 u Z E W n n o y 7 9 z 4 S n + S b + 6 m P 7 + 3 d K t u j V V v V m / r V N 1 M 1 / e Y W k 8 7 3 d j W 0 0 4 3 t + 3 N 7 Y a 2 v T n d 0 L Y 3 m R v G Z p v u h 9 r p P R Y V r Q b Z v 1 F D 2 U 5 C D b V / O w 1 l 4 Q 9 q K A N / 9 4 A 0 8 + 6 n 4 / u b I j z H v / a 1 / f u f 3 v i a 4 2 P z 2 r 0 H W I 2 8 l X b S V 4 Y n x P H w j U 0 d C 9 / Y 1 H H w j U 0 9 7 X R z 2 z 7 7 3 E g L T z u Z d 7 Z v f q k / x b f 0 n m 6 P V 3 9 e b + k + v c c w 3 m N 2 P Q 1 1 c 9 v 3 m F 9 P Q 9 3 c t j e / G 9 r 2 5 n V D 2 9 5 0 b h i b b X r f 1 1 D 3 v 0 b m / v 7 O j Q r K 9 h E o q P s 6 q b e G P 6 i g D P y 9 / d 3 d + 7 t 7 D + 6 N s Z A 6 y D C O j 9 2 L e 5 / u 7 e 8 c P B z v 3 y 5 3 b 1 4 8 e P B w d 3 d z E s O x t H m J H L a d B 3 s P x r q Q e o P G e p + 3 H H e b t z Y J j u P v 9 + n D U 2 X 6 2 q 1 U m e l i e 3 f / A S U e b v B y P X 1 m c b v V e 3 2 m u G W H f a a 4 p V 5 7 P / z 6 3 H B L 1 X Y z r f u T f 6 v p 7 H P B 9 m 3 e 8 z T e b U b i K b 3 3 w c 7 T f 7 f q J T b 9 t + j G I f d p q A 7 f K 4 1 / f / d G T W j B h 5 p Q 9 c e t 4 Q 9 q Q g P / 3 v 3 9 g 0 / 3 P i W v 6 + H t N K F 7 c Z f W P + / v P x g j C B 9 8 0 b G / f f H h 3 t 6 9 T y m R / + m t d K F 5 7 e G 9 g 7 2 N K D o J u P U r T h D M K 7 f T g r f u w F O B + s 6 t V K C B T 8 D 3 d z 5 9 u J l U n g Y 0 7 2 3 f 7 s U + N 9 z S q 3 s / / P o s c E v P 7 j 2 H 0 2 O A W 6 n A 2 8 9 l f / 6 3 b 3 z J U 3 6 3 G b y n / G 6 N l 6 f 5 b t V F f 9 Z v H o Z D 6 0 G o 9 r 5 G U v / + 3 o 3 K z 3 Y S K j / V M 7 e G P 6 j 8 D P z 9 g 3 v 3 N 2 l 7 x / H m j U 2 U d X x + W / i O 1 f W N Y Y 5 1 z H 1 j U 8 f b N z Z 1 L H 1 j U 0 + V 3 d y 2 z y 8 3 k c L T Y u a V 7 R v f 6 c / o L R X Y r b H q z + k t d d f t B / E e M + u p r Z v b v s f c e l r q 5 r a 9 u d 3 Q t j e p G 9 r 2 J n P D 2 G z T g 7 g 6 u m V S / / 6 9 G 1 W R 7 S B U R Z o 3 v T X 8 Q V V k 4 O 9 T W v 7 T B 5 + S X / T p p p y s Y 2 H 3 4 s P 9 B z s H e 3 u b X 3 S M b F 7 c / n T n 3 u 4 t 1 Z O + M z w j j o l v b O p 4 + M a m j o V v b O q p p 5 v b 9 v n n Z m J 4 C s q 8 d P M 7 / X m + R U f 9 O d 6 o c / o z e 3 M X v Z m 9 b X B 5 M 2 3 f Y 3 o 9 F X V j W 0 9 F 3 d y 2 N 7 8 b 2 v a m d U P b 3 n R u G J t t + j B U U V 8 j s 3 9 / / 0 Y 1 Z T s J 1 d T + e 8 I f V F M G / v 7 B z v 7 u / Z 3 x p 5 / e S k m Z 1 / b u 7 z 0 k f 3 P z a 4 6 R 7 W t 7 D y g 6 1 U F E 3 3 G M r O 8 M z 4 h j 4 h u b O h 6 + s a l j 4 R u b e i r q 5 r Z 9 / r m Z G J 6 K M i 9 t 3 + K t / i x v V A a R 2 b 2 5 j / 7 c b u y j N 6 2 3 G s h 7 z L C n p m 5 u + x 5 z 7 K m p m 9 v 2 5 n h D 2 9 7 U b m j b m 9 A N Y z N N H + 7 4 a u r T r 5 H e / 3 T n J i 3 l + g i 0 1 K f K C r e G P 6 S l L P z d T w / u H z x 4 M L 7 3 4 D Z a y n 9 t / + E 9 y o R t e s 1 y s n 1 t 7 + F 9 8 r 5 u 5 0 m 5 l w j D v f H u p p c s O 7 / P S 5 a v 7 U u b B M 1 y 9 v t 0 4 f S Y e e s 2 e s z 2 8 H B / Z 3 w 7 L W Z f 2 b 7 x n T 4 P 3 E 6 H 3 R 6 r / r z f T o O 9 x y B 6 E 3 4 b / f X w f W a u P 9 / b t 3 j N K b V b j d 3 p t f f h K q f h b t d J f 8 Z v M x S H 2 m 6 o 7 9 4 r f / / p 7 o 2 q z o I P V d 3 u e 8 I f V H U G / r 1 7 9 y j 4 u 3 9 b V e d e 2 3 l w 7 9 N P N 7 / m W N 6 8 R q u f E L X B N x z X m z d 2 H + 4 a L / Q G J X f b N 5 y G M 2 / c T s P d F r 6 n 3 v S V W 6 k 3 A 3 7 v 3 v 7 9 h 7 d T b + a V 7 R v f 6 c / 7 L d X b r b H q z / U t 1 d v t B 9 G b 6 l u p t 1 t P W 3 + m t 2 9 6 x 1 N s t x m 1 p 9 h u i 5 W n 1 W 7 V Q 3 + i b x y E Q 2 o v V G n v m Q x D + u g G p W Y 7 C J X a 7 Z J h D v 6 g U j P w S a X t 3 L t 3 M H 6 w a W X R M f l 7 v e Y Y 3 b y 2 a U I c n 2 v r Y Z 5 1 7 H 1 j U 8 f d N z Z 1 X H 1 j U 0 9 x 3 d y 2 z z U b 5 b 3 P A x u b 9 6 f 0 l v r q V s 3 f b w o 9 X X W r 5 u 8 x j 5 6 a u r n t e 8 y k p 5 d u b t u b y Q 1 t e 9 O 4 o W 1 v D j e M z T a 9 F 6 q g r 5 H s Q o h / g x q y n Y R q S J X k r e E P q i E D f 3 9 n 5 + G n 4 5 3 b K a H 3 e M n x r 3 n p d i p I W w / P g 2 P d G 5 s 6 z r 2 x q W P c G 5 t 6 K u j m t n 2 u u a U K u l X z / n T e U g X d q v n 7 T a G n g m 7 V / D 3 m 0 V N B N 7 d 9 j 5 n 0 V N D N b X s z u a F t b x o 3 t O 3 N 4 Y a x 2 a b 7 v g p 6 8 D U S W Q 9 2 b t R A t o 9 A A z 3 Q S b 0 1 / E E N Z O A / 2 H 3 4 6 a e f H u z t j w 8 2 R b W O e d 2 L B / v 3 d 3 f 2 7 4 / B 2 Y M v O j Y 2 L + 7 t 0 Y s 7 D 8 Y 7 B 7 d S S e a 1 3 Z 1 P D x 7 s 3 Z B x c 2 z 9 X q 8 5 D j e v b R I e x + P v 1 Y m n u f S 9 W 2 k u 2 8 f e 7 v 0 H D x 6 O H + z e T o W Z 9 7 Z v 9 2 K f M 2 6 p z N 4 P v z 4 7 3 F K r v e d w e o x w K / 3 2 f v P Z 5 4 P t W 7 3 o K b 7 b E M H T f e + F n 6 c H b 9 V N n w N u N x y H 3 v 1 Q L 7 5 X w g v T e Y N K t O B D l a h 8 c G v 4 g y r R w N / 9 d O f g 4 c 7 O 7 s O H 4 / 2 H t 9 K J 9 s 3 7 9 3 b u f b p 7 f + / e e G N A 7 a T A v P n g 4 P 6 9 g 0 8 f 3 B / j k 8 H 3 n D j o e 8 N c 7 Q T g x q a O / 2 9 s 6 l j + x q a e u r u 5 b Z + H b k c Q T 9 + Z F 7 d v + W Z / 3 m + p 8 N 4 T w / 5 c 3 1 L j v e + A 3 m P G P Z V 3 c 9 v 3 m H N P s 9 3 c t j f n G 9 r 2 p n l D 2 9 7 E b h i b b f p p q L p M Y u v k 2 6 c / 8 d X p 7 R T M 3 o 0 K z H Y S K j A N 5 G 4 N f 1 C B G f h 4 4 e H u 7 V S X e e f T n X v 7 m x j T s b H t Z X f / 3 v 0 H m 3 p x v K z v D M + E Y 9 4 b m z r e v b G p Y 9 0 b m 3 r q 6 u a 2 f b 6 5 m R i e q j I v b d / i r f 7 s 3 l J N v Q d m / b m 9 p Y p 6 n 4 G 8 x w x 7 6 u n m t u 8 x x 5 5 6 u r l t b 4 4 3 t O 1 N 7 Y a 2 v Q n d M D b b 9 E F c P d 0 y 7 / 7 g 3 o 2 q y X Y Q q q Z 7 7 w l / U D U Z + M Q n u / c O d v b u f T o + 2 L + V g g r e f P D w 4 Y O 9 z W 8 6 Z j Z v 7 p m 8 X b S 9 4 2 Z t P z w f j o V v b O o 4 + M a m j o F v b O o p q Z v b 9 r l n M y E 8 B W V e 2 J Y 3 b q G c z B u 3 V E 6 3 x K g / l 7 d U T L c d w H v M q K e U b m 7 7 H n P q K a W b 2 / b m d E P b 3 n R u a N u b y A 1 j s 0 0 P Q q X 0 N T L x D / Z v V E y 2 k 1 A x 6 a z e G v 6 g Y j L w d / f 3 D k g z j c F E g / z i G P i 9 X n N s b F 7 b x M a O i 7 X 1 8 F w 4 9 r 2 x q e P e G 5 s 6 5 r 2 x q a e Q b m 7 b 5 5 y N 0 t z n g Y 3 N + 1 N 6 S 1 1 0 q + b v N 4 W e J r p V 8 / e Y R 0 8 N 3 d z 2 P W b S U 0 M 3 t + 3 N 5 I a 2 v W n c 0 L Y 3 h x v G Z p s + 9 N X Q w d f I x h / s 3 K i F b B + B F s K L 7 w V / U A s Z + L v 7 + / s P d + 8 9 3 N + c c n P M 6 7 1 4 n z J W B z t j s O r g i 4 6 N z Y t E a v L F 9 l W f R l 9 y z G x e 2 t / Z 3 9 s b Y 2 o H X 3 I s / R 4 v O d 4 2 L 2 0 S G 8 f d 7 9 G F p 7 H 0 r V t p L N M D p U T v H 9 w f P z i 4 n e a y 0 3 O L t / r c c K v O + r x w S 0 X 2 P r j 1 W e C W + u x m G v f n / D a z 2 J / 7 7 V u 8 5 i m 5 2 4 z D 0 3 P v g Z u n 8 W 7 V S W T e b 9 G L Q e 3 e z k 6 o / 9 4 r 6 3 6 w e 4 P q 8 8 C H q m / 3 P e E P q D 4 H / 9 4 9 G v O n 9 + 7 f U v X 5 L + 7 u 3 v v 0 Y H 9 v 8 4 u G 8 b 0 X K c 1 / f 3 c T k Q 3 b 2 3 e G + d i w / C 2 a G o 6 / R V P D 5 r d o a h X b b d r 2 u e d m Y l i 1 5 l 7 a v s V b / Z n e q D o i 8 3 t z H / 2 5 3 d h H b 1 p v N Z D 3 m G G r 1 G 7 T 9 j 3 m 2 O q v 2 7 T t z f G G t r 2 p 3 d C 2 N 6 E b x m a b 7 o Z K 6 m v k 1 w 9 u y q 9 7 n Y S q 6 n b 5 d Q d / U F U Z + J 8 e H N x O R d 3 y B c e + 5 o V N 7 O u 4 V 1 s P 0 9 + x 7 I 1 N H c f e 2 N Q x 7 I 1 N P a V 0 c 9 s + t 2 y U 4 v 6 8 b 2 z e n 8 Z b 6 q F b N X + / K f Q 0 0 K 2 a v 8 c 8 e q r n 5 r b v M Z O e 6 r m 5 b W 8 m N 7 T t T e O G t r 0 5 3 D A 2 2 3 Q v r n p u m T s / u C l 3 7 n U Q q p 3 b 5 c 4 d / E G 1 Y + D v H T z c + Z S e G z x D x 7 n v + a L j Y f P i 7 d S Q t h 6 e C 8 e + N z Z 1 3 H t j U 8 e 8 N z b 1 1 N D N b f u c c 0 s 1 d K v m / W m 9 p R q 6 V f P 3 m 0 J P D d 2 q + X v M o 6 e G b m 7 7 H j P p q a G b 2 / Z m c k P b 3 j R u a N u b w w 1 j s 0 3 v h W r o a 2 T L s e x 1 g y q y n Y S q a P 8 9 4 Q + q I g P / 3 v 2 9 / f H O w a 2 0 0 O 3 f c d x r 3 r m d A t L W w 7 P g G P f G p o 5 v b 2 z q 2 P b G p p 4 C u r l t n 2 d u q Y B u 1 b w / m b d U Q L d q / n 5 T 6 C m g W z V / j 3 n 0 F N D N b d 9 j J j 0 F d H P b 3 k x u a N u b x g 1 t e 3 O 4 Y W y 2 6 b 6 v g B 5 + j T z 5 w 5 0 b 9 Y / t I 9 A / D 3 V S b w 1 / U P 8 Y + J Q o O r h / c N t M k X 3 r / r 3 d v Q f j e 7 f J k L u 3 7 u 3 e 3 9 / d 3 J V j Y 9 v V z s H u z u a e H D O / x 0 u O q 8 1 L m w T G 8 f V 7 d O H p K n 3 r V r r K 9 L C 7 8 + D e 7 h i W c b i H P s N s 3 + a 1 P h / c U n W 9 D 2 5 9 B r i l B n u v o f Q m / 1 a a 7 H 1 m s T / 3 2 7 d 4 z V N v t x m + p + H e A z d P 1 9 2 q k / 6 8 3 2 Y o D r X 7 o e Z 7 r w z 5 w 9 0 b l Z 4 F H y q 9 3 f e E P 6 j 0 D P x 7 9 + / f 3 / / 0 t k r P e + v B 7 o P b 5 s b N W 9 u 7 D x T / G x S e v j D M v o 7 T b 2 z q G P 3 G p o 6 7 b 2 z q 6 b O b 2 / a Z 5 g Z K e L r M v H H D C / 2 J v a m L / q T e 0 g e 7 J U a 9 2 b y t F 3 Y z P d 9 j S j 2 N d W N b T 0 3 d 3 L Y 3 p x v a 9 m Z z Q 9 v e R G 4 Y m 2 3 6 a a i L 3 j M b 9 f D e j d r I d h B q o 3 v v C X 9 Q G x n 4 + w 8 f H l B A d / / h r b T R + 7 z l + N e 8 d b s w U F s P z 4 J j 3 B u b O r 6 9 s a l j 2 x u b e q r o 5 r Z 9 n r l l G H i r 5 v 0 J v a U v d a v m 7 z e F n g K 6 V f P 3 m E d P A d 3 c 9 j 1 m 0 l N A N 7 f t z e S G t r 1 p 3 N C 2 N 4 c b x m a b P g g V 0 N f I Q z 3 c v 1 E J 2 U 5 C J b T / n v A H l Z C B v 7 u 3 d 3 9 / f D u H 6 P b v O O 4 1 7 9 x O A W n r 4 V l w j H t j U 8 e 3 N z Z 1 b H t j U 0 8 B 3 d y 2 z z O 3 V E C 3 a t 6 f z F s q o F s 1 f 7 8 p 9 B T Q r Z q / x z x 6 C u j m t u 8 x k 5 4 C u r l t b y Y 3 t O 1 N 4 4 a 2 v T n c M D b b 9 M B T Q A 9 2 3 j 8 P 9 W B n 5 0 b 9 Y / v w 9 Q + / + F 7 w B / W P g X / w 6 Y P d T x / s 3 D Y m c 6 9 9 + u D g 4 M H 4 4 a Y c g W N h 8 9 q 9 / d 2 H + + P d T X 0 5 R r Y v 7 e z v 7 o 4 f b O r J s f N 7 v O T 4 2 r y 0 S W Q c Z 7 9 H F 5 6 2 0 r d u p a 1 s D w 8 O 9 s b 7 G 1 M E f Y 7 Z v s V b f T 6 4 p e p 6 D 8 z 6 s 3 9 L B f Y + A + l N / K 3 0 2 P v M Y H / e t 2 / x m q f c b j N 6 T 7 + 9 B 2 6 e p r t V J / 1 Z v 8 1 Q H G o P Q 7 3 3 P l m o B z s 3 Z 6 E s + F D l 3 S o L 5 c E f V H k G / u 7 9 h 5 / e f / h g / 7 Y 6 z 7 1 3 8 G D v 3 s H B b T N R 9 j 2 g u C l c d K x v X 3 n w K W Z r 8 A 3 H 9 r d 9 w z G / e e N 2 y u 6 2 8 D 1 N p 6 / c S t M Z 8 A / v 3 T / 4 9 H Z 6 z r y y f e M 7 / a m / p Z a 7 N V b 9 y b 6 l j r v 9 I H p T f S s N d + t p 6 8 / 0 9 k 3 v e L r t N q P 2 d N t t s f I U 2 6 1 6 6 E / 0 j Y O w S I F x f a 3 2 f v m s B 1 i / 3 K z X X A e h X r t V P s u D P 6 T X L P z d B / c + 3 X 3 w Y P 8 2 S u 1 9 X r J M b l / a N B m W x 0 3 r Y X 6 1 r H 1 z U 8 v Z N z e 1 H H 1 z U 6 e 0 b t G 2 z z E b Z b 0 / / x u b 9 6 f z d r r q d s 3 f b w q d n r p d 8 / e Y R 6 e i b t H 2 P W b S 6 a R b t O 3 N 5 I a 2 v W n c 0 L Y 3 h x v G Z p v u h u r n / b N Z D 7 C m e I M K s p 2 E K k i l / t b w B 1 W Q g f / p / s 7 O 7 v j g d i r o P V 5 y / G t e u p 0 K 0 t b p 4 D w 4 1 r 2 x q e P c G 5 s 6 x r 2 x q a e C b m 7 b 5 5 p b q q B b N e 9 P 5 y 1 V 0 K 2 a v 9 8 U e i r o V s 3 f Y x 4 9 F X R z 2 / e Y S U 8 F 3 d y 2 N 5 O 3 U k E 3 t + 3 N 4 W 1 U 0 F 5 H B b 1 4 k 3 5 + / O L 4 6 W 1 D u / s 3 6 h / b Q 6 h / N L S / N f x B / W P g f z o + u F V M Z 1 / Y x F S O Y 2 8 J 3 v G s v j B M f M e v N z Z 1 7 H p j U 8 e t N z b 1 9 M 7 N b f u s c g M l P N V j 3 t i + 6 Z X + b N 5 S / d w W p / 5 8 3 l I D 3 X o I 7 z G r n h a 6 u e 1 7 z K u n h W 5 u 2 5 v X D W 1 7 M 7 q h b W 8 q N 4 z N N r 3 n a 6 H d r 5 F V B 0 v f o I d s H 4 E e 2 l U + u D X 8 Q T 1 k 4 O 8 f 3 L 9 l d s m + Q k n 7 3 U / H e / u 3 U k j m J V p r v L c / x u L p 4 E u O j c 1 L u + h p f / x w U 3 j s O P l 9 3 n I 8 b d 7 a J G G O q 9 + n D 0 9 x 6 W u 3 U l y m i + 1 P H 9 6 / t 3 N r 7 W V e u 8 1 b f T a 4 V W d 9 V r i l H / U + u P W 5 4 J b u 1 M 0 0 7 k / 6 r a a x P / v b t 3 n P 0 2 + 3 G Y m n 4 t 4 H O 0 / b 3 a q X y N T f p h u H 3 H 6 o / N 4 r t Q 4 u v 0 H v W f C h 3 t t 9 T / i / 1 5 D e M / D f Q + / d + h X H 8 O a V 2 8 V + 2 n q Y c x 2 T 3 9 j U 8 f i N T R 1 f 3 9 j U U 2 U 3 t + 3 z y i 1 j v 1 s 1 7 0 / l L Z 2 v W z V / v y n 0 l N W t m r / H P H r K 6 u a 2 7 z G T n l a 6 u W 1 v J j e 0 7 U 3 j h r a 9 O d w w N t v 0 f q h 4 3 j P 7 D b 6 5 Q f X Y D k L V o 2 r x 1 v A H V Y + B v 0 t Z p J 1 N f O J 4 9 t a v O L 4 1 r 9 x O 9 W j r Y f o 7 l r 2 x q e P Y G 5 s 6 h r 2 x q a d 6 b m 7 b 5 5 Z b q p 5 b N e 9 P 5 S 1 V z 6 2 a v 9 8 U e q r n V s 3 f Y x 4 9 1 X N z 2 / e Y S U / 1 3 N y 2 N 5 M b 2 v a m c U P b 3 h x u G J t t + m m o e r 5 G 5 h v M c I P 6 s Z 2 E 6 m f / P e E P q h 8 D / 9 7 e e P / g V t r n t m 8 4 z j V v 3 E 7 5 a O v h G X B M e 2 N T x 7 M 3 N n U s e 2 N T T / n c 3 L b P L 7 d U P r d q 3 p / I W y q f W z V / v y n 0 l M + t m r / H P H r K 5 + a 2 7 z G T n v K 5 u W 1 v J j e 0 7 U 3 j h r a 9 O d w w N t v 0 g a 9 8 9 r 5 G t g l D v 0 H 3 2 D 4 C 3 b O n k 3 p r + I O 6 x 8 C / M Y R y b G t e 2 b 3 / 8 P 7 9 8 Y N P b 6 V / z E v 3 7 + / c G 9 / f 9 I 7 j Y P P O 3 s 7 D B / f G D + 9 v e M n x 8 X u 8 5 B j a v L R J V h x L v 0 c X n p r S t 2 6 l p k w P 2 7 v 3 9 x / s j O 8 9 v J 2 6 c j N z 8 1 t 9 F r h V Z 3 0 2 u K X 2 e h / c + i x w S y V 2 M 4 3 7 c 3 6 b W e z P / f Y t X v M 0 2 2 3 G 4 S m 3 9 8 D N U 3 O 3 6 i Q y 7 7 f o x a F 2 E C q 9 9 8 o y Y Y Q 3 6 D s L P t R 3 t 8 s y O f i D + s 7 A v 4 c h 3 1 L h y T u U X j 8 4 + P S 2 e S b z z v a 9 h y Z O v U H b 6 R v D v O v Y / M a m j s t v b O p Y + 8 a m n j K 7 u W 2 f Y 2 4 i h a f I 3 C x t f q M / r z d 2 0 p / W W y q w 2 + L U m 9 H b K q + b a f o e 0 + q p r B v b e n r q 5 r a 9 e d 3 Q t j e h G 9 r 2 p n L D 2 G z T h 6 E y e s / M E / q 8 Q R 3 Z D k J 1 d L v M k 4 M / q I 4 M / N 3 9 A 9 J H 9 2 + n j 9 7 j J c e + 5 q V N z O h Y V 1 s P z 4 F j 2 x u b O q 6 9 s a l j 2 h u b e s r o 5 r Z 9 j t k o k / 3 5 3 9 i 8 P 5 0 b m / c n 8 p Y a 6 F b N e 3 N 4 W / V z M x X f Y y I 9 9 X N j W 0 / 9 3 N y 2 N 5 M b 2 v a m c U P b 3 h x u G J t p C s R 9 9 f M 1 s k 9 Y q 9 + s g l w n o Q r a f 0 / 4 Q y r I w q e R 7 + 6 O 7 + / d R g W 9 z 0 u W f + 1 L t 1 J B p v X w P F j W v b m p 5 d y b m 1 r G v b m p U 0 G 3 a N v n m t u p o N s 1 7 0 / n 7 V T Q 7 Z q / 3 x Q 6 F X S 7 5 u 8 x j 0 4 F 3 a L t e 8 y k U 0 G 3 a N u b y Q 1 t e 9 O 4 o W 1 v D j e M z T b d 9 V X Q v a + R g 7 q 3 c 6 M G s n 0 E G g g v v h f 8 Q Q 1 k 4 O 9 9 e v / + 7 s P 7 t 4 3 L v P c + 3 f 3 0 3 u 7 O + O G t X C H 7 3 v b e 7 r 0 H n 9 4 y G 2 X f 2 t 9 7 e L A 7 3 t n f 8 J L j 6 P d 4 y b G 2 e W m T 1 D j m f o 8 u P I W l b 9 1 K Y V l 6 f b p / 7 / 6 D 8 S Z y e X r L v H W L l / q s c J u u + o x w S y X 2 H p j 1 p / + W q u x m + v b n + z Y z 2 J / 3 7 V u 8 5 u m 3 2 4 z D U 3 H v g Z u n 7 G 7 V S W T W b 9 G L Q 2 0 v V H 3 v l Y m 6 t 3 u j 1 r P g Q 6 2 3 + 5 7 w B 7 W e g X 9 / 7 + F D 4 s R b a z 3 7 3 u 7 B 3 t 7 u w 7 1 b Z q T s e 7 u 7 D / b 3 9 n U Y N + g 8 f W e Y i x 3 D 3 9 j U 8 f u N T R 2 T 3 9 j U U 2 k 3 t + 3 z z s 3 E 8 D S a e W n 7 F m / 1 5 / m W D t l 7 Y N a f 2 1 u 6 Z e 8 z k P e Y Y U + l 3 d z 2 P e b Y 0 1 4 3 t + 3 N 8 Y a 2 v a n d 0 L Y 3 o R v G Z p v e C 1 W U y U + d f P v 0 J 7 4 6 v Z 0 i 2 b t R U d l O Q k W 1 9 5 7 w B x W V g X 9 v 9 / 7 9 T Z r Z 8 b B 5 Y x M 7 O u a 9 L X z H v / r G 8 A w 4 p r 2 x q e P Z G 5 s 6 l r 2 x q a e W b m 7 b 5 5 e b S O E p J f P K 9 o 3 v 9 G f 0 l i r p 1 l j 1 5 / S W C u n 2 g 3 i P m f X U 0 c 1 t 3 2 N u P X V 0 c 9 v e 3 G 5 o 2 5 v U D W 1 7 k 7 l h b L b p f l w d 3 T J d f u / e j a r I d h C q o n v v C X 9 Q F R n 4 + w c P P 3 3 4 K W W e j D s W H b j j 4 P d 7 z 7 G x e W 8 T G z s u 1 t b D M + G Y 9 8 a m j n d v b O p Y 9 8 a m n l q 6 u W 2 f b z Z K c 5 8 L N j b v T + o t t d G t m r / f F H q a 6 F b N 3 2 M e P S V 0 c 9 v 3 m E l P C d 3 c t j e T G 9 r 2 p n F D 2 9 4 c b h i b b X o / V E J f I 2 l + b / 9 G R W Q 7 C R X R / n v C 9 x V R o I g M / H v 7 9 z 9 9 O D a + V n T k j n P f 4 y X H v + a l 2 6 k g b T 0 8 D 4 5 1 b 2 z q O P f G p o 5 x b 2 z q q a C b 2 / a 5 5 p Y q 6 F b N + 9 N 5 S x V 0 q + b v N 4 W e C r p V 8 / e Y R 0 8 F 3 d z 2 P W b S U 0 E 3 t + 3 N 5 I a 2 v W n c 0 L Y 3 h x v G Z p t + 6 q u g / a + R N N / f u V E D 2 T 4 C D b S v k 3 p r + I M a y M D f 2 3 / w 8 N a 5 I / P S w c M D e m l H / b L o S 4 5 9 z U u 7 p L d 2 9 8 Y 7 9 2 + l i e x b D 9 n h e r D J 4 X L M / D 5 v O b Y 2 b 2 2 S G M f Y 7 9 O H p 6 3 0 t V t p K 9 P F 9 q f 3 d x 4 + H H / 6 6 e 2 0 l n n t N m / 1 O e F W n f V 5 4 Z Z K 7 H 1 w 6 3 P B L X X Z z T T u T / q t p r E / + 9 u 3 e c 9 T c b c Z i a f l 3 g c 7 T + H d q p f I 1 N + m G 4 f c g 1 D / v V f m H N n C G 1 S f B R + q P s X t 1 v A H V Z + B f 5 + y l 7 d W f e 6 l 3 f 3 d 2 + b M z U u f 7 m x y 1 h y 7 a / t h / n W s f m N T x + k 3 N n X c f W N T T 6 H d 3 L b P M Z s J 4 a k y 8 8 L 2 D W / 0 Z / W W P t g t M e r P 5 S 2 9 s N s O 4 D 1 m 1 F N e N 7 d 9 j z n 1 t N T N b X t z u q F t b z o 3 t O 1 N 5 I a x 2 a Y H o S J 6 z 4 T U / s 0 J K d t B q I p u l 5 B y 8 A d V k Y F / 8 H D v / u 7 4 / i b X y L G u e W k T J z q + f Y 8 u H P f q S 8 N z 4 N j 2 x q a O a 2 9 s 6 p j 2 x q a e I r q 5 b Z 9 j b k E N T x u Z t 7 Z v 8 1 p / d m + p k t 4 H t / 7 8 3 l I v v d d Q 3 m O W P e V 0 c 9 v 3 m G d P O d 3 c t j f P G 9 r 2 Z n d D 2 9 6 U b h i b b f o w V E 5 f I 1 G 1 v 3 + j g r K d h A p q / z 3 h D y o o A 3 9 3 7 2 B v / P D T W + m n 2 7 / j u N i 8 s 4 m L H R N r 6 + F Z c I x 7 Y 1 P H t z c 2 d W x 7 Y 1 N P P d 3 c t s 8 z G 4 W 5 P / s b m / c n 8 5 b 6 6 F b N 3 2 8 K P U V 0 q + b v M Y + e A r q 5 7 X v M p K e A b m 7 b m 8 k N b X v T u K F t b w 4 3 j M 0 0 v b f j K 6 D 7 X y N N d X / n J v 3 j + g j 0 z 3 2 d 1 F v D H 9 I / F v 7 e g 9 1 P 7 5 M 6 2 d m 9 j Q r y X 9 t 7 e O / h Z j N n W d i 9 9 v D h w 9 3 x w c F t l J F 7 6 d N 7 + w / H + 5 u 8 f c v O 7 / O S 5 W v 7 0 i a R s Z z 9 P l 0 4 b W X e u o 2 2 s j 3 c + 3 R / b 7 z / 6 a 1 0 l n 1 p + x Z v 9 f n g d q r r f T D r z / 7 t F N h 7 D a Q 3 8 b f R Y + 8 1 g / 1 5 3 7 7 F a 0 6 5 3 W r 0 T r + 9 D 2 5 O 0 9 2 u k / 6 s 3 2 Y o D r X d U O + 9 V 3 r q / u 6 N K s + C D 1 W e K q Z b w x 9 U e Q b + / f s P d u 8 f 7 I 4 / v V V U 6 F 7 7 d P f h p / f v b X 7 N M b 1 5 b X v / Y O f B r b J U 5 p V h F n b c f m N T x + w 3 N n U c f m N T T 5 / d 3 L b P O D f S w l N n 5 p 0 b X + l P 8 M 3 d 9 G d 3 o 2 7 q z + q N P f R m 9 Z b + 2 C 3 o + h 5 T 6 2 m v G 9 t 6 K u v m t r 2 5 3 d C 2 N 6 c b 2 v Y m c 8 P Y t O k 9 L N j 7 e s l k q 0 6 + f f o T X 5 3 e T n v s 3 a i d b C e h d l I m u D X 8 Q e 1 k 4 B / s 7 T 7 4 9 F a K y b y x f + 8 + v N f B N x z 3 m j f u H X y 6 v y n R 7 p h X 3 x i e B c e 4 N z Z 1 f H t j U 8 e 2 N z b 1 V N L N b f s 8 c x M p P I 1 k X t m + 8 Z 3 + r N 7 S v b o 1 V v 0 5 v a V z d f t B v M f M e i r p 5 r b v M b e e S r q 5 b W 9 u N 7 T t T e q G t r 3 J 3 D A 2 2 / R e X C X d M o F + / 8 Y E u u s g V E e 3 S 6 A 7 + I P q y M C / v 3 e f Q r a d 8 c 7 t d N J 7 v e a Y 2 L y 2 i Y k d D 2 v r 4 X l w r H t j U 8 e 5 N z Z 1 j H t j U 0 8 p 3 d y 2 z z U b Z b n P A x u b 9 6 f 0 l r r o V s 3 f b w o 9 P X S r 5 u 8 x j 5 4 K u r n t e 8 y k p 4 J u b t u b y Q 1 t e 9 O 4 o W 1 v D j e M z T b d D 1 X Q 1 0 i T 3 9 + / U Q 3 Z T k I 1 t P + e 8 A f V k I F P A d v + + P 7 t d J B 9 5 + D g 0 / H u p n c c 9 5 p 3 t u / t U G B 4 K y 2 k r w x P h e P e G 5 s 6 5 r 2 x q e P d G 5 t 6 W u j m t n 3 G u Z E W n i o y 7 9 z 4 S n 9 q b + 6 m P 7 W 3 1 E m 3 x q o 3 q 7 f V S z f T 9 T 2 m 1 t N L N 7 b 1 9 N L N b X t z u 6 F t b 0 4 3 t O 1 N 5 o a x 2 a b 3 f b 3 0 6 d f I n n + 6 c 6 N a s n 0 E a u l T n d R b w x 9 U S w b + p z s H n + 5 S G v z T T f G X Y 1 / 3 2 s M H O / s H 4 5 1 N D r h j Y / M a Z c / v 3 R 9 v j A 4 d I 5 u X 9 n c O 9 v f H k K H B l x w 7 v 8 d L j q / N S 5 t E x n H 2 e 3 T h 6 S 9 9 6 1 b 6 y / S w v b v z c O d g f O / g d i r M v H a b t / q c c K v O + p x w S 0 X 2 P r j 1 W e C W u u x m G v f n / D a z 2 J / 7 7 V u 8 5 i m 4 2 4 z D 0 3 H v g Z u n 7 W 7 V S W T e b 9 G L Q + 3 T U P e 9 V w b 9 0 9 0 b 1 Z 4 F H 6 q 9 3 f e E P 6 j 2 D P z d v b 2 9 T + / v 0 u L M p m E 7 b n f v 7 e 4 f P H h A q 4 1 7 t 1 J 8 5 r 0 H D x 7 s 7 2 x e p X B c r y 8 N s 7 H j + B u b O o a / s a n j 8 h u b e n r t 5 r Z 9 5 r k F N T y 1 Z t 7 a v s 1 r / a m + Z b D 4 P r j 1 5 / e W M e N 7 D e U 9 Z t n T a z e 3 f Y 9 5 9 l T Y z W 1 7 8 7 y h b W 9 2 N 7 T t T e m G s d m m D 0 I 9 9 T U y 6 p / u 3 a i t b C e h t t J Z v T X 8 Q W 1 l 4 O / e v 3 + f U l E H n 9 5 K V 7 3 P W 4 6 T z V u b O N k x s r Y e n g n H v D c 2 d b x 7 Y 1 P H u j c 2 9 V T U z W 3 7 f L N R o P s c s L F 5 f 0 J v q Z N u 1 f z 9 p t B T R r d q / h 7 z 6 C m h m 9 u + x 0 x 6 S u j m t r 2 Z 3 N C 2 N 4 0 b 2 v b m c M P Y b N O D u B K 6 Z Q 7 9 0 3 s 3 K i D b Q a i A 7 r 0 n / E E F Z O D j h Q f 7 G z N R j m v f 4 y X H u + a l 2 6 k f b T 0 8 B 4 5 t b 2 z q u P b G p o 5 p b 2 z q q Z + b 2 / Y 5 5 p b q 5 1 b N + 9 N 5 S / V z q + b v N 4 W e + r l V 8 / e Y R 0 / 9 3 N z 2 P W b S U z 8 3 t + 3 N 5 I a 2 d h p v 0 b Y 3 h x v G Z p s + D N X P 1 8 i f f 7 p / o w q y n Y Q q a P 8 9 4 Q + q I A N / d / f T h + O 9 g 1 t p I P c O 5 c 8 / 3 f S O 4 1 7 z z v b u g 7 E i H 3 3 D M b C + M T w T j n l v b O p 4 9 8 a m j n V v b O o p o Z v b 9 v n m J l J 4 i s h S / I Y 3 + v N 6 Y y f 9 a b 2 l P r o t T r 0 Z v a 1 K u p m m 7 z G t n k q 6 s a 2 n k m 5 u 2 5 v X D W 1 7 E 7 q h b W 8 q N 4 z N N N 3 f 8 V X S g 6 + R O n + w c 5 N G c n 0 E G u m B T u q t 4 Q 9 p J A t / d + 8 h Z c D h D w 4 y i + V d 9 9 L u w f 2 9 j U s 5 l o H t O 0 T h h / v j T W r M s r B 7 Z + / g 4 c P x j n q C m 9 X T + 7 x k O d q + t E l Y L E + / T x d O a 5 m 3 b q O 1 H I V 3 H t I S w 6 Z Z c X r L v r R 9 i 7 f 6 H L B R T 0 T m / u Y + + p O / s Y / + v N 9 m I L 2 J v 4 0 G e 6 8 Z 7 M / 7 9 i 1 e c 2 r t V q N 3 m u 1 9 c H M 6 7 n a d 9 G f 9 N k N x q O 2 G G u + 9 E u Y P d m 9 U d h Z 8 q O x 2 3 x P + o L I z 8 D / d 3 7 m 3 e 1 t l Z 1 7 a u 7 + / e 8 N L j u H N S / c O P t 3 b N C O O 5 / W N Y e 5 1 j H 5 j U 8 f n N z Z 1 z H 1 j U 0 + V 3 d y 2 z z M 3 k c J T Z O a V 7 R v f 6 c / t L d X Y r b H q z + k t l d j t B / E e M + u p s J v b v s f c e t r q 5 r a 9 u d 3 Q t j e p G 9 r 2 J n P D 2 G z T v V A l v W d a 6 s G N a S n X Q a i U b p e W c v A H l Z K B v 7 e 3 s 7 O J T R z v 3 v Y N x 7 r m j d u p I m 0 9 T H 3 H s D c 2 d f x 6 Y 1 P H r j c 2 9 V T R z W 3 7 v H J L N X S r 5 v 2 J v K U G u l X z 9 5 t C T / v c q v l 7 z K O n e G 5 u + x 4 z 6 S m e m 9 v 2 Z n J D 2 9 4 0 b m j b m 8 M N Y 7 N N 7 4 W K 5 2 s k p B 7 s 3 6 h 8 b C e h 8 t l / T / i D y s f A 3 3 2 w c 3 + 8 d y v t 4 1 5 5 e H A r 5 W N e 2 H 6 4 d 8 u 4 T 9 8 Y n g X H u D c 2 d X x 7 Y 1 P H t j c 2 9 R T Q z W 3 7 P H M T K T w l Z F 6 5 6 Y 3 + n N 7 Y S X 9 O b 6 m L b o t T b 0 Z v q 4 5 u p u l 7 T K u n j m 5 s 6 6 m j m 9 v 2 5 n V D 2 9 6 E b m j b m 8 o N Y 7 N N 9 3 1 1 d P A 1 k l E H O z d q I 9 t H o I 0 O d F J v D X 9 Q G x n 4 + / d J H 9 0 2 P j M v 3 d t / i K B u k x J z H G x 7 2 n 3 4 c G c M 4 R l 8 y T G x 7 W n 3 w f 3 d 8 c 4 m 1 n e s / B 4 v O Z 4 2 L 2 0 S F 8 f V 7 9 G F p 7 f 0 r V v p L d P D 7 s 7 e P U o W 3 L + d 6 j J v b d / m t T 4 X 3 N K P e h / c + g x w S 3 f q v Y b S m / x b 6 b H 3 m c X + 3 G / f 4 j V P u d 1 m + J 5 + e w / c P E 1 3 q 0 7 6 8 3 6 b o T j U 7 o d 6 7 7 1 S U g e 7 N 6 o 8 C z 5 U e b v v C X 9 Q 5 R n 4 D / e o + W 1 V n n n p 4 O G D e z e 8 5 D j e v L T H y b / B F x z P 6 w v D z O v 4 / M a m j s 1 v b O p 4 + 8 a m n j a 7 u W 2 f Z W 6 g h K f J z B v b N 7 3 S n 9 h b a r H b 4 t S f z 1 t q s F s P 4 T 1 m 1 d N e t u 0 t d N a N b T 1 F d X P b 3 r x u a N u b 0 Q 1 t e 1 O 5 g Q 6 2 6 a e h N n r P b N T B v R v 1 k e 0 g 1 E f q w N w a / q A + M v A p R X 7 L b N R t 3 3 C c a 9 6 4 n R r S 1 r d R Q z c 2 d f x 6 Y 1 P H r j c 2 9 d T Q z W 3 7 v H J L H X S r 5 v 2 J v K X + u V X z 9 5 t C T / n c q v l 7 z K O n e G 5 u + x 4 z 6 S m e m 9 v 2 Z n J D 2 9 4 0 b m j b m 8 M N Y 7 N N H 4 S K 5 2 t k o w 7 2 b 1 Q + t p N Q + e y / J / x B 5 W P g 3 6 c V k / G n C j Y 6 c M e 4 7 p 2 H 9 8 c Q l 8 F 3 H P e a d 2 j x c 7 y / y c 1 0 H K y v D E + F 4 9 4 b m z r m v b G p 4 9 0 b m 3 p a 6 O a 2 f c a 5 k R a e K j L v 3 P h K f 2 p v 7 q Y / t b f U S b f G q j e r t 9 V L N 9 P 1 P a b W 0 0 s 3 t v X 0 0 s 1 t e 3 O 7 o W 1 v T j e 0 7 U 3 m h r H Z p g e + X n r 4 N d J S D 3 d u V E u 2 j 0 A t P d R J v T X 8 Q b V k 4 O 9 + + u n + b U M 0 8 8 7 + / U 8 p r t u 7 n V 4 y L 9 3 O M b J d 7 O / s 3 h s f b E p J O B Z + j 5 c c L 9 8 G L 8 f N 7 9 G F p 7 P 0 r V v p L N P D 9 m 2 6 6 P P J b d 7 q z / 6 t O u s z w C 2 V 1 / v g 1 m e B W + q v m 2 n c n / P b I N S f + 9 s Q y 1 N q t x m H p 9 f e A z d P w 9 2 q k 6 8 5 7 / a t h 6 G + e 6 9 0 1 M O b 0 1 E W f K j q b p e O c v A H V Z 2 B v 3 9 w 7 7 a a z r x y s 3 Z 0 3 G 7 e 2 d 7 d N a m 0 G 5 S d v j H M u o 7 L b 2 z q m P z G p o 6 z b 2 z q 6 b K b 2 / Y Z 5 i Z S e H r M U v y G N / r T e m M n / W m 9 p f 6 6 L U 6 9 G b 2 t 7 r q Z p u 8 x r Z 7 G u r G t p 6 Z u b t u b 1 w 1 t e x O 6 o W 1 v K j e M z T S 9 v x P q o v d M R j 2 8 M R n l O g i 1 0 e 2 S U Q 7 + k D a y 8 B / u 3 r v / 6 R g L B I O c Y h n 3 f V 6 y 7 G t f 2 s S M l n V N 6 + E 5 s G x 7 c 1 P L t T c 3 t U x 7 c 1 O n j G 7 R t s 8 x G 2 W y P / 8 b m / e n c 2 P z / k T e T g P d r n l v D m + p f m 5 B x f e Y S K d + b m 7 r 1 M 8 t 2 v Z m c k P b 3 j R u a N u b w w 1 j s 0 1 3 Q / X z N V J S D / d v V E G 2 k 1 A F q d T f G v 6 g C j L w N 7 G J Y 1 n T e u / + / n j n d p r H v L J 9 4 z u O d / W d 4 U l w f H t j U 8 e 2 N z Z 1 X H t j U 0 / / 3 N y 2 z z I 3 E 8 P T Q r c m u q e K 3 q O j / u z e U i H d H q / e z N 5 W K 9 1 M 2 / e Y X k 8 r 3 d j W 0 0 o 3 t + 3 N 7 4 a 2 v W n d 0 L Y 3 n R v G Z p v u e V r p Y O f 9 E 1 I H W O S 6 Q S n Z P n y l d G B W x 2 4 N f 1 A p G f i 7 9 w 4 O D m 6 n m e w r + 7 s H 5 B b d f 3 g r 5 W T e u v f g 4 a e 7 4 3 u b X n I 8 b F 7 a 3 3 l 4 7 8 H 4 4 c G G l x w n v 8 d L j q X N S 5 t I 4 J j 6 P b r w 1 J e + d S v 1 Z X r Y 3 n v 4 4 A Y a e / r L v H W L l / o s c J u u + l x w S w 3 2 H p j Z 6 b 9 d H 7 2 J v 5 U K e 5 8 Z 7 M / 7 9 i 1 e 8 / T a b c b h q b b 3 w M 1 T c r f q J D L r t + j F o X Y v V H n v k 5 M 6 2 N m 9 U d t Z 8 K G 2 2 3 1 P + I P a z s D f 2 9 8 n n + 1 W 2 s 5 7 5 c H e / q 1 U n X l l e 3 9 3 U x + O z / W F Y c Z 1 P H 5 j U 8 f i N z Z 1 f H 1 j U 0 + L 3 d y 2 z y 4 3 U M L T Y O a N G 1 7 o T + l N X f R n 9 J a a 6 5 Y Y 9 W b z t l r r Z n q + x 5 R 6 u u r G t p 6 C u r l t b 0 4 3 t O 3 N 5 o a 2 v Y n c M D b b d D / U Q u + X j T r Y u X e j H r I d h H r o 3 n v C H 9 R D B v 7 e w b 3 d 3 Y f j v U 9 v p Y r e 5 y 3 H v + a t T e z o m F d b D 8 + C Y 9 w b m z q + v b G p Y 9 s b m 3 q q 6 O a 2 f Z 7 Z K J V 9 D t j Y v D + h G 5 v 3 Z / K W K u h W z X t z e F s F d D M V 3 2 M i P Q V 0 Y 1 t P A d 3 c t j e T G 9 r 2 p n F D 2 9 4 c b h i b b X o / V E D v n 4 8 6 Q B R / g x K y n Y R K a P 8 9 4 Q 8 q I Q P / 0 z 3 K b d 9 K A d 3 2 D c e 5 5 o 3 b K R 9 t P T w D j m l v b O p 4 9 s a m j m V v b O o p n 5 v b 9 v n l l s r n V s 3 7 E 3 l L 5 X O r 5 u 8 3 h Z 7 y u V X z 9 5 h H T / n c 3 P Y 9 Z t J T P j e 3 7 c 3 k h r a 9 a d z Q t j e H G 8 Z m m 3 7 q K 5 + 9 r 5 F 2 w t B v 0 D 2 2 j 0 D 3 7 O m k 3 h r + o O 4 x 8 H f 3 H h z s 3 7 t / M A b Z B v n F 8 a 7 / 3 u 7 u g / v j j U 6 5 Y 2 L z 3 r 2 d H Z M 7 i 7 7 h + N i 8 s f f p w e 6 n 4 4 f 3 N 7 z k u P k 9 X n J s b V 7 a h J d j 7 P f o w l N W + t a t l J W l 1 e 7 B v f H O x g 7 6 D L N 9 i 7 f 6 b H B L z f U e m P W n / p b 6 6 3 0 G 0 p v 4 W 6 m x 9 5 n B / r x v 3 + I 1 T 7 f d Z v S e e n s P 3 D x F d 6 t O + r N + m 6 E 4 1 B 6 E a u + 9 U k 8 Y 4 Q 0 a z 4 I P N d 7 t U k 8 O / q D G M / D 3 P r 2 3 t / d w d 2 d 8 s H 8 r j e e / d + 8 B 5 d s 3 v u f Y 3 r z 3 8 N 4 e e G / w D c f 5 9 o 3 9 n U 8 3 9 e G 4 / r Z v O N 4 3 b 9 x O 1 9 0 W v q f o 9 J V b K T o D f v t g / 9 P b a T n z x g 0 v 9 G f 9 p i 7 6 8 3 1 L 7 + y W G P V n + Z b + 2 c 3 0 7 E / u j d P V n + H t m 9 7 x V N p t R u C p t N t i 5 e m z W / U Q m e Q b B 2 5 f O Q i V 2 X t m s N D 3 D e r M d h C q s 9 t l s B z 8 Q X V m 4 O / d / / T T T x / s 7 W x e l n b s 7 b 1 3 / + H B / b 3 N 7 z k + N + 9 9 e v D p 7 b S Z v j D M u I 7 H b 2 z q W P z G p o 6 1 b 2 z q a a 2 b 2 / Z Z 5 w Z K e F r L v L F 9 0 y v 9 6 d 2 o J f q z e l M H / f n c 2 E F v N m 8 e w n v M q q e 5 b m 7 7 H v P q q a q b 2 / b m d U P b 3 o x u a N u b y g 1 j s 0 0 f h l r p a 6 S 1 s E J 2 g 2 a y n Y S a S d X A r e E P a i Y D / / 7 u w 5 2 H Y 1 V 4 0 Y E 7 / r 3 9 O 4 6 D z T u b O N g x s L Y e n g X H u D c 2 d X x 7 Y 1 P H t j c 2 9 d T R z W 3 7 P L N R k P u z v 7 G 5 T u Z t m / f n c W P z 9 5 t C T w n d q v l 7 z K O n g G 5 u + x 4 z 6 S m g m 9 v 2 Z n J D 2 9 4 0 b m j b m 8 M N Y z N N P 9 3 x F d C 9 r 5 H a u r d z k / 5 x f Q T 6 5 5 5 O 6 q 3 h D + k f C 3 9 v 5 / 6 9 e w 8 / 3 R m D P w f 5 x f K u e 2 / / 4 c 6 n n + 7 u j w 8 e 3 k Y P 2 f e 2 9 / c e U I R I 6 u v T 2 2 g k + 9 7 u z s 4 e J d L u b e r N M v V 7 v W X Z 2 7 6 1 S X I s g 7 9 X H 0 5 r m d d u o 7 U 8 o t 1 7 s P f p / f 3 x g 9 v l u e y L t 3 u v z x W 3 7 L D P F r d T a e + J X 5 8 b b q f b b k H r / u T f a j r 7 X L B 9 m / e c y r v V S J z W e y / s n A K 8 X S + R 6 b 9 N N w 6 5 3 V A f v l f O 6 9 7 u j a r Q g g 9 V 4 e 5 7 w h 9 U h Q b + 3 u 6 n e z s P D 3 b H + 5 u G 7 X j e v r d / / + H O v b 2 H m 1 W o Y 3 7 z 3 v b e w 0 8 f 3 t t / M P 5 0 E / c 7 5 t f 3 h r n Z M f 6 N T R 3 f 3 9 j U 8 f q N T T 0 1 d 3 P b P v / c j i C e m r M z c K v 3 + j N + y w 7 7 U 3 5 L N f d + + P V m + r Z q 7 m Z a v 8 d 0 e 7 r t x r a e P r u 5 b W + + N 7 T t T f G G t r 1 p 3 T A 2 2 3 Q v V F n v m d m 6 d 2 N m y 3 U Q K q 3 b Z b Y c / E G l Z e D v f / r w 4 f 7 B p 3 v j B w e 3 U l r 2 v f t 7 9 3 d o U X P z e 4 6 V z X u 7 D / b 3 d 8 A j g + 8 4 N t Z 3 h u f D s f C N T R 0 H 3 9 j U M f C N T T 2 F d X P b P v f c T A x P W Z m X t m / x V n + e N 6 q C / v T e o o / + 3 G 7 s o z e t t x r I e 8 y w p 6 R u b v s e c + w p q Z v b 9 u Z 4 Q 9 v e 1 G 5 o 2 5 v Q D W O z T e / 5 S m r / a 8 S Z + z s 3 6 i n b R 6 C n 9 p U V b g 1 / U E 8 Z + A c P 7 j / c f 7 A / 3 t n E L o 6 P 7 W s P 9 z 5 9 s H 8 w 3 r 9 V t s u + t v e Q f t 8 b 7 9 1 K T Z m X 9 j / d o Z h 2 f H 9 / w 1 u O n 9 / n L c f Z 5 q 1 N o u Z 4 + 3 3 6 8 F S Z v n Y r V W a 6 2 N 6 l 9 R G a n 3 s b + + j z z a 1 e 6 7 P D 7 b r r 8 8 M t H a / 3 w q 7 P C b f 0 u 2 6 m c 3 / i b z W V f Q 7 Y v s 1 7 n q a 7 z U g 8 Z f c + 2 H l 6 7 1 a 9 R C b / N t 0 4 5 P Z D N f h e 4 e X + 7 o 0 a 0 I I P N e D u e 8 I f 1 I A G / u 6 9 v f s P H u z s 3 j b T 5 t 7 b 3 9 2 9 f + / + + E B R u k E H m v e 2 9 3 a J / T f 1 5 R j f v n P / w c E 9 y s 1 t 0 r a O / 8 1 b 5 I P u 7 I w / f X A r D W i H t U P m 4 H Z q 8 H 2 w 8 9 S g v n Y r N W i 7 I E o f 3 N v f P B h P D d r R 3 O a 1 P k / c r r s + T 9 x S D b 4 X d n 1 u u K U a v J n O / d m / 1 V T 2 O e A W b 3 l K 8 H 0 6 8 5 T h b Y b v K c H 3 w a 3 P A R t p b F v f D 1 X g e 4 a r c J 5 u U I K 2 g 1 A J 6 m B u D X 9 Q C R r 4 u 5 + C T P v 7 4 9 1 N v p l j + P d 7 z 3 G + e W 8 T e R 3 D a + t h D n b M f m N T x + s 3 N n X 8 f W N T T 6 3 d 3 L b P N x u 5 r M 8 F G 5 v 3 J / W W s e m t m r / f F H p K 6 1 b N 3 2 M e P a V 1 c 9 v 3 m E l P P 9 3 c t j e T G 9 r 2 p n F D 2 9 4 c b h i b b f p p q I T O f v I 4 / X 3 S k y + / O H t 9 9 u W L 2 y m K / R s V k e 0 k V E T 7 7 w l / U B E Z + A 8 e P q T c l 4 K N D t w x 7 u Z 3 / H c c 9 5 p 3 b q e A t P V t F N C N T R 3 f 3 t j U s e 2 N T T 0 F d H P b P s / c U g H d q n l / M m + p g G 7 V / P 2 m 0 F N A t 2 r + H v P o K a C b 2 7 7 H T H o K 6 O a 2 v Z m 8 l Q K 6 u W 1 v D m + j g B 7 4 C u j + 1 8 i H 3 d + 5 U f / Y P g L 9 c 1 8 n 9 d b w B / W P g b 9 7 b / d g v H f / V v r H v k N r 5 e P 7 n 9 7 K A b L v P N y / f 3 / 8 c J P n 7 1 j Y e 2 n n 3 n j v Y M N L j p H f 4 y X H 0 e a l T c L i e P o 9 u v D 0 l L 5 1 K z 1 l e r i / N / 5 0 Y 0 K 7 z y n b N 7 7 T n / 1 b K q x b Y 9 W f 9 1 s q r d s P o j f h t 9 J c 7 z N z / f n e v s V r n j q 7 z d g 9 j f Y e u H m 6 7 V a d 9 G f 8 N k N x q B 2 E m u 6 9 U l 7 3 b 0 5 5 W f C h k r t d y s v B H 1 R y B v 5 D y n Z t z F o 5 V r / 1 K 4 7 V z S u b Z s J x u r Y e 5 l r H 4 D c 2 d f x 9 Y 1 P H 1 D c 2 9 V T X z W 3 7 v L J R 4 v t z v 7 F 5 f y p v q b F u 1 f z 9 p t D T V r d q / h 7 z 6 C m q m 9 u + x 0 x 6 O u n m t r 2 Z 3 N C 2 N 4 0 b 2 v b m c M P Y b N O H o e J 5 z 0 T T / Z s T T b a D U P X c L t H k 4 A + q H g N / f / f T s Y k a o 2 N 2 P H v r V x z f m l d u p 3 q 0 9 T D 9 H c v e 2 N R x 7 I 1 N H c P e 2 N R T P T e 3 7 X P L L V X P r Z r 3 p / K W q u d W z d 9 v C j 3 V c 6 v m 7 z G P n u q 5 u e 1 7 z K S n e m 5 u 2 5 v J D W 1 7 0 7 i h b W 8 O N 4 z N N H 2 w E 6 q e r 5 F e w n r i Z v X j O g n V j 0 r 9 r e E P q R 8 L / 4 A i t X u f 3 k b 9 3 P 4 V y 7 v 2 l V u p H 9 N 6 e A 4 s 2 9 7 c 1 H L t z U 0 t 0 9 7 c 1 K m f W 7 T t c 8 z t 1 M / t m v e n 8 n b q 5 3 b N 3 2 8 K n f q 5 X f P 3 m E e n f m 7 R 9 j 1 m 0 q m f W 7 T t z e S G t r 1 p 3 N C 2 N 4 c b x m a b 7 l r 1 8 4 Q 0 z 8 O d 9 P X 7 J Z d o C f x G 7 W P 7 8 L U P v / h e 8 A e 1 j 4 G / u 7 / 7 Y H x / U 8 7 H 8 a 1 5 Z x N n O b Y 1 r R / c v 3 d v b N R m 9 B 3 H u + a d T 3 d 3 b 8 h E O Q a + / T u O k W 8 z E s f K t + / B 0 0 7 6 0 q 2 0 0 + 0 n w 9 N R 5 q X t W 7 z V n / d b q q r 3 w K w / 8 7 d U W O 8 z k N 6 0 3 0 p v v c c E 9 m d 9 + + a 3 P F V 2 m 7 F 7 2 u z 2 m H l q 7 V Z 9 9 K f 8 F g N x i O 1 1 d d z 7 J J Y o M 3 O j g r M d h A p u 9 z 3 h D y o 4 A 3 / v 4 N 5 t V + / e 4 x 3 H 7 O a d T Z P h e F 1 b D 3 O t Y / A b m z r + v r G p 4 + o b m 3 o q 7 O a 2 f X 7 Z K P P 9 2 d / Y v D + Z t 9 R a t 2 r + f l P o 6 a t b N X + P e f Q U 1 c 1 t 3 2 M m P a 1 0 c 9 v e T G 5 o 2 5 v G D W 1 7 c 7 h h b L b p v b 7 y e Z N + f v z i + O l t 9 c / 9 G / W P 7 S P U P 7 r M d m v 4 g / r H w N / f v X d A W v d T w L 1 R A b 3 H S 4 5 9 z U u 3 0 0 D a e n g a H O f e 2 N Q x 7 o 1 N H d / e 2 N T T Q D e 3 7 T P N L T X Q r Z r 3 p / O W G u h W z d 9 v C j 0 N d K v m 7 z G P n g a 6 u e 1 7 z K S n g W 5 u 2 5 v J D W 1 7 0 7 i h b W 8 O N 4 z N N t 0 P N d D u e 4 d 4 Y O I b N J D t I 9 B A u z q p t 4 Y / q I E M / H 1 6 Z 2 d v b 3 x w O x 1 k X j t 4 c G 9 v 5 8 H D 2 2 o h 8 9 q n + 3 s H D + + P d w 5 u p Y 3 M W / f 3 P r 3 3 k B a W d z e 9 5 j j 6 v V 5 z z G 1 e 2 y Q 3 j r 3 f q x N P a e l 7 t 1 J a p o / t / U / 3 d n f u P x i r / 3 u T 9 r J z e 5 v X + i x x u + 7 6 P H F L d f Z e 2 P W Z 4 Z Z q 7 W Y 6 9 2 f + d n P Z 5 4 H t W 7 3 o 6 b v b j M V T e e + F n 6 f + b t V N Z P 5 v 1 Y 9 D 7 3 5 X H b 5 X N A h + v 0 E X 2 g 5 C X X i 7 a N D B H 9 S F B v 6 D v Y P d T x 8 + 2 K y e H N + / 1 2 u O / 8 1 r m 2 b F s b 2 2 H u Z j x / I 3 N n U c f 2 N T x + Q 3 N v W U 2 8 1 t + 1 y z U Z 7 7 P L C x e X 9 K N z b v T + U t V d i t m v f m 8 L a q 6 2 Y q v s d E e u r q x r a e h r q 5 b W 8 m N 7 T t T e O G t r 0 5 3 D A 2 2 / T T r g o 6 F Q 2 U n n z 7 9 C d u p y b 2 b l R D t p N Q D e 2 9 J / x B N W T g 7 9 7 f 3 b v / 6 Y P x w f 6 t 1 J B 5 7 c H 9 T y k 1 N X 6 o + E T f c i x s 3 t q m t N / 9 h / T a r b S R f e v g w e 7 B A 0 J x U 2 e O o 8 1 r m w T A 8 b R p f Z s + H H e / F 2 q e z t L 3 b q W z 3 o f U n u 6 y q N 3 q v T 5 D 3 F K J v R d 2 f U 6 4 p T J 7 v 8 H 0 e O B W W u 3 9 5 r L P A 7 d 5 z V N 2 7 9 W d p / h u Q z l P 9 7 0 X d u / J B b b 1 g y F N + O b V 7 f T U v R v 1 o O 0 i 1 I P 3 3 h P + o B 4 0 8 H f 3 9 3 c e 7 H 2 6 M 7 6 3 S T k 5 / n + / 9 5 w A m P d u 5 5 B p 6 2 E + d i x / Y 1 P H 8 T c 2 d U x + Y 1 N P u d 3 c t s 8 5 t 3 T I b t W 8 P 6 m 3 1 G W 3 a v 5 + U + j p s F s 1 f 4 9 5 9 F T X z W 3 f Y y Y 9 H X V z 2 9 5 M b m j b m 8 Y N b X t z u G F s t u l B V w 2 d 0 Y / f J z 3 5 8 o u z 1 2 e 3 U x T 7 N y o i 2 0 m o i P b f E / 6 g I j L w y R W 9 r T N 2 6 1 c c 7 5 p X b q d + t P X w H D i 2 v b G p 4 9 o b m z q m v b G p p 3 5 u b t v n m F u q n 1 s 1 7 0 / l L d X P r Z q / 3 x R 6 6 u d W z d 9 j H j 3 1 c 3 P b 9 5 h J T / 3 c 3 L Y 3 k x v a 9 q Z x Q 9 v e H G 4 Y m 2 3 6 s K d + 3 n O N E J N 7 g / a x f Y T a 5 / 5 7 w h / U P g b + v Z 2 d B + P 7 t 3 O B b v + O Y 1 7 z z u 3 0 j 7 Y e n g T H t z c 2 d W x 7 Y 1 P H t T c 2 9 f T P z W 3 7 L H N L / X O r 5 v 3 J v K X + u V X z 9 5 t C T / / c q v l 7 z K O n f 2 5 u + x 4 z 6 e m f m 9 v 2 Z n J D 2 9 4 0 b m j b m 8 M N Y z N N D 3 Z C / b N 3 m x X C Q D 9 g 6 J v 1 j + s j 0 D 9 7 O q k 3 6 B 8 H f 0 j / W P i 7 O z s 7 u / s U 6 d / X C C 8 6 d s u 7 n f d 2 K d B 9 c B s 9 Z N / 7 9 N P x p 5 / e R h e 5 n j a 0 t m x 8 q 9 a W k W 3 r T T J i W f l W s J 1 e M s 1 v o 5 c c W e 5 v J o v T T f a V 7 R v f 6 c / 2 7 R T U 7 b H q z + / t l N R 7 D K I 3 x b f R V L e b s v 4 M b 2 9 q 7 x T W r U b r d N a t s H F q 6 3 b Q + 5 O 7 E X m H z G 5 X e 7 3 X g h 5 G d Y P q s h 2 E q k u x u z X 8 Q d V l 4 O / d u 3 f v 0 5 2 9 v f G n + 7 d S X e / 3 n m N t 8 9 6 m 6 X C c r a 2 H u d Q x 9 I 1 N H T / f 2 N T x 8 o 1 N P V V 1 c 9 s + 3 2 y U 8 D 4 X b G z e n 9 R b a q h b N X + / K f S 0 0 6 2 a v 8 c 8 e o r p 5 r b v M Z O e R r q 5 b W 8 m N 7 T t T e O G t r 0 5 3 D A 2 2 3 S v q 4 T e M 5 G N X m 9 Q Q 7 a L U A 3 d L p H t 4 A + q I Q N / b 4 e f T f l + x 7 f v 8 Z L j X v P S 7 R S Q t h 6 e B c e 4 N z Z 1 f H t j U 8 e 2 N z b 1 F N D N b f s 8 c 0 s F d K v m / e m 8 p Q K 6 V f P 3 m 0 J P A d 2 q + X v M o 6 e A b m 7 7 H j P p K a C b 2 / Z m c k P b 3 j R u a N u b w w 1 j s 0 3 v d R X Q e 6 e w 9 / Z v V E G 2 k 1 A F 7 b 8 n / E E V Z O D T S u 2 9 8 Q M F G x 2 4 Y 9 z b v + O 4 1 7 x z O w W k r Y d n w T H u j U 0 d 3 9 7 Y 1 L H t j U 0 9 B X R z 2 z 7 P 3 F I B 3 a p 5 f z J v q Y B u 1 f z 9 p t B T Q L d q / h 7 z 6 C m g m 9 u + x 0 x 6 C u j m t r 2 Z 3 N C 2 N 4 0 b 2 v b m c M P Y b N P 9 n g J 6 z y T 2 3 o 1 J b N d H q H 9 u l 8 R 2 8 A f 1 j 4 G / 9 + D B b d X P r V 9 x r G t e u Z 3 2 0 d b D U + C 4 9 s a m j m l v b O p 4 9 s a m n v a 5 u W 2 f Y W 6 p f W 7 V v D + V t 9 Q + t 2 r + f l P o a Z 9 b N X + P e f S 0 z 8 1 t 3 2 M m P e 1 z c 9 v e T G 5 o 2 5 v G D W 1 7 c 7 h h b L b p / V D 7 3 H v v F P a 9 n R u 1 j + 0 j 0 D 7 3 d F J v D X 9 Q + x j 4 + z t 7 n 4 4 f f n o r 9 W P e 2 f v 0 4 c E e s t c P b 6 W C 7 G s 7 B z s 7 l M G + d y t V Z N 9 6 u L O 3 + 5 C W 7 D b h 6 N j 5 v V 5 z n G 1 e 2 y Q 0 j r f f q x N P Y + l 7 t 9 J Y p o 9 t o v b + 7 s O d 8 c N N d P N 0 l z d L t 3 i v z x G 3 7 L D P F r d U Z + + H X 5 8 h b q n X b q Z 1 f / Z v N 5 9 9 P t i + 1 Y u e w r v N W D y d 9 1 7 4 e f r v V t 3 E O O A 2 / T j 0 P u 3 q w / d K i t / b v V E Z 2 g 5 C Z b j 7 n v A H l a G B f + 8 e a b V d B X u D M r z 9 O 4 7 1 z T u 3 c 8 a 0 9 T A H O 2 a / s a n j 9 R u b O v a + s a m n 2 m 5 u 2 + e X W z p j t 2 r e n 8 x b O m O 3 a v 5 + U + g p r V s 1 f 4 9 5 9 J T W z W 3 f Y y Y 9 3 X R z 2 9 5 M b m j b m 8 Y N b X t z a N p u U j 4 P u s r H J M N P v n 3 6 E 7 d T E H s 3 K i D b S a i A 9 t 4 T / q A C M v D v 3 3 u 4 9 2 B n d / z g 4 F Y 6 y L x G p v T T e / d 3 b u u Q m d d u p 4 Z M 6 + 1 b 9 e J 4 + T a 9 O G 5 + r 6 E 4 x n 4 / 5 D x 9 p S / e S l + 9 F 2 6 e 4 n p P 5 P r s c E s V 9 n 7 4 v R 8 f e L r s P Y f T 4 4 R b a b X 3 7 K T P C b d 6 z 1 N 3 7 9 e h p / t u Q z 1 P / b 0 f f u / J C 7 b 1 Q V c b v m 9 i 7 J 5 N X A 0 q Q 9 t H q A z v v y f 8 Q W V o 4 O / v P P x 0 D N Y Y H L c T g d u / 4 9 j f v H M 7 N a i t h 5 n Y 8 f u N T R 2 7 3 9 j U M f i N T T 3 t d n P b P s t s Z L D + 7 G 9 s 3 p / M W 6 q y W z V / v y n 0 N N i t m r / H P H p 6 6 + a 2 7 z G T n n q 6 u W 1 v J j e 0 7 U 3 j h r a 9 O d w w N t v 0 Y a h / 9 t 8 7 N b a / c 6 P + s X 0 E + g c v v h f 8 Q f 1 j 4 J M z 9 v D + / m 0 1 k H 1 r f 2 f n P o X O m 9 5 y D G z e 2 s S R j n 9 N 6 9 2 d e + P 9 W z l h t 3 3 D M f J t M H K s f F v 4 n m 7 S V 2 6 l m w z 4 7 R v h 9 9 n j x l f 6 M 3 5 z N / 3 5 v q W m u j V W / d m + p b a 6 m a 7 9 S b 4 R m / 5 M 3 0 g j T 3 n d Z g S e / r o t V p 4 a u 1 U P X 2 e i z S s P d 7 o a 7 b 2 S W / u 7 N 6 k z 1 0 G o z n b f E / 6 Q O r P w 9 x 9 Q o u r h g 9 s o s / d 4 x 3 K 4 f e d W q s y 0 H u Z W y 9 g 3 N 7 V 8 f X N T y 8 8 3 N 3 U q 6 x Z t + / y y U W r 7 s 7 + x e X 8 y N z b v z + P t l N T t m v f m 8 J Y K 6 h Z U f I + J d J r p 5 r Z O I 9 2 i b W 8 m N 7 T t T e O G t r 0 5 3 D A 2 2 3 S 3 q 3 z e O 7 m 1 f 2 N y y 3 U S K q D b J b c c / E E F Z O D f v / f p w / u 7 Y 5 O 2 j w 7 d s e 7 7 v O U 4 2 L x 1 O y W k r Y d n w j H v j U 0 d 7 9 7 Y 1 L H u j U 0 9 J X R z 2 z 7 f 3 F I J 3 a p 5 f 0 J v q Y R u 1 f z 9 p t B T Q r d q / h 7 z 6 C m h m 9 u + x 0 x 6 S u j m t r 2 Z 3 N C 2 N 4 0 b 2 v b m c M P Y b N O 9 I S X 0 5 t X t V M S 9 G 1 W Q 7 S J U Q b o y f G v 4 g y r I w N / b e X B v f H A r / X P r V x z n m l d u p 3 y 0 9 f A M O K a 9 s a n j 2 R u b O p a 9 s a m n f G 5 u 2 + e X W y q f W z X v T + U t l c + t m r / f F H r K 5 1 b N 3 2 M e P e V z c 9 v 3 m E l P + d z c t j e T G 9 r 2 p n F D 2 9 4 c b h i b b X q v q 3 z O 6 M f v k 5 5 8 + c X Z 6 7 P b q Y f 9 G 9 W P 7 S R U P / v v C X 9 Q / R j 4 D z / 9 d P x A o U b H 7 f j 2 1 q 8 4 3 j W v 3 E 7 9 a O v h O X B s e 2 N T x 7 U 3 N n V M e 2 N T T / 3 c 3 L b P M b d U P 7 d q 3 p / K W 6 q f W z V / v y n 0 1 M + t m r / H P H r q 5 + a 2 7 z G T n v q 5 u W 1 v J t O 7 t 1 A / N 7 f t z e F t 1 M 9 + T / 2 8 5 3 r a / o 3 r a a 6 P U P v c b j 3 N w R / U P g b + p / f 3 x g r 0 B u V z 2 z c c 4 5 o 3 b q d 7 t P V t d M + N T R 3 L 3 t j U c e y N T T 3 d c 3 P b P r v c U v f c q n l / I m + p e 2 7 V / P 2 m 0 N M 9 t 2 r + H v P o 6 Z 6 b 2 7 7 H T H q 6 5 + a 2 v Z n c 0 L Y 3 j R v a 9 u Z w w 9 h s 0 / u h 7 r n / 3 m t p 9 3 d u 1 D 2 2 j 0 D 3 3 N d J v T X 8 Q d 1 j 4 G / i E s e x p v X e 7 r 3 b J n x u 0 4 F j 2 l t 3 4 B j 3 1 q 8 4 / r 0 N T o 6 D b 9 2 B p 5 P 0 n V v p J A N / + + Y O + n x x 8 z v 9 u b 5 F R / 0 p v 6 W S u j 1 e / U m / p a a 6 m b b 9 m b 4 Z n f 5 8 3 0 w m T 3 X d Z g y e 9 r o 1 X p 4 W u 1 U X X 2 u 2 7 T u f d j X a e 2 a S 7 t + 7 U a H Z L k K F d u 8 9 4 Q 8 q N A N / f + / T 8 f 7 D W 2 m 1 W 7 / i 2 N y 8 c j u t p q 2 H O d Y x 9 4 1 N H W / f 2 N S x 9 I 1 N P d V 1 c 9 s + v 9 z S n b p V 8 / 5 U 3 t K d u l X z 9 5 t C T 0 n d q v l 7 z K O n p G 5 u + x 4 z 6 e m k m 9 v 2 Z n J D 2 9 4 0 b m j b m 8 M N Y 7 N N H 4 T K 5 9 P 3 d q c + v d m d s n 0 E 2 u d T n d R b w x / U P g b + 7 s G n + 6 S t 9 h + O P 7 3 d g r 7 3 4 g 6 t p + 3 f O q l k X t w / e P B g Z 3 9 8 s E l / O W 4 2 b 3 2 6 + 3 B n d 4 x Z G n z J 8 f R 7 v O S Y 2 7 x 0 O 1 / r P b r w V J a + d S u V Z e m 1 d / 9 g Z 2 / 8 U A 3 P T a r L v L Z 9 q / f 6 D H F L H f Z e 2 P W Z 4 J a 6 7 P 0 G 0 2 O A W y m 1 9 5 n J / v x v 3 + I 1 T 9 P d Z v y e s n s P 3 D y 1 d 6 t O + j N / m 6 E 4 1 A 6 6 S v D s h b h g t 9 N Q u z d q Q N t B q A H V P 7 w 1 / E E N a O D f e 7 D 3 8 O D g 0 4 P d 8 c G m k T v W 9 1 9 8 u H f / 3 s 7 4 0 9 v 5 Y u b F 2 / l i t p u D / Y P x w S b G d 3 x / + 3 c c / 9 8 G K 8 f 3 t + / B U 3 v 6 0 q 3 U n u l g + x Y 9 9 J n l F i / 1 O e A 2 X f W n f 6 M K 6 0 / 6 L f r o z / 3 G P n r T f i t 1 9 x 7 4 9 G f 9 F p T y l N 1 t R u E p u 9 t j 5 u m 6 W / X x 9 a b c v v S w q + r e M 9 j 8 9 O Z g 0 3 Y R K r v b B Z s O / q C y M / B J Z + 3 e + 5 R 8 t / H B w a 2 U 3 X u + 6 P j e v H g 7 Z a e t h z n Y M f u N T R 2 v 3 9 j U c f i N T T 1 1 d n P b P u 9 s l O Q + H 2 x s 3 p / W j c 3 7 k 3 l L 1 X W r 5 r 0 5 v K 3 S u p m K 7 z G R n q 6 6 s a 2 n o W 5 u 2 5 v J D W 1 7 0 7 i h b W 8 O N 4 x N m + 7 v 7 H Q V 0 f u u I X 5 6 / w Z N 5 P U R a q L 7 7 w l / Q B M 5 + A c 7 4 4 P d W 6 i g 2 7 9 h G N e 9 c R v d Y 1 s P T 4 D h 2 V s 0 N S x 7 i 6 a G Y 2 / R 1 O q e 2 7 T t s 8 u t d M 8 t m / c n 8 l a 6 5 5 b N 3 2 8 K r e 6 5 Z f M H j + / e m o r v M Z F W 9 9 y i r d U 9 t 2 n b m 8 k N b X v T u K F t b w 4 3 j M 0 2 3 b W 6 5 y R 9 + C B 9 f f z 8 P Z N e D 3 Z u 1 D 2 2 j 0 D 3 4 M X 3 g j + o e w z 8 3 f 3 d T z f H u Y 5 v z T v 7 B 7 Q 4 s S l F 5 n j X d r O 7 + 3 C 8 s 3 c r J W T f O b g / 3 r 9 N s P c e r z h e N q 9 s E h P H z b f u w N N P + s 6 t 9 J O B / / D e v f H 9 h 7 d T U u a d 7 Z t f 6 s / 7 L V X V 7 f H q z / k t 9 d V 7 D K M 3 4 b f S W r e f u / 5 8 b 9 / 4 k q f G b j N w T 5 P d G i 9 P o 9 2 q i / 5 s 3 z w M h 9 Z e q N 3 e K 5 f 1 Y P d G x W b B h 4 p t 9 z 3 h D y o 2 A 3 / v g N h p Y z 7 e c f n t 3 3 F c b t 7 Z N B O O y b X 1 M L 8 6 1 r 6 x q e P s G 5 s 6 h r 6 x q a e 4 b m 7 b 5 5 a N w t 6 f / Y 3 N + 5 N 5 S 2 1 1 q + b v N 4 W e o r p V 8 / e Y R 0 9 F 3 d z 2 P W b S 0 0 g 3 t + 3 N 5 I a 2 v W n c 0 L Y 3 h x v G Z p v e 6 6 g e i u x + n / T k y y / O X p 9 9 + e J 2 C m L / R g V k O w k V k E r 9 r e E P K i A D / + G n N 6 w H O r 6 9 9 S u O d 8 0 r t 1 M / 2 n p 4 D h z b 3 t j U c e 2 N T R 3 T 3 t j U U z 8 3 t + 1 z z C 3 V z 6 2 a 9 6 f y l u r n V s 3 f b w o 9 9 X O r 5 u 8 x j 5 7 6 u b n t e 8 y k p 3 5 u b t u b y Q 1 t e 9 O 4 o W 1 v D j e M z T b d 7 6 i f 9 8 w o P b g 5 o 2 R 7 C H X P 7 T J K D v 6 g 7 j H w d 8 a g 1 i C b O J a 9 5 Q u O a e 0 L t 9 I 7 2 n q Y + I 5 f b 2 z q 2 P X G p o 5 b b 2 z q 6 Z 2 b 2 / Z Z 5 Z Z 6 5 1 b N I 9 N 4 O 7 1 z q + b v N 4 W e 3 r l V 8 / e Y R 0 / v 3 N z 2 P W b S 0 z s 3 t + 3 N 5 I a 2 v W n c 0 L Y 3 h x v G Z p v e 9 / X O w d f I J x 3 s 3 K h 5 b B + B 5 j n Q S b 0 1 / E H N Y + A / 3 L v / 4 M G n F G z e T v 9 4 r 3 3 6 4 P 7 + + N N N 8 b 9 j Y f M a 4 X d / / O D e r X S R e 0 f V 7 Q 0 K 6 X b t H T O b 9 p v k x L H z 7 a B 7 2 k l f u J V 2 s s B 3 d n c 2 k 8 f T U e a l 7 V u 8 1 Z / 3 W 6 q q 9 8 C s P 9 u 3 V F j v M 5 D e d N 9 K b 9 1 y 8 v q z v b 3 5 D U + F 3 W b M n h a 7 H U a e K r s V / P 4 0 3 z A A h 9 C n o U 5 7 r y w S l r Z u U G c W f K j O b p d F c v A H 1 Z m B f / / + f V L l n + 6 O P / 3 0 V v r s / d 5 z L G 7 e u 5 1 b p a 2 H e d W x 9 Y 1 N H V f f 2 N T x 8 4 1 N P c V 1 c 9 s + 1 9 z S r b p V 8 / 6 k 3 l J X 3 a r 5 + 0 2 h p 6 V u 1 f w 9 5 t F T T z e 3 f Y + Z 9 H T S z W 1 7 M 7 m h b W 8 a N 7 T t z e G G s d m m D 0 I V d C o a K H 3 z 6 n Z K 4 t 6 N S s h 2 E C o h N T i 3 h j + o h A x 8 S t 6 T n 7 O / N / 5 0 / 1 Z K 6 P 3 e c x x s 3 r u d E t L W w z P h m P f G p o 5 3 b 2 z q W P f G p p 4 S u r l t n 2 9 u q Y R u 1 b w / q b d U Q r d q / n 5 T q E r o 1 s 3 f Y x 4 9 J X R z 2 / e Y S U 8 J 3 d y 2 N 5 M b 2 v a m c U P b 3 h x u G J t t e h A q o a + R 0 j 7 Y v 1 E R 2 U 5 C R a R S f 2 v 4 g 4 r I w L 8 x P + 3 4 9 t a v O N 4 1 r 9 x O / W j r 4 T l w b H t j U 8 e 1 N z Z 1 T H t j U 0 / 9 3 N y 2 z z G 3 V D + 3 a t 6 f y l u q n 1 s 1 f 7 8 p 9 N T P r Z q / x z x 6 6 u f m t u 8 x k 5 7 6 u b l t b y Y 3 t O 1 N 4 4 a 2 v T n c M D b b 9 G F H / b x n S v v g / o 2 6 x / Y Q 6 h 6 N E m 8 N f 1 D 3 G P i 7 l B 3 a F H o 6 n r 3 t G 4 5 t z R u 3 0 z z a e p j 8 j m N v b O o Y 9 s a m j l 9 v b O p p n p v b 9 p n l l p r n V s 3 7 E 3 l L z X O r 5 u 8 3 h Z 7 m u V X z 9 5 h H T / P c 3 P Y 9 Z t L T P D e 3 7 c 3 k h r a 9 a d z Q t j e H G 8 Z m m o I F r e b Z 3 d l 5 7 6 w 2 v b N z k / J x n X j K R 1 5 8 L / h D y s f C 3 9 2 9 d 7 A / 3 t m 9 j f 6 x L x 3 c u 3 e w 8 / D T n f H + p h S k Z W H 7 3 t 6 n D x 8 8 G O 8 d 3 E Y Z + Z 0 9 / P T + / X v j B x t e s w z 9 f q 9 Z 3 r a v b R I b y 9 3 v 1 4 n T W e a 9 2 + g s 2 8 c 2 d f L p w / s P P t 2 8 8 u D U l 4 / d b V 7 s M 8 V t u + x z x u 1 0 2 v t i 2 G e K 2 2 m 3 W 9 C 7 z w G 3 m 9 M + L 2 z f 6 k W n 9 m 4 1 F q f 5 3 g 8 / p w V v 1 0 2 c B 2 7 u x 6 G 3 2 9 G K 7 5 E X p + a 7 N y p E C z 9 U i K q 4 b g 1 / U C E a + P f u 7 T 4 Y 7 y r Y G / T h 7 d 9 x r G / e 2 T Q d j t + 1 9 T A D O 1 6 / s a l j 9 R u b O u 6 + s a m n 3 W 5 u 2 2 e X j Y L c n / 2 N z f u T u b F 5 f x 5 v q b 1 u 1 b w 3 h 7 f V W T d T 8 T 0 m 0 t N T N 7 b 1 V N P N b X s z u a F t b x o 3 t O 3 N 4 Y a x 2 a Z 7 H d 1 j E u I n 3 z 7 9 i a 9 u p y D 2 b l R A t p N Q A a n h u j X 8 Q Q V k 4 N M b + + S P f j o G g w 4 y j G N e 8 9 7 9 T / f 2 d v Y P x j u b 9 L V j Y v P a 7 f S Q a b 1 9 q 1 4 c M 9 + m F 8 f O 7 z U U x 9 n v h 5 y n s P T F W y m s 9 8 L N 0 1 z v i V y f H 2 6 p w 9 4 P v / f j A 0 + Z v e d w e p x w K 7 X 2 n p 3 0 O e F W 7 3 n 6 7 v 0 6 9 J T f b a j n 6 b / 3 w + 8 9 e c G 2 v j e g D m + 1 P k g v 3 L g + 6 H o I d e F t 1 g d 9 + I O 6 0 M D f v X / / / u 6 D g 7 3 9 8 Q P V s z c o w / d 8 0 Y m B e f F 2 6 l B b D z O z 4 / s b m z q 2 v 7 G p Y / Q b m 3 p a 7 u a 2 f d a 5 p V t 2 q + b 9 a b 2 l S r t V 8 / e b Q k + T 3 a r 5 e 8 y j p 7 9 u b v s e M + m p q Z v b 9 m Z y Q 9 v e N G 5 o 2 5 v D D W O z T f c 7 e u j 9 c v T 0 x o 0 5 e t d F q I h u k 6 P 3 4 Q 8 q I g P / 3 r 2 9 n Y d j 1 W / R Y T u 2 v f 0 7 j n f N O 7 d T P 9 p 6 e A 4 c 2 9 7 Y 1 H H t j U 0 d 0 9 7 Y 1 F M / N 7 f t c 8 w t 1 c 9 A 8 y H 1 c 6 v m / X m 8 p f q 5 V f P e H N 5 W / d x M x f e Y S E / 9 3 N j W U z 8 3 t + 3 N 5 K 3 U z 8 1 t e 3 N 4 G / V z P 1 A / u + n 7 5 + n B x T c o I N t J o I B 2 d V Z v D X 9 Q A R n 4 u / c e 3 B v f z g e y r 9 A 6 w M 7 u e H / / V h r I v H U 7 D W R a P z z 4 d O 9 g v L e p C 8 f D 7 / G S Y + b b 4 O X Y + T 2 6 8 F S U v n U r F W V 6 2 L 5 N F 3 0 + u c 1 b / d m / V W d 9 D r i l 5 n o f 3 P o s c E s F d j O N + 3 N + G 4 T 6 c 3 8 b Y n l a 7 T b j 8 B T b e + D m q b h b d f I 1 5 9 2 + 9 W l H 4 b 1 X C h 4 s f o O u s / B D X b f 7 n v A H d Z 2 B v 3 d v Z 3 + 8 r 2 B v U H a 3 f 8 f x u 3 n n d q p O W w 8 z r u P x G 5 s 6 F r + x q e P r G 5 t 6 m u z m t n 1 2 u a W z d a v m / c m 8 p b N 1 q + b v N 4 W e r r p V 8 / e Y R 0 9 X 3 d z 2 P W b S U 0 s 3 t + 3 N 5 I a 2 v W n c 0 L Y 3 h x v G Z p s + 6 O i e 9 8 w 5 g X F u 0 D 6 2 h 1 D 7 a H x 1 a / i D 2 s f A 3 4 P b t H P b h N P 7 v O X Y 1 7 x 1 O w 2 k r Y e n w X H u j U 0 d 4 9 7 Y 1 P H t j U 0 9 D X R z 2 z 7 T 3 F I D 3 a p 5 f 0 J v q Y F u 1 f z 9 p t D T Q L d q / h 7 z 6 G m g m 9 u + x 0 x 6 G u j m t r 2 Z 3 N C 2 N 4 0 b 2 v b m c M P Y b N O D j g Z 6 3 2 w T 5 v Y G F W S 7 C F X Q / f e E P 6 i C D P z 9 8 f 2 D W 2 m f W 7 7 g u N a 8 c D v F o 6 2 H q e 8 Y 9 s a m j l 9 v b O r Y 9 c a m n u K 5 u W 2 f V 2 6 p e G 7 V v D + N t 1 Q 8 t 2 r + f l P o K Z 5 b N X + P e f Q U z 8 1 t 3 2 M m P c V z c 9 v e T G 5 o 2 5 v G D W 1 7 c 7 h h b L b p Q 6 d 4 d n f 2 0 v d P M 2 H o N 2 g e 2 0 e g e f D i e 8 E f 1 D w G / u 7 + / s P x p w 9 v p X z M O 5 s 4 y 7 G t 6 + F g f 3 N O y v G u e e c e L e O p k r 1 B D d 3 2 D c f E t x m F Y + P b w v f 0 k r 5 y K 7 1 0 + 2 n w t J N 5 a f s W b / V n / J Z K 6 j 0 w 6 8 / 5 L V X V + w y k N + W 3 0 l i 3 n r 7 + j G / f 9 I 6 n w G 4 z b k + H 3 R Y r T 5 X d q o f + Z N 8 4 C I s U R u N r t f f K J W F s m x W a A x 8 q t N 3 3 h D + k 0 C z 8 v Y N 7 9 8 Y P N q k b y + P v 8 Y 5 l c f v O p o m w H G 5 a D / O q Z e u b m 1 q u v r m p 5 e a b m z r F d Y u 2 f W 7 Z K O n 9 2 d / Y v D + Z t 9 N V t 2 v + f l P o t N T t m r / H P D r 1 d I u 2 7 z G T T h / d o m 1 v J j e 0 7 U 3 j h r a 9 O d w w N t t 0 t 6 t 6 3 i + Q 2 7 s x k H M 9 h N r n d o G c g z + o f Q z 8 T + + P P z 2 4 l e 6 5 7 R u O b c 0 b t 9 M 8 2 n q Y / I 5 j b 2 z q G P b G p o 5 f b 2 z q a Z 6 b 2 / a Z x S P D J s 1 z q + b 9 i b y l 5 r l V 8 / e b Q k / z 3 K r 5 e 8 y j p 3 l u b v s e M + l p n p v b 9 m b y V p r n 5 r a 9 O b y N 5 t n z N c + 9 r x H K 3 d u 5 U f f Y P g L d c 0 8 n 9 d b w B 3 W P g X / / w f 7 e w 4 P 9 e + N 7 + 7 f S Q O a 9 g 3 v 3 D x 4 + e L g 3 v q e p 9 R v 0 k H l v 9 9 6 9 3 f v U 2 8 N b 6 S P z 1 t 6 n e w + h U 8 f 3 N m k 9 x 9 T v 9 5 5 j c P P e J t l x L P 5 + v X i a S 1 + 8 l e Y y n W z v f b p 7 / + H D / Y P x w 0 2 0 8 5 S Y Q + 9 W L / Z 5 4 7 Z d 9 r n j l p r t P T H s 8 8 U t d d z N 9 O 6 z w C 0 n t c 8 N 2 7 d 7 0 1 N / t x m N p w H f D 0 N P H d 6 q n y g b 3 K Y j h + C 9 U D + + V 1 B 4 b / d G 1 W j B h 6 p x 9 z 3 h D 6 p G A 3 + X k l B 7 n 9 7 b 3 R 3 v K O w b d O N 7 v u j k w L x 4 O y d N W w 9 z s 2 P 8 G 5 s 6 v r + x q e P 0 G 5 t 6 q u 7 m t n 2 + u a W T d q v m / W m 9 p Z N 2 q + b v N 4 W e A r t V 8 / e Y R 0 + B 3 d z 2 P W b S 0 1 I 3 t + 3 N 5 I a 2 v W n c 0 L Y 3 h x v G Z p v u h 0 r o V H R Q + u b V 7 d T E v R v V k O 0 g V E P q D t 0 a / q A a M v B 3 P 3 2 w + + D h f c q H f / r p r d T Q e 7 7 o e N i 8 e D s 1 p K 2 H 5 8 K x 7 4 1 N H f f e 2 N Q x 7 4 1 N P T V 0 c 9 s + 5 9 x S D d 2 q e X 9 a b 6 m G b t X 8 / a b Q U 0 O 3 a v 4 e 8 + i p o Z v b v s d M e m r o 5 r a 9 m d z Q t j e N G 9 r 2 5 n D D 2 G z T + 6 E a e t 8 s 1 b 2 b s 1 S 2 h 1 A P 3 S 5 L 5 e A P 6 i E D / 9 6 D 3 f s H 4 w e 3 U k G 3 f 8 e x r n n n d t p H W w 9 P g e P a G 5 s 6 p r 2 x q e P Z G 5 t 6 2 u f m t n 2 G u a X 2 u V X z / m T e U v v c q v n 7 T a G n f W 7 V / D 3 m 0 d M + N 7 d 9 j 5 n 0 t M / N b X s z u a F t b x o 3 t O 3 N 4 Y a x 2 a a f + t p n P 3 3 9 v o m q / Z 0 b 1 Y / t I l A / + z q n t 4 Y / q H 4 M f M o b j T + 9 X R x m X t n E V 4 5 p T e s H B / f H 9 z e p K s e 4 5 p V 9 y m Q 9 / H T D K 4 5 5 b / 2 K 4 + H b D M N x 8 a 0 7 8 P S S v n M r v X T r e f C U k 3 l n + + a X + h N + S x V 1 e 7 z 6 U 3 5 L P f U e w + h N + K 2 0 1 e 3 n r j / f 2 z e + 5 K m v 2 w z c 0 2 C 3 x s v T Z L f q o j / b N w / D o f U g 1 G r v 6 1 P t 3 + x T 2 R 5 C p X Y 7 n 8 r B H 1 R q B v 6 9 h w e f b s 6 q O U a / / T u O 0 c 0 7 t / O p t P U w y z r u v r G p Y + 4 b m z q e v r G p p 7 t u b t t n m F v 6 V L d q 3 p / M W y q s W z V / v y n 0 d N W t m r / H P H p a 6 u a 2 7 z G T n l K 6 u W 1 v J j e 0 7 U 3 j h r a 9 O d w w N t v 0 w N M + u z v v v / q 3 u 3 O z U 2 X 7 8 P U P v / h e 8 A f 1 j 4 G / t 7 O 3 f + / e z t 6 9 8 d 7 D W y k h 8 + I u r R n u f X p A 9 h A f D b 7 o 2 N i 8 u L + z 8 + k u L R t u z I w 7 d t b X h u f F s f K N T R 0 n c 9 P b q a Q b m 3 o q 6 e a 2 f S 6 6 F T 0 8 3 W T e 2 7 7 d i / 0 p v 6 W W e j / 8 + v N 8 S 3 X 1 n s N 5 j 9 n 2 F N f N b d 9 j v j 3 F d X P b 3 n x v a N u b 4 w 1 t e 9 O 6 Y W y 2 6 c N Q c b 3 P s t w u p u U G n W X B h z p L 5 / P W 8 A d 1 l o F / f + d g 7 + H e w 0 / 3 x n A e B 3 n F s f J 7 v u h 4 2 b y 4 i Z c d K 2 v r 4 Z l w z H t j U 8 e 7 N z Z 1 r H t j U 0 9 V 3 d y 2 z z c b R b r P B x u b 9 6 f 1 l n r p V s 3 f b w o 9 d X S r 5 u 8 x j 5 4 S u r n t e 8 y k p 4 R u b t u b y Q 1 t e 9 O 4 o W 1 v D j e M z T S 9 t x M q o f d b l q N 8 9 U 1 q y H U Q q q F b L c t 5 8 I f U k I W / v / v p 7 s G 9 h / s P x w f 7 t 1 F D 7 / u i 5 W H 7 4 q 3 U k G k 9 P B e W f W 9 u a r n 3 5 q a W e W 9 u 6 t T Q L d r 2 O e d 2 a u h 2 z f v T e j s 1 d L v m 7 z e F T g 3 d r v l 7 z K N T Q 7 d o + x 4 z 6 d T Q L d r 2 Z n J D 2 9 4 0 b m j b m 8 M N Y 7 N N d 0 M 1 9 J 4 p p N 2 d G 1 N I r o d Q D 9 0 q h e T B H 9 R D B v 6 D n Q f j / Y N b a a B b v + I Y 1 7 x y O 9 2 j r Y c n w P H s j U 0 d y 9 7 Y 1 H H s j U 0 9 3 X N z 2 z 6 7 3 F L 3 3 K p 5 f y p v q X t u 1 f z 9 p t D T P b d q / h 7 z 6 O m e m 9 u + x 0 x 6 u u f m t r 2 Z 3 N C 2 N 4 0 b 2 v b m c M P Y b N M 9 X / f s f o 0 E E p j 4 B u 1 j + w i 0 z 6 5 O 6 q 3 h D 2 o f A / / T B z t 7 9 x 8 c 7 I / v P 7 y V C r L v 3 X + 4 8 / B g Z 2 e M T w b f c 0 x s 3 i P k 7 l P q a Y y E 3 e B r j p n 1 t e F Z c Y x 8 Y 1 P H x z c 2 d W x 8 Y 1 N P I d 3 c t s 9 D t 6 K H p 5 n M e 9 u 3 e 7 E / 4 b f U U e + H X 3 + e b 6 m s 3 n M 4 7 z H b n t q 6 u e 1 7 z L e n t m 5 u 2 5 v v D W 1 7 c 7 y h b W 9 a N 4 z N N r 0 X q q 3 3 S h + B c 2 / Q W B Z 8 q L F 2 3 x P + o M Y y 8 H f 3 9 3 Y e 7 h / c 2 9 u 8 2 u h Y + T 1 f d L x s X r y d 7 6 S t h 2 f C M e + N T R 3 v 3 t j U s e 6 N T T 1 V d X P b P t / c 0 n e 6 V f P + t N 5 S L 9 2 q + f t N o a e O b t X 8 P e b R U 0 I 3 t 3 2 P m f S U 0 M 1 t e z O 5 o W 1 v G j e 0 7 c 3 h h r H Z p v u h E j L p o 5 N v n / 7 E V 6 e 3 U x V 7 N 6 o i 2 0 m o i t R T u T X 8 Q V V k 4 G 9 i E 8 e y p v W 9 g 4 f 7 O 7 v j g 1 v p H v P S 9 i 3 e c v y r b w 1 P h O P d G 5 s 6 1 r 2 x q e P c G 5 t 6 O u j m t n 2 2 u Q 0 5 P F 3 0 H q T 3 V N J 7 d d a f 5 1 u q p v f B r T f D t 9 V Q N 9 P 4 P a b Z 0 1 A 3 t v U 0 1 M 1 t e / O 8 o W 1 v c j e 0 7 U 3 p h r H Z p v f j G u q W C W 6 w 0 Q 3 a y X Y Q a q d 7 7 w l / U D s Z + L v 7 + z v 3 9 + 5 9 S r m i / V s p q v d 8 0 b G y e f F 2 j p K 2 H p 4 L x 7 4 b m 4 Z K 6 s a m j n l v b O o p q Z v b 9 j n n l o 7 S r Z r 3 p / W W j t K t m r / f F H p q 6 F b N 3 2 M e P T V 0 c 9 v 3 m E l P D d 3 c t j e T t 1 J D N 7 f t z e F t 1 N C n o R p 6 3 w Q 3 p v Y G P W R 7 C P X Q / f e E P 6 i H D P y 9 g w c P H u 5 Q a K / + 1 w 1 a 6 L 1 e c w x s X r u d D t L W t 9 F B N z Z 1 r H t j U 8 e 5 N z b 1 d N D N b f t s c 0 s d d K v m / S m 9 p Q 6 6 V f P 3 m 0 J P B 9 2 q + X v M o 6 e D b m 7 7 H j P p 6 a C b 2 / Z m c k P b 3 j R u a N u b w w 1 j s 0 0 f + D p o L 3 3 9 v n l u j P w G J W S 7 C J T Q n s 7 p r e E P K i E D f 4 + i 1 P 0 H e / f I 0 8 Z n g w z j m N e + e e / B / Q c P 9 k l 5 j 3 f U R 4 u + 6 f j Y v H n / w a c P H x x 8 + u k Y 7 u f g e 4 6 h 9 b 3 h m X H M f G N T x 8 s 3 N n W s f G N T T y n d 3 L b P R 7 c j i K e e z I v b t 3 y z P + + 3 1 F T v i W F / r m + p s 9 5 3 Q O 8 x 4 5 7 6 u r n t e 8 y 5 p 7 5 u b t u b 8 w 1 t e 9 O 8 o W 1 v Y j e M z T Y 9 C N X X e y W 8 M Z I b V J c F H 6 q u 2 y W 8 H f x B 1 W X g 3 3 t 4 s L u / + + D + v d 3 x Q w U e H b j j 5 v d 9 0 7 G z e f N 2 X p S 2 H p 4 L x 7 4 3 N n X c e 2 N T x 7 w 3 N v U U 1 s 1 t + 5 x z S y / q V s 3 7 E 3 t L 3 X S r 5 u 8 3 h Z 5 G u l X z 9 5 h H T w 3 d 3 P Y 9 Z t J T Q z e 3 7 c 3 k h r a 9 a d z Q t j e H G 8 Z m m z 4 M 1 d D X S H k D x x u U k e 0 k V E a 3 S 3 k 7 + I P K y M D f f f B w b + 8 h e V H 3 9 2 + l i u x 7 B / u f 3 r v 3 Y G / 8 6 e 3 C O f P e 9 v 3 9 n f 0 H u + O d g 1 t p J H 1 t e F o c J 9 / Y 1 D H y j U 0 d H 9 / Y 1 N N I N 7 f t M 9 G t 6 O G p J v P e r V 7 r T / f t u u t P 9 y 1 1 1 X t h 1 5 v l 2 + q s m + n 8 H l P t 6 a w b 2 3 o 6 6 + a 2 v b n e 0 L Y 3 v x v a 9 i Z 1 w 9 h M 0 / 2 d u M 6 6 Z R I c f W 7 W V 6 6 D U F / d L g n u 4 A / p K w t / f 2 / v Y O / e w / u 7 D 8 Y P b 5 V / e u 8 3 L T f b N z e x p W V i 0 3 p 4 N i w D 3 9 z U 8 u / N T S 3 7 3 t z U q a p b t O 3 z z k b p 7 H P C x u b 9 i d 3 Y v D + b t 1 N I t 2 v e m 8 N b K q J b U P E 9 J t I p o p v b O k V 0 i 7 a 9 m d z Q t j e N G 9 r 2 5 n D D 2 G z T 3 V A R n f 3 k c f r 7 p C d f f n H 2 + u z L F 7 d T F v s 3 K i P b S a i M 9 t 8 T / q A y M v D v 7 3 6 6 s 7 9 / c L A 3 3 l X Y 0 d E 7 7 n 3 P F x 0 f m x d v p 4 q 0 9 f B 8 O B a + s a n j 4 B u b O g a + s a m n i m 5 u 2 + e e W 6 q i W z X v T + s t V d G t m r / f F H q q 6 F b N 3 2 M e P V V 0 c 9 v 3 m E l P F d 3 c t j e T G 9 r 2 p n F D 2 9 4 c b h i b b b r X U U X v u S K 3 d + O K n O s h 1 E O 3 W 5 F z 8 A f 1 k I F P L z x 4 e D B + 8 P B W S u h 9 3 n L s a 9 6 6 n Q b S 1 s P T 4 D j X N r 1 Z A 9 3 Y 1 P H t j U 0 9 D X R z 2 z 7 T 3 F I D 3 a p 5 f 0 J v q Y F u 1 f z 9 p t D T Q L d q / h 7 z 6 G m g m 9 u + x 0 x 6 G u j m t r 2 Z v J U G u r l t b w 5 v o 4 H u + R p o / / 3 X 4 + B 4 3 a C C b B e B C t r X O b 0 1 / E E V Z O B T + w c 7 9 N b 4 v m q 3 G 5 S Q 9 x 5 6 o o T 2 r b S Q e e 3 T B z s 7 B + N P N / X l G F l f u o 0 y u r G p 4 + E b m z o W v r G p p 4 x u b t v n n 1 t Q w 9 N J 5 q 3 t 2 7 z W n + l b 6 q b 3 w a 0 / v 7 d U U e 8 1 l P e Y Z U 9 V 3 d z 2 P e b Z U 1 U 3 t + 3 N 8 4 a 2 v d n d 0 L Y 3 p R v G Z p v u h 6 r q v d b e 4 J T d o K Y s + F B N 7 b 4 n / E E 1 Z e D v 7 z y 4 t 3 / w 6 c F 4 / 1 Z a 6 r 1 e c 1 x s X r u d r 6 S t h 2 f B M e 6 N T R 3 f 3 t j U s e 2 N T T 3 1 d H P b P s / c 0 l e 6 V f P + l N 5 S H 9 2 q + f t N o a e I b t X 8 P e b R U 0 A 3 t 3 2 P m f Q U 0 M 1 t e z O 5 o W 1 v G j e 0 7 c 3 h h r H Z p v d D B f Q 1 V t 3 g m d 2 g h m w n o R r a e 0 / 4 g 2 r I w N / E J o 5 l T e t P d 3 c P 7 o 0 f b j J u j n H N S 9 u 3 e M v x r 7 4 1 P B G O d 2 9 s 6 l j 3 x q a O c 2 9 s 6 u m g m 9 v 2 2 e Y 2 5 P B 0 0 X u Q 3 l N J 7 9 V Z f 5 5 v q Z r e B 7 f e D N 9 W Q 9 1 M 4 / e Y Z k 9 D 3 d j W 0 1 A 3 t + 3 N 8 4 a 2 v c n d 0 L Y 3 p R v G Z p t + G t d Q t 1 x j g z N 2 g 3 a y H Y T a 6 d 5 7 w h / U T g b + / s 6 n O 5 / u 7 d 0 b H 9 x K T b 3 X a 4 6 N z W u 3 c 5 K 0 9 f A 8 O N a 9 s a n j 3 B u b O s a 9 s a m n o G 5 u 2 + e a W z p J t 2 r e n 9 J b O k m 3 a v 5 + U + i p o F s 1 f 4 9 5 9 F T Q z W 3 f Y y Y 9 F X R z 2 9 5 M b m j b m 8 Y N b X t z u G F s t u m D U A W 9 b 0 o b 2 u 4 G H W R 7 C H W Q G q F b w x / U Q Q b + / Y c b g 3 n H s r d 8 w T G t e e F 2 e k d b D x P f 8 e u N T R 2 7 3 t j U c e u N T T 2 9 c 3 P b P q v c U u / c q n l / G m + p d 2 7 V / P 2 m 0 N M 7 t 2 r + H v P o 6 Z 2 b 2 7 7 H T H p 6 5 + a 2 v Z n c 0 L Y 3 j R v a 9 u Z w w 9 h s 0 w N f 7 9 x / / 0 T 2 / Z 0 b F Y / t I l A 8 9 3 V O b w 1 / U P E Y + A / v P 6 T n 0 9 0 x x j / I L o 5 1 / f c O b n z P 8 b B 5 b 3 d n 5 3 a a S F 8 Y n g 7 H w T c 2 d Q x 8 Y 1 P H v z c 2 9 T T R z W 3 7 z H M D J T x l Z N 7 Y v u m V / v T e U i H d F q f + f N 5 S J 9 1 6 C O 8 x q 5 5 e u r n t e 8 y r p 5 d u b t u b 1 w 1 t e z O 6 o W 1 v K j e M z T Z 9 G O q l 9 8 p a 3 7 8 5 a 2 3 B h z r p d l l r B 3 9 Q J x n 4 u w 9 3 9 h / u 3 9 u 9 n U Z 6 n 7 c c / 5 q 3 b q e M t P X w H D i 2 v b G p 4 d p b N H V M e 2 N T T x n d 3 L b P M b f U R L d q 3 p / Q W 2 q h W z V / v y n 0 V N C t m r / H P H r q 5 + a 2 7 z G T n v q 5 u W 1 v J j e 0 7 U 3 j h r a 9 O d w w N t M U X o e v f t 4 z I 3 T / x o y Q 6 y B U Q L f L C D n 4 Q w r I w i d V A u 9 m b 2 / 8 c P 8 2 O u h 9 X 7 Q 8 b F + 8 l R o y r Y f n w r L v z U 0 t 9 9 7 c 1 D L v z U 2 d G r p F 2 z 7 n 3 E 4 N 3 a 5 5 f 1 p v p 4 Z u 1 / z 9 p t C p o d s 1 f 4 9 5 d G r o F m 3 f Y y a d G r p F 2 9 5 M b m j b m 8 Y N b X t z u G F s t u l u q I b e N y t 0 / 8 a s k O s h 1 E O 3 y w o 5 + I N 6 y M B / s L t z / 7 Y q 6 P b v O N Y 1 7 9 x O + 2 j r 4 S l w X H t j U 8 e 0 N z Z 1 P H t j U 0 / 7 3 N y 2 z z C 3 1 D 6 3 a t 6 f z F t q n 1 s 1 f 7 8 p 9 L T P r Z q / x z x 6 2 u f m t u 8 x k 5 7 2 u b l t b y Y 3 t O 1 N 4 4 a 2 v T n c M D b b d M / X P p + + f 2 7 o 0 5 0 b 1 Y / t I l A / n + q c 3 h r + o P o x 8 P d 2 H u 7 Q I t e 9 g / H t Q r H w x Z 3 N k b 5 j Y f P W z T 0 5 P t Z 3 h i f E 8 f C N T R 0 L 3 9 j U c f C N T T 1 d d H P b P v v c T A x P I 5 m X t m / x V n + a b 6 m Y 3 g O z / t z e U j 2 9 z 0 D e Y 4 Y 9 L X V z 2 / e Y Y 0 9 L 3 d y 2 N 8 c b 2 v a m d k P b 3 o R u G J t t e i / U U u + V K f p 0 9 0 Y N Z c G H G m r 3 P e E P a i g D f 3 / 3 4 E Z F 4 z j 4 f d 5 y L G z e u p 2 T p K 2 H 5 8 C x 7 Y 1 N H d f e 2 N Q x 7 Y 1 N P c V 0 c 9 s + x 9 z S S b p V 8 / 6 E 3 l I X 3 a r 5 + 0 2 h p 4 V u 1 f w 9 5 t F T P z e 3 f Y + Z 9 N T P z W 1 7 M 7 m h b W 8 a N 7 T t z e G G s d m m + 6 H 6 e c 9 M 0 a f 3 b l R A t o N Q A d 1 7 T / i D C s j A v 4 0 q c W z 7 P m 8 5 7 j V v 3 U 4 B a e v h W X C M e 2 N T x 7 c 3 N n V s e 2 N T T w H d 3 L b P M 7 d U Q L d q 3 p / Q W y q g W z V / v y n 0 F N C t m r / H P H o K 6 O a 2 7 z G T n g K 6 u W 1 v J j e 0 7 U 3 j h r a 9 O d w w N t v 0 f q i A 3 j d H 9 O n N O S L b Q 6 i B b p c j c v A H N Z C B T y 8 8 + H S M s Q + y i m P b 9 3 j J M a 9 5 6 X b 6 R 1 s P T 4 L j 2 x u b O r a 9 s a n j 2 h u b e v r n 5 r Z 9 l r m l / r l V 8 / 5 0 3 l L / 3 K r 5 + 0 2 h p 3 9 u 1 f w 9 5 t H T P z e 3 f Y + Z 9 P T P z W 1 7 M 7 m h b W 8 a N 7 T t z e G G s d m m n / r 6 5 8 H 7 Z 4 k e 7 N y o g G w X g Q J 6 o H N 6 a / i D C s j A f / A p L X l 9 + n D 8 U F V b d O S O c 8 P X D m 6 b q j a v 7 Y 5 3 N I q M v u B 4 W F 8 Y n g z H v z c 2 d e x 7 Y 1 P H v T c 1 9 f X Q z W 3 7 r H M D J T x V Z N 7 Y v u m V / u T e U h 3 d F q f + f N 5 S I 9 1 6 C O 8 x q 5 5 W u r n t e 8 y r p 5 V u b t u b 1 1 t p p Z v b 9 q b y N l r p Q a i V 3 i s r 9 O D m r J A F H 2 q k 2 2 W F H P x B j W T g 0 1 I / L c L v P B j f O 7 i V S n q / 9 x w P m / d u 5 x h p 6 9 s o p B u b O s 6 9 s a l j 3 B u b e g r p 5 r Z 9 r r m l Y 3 S r 5 v 1 J v a U m u l X z 9 5 t C T w 3 d q v l 7 z K O n g m 5 u + x 4 z 6 a m g m 9 v 2 Z n J D 2 9 4 0 b m j b m 8 M N Y 7 N N D 0 I V 9 J 6 Z o Q c 3 Z 4 Z s B 6 E S u l 1 m y M E f V E I G P p T J w w f 3 H o w P b q e E 3 u 8 9 x 8 H m v d s p I W 0 9 P B O O e W 9 s 6 n j 3 x q a O d W 9 s 6 i m h m 9 v 2 + e a W S u h W z f u T e k s l d K v m 7 z e F n h K 6 V f P 3 m E d P C d 3 c 9 j 1 m 0 l N C N 7 f t z e S G t r 1 p 3 N C 2 N 4 c b x m a b P g y V 0 P t m h x 7 Y 7 M 2 g F r I 9 h F p I Q 6 h b w x / U Q g b + w b 2 9 M d Y F B x n F M e 2 t X 3 G M a 1 6 5 n e 7 R 1 s M T 4 H j 2 x q a O Z W 9 s 6 j j 2 x q a e 7 r m 5 b Z 9 d b q l 7 b t W 8 P 5 W 3 1 D 2 3 a v 5 + U + j p n l s 1 f 4 9 5 9 H T P z W 3 f Y y Y 9 3 X N z 2 9 5 M b m j b m 8 Y N b X t z u G F s p u m n O 7 7 u O X j / z N D B z k 3 K x 3 U R K J 8 D n d N b w x 9 S P h b + L p a 4 y J O 5 V W L I v n X / 4 N 7 O / U / H n 9 5 G A 9 m X 9 n c / f X i w M 3 5 4 G 0 V k X h q e D c v A N z e 1 / H t z U 8 u + N z d 1 i u g W b f u 8 c w t q O H 1 k 3 9 q + z W v 9 W b 6 d X n o v 3 P r z e z v 1 9 H 5 D e Y 9 Z d m r q F m 3 f Y 5 6 d m r p F 2 9 4 8 b 2 j b m 9 0 N b X t T u m F s t u l u q K b e K 1 V 0 s H u j i r L g Q x W 1 + 5 7 w B 1 W U g b 9 3 4 z q 8 4 + D b v + P 4 1 7 y z q b V j X 2 0 9 T H / H s j c 2 d R x 7 Y 1 P H s D c 2 9 R T T z W 3 7 3 L J R j P u z v 7 F 5 f z J v q Y l u 1 f z 9 p t B T Q b d q / h 7 z 6 K m e m 9 u + x 0 x 6 q u f m t r 2 Z 3 N C 2 N 4 0 b 2 v b m c M P Y b N O 9 U P W 8 Z 4 r o 4 M Y U k e s g V D 6 3 S x E 5 + I P K x 8 C n d f 5 P d 3 f v j W 8 V n 7 3 X W 4 5 7 z V u 3 U 0 D a e n g W H O P e 2 N T x 7 Y 1 N H d v e 2 N R T Q D e 3 7 f P M L R X Q r Z r 3 J / S W C u h W z d 9 v C j 0 F d K v m 7 z G P n g K 6 u e 1 7 z K S n g G 5 u 2 5 v J D W 1 7 0 7 i h b W 8 O N 4 z N N r 0 X K q D 3 T Q 8 d 3 J g e c j 2 E G u h 2 6 S E H f 1 A D G f i 7 + 7 v j T w 9 u p X 5 u / Y p j X P P K 7 X S P t h 6 e A M e z N z Z 1 L H t j U 8 e x N z b 1 d M / N b f v s 0 i H D k O 6 5 V f P + V N 5 S 9 9 y q + f t N o a d 7 b t X 8 P e b R 0 z 0 3 t 3 2 P m f R 0 z 8 1 t e z N 5 K 9 1 z c 9 v e H N 5 G 9 + z 7 u u f h + 6 e H H u 7 c q H x s F 4 H y e a h z e m v 4 g 8 r H w N / f 2 d 3 Z J V d m f w z + H O Q X x 7 v u x Z 2 H 9 3 f v P 6 D M 0 u 0 U k X n x 0 / 3 7 9 z 4 d 3 / / 0 V v p I X 7 q N P r q x q W P j G 5 s 6 L r 6 x q a e P b m 7 b Z 6 F b U M N T S + a t 7 d u 8 1 p / s W 6 q n 9 8 G t P 7 + 3 1 F L v N Z T 3 m G V P W 9 3 c 9 j 3 m 2 d N W N 7 f t z f O G t r 3 Z 3 d C 2 N 6 U b x m a b 3 g + 1 1 X t l i R 7 u 3 q i p L P h Q U + 2 + J / x B T W X g H + z s 7 e w 9 f G g y 5 N F B O x 5 + n 7 c c D 5 u 3 b u c s a e v h O X B s e 2 N T x 7 U 3 N n V M e 2 N T T z n d 3 L b P M b d 0 l m 7 V v D + h t 9 R G t 2 r + f l P o q a F b N X + P e f T U z 8 1 t 3 2 M m P f V z c 9 v e T G 5 o 2 5 v G D W 1 7 c 7 h h b L b p p 6 H 6 e c 9 M 0 c N 7 N y o g 2 0 G o g O 6 9 J / x B B W T g P 7 y / 8 3 C H X t i / l Q J 6 n 7 c c 9 5 q 3 b q e A t P X w L D j G v b G p 4 9 s b m z q 2 v b G p p 4 B u b t v n m V s q o F s 1 7 0 / o L R X Q r Z q / 3 x R 6 C u h W z d 9 j H j 0 F d H P b 9 5 h J T w H d 3 L Y 3 k x v a 9 q Z x Q 9 v e H G 4 Y m 2 3 6 I F R A Z z 9 5 n P 4 + 6 c m X X 5 y 9 P v v y x e 2 U x P 6 N S s h 2 E i o h l f p b w x 9 U Q g b + 7 t 7 e 7 h j s M 8 g s j n F v / 4 7 j X v P O 7 R S Q t h 6 e B c e 4 N z Z 1 f H t j U 8 e 2 N z b 1 F N D N b f s 8 c 0 s F d K v m / c m 8 p Q K 6 V f P 3 m 0 J P A d 2 q + X v M o 6 e A b m 7 7 H j P p K a C b 2 / Z m c k P b 3 j R u a N u b w w 1 j s 0 0 P O g r o P V P V D + / f q H 1 s D 6 H 2 u f + e 8 A e 1 j 4 G / d 3 / n Y H O o 7 r j 2 9 u 8 4 1 j X v 3 E 7 7 a O v h K X B c e 2 N T x 7 Q 3 N n U 8 e 2 N T T / v c 3 L b P M L f U P r d q 3 p / M W 2 q f W z V / v y n 0 t M + t m r / H P H r a 5 + a 2 7 z G T n v a 5 u W 1 v J j e 0 7 U 3 j h r a 9 O d w w N t v 0 o a d 9 9 n b e O 1 m 9 t 7 N z o / q x X f j q h 1 9 8 L / i D 6 s f A v / f p 3 q e 7 9 w 7 2 7 t 9 W B 3 k v 7 t 1 7 s G 8 w i r 7 l W N i + 9 e D T / Z v 6 c p y s b w 1 P i e P i G 5 s 6 J r 6 x q e P h G 5 t 6 2 u j m t n 0 G u g 0 5 P K 1 k X t u + 1 X v 9 y b 6 l e n o v 7 P p z f E s 1 9 X 6 D e Y + Z 9 v T V z W 3 f Y 6 4 9 f X V z 2 9 5 c b 2 j b m + A N b X u T u m F s p u m D n V B f v U + 6 e m 9 n 9 y Z d 5 c C H u m r 3 P e E P 6 S o L / 8 H e f V J t O x t V j u X i 9 3 r L M r F 9 a 1 N r y 8 O m 9 f A c W L a 9 u a n l 2 p u b W q a 9 u a l T U L d o 2 + e Y j b L c 5 w A 0 v 1 k f 3 a 5 5 f y Y 3 N n + / K X R 6 6 H b N 3 2 M e n f q 5 R d v 3 m E m n f m 7 R t j e T G 9 r 2 p n F D 2 9 4 c b h i b b b o b q p / 3 S 1 f T / 2 9 U Q L a D U A H d K l 3 t w R 9 U Q A b + w d 7 D B z s P 9 z / d x C q O b d / n L c e 9 5 q 3 b K S B t P T w L j n F v b O r 4 9 s a m j m 1 v b O o p o J v b 9 n n m l g r o V s 3 7 E 3 p L B X S r 5 u 8 3 h Z 4 C u l X z 9 5 h H T w H d 3 P Y 9 Z t J T Q D e 3 7 c 3 k h r a 9 a d z Q t j e H G 8 Z m m + 6 F C u g 9 s 0 V 7 O z d m i 1 w P o Q a 6 V b b I g z + o g Q z 8 v Q c P 7 t 0 b 4 8 9 B V n F s + x 4 v O e Y 1 L 9 1 O / 2 j r 4 U l w f H t j U 8 e 2 N z Z 1 X H t j U 0 / / 3 N y 2 z z K 3 1 D + 3 a t 6 f z l v q n 1 s 1 f 7 8 p 9 P T P r Z q / x z x 6 + u f m t u 8 x k 5 7 + u b l t b y Y 3 t O 1 N 4 4 a 2 v T n c M D b b 9 J 6 v f 3 b f P 1 8 E H r 5 B A d k u A g W 0 q 3 N 6 a / i D C s j A 3 / 1 0 b / / e v U 9 3 x w 9 v p Y L 8 1 / Y e 7 h 6 M H 2 5 6 z 7 G w e W 9 / f 2 / 8 c P d W q k h f G Z 4 P x 8 I 3 N n U c f G N T x 8 A 3 N v V U 0 c 1 t + 9 x z I y 0 8 f W T e 2 b 7 5 p f 4 c 3 1 I r 3 R 6 v / r z e U j W 9 x z D e Y 3 Y 9 B X V z 2 / e Y X 0 9 B 3 d y 2 N 7 8 b 2 v b m d U P b 3 n R u G J t t u h 8 q q P d K E I F T b 1 B O F n y o n H Q + b w 1 / U D k Z + K T I d u 4 / o J X 5 j V r G c f D 7 v e e 4 2 L x 3 O x 9 J W w / P g 2 P d G 5 s 6 z r 2 x q W P c G 5 t 6 i u n m t n 2 u u a W P d K v m / U m 9 p T a 6 V f P 3 m 0 J P E d 2 q + X v M o 6 e C b m 7 7 H j P p q a C b 2 / Z m c k P b 3 j R u a N u b w w 1 j s 0 3 v h y r o P Z N E 4 J s b l J D t I F R C 9 9 4 T / q A S M v D v 7 e 0 f 3 D + 4 9 2 D 8 8 O B W S u j 9 3 n M c b N 6 7 n R L S 1 s M z 4 Z j 3 x q a O d 2 9 s 6 l j 3 x q a e E r q 5 b Z 9 v b q m E b t W 8 P 6 m 3 V E K 3 a v 5 + U + g p o V s 1 f 4 9 5 9 J T Q z W 3 f Y y Y 9 J X R z 2 9 5 M b m j b m 8 Y N b X t z u G F s t u m n o R J 6 3 0 Q R p v Y G L W R 7 C L X Q / f e E P 6 i F D P y D g 3 v j g 7 1 b K a B b v + I Y 1 7 x y O 9 2 j r Y c n w P H s j U 0 d y 9 7 Y 1 H H s j U 0 9 3 X N z 2 z 6 7 3 F L 3 3 K p 5 f y p v q X t u 1 f z 9 p t D T P b d q / h 7 z 6 O m e m 9 u + x 0 x 6 u u f m t r 2 Z 3 N C 2 N 4 0 b 2 v b m c M P Y b N M H v u 7 Z e / 8 k E U Z + g / K x X Q T K Z 0 / n 9 N b w B 5 W P g b 9 L a + 4 P d u 8 / u G 2 i 2 n / v 0 / s P 9 2 + l g 8 x L 9 z + 9 I b f t m F h f G Z 4 N x 8 A 3 N n X 8 e 2 N T x 7 4 3 N v U U 0 c 1 t + 7 x z I y 0 8 b W T e 2 b 7 5 p f 4 M b 1 A D v k 6 6 P V 7 9 e b 2 l Y n q P Y b z H 7 H r q 6 e a 2 7 z G / n n q 6 u W 1 v f m + l n m 5 u 2 5 v O 2 6 i n g 1 A 9 v V e K C C O 5 Q T V Z 8 K F q u l 2 K y M E f V E 0 G / r 3 9 + 7 v 3 d g 9 u l x 9 6 j 5 c c / 5 q X b u c b a e v b q K Q b m z q e v b G p Y 9 k b m 3 o q 6 e a 2 f X 6 5 p W 9 0 q + b 9 6 b y l H r p V 8 / e b Q k 8 F 3 a r 5 e 8 y j p 3 x u b v s e M + k p n 5 v b 9 m Z y Q 9 v e N G 5 o 2 5 v D D W O z T R + G y u c 9 k 0 P o 8 w b 1 Y z s I 1 c / t k k M O / q D 6 M f B V k 3 x 6 K / X z H i 8 5 3 j U v 3 U 7 9 a O v h O X B s e 2 N T x 7 U 3 N n V M e 2 N T T / 3 c 3 L b P M b d U P 7 d q 3 p / O W 6 q f W z V / v y n 0 1 M + t m r / H P H r q 5 + a 2 7 z G T n v q 5 u W 1 v J j e 0 7 U 3 j h r a 9 O d w w N t P 0 Y C d U P + + b F t q 7 M S 3 k e g j 1 z + 3 S Q g 7 + k P 6 x 8 O m N + + P 9 / d u o n / d 4 x 7 K u f e d W 2 s e 0 H p 4 C y 7 U 3 N 7 V M e 3 N T y 7 M 3 N 3 X a 5 x Z t + w x z O + 1 z u + b 9 y b y d 9 r l d 8 / e b Q q d 9 b t f 8 P e b R a Z 9 b t H 2 P m X T a 5 x Z t e z O 5 o W 1 v G j e 0 7 c 3 h h r H Z p r u + 9 r n 3 / o m h e z s 3 q h / b R a B + 8 O J 7 w R 9 U P w b + 7 s N P H + z u 7 H 5 6 M D a L / 9 G x O 9 7 1 X 9 z Z 3 9 l / M A a 9 B 1 9 0 X G x e / J R w H G + M 3 B w r 6 z v D c + L Y + M a m j o t v b O q Y + M a m n j q 6 u W 2 f g 2 4 m h q e U z E v b t 3 i r P 9 O 3 1 E 3 v g V l / b m + p o d 5 n I O 8 x w 5 6 i u r n t e 8 y x p 6 h u b t u b 4 w 1 t e 1 O 7 o W 1 v Q j e M z T b d C x X V e 6 W I 7 u 3 e q K Q s + F B J q S K 5 N f x B J W X g q 6 6 5 v 7 N Z 1 z g m f s 8 X H S O b F z c x s u N j b T 0 8 E 4 5 5 b 2 z q e P f G p o 5 1 b 2 z q q a e b 2 / b 5 5 p b e 0 q 2 a 9 6 f 1 l h r p V s 3 f b w o 9 X X S r 5 u 8 x j 5 4 S u r n t e 8 y k p 4 R u b t u b y Q 1 t e 9 O 4 o W 1 v D j e M z T a 9 F y q h 9 0 w V 3 b s x V e Q 6 C N X Q 7 V J F D v 6 g G j L w 7 z 2 8 t 7 9 z s P N w / 7 b x 2 n u + 6 H j Y v H g 7 N a S t h + f C s e + N T R 3 3 3 t j U M e + N T T 0 1 d H P b P u f c U g 3 d q n l / W m + p h m 7 V / P 2 m 0 F N D t 2 r + H v P o q a G b 2 7 7 H T H p q 6 O a 2 v Z n c 0 L Y 3 j R v a 9 u Z w w 9 h s 0 / 1 Q D b 1 v y u j e z S k j 2 0 O o h 2 6 X M n L w B / W Q g Y / 8 9 s M x s v W D r O L Y 9 j 1 e c s x r X r q d / t H W w 5 P g + P b G p o 5 t b 2 z q u P b G p p 7 + u b l t n 2 V u q X 9 u 1 b w / n b f U P 7 d q H p 3 C 4 e a 9 O b y t / r m Z i u 8 x k Z 7 + u b G t p 3 9 u b t u b y Q 1 t e 9 O 4 o W 1 v D j e M z T a 9 7 + u f / f d P G u 3 v 3 K i A b B e B A t r X O b 0 1 / E E F Z O D v 3 3 9 w f 3 + X M j + f 3 k o F + a / d 2 / 9 0 f G / T a 4 6 D z W s P d s a b M g S O h / W F 4 c l w / H t j U 8 e + N z Z 1 3 H t j U 0 8 P 3 d y 2 z z o 3 U M J T R e a N 7 Z t e 6 U / u L d X R b X H q z + c t P a J b D + E 9 Z t X T S j e 3 f Y 9 5 9 b T S z W 1 7 8 7 q h b W 9 G N 7 T t T e W G s d m m n 4 Z a 6 b 0 y R P s 3 Z 4 g s + F A j 3 S 5 D 5 O A P a i Q D X 1 T L w 8 2 q x T H v e 7 3 m O N i 8 d j u 3 S F s P z 4 J j 3 B u b O r 6 9 s a l j 2 x u b e u r o 5 r Z 9 n r m l W 3 S r 5 v 0 p v a U e u l X z 9 5 t C T w n d q v l 7 z K O n g G 5 u + x 4 z 6 S m g m 9 v 2 Z n J D 2 9 4 0 b m j b m 8 M N Y 7 N N H 4 Q K 6 D 2 z Q / v 3 b l R B t o N Q B d 1 7 T / i D K s j A f 7 h 7 f + f T h 3 v j B 3 u 3 U k H v 9 Z r j X / P a 7 V S Q t h 6 e B 8 e 6 N z Z 1 n H t j U 8 e 4 N z b 1 V N D N b f t c c 0 s V d K v m / S m 9 p Q q 6 V f P 3 m 0 J P B d 2 q + X v M o 6 e C b m 7 7 H j P p q a C b 2 / Z m c k P b 3 j R u a N u b w w 1 j s 0 0 P Q h X 0 v p m h f Z u 5 G d R B t o d Q B 9 1 / T / i D O s j A 3 6 U U z 8 G t 1 M 9 t 3 3 B s a 9 6 4 n e b R 1 s P k d x x 7 Y 1 P H s D c 2 d f x 6 Y 1 N P 8 9 z c t s 8 s t 9 Q 8 t 2 r e n 8 h b a p 5 b N X + / K f Q 0 z 6 2 a v 8 c 8 e p r n 5 r b v M Z O e 5 r m 5 b W 8 m N 7 T t T e O G t r 0 5 3 D A 2 2 / S h r 3 n u v 3 9 O 6 P 7 O j a r H d h G o H r z 4 X v A H V Y + B v / f w Y O / e / v 7 4 w Y N b 6 R / / t T 1 a G N s U 4 T s G N m 9 R y H a w q R / H w / r G 8 G Q 4 / r 2 x q W P f G 5 s 6 7 r 2 x q a e H b m 7 b Z 5 2 b S O H p I v P K 9 o 3 v 9 K f 3 l g r p 1 l j 1 5 / S W S u n 2 g 3 i P m f U 0 0 8 1 t 3 2 N u P c 1 0 c 9 v e 3 G 5 o 2 5 v U D W 1 7 k 7 l h b K b p w 5 1 Q M 7 1 X X u j + 7 k 1 a y Y E P t d L u e 8 I f 0 k o W v q i X B x v V i + X e 9 3 r L M r B 9 a x M D W / 4 1 r Y f n w L L t z U 0 t 1 9 7 c 1 D L t z U 2 d Q r p F 2 z 7 H b J T j P g d s b N 6 f 0 N v p o d s 1 f 7 8 p d D r o d s 3 f Y x 6 d + r l F 2 / e Y S a d + b t G 2 N 5 M b 2 v a m c U P b 3 h x u G J t t u h u q n / f M C t 2 / M S v k O g g V 0 O 2 y Q g 7 + o A I y 8 O 8 / / H T / / s E t o 7 L 3 e s t x r 3 n r d g p I W w / P g m P c G 5 s 6 v r 2 x q W P b G 5 t 6 C u j m t n 2 e u a U C u l X z / o T e U g H d q v n 7 T a G n g G 7 V 3 M 7 j L a j 4 H h P p K a A b 2 3 o K 6 O a 2 v Z n c 0 L Y 3 j R v a 9 u Z w w 9 h s 0 7 1 Q A b 1 v T u j + j T k h 1 0 O o g W 6 X E 3 L w B z W Q g U 9 + z I P 9 W 2 m f 2 7 7 h 2 N a 8 c T v N o 6 2 H y e 8 4 9 s a m j m F v b O r 4 9 c a m n u a 5 u W 2 f W W 6 p e W 7 V v D + R t 9 Q 8 t 2 r + f l P o a Z 5 b N X + P e f Q 0 z 8 1 t 3 2 M m P c 1 z c 9 v e T G 5 o 2 5 v G D W 1 7 c 7 h h b L b p P V / z f P r + O a F P d 2 5 U P b a L Q P V 8 q n N 6 a / i D q s f A v / d w b 2 d 3 n z L M e 5 / e S g G 5 9 3 Y / 3 T n Y 2 c R j j o H N S / s 7 n 9 7 U k 2 N j f W l 4 P h w L 3 9 j U c f C N T R 0 D 3 9 j U U 0 U 3 t + 1 z z y 2 o 4 W k k 8 9 b 2 b V 7 r z / M t N d P 7 4 N a f 3 1 s q q P c a y n v M s q e o b m 7 7 H v P s K a q b 2 / b m e U P b 3 u x u a N u b 0 g 1 j s 0 3 3 Q 0 X 1 X i m i T 3 d v V F I W f K i k d t 8 T / q C S M v A f H O z f 2 z v Y 3 R l D H g Z Z x X H x + 7 3 n + N i 8 d z t f S V s P z 4 N j 3 R u b O s 6 9 s a l j 3 B u b e g r q 5 r Z 9 r r m l r 3 S r 5 v 1 J v a V G u l X z 9 5 t C T x X d q v l 7 z K O n g m 5 u + x 4 z 6 a m g m 9 v 2 Z n J D 2 9 4 0 b m j b m 8 M N Y 7 N N 7 4 c q 6 D 3 T R J / e u 1 E J 2 Q 5 C J X T v P e E P K i E D / 8 H B v T 3 y e T Z x i u P a 9 3 j J 8 a 5 5 6 X b q R 1 s P z 4 F j 2 x u b O q 6 9 s a l j 2 h u b e u r n 5 r Z 9 j r m l + r l V 8 / 5 0 3 l L 9 3 K r 5 + 0 2 h p 3 5 u 1 f w 9 5 t F T P z e 3 f Y + Z 9 N T P z W 1 7 M 7 m h b W 8 a N 7 T t z e G G s d m m n 4 b q 5 3 2 T R J / a J M 6 g / r E 9 h P r n / n v C H 9 Q / B v 6 9 + / c f 7 I / V t 4 q O 2 n H t 7 d 9 x r G v e u Z 3 2 0 d b D U + C 4 9 s a m j m l v b O p 4 9 s a m n v a 5 u W 2 f Y W 6 p f W 7 V v D + Z t 9 Q + t 2 r + f l P o a Z 9 b N X + P e f S 0 z 8 1 t 3 2 M m P e 1 z c 9 v e T G 5 o 2 5 v G D W 1 7 c 7 h h b L b p A 1 / 7 P H j / R N G D n R v V j + 0 i U D 8 P d E 5 v D X 9 Q / R j 4 B w 8 / f U C r a u M D d a y i I 3 e c 6 7 + 2 8 + B 2 4 Z d 5 Z / d g d 3 M 3 j o X 1 l e G 5 c O x 7 Y 1 P H v T c 2 d c x 7 Y 1 N P D d 3 c t s 8 5 N 9 L C 0 0 X m n e 2 b X + r P 7 y 0 1 0 u 3 x 6 s / r L d X S e w z j P W b X U 0 4 3 t 3 2 P + f W U 0 8 1 t e / O 7 o W 1 v X j e 0 7 U 3 n h r H Z p g e h c n q v 5 N C D m 5 N D F n y o m G 6 X H H L w B x W T g b / 7 4 O G 9 / d 3 9 / V u p p f d 4 y f G v e e l 2 n p G 2 H p 4 B x 7 Q 3 N n U 8 e 2 N T x 7 I 3 N v V U 0 s 1 t + / x y S 8 / o V s 3 7 0 3 l L P X S r 5 u 8 3 h Z 4 K u l X z 9 5 h H T / n E 2 8 a V z 4 1 t P e V z c 9 v e T N 5 K + d z c t j e H t 1 E + D 0 P l 8 5 5 p o Q c 3 p 4 V s B 6 H 6 u V 1 a y M E f V D 8 G / i 0 0 i e P a 9 3 j J 8 a 5 5 6 X b q R 1 v f R v 3 c 2 N R x 7 Y 1 N H d P e 2 N R T P z e 3 7 X P M L d X P r Z r 3 p / O W 6 u d W z d 9 v C j 3 1 c 6 v m 7 z G P n v q 5 u e 1 7 z K S n f m 5 u 2 5 v J D W 1 7 0 7 i h b W 8 O N 4 x N m 9 5 H Q t Z X P + + b F n p w U 1 r I 6 y H U P 7 d L C z n 4 A / r H w b + / d z D e + f Q W 2 u c 9 X j G M 6 1 6 5 j e 6 x r Y c n w P D s L Z o a l r 1 F U 8 O x t 2 h q d c 9 t 2 v b Z 5 V a 6 5 5 b N + 1 N 5 K 9 1 z y + b v N 4 V W 9 9 y y + X v M o 9 U 9 t 2 n 7 H j N p d c 9 t 2 v Z m c k P b 3 j R u a N u b w w 1 j s 0 1 3 f d 1 z 8 P 5 J o Y O d G 5 W P 7 S J Q P n j x v e A P K h 8 D / 9 7 e / T 3 4 M f u 7 4 5 2 D W + k g / 8 2 d v Q f 7 e / f G 9 z a F + I 6 P 7 Z s H D 3 Z 2 H 4 y N J o 2 + 5 d h Z 3 x q e F 8 f K N z Z 1 n H x j U 8 f I N z b 1 V N L N b f t c d B t y e K r J v L Z 9 q / f 6 M 3 5 L H f V e 2 P X n + J a 6 6 v 0 G 8 x 4 z 7 S m t m 9 u + x 1 x 7 S u v m t r 2 5 3 t C 2 N 8 E b 2 v Y m d c P Y b N O 9 U G m 9 V 7 L o Y P d G h W X B h w p r 9 z 3 h D y o s A 3 9 3 Z 3 / n 4 f 1 P P 7 1 / 7 2 B 8 7 + G t N N Z 7 v + r Y 2 b y 6 i Z 0 d N 2 v r 4 d l w D H x j U 8 e / N z Z 1 7 H t j U 0 9 V 3 d y 2 z z s b p b r P C 7 f 0 n m 7 V v D + d t / S e b t W 8 N 4 e 3 9 Z 5 u p u J 7 T K S n i G 5 s 6 y m i m 9 v 2 Z n J D 2 9 4 0 b m j b m 8 M N Y 7 N N 7 4 W K y C S O T r 5 9 + h N f n d 5 O X e z d q I 5 s J 6 E 6 2 n t P + I P q y M D / d P / e w 9 1 7 9 2 / r P L 3 X a 4 6 H z W u 3 U 0 P a e n g u H P v e 2 N R x 7 4 1 N H f P e 2 N R T Q z e 3 7 X P O L d X Q r Z r 3 p / S W a u h W z d 9 v C j 0 1 d K v m 7 z G P n h q 6 u e 1 7 z K S n h m 5 u 2 5 v J D W 1 7 0 7 i h b W 8 O N 4 z N N t 2 P q 6 F b 5 q + x q n m D C r I d h C r o 3 n v C H 1 R B B v 7 u z u 7 e 3 v 2 D e w f 7 9 8 c H + 7 d S Q + / 9 q u N j 8 + r t V J G 2 H p 4 P x 8 I 3 N n U c f G N T x 8 A 3 N v V U 0 c 1 t + 9 x z S 1 V 0 q + b 9 q b 2 l K r p V 8 / e b Q k 8 V 3 a r 5 e 8 y j p 4 p u b v s e M + m p o p v b 9 m Z y Q 9 v e N G 5 o 2 5 v D D W O z T e + H q u h 9 c 9 k H N + e y b Q + h L r p d L t v B H 9 R F B v 7 u / s N P H + z v H D w Y f / r g V p r o P V 9 0 T G x e v J 0 e 0 t b D k + H 4 9 8 a m j n 1 v b O q 4 9 8 a m n h 6 6 u W 2 f d W 6 p h 2 7 V v D + t t 9 R D t 2 r + f l P o 6 a F b N X + P e f T 0 0 M 1 t b 5 z J q B 6 6 E a 6 n h 2 5 u 2 5 v G W + m h G 9 s 6 F D 7 1 9 d D D 9 8 9 r P 9 y 5 U R H Z L g J F 9 F D n 9 N b w B x W R g b + 7 8 / D g 4 T 6 5 N b f U Q 8 F 7 O z u b e M w x s H n p x n 4 c E + s r t 1 F E N z Z 1 / H t j U 8 e + N z b 1 F N H N b f u 8 c y M t P G 1 k 3 t m + + a X + D N 9 S J 9 0 e r / 6 8 3 l I x v c c w 3 m N 2 P f V 0 c 9 v 3 m F 9 P P d 3 c t j e / G 9 r 2 5 n V D 2 9 5 0 b h i b b f o g V E / v l c F + e H M G 2 4 I P V d P t M t g O / q B q M v D 3 d h 8 + O N i s Y h z 7 v s d L j n / N S 7 f z j b T 1 8 A w 4 p r 2 x q e P Z G 5 s 6 l r 2 x q a e S b m 7 b 5 5 d b + k a 3 a t 6 f z l v q o V s 1 f 7 8 p 9 F T Q r Z q / x z x 6 y u f m t u 8 x k 5 7 y u b l t b y Y 3 t O 1 N 4 4 a 2 v T n c M D b b 9 C B U P u + Z L n p 4 c 7 r I d h C q n 9 u l i x z 8 Q f V j 4 N / b o 0 j r t u r n P V 5 y v G t e u p 3 6 0 d b D c + D Y 9 s a m j m t v b O q Y 9 s a m n v q 5 u W 2 f Y 2 6 p f m 7 V v D + d t 1 Q / t 2 r + f l P o q Z 9 b N X + P e f T U z 8 1 t 3 2 M m P f V z c 9 v e T G 5 o 2 5 v G D W 1 7 c 7 h h b L b p w 1 D 9 v G + K 6 O H N K S L b Q 6 h / b p c i c v A H 9 Y + B v / v w 3 u 7 4 0 0 9 v p X 5 u / 4 5 j X f P O 7 b S P t h 6 e A s e 1 N z Z 1 T H t j U 8 e z N z b 1 t M / N b f s M c 0 v t c 6 v m / c m 8 p f a 5 V f P 3 m 0 J P + 9 y q + X v M o 6 d 9 b m 7 7 H j P p a Z + b 2 / Z m c k P b 3 j R u a N u b w w 1 j M 0 3 B g l b 7 3 N t 5 7 8 T Q P T g O m 9 W P 6 8 J X P / e M x 3 F r + E P q x 8 J X f y o 6 Y M u w t v U m l r L 8 e i v Y l l 1 N 6 2 G 6 W 1 a 9 u a n l 1 J u b W k a 9 u a l T O b d o 2 + e S T W R w K s c 2 3 9 7 Y v j + D t 9 M 5 t 8 O m P 4 e 3 0 z m 3 R P 4 9 Z t I p n V u 0 f Y + 5 d E r n F m 1 7 c 7 m h b W 8 i N 7 T t T e K G s d m m u 6 H S e Z 9 0 z 7 2 d 3 R s V j g U f K p z d 9 4 Q / q H A M / N s p n N u 0 d s x q W m 9 i V s e r 2 n q Y 5 o 5 N b 2 z q u P T G p o 5 J b 2 z q K Z y b 2 / Y 5 Z K P M 9 m d 8 Y / P + B N 5 S 3 9 y q + f t N o a d v b t X 8 P e b R U z c 3 t 3 2 P m f T U z c 1 t e z O 5 o W 1 v G j e 0 7 c 3 h h r H Z p n u + u t l 9 f x 8 H P H y D y r F d B C p n V + f 0 1 v A H V Y 6 B / + m n D / c f 7 O 6 N P 9 2 7 l e 5 x r 9 G z f 2 9 8 c H A r J W R e 2 z v Y + f R g / G D / V r p I X x q e E M f D N z Z 1 L H x j U 8 f B N z b 1 d N H N b f v s c w t q e C r J v L V 9 m 9 f 6 E 3 1 L 1 f Q + u P X n 9 5 Y a 6 r 2 G 8 h 6 z 7 G m q m 9 u + x z x 7 m u r m t r 1 5 7 r W N a a q b 2 / a m 9 D a a 6 l 6 o q d 7 L M Q L H 3 q C l L P h Q S + 2 + J / x B L W X g f / p g f 3 f n w d 4 Y Q x / k F M f E 9 r V P 9 x 4 + 2 N k f 7 2 1 i M M f F 5 j V C 8 N 6 n D z b r N s f M + t Z t 1 N S N T R 3 / 3 t j U s e + N T T 0 1 d X P b P u / c h h y e n j K v b d / q v f 5 c 3 1 J R v R d 2 / T m + p a Z 6 v 8 G 8 x 0 x 7 q u r m t u 8 x 1 5 6 q u r l t b 6 5 v p a p u b t u b 1 A 1 j s 0 3 3 Q 1 X 1 f q t m 9 9 D T D c r K d h A q q 3 v v C X 9 Q W R n 4 n 3 6 6 + 3 B n 9 + F m X n G M / F 6 v O U Y 2 r 2 1 i Z M f H 2 n p 4 H h z r 3 t j U c e 6 N T R 3 j 3 t j U U 1 I 3 t + 1 z z U Z 5 7 v P A x u b 9 K b 2 l T r p V 8 / e b Q k 8 X 3 a r 5 e 8 y j p 4 J u b v s e M + m p o J v b 9 m Z y Q 9 v e N G 5 o 2 5 v D D W O z T e + H K u j s J 4 / T 3 y c 9 + f K L s 9 d n X 7 6 4 n Z r Y v 1 E N 2 U 5 C N b T / n v A H 1 Z C B v / v w / v 3 7 4 7 1 P b 6 W E 3 u M l x 7 / m p d u p I G 0 9 P A + O d W 9 s 6 j j 3 x q a O c W 9 s 6 q m g m 9 v 2 u e a W K u h W z f v T e U s V d K v m 7 z e F n g q 6 V f P 3 m E d P B d 3 c 9 j 1 m 0 l N B N 7 f t z e S G t r 1 p 3 N C 2 N 4 c b x m a b f u q r o L 3 3 T y 1 h 5 D c o I N t F o I D 2 d E 5 v D X 9 Q A R n 4 B w / 2 d j 9 9 e G + M B f 9 B b n G c a 1 / 7 9 O H N r z k O N q / R w p 5 Z A Y y + 4 Z h Y 3 x i e D c f A N z Z 1 / H t j U 8 e + N z b 1 F N H N b f u 8 c x M p P G V k X t m + 8 Z 3 + / N 5 S I 9 0 a q / 6 c 3 l I r 3 X 4 Q 7 z G z n m q 6 u e 1 7 z K 2 n m m 5 u 2 5 v b D W 1 7 k 7 q h b W 8 y N 4 z N N n 0 Q q q b 3 y i V h J D e o J Q s + V E u 3 y y U 5 + I N q y c D f / X T v 3 s 6 D e 5 S 7 f n A r v W T f u 7 e z t 7 / z 4 M F 4 Z 1 M S y j G x e Y 9 U 5 q e f 3 v 9 0 f L B J n z l m 1 t e G J 8 T x 8 I 1 N H Q v f 2 N R x 8 I 1 N P e 1 0 c 9 s + + 9 y K H p 6 K M u 9 t 3 + 7 F / o T f U k + 9 H 3 7 9 e b 6 l s n r P 4 b z H b H s a 6 + a 2 7 z H f n s a 6 u W 1 v v j e 0 7 c 3 x h r a 9 a d 0 w N t v 0 I N R Y 7 5 l S Q p 8 3 6 C z b Q a i z b p d S c v A H d Z a B v / v g 3 s E u Z d N u m 1 N 6 v / c c L 5 v 3 b u d I a e v h m X D M e 2 N T x 7 s 3 N n W s e 2 N T T 1 X d 3 L b P N 7 d 0 o m 7 V v D + p t 9 R L t 2 r + f l P o q a N b N X + P e f S U 0 M 1 t 3 2 M m P S V 0 c 9 v e T G 5 o 2 5 v G D W 1 7 c 7 h h b L b p w 1 A J f Y 2 k E p a v b l B E t p N Q E e 2 / J / x B R W T g 7 x 4 8 2 N / s A D n G v f 0 7 j n v N O 7 d T Q N p 6 e B Y c 4 9 7 Y 1 P H t j U 0 d 2 9 7 Y 1 F N A N 7 f t 8 8 w t F d C t m v c n 8 5 Y K 6 F b N 3 2 8 K P Q V 0 q + b v M Y + e A r q 5 7 X v M p K e A b m 7 b m 8 m g 7 Z A C u r l t b w 5 v o Y C A u F N A 9 9 4 / p X R v 5 y b 1 4 7 o I 1 M 8 9 n d N b w x 9 S P x b + 7 o O 9 h 7 v 3 7 j / c 7 D R b 1 g 3 f 2 z u 4 l Q 6 y L 1 G o d 7 u Y z b x x C z 1 0 c 1 P L v j c 3 t d x 7 c 1 O n h 2 7 R t s 8 6 N 5 H C 6 S L 7 y v a N 7 / S n 9 3 Y K 6 f Z Y 9 e f 0 d k r p P Q b x H j P r N N M t 2 r 7 H 3 D r N d I u 2 v b m 9 j W a 6 R d v e Z G 4 Y m 2 2 6 G 2 q m 9 8 o o 3 d u 9 U S t Z 8 K F W 2 n 1 P + I N a y c C / t 3 / / Y O / + p 7 d T S e / x k m N f 8 9 I m 9 n X c q 6 2 H Z 8 A x 7 Y 1 N H c / e 2 N S x 7 I 1 N P X V 0 c 9 s + v 2 y U 4 v 7 8 b 2 z e n 8 5 b a q F b N X + / K f Q 0 0 K 2 a v 8 c 8 e s r n 5 r b v M Z O e 8 r m 5 b W 8 m N 7 T t T e O G t r 0 5 3 D A 2 2 3 Q v V D 7 v m R y 6 d 2 N y y H U Q q p / b J Y c c / E H 1 Y + C r J t m / l f p 5 j 5 c c 7 5 q X b q d + t P X w H D i 2 v b G p 4 9 o b m z q m v b G p p 3 5 u b t v n m F u q n 1 s 1 7 0 / n L d X P r Z q / 3 x R 6 6 u d W z d 9 j H j 3 1 c 3 P b 9 5 h J T / 3 c 3 L Y 3 k x v a 9 q Z x Q 9 v e H G 4 Y m 2 1 6 L 1 Q / Z y / e p J 8 f v z h + e l v 3 5 / 6 N + s f 2 E O o f 9 T h u D X 9 Q / x j 4 u / f v j R / c S v n c 9 g 3 H t u a N 2 2 k e b T 1 M f s e x N z Z 1 D H t j U 8 e v N z b 1 N M / N b f v M c k v N c 6 v m / Y m 8 p e a 5 V f P 3 m 0 J P 8 9 y q + X v M o 6 d 5 b m 7 7 H j P p a Z 6 b 2 / Z m c k P b 3 j R u a N u b w w 1 j s 0 3 3 f c 2 z / / 7 5 o P 2 d G 1 W P 7 S J Q P f s 6 p 7 e G P 6 h 6 D P z d 3 f v 3 a U n + w f 3 d 8 f 7 B r V S Q 9 + b + w c 6 D + z u b + M w x s X l t 7 8 H O 3 k 2 d O V 7 W t 4 Y n x f H x j U 0 d G 9 / Y 1 H H x j U 0 9 f X R z 2 z 4 L 3 Y Y c n l 4 y r 2 3 f 6 r 3 + d N 9 S Q b 0 X d v 0 5 v q W i e r / B v M d M e x r r 5 r b v M d e e x r q 5 b W + u N 7 T t T f C G t r 1 J 3 T A 2 2 / R + q L H e K 0 + 0 v 3 u j t r L g Q 2 2 1 + 5 7 w B 7 W V g b 9 3 b 3 e H X J 9 7 9 w / G 9 / Z u p a 3 e 9 0 3 H z O b N 2 z l O 2 n p 4 L h z 7 3 t j U c e + N T R 3 z 3 t j U U 1 Q 3 t + 1 z z i 0 d p 1 s 1 7 0 / s L f X S r Z q / 3 x R 6 + u h W z d 9 j H j 0 1 d H P b 9 5 h J T w 3 d 3 L Y 3 k x v a 9 q Z x Q 9 v e H G 4 Y m 2 3 6 a a i G T M b o 5 N u n P / H V 6 e 2 U x d 6 N y s h 2 E i o j l f p b w x 9 U R g b + J j Z x L G t a 3 8 L H c o x r X t q + x V u O f / W t 4 Y l w v H t j U 8 e 6 N z Z 1 n H t j U 0 8 H 3 d y 2 z z a 3 I Y e n i 9 6 D 9 J 5 K e q / O + v N 8 S 9 X 0 P r j 1 Z v i 2 G u p m G r / H N H s a 6 s a 2 n o a 6 u W 1 v n j e 0 1 c m 9 V d v e l G 4 Y m 2 3 6 I K 6 h b p n T 3 r 9 3 o 3 a y H Y T a 6 d 5 7 w h / U T g b + 3 v 7 O / Y P 9 T + / v 3 D q w e 9 8 3 H T O b N 2 / n K m n r 4 d l w D H x j U 8 e / N z Z 1 7 H t j U 0 9 N 3 d y 2 z z u 3 d J V u 1 b w / s b d 0 l W 7 V / P 2 m 0 F N E t 2 r + H v P o K a K b 2 7 7 H T H q K 6 O a 2 v Z n c 0 L Y 3 j R v a 9 u Z w w 9 h s 0 4 N Q E b 1 v d n v / / o 2 a y P Y Q a q L 7 7 w l / U B M Z + H u 7 + / v j W y 6 u 3 f 4 d x 7 r m n d t p H 2 0 9 P A W O a 2 9 s 6 p j 2 x q a O Z 2 9 s 6 m m f m 9 v 2 G e a W 2 u d W z f u T e U v t c 6 v m 7 z e F n v a 5 V f P 3 m E d P + 9 z c 9 j 1 m 0 t M + N 7 f t z e S G t r 1 p 3 N C 2 N 4 c b x m a b P v S 1 z / 3 3 z 3 D f 3 7 l R / d g u A v W D F 9 8 L / q D 6 M f D 3 d u j B P 7 d S Q M F b O 5 v f c v z r v 3 U r L a Q v D E + F 4 9 4 b m z r m v b G p 4 9 0 b m 3 p a 6 O a 2 f c a 5 g R K e I j J v b N / 0 S n 9 q b 6 m M b o t T f z 5 v q Y 9 u P Y T 3 m F V P J 9 3 c 9 j 3 m 1 d N J N 7 f t z e u G t r 0 Z 3 d C 2 N 5 U b x m a a 3 t s J d d J 7 5 b D v 7 9 6 k j x z 4 U B / t v i f 8 I X 1 k 4 e / f Q r N Y 3 n 2 v t y z / 2 r d u p Y x M 6 + E 5 s G x 7 c 1 P L t T c 3 t U x 7 c 1 O n j G 7 R t s 8 x t 9 N E t 2 v e n 9 D b a a H b N X + / K X Q q 6 H b N 3 2 M e n f q 5 R d v 3 m E m n f m 7 R t j e T G 9 r 2 p n F D 2 9 4 c b h i b b b o b q p / 3 z A z d v z E z 5 D o I F d D t M k M O / q A C M v B v o 0 o c 2 7 7 P W 4 5 7 z V u 3 U 0 D a e n g W H O P e 2 N T x 7 Y 1 N H d v e 2 N R T Q D e 3 7 f P M L R X Q r Z r 3 J / S W C u h W z d 9 v C j 0 F d K v m 7 z G P n g K 6 u e 1 7 z K S n g G 5 u 2 5 v J D W 1 7 0 7 i h b W 8 O N 4 z N N t 0 L F d D 7 Z o T u 3 5 g R c j 2 E G u h 2 G S E H f 1 A D G f j 7 t 1 U + t 3 z B M a 1 5 4 X Z 6 R 1 s P E 9 / x 6 4 1 N H b v e 2 N R x 6 4 1 N P b 1 z c 9 s + q 9 x S 7 9 y q e X 8 a b 6 l 3 b t X 8 / a b Q 0 z u 3 a v 4 e 8 + j p n Z v b v s d M e n r n 5 r a 9 m d z Q t j e N G 9 r 2 5 n D D 2 G z T e 5 7 e 2 d 9 5 7 1 z Q P k T 3 B s V j u / A V z 7 6 R + V v D H 1 Q 8 B v 6 D m 3 0 Y x 7 f v 8 Z L j X v P S 7 R S Q t h 6 e B c e 4 N z Z 1 f H t j U 8 e 2 N z b 1 F N D N b f s 8 c 0 s F d K v m / e m 8 p Q K 6 V f P 3 m 0 J P A d 2 q + X v M o 6 e A b m 7 7 H j P p K a C b 2 / Z m c k P b 3 j R u a N u b w w 1 j s 0 3 3 Q w V 0 9 u L z W y d + 9 n d 2 b 1 Q + F n y o f H b f E / 6 g 8 j H w d 0 0 I d S v t 8 z 5 v O d 4 1 b 9 1 O / W j r 4 T l w b H t j U 8 e 1 N z Z 1 T H t j U 0 / 9 3 N y 2 z z G 3 V D + 3 a t 6 f 0 F u q n 1 s 1 f 7 8 p 9 N T P r Z q / x z x 6 6 u f m t u 8 x k 5 7 6 u b l t b y Y 3 t O 1 N 4 4 a 2 v T n c M D b b 9 H 6 o f t 4 v 8 b O / c + 9 G B W Q 7 C B X Q v f e E P 6 i A D P z b q B L H t u / z l u N e 8 9 b t F J C 2 H p 4 F x 7 g 3 N n V 8 e 2 N T x 7 Y 3 N v U U 0 M 1 t + z x z S w V 0 q + b 9 C b 2 l A r p V 8 / e b Q k 8 B 3 a r 5 e 8 y j p 4 B u b v s e M + k p o J v b 9 m Z y Q 9 v e N G 5 o 2 5 v D D W O z T T / 1 F d D u + w d g 4 O E b V J D t I l B B u z q n t 4 Y / q I I M f F o o 2 9 9 9 c H A 7 D f Q e L z n u N S / d T g F p 6 + F Z c I x 7 Y 1 P H t z c 2 d W x 7 Y 1 N P A d 3 c t s 8 z t 1 R A t 2 r e n 8 5 b K q B b N X + / K f Q U 0 K 2 a v 8 c 8 e g r o 5 r b v M Z O e A r q 5 b W 8 m N 7 T t T e O G t r 0 5 3 D A 2 2 / R B q I D e Z + V 9 H z x 5 g / K x 4 E P l c 7 s A z M E f V D 4 G / o O d v Y N 7 9 z + 9 n f J 5 j 5 c c 5 5 q X b q d 8 t P X w D D i m v b G p 4 9 k b m z q W v b G p p 3 x u b t v n l 1 s q n 1 s 1 7 0 / n L Z X P r Z q / 3 x R 6 y u d W z d 9 j H j 3 l c 3 P b 9 5 h J T / n c 3 L Y 3 k x v a 9 q Z x Q 9 v e H G 4 Y m 2 1 6 E C q f 9 w y / w D c 3 q B / b Q a h + b h d + O f i D 6 s f A v 4 U m c V z 7 H i 8 5 3 j U v 3 U 7 9 a O v h O X B s e 2 N T x 7 U 3 N n V M e 2 N T T / 3 c 3 L b P M b d U P 7 d q 3 p / O W 6 q f W z V / v y n 0 1 M + t m r / H P H r q 5 + a 2 7 z G T n v q 5 u W 1 v J j e 0 7 U 3 j h r a 9 O d w w N t v 0 o a 9 + 7 r 1 / 8 H V v 5 0 Y F Z L s I F B B e f C / 4 g w r I w N / f f 3 D v 3 s 7 + / q 0 U 0 H u 8 5 L j X v H Q 7 B a S t h 2 f B M e 6 N T R 3 f 3 t j U s e 2 N T T 0 F d H P b P s / c U g H d q n l / O m + p g G 7 V / P 2 m 0 F N A t 2 r + H v P o K a C b 2 7 7 H T H o K 6 O a 2 v Z n c 0 L Y 3 j R v a 9 u Z w w 9 h M 0 / 2 d U A G 9 V / B 1 b / c m 5 e P A h 8 p n 9 z 3 h D y k f C / / g 4 f 6 n n + 4 c H N x G + b z P S 5 Z z 7 U u 3 U j 6 m 9 f A M W K a 9 u a n l 2 Z u b W p a 9 u a l T P r d o 2 + e X 2 y m f 2 z X v T + f t l M / t m r / f F D r l c 7 v m 7 z G P T v n c o u 1 7 z K R T P r d o 2 5 v J D W 1 7 0 7 i h b W 8 O N 4 z N N t 0 N l c 9 7 B l 9 Y 5 L 9 B / d g O Q v V z Q / D V g z + o f g z 8 W 2 g S x 7 X v 8 Z L j X f P S 7 d S P t h 6 e A 8 e 2 N z Z 1 X H t j U 8 e 0 N z b 1 1 M / N b f s c c 0 v 1 c 6 v m / e m 8 p f q 5 V f P 3 m 0 J P / d y q + X v M o 6 d + b m 7 7 H j P p q Z + b 2 / Z m c k P b 3 j R u a N u b w w 1 j s 0 3 3 f P W z / / 7 B F 1 T d D Q r I d h E o o H 2 d 0 1 v D H 1 R A B v 7 u z v 0 d U i c P D x 6 O k f 0 a Z B j H v O / 7 p u N j 8 + b t V J G 2 H p 4 P x 8 I 3 N n U c f G N T x 8 A 3 N v V U 0 c 1 t + 9 x z S 1 V 0 q + b 9 i b 2 l K r p V 8 / e b Q k 8 V 3 a r 5 e 8 y j p 4 p u b v s e M + m p o p v b 9 m Z y Q 9 v e N G 5 o 2 5 v D D W O z T e + F q u i 9 w j C o v B v U k A U f q q H d 9 4 Q / q I Y M / L 3 d n d 2 D h / c e P j g Y P 9 i / l R p 6 3 z c d D 5 s 3 b 6 e G t P X w X D j 2 v b G p 4 9 4 b m z r m v b G p p 4 Z u b t v n n F u q o V s 1 7 0 / s L d X Q r Z q / 3 x R 6 a u h W z d 9 j H j 0 1 d H P b 9 5 h J T w 3 d 3 L Y 3 k x v a 9 q Z x Q 9 v e H G 4 Y m 2 2 6 H 6 q h 9 w z I 0 N M N i s h 2 E C q i e + 8 J f 1 A R G f h 7 u w d 7 + w / v P 3 x 4 7 7 b + 0 P u + 6 b j Y v H k 7 R a S t h 2 f D M f C N T R 3 / 3 t j U s e + N T T 1 F d H P b P u / c U h H d q n l / Y m + p i G 7 V / P 2 m 0 F N E t 2 r + H v P o K a K b 2 7 7 H T H q K 6 O a 2 v Z n c 0 L Y 3 j R v a 9 u Z w w 9 h s 0 / t W E X 0 n 3 d l N X x + / V 2 y 2 v 7 M D J r 5 B F 9 k + n C 7 S F 9 8 L / q A u M v B J m e z v 7 4 8 / P b i V H j J v b e I t x 7 i m 9 b 1 P 9 z 7 d / 3 R 3 v H f / V k r I v L b 3 6 a c P d n Y / H d / f p O k c I 7 / X a 4 6 n b z M k x 9 X v 1 Y m n q / S 9 W + m q 9 5 k a T 2 e Z 1 7 Z v 9 V 6 f E 2 6 p v N 4 L u z 4 v 3 F K J v d 9 g e k x w K 2 3 2 f n P Z 5 4 H t W 7 3 o q b n b 0 M D T d O + F n 6 f 1 b t V N f / 5 v N x y H 3 q e h F r x 9 V A g F d X N U a M G H C v A W U W E A f 1 A B G v i 7 B w 9 2 D j 4 9 G D + 8 n S f 2 X q 8 5 9 j e v 3 c 4 N 0 9 b D X O w Y / s a m j t 9 v b O p Y / M a m n m q 7 u W 2 f Z 2 7 p h t 2 q e X 9 K b 6 n J b t X 8 / a b Q 0 2 C 3 a v 4 e 8 + g p r p v b v s d M e v r p 5 r a 9 m d z Q t j e N G 9 r 2 5 n D D 2 G z T B 1 0 F 9 C b 9 / P j F 8 d P b 6 q D 7 N + o g 2 0 O o g 9 S N u T X 8 Q R 1 k 4 O 8 9 u P f p g w e f j h / s 3 U o H v d d r j o H N a 7 f T Q d p 6 e C I c 7 9 7 Y 1 L H u j U 0 d 5 9 7 Y 1 N N B N 7 f t s 8 0 t d d C t m v e n 9 J Y 6 6 F b N 3 2 8 K P R 1 0 q + b v M Y + e D r q 5 7 X v M p K e D b m 7 b m 8 k N b X v T u K F t b w 4 3 j M 0 2 P b A 6 6 I t 0 Z + 9 9 Q 8 H 7 O z s Y + g 1 a y P b B W s h / 8 b 3 g D 2 o h A 5 / y 2 5 T l 3 n 2 w / 3 C 8 o z m v 6 O g d 9 w Z v P t h 5 + H B / / H B T j O c Y 2 b 5 5 s P f p / T G C 7 8 G X H D u b l 3 Y f 3 N / d H d / 7 d M N L j q n f 4 y X H 3 e a l T Y L j + P s 9 u v B 0 l r 5 1 K 5 1 l e t j b e X B / f 7 x z c D v V Z d 7 a v s 1 r f X 6 4 p Q p 7 H 9 z 6 D H B L T f Z e Q + l N / q 0 0 2 v v M Y n / u t 2 / x m q f m b j N 8 T 9 O 9 B 2 6 e z r t V J / 1 5 v 8 1 Q H G o P Q w 1 4 + z A Q y u n m M N C C D 5 X f L c L A A P 6 g 8 j P w H + z e 2 9 / 9 9 C G l z s Y H C v w G 5 f e + b z r e N 2 9 u m h f H + t p 6 m I c d u 9 / Y 1 H H 7 j U 0 d i 9 / Y 1 F N q N 7 f t c 8 5 G F d D n h I 3 N + x N 7 S y 1 2 q + b v N 4 W e + r p V 8 / e Y R 0 9 t 3 d z 2 P W b S 0 1 A 3 t + 3 N 5 I a 2 v W n c 0 L Y 3 h x v G Z p r e 3 w n V 0 P s s D k J R 3 L g 4 6 D o I F d E t F g c D + E O K y M I n d X L / U 1 r l 2 9 8 Z P 7 i V I n r v N y 0 X 2 z d v p Y h M 6 + H Z s A x 8 c 1 P L v z c 3 t e x 7 c 1 O n i G 7 R t s 8 7 t 1 N E t 2 v e n 9 j b K a L b N X + / K X S K 6 H b N 3 2 M e n S K 6 R d v 3 m E m n i G 7 R t j e T G 9 r 2 p n F D 2 9 4 c b h i b b b o b K q K z n z x O f 5 / 0 5 M s v z l 6 f f f n i d s p i / 0 Z l Z D s J l d H + e 8 I f V E Y G P m m U h / v 3 y L F 5 c C t N 9 F 6 v O R 4 2 r 9 1 O D W n r 4 b l w 7 H t j U 8 e 9 N z Z 1 z H t j U 0 8 N 3 d y 2 z z m 3 V E O 3 a t 6 f 0 l u q o V s 1 f 7 8 p 9 N T Q r Z q / x z x 6 a u j m t u 8 x k 5 4 a u r l t b y Y 3 t O 1 N 4 4 a 2 v T n c M D b b d K + j h t 4 n O Q 4 d c W N y 3 P U Q 6 q B b J M c D + I M 6 y M C / d 9 u I 7 N Z v O L Y 1 b 9 x O 8 2 j r Y f I 7 j r 2 x q W P Y G 5 s 6 f r 2 x q a d 5 b m 7 b Z 5 Z b a p 5 b N e 9 P 5 C 0 1 z 6 2 a v 9 8 U e p r n V s 3 f Y x 4 9 z X N z 2 / e Y S U / z 3 N y 2 N 5 M b 2 v a m c U P b 3 h x u G J t t e s / X P P e + R k r 8 3 s 6 N u s f 2 E e i e e z q p t 4 Y / q H s M / L 1 9 p M Q p S b 0 7 N s 5 V d P S O e z t v 3 n 9 w f 3 y r j L h 7 8 c G n B / c 3 B 3 C O m 9 1 L + / c e j h 9 u c r c c T 7 / H S 4 6 5 z U u b 5 M a x 9 3 t 0 4 a k s f e t W K s v R m Y i 1 a W o 8 v W X e 2 b 7 5 p T 4 r 3 F J 7 3 R 6 v / t T f U o W 9 x z B 6 k 3 4 r R f Y + s 9 e f 8 + 1 b v O Z p t 9 s M 3 l N w 7 4 G b p + p u 1 U l / z m 8 z F I f a f q j 4 3 i s T f m / 3 R p 1 n w Y c 6 T x X F r e E P 6 j w D f 3 9 / / + A B / f 9 g b 3 x f g d + g 8 9 7 3 T c f 5 5 s 3 b + V / a e p i H H b v f 2 N R x + 4 1 N H Y v f 2 N R T Z j e 3 7 X P O L f 2 v W z X v T + w t N d i t m r / f F H r K 6 1 b N 3 2 M e P b V 1 c 9 v 3 m E l P Q 9 3 c t j e T G 9 r 2 p n F D 2 9 4 c p n e P b l R D 9 0 M 1 Z D L h J 9 8 + / Y m v T m + n L P Z u V E a 2 k 1 A Z 7 b 0 n / E F l Z O D v j H d u p 4 N u + Y L j W / v C r V S P t r 6 N 6 r m x q e P Y G 5 s 6 h r 2 x q a d 6 b m 7 b 5 5 Z b q p 5 b N Y 9 M 4 + 1 U z 6 2 a v 9 8 U e q r n V s 3 f Y x 4 9 1 X N z 2 / e Y S U / 1 3 N y 2 N 5 O 3 U j 0 3 t + 3 N 4 Y a x 2 a a f x l X P L R f h 7 t 2 7 U e 3 Y D k K 1 c + 8 9 4 Q + q H Q N / / w G F v D s H 9 / c e j H d V p 0 W H 7 l j 3 f d 9 0 X G z e v J 0 i 0 t b D s + E Y + M a m j n 9 v b O r Y 9 8 a m n i K 6 u W 2 f d 2 6 p i G 7 V v D + x t 1 R E t 2 r + f l P o K a J b N X + P e f Q U 0 c 1 t 3 2 M m P U V 0 c 9 v e T G 5 o 2 5 v G D W 1 7 c 7 h h b L b p g 1 A R f Y 1 F u H v 7 N y o j 2 0 m o j P b f E / 6 g M j L w H + z t 7 n M c e v 9 W m u i 9 X n M 8 b F 6 7 n R r S 1 s N z 4 d j 3 x q a O e 2 9 s 6 p j 3 x q a e G r q 5 b Z 9 z b q m G b t W 8 P 6 W 3 V E O 3 a v 5 + U + i p o V s 1 f 4 9 5 9 N T Q z W 3 f Y y Y 9 N X R z 2 9 5 M b m j b m 8 Y N b X t z u G F s t u l B R w 2 9 5 y L c v f s 3 6 i D b Q 6 i D V O R v D X 9 Q B x n 4 9 + 4 d 3 B 9 / e i v 9 c + t X H O O a V 2 6 n e 7 T 1 8 A Q 4 n r 2 x q W P Z G 5 s 6 j r 2 x q a d 7 b m 7 b Z 5 d b 6 p 5 b N e 9 P 5 S 1 1 z 6 2 a v 9 8 U e r r n V s 3 f Y x 4 9 3 X N z 2 / e Y S U / 3 3 N y 2 N 5 M b 2 v a m c U P b 3 h x u G J t t + t D q n i f p z s 7 u + 6 7 D f U r v 7 N y o f m w n T v 3 o i + 8 F f 1 D 9 G P g P d x 7 c f 7 j 7 Y O / e w R i p s E G W c e z r v f n p z t 7 + z s H B + M H t 4 j H 7 5 r 0 D U m B g r M G X H D + b l / Z 2 d h 7 c u z + + t 0 n v O b Z + n 7 c c g 5 u 3 N s m O Y / H 3 6 c P T W / r a r f S W 6 W J 7 d 4 f W L n c 2 0 8 x T Y O a 9 W 7 3 W Z 4 r b d d d n i V t q t P f C r s 8 J t 9 R s N 9 O 5 P / G 3 m s o + B 2 z f 5 j 1 P 4 d 1 m J J 7 O e x / s P P V 3 q 1 4 i k 3 + b b i x y n + 5 0 t O H t F + e g q H Z v U o Q O f q g I d 9 8 T / p A i t P B 3 7 + / s 7 3 / 6 4 O G n u w f j h 5 r 2 2 q w J 3 / 9 V K w L 2 1 U 1 z Y z n f t B 5 m Z c v 1 N z e 1 T H 9 z U 8 v o N z d 1 + u 0 W b f v M s 1 G k + 7 y w s X l / a j c 2 7 0 / n 7 b T Y 7 Z r 3 5 v C W 2 u s W V H y P i X Q q 6 + a 2 T k 3 d o m 1 v J j e 0 7 U 3 j h r a 9 O d w w N t t 0 t 6 O J 3 i d J D l 1 x Y 5 L c 9 R D q o l s k y Q P 4 g 7 r I w P / 0 / u 7 B z v 3 9 + w 9 p z e 3 B r V T R + 7 7 p 2 N i 8 e T t N p K 2 H p 8 N x 8 I 1 N H Q P f 2 N T x 7 4 1 N P U 1 0 c 9 s + 8 9 x S E 9 2 q e X 9 i b 6 m J b t X 8 / a b Q 0 0 S 3 a v 4 e 8 + h p o p v b v s d M e p r o 5 r a 9 m d z Q t j e N 0 j b a t j e H t 9 F E e x 1 N F G T J b 6 c s 9 m 9 U R r a T U B n t v y f 8 Q W V k 4 O 8 e 3 H / w 4 P 4 O r b p 9 e i t V 9 H 7 v O S 4 2 7 9 1 O E W n r 2 y i i G 5 s 6 / r 2 x q W P f G 5 t 6 i u j m t n 3 e u a U i u l X z / q T e U h H d q v n 7 T a G n i G 7 V / D 3 m 0 V N E N 7 d 9 j 5 n 0 F N H N b X s z e S t F d H P b 3 h x u G J t t e q + r i N 4 n T w 4 1 c W O e 3 H U R q q F b 5 M k D + I N q y M D f 2 7 9 3 f / c e + T U b k 0 2 O d d / v P c f D 5 r 3 b q S F t P T w X j n 1 v b O q 4 9 8 a m j n l v b O q p o Z v b 9 j n n l m r o V s 3 7 k 3 p L N X S r 5 u 8 3 h Z 4 a u l X z 9 5 h H T w 3 d 3 P Y 9 Z t J T Q z e 3 7 c 3 k h r a 9 a d z Q t j e H G 8 Z m m + 5 b N f Q i 3 d n 7 G g l z D P 0 G P W T 7 C P T Q n k 7 q r e E P 6 i E D f 3 f 3 0 9 2 H D w 7 u 3 9 8 d 7 + z f S h M F b z 7 8 d P / e 7 u Z U u 2 N k 8 + b + D r 3 6 6 X j n 0 1 v p J P v W 7 s P 9 h 5 + O 7 2 9 6 y 7 H 1 + 7 z l G N y 8 t U l 2 H I u / T x + e 3 t L X b q W 3 T B f b u w 8 O D n b G a o Z u U l 9 2 i m 5 + q c 8 R t + m q z w 2 3 1 G X v g V m f A 2 6 p 0 W 6 m b 3 / C b z W F / Z n f v s 1 7 n q K 7 z U g 8 X f c + 2 H l q 7 1 a 9 R C b + N t 0 4 5 O 6 H W v C 9 E u U Y 4 w 0 K 0 I I P F e D u e 8 I f V I A G / u 7 B P i W 6 H z 4 8 2 B v v 3 M 4 V e 9 8 3 H f e b N 2 / n j G n r Y T 5 2 L H 9 j U 8 f x N z Z 1 X H 5 j U 0 + p 3 d y 2 z z m 3 d M Z u 1 b w / s b d 0 x m 7 V / P 2 m 0 F N d t 2 r + H v P o q a 6 b 2 7 7 H T H o 6 6 u a 2 v Z n c 0 L Y 3 j R v a 9 u Z w w 9 h s 0 0 9 D N f S e W X L 0 e Y M i s h 2 E i u j e e 8 I f V E Q G / u 7 + w d 4 D 8 q Y e 3 r u t I g r f 3 L 1 / 8 H C 8 e z t F Z N 6 8 n S I y r b d 3 P 9 2 5 N 3 5 4 K / / L v P M p I X W g t L p B M 5 l X 9 v a I B A 8 2 v e M Y + / a o e b p K X 7 q V r r I 0 v h F + n 2 N u g V S f D W 6 p t m 6 P 1 / v N u q e 7 3 m M Y v X m / l Q Z 7 j w 7 6 M 3 7 j O 5 5 K u 3 1 H n m 6 7 D b U 8 9 X Z 7 v N 5 z z m 3 r B 6 G m C 7 L w L 2 6 n j f Z v 1 H a 2 k 1 D b 7 b 8 n / E F t Z + D v 7 e 7 f + 3 R 8 c C s 9 d / t 3 H K + b d 2 6 n 4 b T 1 M N c 6 B r + x q e P v G 5 s 6 r r 6 x q a e + b m 7 b 5 5 l b u l q 3 a t 6 f z F v q r F s 1 f 7 8 p 9 N T V r Z q / x z x 6 i u r m t u 8 x k 5 5 e u r l t b y Y 3 t O 1 N 4 4 a 2 v T n c M D b b 9 K C j g N 4 z + 7 5 3 / 0 b t Y 3 s I t Y / m C W 4 N f 1 D 7 G P h 7 D + 4 / v L f 3 8 O H 4 g S q 2 6 M g d 5 7 7 f e 4 6 F z X u 3 0 0 L a e n g q H P f e 2 N Q x 7 4 1 N H e / e 2 N T T Q j e 3 7 T P O L b X Q r Z r 3 J / W W W u h W z d 9 v C j 0 t d K v m 7 z G P n h a 6 u W 0 w k 7 f W Q j f C 9 b T Q z W 1 7 0 7 i h b W 8 O N 4 z N N n 3 o a 6 F 7 X y P 7 f m / n R j 1 k + w j 0 E F 5 8 L / i D e s j A 3 7 v / 4 N 7 O / r 2 9 e 2 P M 8 y D D O O Y N X t y j R P r 4 0 1 s p I v v e / g F 5 p 5 u C R M f K 5 h 1 a o h 3 f 2 6 T v H D v f + h X H 1 e a V T Q L j + P r W H X i a S t + 5 l a Y y 8 H c f 7 t G y x q Y 5 8 f S V e W n 7 F m / 1 e e C W a u s 9 M O t P + y 2 V 1 / s M p D f p t 9 J h t 5 + / / p x v 3 / i S p 9 R u M 3 J P r 9 0 a L 0 + / 3 a q L / n z f P A y L 1 o O d U N e 9 V 4 7 9 3 u 5 N a s 6 B D 9 X c 7 n v C H 1 J z F j 7 l p z 5 9 8 H C P x r 0 x r W O Z / X 1 f t A x v X 9 w 0 J 5 b f T e t h z r V M f n N T y + M 3 N 7 W s f X N T p 8 Z u 0 b b P N x v l v s 8 H G 5 v 3 p / V 2 m u t 2 z d 9 v C p 3 O u l 3 z 9 5 h H p 6 x u 0 f Y 9 Z t L p p l u 0 7 c 3 k h r a 9 a d z Q t j e H G 8 Z m m + 6 G S u g 9 M + z 3 b s y w u w 5 C N X S 7 D L u D P 6 i G D P z 7 D / Z 2 9 g 9 2 9 / Y 3 q 1 / H u e / 5 o u N h 8 + L t 1 J C 2 H p 4 L x 7 4 3 N n X c e 2 N T x 7 w 3 N v X U 0 M 1 t + 5 x z S z V 0 q + b 9 a b 2 l G r p V 8 / e b Q k 8 N 3 a r 5 e 8 y j p 4 Z u b v s e M + m p o Z v b 9 m Z y Q 9 v e N G 5 o 2 5 v D D W O z T f d C N f Q 1 0 t 8 Q 3 h t U k e 0 k V E U q 9 b e G P 6 i K D P y 9 T 3 f 3 H 5 A b e K u F v v d 6 y 3 G w e e t 2 S k h b D 8 + E Y 9 4 b m z r e v b G p Y 9 0 b m 3 p K 6 O a 2 f b 6 5 p R K 6 V f P + h N 5 S C d 2 q + f t N o a e E b t X 8 P e b R U 0 I 3 t 3 2 P m f S U 0 M 1 t e z O 5 o W 1 v G j e 0 7 c 3 h h r H Z p v d 8 J b T / N Z J P + z s 3 6 i D b R 6 C D 9 n V S b w 1 / U A c Z + A c H D x 9 s T B 8 5 t j W v 7 N 8 7 2 L / d A p x 7 5 f 7 u 3 s Z X H P v q K 8 P z 4 F j 3 x q a O c 2 9 s 6 h j 3 x q a e C r q 5 b Z 9 r b q S F p 4 f M O 9 s 3 v 9 S f 2 l t q o 9 v j 1 Z / X W 6 q k 9 x j G e 8 y u p 5 h u b v s e 8 + s p p p v b 9 u Z 3 Q 9 v e v G 5 o 2 5 v O D W O z T f d D x f R e m a L 9 3 R t 1 k g U f 6 q T d 9 4 Q / q J M M / N 1 P 7 9 2 7 d 0 u l d P t 3 H P e a d 2 7 n E 2 n r Y f o 7 l r 2 x q e P Y G 5 s 6 h r 2 x q a e Q b m 7 b 5 5 Z b + k S 3 a t 6 f z F t q o V s 1 f 7 8 p 9 B T Q r Z q / x z x 6 q u f m t u 8 x k 5 7 q u b l t b y Y 3 t O 1 N 4 4 a 2 v T n c M D b b 9 H 6 o e t 4 z P 7 R / 7 0 b l Y z s I l c + 9 9 4 Q / q H w M / N 2 H + w c b T Z T j 2 V u / 4 v j W v H I 7 1 a O t h + n v W P b G p o 5 j b 2 z q G P b G p p 7 q u b l t n 1 t u q X p u 1 b w / l b d U P b d q / n 5 T 6 K m e W z V / j 3 n 0 V M / N b R / e v q 2 n e m 5 u 2 5 v J W 6 m e m 9 v 2 5 v A 2 q u f T U P V 8 j Z z Q / v 6 N 6 s d 2 E q q f / f e E P 6 h + D P z 7 9 + 4 / H O / d S v 3 c + h X H u + a V 2 6 k f b X 0 b 9 X N j U 8 e 1 N z Z 1 6 u f G p p 7 6 u b l t n 2 N u q X 5 u 1 b w / l b d U P 7 d q / n 5 T 6 K m f W z V / j 3 n 0 1 M / N b d 9 j J j 3 1 c 3 P b 3 k x u a N u b x g 1 t e 3 O 4 Y W y 2 6 Q N f / d z / G t m g + z s 3 a h / b R 6 B 9 7 u u k 3 h r + o P Y x 8 H f v 7 d + 7 f / D p g 7 3 b O U D + a w 8 f P N j Z v z 8 + e H A r R W T e f L h 7 7 + D e e E d D y O h L j p f N S 7 Q K 9 2 B n Z 3 y w C U n H 0 u / z l m N u 8 9 Y m u X H s / T 5 9 e D p L X 7 u V z j J d b N 9 7 u H N v 9 8 F m Q n v K y 7 x 3 q 9 f 6 H H G 7 7 v o s c U t t 9 l 7 Y 9 T n h l l r t Z j r 3 J / 5 W U 9 n n g O 3 b v O c p u 9 u M x N N 3 7 4 O d p / p u 1 U t k 8 m / T j U P u I N S E 7 5 V + u n 9 z + s m C D 5 X g 7 d J P D v 6 g E j T w 9 x 7 c P 7 h P m c p P H 4 x v q Q f f 9 0 3 H / + b N T R P j 2 F 5 b D / O x Y / k b m z q O v 7 G p 4 / I b m 3 r K 7 e a 2 f c 7 Z K M 9 9 T t j Y v D + x G 5 v 3 Z / O W K u x W z X t z e F v V d T M V 3 2 M i P X 1 1 Y 1 t P R 9 3 c t j e T G 9 r 2 p n F D 2 9 4 c b h i b b f o w V E M m F X X y 7 d O f + O r 0 d s p i 7 0 Z l Z D s J l Z G G Y b e G P 6 i M D P w H D / Y + v X / / 4 d 7 4 0 9 s F h d 5 7 D z 5 9 s H v D e 4 6 L z X v b j O O t t J G + M j w l j o t v b O q Y + M a m j o d v b O p p o 5 v b 9 h n o R l p 4 K s m 8 c + M r / S m + u Z v + 9 N 5 S N 9 0 a q 9 6 s 3 l Y / 3 U z X 9 5 h a T z / d 2 N b T T z e 3 7 c 3 t h r a 9 O d 3 Q t j e Z G 8 Z m m h 7 s x P X T L V P l 9 2 9 M l b s O Q t 1 0 u 1 S 5 g z + k m y z 8 v b 3 9 + 5 8 + e H B w 7 8 F 4 5 1 b a q f P m P s W N 4 9 3 b q C f 7 4 r 0 H O 3 v j h 5 s 6 s 5 x s 3 h m e E s v F N z e 1 T H x z U 8 v D N z d 1 + u k W b f s M d D M x n I K y L 2 3 f 4 q 3 + V N 9 O P b 0 P Z v 2 5 v Z 2 C e q + B v M c M O z 1 1 i 7 b v M c d O T 9 2 i b W + O N 7 T t T e 2 G t r 0 J 3 T A 2 2 3 Q 3 1 F N f I 6 9 + f / 9 G X W U 7 C X X V / n v C H 9 R V B v 7 u H m m q 8 f 2 D W 6 m p 9 3 j J s b F 5 a R M b O y 7 W 1 s P z 4 F j 3 x q a O c 2 9 s 6 h j 3 x q a e c r q 5 b Z 9 r N k p z f / 4 3 N u 9 P 5 y 3 1 0 a 2 a v 9 8 U e p r o V s 3 f Y x 4 9 F X R z 2 / e Y S U 8 F 3 d y 2 N 5 M b 2 v a m c U P b 3 h x u G J t t u t d R Q S / e p J 8 f v z h + e t u k 0 v 0 b 9 Y / t I d Q / 9 9 8 T / q D + M f B 3 P 6 V c 2 j 2 y V 7 d S Q O / z l m N f 8 9 b t N J C 2 H p 4 G x 7 k 3 N n W M e 2 N T x 7 c 3 N v U 0 0 M 1 t + 0 x z S w 1 0 q + b 9 C b 2 l B r p V 8 / e b Q k 8 D 3 d g 8 1 E A 3 U / E 9 J t L T Q D e 2 9 T T Q z W 1 7 M 3 k r D X R z 2 9 4 c 3 k Y D 3 f M 1 0 K d f Y 3 X v 0 5 0 b d Z D t I 9 B B n y o P 3 B r + o A 4 y 8 B 8 c 3 H + w P 4 b + v Y U K s i 8 9 O N g 7 G N 9 T h X i D B r I v 7 d E S 4 n h / U 0 + O i e 1 L u w 8 P d s c P N / X k W P k 9 X n I 8 b V 7 a J F 2 O q 9 + j C 0 9 T 6 V u 3 0 l S 2 h / 1 P x / u f 3 k 5 d m X e 2 b 3 6 p z w G 3 V F q 3 x 6 s / 9 b f U X O 8 x j N 6 k 3 0 p / v c / s 9 e d 8 + x a v e U r t N o P 3 9 N p 7 4 O Z p u F t 1 0 p / z 2 w z F o b Y f 6 r v 3 W s P 7 d P d G V W f B h 6 p O F c W t 4 Q + q O g P / w f 6 9 g 7 H J x t + g 6 W 7 / j u N 2 8 8 7 t X C 1 t P c y 3 j s V v b O o 4 / M a m j q 1 v b O o p s J v b 9 r n l l q 7 W r Z r 3 J / O W W u t W z d 9 v C j 2 F d a v m 7 z G P n q q 6 u e 1 7 z K S n l W 5 u 2 5 v J D W 1 7 0 7 i h b W 8 O N 4 z N N r 3 f U T 3 v n 2 / 6 d P 9 G B W Q 7 C R X Q / n v C H 1 R A B j 4 5 T X t j h R o d t + P b W 7 / i e N e 8 c j v 1 o 6 2 H 5 8 C x 7 Y 1 N H d f e 2 N Q x 7 Y 1 N P f V z c 9 s + x 9 x S / d y q e X 8 q b 6 l + b t X 8 / a b Q U z + 3 a v 4 e 8 + i p n 5 v b v s d M e u r n 5 r a 9 m d z Q t j e N G 9 r 2 5 n D D 2 G z T T z v q 5 z 1 z T Z / e v 1 H 3 2 B 5 C 3 a O O 2 a 3 h D + o e A 5 8 c G Y r z 9 j c 5 f I 5 t 3 + M l x 7 z m p d v p H 2 0 9 P A m O b 2 9 s 6 t j 2 x q a O a 2 9 s 6 u m f m 9 v 2 W e a W + u d W z f v T e U v 9 c 6 v m 7 z e F n v 6 5 V f P 3 m E d P / 9 z c 9 j 1 m 0 t M / N 7 f t z e S G t r 1 p 3 N C 2 N 4 c b x m a b P v D 1 z 4 O v k W l 6 s H O j B r J 9 B B r o g U 7 q r e E P a i A D f 3 f n w c G 9 n f H D 2 6 W a 3 F u f P n z w c L x / u x D M v U X x 7 f 7 4 / u 2 S T d 5 b u / f u j X c 2 9 e X Y + X 3 e c o x t 3 t o k M 4 6 1 3 6 c P T 1 / p a 7 f S V 6 a L g / u 7 4 / 2 H t 1 N a 5 p 3 t m 1 / q 8 8 E t V d f t 8 e p P / y 3 1 1 3 s M o z f t t 9 J i 7 z V 9 / V n f v s 1 7 n n K 7 z f A 9 / f Y + 2 H m q 7 l a 9 9 K f 9 V o N x y B 2 E m u + 9 c k 4 P b s 4 5 W f C h 0 r t d z s n B H 1 R 6 B v 7 B g 0 8 f j j + 9 l c a 7 9 S u O 3 8 0 r t 3 O 5 t P U w 5 z o m v 7 G p 4 / E b m z q + v r G p p 8 J u b t v n l Y 1 i 3 5 / 7 j c 3 7 U 3 l L v X W r 5 u 8 3 h Z 7 K u l X z 9 5 h H T 1 n d 3 P Y 9 Z t L T S j e 3 7 c 3 k h r a 9 a d z Q t j e H G 8 Z m m z 7 s K J 7 3 z z g 9 2 L 9 R / d h O Q v W z / 5 7 w B 9 W P g X 9 j + s j x 7 a 1 f c b x r X r m d + t H W w 3 P g 2 P b G p o 5 r b 2 z q m P b G p p 7 6 u b l t n 2 N u q X 5 u 1 b w / l b d U P 7 d o 7 q u f W z X v z e F t 1 c / N V H y P i f T U z 4 1 t P f V z c 9 v e T N 5 K / d z c t j e H t 1 A / D 3 c 6 6 u c 9 M 0 4 P b s w 4 u R 5 C 3 X O 7 j J O D P 6 R 7 L P z d n b 3 9 g 3 v j W 6 2 3 v c 9 L l n n t S 7 f S P 6 b 1 L f T P z U 0 t 2 9 7 c 1 H L t z U 2 d / r l F 2 z 7 L 3 E 7 / 3 K 5 5 f z p v p 3 9 u 1 / z 9 p t D p n 9 s 1 f 4 9 5 d P r n F m 3 f Y y a d / r l F 2 9 5 M b m j b m 8 Y N b X t z u G F s t u m u r 3 8 O v k b G 6 W D n R g 1 k + w g 0 E F 5 8 L / i D G s j A v / f g 0 / u f f j q G + h 3 k F s e 5 7 q 0 H + / s P x 3 u b 3 n I M b N / 6 9 O G n e w / G e 5 / e S h e 5 v n b u 7 1 C 0 t + k t x 8 7 v 8 5 Z j b P P W J p l x r P 0 + f X j 6 S l + 7 l b 4 y X W w f 3 O B p e k r L v H P j K 3 0 u u L m b P g / c U n v d G q v + z N 9 S g 9 1 M 1 / 5 E 3 2 r q + j O + f Z v 3 P M V 2 m 5 F 4 u u 1 9 s P P U 3 K 1 6 i U z 6 b b p x y O 2 F W u + 9 s k 0 H u z c q P A s + V H i 7 7 w l / U O E Z + L R a 9 3 D / 3 t i k s W 5 Q e O / z l u N 5 8 9 a m C X H s r q 2 H + d e x + o 1 N H a f f 2 N R x 9 4 1 N P S V 2 c 9 s + x 2 y U 4 z 4 H b G z e n 9 C N z f s z e U u 1 d a v m v T m 8 r c q 6 m Y r v M Z G e n r q x r a e b b m 7 b m 8 k N b X v T u K F t b w 4 3 j M 0 2 v R e q n 1 P R P u m b V 7 d T E P d u V E C 2 g 1 A B 3 X t P + I M K y M D f P 3 h w y 4 D v t m 8 4 r j V v 3 E 7 x a O t h 6 j u G v b G p 4 9 c b m z p 2 v b G p p 3 h u b t v n l V s q n l s 1 7 0 / k L R X P r Z q / 3 x R 6 i u d W z d 9 j H j 3 F c 3 P b 9 5 h J T / H c 3 L Y 3 k x v a 9 q Z x Q 9 v e H G 4 Y m 2 2 6 H y q e r 5 H s P t i / U f n Y T k L l s / + e 8 A e V j 4 F / Y + b a 8 e 2 t X 3 G 8 a 1 6 5 n f r R 1 s N z 4 N j 2 x q a O a 2 9 s 6 p j 2 x q a e + r m 5 b Z 9 j b q l + b t W 8 P 5 W 3 V D + 3 a v 5 + U + i p n 1 s 1 f 4 9 5 9 N T P z W 3 f Y y Y 9 9 X N z 2 9 5 M b m j b m 8 Y N b X t z u G F s t u n 9 j v p 5 z 2 T 3 w c 3 J b t t D q H t u l + x 2 8 A d 1 j 4 G / d + / e / f H + / q 2 U z + 3 f c a x r 3 r m d 9 t H W w 1 P g u P b G p o 5 p b 2 z q e P b G p p 7 2 u b l t n 2 F u q X 1 u 1 b w / m b f U P r d q / n 5 T 6 G m f W z V / j 3 n 0 t M / N b d 9 j J j 3 t c 3 P b 3 k x u a N u b x g 1 t e 3 O 4 Y W y 2 6 a e + 9 n n 4 N V L d y K v f o H 9 s H 4 H + e a i T e m v 4 g / r H w D + g h b O d g / H O p 7 f S Q P a t n Y c P 7 t 8 f 7 9 w u 8 + P e 2 r / 3 6 e 7 m 1 J r j Y / f W v Y e E 4 a e b + n L s / D 5 v O c Y 2 b 2 2 S G c f a 7 9 O H p 6 / 0 t V v p K 9 P F / v 1 7 4 x 0 1 O j c p L f P O 9 s 0 v 9 f n g N q r r v f D q T / 8 t 9 d d 7 D K M 3 7 b f S Y u 8 1 f f 1 Z 3 7 7 N e 5 5 y u 8 3 w P f 3 2 P t h 5 q u 5 W v f S n / V a D c c g 9 C D X f e 6 W 7 k W K / Q e l Z 8 K H S U 9 x u D X 9 Q 6 R n 4 B z u 0 t P l g f O 9 2 G a f 3 e c t x v X n r d o 6 X t h 7 m X 8 f q N z Z 1 n H 5 j U 8 f d N z b 1 F N n N b f s c c 0 v H 6 1 b N + x N 6 S + 1 1 q + b v N 4 W e 4 r p V 8 / e Y R 0 9 l 3 d z 2 P W b S 0 0 0 3 t + 3 N 5 I a 2 v W n c 0 L Y 3 h x v G Z p s e d N T P + 2 e d H u 7 f q I R s J 6 E S 2 n 9 P + I N K y M A / e P A p L T P e S g P d + h X H u + a V 2 6 k f b T 0 8 B 4 5 t b 2 z q u P b G p o 5 p b 2 z q q Z + b 2 / Y 5 5 p b q 5 1 b N + 1 N 5 S / V z q + b v N 4 W e + r l V 8 / e Y R 0 / 9 3 N z 2 P W b S U z 8 3 t + 3 N 5 I a 2 v W n c 0 L Y 3 h x v G Z p s + 7 K i f 9 8 w 6 I c S 8 Q f f Y H k L d o 0 7 w r e E P 6 h 4 D / 2 C P o r e 9 T b 6 1 4 9 r b v + N Y 1 7 x z O + 2 j r Y e n w H H t j U 0 d 0 9 7 Y 1 P H s j U 0 9 7 X N z 2 z 7 D 3 F L 7 3 K p 5 f z J v q X 1 u 1 f z 9 p t D T P r d q / h 7 z 6 G m f m 9 u + x 0 x 6 2 u f m t r 2 Z 3 N C 2 N 4 0 b 2 v b m c M P Y t C n J t 1 I Y 2 m d 3 5 / 2 z T r u A s F H / e H 3 4 + o d f f C / 4 A / r H w T 9 4 e P / T g / H B L f S P e 2 d 3 f / 9 g Z + d W i 2 7 u p X u U 3 f p 0 v L f p J c P D H n b 3 9 + 8 9 G J t 1 x o 0 a 6 b 1 e M i z t X t o k L Y a p 3 6 s L q 6 j s W 7 d Q V K 6 H 7 f v 3 9 + 7 t b n Q x r b 5 y b 9 3 i p T 4 L 3 K a r P h P c S n m 9 F 2 b 9 6 b + V C r s N f f v z f Z s Z 7 M / 7 9 i 1 e s 3 r t d u O w q u 2 9 c L N K 7 p a d R G b 9 F r 0 4 1 H Z D l f c + 6 a Z d v H y D t r P g Q 2 2 3 + 5 7 w B 7 W d g X 9 w c A B t d z t 1 9 x 4 v O X 4 3 L 2 2 a D c f o 2 n q Y c x 2 T 3 9 j U 8 f i N T R 1 j 3 9 j U U 2 M 3 t + 3 z y 0 Y J 7 s / / x u b 9 6 d z Y v D + R t 1 R Z t 2 r e m 8 P b K q u b q f g e E + m p q B v b e n r p 5 r a 9 m d z Q t j e N G 9 r 2 5 n D D 2 G z T v V D 5 n I r u S U + + f f o T X 5 3 e T k X s 3 a i C b C e h C t I U 8 6 3 h D 6 o g A / / + w Q P k / A d Z x b H t b d 9 w n G v e u J 3 y 0 d b D M + C Y 9 s a m j m d v b O p Y 9 s a m n v K 5 u W 2 f X 2 6 p f G 7 V v D + R t 1 Q + t 2 r + f l P o K Z 9 b N X + P e f S U z 8 1 t 3 2 M m P e V z c 9 v e T G 5 o 2 5 v G D W 1 7 c 7 h h b L b p v b j y e f P q d o r h 3 o 2 K x 3 Y Q K p 5 7 7 w l / U P E Y + P s P 9 k z 4 G B 2 y Y 9 n b v u G 4 1 r x x O 8 W j r Y e p 7 x j 2 x q a O X 2 9 s 6 t j 1 x q a e 4 r m 5 b Z 9 X b q l 4 b t W 8 P 5 E 7 j + 8 O N + / P 4 i 0 V z 6 2 a 9 + b w t o r n Z i q + x 0 R 6 i u f G t p 7 i u b l t b y Y 3 t O 1 N 4 4 a 2 v T n c M D b b d D 9 U P O + / x L Y L E D c o H 9 t J q H z 2 3 x P + o P I x 8 A 8 O K P q / r 8 5 U d O C O c W / / j u N e 8 8 7 t F J C 2 H p 4 F x 7 g 3 N n V 8 e 2 N T x 7 Y 3 N v U U 0 M 1 t + z x z S w V 0 q + b 9 y b y l 5 3 O r 5 u 8 3 h Z 4 C u l X z 9 5 h H T w H d 3 P Y 9 Z t J T Q D e 3 7 c 3 k h r a 9 a d z Q t j e H G 8 Z m m 9 7 v K K D 3 W 2 T b x f s 3 a B / b Q 6 h 9 b r X I 5 s E f 1 D 4 G / s N 9 S n T d T v n c + h X H u O a V 2 + k e b T 0 8 A Y 5 n b 2 z q W P b G p o 5 j b 2 z q 6 Z 6 b 2 / b Z 5 Z a 6 5 1 b N + 1 N 5 S 9 1 z q + b v N 4 W e 7 r l V 8 / e Y R 0 / 3 3 N z 2 P W b S 0 z 0 3 t + 3 N 5 I a 2 v W n c 0 L Y 3 h x v G Z p t + 6 u u e v a + x x I a h 3 6 B 9 b B + B 9 t n T S b 0 1 / E H t Y + D v 3 n v w g D L t Y I h B b n G c 6 9 5 6 + O n D h + P d W 6 k g 9 9 L u / s 6 9 8 f 1 N X T k 2 d m / d u / f p / b G q 3 R u U 0 n u 8 5 L j a v L R J Y B x f v 0 c X n q 7 S t 2 6 l q 0 w P 2 7 s P P 9 0 d P 7 x 3 O 5 V l 8 b r 5 p T 4 X 3 K a r P h f c U n + 9 B 2 b 9 6 b + l F r u Z v v 3 5 v s 0 M 9 u d 9 + x a v e a r t N u P w t N t 7 4 O b p u V t 1 E p v 1 m 3 t x q D 0 I t d 5 7 r b J h h D c o P A s + V H i q Y m 4 N f 1 D h G f i 7 9 z 7 d O z g Y 3 0 7 f v c d L j t / N S 7 d z u b T 1 M O c 6 J r + x q e P x G 5 s 6 x r 6 x q a f G b m 7 b 5 5 d b u l y 3 a t 6 f z l u 6 X L d q / n 5 T 6 C m r W z V / j 3 n 0 l N X N b d 9 j J j 2 9 d H P b 3 k x u a N u b x g 1 t e 3 O 4 Y W y 2 6 U F H + b x / v m l v / 0 Y V Z D s J V d D + e 8 I f V E E G / s G D T x + O P 7 2 V A r r 1 K 4 5 3 z S u 3 U z / a e n g O H N v e 2 N R x 7 Y 1 N H d P e 2 N R T P z e 3 7 X P M L d X P r Z r 3 p / K W 6 u d W z d 9 v C j 3 1 c 6 v m 7 z G P n v q 5 u e 1 7 z K S n f m 5 u 2 5 v J D W 1 7 0 7 i h b W 8 O N 4 z N N n 3 Y U T / v m W 3 a u 3 + j 7 r E 9 h L p H X b N b w x / U P Q b + 3 s 6 D T 8 f 3 b 6 d 8 b v + O Y 1 3 z z u 2 0 j 7 Y e n g L H t T c 2 d U x 7 Y 1 P H s z c 2 9 b T P z W 3 7 D H N L 7 X O r 5 v 3 J v K X 2 u V X z 9 5 t C T / v c q v l 7 z K O n f W 5 u + x 4 z 6 W m f m 9 v 2 Z n J D 2 9 4 0 b m j b m 8 M N Y z N N w Y J O + 9 z 7 G v m m e z s 3 6 R / X R 6 B / 7 u m k 3 h r + k P 6 x 8 O / t 7 + / v j f c P b q O A 3 E u f H u x 9 O n 6 4 f x s N Z F / a O 9 j d O R g f b O r J M r H r a W f / 4 b 3 x v U 0 9 W V Z + n 5 c s T 9 u X N o m L 5 e r 3 6 c J p K v P W b T S V 7 W F 7 7 9 7 B / n j / 0 1 s p L E f k y E t D a u u 9 u u o z w e 2 0 1 / t g 1 p / + 2 + m w W 9 C 3 P 9 + 3 m c H + v G / f 4 j W n 2 G 4 1 D q f b 3 g c 3 p + V u 1 0 l k 1 m / R i 0 N t N 9 R 5 7 5 V t u r d 7 o 7 q z 4 E N 1 t / u e 8 A f V n Y F / b / f h / f 3 N m s t x + n u 8 5 P j d v L R p N h y j a + t h z n V M f m N T x + M 3 N n W M f W N T T 4 3 d 3 L b P L x s l u D / / G 5 v 3 p 3 N j 8 / 5 E 3 l J l 3 a p 5 b w 5 v q 6 x u p u J 7 T K S n o m 5 s 6 + m l m 9 v 2 Z n J D 2 9 4 0 b m j b m 8 M N Y 7 N N 9 z r K 5 / 2 z T d B y N 6 g g 2 0 m o g l T q b w 1 / U A U Z + D e m j h z f 3 v o V x 7 v m l d u p H 2 0 9 P A e O b W 9 s 6 r j 2 x q a O a W 9 s 6 q m f m 9 v 2 O e a W 6 u d W z f t T e U v 1 c 6 v m 7 z e F n v q 5 V f P 3 m E d P / d z c 9 j 1 m 0 l M / N 7 f t z e S G t r 1 p 3 N C 2 N 4 c b x m a b 3 u u o n / f M N t 2 7 M d v k e g h 1 z + 2 y T Q 7 + o O 4 x 8 P f u 7 9 O C / 7 1 b K Z / b v + N Y 1 7 x z O + 2 j r Y e n w H H t j U 0 d 0 9 7 Y 1 P H s j U 0 9 7 X N z 2 z 7 D 3 F L 7 3 K p 5 f z J v q X 1 u 1 f z 9 p t D T P r d q / h 7 z 6 G m f m 9 u + x 0 x 6 2 u f m t r 2 Z 3 N C 2 N 4 0 b 2 v b m c M P Y b N N 9 X / v s f 4 1 s 0 / 7 O j f r H 9 h H o n 3 2 d 1 F v D H 9 Q / B v 7 B v b 2 d h 3 v j T / d u p Y H M W 7 u 0 2 P / w / s F 4 / 1 Y 6 y L y 1 9 + n e v f v j h 7 f S R B a / v X u 7 O 7 v j T w 8 2 v O W Y + X 3 e c m x t 3 t o k M Y 6 x 3 6 c P T 1 v p a 7 f S V q a L 7 Q c P P z 3 4 9 P 7 4 w c Y + + k x z q 9 f 6 v H C 7 7 v r c c E s 9 9 l 7 Y 9 T n h l v r s Z j r 3 J / 5 W U 9 n n g O 3 b v O e p u d u M x N N 0 7 4 O d p / R u 1 U t k 8 m / T j U P u f q g D 3 y v 7 t L 9 7 o / q z 4 E P 1 t / u e 8 A f V n 4 F P W f M d 0 k m 3 0 3 7 v 8 Z L j e v P S p u l w z K 6 t h 7 n X M f q N T R 2 f 3 9 j U 8 f a N T T 2 V d n P b P r 9 s l O L + / G 9 s 3 p / O j c 3 7 E 3 l L x X W r 5 r 0 5 v K 3 C u p m K 7 z G R n p a 6 s a 2 n m W 5 u 2 5 v J D W 1 7 0 7 i h b W 8 O N 4 z N N v 0 0 V D 6 n o n v S N 6 9 u p x 7 u 3 a h + b A e h + t G Q 6 9 b w B 9 W P g b / 7 6 Q 6 e W 2 m f 2 7 / j O N e 8 c z v l o 6 2 H Z 8 A x 7 Y 1 N H c / e 2 N S x 7 I 1 N P e V z c 9 s + v 9 x S + d y q e X 8 y b 6 l 8 b t X 8 / a b Q U z 6 3 a v 4 e 8 + g p n 5 v b v s d M e s r n 5 r a 9 m d z Q t j e N G 9 r 2 5 n D D 2 G z T B 6 H y + R q p 7 / 3 9 G x W Q 7 S R U Q P v v C X 9 Q A R n 4 D / c e H o x 3 N r l 8 j n F v / 4 7 j X v P O 7 R S Q t h 6 e B c e 4 N z Z 1 f H t j U 8 e 2 N z b 1 F N D N b f s 8 o 2 S I N + / P / i 0 V 0 K 2 a 9 + f x l g r o V s 1 7 c 3 h b B X Q z F d 9 j I j 0 F d G N b T w H d 3 L Y 3 k x v a 9 q Z x Q 9 v e H G 4 Y m 2 1 6 0 F F A 7 5 n 8 3 r 9 / o / a x P Y T a 5 / 5 7 w h / U P g b + 7 s 6 D v f v j + 5 / e S v 2 8 x 0 u O e c 1 L t 9 M / 2 n p 4 E h z f 3 t j U s e 2 N T R 3 X 3 t j U 0 z 8 3 t + 2 z z C 3 1 z 6 2 a 9 6 f z l v r n V s 3 f b w o 9 / X O r 5 u 8 x j 5 7 + u b n t e 8 y k p 3 9 u b t u b y Q 1 t e 9 O 4 o W 1 v D j e M z T Z 9 6 O u f + 1 8 j / X 1 / 5 0 Y N Z P s I N B B e f C / 4 g x r I w N + 7 v / t w / + H B L R N A 9 q 3 9 + w c H B 3 v j P d W I 0 d c c B 5 v X H t x / + O m n 4 4 c P b 6 W L z E u 7 9 + / d 3 x 3 v 7 G 9 4 y X H z e 7 z k 2 N q 8 t E l i H G O / R x e e s t K 3 b q W s T A + f 7 l B S Y P x w E 4 0 9 n W X e 2 r 7 N a 3 1 G u K X u e h / c + g x w S x X 2 X k P p T f 6 t V N n 7 z G J / 7 r d v 8 Z q n 3 2 4 z f E / F v Q d u n r K 7 V S f 9 e b / N U C x q G J O v + t 4 r 6 3 1 / 9 y a t 5 8 C H W m / 3 P e E P a T 0 L / / 7 O 7 q c H e 3 v j h 5 / e R u 2 9 3 2 u W 6 + 1 r m 2 b E M r 1 p P c y 9 l t F v b m r 5 / O a m l r l v b u r U 2 S 3 a 9 n l m o / D 3 e W B j 8 / 6 U 3 k 5 / 3 a 7 5 + 0 2 h U 1 y 3 a / 4 e 8 + g U 1 i 3 a v s d M O t 1 0 i 7 a 9 m d z Q t j e N G 9 r 2 5 n D D 2 G z T 3 V A B m c z 3 y b d P f + K r 0 9 u p i b 0 b 1 Z D t J F R D 6 i P d G v 6 g G j L w H + w d H O z s j w 9 u p Y T e 4 y X H v + a l 2 6 k g b T 0 8 D 4 5 1 b 2 z q O P f G p o 5 x b 2 z q q a C b 2 / a 5 5 p Y q 6 F b N + 9 N 5 S x V 0 q + b v N 4 W e C r p V 8 / e Y R 0 8 F 3 d z 2 P W b S U 0 E 3 t + 3 N 5 I a 2 v W n c 0 L Y 3 h x v G Z p v u x V X Q L R f f 7 t + 4 + O Y 6 C N X P 7 R b f H P x B 9 W P g 7 x 8 8 2 L / 3 Y H 9 8 / 3 Y K 6 L 1 e c / x r X r u d C t L W w / P g W P f G p o 5 z b 2 z q G P f G p p 4 K u r l t n 2 t u q Y J u 1 b w / p b d U Q b d q / n 5 T 6 K m g W z V / j 3 n 0 V N D N b d 9 j J j 0 V d H P b 3 k x u a N u b x g 1 t e 3 O 4 Y W y 2 6 b 1 Q B X 2 N J b j 7 + z e q I d t J q I b 2 3 x P + o B o y 8 A 8 e P N w Z 7 y n Y 6 M A d 4 9 7 + H c e 9 5 p 3 b K S B t P T w L j n F v b O r 4 9 s a m j m 1 v b O o p o J v b 9 n n m l g r o V s 3 7 k 3 l L B X S r 5 u 8 3 h Z 4 C u l X z 9 5 h H T w H d 3 P Y 9 Z t J T Q D e 3 7 c 3 k h r a 9 a d z Q t j e H G 8 Z m m + 5 3 F N B 7 L s H d v 3 E J z v U Q a p / b L c E 5 + I P a x 8 D f o / T 3 e O f e r b T P 7 d 9 x r G v e u Z 3 2 0 d b D U + C 4 9 s a m j m l v b O p 4 9 s a m n v a 5 u W 2 f Y Y Q M N 2 q f W z X v T + Y t t c + t m r / f F H r a 5 1 b N 3 2 M e P e 1 z c 9 v 3 m E l P + 9 z c t j e T G 9 r 2 p n F D 2 9 4 c b h i b b X r f 1 z 6 f f o 0 F u E 9 3 b t Q / t o 9 A / 3 y q k 3 p r + I P 6 x 8 C / f 3 C f Y i n Q d 5 B Z H O P a l x 4 c P H w 4 v v / g V h r I v r T 3 Y O / B + G B T T 4 6 J 3 U s 7 9 + + N d z f 1 5 F j 5 P V 5 y P G 1 e 2 i Q u j q v f o w t P U + l b t 9 J U p o d P a V o + 3 b + d u j L v b N / 8 U p 8 D b q m 0 b o 9 X f + p v q b n e Y x i 9 S b + V / n q f 2 e v P + f Y t X v O U 2 m 0 G 7 + m 1 9 8 D N 0 3 C 3 6 q Q / 5 7 c Z i k P t 0 1 D f v d e q 2 6 e 7 N 6 o 6 C z 5 U d a o o b g 1 / U N U Z + A f 7 D + 6 N H x 7 c S t P d / h 3 H 7 e a d 2 7 l a 2 n q Y b x 2 L 3 9 j U c f i N T R 1 b 3 9 j U U 2 A 3 t + 1 z y y 1 d r V s 1 7 0 / m L b X W r Z q / 3 x R 6 C u t W z d 9 j H j 1 V d X P b 9 5 h J T y v d 3 L Y 3 k x v a 9 q Z x Q 9 v e H G 4 Y m 2 3 6 o K N 6 3 j / T B D t y g w K y n Y Q K a P 8 9 4 Q 8 q I A P / Y O 9 g b 6 x Q o + N 2 f H v r V x z v m l d u p 3 6 0 9 f A c O L a 9 s a n j 2 h u b O q a 9 s a m n f m 5 u 2 + e Y W 6 q f W z X v T + U t 1 c + t m r / f F H r q 5 1 b N 3 2 M e P f V z c 9 v 3 m E l P / d z c t j e T G 9 r 2 p n F D 2 9 4 c b h i b b X r Q U T / v m W f 6 1 O a B B n W P 7 S H U P f f f E / 6 g 7 j H w 7 9 9 7 u H s w v q d w o 8 N 2 b P s e L z n m N S / d T v 9 o 6 + F J c H x 7 Y 1 P H t j c 2 d V x 7 Y 1 N P / 9 z c t s 8 y t 9 Q / t 2 r e n 8 5 b 6 p 9 b N X + / K f T 0 z 6 2 a v 8 c 8 e v r n 5 r b v M Z O e / r m 5 b W 8 m N 7 T t T e O G t r 0 5 3 D A 2 2 / S h r 3 8 e f I 1 M 0 4 O d G z W Q 7 S P Q Q H j x v e A P a i A D f 3 9 3 5 / 7 e w 5 2 9 e z v j B 7 d L N / l v 7 j 5 8 c L B D r t D t s t 7 m z d 2 d / U / v k w b b 9 J b j Z / v W H p D c 2 a T 2 H F e / x 0 u O v c 1 L m y T H M f h 7 d O E p L X 3 r V k r L 9 P B w b 3 / v Y A w O H e 6 h z z n b t 3 m t z x C 3 1 G H v g 1 u f A 2 6 p y t 5 r K L 3 J v 5 V K e 5 9 Z 7 M / 9 9 i 1 e 8 / T c b Y b v q b r 3 w M 1 T e r f q p D / v t x m K R e 3 e T q g C 3 y v 5 B D 2 z W f s 5 8 K H 2 U w V 1 a / h D 2 s / C P 9 j Z f b j z 8 N 7 + z r 3 x / f 3 b a L / 3 f t P y v n 1 z 0 7 x Y 1 j e t h 3 n Y s v v N T S 2 3 3 9 z U s v j N T Z 1 S u 0 X b P u d s V A F 9 T t j Y v D + x t 9 N i t 2 v + f l P o 1 N f t m r / H P D q 1 d Y u 2 7 z G T T k P d o m 1 v J j e 0 7 U 3 j h r a 9 O d w w N t t 0 N 1 R D p 6 K F 0 j e v b q c o 7 t 2 o i G w H o S J S z + X W 8 A c V k Y H / 8 M E O L c R 9 e v / T / f F D 1 X L R o T v W f d 8 3 H R e b N 2 + n i L T 1 8 G w 4 B r 6 x q e P f W N M B R X R j U 0 8 R 3 d y 2 z z u 3 V E S 3 a t 6 f 2 F s q o l s 1 f 7 8 p 9 B T R r Z q / x z x 6 i u j m t u 8 x k 5 4 i u r l t b y Z v p Y h u b t u b w 9 s o o r 1 Q E X 2 N j P i D / R u V k e 0 k V E b 7 7 w l / U B k Z + P c e k F t 4 7 9 6 9 M T 4 Z Z B j H v O / 3 n u N i 8 9 7 t F J G 2 v o 0 i u r G p 4 9 8 b m z r 2 v b G p p 4 h u b t v n n V s q o l s 1 7 0 / q L R X R r Z q / 3 x R 6 i u h W z d 9 j H j 1 F d H P b 9 5 h J T x H d 3 L Y 3 k x v a 9 q Z x Q 9 v e H G 4 Y m 2 1 6 r 6 O I 3 j M 3 / u D G 3 L j r I d R C t 8 u N O / i D W s j A 3 7 / 3 6 c O D g / u 7 4 / 3 b a a H 3 e 8 + x s H n v d l p I W w 9 P h e P e G 5 s 6 5 r 2 x q e P d G 5 t 6 W u j m t n 3 G u a U W u l X z / q T e U g v d q v n 7 T a G n h W 7 V / D 3 m 0 d N C N 7 d 9 j 5 n 0 t N D N b X s z u a F t b x o 3 t O 3 N 4 Y a x 2 a b 7 v h Y 6 + B o Z 8 o O d G / W Q 7 S P Q Q w c 6 q b e G P 6 i H D P z d / f 0 H 9 8 f 7 t 1 q j c y / d I x 0 0 3 r v V G p 1 9 6 Y D c p 8 0 J O M f D 9 p 3 d / d 3 x w a 2 S 4 u / x j m N o 8 8 4 m W X E s f f s e P C 2 l L 9 1 K S 5 k O 9 g 8 e j D e p d 0 9 T m V e 2 b 3 y n P / e 3 V F e 3 x q o / 5 7 d U W b c f R G + 6 b 6 W 3 3 m P i + r O 9 f f N b n i q 7 z c g 9 b X Z 7 z D y 1 d q s + + t N 9 i 4 E 4 x O 6 H O u 6 9 U u A H u z e q N w s + V G + 7 7 w l / U L 0 Z + L v 3 d n b v b R 6 z Y / T 3 e M m x u n n p d g 6 W t h 7 m W s f g N z Z 1 / H 1 j U 8 f V N z b 1 V N f N b f v 8 c k s H 6 1 b N + 9 N 5 S 4 1 1 q + b v N 4 W e t r p V 8 / e Y R 0 9 R 3 d z 2 P W b S 0 0 o 3 t + 3 N 5 I a 2 v W n c 0 L Y 3 h x v G Z p t + 2 l E + 7 5 9 v O t i / U Q X Z T k I V t P + e 8 A d V k I H / c O / + p + O D W y m g W 7 / i e N e 8 c j v 1 o 6 2 H 5 8 C x 7 Y 1 N H d f e 2 N Q x 7 Y 1 N P f V z c 9 s + x 9 x S / d y q e X 8 q b 6 l + b t X 8 / a b Q U z + 3 a v 4 e 8 + i p n 5 v b v s d M e u r n 5 r a 9 m d z Q t j e N G 9 r 2 5 n D D 2 G z T B x 3 1 8 5 5 Z J j g O N + g e 2 0 O o e 9 T j u D X 8 Q d 1 j 4 O 8 + 3 D + 4 p e 6 5 9 S u O c c 0 r t 9 M 9 2 n p 4 A h z P 3 t j U s e y N T R 3 H 3 t j U 0 z 0 3 t + 2 z y y 1 1 z 6 2 a 9 6 f y l r r n V s 3 f b w o 9 3 X O r 5 u 8 x j 5 7 u u b n t e 8 y k p 3 t u b t u b y Q 1 t e 9 O 4 o W 1 v D j e M z T Y 9 8 H X P w 6 + R W 3 q 4 c 6 P 2 s X 0 E 2 u e h T u q t 4 Q 9 q H w P / / v 3 d B 3 v 3 x v s a 1 U V H 7 j j X v L X / 4 A F S U l D Y g 2 8 5 B j Z v 7 e 7 u f 7 p z M L 6 / 6 S 3 H x 7 a v n X u f 7 o z v b 0 L Q c f N 7 v O T Y 2 r y 0 s 6 G 1 Y + z 3 6 M J T V v r W r Z S V 6 e H B / h 7 p + Y 3 p O E 9 n m b e 2 b / N a n x F u q b v e B 7 c + B 9 x S h b 3 X U H q T f y t V 9 j 6 z 2 J / 7 7 V u 8 5 u m 3 2 w z f U 3 H v g Z u n 7 G 7 V S X / e b z M U h 9 r D U P W 9 V 8 r p 4 c 0 p J w s + 1 H q K 2 6 3 h D 2 o 9 A 3 9 3 5 / 6 n + 5 / e H 9 + / d y u 1 9 1 6 v O a 4 3 r 2 2 a E c f 0 2 n q Y e x 2 j 3 9 j U 8 f m N T R 1 z 3 9 j U U 2 c 3 t + 3 z z E b h 7 / P A x u b 9 K b 2 l / r p V 8 / e b Q k 9 x 3 a r 5 e 8 y j p 7 B u b v s e M + n p p p v b 9 m Z y Q 9 v e N G 5 o 2 5 v D D W M z T f d 3 Q g V 0 K v o n f f P q d i r i 3 k 0 q y H U Q q i C V + F v D H 1 J B F v 7 B w e 7 e 7 q f j + 5 t s m 2 X b 9 3 r L c q 9 9 6 1 Y K y L Q e n g X L u D c 3 t X x 7 c 1 P L t j c 3 d Q r o F m 3 7 P H M 7 B X S 7 5 v 0 J v Z 0 C u l 3 z 9 5 t C p 4 B u 1 / w 9 5 t E p o F u 0 f Y + Z d A r o F m 1 7 M 7 m h b W 8 a N 7 T t z e G G s d m m u 6 E C + h p 5 7 4 f 7 N y o h 2 0 m o h P b f E / 6 g E j L w D + 5 R 7 P f p w a 1 U 0 O 3 f c d x r 3 r m d A t L W w 7 P g G P f G p o 5 v b 2 z q 2 P b G p p 4 C u r l t n 2 d u q Y B u 1 b w / m b d U Q L d q / n 5 T 6 C m g W z V / j 3 n 0 F N D N b d 9 j J j 0 F d H P b 3 k x u a N u b x g 1 t e 3 O 4 Y W y 2 6 V 5 H A b 1 n 5 v v h j Z l v 1 0 O o f W 6 X + X b w B 7 W P g b + 3 9 2 B n D O d v k F M c 1 9 7 + H c e 6 5 p 3 b a R 9 t P T w F j m t v b O q Y 9 s a m j m d v b O p p n 5 v b 9 h n m l t r n V s 3 7 k 3 l L 7 X O r 5 u 8 3 h Z 7 2 u V X z 9 5 h H T / v c 3 P Y 9 Z t L T P j e 3 7 c 3 k h r a 9 a d z Q t j e H G 8 Z m m 9 7 z t M / e z v v n v v d 2 d m 7 U P 7 Y P X / / w i + 8 F f 1 D / G P i 7 + / s H D + 9 9 O v 7 0 d i r I v n Z v 9 9 7 + p w f j T z + 9 l R Z y v d 1 7 + H D 3 / n j v V t r I d b a z v 7 / / Y A y u H X z N c f R 7 v e a Y 2 7 y 2 S W 4 c e 7 9 X J 5 7 S 0 v d u p b R c H / d B 6 5 1 N G T d P e Z n X t m / 1 X p 8 l b q n F 3 g u 7 P i v c U p u 9 3 2 B 6 T H A r t f Z + c 9 n n g e 1 b v e j p u 9 v Q w F N 5 7 4 W f p / 5 u 1 U 1 / / m 8 3 H I f e f q g O 3 y c f v r e z e 6 M m t O B D T b j 7 n v A H N a G B v 3 v / w d 7 O w c 4 Y d B g c t W P / 9 3 r N s b 9 5 7 X b + m L Y e 5 m L H 8 D c 2 d f x + Y 1 P H 4 j c 2 9 V T b z W 3 7 P H N L f + x W z f t T e k t N d q v m 7 z e F n g a 7 V f P 3 m E d P c d 3 c 9 j 1 m 0 t N P N 7 f t z e S G t r 1 p 3 N C 2 N 4 c b x m a b 3 g 8 V 0 P v l w / d g U W 5 Q Q b a D U A W p x N 8 a / q A K M v D 3 H 9 x 7 M D Y r f d F B O 6 a 9 / T u O c 8 0 7 m 1 j R M a 6 2 v o 3 y u b G p 4 9 k b m z q W v b G p p 3 x u b t v n l 1 s q n 1 s 1 7 0 / m L Z X P r Z q / 3 x R 6 y u d W z d 9 j H j 3 l c 3 P b 9 5 h J T / n c 3 L Y 3 k 7 d S P j e 3 7 c 3 h b Z T P p 6 H y e f 9 c + N 7 O / o 0 K y H Y S K q D 9 9 4 Q / q I A M / I d 7 D x 6 M 9 x X s D Q r o 9 u 8 4 7 j X v 3 E 4 B a e v h W X C M e 2 N T x 7 c 3 N n V s e 2 N T T w H d 3 L b P M 7 d U Q L d q 3 p / M W y q g W z V / v y n 0 F N C t m r / H P H o K 6 O a 2 7 z G T n g K 6 u W 1 v J j e 0 7 U 3 j h r a 9 O d w w N t v 0 Q U c B v V 8 u f G / n / o 3 a x / Y Q a p / 7 7 w l / U P s Y + L u f 7 h x 8 O n 5 4 O / X z H i 8 5 5 j U v 3 U 7 / a O v h S X B 8 e 2 N T x 7 Y 3 N n V c e 2 N T T / / c 3 L b P M r f U P 7 d q 3 p / O W + q f W z V / v y n 0 9 M + t m r / H P H r 6 5 + a 2 7 z G T n v 6 5 u W 1 v J j e 0 7 U 3 j h r a 9 O d w w N t v 0 w N c / u 1 8 j G w 4 m v k E D 2 T 4 C D b S r k 3 p r + I M a y M D f O z j Y v z e + f 3 A r D e S 9 t L M 3 f r A p p + 3 Y 1 7 6 0 9 / A h Z d g 2 9 e S Y 2 H v p / q f j e 5 t 6 c q z 8 H i 8 5 n j Y v b R I X x 9 X v 0 Y W n q f S t W 2 k q 0 8 P + z v j g 0 9 t p K / P K 9 o 3 v 9 O f / l i r r 1 l j 1 5 / 2 W a u v 2 g + h N + K 1 0 1 / v M X H + + t 2 / x m q f Q b j N 2 T 6 e 9 B 2 6 e d r t V J / 0 Z v 8 1 Q H G o P Q 1 3 3 X q l u c P U N a s 6 C D 9 X c 7 V L d D v 6 g m j P w P z 3 Y I 7 a 6 l Z K 7 9 S u O 1 c 0 r m 2 b C c b q 2 H u Z a x + A 3 N n X 8 f W N T x 9 Q 3 N v V U 1 8 1 t + 7 y y U e L 7 c 7 + x e X 8 q b 6 m x b t X 8 / a b Q 0 1 a 3 a v 4 e 8 + g p q p v b v s d M e j r p 5 r a 9 m d z Q t j e N G 9 r 2 5 n D D 2 E z T + z s d x f P + W S Y w w 2 b 1 4 z o J 1 c / + e 8 I f U j 8 W / s M 9 0 r i 3 U j + 3 f 8 X y r n 3 l V u r H t B 6 e A 8 u 2 N z e 1 X H t z U 8 u 0 N z d 1 6 u c W b f s c c z v 1 c 7 v m / a m 8 n f q 5 X f P 3 m 0 K n f m 7 X / D 3 m 0 a m f W 7 R 9 j 5 l 0 6 u c W b X s z u a F t b x o 3 t O 3 N 4 Y a x 2 a a 7 H f X z n j k m T O 0 N u s f 2 E O q e 2 + W Y H P x B 3 W P g 7 9 3 f p 3 T R p 6 r T o s N 2 b P s e L z n m N S / d T v 9 o 6 + F J c H x 7 Y 1 P H t j c 2 d V x 7 Y 1 N P / 9 z c t s 8 y t 9 Q / t 2 r e n 8 5 b 6 p 9 b N X + / K f T 0 z 6 2 a v 8 c 8 e v r n 5 r b v M Z O e / r m 5 b W 8 m N 7 T t T e O G t r 0 5 3 D A 2 2 3 T P 1 z 9 7 X y P H h K H f o I F s H 4 E G 2 t N J v T X 8 Q Q 1 k 4 O / u f H p w c G 9 8 8 O B W K s h 7 6 / 7 e 3 n j v d j r I v b W 7 c 4 9 W 5 z b 1 5 f i Y 3 + K 3 d j 5 9 c H 9 8 s K k v x 8 7 v 8 5 Z j b P P W J p l x r P 0 + f X j 6 S l + 7 l b 4 y X d z 7 d H f 8 6 b 3 b K S 3 z z v b N L / X 5 4 J a q 6 / Z 4 9 a f / l v r r P Y b R m / Z b a b H 3 m r 7 + r G / f 5 j 1 P u d 1 m + J 5 + e x / s P F V 3 q 1 7 6 0 3 6 r w T j k 7 o W a 7 7 0 y T h j j D U r P g g + V 3 u 5 7 w h 9 U e g b + j e k j x / C 3 f s X x u 3 n l d i 6 X t h 7 m X M f k N z Z 1 P H 5 j U 8 f X N z b 1 V N j N b f u 8 c k u X 6 1 b N + 1 N 5 S 7 1 1 q + b v N 4 W e y r p V 8 / e Y R 0 9 Z 3 d z 2 P W b S 0 0 o 3 t + 3 N 5 I a 2 v W n c 0 L Y 3 h x v G Z p v u d x T P + 2 e c 4 K v c o H 5 s J 6 H 6 2 X 9 P + I P q x 8 C / M X 3 k + P b W r z j e N a / c T v 1 o 6 + E 5 c G x 7 Y 1 P H t T c 2 d U x 7 Y 1 N P / d z c t s 8 x t 1 Q / t 2 r e n 8 p b q p 9 b N X + / K f T U z 6 2 a v 8 c 8 e u r n 5 r b v M Z O e + r m 5 b W 8 m N 7 T t T e O G t r 0 5 3 D A 2 2 / R + R / 2 8 Z 8 Z p 7 + a M k + 0 h 1 D 2 3 y z g 5 + I O 6 x 8 C n C O z h / v 3 x w 9 u p n / d 5 y 7 G v e e t 2 G k h b D 0 + D 4 9 w b m z r G v b G p 4 9 s b m 3 o a 6 O a 2 f a a 5 p Q a 6 V f P + h N 5 S A 9 2 q + f t N o a e B b t X 8 P e b R 0 0 A 3 t 3 2 P m f Q 0 0 M 1 t e z O 5 o W 1 v G j e 0 7 c 3 h h r H Z p p / 6 G u j e 1 8 g 5 3 d u 5 U Q f Z P g I d d E 8 n 9 d b w B 3 W Q g b / 7 Y H f n / s H B w 4 M x p G W Q Y R z z 2 h c / f b C 3 T 1 m k 3 T G I O P i i Y 2 P z 4 r 2 D + + R A 7 Y / v b + r P s b N 9 b f / T B w 8 2 5 y A c U 7 / H S 4 6 7 z U u b B M f x 9 3 t 0 4 e k s f e t W O s s R b P f B A a 0 y H G z S + J 7 y M u 9 t 3 + 7 F P k / c U o 2 9 H 3 5 9 R r i l P n v P 4 f S Y 4 F a a 7 X 1 m s 8 8 D 2 7 d 4 z V N 3 t y G A p / H e A z d P 9 9 2 q k / 7 c 3 2 Y o D r U H o S Z 8 r x z U v Z t z U B Z 8 q A R v l 4 N y 8 A e V o I G / t 3 e w c 5 9 0 0 t 4 Y j u j g u B 3 r v + e L j v f N i 7 d z x 7 T 1 M A c 7 Z r + x q e P 1 G 5 s 6 B r + x q a f a b m 7 b 5 5 t b u m O 3 a t 6 f 1 l v q s V s 1 f 7 8 p 9 N T X r Z q / x z x 6 S u v m t u 8 x k 5 5 + u r l t b y Y 3 t O 1 N 4 4 a 2 v T n c M D b b 9 C B U Q q e i g 9 I 3 r 2 6 n J u 7 d q I Z s B 6 E a U h V 5 a / i D a s j A v 3 d v f 3 8 H z 6 1 0 0 P u 8 5 b j X v H U 7 B a S t h 2 f B M e 6 N T R 3 f 3 t j U s e 2 N T T 0 F d H P b P s / c U g H d q n l / Q m + p g G 7 V / P 2 m 0 F N A t 2 r + H v P o K a C b 2 7 7 H T H o K 6 O a 2 v Z n c 0 L Y 3 j R v a 9 u Z w w 9 h s 0 4 e h A v o a C f F 7 + z c q I d t J q I T 2 3 x P + o B I y 8 A 8 e f P p w / G m M V 3 o a 6 N a v O N 4 1 r 9 x O / W j r 2 6 i f G 5 s 6 r r 2 x q W P a G 5 t 6 6 u f m t n 2 O u a X 6 u V X z / l T e U v 3 c q v n 7 T a G n f m 7 V / D 3 m 0 V M / N 7 d 9 j 5 n 0 1 M / N b X s z e S v 1 c 3 P b 3 h z e Q v 1 8 u t N R P + + Z E L 9 n E 9 Z D u s f 1 E O q e + + 8 J f 0 j 3 W P j 3 7 u / u 7 N 8 y H / 4 + L 1 n m t S / d S v + Y 1 s O T Y P n 2 5 q a W b W 9 u a r n 2 5 q Z O / 9 y i b Z 9 l b q d / b t e 8 P 5 2 3 0 z + 3 a / 5 + U + j 0 z + 2 a v 8 c 8 O v 1 z i 7 b v M Z N O / 9 y i b W 8 m N 7 T t T e O G t r 0 5 3 D A 2 2 3 T X 1 z / 7 X y M d v r 9 z o w a y f Q Q a C C + + F / x B D W T g 7 + / u P n i 4 v / P g l t n w 8 L 1 P 7 + 3 c V g + Z 9 3 b G O / u 3 U k X m h b 2 9 e + O H m 3 B z r H z r V x x H W 7 Q 2 t H Y 8 f e s O P C 2 l 7 9 x K S x n 4 2 + j g 4 M H t d J W P 1 O Z 3 + r N / i 4 7 6 U 3 9 L t X V 7 v P q T f k v d d T N t + z N 9 8 9 z 1 5 3 v 7 x p c 8 Z X a b M X j 6 7 N Z 4 e X r t V l 0 M z P b m s d t 3 9 k I d 9 1 6 J 7 v 3 d G 9 W b B R + q N 8 X t 1 v A H 1 Z u B T y / s P / j 0 0 / 0 H 4 w e b E v y O y d / z R c f u 5 s V N c + I Y X V s P c 6 5 j 8 h u b O h 6 / s a l j 7 R u b e i r s 5 r Z 9 v t k o w X 0 + 2 N i 8 P 6 0 b m / c n 8 5 Y a 6 1 b N e 3 N 4 W 2 V 1 M x X f Y y I 9 J X V j W 0 8 3 3 d y 2 N 5 M b 2 v a m c U P b 3 h x u G J t t e i 9 U Q u + Z 6 N 6 / M d H t O g j V 0 O 0 S 3 Q 7 + o B o y 8 A 8 e P N g 9 u L d P 3 t I m Q + g Y 9 / 3 e c x x s 3 r u d E t L W w z P h m P f G p o 5 3 b 2 z q W P f G p p 4 S u r l t n 2 9 u q Y R u 1 b w / q b d U Q r d q / n 5 T 6 C m h W z V / j 3 n 0 l N D N b d 9 j J j 0 l d H P b 3 k x u a N u b x g 1 t e 3 O 4 Y W y 2 6 X 6 o h N 4 3 2 7 R / c 7 b J 9 h B q o d t l m x z 8 Q S 1 k 4 O / u j M E 5 g 3 z i e P a 2 b z i 2 N W / c T v N o 6 2 H y O 4 6 9 s a l j 2 B u b O n 6 9 s a m n e W 5 u 2 2 e W W 2 q e W z X v T + Q t N c + t m r / f F H q a 5 1 b N 3 2 M e P c 1 z c 9 v 3 m E l P 8 9 z c t j e T G 9 r 2 p n F D 2 9 4 c b h i b b X r f 1 z y f f o 0 8 E 5 J a N + g e 2 0 e g e z 7 V S b 0 1 / E H d Y + D v 3 r t / s L / z c G + M q R v k F 8 e 7 v f d 2 b u c B m f c O 9 s Z 7 B 7 f S R d 4 b G 3 W d Y + X b v u E Y 2 r y x S V Y c S 9 8 W v q e j 9 J V b 6 S i L z B i a a B h 6 n 0 m 2 b 3 q l P + + 3 V F W 3 x a k / 0 b f U V r c e Q m + a b 6 W x b j 1 l / V n e v u k d T 4 H d Z t C e D r s t V p 4 q u 1 U P / W m + c R A O q U 9 D r f Z e m S W k s m 5 Q a B Z 8 q N B u l 1 l y 8 K H Q P P h u x A b + 3 o P d T w 9 2 d 0 j N b G I n x + H v 9 5 7 j c / P e 7 R w r b T 3 M s 4 6 9 b 2 z q u P v G p o 6 r b 2 z q K a 2 b 2 / a 5 5 p a O 1 a 2 a 9 y f 1 l t r q V s 3 f b w o 9 V X W r 5 u 8 x j 5 6 a u r n t e 8 y k p 5 d u b t u b y Q 1 t e 9 O 4 o W 1 v D j e M z T Z 9 E K q g 9 8 w r I X i 8 Q Q n Z D k I l d O 8 9 4 Q 8 q I Q N / d / / g 3 s 7 9 e w f j 2 6 W V 3 u s 1 x 7 / m t d u p I G 0 9 P A + O d W 9 s 6 j j 3 x q a O c W 9 s 6 q m g m 9 v 2 u e a W K u h W z f t T e k s V d K v m 7 z e F n g q 6 V f P 3 m E d P B d 3 c 9 j 1 m 0 l N B N 7 f t z e S G t r 1 p 3 N C 2 N 4 c b x m a b H v g q 6 M H X i O 0 e 7 N y o h W w f g R Z 6 o J N 6 a / i D W s j A 3 z u 4 9 + m 9 + 7 v 3 7 t 0 2 v e 2 9 e P 9 g h z o c 3 7 u d J j I v f r q / d 3 C w s 7 P 5 N c f O 9 r V 7 D + 4 9 e E B q b 9 N r j q 3 f 6 z X H 4 e a 1 T c L j e P y 9 O v E 0 l 7 5 3 K 8 1 l + r h / f 2 d v d / z p 7 f S X e W n 7 F m / 1 e e K W a u w 9 M O t z w S 2 V 2 f s M p D f 5 t 9 J p 7 z e H / b n f v t W L n r K 7 D Q U 8 f f d e + H m 6 7 1 b d 9 O f + d s N x 6 D 0 M d e F 7 R Y Q P b o 4 I L f h Q D d 4 u I n T w B 9 W g g U 9 p q v s P d u / f u z + + d 7 s c 1 3 u + 6 A T A v L h p X h z / a + t h T n Z M f 2 N T x / M 3 N n V s f m N T T 6 3 d 3 L b P N x v 1 Q J 8 P N j b v T + s t N d m t m r / f F H o 6 7 F b N 3 2 M e P e V 1 c 9 v 3 m E l P R 9 3 c t j e T G 9 r 2 p n F D 2 9 4 c b h i b a Q p 3 x 1 d C 7 x k T P r g x J n Q d h G r o d j G h g z + k h i z 8 + / Q r P 7 f R Q e / 1 l u V e + 9 a t F J B p P T w L l n F v b m r 5 9 u a m l m 1 v b u o U 0 C 3 a 9 n n m d g r o d s 3 7 E 3 o 7 B X S 7 5 u 8 3 h U 4 B 3 a 7 5 e 8 y j U 0 C 3 a P s e M + k U 0 C 3 a 9 m Z y Q 9 v e N G 5 o 2 5 v D D W O z T X d D B X T 2 k 8 f p 7 5 O e f P n F 2 e u z L 1 / c T k n s 3 6 i E b C e h E t p / T / i D S s j A f / h g X 2 F G R + 2 4 9 p Y v O L 4 1 L 9 x O 9 W j r Y f o 7 l r 2 x q e P Y G 5 s 6 h r 2 x q a d 6 b m 7 b 5 5 Z b q p 5 b N e 9 P 4 y 1 V z 6 2 a v 9 8 U e q r n V s 3 f Y x 4 9 1 X N z 2 / e Y S U / 1 3 N y 2 N 5 M b 2 v a m c U P b 3 h x u G J t t u t d R P S / e p J 8 f v z h + e t s Y 7 P 6 N e s f 2 E O q d + + 8 J f 1 D v G P i f 7 t / b p 8 z 2 e P / T W 2 m f 9 3 r N M b B 5 7 X Y 6 S F s P T 4 T j 3 R u b O t a 9 s a n j 3 B u b e j r o 5 r Z 9 t r m l D r p V 8 / 6 U 3 l I H 3 a r 5 + 0 2 h p 4 N u 1 f w 9 5 t H T Q T e 3 f Y + Z 9 H T Q z W 1 7 M 7 m h b W 8 a N 7 T t z e G G s d m m 9 3 w d t P M 1 E u I H O z d q I d t H o I U O d F J 7 8 I f g D 2 o h A / + A X n h 4 7 9 O d 8 c 6 t 8 u H B e 5 Q S 3 x + b 5 F T 0 P c f E 5 r 3 d / f 2 d 8 a 4 q 0 + g 7 j p P N O 6 T x x g 8 e b n j F c f O t X 3 F M b V 7 Z J C + O r W / d g a e o 9 J 1 b K S p L p 5 0 d y r F 9 e j t 1 Z V 7 a v s V b f R a 4 p d Z 6 D 8 z 6 0 3 5 L 3 f U + A + l N + q 1 U 2 O 3 n r z / n 2 z e + 5 O m 0 2 4 z c U 2 u 3 x s t T b 7 f q o j / f N w / D o b X v q 7 q D 9 8 t 3 H + z e q O U s + F D L q U q 5 N f x B L W f g 7 3 6 6 T 2 t + D 0 G 7 w U E 7 T n + f t x y r m 7 d u 5 2 l p 6 2 G e d e x 9 Y 1 P H 3 T c 2 d U x 9 Y 1 N P g d 3 c t s 8 x t / S 0 b t W 8 P 6 G 3 1 F m 3 a v 5 + U + h p q 1 s 1 f 4 9 5 9 N T U z W 3 f Y y Y 9 r X R z 2 9 5 M b m j b m 8 Y N b X t z u G F s t u n 9 U P 2 8 Z 6 b 7 4 N 6 N C s h 2 E C q g e + 8 J f 1 A B G f h Q J e S W 7 d z b b N Q c 5 7 7 n i 4 6 H z Y u 3 U 0 P a e n g u H P v e 2 N R x 7 4 1 N H f P e 2 N R T Q z e 3 7 X P O L d X Q r Z r 3 p / W W a u h W z d 9 v C j 0 1 d K v m 7 z G P n h q 6 u e 1 7 z K S n h m 5 u 2 5 v J D W 1 7 0 7 i h b W 8 O N 4 z N N v 0 0 V E N f I 9 9 9 s H + j K r K d h K p o / z 3 h D 6 o i A / / T e w / 2 x w c H t 9 J C t 3 / H c a 9 5 5 3 Y K S F s P z 4 J j 3 B u b O r 6 9 s a l j 2 x u b e g r o 5 r Z 9 n r m l A r p V 8 / 5 k 3 l I B 3 a r 5 + 0 2 h p 4 B u 1 f w 9 5 t F T Q D e 3 f Y + Z 9 B T Q z W 1 7 M 7 m h b W 8 a N 7 T t z e G G s d m m D z o K 6 D 2 z 3 g f 3 b 9 Q + t o d Q + 2 i i 5 t b w B 7 W P g b / 7 c O / B + J 6 C j Y 7 a c e 3 t 3 3 G s a 9 6 5 n f b R 1 s N T 4 L j 2 x q a O a W 9 s 6 n j 2 x q a e 9 r m 5 b Z 9 h b q l 9 b t W 8 P 5 m 3 1 D 6 3 a v 5 + U + h p n 1 s 1 f 4 9 5 9 L T P z W 3 f Y y Y 9 7 X N z 2 9 5 M b m j b m 8 Y N b X t z u G F s t u m B r 3 0 e f o 1 8 9 8 O d G / W P 7 S P Q P w 9 1 U m 8 N f 1 D / G P i 7 9 + 8 d f D q + f z s F Z F / a P 3 j 4 8 L Y a y L z 0 8 P 7 t M 9 3 2 n Z 3 7 e + O H m 9 5 x j H z 7 d x x D m 3 c 2 y Y p j 6 d v 3 4 G k p f e l W W s p 0 s H / w Y L w p y e Z p K v P K 9 o 3 v 9 O f + l u r q 1 l j 1 5 / y W K u v 2 g + h N 9 6 3 0 1 n t M X H + 2 t 2 9 + y 1 N l t x m 5 p 8 1 u j 5 m n 1 m 7 V R 3 + 6 b z E Q h 9 j D U M e 9 V 6 L 7 4 c 2 J b g s + V G + 3 S 3 Q 7 + I P q z c C / f 7 D / 6 X j / V s r t 1 q 8 4 N j e v b J o I x + X a e p h j H X P f 2 N T x 9 o 1 N H U f f 2 N R T W z e 3 7 f P K R m n v z / 3 G 5 v 2 p v K W 2 u l X z 9 5 t C T 1 P d q v l 7 z K O n p G 5 u + x 4 z 6 W m k m 9 v 2 Z n J D 2 9 4 0 b m j b m 8 M N Y z N N s V Q f K J 7 3 z y 0 9 3 H 9 8 d 7 P 6 c Z 2 E 6 k e l / t b w h 9 S P h f 9 w 7 / 6 n 4 4 P b q J / b v 2 J 5 1 7 5 y K / V j W g / P g W X b m 5 t a r r 2 5 q W X a m 5 s 6 9 X O L t n 2 O u Z 3 6 u V 3 z / l T e T v 3 c r v n 7 T a F T P 7 d r / h 7 z 6 N T P L d q + x 0 w 6 9 X O L t r 2 Z 3 N C 2 N 4 0 b 2 v b m c M P Y b N P d j v p 5 z 8 w S v K s b d I / t I d Q 9 t 8 s s O f i D u s f A 3 9 2 5 v 7 t / y 8 j u f V 5 y z G t e u p 3 + 0 d b D k + D 4 9 s a m j m 1 v b O q 4 9 s a m n v 6 5 u W 2 f Z W 6 p f 2 7 V v D + d t 9 Q / t 2 r + f l P o 6 Z 9 b N X + P e f T 0 z 8 1 t 3 2 M m P f 1 z c 9 v e T G 5 o 2 5 v G D W 1 7 c 7 h h b L b p n q d / 7 u 2 8 f 2 7 p 3 s 7 O j R r I 9 u F r I H 7 x v e A P a i A D / / 6 n t F J / M L 6 / f y s V Z N 5 6 e L C z t 7 M z v v / p r X S Q f W t n v L e p H 8 f D 5 o 3 9 3 Q f 7 B 3 v j v U 3 9 O F Z + n 7 c c U 5 u 3 N s m L Y + v 3 6 c P T V f r a r X S V 6 W K b + r j 3 c G + 8 c 7 s 0 k 4 / a z a / 1 O e F 2 3 f V 5 4 Z Z a 7 L 2 w 6 3 P C L b X Z z X T u T / y t p r L P A d u 3 e c 9 T c r c Z i a f n 3 g c 7 T + X d q p f 4 5 N / Y j U P u X q g B 3 y f z d G 9 n 9 0 b l Z 8 G H y m / 3 P e E P K j 8 D f + 9 g / / 6 D T 8 f 3 H t x K + b 3 P W 4 7 v z V u 3 c 8 C 0 9 T D / O l a / s a n j 9 B u b O u 6 + s a m n 1 G 5 u 2 + e Y W z p g t 2 r e n 9 B b O m C 3 a v 5 + U + i p r F s 1 f 4 9 5 9 F T W z W 3 f Y y Y 9 3 X R z 2 9 5 M b m j b m 8 Y N b X t z u G F s t u l + q H 5 O R f u k b 1 7 d T k H c u 1 E B 2 Q 5 C B X T v P e E P K i A D f 3 f 3 4 c M H n 9 4 f 7 + z f S g O 9 1 2 u O f 8 1 r t 1 N B 2 n p 4 H h z r 3 t j U c e 6 N T R 3 j 3 t j U U 0 E 3 t + 1 z z S 1 V 0 K 2 a 9 6 f 0 l i r o V s 3 f b w o 9 F X S r 5 u 8 x j 5 4 K u r n t e 8 y k p 4 J u b t u b y Q 1 t e 9 O 4 o W 1 v D j e M z T a 9 H 6 q g 9 0 + B 3 4 P w 3 q C G b C e h G t p / T / i D a s j A f 7 C / e z B + e C s V d O t X H O + a V 2 6 n f r T 1 8 B w 4 t r 2 x q e P a G 5 s 6 p r 2 x q a d + b m 7 b 5 5 h b q p 9 b N e 9 P 5 S 3 V z 6 2 a v 9 8 U e u r n V s 3 f Y x 4 9 9 X N z 2 / e Y S U / 9 3 N y 2 N 5 M b 2 v a m c U P b 3 h x u G J t t + m l H / b x f C v z e z v 0 b d Y / t I d Q 9 9 9 8 T / q D u M f D 3 9 3 b 2 K T F 0 / 3 Y x 2 P u 8 5 d j X v H U 7 D a S t h 6 f B c e 6 N T R 3 j 3 t j U 8 e 2 N T T 0 N d H P b P t P c U g P d q n l / Q m + p g W 7 V / P 2 m 0 N N A t 2 r + H v P o a a C b 2 7 7 H T H o a 6 O a 2 v Z n c 0 L Y 3 j R v a 9 u Z w w 9 h s 0 w e + B t r 9 G k n w 3 Z 0 b d Z D t I 9 B B u z q p N + i g X Q t / U A c Z + P c P d u + P 9 2 + l g M w r n + 4 9 / H S 8 c 3 A r 9 W P e u Z 3 6 M a 3 3 D 3 b G n 2 7 q w L H v r V 9 x X H w b n B w f 3 7 o D T z P p O 7 f S T A b + 9 s 0 d 9 L n j 5 n f 6 M 3 6 L j v p z f k t V d X u 8 + p N + S 3 1 1 M 2 3 7 M 3 0 z O v 3 5 v p l M n g K 7 z R g 8 H X Z r v D x d d q s u v t Z s 2 3 c O Q r 3 2 X q l t c P Q N K s 2 C D 1 X a 7 V L b D v 6 g S j P w P 9 3 9 9 O H 4 4 a Z F F s f f t 3 / H M b l 5 5 3 Y 6 T V s P 8 6 t j 7 R u b O s 6 + s a l j 6 B u b e o r r 5 r Z 9 b t k o t / 3 Z 3 9 i 8 P 5 k b m / f n 8 Z Z 6 6 l b N e 3 N 4 W x V 1 M x X f Y y I 9 1 X R j W 0 8 j 3 d y 2 N 5 M b 2 v a m c U P b 3 h x u G J t t + j B U P e + Z 1 g b f 3 K B 8 b A e h 8 r l d W t v B H 1 Q + B v 6 D v U 9 v 6 U 7 d 9 g 3 H t e a N 2 y k e b T 1 M f c e w N z Z 1 / H p j U 8 e u N z b 1 F M / N b f u 8 c k v F c 6 v m / Y m 8 p e K 5 V f P 3 m 0 J P 8 d y q + X v M o 6 d 4 b m 7 7 H j P p K Z 6 b 2 / Z m c k P b 3 j R u a N u b w w 1 j M 0 0 f 7 o S K 5 2 s k s 8 E M m 5 W P 6 y R U P i r 1 t 4 Y / p H w s / N 2 d h y Z D H h 2 2 Z d t b v 2 E 5 1 7 5 x K + V j W g / P g G X a m 5 t a n r 2 5 q W X Z m 5 s 6 5 X O L t n 1 + u Z 3 y u V 3 z / k T e T v n c r v n 7 T a F T P r d r / h 7 z 6 J T P L d q + x 0 w 6 5 X O L t r 2 Z 3 N C 2 N 4 0 b 2 v b m c M P Y b N P d j v J 5 z 1 Q 2 p v Y G z W N 7 C D X P 7 V L Z D v 6 g 5 j H w 9 x 9 S m H m r k O v 2 r z j G N a / c T v d o 6 + E J c D x 7 Y 1 P H s j c 2 d R x 7 Y 1 N P 9 9 z c t s 8 u t 9 Q 9 t 2 r e n 8 p b 6 p 5 b N X + / K f R 0 z 6 2 a v 8 c 8 e r r n 5 r b v M Z O e 7 r m 5 b W 8 m N 7 T t T e O G t r 0 5 3 D A 2 2 3 T P 1 z 1 7 X y O J j a H f o H 1 s H 4 H 2 2 d N J v T X 8 Q e 1 j 4 O / u 7 O 4 / u K X 6 c e / s P a T M 9 8 G t F J B 5 6 X Y K y H a x f z D e 2 9 S B Y + B b v + L 4 + D Y 4 O U 6 + d Q e e b t J 3 b q W b D P z t m z v o 8 8 f N 7 / T n / B Y d 9 S f 9 l s r q 9 n j 1 J / 2 W G u t m 2 v Z n + m Z 0 + v N 9 M 5 k 8 F X a b M X h a 7 N Z 4 e d r s V l 1 8 r d m 2 7 9 w L N d t 7 p b E x u h u U m g U f K r X d 9 4 Q / q N Q M / L 3 d 3 f 3 d s Y K 9 Q a n d / h 3 H 5 O a d 2 + k 0 b T 3 M r 4 6 1 b 2 z q O P v G p o 6 h b 2 z q K a 6 b 2 / a 5 Z a P c 9 m d / Y / P + Z G 5 s 3 p / H W + q p W z X v z e F t V d T N V H y P i f R U 0 4 1 t P Y 1 0 c 9 v e T G 5 o 2 5 v G D W 1 7 c 7 h h b L b p f q h 6 B t P Y A 8 r h 3 o 3 K x 3 Y Q K p 9 7 t 1 M + F v 6 g 8 j H w 9 / b 3 P 9 3 E J o 5 l b / u G 4 1 r z x u 0 U j 7 Y e p r 5 j 2 B u b O n 6 9 s a l j 1 x u b e o r n 5 r Z 9 X r m l 4 r l V 8 / 5 E 3 l L x 3 K r 5 + 0 2 h p 3 h u 1 f w 9 5 t F T P D e 3 f Y + Z 9 B T P z W 1 7 M 7 m h b W 8 a N 7 T t z e G G s d m m 9 0 P F 8 z X S 2 H v 7 N y o f 2 0 m o f P b f E / 6 g 8 j H w 9 x / u H t x u E e 3 2 r z j e N a / c T v 1 o 6 + E 5 c G x 7 Y 1 P H t T c 2 d U x 7 Y 1 N P / d z c t s 8 x t 1 Q / t 2 r e n 8 p b q p 9 b N X + / K f T U z 6 2 a v 8 c 8 e u r n 5 r b v M Z O e + r m 5 b W 8 m N 7 T t T e O G t r 0 5 3 D A 2 2 / T T j v p 5 z 0 T 2 3 v 0 b d Y / t I d Q 9 9 9 8 T / q D u M f B 3 7 + / c k B V y X H v 7 d x z r m n d u p 3 2 0 9 f A U O K 6 9 s a l j 2 h u b O p 6 9 s a m n f W 5 u 2 2 e Y W 2 q f W z X v T + Y t t c + t m r / f F H r a 5 1 b N 3 2 M e P e 1 z c 9 v 3 m E l P + 9 z c t j e T G 9 r 2 p n F D 2 9 4 c b h i b b f r A 1 z 7 3 v k Y q + 9 7 O j f r H 9 h H o n 3 s 6 q b e G P 6 h / D P z 7 e / f v 3 X u 4 N 3 6 g I V 1 0 6 I 5 1 z W u 7 O / s H n + 7 f e z i + 9 + m t 1 J D t 7 u H u e N M b j o 0 d g v f u f X q P k n G b E H T s / F 6 v O c 4 2 r 2 0 S G s f b 7 9 W J p 7 H 0 v V t p L N P H N j r Z 2 f 9 0 / O n G T v q c c 7 v 3 + h x x y w 7 7 P H F L d f Z + + P U Z 4 p Z 6 7 W Z a 9 2 f / d v P Z 5 4 P t W 7 3 o K b z b j M X T e e + F n 6 f / b t X N A A f c 2 I 9 D 7 y D U h + + V A L 9 3 c w L c g g 9 V 4 e 0 S 4 A 7 + o C o 0 8 P f v H e y P b + e J 3 f o V x / b m l d s 5 Y t p 6 m H s d o 9 / Y 1 P H 5 j U 0 d a 9 / Y 1 F N r N 7 f t 8 8 p G K e 7 P / c b m / a n c 2 L w / j b f U X L d q 3 p v D 2 y q s m 6 n 4 H h P p K a k b 2 3 p 6 6 e a 2 v Z n c 0 L Y 3 j R v a 9 u Z w w 9 h s 0 4 e h 4 n n P 9 P e 9 e z e q H t t B q H p U L d 4 a / q D q M f B 3 d w 4 + 3 T v Y I 2 P 4 6 a 3 0 z / u 9 5 z j Y v H c 7 J a S t h 2 f C M e + N T R 3 v 3 t j U s e 6 N T T 0 l d H P b P t / c U g n d q n l / U m + p h G 7 V / P 2 m 0 F N C t 2 r + H v P o K a G b 2 7 7 H T H p K 6 O a 2 v Z n c 0 L Y 3 j R v a 9 u Z w w 9 i 0 6 Y O d n V A J f Y 1 U + L 3 9 G x S R 1 0 m o i P b f E / 6 A I n L w d / d 2 D x 6 M 9 2 6 h h N 7 n H c O 9 7 p 3 b K C D b e n g W D O P e o q n h 2 1 s 0 N W x 7 i 6 Z W A d 2 m b Z 9 n b q W A b t m 8 P 5 m 3 U k C 3 b P 5 + U 2 g V 0 C 2 b v 8 c 8 W g V 0 m 7 b v M Z N W A d 2 m b W 8 m N 7 T t T e O G t r 0 5 3 D A 2 2 3 S 3 o 4 A i y f C N 2 u G m Z L j X Q 6 h 9 b p c M d / A H t Y + B f 3 / v 0 7 2 9 B / c 3 x 5 2 O c d / r N c f A 5 r X b 6 S B t P T w R j n d v b O p Y 9 8 a m j n N v b O r p o J v b 9 t n m l j r o V s 3 7 U 3 p L H X S r 5 u 8 3 h Z 4 O u l X z 9 5 h H T w f d 3 P Y 9 Z t L T Q T e 3 7 c 3 k h r a 9 a d z Q t j e H G 8 Z m m + 7 5 O m j / a 6 T E 9 3 d u 1 E K 2 j 0 A L 7 e u k 3 h r + o B Y y 8 H c f 7 O / u P N w f P 9 i 9 l R Z y r + 0 + u P / p 7 v j + p t c c C 7 v X 7 u 3 v P b g 3 f r j p N c f K X m 8 7 D / Z 3 N i P p W P q 9 X n P c b V 7 b J D i O v 9 + r E 0 9 r 6 X u 3 0 l q m j 7 1 7 t G 6 x 0 e n 0 d J d 5 a f s W b / X 5 4 Z Y q 7 D 0 w 6 3 P B L R X Z + w y k N / m 3 0 m f v N 4 f 9 u d + + 1 Y u e o r s N B T x d 9 1 7 4 e X r v V t 3 0 5 / 5 2 w 3 H o 3 Q v 1 4 H u l w v d 3 b 1 S B F n y o A h W 3 W 8 M f V I E G P o 3 6 3 u 6 D T 2 + r A t / r N c f 8 5 r X b O W L a e p i L H c P f 2 N T x + 4 1 N H Y v f 2 N R T a T e 3 7 f P M L R 2 x W z X v T + k t t d i t m r / f F H r 6 6 1 b N 3 2 M e P c V 1 c 9 v 3 m E l P P 9 3 c t j e T G 9 r 2 p n F D 2 9 4 c b h i b b b o f K q D 3 T I n v 3 7 t R B d k O Q h V 0 7 z 3 h D 6 o g A 3 / / 1 n m o 2 7 7 h u N a 8 c T v F o 6 2 H q e 8 Y 9 s a m j l 9 v b O r Y 9 c a m n u K 5 u W 2 f V 2 6 p e G 7 V v D + R t 1 Q 8 t 2 r + f l P o K Z 5 b N X + P e f Q U z 8 1 t 3 2 M m P c V z c 9 v e T G 5 o 2 5 v G D W 1 7 c 7 h h b L b p / V D x f I 0 0 + P 7 + j c r H d h I q n / 3 3 h D + o f A z 8 g w e f P h x / e j v n 5 / b v O O 4 1 7 9 x O A W n r 4 V l w j H t j U 8 e 3 N z Z 1 b H t j U 0 8 B 3 d y 2 z z O 3 V E C 3 a t 6 f z F s q o F s 1 f 7 8 p 9 B T Q r Z q / x z x 6 C u j m t u 8 x k 5 4 C u r l t b y Y 3 t O 1 N 4 4 a 2 v T n c M D b b 9 N O O A n r P N P j + / R u 1 j + 0 h 1 D 7 3 3 x P + o P Y x 8 O / f f 7 D 7 c A z l O 8 g q j m 3 f 4 y X H v O a l 2 + k f b T 0 8 C Y 5 v b 2 z q 2 P b G p o 5 r b 2 z q 6 Z + b 2 / Z Z 5 p b 6 5 1 b N + 9 N 5 S / 1 z q + b v N 4 W e / r l V 8 / e Y R 0 / / 3 N z 2 P W b S 0 z 8 3 t + 3 N 5 I a 2 v W n c 0 L Y 3 h x v G Z p s + 8 P X P / a + R A r + / c 6 M G s n 0 E G u i + T u q t 4 Q 9 q I A N / d 3 d n b / f e w / 2 D 8 c 7 B r b S Q f Z F 6 2 v / 0 A W X P H z 6 4 l S Y y L 9 6 / 9 / D + z l i j y O g 7 j p d t Z z v 7 B 9 T X g z E Y b P A 9 x 9 T v 9 5 5 j c P P e J t l x L P 5 + v X i a S 1 + 8 l e Y y n W x T L / f 2 D v Y / H R 9 s 7 K X P Q r d 8 s c 8 b t + 2 y z x y 3 1 G z v i W G f L 2 6 p 4 2 6 m d 5 8 F b j m p f W 7 Y v t 2 b n v q 7 z W g 8 D b g R w 0 3 q 8 F b 9 x N n g F g N y C B 6 E + v G 9 U u N Y U 7 t B N V r w o W r U e O z W 8 A d V o 4 G / R 6 / s 7 + + T s t r f p O E c 9 7 / n i 0 4 O z I u 3 c 9 K 0 9 T A 3 O 8 a / s a n j + x u b O k 6 / s a m n 6 m 5 u 2 + e b j V L d 5 4 O N z f v T u r F 5 f z J v q c p u 1 b w 3 h 7 d V Y D d T 8 T 0 m 0 t N Z N 7 b 1 t N T N b X s z u a F t b x o 3 t O 3 N 4 Y a x 2 a Y P Q y V k 0 u M n 3 z 7 9 i a 9 O b 6 c q 9 m 5 U R b a T U B V p b v r W 8 A d V k Y G / + y n 5 T H u f 7 o w f H t x K E 5 n 3 H j 4 g R b S z M / 7 0 0 1 v p I f P a 7 f S Q a b 3 9 Y G / v / g E h d 2 9 T T t 4 x 8 2 1 6 c e x s W t + q E 8 f Z 7 4 e c p 7 D 0 x V s p r P f C z d N c 7 4 l c n x 9 u q c P e D 7 / 3 4 w N P m b 3 n c H q c c C u 1 9 p 6 d 9 D n h V u 9 5 + u 7 9 O v S U 3 2 2 o 5 + m / 9 8 P v P X n B t A a D x 9 T h L V c L 7 9 + 4 W u g 6 C F X h 7 V Y L H f w h V W j h 7 + 3 c f / j g / v 3 9 3 f H e w 9 v o w v d 9 0 U q B f f F W 2 t C 0 H u Z l y / Y 3 N 7 V c f 3 N T y + c 3 N 3 V K 7 h Z t + 5 y z k c / 6 f L C x e X 9 a b 6 f R b t f 8 / a b Q K b L b N X + P e X T q 6 x Z t 3 2 M m n Z a 6 R d v e T G 5 o 2 5 v G D W 1 7 c 7 h h b L b p b q i G v s b a 4 f 3 9 G 1 W R 7 S R U R f v v C X 9 Q F R n 4 u z u f 3 r 8 3 3 t 2 k r x 3 n v s d L j n / N S 7 d T Q d p 6 e B 4 c 6 9 7 Y 1 H H u j U 0 d 4 9 7 Y 1 F N B N 7 f t c 8 0 t V d C t m v e n 8 5 Y q 6 F b N 3 2 8 K P R V 0 q + b v M Y + e C r q 5 7 X v M p K e C b m 7 b m 8 k N b X v T u K F t b w 4 3 j M 0 2 3 e u o o P d c P b x / 4 + q h 6 y H U P 7 d b P X T w B / W P g b + 7 v / P p p / f H B w o 4 O m 7 H t + / z l m N f 8 9 b t N J C 2 H p 4 G x 7 k 3 N n W M e 2 N T x 7 c 3 N v U 0 0 M 1 t + 0 x z S w 1 0 q + b 9 C b 2 l B r p V 8 / e b Q k 8 D 3 a r 5 e 8 y j p 4 F u b v s e M + l p o J v b 9 m Z y Q 9 v e N G 5 o 2 5 v D D W O z T e / 5 G u j T r 7 F + + O n O j T r I 9 h H o o E 9 1 U m 8 N f 1 A H G f i 7 e 7 s P P x 0 / u F W C 3 L 2 0 S + H r + P 6 t k u N + T 7 u b 3 3 E 8 b N 6 h 9 N f 4 3 q Z X H B / f + h X H z u a V T Z L i G P r W H X g q S t + 5 l Y o y 8 P c P H o w 3 e Z e e m j K v b N / 4 T n / i b 6 m r b o 1 V f 8 J v q a 9 u P 4 j e Z N 9 K a d 1 + 3 v p z v X 3 j S 5 4 W u 8 2 4 P U V 2 a 7 w 8 h X a r L v p z f f M w H F r 7 o X J 7 r 8 W / T 3 d v 1 G s W f K j X d t 8 T / q B e M / B 3 d 3 b u P R z v b h q z Y / L 3 e M m x u X n p d p 6 V t h 7 m W M f c N z Z 1 v H 1 j U 8 f S N z b 1 1 N b N b f v 8 c k v P 6 l b N + 9 N 5 S 2 1 1 q + b v N 4 W e p r p V 8 / e Y R 0 9 J 2 b a 3 U E 4 3 t v V 0 0 s 1 t e z O 5 o W 1 v G j e 0 7 c 3 h B j r Y p v d D 5 f O e W e 5 P 7 9 2 o f m w H o f q 5 9 5 7 w B 9 W P g b + 7 e 3 B v o z F z P H v r V x z f m l d u p 3 q 0 9 W 1 U z 4 1 N H c f e 2 N Q x 7 I 1 N P d V z c 9 s + t 9 x S 9 d y q e X 8 q b 6 l 6 b t X 8 / a b Q U z 2 3 a v 4 e 8 + i p n p v b v s d M e q r n 5 r a 9 m d z Q t j e N G 9 r 2 5 n D D 2 G z T T 0 P V 8 z U y 2 5 / u 3 6 h + b C e h + t l / T / i D 6 s f A 3 z 3 Y 2 / 9 0 f H A r / X P 7 d x z 3 m n d u p 4 C 0 9 f A s O M a 9 s a n j 2 x u b O r a 9 s a m n g G 5 u 2 + e Z W y q g W z X v T + Y t F d C t m r / f F H o K 6 F b N 3 2 M e P Q V 0 c 9 v 3 m E l P A d 3 c t j e T G 9 r 2 p n F D 2 9 4 c b h i b b f q g o 4 D e M 6 / 9 6 f 0 b t Y / t I d Q + 9 9 8 T / q D 2 M f D 3 9 + / t 3 t L 5 u f U r j n H N K 7 f T P d p 6 e A I c z 9 7 Y 1 L H s j U 0 d x 9 7 Y 1 N M 9 N 7 f t s 8 s t d c + t m v e n 8 p a 6 5 1 b N 3 2 8 K P d 1 z q + b v M Y + e 7 r m 5 7 X v M p K d 7 b m 7 b m 8 k N b X v T u K F t b w 4 3 j M 0 2 P f B 1 z 4 O v k d F + s H O j 9 r F 9 B N r n g U 7 q r e E P a h 8 D n 1 6 5 t 7 t / 7 2 B 8 7 3 b + j 3 n v w c O H 9 3 f u 7 Y z v 7 9 9 K D Z n X 7 t 1 7 s L d 7 s D v e V z U a f c 3 x s n l t 7 9 7 9 B w / u j U 3 i 6 w b V 9 D 5 v O e Y 2 b 2 2 S G 8 f e 7 9 O H p 7 P 0 t V v p L E u z X X J m d x 6 M D z a R 2 l N e 5 r 3 t 2 7 3 Y 5 4 l b q r H 3 w 6 / P C 7 f U Z + 8 5 n B 4 b 3 E q z v d d 0 9 r l g + z b v e Q r v N i T w d N 7 7 Y O e p v 1 v 1 0 p / + W w 3 G I f c w 1 I b v l Q J / s H u j I r T g Q 0 W o u N 0 a / q A i N P D 3 d h 8 c 7 O 7 v 3 R s / 3 K S a H P e / 3 3 u O + 8 1 7 m y b F M b + 2 H u Z h x + 4 3 N n X c f m N T x + E 3 N v W U 2 8 1 t + 1 y z U Q n 0 u W B j 8 / 6 k 3 l K T 3 a r 5 + 0 2 h p 8 B u 1 f w 9 5 t F T W z e 3 f Y + Z 9 P T T z W 1 7 M 7 m h b W 8 a N 7 T t z e G G s Z m m Q N x X Q S Y R f v L t 0 5 / 4 6 v R 2 i m L v J k X k O g k V k Y Z h t 4 Y / p I g s / H v 7 B 8 h t b 7 R y l n X t W 7 s P 9 n c e 7 o 4 f 3 i o q t G / d S g n Z 1 t u 3 6 c Q y 8 q 0 6 s a z 8 X g O x T P 1 + q D l V Z d 6 7 j a p 6 L 8 y c y n p P 1 P p 8 c D v d 9 X 7 Y v R 8 H O B 3 2 n o P p 8 c B t l N l 7 9 t H n g d u 8 5 n T c + 3 X n 9 N 2 t K O d U 3 v t h 9 5 5 c Y F v v x h X g L V c C H 9 y 4 E u g 6 C J X f 7 V Y C H f x B 5 W f g 7 9 7 f J d / z 0 4 e 3 D E f f 8 z 3 H / u a 9 2 y l A b T 3 M x Y 7 h b 2 z q + P 3 G p o 7 F b 2 z q q b a b 2 / b 5 Z i O X 9 b l g Y / P + p N 5 S k 9 2 q e T i F N z b v z e E t v b B b U P E 9 J t J T V j e 2 9 T T U z W 1 7 M 7 m h b W 8 a N 7 T t z e G G s d m m e 6 E S + h p r g g / 2 b 1 R E t p N Q E e 2 / J / x B R W T g H 3 z 6 6 b 3 x j o K N D t w x 7 u 3 f c d x r 3 r m d A t L W w 7 P g G P f G p o 5 v b 2 z q 2 P b G p p 4 C u r l t n 2 d u q Y B u 1 b w / m b d U Q L d q / n 5 T 6 C m g W z V / j 3 n 0 F N D N b d 9 j J j 0 F d H P b 3 k x u a N u b x g 1 t e 3 O 4 Y W y 2 6 b 2 O A n r P N c E H N 6 4 J u h 5 C 7 X O 7 N U E H f 1 D 7 G P h 7 + 7 v 7 D y h L / u m t 9 M / 7 v O X Y 1 7 x 1 O w 2 k r Y e n w X H u j U 0 d 4 9 7 Y 1 P H t j U 0 9 D X R z 2 z 7 T 3 F I D 3 a p 5 f 0 J v q Y F u 1 f z 9 p t D T Q L d q / h 7 z 6 G m g m 9 u + x 0 x 6 G u j m t r 2 Z 3 N C 2 N 4 0 b 2 v b m c M P Y b N N 9 X w M d f I 2 V w Y O d G 3 W Q 7 S P Q Q Q c 6 q b e G P 6 i D D P y 9 n Y O H n x 7 s j Y 1 v F R 2 6 Y 1 3 z 2 v 7 u / U 9 3 9 + 6 P 9 w 5 u p Y X M a 7 v 3 H u 6 M D 3 Z v p Y s c h p 8 + O L h 3 b 3 x v U + b d 8 f N 7 v e Z Y 2 7 y 2 S W o c c 7 9 X J 5 7 K 0 v d u p b J M H 9 v U y a f 7 + 3 u b F 2 E 9 5 e U h d 4 v 3 + i x x y w 7 7 T H F L f f Z + + P U Z 4 p a K 7 W Z a 9 2 f / d v P Z 5 4 P t W 7 3 o a b z b j M V T e u + F n 6 c A b 9 V N n A N u 7 s e h d z 9 U i O + 1 O A h t c I M u t O B D X a h q 5 N b w B 3 W h g U + K c G f 8 8 N N b K c L b v + M Y 3 7 x z O 1 9 M W w / z r 2 P 1 G 5 s 6 T r + x q W P u G 5 t 6 i u 3 m t n 1 u u a U v d q v m / c m 8 p S 9 2 q + b v N 4 W e y r p V 8 / e Y R 0 9 l 3 d z 2 P W b S 0 0 w 3 t + 3 N 5 I a 2 v W n c 0 L Y 3 h x v G Z p t + G q q e 9 8 y J H 9 y 7 U f n Y D k L l c + 8 9 4 Q 8 q H w P / Y G f v Y G 9 v Z 7 y z d y v 9 8 1 6 v O f 4 1 r 9 1 O B W n r 4 X l w r H t j U 8 e 5 N z Z 1 j H t j U 0 8 F 3 d y 2 z z W 3 V E G 3 a t 6 f 0 l u q o F s 1 f 7 8 p 9 F T Q r Z q / x z x 6 K u j m t u 8 x k 5 4 K u r l t b y Y 3 t O 1 N 4 4 a 2 v T n c M D b b 9 E G o g r 5 G R v x g / 0 Y 1 Z D s J 1 d D + e 8 I f V E M G / o O D 3 f t j A z Y 6 c M e 4 t 3 / H c a 9 5 5 3 Y K S F s P z 4 J j 3 B u b O r 6 9 s a l j 2 x u b e g r o 5 r Z 9 n r m l A r p V 8 / 5 k 3 l I B 3 a r 5 + 0 2 h p 4 B u 1 f w 9 5 t F T Q D e 3 f Y + Z 9 B T Q z W 1 7 M 7 m h b W 8 a N 7 T t z e G G s d m m B x 0 F 9 J 4 Z 8 Y P 7 N 2 o f 2 0 O o f T Q 6 v D X 8 Q e 1 j 4 O / t P D x 4 u P d g / P D B r R T Q e 7 3 m G N i 8 d j s d p K 2 H J 8 L x 7 o 1 N H e v e 2 N R x 7 o 1 N P R 1 0 c 9 s + 2 9 x S B 9 2 q e X 9 K b 6 m D N j W 3 z d 9 v C j 0 d d K v m 7 z G P n g 6 6 u e 1 7 z K S n g 2 5 u 2 5 v J W + m g m 9 v 2 5 v A 2 O u i h r 4 M e f o 2 c + M O d G 7 W Q 7 S P Q Q n j x v e A P a i E D f / f + v f H + w a 0 0 0 K 1 f c a x r X t n E i 4 5 z t f V t t M + N T R 3 T 3 t j U 8 e y N T T 3 t c 3 P b P s P c U v v c q n l / K m + p f W 7 V / P 2 m 0 N M + t 2 r + H v P o a Z + b 2 7 7 H T H r a 5 + a 2 v Z n c 0 L Y 3 j R v a 9 u Z w w 9 h M 0 3 s 7 o f Z 5 r w T 0 w 9 2 b F I 8 D H y q e 3 f e E P 6 R 4 L P y 9 e z t j E G u Q S y z H 3 v 4 V y 7 X 2 l V s p H t N 6 m P q W Y W 9 u a v n 1 5 q a W X W 9 u 6 h T P L d r 2 e e V 2 i u d 2 z f t T e T v F c 7 v m 7 z e F T v H c r v l 7 z K N T P L d o + x 4 z 6 R T P L d r 2 Z n J D 2 9 4 0 b m j b m 8 M N Y 7 N N d 0 P F 8 5 7 p 5 4 c 3 p p 9 d B 6 H q u V 3 6 2 c E f V D 0 G / q e f j s E 4 g 2 z i W P a 2 b z i u N W / c T v F o 6 2 H q O 4 a 9 s a n j 1 x u b O n a 9 s a m n e G 5 u 2 + e V W y q e W z X v T + Q t F c + t m r / f F H q K 5 1 b N 3 2 M e P c V z c 9 v 3 m E l P 8 d z c t j e T G 9 r 2 p n F D 2 9 4 c b h i b b b o X K p 6 v k X R + u H + j 8 r G d h M p n / z 3 h D y o f A 3 / 3 0 / 3 x z u 2 0 z 6 1 f c b x r X r m d + t H W w 3 P g 2 P b G p o 5 r b 2 z q m P b G p p 7 6 u b l t n 2 N u q X 5 u 1 b w / l b d U P 7 d q / n 5 T 6 K m f W z V / j 3 n 0 1 M / N b d 9 j J j 3 1 c 3 P b 3 k x u a N u b x g 1 t e 3 O 4 Y W y 2 6 b 2 O + n n P l P P D G 1 P O r o d Q 9 9 w u 5 e z g D + o e A / / B p + M H q t C i Y 3 Y 8 e 9 s 3 H N u a N 2 6 n e b T 1 M P k d x 9 7 Y 1 D H s j U 0 d v 9 7 Y 1 N M 8 N 7 f t M 8 s t N c + t m v c n 8 p a a 5 1 b N 3 2 8 K P c 1 z q + b v M Y + e 5 r m 5 7 X v M p K d 5 b m 7 b m 8 k N b X v T u K F t b w 4 3 j M 0 2 3 f c 0 z / 7 O + y e a 9 3 d 2 b t Q 9 t g 9 f 9 / C L 7 w V / U P c Y + P f u 7 x / s j O H 2 D T K L Y 1 z 3 0 s O 9 3 T F y 8 4 M v O f Y 1 L + 1 9 u r d z M L 6 / f y t F 5 F 7 6 d P / h + P 4 m 9 B w r v 8 d L j q f N S 5 v E x X H 1 e 3 T h a S p 9 6 1 a a y v S w v b + / s 3 k 1 0 d N X 5 q W b 3 + l z w C 0 6 6 n P A L V X X 7 f H q T / 0 t 9 d f N t O 3 P 9 W 1 m r z / n 2 7 d 4 z V N q t x m H p 9 f e A z d P w 9 2 q k 8 i c 3 6 I X h 9 r 9 U N + 9 T 2 p 7 f 2 f 3 R l V n w Y e q T n G 7 N f x B V W f g 3 9 s 9 + H R v v L u J D R 2 j v 8 d L j t 3 N S 7 d z t r T 1 M O c 6 J r + x q e P x G 5 s 6 x r 6 x q a f C b m 7 b 5 5 d b O l u 3 a t 6 f z l s 6 W 7 d q f u M U D i m r W 0 F / j 3 n 0 l N X N b d 9 j J j 2 9 d H P b 3 k x u a N u b x g 1 t e 3 O 4 Y W y 2 6 a c d 5 f P e W a b 9 n f 0 b V Z D t J F R B + + 8 J f 1 A F G f i 7 9 3 b v 7 4 8 V 7 A 0 a 6 P b v O O 4 1 7 9 x O A W n r 2 y i g G 5 s 6 v r 2 x q W P b G 5 t 6 C u j m t n 2 e u a U C u l X z / m T e U g H d q v n 7 T a G n g G 7 V / D 3 m 0 V N A N 7 d 9 j 5 n 0 F N D N b X s z u a F t b x o 3 t O 3 N 4 Y a x 2 a Y P O g r o / f J M + z s 2 D z S o f W w P o f a 5 / 5 7 w B 7 W P g X 9 v Z + / e G G I y y C m O a 2 / / j m N d 8 8 7 t t I + 2 H p 4 C x 7 U 3 N n V M e 2 N T x 7 M 3 N v W 0 z 8 1 t + w x z S + 1 z q + b 9 y b y l 9 r l V 8 / e b Q k / 7 3 K r 5 e 8 y j p 3 1 u b v s e M + l p n 5 v b 9 m Z y Q 9 v e N G 5 o 2 5 v D D W O z T Q 9 8 7 b P 7 N X J N Y O I b 9 I / t I 9 A / u z q p t 4 Y / q H 8 M / L 2 D B / f 3 d n b I m X l 4 K x 1 k 3 r t / / 8 G n O / c f 7 I 0 P b q W G z G u 7 9 / Z 2 d z f n y R 0 n W x w f 7 O z t P q C U m F G / N 6 i m 9 3 v P s b d 5 b 5 P k O A Z / v 1 4 8 v a U v 3 k p v m U 6 2 q Z e d g / u f H m x O C 3 o q z E P v N i / 2 O e O 2 X f Z 5 4 5 Z 6 7 T 0 x 7 P P F L T X c z f T u s 8 A t J 7 X P D d u 3 e 9 N T f r c Z j a f / 3 g 9 D T x n e q p 8 4 G 9 y i I 4 f g w 1 A 7 v l d m C p x / g 2 K 0 4 E P F e L v M l I M / q B g N f H K y d n d 2 H + y M 9 z Y p K 8 f 8 7 / e e k w L z 3 q Z p c a y v r Y d 5 2 b H 9 j U 0 d 1 9 / Y 1 P H 5 j U 0 9 R X d z 2 z 7 X b J T p P h d s b N 6 f 1 I 3 N + 3 N 5 S 0 V 2 q + a 9 O b y t + r q Z i u 8 x k Z 7 G u r G t p 6 N u b t u b y Q 1 t e 9 O 4 o W 1 v D j e M z T T d 3 w l V 0 K l o o P T k 2 6 c / 8 d X p 7 R T F 3 k 2 K y H U S K q K 9 9 4 Q / p I g s / H s P D u 7 d P 7 i 3 N 7 6 v o K O D t 8 x r 3 9 s 9 e P i A 1 h H v 3 1 I R 2 f d u p Y h s 6 + 3 d g 4 N P d 3 f 2 H m x e e r T s f K t u L E N 7 g 7 l N L 5 a 5 3 x c 9 p 7 T M m 7 d R W u + J n V N f 7 4 1 e n y t u p 8 n e F 8 P 3 4 w a n 0 9 5 7 Q D 1 + u I 1 6 e + 9 e + v x w u x e d 5 n v f L p 0 e v B U F n S p 8 X w z f k y N s 6 9 2 4 a n z z 6 n Z q 6 9 6 N a t F 2 E K r F e + 8 J f 1 A t G v h 7 e / f v 7 T z 8 9 O F 4 / 3 Z q 8 f 3 e c 4 J g 3 t t E X i c H 2 n q Y m x 3 j 3 9 j U 8 f 2 N T R 2 j 3 9 j U U 3 U 3 t + 3 z z U Y u 6 3 P B x u b 9 S b 2 l V r t V 8 / e b Q k + X 3 a r 5 e 8 y j p 8 B u b v s e M + l p q Z v b 9 m Z y Q 9 v e N G 5 o 2 5 v D D W O z T f d C J f Q 1 1 g / B D D c o I t t J q I j 2 3 x P + o C I y 8 H f 3 7 j / c u d 3 6 4 X u 8 4 7 j X v H M 7 B a S t h 2 f B M e 6 N T R 3 f 3 t j U s e 2 N T T 0 F d H P b P s 8 4 M m x U Q L d q 3 p / M W y q g W z V / v y n 0 F N C t m r / H P H o K 6 O a 2 7 z G T n g K 6 u W 1 v J m + l g G 5 u 2 5 v D 2 y i g e x 0 F 9 J 7 r h 5 j a G 7 S P 7 S H U P r d b P 3 T w B 7 W P g b 9 H i p d S p 3 u b c n O O b 9 / n L c e + 5 q 3 b a S B t f R s N d G N T x 7 g 3 N n V 8 e 2 N T T w P d 3 L b P N L f U Q L d q 3 p / Q W 2 q g W z V / v y n 0 N N C t m r / H P H o a 6 O a 2 7 z G T n g a 6 u W 1 v J j e 0 7 U 3 j h r a 9 O d w w N t t 0 3 9 d A e 1 9 j D R F D v 0 E H 2 T 4 C H b S n k 3 p r + I M 6 y M C n g O p T y k / t f H o r H W T e 2 t 3 Z f 0 g J + f H e w 1 s p I f v a / g N a r N y 9 l S q y C O 7 t U N Q 3 / n R / w 1 u O m 9 / n L c f X 5 q 1 N I u M 4 + 3 3 6 8 N S V v n Y r d W W 6 2 L 6 / e / D g w c M x + H S 4 j z 7 X 3 O q 1 P j P c r r s + O 9 x S k b 0 X d n 1 O u K V C u 5 n O / Y m / 1 V T 2 O W D 7 N u 9 5 e u 4 2 I / F U 3 f t g 5 2 m 9 W / U S m / x b d O O Q u x 8 q w f d a K s Q Y b 9 B / F n y o / 1 R 3 3 B r + o P 4 z 8 J F Q e r g 3 / v T g V v r v f d 5 y f G / e u p 0 P p q 2 H + d e x + o 1 N H a f f 2 N R x 9 4 1 N P a V 2 c 9 s + x 9 z S B 7 t V 8 / 6 E 3 t I H u 1 X z 9 5 t C T 2 X d q v l 7 z K O n s m 5 u + x 4 z 6 e m m m 9 v 2 Z n J D 2 9 4 0 b m j b m 8 M N Y 7 N N P w 3 V z 3 v m w t H n D Q r I d h A q I L V Z t 4 Y / q I A M f H K l H t x / c P + 2 q f D 3 e s 3 x r 3 n t d i p I W w / P g 2 P d G 5 s 6 z r 2 x q W P c G 5 t 6 K u j m t n 2 u u a U K u l X z / p T e U g X d q v n 7 T a G n g m 7 V / D 3 m 0 V N B N 7 d 9 j 5 n 0 V N D N b X s z u a F t b x o 3 t O 3 N 4 Y a x 2 a Y P Q h X 0 N T L h W N 2 / Q Q 3 Z T k I 1 t P + e 8 A f V k I H / c O / B g / G + g o 0 O 3 D H u 7 d 9 x 3 G v e u Z 0 C 0 t b D s + A Y 9 8 a m j m 9 v b O r Y 9 s a m n g K 6 u W 2 f Z 2 6 p g G 7 V v D + Z t 1 R A t 2 r + f l P o K a B b N X + P e f Q U 0 M 1 t 3 2 M m P Q V 0 c 9 v e T G 5 o 2 5 v G D W 1 7 c 7 h h b L b p Q U c B v W c m H B n k G 7 S P 7 S H U P v f f E / 6 g 9 j H w d 3 c f 7 j 0 c P / z 0 V u r n P V 5 y z G t e u p 3 + 0 d b D k + D 4 9 s a m j m 1 v b O q 4 9 s a m n v 6 5 u W 2 f Z W 6 p f 2 7 V v D + d t 9 Q / t 2 r + f l P o 6 Z 9 b N X + P e f T 0 z 8 1 t 3 2 M m P f 1 z c 9 v e T G 5 o 2 5 v G D W 1 7 c 7 h h b L b p Q 1 / / 3 P s a e f B 7 O z d q I N t H o I H w 4 n v B H 9 R A B v 7 u w 9 1 9 U i b 7 t 9 J A 5 q W 9 n Z 3 7 + + M H m 1 5 y 7 G t e u n 9 / 5 2 B 8 b 9 M 7 j o f N O 5 / u 7 9 4 b 7 2 5 6 x z H y 7 d 9 x D G 3 e 2 S Q r j q V v 3 4 O n p f Q l 5 a v N W s p 0 s P 1 w Z 3 9 8 c D t V Z d 6 5 8 Z X + 3 N / c T X / q b 6 m z b o 1 V f 8 5 v q b d u p m t / m m 8 x c f 3 Z 3 r 7 5 L U + V 3 W Y U n j a 7 P W a e W r t V H 5 H p v r k T i 9 j 9 n V D H v V e a + 9 7 u T e r N g Q / V 2 + 5 7 w h 9 S b x b + 7 r 3 9 / b 3 N m s r y + P u 8 Z D n d v r R p M i y T m 9 b D X G s Z / O a m l r 9 v b m q 5 + u a m T n X d o m 2 f X z Z K b 3 / + N z b v T + f G 5 v 2 J v J 2 y u l 3 z 3 h z e U l H d g o r v M Z F O P 9 3 c 1 m m l W 7 T t z e S G t r 1 p 3 N C 2 N 4 c b x m a b 7 n a U z / t n m O B n 3 K C C b C e h C l K p v z X 8 Q R V k 4 O 8 + + P T B w f h 2 G u j 2 7 z j u N e / c T g F p 6 + F Z c I x 7 Y 1 P H t z c 2 d W x 7 Y 1 N P A d 3 c t s 8 z t 1 R A t 2 r e n 8 x b K q B b N X + / K f Q U 0 K 2 a v 8 c 8 e g r o 5 r b v M Z O e A r q 5 b W 8 m N 7 T t T e O G t r 0 5 3 D A 2 2 3 S v o 4 D e M 8 N 0 7 8 Y M k + s h 1 D 6 3 y z A 5 + I P a x 8 C / 9 + n u w / G t l t h u / 4 p j X P P K 7 X S P t h 6 e A M e z N z Z 1 L H t j U 8 e x N z b 1 d M / N b f v s c k v d c 6 v m / a m 8 p e 6 5 V f P 3 m 0 J P 9 9 y q + X v M o 6 d 7 b m 7 7 H j P p 6 Z 6 b 2 / Z m c k P b 3 j R u a N u b w w 1 j s 0 3 v + b p n / 2 t k l / Z 3 b t Q + t o 9 A + + z r p N 4 a / q D 2 M f D 3 D u 7 t 7 t w y v + 2 9 d H / 3 Y H z / 4 F Y a y L y 0 e / D w 0 3 v j n U 0 9 O S a 2 L z 3 c f b A z / n R T T 4 6 V 3 + M l x 9 P m p U 3 i 4 r j 6 P b r w N J W + d S t N Z X r Y 3 t t 5 M P 5 0 k 5 L 3 9 J W d m B v f 6 X P A L T r q c 8 A t V d f t 8 e p P / S 3 1 1 8 2 0 7 c / 1 b W a v P + f b t 3 j N U 2 q 3 G Y e n 1 9 4 D N 0 / D 3 a q T y J z f o h e H 2 n 6 o 7 9 4 r 0 7 S / e 6 O q s + B D V b f 7 n v A H V Z 2 B v 7 e / 8 y n l O h X u D a r u P V 5 y 7 G 5 e u p 2 z p a 2 H O d c x + Y 1 N H Y / f 2 N Q x 9 o 1 N P R V 2 c 9 s + v 9 z S 2 b p V 8 / 5 0 3 t L Z u l X z 9 5 t C T 1 n d q v l 7 z K O n r G 5 u + x 4 z 6 e m l m 9 v 2 Z n J D 2 9 4 0 b m j b m 8 M N Y 7 N N 7 3 e U z / t n m v b 3 b 1 R B t p N Q B e 2 / J / x B F W T g 4 4 3 7 4 0 9 v p Y F u / 4 7 j X v P O 7 R S Q t h 6 e B c e 4 N z Z 1 f H t j U 8 e 2 N z b 1 F N D N b f s 8 c 0 s F d K v m / c m 8 p Q K 6 V f P 3 m 0 J P A d 2 q + X v M o 6 e A b m 7 7 H j P p K a C b 2 / Z m c k P b 3 j R u a N u b w w 1 j s 0 0 / 7 S i g 9 8 w 0 7 d t M 0 K D 2 s T 2 E 2 u f + e 8 I f 1 D 4 G / r 2 d f f L 5 b u f / 3 P 4 d x 7 r m n d t p H 2 0 9 P A W O a 2 9 s 6 p j 2 x q a O Z + N N f R 5 w P H t z 2 z 7 D 3 F L 7 3 K p 5 f z J v q X 1 u 1 f z 9 p t D T P r d q / h 7 z 6 G m f m 9 u + x 0 x 6 2 u f m t r 2 Z v J X 2 u b l t b w 5 v o 3 0 e + N r n / t f I N W F V 7 w b 9 Y / s I 9 M 9 9 n d R b w x / U P w b + p w e 7 n 9 7 f 3 f 1 0 / O m 9 W + k g 8 9 7 u 3 s P 9 n Q M K 9 c Y P 9 2 + l i O y L D x / u H D w Y Y 5 Y G 3 3 L M b N H c 3 d / f 2 9 / d G 9 / f h K b j 6 v d 7 z 3 G 4 e W + T 8 D g e f 7 9 e P N W l L 9 5 K d Z l O t j / d 3 d u / d 2 / v / v j e J t X v a T G H 3 q 1 e 7 D P H b b v s s 8 c t V d t 7 Y t j n i 1 s q u Z v p 3 W e B W 0 5 q n x u 2 b / e m p / 9 u M x p P B b 4 f h p 4 + v F U / U T a 4 T U c O w Y N Q Q b 5 X c g o L j j f o R g s + 1 I 2 3 S 0 4 5 + I O 6 0 c A n H f f g w a c H B + O 9 T 2 + l G 9 / v P S c F 5 r 3 b + W j a e p i X H d v f 2 N R x / Y 1 N H Z / f 2 N R T d D e 3 7 X P N R p n u c 8 H G 5 v 1 J 3 d i 8 P 5 e 3 V G S 3 a t 6 b w 9 u q r 5 u p + B 4 T 6 W m s G 9 t 6 O u r m t r 2 Z 3 N C 2 N 4 0 b 2 v b m c M P Y b N O H o Q o 6 F Q 2 U n n z 7 9 C e + O r 2 d o t i 7 U R H Z T k J F p K 7 N r e E P K i I D / + D T v d 1 P d x 7 e v 6 0 i M u / t 0 z r i w c 7 + g 8 3 O n e N i 8 9 7 2 7 s H 9 e w e 7 m 9 W 9 4 2 b 7 2 v 6 9 v Y f 3 9 v c e j n c 3 4 e n 4 2 r y 4 S Q w c Z 7 t R 3 a Y X x + X v i Z 6 n v f T N W 2 m v 9 6 O 5 p 8 c 8 9 G 7 1 Z p 8 9 b q n S 3 h P D P l v c U r m 9 7 4 B 6 / H A r P f e + s 9 r n h 9 u 9 6 K n A 9 + z S U 4 i 3 o a C n E 9 8 T w / f k C N P 6 0 5 2 4 j n z z 6 n b 6 6 9 5 N + t F 1 E O p H 5 Y Z b w x / S j x b + p 3 v 3 H + w / f L C 7 m U 5 W E t 7 z P S s I 9 r 1 N 5 L V y Y F o P c 7 N l / J u b W r 6 / u a l l 9 J u b O l V 3 i 7 Z 9 v t n I Z X 0 u 2 N i 8 P 6 m 3 0 2 q 3 a / 5 + U + h 0 2 e 2 a v 8 c 8 O g V 2 i 7 b v M Z N O S 9 2 i b W 8 m N 7 T t T e O G t r 0 5 3 D A 2 2 3 Q 3 V E J f Y y 0 R K 5 c 3 K C L b S a i I 9 t 8 T / q A i M v B 3 7 x 9 Q b g u 8 P 8 g t j n P f 4 y X H v + a l 2 6 k g b T 0 8 D 4 5 1 b 2 z q O P f G p o 5 x b 2 z q q a C b 2 / a 5 5 p Y q 6 F b N + 9 N 5 S x V 0 q + b v N 4 W e C r p V 8 / e Y R 0 8 F 3 d z 2 P W b S U 0 E 3 t + 3 N 5 I a 2 v W n c 0 L Y 3 h x v G Z p v u d V T Q e 6 4 m Y u H y B v 1 j e w j 1 z + 1 W E x 3 8 Q f 1 j 4 F O c S A 7 N / d 3 x / u 6 t V N D 7 v e d Y 2 L x 3 O y 2 k r Y e n w n H v j U 0 d 8 9 7 Y 1 P H u j U 0 9 L X R z 2 z 7 j 3 F I L 3 a p 5 f 1 J v q Y V u 1 f z 9 p t D T Q r d q / h 7 z 6 G m h m 9 u + x 0 x 6 W u j m t r 2 Z 3 N C 2 N 4 0 b 2 v b m c M P Y b N N 7 v h b 6 9 G u s K s L r u k E P 2 T 4 C P f S p T u q t 4 Q / q I Q P / 0 3 1 a G n x w f 2 / 8 4 H Z 6 y H v v w d 6 n D + + P H w a v D a k h 8 9 r u 3 r 3 x w 1 v l q u w r e w c 7 n 9 7 g d D l u f o + X H F u b l z Z J j G P s 9 + j C U 1 b 6 1 q 2 U l e l h e + / B w / 1 7 4 9 1 N J P a U l k X s F m / 1 G e F W n f X 5 4 J Y 6 7 H 1 w 6 7 P A L V X Z z T T u z / l t Z r E / 9 9 u 3 e M 3 T b 7 c Z h 6 f i 3 g M 3 T 9 n d q p P Y v N / c i 0 N t P 1 R 9 7 7 V e C E f v B q 1 n w Y d a T 1 X T r e E P a j 0 D n 9 b 9 P t 1 7 u L u z M 7 6 3 i R U d u 7 / n i 4 7 x z Y u 3 8 7 + 0 9 T A H O 2 a / s a n j 9 R u b O g a / s a m n 0 m 5 u 2 + e b W / p f t 2 r e n 9 Z b + l + 3 a v 5 + U + g p r V s 1 f 4 9 5 9 J T W z W 3 f Y y Y 9 / X R z 2 9 5 M b m j b m 8 Y N b X t z u G F s t u n 9 U A m 9 Z z Y c m u 8 G N W Q 7 C N W Q + i 2 3 h j + o h g x 8 a J M H D 3 b v 7 4 8 P 9 m + l h t 7 z R c f D 5 s X b q S F t P T w X j n 1 v b O q 4 9 8 a m j n l v b O q p o Z v b 9 j n n l m r o V s 3 7 0 3 p L N X S r 5 u 8 3 h Z 4 a u l X z 9 5 h H T w 3 d 3 P Y 9 Z t J T Q z e 3 7 c 3 k h r a 9 a d z Q t j e H G 8 Z m m 3 4 a q q G v k Q + H 0 r t B F d l O Q l W k U n 9 r + I O q y M B / S O u X 4 5 3 b a a H b v + O 4 1 7 x z O w W k r Y d n w T H u j U 0 d 3 9 7 Y 1 L H t j U 0 9 B X R z 2 z 7 P 3 F I B 3 a p 5 f z J v q Y B u 1 f z 9 p t B T Q L d q / h 7 z 6 C m g m 9 u + x 0 x 6 C u j m t r 2 Z 3 N C 2 N 4 0 b 2 v b m c M P Y b N M H H Q X 0 n t l w 6 L o b t I / t I d Q + 9 9 8 T / q D 2 M f D 3 H u 7 v 7 N 0 2 F f 4 e L z n m N S / d T v 9 o 6 + F J c H x 7 Y 1 P H t j c 2 d V x 7 Y 1 N P / 9 z c t s 8 y t 9 Q / t 2 r e n 8 5 b 6 p 9 b N X + / K f T 0 z 6 2 a v 8 c 8 e v r n 5 r b v M Z O e / r m 5 b W 8 m N 7 T t T e O G t r 0 5 3 D A 2 2 / T A 1 z 8 P v k Y e / M H O j R r I 9 h F o o A c 6 q b e G P 6 i B D P y H + 3 u f H u z d H z 9 4 c C s d Z F 5 D 8 u z T / Z 3 x 7 u 2 0 k H n t U 0 o i P b i 3 P / 5 0 U 2 + O l S 2 S 9 / c f j n c 2 d e X 4 + f b v O L 4 2 7 2 w S G c f Z t + / B U 1 b 6 0 q 2 U l U e t n d 2 D + 2 P Y x u E + + j y z f b s X + 8 x w S / 3 1 f v j 1 u e C W i u w 9 h 9 N j g V u p t P e Y z D 4 H b N / 8 l q f l b j N 8 T 9 H d H j N P 4 9 2 q j / 7 E 3 2 I g D r G H o f p 7 r 1 w 4 V t t u 0 H w W f K j 5 F L d b w x / U f A b + 7 s P d + z s H 9 + 6 P 9 2 + l + d 7 r N c f z 5 r V N E + J Y X l s P c 6 5 j 8 h u b O h 6 / s a n j 7 B u b e i r t 5 r Z 9 n t k o + n 0 e 2 N i 8 P 6 W 3 1 F + 3 a v 5 + U + i p r V s 1 f 4 9 5 9 J T V z W 3 f Y y Y 9 z X R z 2 9 5 M b m j b m 8 Y N b X t z u G F s p i m 8 G 1 8 B v W c e / M G N e X D X Q a i C N u T B o / C H V J C F f / / T n b 2 9 + 3 t j k G y Q V y z f v t 9 r l n / t a 7 d S Q a b 1 8 D x Y 1 r 2 5 q e X c m 5 t a x r 2 5 q V N B t 2 j b 5 5 r b q a D b N e 9 P 6 e 1 U 0 O 2 a v 9 8 U O h V 0 u + b v M Y 9 O B d 2 i 7 X v M p F N B t 2 j b m 8 k N b X v T u K F t b w 4 3 j M 0 2 3 Q 1 V 0 N f I g T / Y v 1 E N 2 U 5 C N b T / n v A H 1 Z C B f 3 D / 4 e 0 U 0 C 1 f c H x r X r i d 6 t H W w / R 3 L H t j U 8 e x N z Z 1 D H t j U 0 / 1 3 N y 2 z y 2 3 V D 2 3 a t 6 f x l u q n l s 1 f 7 8 p 9 F T P r Z q / x z x 6 q u f m t u 8 x k 5 7 q u b l t b y Y 3 t O 1 N 4 4 a 2 v T n c M D b b d K + j e t 4 z + / 3 g x u y 3 6 y H U O 7 f L f j v 4 g 3 r H w H 9 w / 8 H O 5 q D e c e 3 t 3 3 G s a 9 6 5 n f b R 1 s N T 4 L j 2 x q a O a W 9 s 6 n j 2 x q a e 9 r m 5 b Z 9 h b q l 9 b t W 8 P 5 m 3 1 D 6 3 a v 5 + U + h p n 1 s 1 f 4 9 5 9 L T P z W 3 f Y y Y 9 7 X N z 2 9 5 M b m j b m 8 Y N b X t z u G F s t u k 9 X / s c f I 3 c 9 8 H O j f r H 9 h H o n w O d 1 F v D H 9 Q / B v 7 e 7 s G D 3 b 2 H B 5 + O 9 x 7 e S g n Z F + / t 7 H 2 6 d 2 / 3 w f j e 7 f w g 8 + K 9 n X t 7 u / f H B 7 u 3 0 k j m r V 1 K f u 7 d 3 / 9 0 f L C / 4 T 3 H 1 u / 3 n m N x 8 9 4 m 6 X F M / n 6 9 e L p L X 7 y V 7 j K d b O / u U o b y 3 r 3 d 8 Y 5 G 4 T e p M Y f e r V 7 s c 8 d t u + y z x y 1 1 2 3 t i 2 O e L W 2 q 5 m + n d Z 4 F b T m q f G 7 Z v 9 6 a n A G 8 z G k 8 H v h + G n k K 8 V T 9 R N r h N R w 7 B / V B D v l d 6 H I r h B u V o w Y f K U T X K r e E P K k c D f 3 / n w b 1 7 D 3 c e 0 r L A J h 3 n u P 8 9 X 3 R y Y F 6 8 n Z u m r Y e 5 2 T H + j U 0 d 3 9 / Y 1 H H 6 j U 0 9 V X d z 2 z 7 f 3 N J N u 1 X z / r T e 0 k 2 7 V f P 3 m 0 J P g d 2 q + X v M o 6 f A b m 7 7 H j P p a a m b 2 / Z m c k P b 3 j R u a N u b w w 1 j s 0 3 v h 0 r I p M h P v n 3 6 E 1 + d 3 k 5 V 7 N 2 o i m w n o S p S q b 8 1 / E F V Z O D v 7 R 3 c 3 9 l 7 + O l 4 / 3 a a y L y 3 e + / g 4 U M y r e N 7 m 9 w 7 x 8 X m v e 3 7 O / d 2 H u x t X O F z z G z f e r h / / 9 7 B A 1 o Y 3 G T G H V e b 9 z Y J g e N r 0 / p W n T g W f z / k P M 2 l L 9 5 K c 5 l O D h 7 S y u j O v V u 7 a B a 5 2 7 3 Y Z 4 x b K r P 3 w 6 / P D 7 f U a u 8 5 n B 4 n 3 E q / v e e E 9 j n h V u 9 5 i u / 9 O v S 0 4 G 2 o 5 y n C 9 8 P v P X n B t v 4 0 r h d v u X R 4 c O 9 G n W g 7 C H W i D u b W 8 A d 1 o o F / 7 + G D e w 8 f 7 t 3 b H 3 9 6 c C u l + J 4 v O i k w L 9 7 O P d P W w 7 z s 2 P 7 G p o 7 r b 2 z q + P z G p p 6 S u 7 l t n 3 N u 6 Z 7 d q n l / W m + p 0 W 7 V / P 2 m 0 F N k t 2 r + H v P o q a + b 2 7 7 H T H p a 6 u a 2 v Z n c 0 L Y 3 j R v a y h z e q q 1 D 4 U G o h r 7 G 8 i G C 0 R t U k e 0 k V E X 7 7 w l / U B U Z + L s H 9 + 7 v j P d u 5 5 u 9 x 0 u O f 8 1 L t 1 N B 2 n p 4 H h z r 3 t j U c e 6 N T R 3 j 3 t j U U 0 E 3 t + 1 z z S 1 V 0 K 2 a 9 6 f z l i r o V s 3 f b w o 9 F X S r 5 u 8 x j 5 4 K u r n t e 8 y k p 4 J u b t u b y Q 1 t e 9 O 4 o W 1 v D j e M z T Y 9 6 K i g 9 1 x G P L h / o / 6 x P Y T 6 5 / 5 7 w h / U P w Y + v f B g 7 y E l 6 D 5 V 1 R Y d u e P c 9 3 v P s b B 5 7 3 Z a S F s P T 4 X j 3 h u b O u a 9 s a n j 3 R u b e l r o 5 r Z 9 x r m l F r p V 8 / 6 k 3 l I L 3 a r 5 + 0 2 h p 4 V u 1 f w 9 5 t H T Q j e 3 f Y + Z 9 L T Q z W 1 7 M 7 m h b W 8 a N 7 T t z e G G s d m m D 3 0 t 9 P B r L C c + 3 L l R D 9 k + A j 2 E F 9 8 L / q A e M v B 3 P 0 X S 2 + i 3 6 M A d 4 9 q X 7 t + / / + k Y q w 2 D L z n 2 N S / t 3 3 + 4 N / 5 0 U 0 e O h + 0 7 N J b x / d u l p m 7 / j m N o 8 8 4 m W X E s f f s e P C 2 l L 9 1 K S 5 k O 7 u / f G + 9 u 8 j I 9 V W X e 2 b 7 5 p f 7 s 3 1 J h 3 R 6 v / r T f U m u 9 x z B 6 U 3 4 r 3 f U e k 9 e f 8 e 2 b 3 / L U 2 W 2 G 7 m m 0 2 2 P m q b Z b 9 d G f 8 F s M x C J 2 s B P q u f d a F H y 4 e 5 O K c + B D F b f 7 n v C H V J y F v 7 v z 6 a c P x w 9 v F e q 9 z 0 u W 1 + 1 L m y b D s r p p P c y 1 l s F v b m r 5 + + a m l q t v b u r U 1 y 3 a 9 v l l o 8 j 3 5 3 9 j 8 / 5 0 3 k 5 n 3 a 7 5 + 0 2 h U 1 e 3 a / 4 e 8 + g U 1 S 3 a v s d M O q 1 0 i 7 a 9 m d z Q t j e N G 9 r 2 5 n D D 2 G z T 3 V D 5 v G f S + 6 F N S g + q H 9 t B q H 5 U N d 4 a / q D 6 M f B 3 K W s 0 v p 3 y u f U r j m / N K 7 d T P d p 6 m P 6 O Z W 9 s 6 j j 2 x q a O Y W 9 s 6 q m e m 9 v 2 u e W W q u d W z f t T e U v V c 6 v m 7 z e F n u q 5 V f P 3 m E d P 9 d z c 9 j 1 m 0 l M 9 N 7 f t z e S G t r 1 p 3 N C 2 N 4 c b x m a b 7 o W q 5 2 s k u h / u 3 6 h + b C e h + t l / T / i D 6 s f A 3 9 u h E G 9 8 c C v 9 c / t 3 H P e a d 2 6 n g L T 1 8 C w 4 x r 2 x q e P b G 5 s 6 t r 2 x q a e A b m 7 b 5 5 l b K q B b N e 9 P 5 i 0 V 0 K 2 a v 9 8 U e g r o V s 3 f Y x 4 9 B X R z 2 / e Y S U 8 B 3 d y 2 N 5 M b 2 v a m c U P b 3 h x u G J t t e q + j g N 4 z z f 3 w x j S 3 6 y H U P r d L c z v 4 g 9 r H w K f I c 3 + 8 d 6 v s 0 n u 8 4 1 j X v H M 7 7 a O t h 6 f A c e 2 N T R 3 T 3 t j U 8 e y N T T 3 t c 3 P b P s P c U v v c q n l / M m + p f W 7 V / P 2 m 0 N M + t 2 r + H v P o a Z + b 2 7 7 H T H r a 5 + a 2 v Z n c 0 L Y 3 j R v a 9 u Y w a D u g f f Y 9 7 f P p / f d K + 3 x 6 f / d G 1 W P B + 6 q H X 3 w v + I O q x 8 D f x C C O W W / T 2 v G q a X 3 v 3 s N b K Z z b t X f c e r v 2 j m N v g 7 3 j 2 d t B 9 1 S Q v n A r F X Q b V D w V d K v m 7 z e p n g q 6 V f P + t N 5 S B d 2 q e W 9 S b 6 W C b j l F / T n d 3 v y G p 4 1 u g 7 2 n k G 6 H k a e V b g W / P 7 M 3 D M A h d D 9 U T + + X G P o U q e 8 b F J T t I F R Q 9 9 4 T / q C C M v B v p 6 B M 6 / s H B z s 7 t 9 N S 5 p X t G 9 9 x P K 3 v D D O p 4 + c b m z p 2 v r G p Y + Q b m 3 p 6 6 e a 2 f X a 5 m R i e d r o 1 0 T 0 V 9 R 4 d 9 W f 3 l o r q 9 n j 1 Z v a 2 2 u p m 2 r 7 H 9 H q K 6 s a 2 n o q 6 u W 1 v f j e 0 7 U 3 r h r a 9 6 d w w N t v 0 U 1 8 j f Z q + P n 7 + 9 M v 0 5 M 1 x + u T 4 x a 2 U x q c 7 N y o l 2 0 e g l D 7 V S b 0 1 / E G l Z O D v P t h / e L A / v r 9 / K + V k 3 3 p 4 / + H B p + O D T R r c c b F 5 a + / g / s N 7 4 3 u b u n J s b F 6 i 6 P P h / f G n t / O n 3 u M l x 9 X m p d s 5 V e / R h a f B 9 K 1 b a T D T w / b e 7 s 7 O 3 v j e p s j Y 0 2 G W y r d 4 q 8 8 H t + q s z w i 3 1 G P v g 1 u f B W 6 p y W 6 m c X / O b z O L / b n f v s V r n n q 7 z T g 8 D f c e u H m 6 7 l a d R O b 9 F r 0 4 1 B 6 E m u + 9 Q s V P b S g 3 q P Q s + F D p 7 b 4 n / E G l Z + D v P X z 4 8 G B v v P P g V k r v f d 5 y L G / e u p 0 7 p q 2 H e d e x + Y 1 N H Z f f 2 N S x 9 o 1 N P W V 2 c 9 s + x 9 z S E b t V 8 / 6 E 3 t L 7 u l X z 9 5 t C T 1 3 d q v l 7 z K O n r m 5 u + x 4 z 6 W m m m 9 v 2 Z n J D 2 9 4 0 b m j b m 8 M N Y 7 N N D 0 L 1 8 5 6 h 4 K c 3 h 4 K 2 g 1 A B 3 S 4 U d P A H F Z C B v / d g Z 7 M / 7 3 j 2 1 q 8 4 v j W v 3 E 7 1 a O t h + j u W v b G p 4 9 g b m z q G v b G p p 3 p u b t v n l l u q n l s 1 7 0 / l L V X P r Z q / 3 x R 6 q u d W z d 9 j H j 3 V c 3 P b 9 5 h J T / X c 3 L Y 3 k x v a 9 q Z x Q 9 v e H G 4 Y m 2 3 6 M F Q 9 Z z 9 5 n P 4 + 6 c m X X 5 y 9 P v v y x e 3 U w / 6 N 6 s d 2 E q q f / f e E P 6 h + D P y 9 P V q e H C v Y 6 M A d 4 9 7 + H c e 9 5 p 3 b K S B t P T w L j n F v b O r 4 9 s a m j m 1 v b O o p o J v b 9 n n m l g r o V s 3 7 k 3 l L B X S r 5 u 8 3 h Z 4 C u l X z 9 5 h H T w H d 3 P Y 9 Z t J T Q D e 3 7 c 3 k h r a 9 a d z Q t j e H G 8 Z m m j 7 c 6 S i g F 2 / S z 4 9 f H D + 9 b f R 1 / y b t 4 3 o I t Y 8 G 6 7 e G P 6 R 9 L P x d S g I 9 O L i N 8 r G v 7 D 2 4 P 9 5 V R K K v W M a 1 r 2 w f 7 I 7 v b Q r V L P O a V 4 Z n w T L u z U 0 t 3 9 7 c 1 L L t z U 2 d A r p F 2 z 7 P 3 E g L p 4 X s O z e + 0 p / Y m 7 v p z + z t 1 N H t s e r N 6 i 1 V 0 i 3 o + h 5 T 6 1 T S z W 2 d S r p F 2 9 7 c b m j b m 9 M N b X u T u W F s t u m u r 5 I e f I 0 8 + I O d G 5 W S 7 S N Q S n j x v e A P K i U D f / 9 g 5 9 4 O p c U e j M G k g w z j G N i + S C / d 3 3 v w 6 e 7 m H L p j Z f P i 7 q c H + w f 7 D z Z n Q x 0 7 m 9 f 2 H j 7 Y 3 x 0 / 2 P S S Y + r 3 e M l x t 3 l p k + A 4 / n 6 P L j w t p m / d S o s 5 g t 2 / v 7 t D u c r b K T L z 2 v a t 3 u t z x E a 9 0 e e D W / X S 5 4 K N v f R n / 3 a D 6 T H A r b T a + 8 x k f / 6 3 b / G a p + p u M 3 5 P 2 7 0 H b p 7 e u 1 U n / Z m / z V A c a n u h F n y v n P i D 3 R s V o A U f K s D d 9 4 Q / q A A N / I N 7 B / d 3 7 + + T o 7 W / y c A 6 x n c v P v i U 3 r 3 / c H x / 0 4 u O 9 e 2 L D z 5 9 u H t / / P B W 6 k 9 f G m Z k x / M 3 N n U s f 2 N T x + c 3 N v W 0 2 8 1 t + + x z C 2 p 4 y s 2 8 t X 2 b 1 / q T f U v d 9 j 6 4 9 e f 3 l q r t v Y b y H r P s a b a b 2 7 7 H P H t K 7 O a 2 v X n e 0 L Y 3 u x v a 9 q Z 0 w 9 h s 0 3 u h p j L p 8 5 N v n / 7 E V 6 e 3 0 y d 7 N + o r 2 0 m o r / b e E / 6 g v j L w 9 z 8 9 G N / 7 9 F a a y r y y i S E d + 9 6 6 A 8 f C + s r w H D i 2 v b G p 4 9 o b m z q m v b G p p 5 x u b t v n m B t p 4 a k m 8 8 7 2 z S / 1 Z / W W i u n 2 e P X n 9 Z Z q 6 T 2 G 8 R 6 z 6 y m l m 9 u + x / x 6 S u n m t r 3 5 3 d C 2 N 6 8 b 2 v a m c 8 P Y b N P 9 u F K 6 5 Z r e g 3 s 3 K i T b Q a i Q 7 r 0 n / E G F Z O A / u H e f Q s H d W + q k 9 3 n L 8 b B 5 a x M P O x b W 1 s O z 4 B j 3 x q a O b 2 9 s 6 t j 2 x q a e W r q 5 b Z 9 n N o p y n w M 2 N u 9 P 6 C 1 1 0 a 2 a v 9 8 U e m r o V s 3 f Y x 4 9 B X R z 2 / e Y S U 8 B 3 d y 2 N 5 M b 2 v a m c U P b 3 h x u G J t t e j 9 U Q F 9 j Z e / B / o 1 K y H Y S K q H 9 9 4 Q / q I Q M / A c P D 3 Y f 7 I + x s j n I L o 5 1 v b c e 7 t z b b O U c B 5 u 3 t h / s H Y z 3 N / X k 2 F j f G Z 4 P x 8 I 3 N n U c f G N T x 8 A 3 N v V U 0 c 1 t + 9 x z M z E 8 h W T p f u M 7 / R m + R U f 9 C b 6 l b r o 9 X r 2 Z v a 2 C u p m 2 7 z G 9 n o K 6 s a 2 n o G 5 u 2 5 v f D W 1 7 0 7 q h b W 8 6 N 4 z N N v 2 0 o 6 D e c + U P a a w b t J P t I d R O 9 9 8 T / q B 2 M v B 3 D x 7 e f z D e 1 1 g w O m z H u + a l v Y e f f v r p + F P 1 1 6 I v O Q 4 2 L 2 3 v 7 j z Y e T j G R A 6 + 5 X h Y 3 x q e D M e / N z Z 1 7 H t j U 8 e 9 N z b 1 t N P N b f u s c x t y e P r J z t c t 3 u r P 8 q 0 6 6 8 / z L X X U + + D W m + H b a q m b a f w e 0 + x p q R v b e l r q 5 r a 9 e d 7 Q t j e 5 G 9 r 2 p n T D 2 G z T B 7 6 W e v g 1 F g O x 8 n i D n r J 9 B H r q o U 7 q r e E P 6 i k D / 9 O D h 7 s P N i 6 x O P Y 1 7 9 z b v X e w N 7 6 v O j P 6 k m N i 8 9 L 9 T z / d 3 x n v 7 d 9 K S 5 m X d h 9 i A Q h c N f i S 4 + T 3 e M m x t H l p k 7 Q 4 p n 6 P L j w 1 p m / d S o 1 Z G j + 4 f + / + e G c T j T 0 t Z t 7 a v s 1 r f S a 4 Z f j 3 P r j 1 G e C W U e B 7 D a U 3 + Y b G G 9 X Y + 8 x i f + 6 3 b / G a p 9 t u M 3 x P v b 0 H b p 6 i u 1 U n / X m / z V A c a g e h 2 n u v 1 T 8 s O N 6 g 8 S z 4 U O O p 1 b s 1 / E G N Z + D v 7 t 6 / / + m D z Y N 2 P G / f 2 t u 5 f 7 C z e c H Q 8 b x 5 a 3 t / b + / e e G 9 T f O E 4 3 7 z 0 w G j 5 G / T d 7 d o 7 t j f t b 6 f q b g f d 0 3 L 6 w q 2 0 n K X P / Z 3 d G + j j a T n z 1 i 1 e 6 k / 7 b b r q T / v G s f f n + x Z 9 9 O d 7 Y x + 9 6 b 6 V h r v l 5 P V n e 3 v z G 5 5 e u w 3 2 n l 6 7 H U a e S r s V / M g 0 3 z B k + 8 L D U J u 9 Z z I e a f 8 b 9 J n t I N R n t 0 v G O / i D + s z A 3 9 v d 3 x 3 f L s 4 0 r + z u f v p w 4 y u O s 8 0 r D 8 2 y 5 g 1 K T N s P c 6 l j 6 B u b O n 6 + s a n j 5 B u b e i r r 5 r Z 9 f t l M C E 9 b m R e 2 b 3 i j P 6 M b G b g / m z f A 7 8 / l R v i 9 q b x x A O 8 x o 5 6 K u r n t e 8 y p p 5 d u b t u b 0 w 1 t e 9 O 5 o W 1 v I j e M T Z s e 7 O y E a u h r p O Q f 7 t + g i r x O Q l W 0 / 5 7 w B 1 S R g 7 9 3 7 z 4 F h h u 5 x b D v e 7 1 k W N i 9 t I m F D Q f b 1 s P z Y F j 3 F k 0 N 5 9 6 i q W H c W z S 1 y u g 2 b f t c s 1 G S + / O / s X l / O m + l h 2 7 Z / P 2 m 0 G q h W z Z / j 3 m 0 K u g 2 b d 9 j J q 0 K u k 3 b 3 k x u a N u b x g 1 t e 3 O 4 Y W y 2 6 W 5 H B b 1 n 0 h 3 5 / R v 0 j + 0 h 1 D + 3 S 7 o 7 + I P 6 x 8 C H W 7 M x e + 6 Y 1 r 7 y Y G + 8 q 4 h E X 3 G M a 1 7 Z p t z X b Z w h + 8 b w J D i + v b G p Y 9 s b m z q u v b G p p 3 9 u b t t n m Z t I 4 e k g 8 8 p N b / R n 9 c Z O + r N 6 S 1 V 0 W 5 x 6 M 3 p b b X Q z T d 9 j W j 1 t d G N b T x v d 3 L Y 3 r x v a 9 i Z 0 Q 9 v e V G 4 Y m 2 2 6 5 2 m j B z v v n 1 x / A N V 3 g z 6 y f f j 6 i F 9 8 L / i D + s j A 3 6 O 8 1 O 7 + g 8 0 L z I 5 7 3 W u U R 9 j b G 4 N s g 6 8 5 L j a v f b p z / / 7 9 8 b 1 N y s w x s n l p 9 + H 9 v Y f j g 0 0 I O n Z + j 5 c c X 5 u X N o m M 4 + z 3 6 M L T X f r W r X S X 6 W F / d 2 f v / u a E n q e + z F v b t 3 m t z w m 3 d K X e B 7 c + A 9 z S o 3 q v o f Q m / 1 a 6 7 H 1 m s T / 3 2 7 d 4 z V N w t x m + p + P e A z d P 2 9 2 q k / 6 8 3 2 Y o D r V 7 o e 5 7 n w z 7 A y i L G 9 S e B R + q P d U y t 4 Y / q P Y M / P v 3 9 h 8 e 7 D 2 8 l c 7 z 3 t k / u E 9 x 4 O 1 0 n n l t 7 / 4 B L V 9 u 7 M s x v n 1 p 5 2 B / U z e O 5 + 0 b e w 8 3 L r 8 7 z v f 6 u J 3 C u y 1 S n r b T V 2 6 l 7 Q z 4 / Y c P P t 1 M J 0 / Z m Z e 2 b / F W f / p v q e v e A 7 P + v N 9 S 1 b 3 P Q H q z f i t N d + v p 6 8 / 4 9 k 3 v e D r u N u P 2 d N x t s f I U 3 K 1 6 6 E / 2 j Y N w S O 2 H 2 u 3 9 M u 4 P 0 O M N + s 1 2 E O q 3 e + 8 J f 1 C / G f j 3 9 / b 3 9 + 7 t 3 U q / 3 f 4 d x + T m n U 1 T 4 X h c W w 9 z q 2 P s G 5 s 6 v r 6 x q e P n G 5 t 6 q u v m t n 1 + 2 S j r / d n n 5 j d r q 1 s 1 7 8 / j x u b v N 4 W e n r p V 8 / e Y R 0 9 B 3 d z 2 P W b S 0 0 g 3 t + 3 N 5 I a 2 v W n c 0 L Y 3 h x v G Z p v e D 5 X P + + f Z H 6 C 3 G x S Q 7 S R U Q P v v C X 9 Q A R n 4 + w / u P / x 0 v H M 7 D f Q e L z n + N S / d T g V p 6 + F 5 c K x 7 Y 1 P H u T c 2 d Y x 7 Y 1 N P B d 3 c t s 8 1 t 1 R B t 2 r e n 8 5 b q q B b N X + / K f R U 0 K 2 a v 8 c 8 e i r o 5 r b v M Z O e C r q 5 b W 8 m N 7 T t T e O G t r 0 5 3 D A 2 2 / T T j g p 6 v z z 7 A 3 R 1 g / 6 x P Y T 6 R z N C t 4 Y / q H 8 M / N 1 7 e + P b K R / z x t 7 D h 2 P I 1 e A r j m / N K 9 u 7 n 3 4 6 f r j p H c e 8 + s 7 w L D j G v b G p 4 9 s b m z q 2 v b G p p 4 B u b t v n m Z u J 4 a k h O 0 0 3 v t O f 2 l t 0 1 J / d W 2 q k 2 + P V m 9 n b q q W b a f s e 0 + u p p R v b e m r p 5 r a 9 + d 3 Q t j e t G 9 r 2 p n P D 2 G z T B 7 5 a 2 v 0 a C X e w 9 g 2 K y f Y R K K Z d n d R b w x 9 U T A b + 3 s P 7 D 3 b v j T F x g 9 z i 2 N e + d f / + p / u 7 Y 5 B v 8 C 3 H x e a t + 9 T X / v h g U / b U s b F 5 i d K B O 3 u b m d 8 x 8 3 u 8 5 L j a v L R J Y B x f v 0 c X n g b T t 2 6 l w U w P + z s 0 k + O H n 9 5 O h Z m 3 t m / z W p 8 P b u l R v Q 9 u f Q a 4 p W P 1 X k P p T f 6 t N N n 7 z G J / 7 r d v 8 Z q n 3 m 4 z f E / D v Q d u n q 6 7 V S f 9 e b / N U B x q B 6 H m e 6 9 0 O z j 8 B q V n w Y d K T 3 G 7 N f x B p W f g 3 3 + 4 e / D p g z H 4 Y X D Q j u f f 5 y 3 H 8 + a t T f P h W F 5 b D / O u Y / M b m z o u v 7 G p Y + 0 b m 3 r K 7 O a 2 f Y 7 Z K P p 9 D t j Y v D + h t 9 R e t 2 r + f l P o q a 1 b N X + P e f T U 1 c 1 t 3 2 M m P c 1 0 c 9 v e T G 5 o 2 5 v G D W 1 7 c 7 h h b L b p w 1 D 9 v G c + H H x z g w K y H Y Q K 6 H b 5 c A d / U A E Z + P v 3 d x 8 8 v D / + d J M q c W z 7 P m 8 5 7 j V v 3 U 4 B a e v h W X C M e 2 N T x 7 c 3 N n V s e 2 N T T w H d 3 L b P M 7 d U Q L d q 3 p / Q W y q g W z V / v y n 0 F N C t m r / H P H o K 6 O a 2 7 z G T n g K 6 u W 1 v J j e 0 7 U 3 j h r a 9 O d w w N t M U L O g r o K + R E w c z b F Z C r p N Q C e 2 / J / w h J W T h 7 + 0 + + H R 3 / O l t V N B 7 v G O 5 1 7 5 z K w V k W g / P g m X c m 5 t a v r 2 5 q W X b m 5 s 6 B X S L t n 2 e u Z 0 C u l 3 z / m T e T g H d r v n 7 T a F T Q L d r / h 7 z 6 B T Q L d q + x 0 w 6 B X S L t r 2 Z 3 N C 2 N 4 0 b 2 v b m c M P Y b N N d X w H t f Y 3 U E 4 Z + g / 6 x f Q T 6 B y + + F / x B / W P g 3 9 s 9 u H d / D P Y Z Z B b H u O a l v Q f 3 9 v c 3 p t I d 9 9 p 3 7 u 1 T + n 1 3 0 0 u O h 8 1 L u w c P K c O 1 E T v H y e / x k m N p 8 9 I m a X F M / R 5 d e I p K 3 7 q F o n I 9 7 O 8 / 3 L l t 2 s m + t H 2 L t / o s c E u t 9 R 6 Y 9 W f / l r r r f Q b S m / h b q b D 3 m c H + v G / f 4 j V P r 9 1 m 9 J 5 q e w / c P C V 3 q 0 7 6 s 3 6 b o T j U 9 k K V 9 1 4 5 J 4 z w B m 1 n w Y f a b v c 9 4 Q 9 q O w N / f / / B 3 s P b a r v 3 e M k x v H l p 0 2 w 4 f t f W w 5 z r m P z G p o 7 H b 2 z q G P v G p p 4 a u 7 l t n 1 8 2 y n 1 / / j c 2 7 0 / n L T X X r Z q / 3 x R 6 O u t W z d 9 j H j 1 l d X P b 9 5 h J T y / d 3 L Y 3 k x v a 9 q Z x Q 9 v e H G 4 Y m 2 1 6 L 1 Q + J u N 0 8 u 3 T n / j q 9 H Y q Y u 9 G F W Q 7 C V W Q + i u 3 h j + o g g z 8 3 Y c P 7 2 9 0 n R z f m l c e P H h w S 2 f L d r K 3 M U H u m F d f G J 4 F x 7 g 3 N n V 8 e 2 N T x 7 Y 3 N v U U 0 M 1 t + z x z A y U 8 H W T e 2 L 7 p l f 6 c 3 l I P 3 R a n / n z e U h X d e g j v M a u e O r q 5 7 X v M q 6 e O b m 7 b m 9 c N b X s z u q F t b y o 3 j M 0 2 3 Q / V 0 d f I P + 3 t 3 6 i O b C e h O t p / T / i D 6 s j A 3 9 2 l 5 P 9 4 E 7 M 4 / r X v 3 N v Z + 3 T j O 4 6 D z T s 3 s a R j Y n 1 j e C Y c 8 9 7 Y 1 P H u j U 0 d 6 9 7 Y 1 F N J N 7 f t 8 8 2 N 0 t n n g t u r p F t 3 0 p / W W 7 p H t 8 W p N 6 O 3 9 Z B u p u l 7 T K u n k m 5 s 6 6 m k m 9 v 2 5 n V D 2 9 6 E b m j b m 8 o N Y 7 N N 7 / s q 6 d 7 X y E j d 2 7 l R I 9 k + A o 1 0 T y f 1 1 v A H N Z K B T + v 7 t 9 Z I 5 p 2 D + z s P x v v 7 t 9 J I 5 p 2 9 / f s P P 9 0 c 1 j k W t s h R Y m J / I 3 K O j 2 / / j u N n 8 8 4 m U X E c f f s e P J W l L 9 1 K Z d k O d u i / 8 b 1 N t P K 0 l n l r + z a v 9 R n g l t 7 U + + D W n / 1 b e l T v N Z T e 1 N 9 K h b 3 H J P Z n f v v m t z y t d p v B e 4 r t 9 p h 5 G u 5 W f f Q n / R Y D c Y h 9 G q q 7 9 8 p G 3 b s 5 G 2 X B h 5 r u d t k o B 3 9 Q 0 x n 4 B 3 t 7 t 1 N z 5 o W 9 / U 9 v 7 X i Z d 7 Z 3 P 7 3 3 c L M + d e y u L w 3 z r W P x G 5 s 6 D r + x q e P r G 5 t 6 i u z m t n 2 O u Q U 1 P E V m 3 r r F S / 3 Z v U 1 X / S n e q J f 6 s 3 u L P n q z e 1 s / 7 G b 6 v s c U e 7 r r x r a e x r q 5 b W + O N 7 T t z e y G t r 0 J 3 T A 2 2 / R B q J h M p u r N q 9 u p j n s 3 q i b b Q a i a 7 r 0 n / E H V Z O D v 7 e 2 M 9 2 + l m 2 7 7 h u N d 8 8 Y m N n R M q 6 2 H q e 8 Y 9 s a m j l 9 v b O r Y 9 c a m n k q 6 u W 2 f V z Z K Y 3 / m N z b v T + Q t n a l b N X + / K f Q U z 6 2 a v 8 c 8 e o r n 5 r b v M Z O e 4 r m 5 b W 8 m N 7 T t T e O G t r 0 5 3 D A 2 2 / Q g V D x f I y d 1 b / 9 G 5 W M 7 C Z W P S v 2 t 4 Q 8 q H w N / 9 8 H O L r m C t / O N 3 u M l x 7 / m p d u p I G 0 9 P A + O d W 9 s 6 j g 3 1 n R A B d 3 Y 1 F N B N 7 f t c 8 0 t V d C t m v e n 8 5 Y q 6 F b N 3 2 8 K P R V 0 q + b v M Y + e C r q 5 7 X v M p K e C b m 7 b m 8 l b q a C b 2 / b m 8 D Y q 6 K G v g v a / R g 5 q f + d G D W T 7 C D Q Q X n w v + I M a y M D / 9 O H 9 / U / H D 2 6 3 T G d e 2 j u 4 f 3 9 / c 4 r A s a / t a X f 3 3 t 5 4 5 + B W i s j 2 t L N 7 7 + F m 9 B w r v 8 d L j q f N S 5 v E x X H 1 e 3 T h a S p 9 6 1 a a y v S w v / P w 4 d 6 t E 1 H m r e 3 b v N b n g l s q r v f B r c 8 A t 9 R f 7 z W U 3 u T f S o + 9 z y z 2 5 3 7 7 F q 9 5 y u 0 2 w / f 0 2 3 v g 5 m m 6 W 3 X S n / f b D M W i h j H 5 e u + 9 k l H 7 u z e p P A c + V H m 7 7 w l / S O V Z + L u 7 D 3 c / 3 R v f v 5 X O e 6 + 3 L M / b t z b N h 2 V 5 0 3 q Y d y 2 b 3 9 z U c v n N T S 1 r 3 9 z U K b N b t O 1 z z E b R 7 3 P A x u b 9 C b 2 d 9 r p d 8 / e b Q q e 2 b t f 8 P e b R q a t b t H 2 P m X S a 6 R Z t e z O 5 o W 1 v G j e 0 7 c 3 h h r H Z p r s d 9 f P + k R / W z W 5 Q Q r a T U A n t v y f 8 Q S V k 4 O 9 + e r D 3 c H y 7 r P j 7 v O T 4 1 7 x 0 O x W k r Y f n w b H u j U 0 d 5 9 7 Y 1 D H u j U 0 9 F X R z 2 z 7 X 3 F I F 3 a p 5 f z p v q Y J u 1 f z 9 p t B T Q b d q / h 7 z 6 K m g m 9 u + x 0 x 6 K u j m t r 2 Z 3 N C 2 N 4 0 b 2 v b m c M P Y b N M 9 X w V 9 + j U i v 0 9 3 b t R A t o 9 A A 3 2 q k 3 p r + I M a y M D f P d j b 3 9 2 5 v z v + d P d W S s h 7 7 / 7 9 + w / 2 x p / e z h U y 7 + 0 / u P + Q E u e b l J d j Z f P S p 3 s 0 s v H + w w 0 v O Y Z + j 5 c c Z 5 u X N g m N 4 + 3 3 6 M L T V / r W r f S V 6 Y G W i e / v 7 Y 5 3 N k 2 O p 7 f s 7 N z i r T 4 v 3 K q z P i v c U o 2 9 D 2 5 9 F r i l N r u Z x v 0 5 v 8 0 s 9 u d + + x a v e S r u N u P w t N x 7 4 O b p u 1 t 1 E p n 3 W / T i U L s X a r / 3 i v + g Z G 5 Q f B Z 8 q P i U X W 4 N f 1 D x G f h 4 Z e / + P m m w + 7 d S f O 6 9 / U / v 7 e 8 + f D C + t 4 m F H d + b F 7 f v 3 X v 4 k N Y F x g e b 3 n O c b 9 5 7 + O n 9 T S 8 4 3 r / l C 0 4 A z A u 3 U 3 q 3 B O 8 p P H 3 j V g r P U W l / 5 + D B 3 v 5 m K n k q z 7 x 4 u / f 6 f H D L D v u M c E u 1 9 3 7 4 9 a f / l o r v Z l r 3 5 / 2 m m e z P / f Y N r 3 g K 7 z b 4 e w r v l j h 5 y u 5 W H U T m + 6 Z R 2 z f 2 Q 0 V 3 K n o u f f P q d q r o 3 o 2 q z n Y Q q r p 7 7 w l / U N U Z + L u f 3 n v w 8 N 7 G F K p j b / v S / Q c P d z e / 5 J j c v H T / 4 G B n Z 9 O E O P 7 W V 4 Y Z 1 v H 2 j U 0 d a 9 / Y 1 P H 0 j U 0 9 T X Z z 2 z 7 b 3 E g L T 4 m Z d 7 Z v f q k / v R u b 9 y f 2 5 i 7 6 8 7 q x e W 9 O b z O M 9 5 h d T 3 P d 3 P Y 9 5 t d T V j e 3 7 c 3 v h r a 9 e d 3 Q t j e d G 8 Z m m 9 4 P N d P X y I F 9 u n + j d r K d h N p p / z 3 h D 2 o n w A f 8 v Y f 3 P z 3 Y G W O W B 9 n F c b H 3 1 o N 7 u + O H D 2 6 l n 8 x b 2 x T o P t j k 5 j p e 1 l e G p 8 N x 8 I 1 N H Q P f 2 N T x 7 4 1 N P f 1 0 c 9 s + 8 9 x I C 0 8 / m X d u f K U / v T d 3 0 5 / c W 2 q n W 2 P V m 9 X b e l U 3 0 / U 9 p t b T T T e 2 9 X T T z W 1 7 c 7 u h b W 9 O N 7 T t T e a G s d m m n / q 6 6 e B r J M c O d m 5 U T b a P Q D U d 6 K T e G v 6 g a j L w 9 + / t P z j Y v z 9 + q C 5 Z d O i O f c 1 r B 6 T P H p K r D 2 I P v u b Y 2 L z 2 6 Y P d z V l 9 x 8 Y O w X v 3 H u w / H N / f p A Y d O 7 / X a 4 6 z z W u 3 i x P f q x N P h + l 7 t 9 J h p o 9 t d E J T O t 6 7 p S L z k b v 5 v T 5 H 3 L L D P k / c U q W 9 H 3 5 9 h r i l X r u Z 1 v 3 Z v 9 1 8 9 v l g + 1 Y v e g r v N m P x d N 5 7 4 e f p v 1 t 1 M 8 A B N / b j 0 H s Q 6 s P 3 S p c h V 3 C D K r T g Q 1 W o E e 6 t 4 Q + q Q g P / 4 a c H B 2 P j / N 2 g B 2 / / j m N 8 8 8 7 t g k d t P c y / j t V v b O o 4 / c a m j r l v b O o p t p v b 9 r n l l n H j r Z r 3 J / O W E e O t m r / f F H o q 6 1 b N 3 2 M e P Z V 1 c 9 v 3 m E l P M 9 3 c t j e T G 9 r 2 p n F D 2 9 4 c b h i b b X o Q q h 6 T w D r 5 9 u l P f H V 6 O w W x d 6 M C s p 2 E C k h d n 1 v D H 1 R A B v 7 + z o N d e m O 8 S e s 6 1 j V v 7 e 3 c u 3 + w Q z n 3 + 7 f S Q u a 1 2 2 k h 0 3 r 7 V r 0 4 V r 5 N L 4 6 Z 3 2 s o j q / f D z l P X e m L t 1 J X 7 4 W b p 7 f e E 7 k + N 9 x S g 7 0 f f u / H B 5 4 q e 8 / h 9 D j h V k r t P T v p c 8 K t 3 v O 0 3 f t 1 6 K m + 2 1 D P 0 3 7 v h 9 9 7 8 o J t / T C u D G + Z z T + 4 O Z t v O w g V 4 e 2 y + Q 7 + o C I 0 8 B / s H N x 7 c P / T 8 Y N N 0 a U T g f d 6 z U m A e e 1 2 m l B b D / O x Y / k b m z q O v 7 G p 4 / E b m 3 o K 7 u a 2 f a 7 Z y G N 9 H t j Y v D + l t 9 R m t 2 r + f l P o K b F b N X + P e f R U 1 8 1 t 3 2 M m P Q 1 1 c 9 v e T G 5 o 2 5 v G D W 1 7 c 7 h h b K b p v Z 1 Q B X 2 N t P 3 B / k 1 q y H U S q q H 9 9 4 Q / p I Y s f F p U 3 F G g 0 W F b t r 3 1 G 5 Z z 7 R u 3 U j 6 m 9 f A M W K a 9 u a n l 2 Z u b W p a 9 u a l T P r d o 2 + e X 2 y m f 2 z X v T + T t l M / t m r / f F D r l c 7 v m 7 z G P T v n c o u 1 7 z K R T P r d o 2 5 v J D W 1 7 0 7 i h b W 8 O N 4 z N N t 3 t K J 8 X b 9 L P j 1 8 c P 7 1 t K u r + j Z r H 9 h B q H v X m b g 1 / U P M Y + P u f 3 t + 9 t / P p e G + T n + g Y 9 7 1 e c w x s X r u d D t L W w x P h e P f G p o 5 1 b 2 z q O P f G p p 4 O u r l t n 2 1 u q Y N u 1 b w / p b f U Q b d q / n 5 T 6 O m g W z V / j 3 n 0 d N D N b d 9 j J j 0 d d H P b 3 k x u a N u b x g 1 t e 3 O 4 Y W y 2 6 Z 6 v g x 6 m r 4 / f d 2 3 w 4 c 6 N W s j 2 E W i h h z q p t 4 Y / q I U M / N 1 7 u / d 3 H 4 7 3 b 6 e E z F v 3 d z 7 9 d P / h v X v j h 7 u 3 0 k L m v T 1 S X v v j 3 U 0 v O U Z 2 n d 2 / / / D h 3 s E t l w f f 8 z 3 H 3 e a 9 T Y L j + P v 9 e v H U l r 5 4 K 7 V l O t m m X u 7 d 2 y f a 7 X 9 6 O w 3 m o X e b F / u M c d s u + 8 x x S 7 X 2 n h j 2 + e K W C u 5 m e v d Z 4 J a T 2 u e G 7 d u 9 6 e m + 2 4 z G U 3 / v h 6 G n C 2 / V T 5 w N b t G R Q / B e q B z f a 6 E Q 2 u Q G v W j B h 3 p R N c q t 4 Q / q R Q P / P r H k 2 I S b N 2 j F 2 7 / j u N + 8 c z u / T F s P 8 7 B j 9 x u b O m 6 / s a n j 7 x u b e g r u 5 r Z 9 b r m l X 3 a r 5 v 3 J v K V f d q v m 7 z e F n t q 6 V f P 3 m E d P b d 3 c 9 j 1 m 0 t N N N 7 f t z e S G t r 1 p 3 N C 2 N 4 c b x m a b 7 o e q 5 z 1 z 4 w / v 3 a h 8 b A e h 8 r n 3 n v A H l Y + B v 7 u z e 2 9 v d + / T g / G D g 1 t p o P d 8 0 f G w e f F 2 a k h b D 8 + F Y 9 8 b m z r u v b G p Y 9 4 b m 3 p q 6 O a 2 f c 6 5 p R q 6 V f P + t N 5 S D d 2 q + f t N o a e G b t X 8 P e b R U 0 M 3 t 3 2 P m f T U 0 M 1 t e z O 5 o W 1 v G j e 0 7 c 3 h h r H Z p v d D N f Q 1 8 u M P 9 2 9 U R b a T U B X t v y f 8 Q V V k 4 N 8 / + P T B + J Y Z 8 t u / 4 7 j X v H M 7 B a S t h 2 f B M e 6 N T R 3 f 3 t j U s e 2 N T T 0 F d H P b P s / c U g H d q n l / M m + p g G 7 V / P 2 m 0 F N A t 2 r + H v P o K a C b 2 7 7 H T H o K 6 O a 2 v Z n c 0 L Y 3 j R v a 9 u Z w w 9 h s 0 0 8 7 C u g 9 c + Q P 7 9 + o f W w P o f a 5 / 5 7 w B 7 W P g b + / e 7 B 3 / / 4 9 W u / / 9 N N b q a D 3 f N E x s X n x d n p I W w 9 P h u P f G 5 s 6 9 r 2 x q e P e G 5 t 6 e u j m t n 3 W u a U e u l X z / r T e U g / d q v n 7 T a G n h 2 7 V / D 3 m 0 d N D N 7 d 9 j 5 n 0 9 N D N b X s z u a F t b x o 3 t O 3 N 4 Y a x 2 a Y P P D 1 0 s J O + P n 7 P P P n B z s 6 N m s j 2 4 W s i f v G 9 4 A 9 q I g N / 9 + G n O + P 7 D 2 + l h O w 7 n 3 5 6 / 8 H 4 4 H Y p c v P S 7 R S Q 7 W L / 0 4 c P x p j K w Z c c C 7 / H S 4 6 X b 4 O X 4 + b 3 6 M L T U P r W r T S U 6 W H 7 N l 3 0 + e Q 2 b / V n / 1 a d 9 R n g l o r r f X D r s 8 A t 9 d f N N O 7 P + W 0 Q 6 s / 9 b Y j l K b X b j M P T a + + B m 6 f h b t X J 1 5 x 3 + 9 Z B q O / e J / V 9 s H N z 6 t u C D 1 X d r V L f H v x B V W f g 0 5 j v j e 9 / e i t V d / t 3 H L u b d 2 6 n 6 b T 1 M N 8 6 F r + x q e P w G 5 s 6 t r 6 x q a f I b m 7 b 5 5 a N 8 t u f / Y 3 N + 5 O 5 s X l / H m + p s W 7 V v D e H t 1 V V N 1 P x P S b S U 1 A 3 t v W 0 0 s 1 t v Z m 8 s W 1 v G j e 0 7 c 3 h h r H Z p g 9 D 1 f N + q e + D n Z t T 3 7 a D U P n c K v X t w R 9 U P g b + 3 q f 7 e 7 v j T z c p X M e 1 7 / G S 4 1 3 z 0 u 3 U j 7 Y e n g P H t j c 2 d V x 7 Y 1 P H t D c 2 9 d T P z W 3 7 H H N L 9 X O r 5 v 3 p v K X 6 u V X z 9 5 t C T / 3 c q v l 7 z K O n f m 5 u + x 4 z 6 a m f m 9 v 2 Z n J D 2 9 4 0 b m j b m 8 M N Y z N N 9 3 d C 9 f P + K e 8 D p I s 3 q y D X S a i C 9 t 8 T / p A K s v D v 7 9 / b G y v U 6 L g t 3 9 7 + F c u 7 9 p V b q R / T e n g O L N v e 3 N R y 7 c 1 N L d P e 3 N S p n 1 u 0 7 X P M 7 d T P 7 Z r 3 p / J 2 6 u d 2 z d 9 v C p 3 6 u V 3 z 9 5 h H p 3 5 u 0 f Y 9 Z t K p n 1 u 0 7 c 3 k h r a 9 a d z Q t j e H G 8 Z m m + 5 2 1 M / 7 J b w P d m 5 M e L s e Q t 1 z q 4 S 3 B 3 9 Q 9 x j 4 D x 9 + O t 6 5 l f N z + 1 c c 4 5 p X b q d 7 t P X w B D i e v b G p Y 9 k b m z q O v b G p p 3 t u b t t n l 1 v q n l s 1 7 0 / l L X X P r Z q / 3 x R 6 u u d W z d 9 j H j 3 d c 3 P b 9 5 h J T / f c 3 L Y 3 k x v a 9 q Z x Q 9 v e H G 4 Y m 2 2 6 5 + u e 3 a + R 5 A Y T 3 6 B 9 b B + B 9 t n V S b 0 1 / E H t Y + D f + 3 T v w Y M H + w e U t L 6 V C j L v 3 d / d 3 6 M 1 / 7 2 d 8 b 3 d W y k i 8 + L u p 3 v 3 P t 0 9 G J s k V v Q 1 x 8 3 2 t f v 3 d u / t H d y n j P w m x e f 4 + j 1 f d E x u X t w k P 4 7 N 3 7 M b T 3 3 p m 7 d S X 6 a X 7 d 3 7 u / d 3 H u 6 R 6 3 l / E / 0 8 V e Y Q v N 2 b f R a 5 d a d 9 L r m l h n t f H P v s c U t l d z P N + 3 x w 2 5 n t 8 8 T 2 L V / 1 N O F t x u M p w / f E 0 V O N t + o o y g u 3 6 s m h e C 9 U l u + V I Y c E 3 K A n L f h Q T y r 7 3 B r + o J 4 0 8 D / 9 9 N 7 O 7 s 7 9 h / c 2 j 9 u J w H u + 6 I T B v H g 7 j 0 1 b D 3 O 0 Y / 4 b m z r e v 7 G p Y / Y b m 3 o q 7 + a 2 f b 6 5 p c d 2 q + b 9 a b 2 l x 3 a r 5 u 8 3 h Z 4 S u 1 X z 9 5 h H T 4 n d 3 P Y 9 Z t L T U z e 3 7 c 3 k h r a 9 a d z Q t j e H G 8 Z m m + 6 H S s j k y k + + f f o T X 5 3 e T l X s 3 a i K b C e h K l K p v z X 8 Q V V k 4 N + / f + / h g / 2 H D 8 f 7 n 9 5 K E 5 n 3 9 h 7 c f 3 i A r N X B / q 0 U k X n v d o r I t N 4 m f / L h w 5 1 P P 9 2 c n H f s f J t u H E O 7 w d y m F 8 f c 7 4 m e p 7 T 0 z V s p r f f D z l N f 7 4 t e n y t u q c n e E 8 P 3 4 w Z P p 7 3 v g H r 8 c C v 1 9 r 6 9 9 P n h d i 9 6 m u 8 9 u / T 0 4 G 0 o 6 K n C 9 8 T w P T n C t r 4 f V 4 2 3 X E Y E I 9 6 g F m 0 H o V q 8 9 5 7 w B 9 W i g f 9 w 9 + D + 7 q e 7 D 3 f G Y M P B k T t R e M 8 X n S i Y F 2 + n G L X 1 M D 8 7 1 r + x q e P 8 G 5 s 6 V r + x q a f s b m 7 b 5 5 x b e m i 3 a t 6 f 1 l v q t V s 1 f 7 8 p 9 L R Z v / l G F X Y z F d 9 j I j 2 l d W N b T 0 / d 3 L Y 3 k x v a 9 q Z x Q 9 v e H G 4 Y m 2 3 6 a a i G v s Z y I p j h B l V k O w l V 0 f 5 7 w h 9 U R Q Y + 6 e C 9 8 Q M F e 4 M W u v 0 7 j n v N O 7 d T Q N r 6 N g r o x q a O b 2 9 s 6 t j 2 x q a e A r q 5 b Z 9 n b q m A b t W 8 P 5 m 3 V E C 3 a v 5 + U + g p o F s 1 f 4 9 5 9 B T Q z W 3 f Y y Y 9 B X R z 2 9 5 M b m j b m 8 Y N b X t z u G F s t u m D j g J 6 z w V F T O 0 N 2 s f 2 E G q f + + 8 J f 1 D 7 G P j 3 7 9 3 f 2 3 0 w 3 r m d / n m f t x z 7 m r d u p 4 G 0 9 f A 0 O M 6 9 s a l j 3 B u b O r 6 9 s a m n g W 5 u 2 2 e a W 2 q g W z X v T + g t N d C t m r / f F H o a 6 F b N 3 2 M e P Q 1 0 c 9 v 3 m E l P A 9 3 c t j e T G 9 r 2 p n F D 2 9 4 c b h i b b X r g a 6 C 9 r 7 G s i K H f o I N s H 4 E O 2 t N J v T X 8 Q R 1 k 4 H / 6 8 A E t 4 q h q i 4 7 b 8 a 1 5 Z + 8 h L U T u 7 h 2 M T f Y + + p 5 j Y P P e P q m t T 2 + l h 7 y e P n 1 w / 8 G 9 z Q G f Y + b 3 e 8 8 x t n l v k 8 w 4 1 n 6 / X j y N p S / e S m O Z T r a 5 l 9 3 7 9 8 f 3 N / b S Z 5 1 b v t j n i d t 2 2 e e M W 2 q 0 9 8 S w z x e 3 1 G 0 3 0 7 v P A r e c 1 D 4 3 b N / u T U / t 3 W Y 0 n u Z 7 P w w 9 N X i r f o b Y 4 M a O H I I P Q 7 3 4 X i u I G O c N K t G C D 1 W i 6 q B b w x 9 U i Q b + p w 9 2 9 s a f a t r r B p V 4 + 3 c c 9 5 t 3 N k 2 H Y 3 l t P c z D j t 1 v b O q 4 / c a m j r 9 v b O o p u J v b 9 r l l o y z 3 Z 3 9 j 8 / 5 k b m z e n 8 d b K r B b N e / N 4 W 3 V 1 s 1 U f I + J 9 D T V j W 0 9 3 X R z 2 9 5 M b m j b m 8 Y N b X t z u G F s p u n 9 n V D 1 f I 1 1 Q + C 4 W Q G 5 T k I F p N n + W 8 M f U k A W / v 2 d n f s P P t 3 f H x v Q 0 c F b 5 r X v 7 d 3 f 2 T u g j m 7 p l 9 n 3 b q W I b O v t 2 3 V j 2 f l W 3 V i G f s / B W O Z + X / S c 0 j J v 3 k Z p v S d 2 T n 2 9 N 3 p 9 r r i d J n t f D N + P G 5 x O e + 8 B 9 f j h N u r t v X v p 8 8 P t X n S a 7 3 2 7 d H r w V h R 0 q v B 9 M X x P j r C t d + O q 8 Z b r h u j 2 B r V o O w j V 4 u 3 W D R 3 8 Q b V o 4 D / c P 9 j f 2 X k 4 3 k Q l J w f v 8 5 Y T A v P W 7 V S i t h 7 m Z M f 0 N z Z 1 P H 9 j U 8 f k N z b 1 1 N z N b f s 8 s 5 H D + h y w s X l / Q m + p 0 W 7 V / P 2 m 0 N N j t 2 r + H v P o K a + b 2 7 7 H T H o a 6 u a 2 v Z n c 0 L Y 3 j R v a 9 u Z w w 9 h s 0 7 1 Q A X 2 N F c O 9 / R u V k O 0 k V E L 7 7 w l / U A k Z + P c P d n b H B w o 2 O n D H u L d / x 3 G v e e d 2 C k h b D 8 + C Y 9 w b m z q + v b G p Y 9 s b m 3 o K 6 O a 2 f Z 6 5 p Q L a 0 D y m g G 7 V v D + P t 1 R A t 2 r e m 8 P b K q C b q f g e E + k p o B v b e g r o 5 r a 9 m b y V A r q 5 b W 8 O b 6 O A 7 n U U 0 H u u G O 7 d u G L o e g i 1 z + 1 W D B 3 8 Q e 1 j 4 O O N g / H B w 1 u p n / d 4 y T G v e e l 2 + k d b 3 0 b / 3 N j U s e 2 N T R 3 X 3 t j U 0 z 8 3 t + 2 z z C 3 1 z 6 2 a 9 6 f z l v r n V s 3 f b w o 9 / X O r 5 u 8 x j 5 7 + u b n t e 8 y k p 3 9 u b t u b y Q 1 t e 9 O 4 o W 1 v D j e M z T b d 9 / X P v a + x X n h v 5 0 Y N Z P s I N N A 9 n d R b w x / U Q A b + g 4 d 7 + 7 u f 3 j 8 Y 7 9 9 q z d C + t 3 c f f e 3 f 3 x 3 v 3 7 u V I j I v 7 h 7 c o + D 4 3 v j B / q 0 0 k n 3 t w b 0 H u w 8 + 3 f 1 0 / G B v w 4 u O r 9 / z R c f k 5 s V N 8 u P Y / D 2 7 8 d S X v n k r 9 W V 6 2 d 5 9 s H v w 4 I A m b f z w 4 H a q z C F 4 u z f 7 L H L r T v t c c k s N 9 7 4 4 9 t n j l s r u Z p r 3 + e C 2 M 9 v n i e 1 b v u p p w t u M x 1 O G 7 4 m j p x p v 1 V G U F 2 7 V k 0 P x f q g s 3 2 s R 8 d 7 u j X r S g g / 1 5 O 5 7 w h / U k w b + 3 r 0 H n + 7 t 7 j / c G e 9 / e i t F + Z 4 v O m E w L 9 7 O Y 9 P W w x z t m P / G p o 7 3 b 2 z q m P 3 G p p 7 K u 7 l t n 2 9 u 6 b H d q n l / W m / p s d 2 q + f t N o a f E b t X 8 P e b R U 2 I 3 t 3 2 P m f T 0 1 M 1 t e z O 5 o W 1 v G j e 0 7 c 3 h h r H Z p p + G S u h r L C f e 2 7 t R F d l O Q l W k a v L W 8 A d V k Y F / 7 9 6 n + + S 0 7 T 4 c f 7 r J S j r u N S / u f n q w R 7 3 d f 3 j b 5 J V 5 8 X a q y L T e v m U / j q N v 0 4 / j 6 f c c j m P w 9 0 X Q 0 1 z 6 6 q 0 0 1 3 v i 5 y m x 9 0 a w z x y 3 V G j v i + P 7 8 Y S n 2 9 5 7 S D 2 u u J W e e + 9 u + l x x y z c 9 J f i + n X o 6 8 T Z U 9 N T i + + L 4 n n x h W z + I 6 8 l b r i 3 e u 3 e j j r Q d h D p S Q 8 h b w x / U k Q b + 3 v 2 9 e / s H n x 7 s j w 9 u p y P f 8 0 U n D + b F 2 + l I b T 3 M 0 4 7 9 b 2 z q u P / G p o 7 b b 2 z q K b 2 b 2 / Y 5 5 5 b u 2 q 2 a 9 6 f 1 l t r t V s 3 f b w o 9 l X a r 5 u 8 x j 5 4 a u 7 n t e 8 y k p 6 l u b t u b y Q 1 t e 9 O 4 o W 1 v D j e M z T Y 9 C N X Q 1 1 h h v L d / o y q y n Y S q S P X q r e E P q i I D / 8 H u / f 2 x Q o 2 O 2 / H t r V 9 x v G t e u Z 3 6 0 d b D c + D Y 9 s a m j m t v b O q Y 9 s a m n v q 5 u W 2 f Y 2 6 p f m 7 V v D + V t 1 Q / t 2 r + f l P o q Z 9 b N X + P e f T U z 8 1 t 3 2 M m P f V z c 9 v e T G 5 o 2 5 v G D W 1 7 c 7 h h b L b p w 4 7 6 e c / 1 x X v 3 b 9 Q 9 t o d Q 9 9 x / T / i D u s f A / / T h g w c P x g o 2 O m r H t b d / x 7 G u e e d 2 2 k d b D 0 + B 4 9 r h p j 3 t c 2 N T x 7 M 3 N v W 0 z 8 1 t + w x z S + 1 z q + b 9 y b y l 9 r l V 8 / e b Q k / 7 3 K r 5 e 8 y j p 3 1 u b v s e M + l p n 5 v b 9 m b y V t r n 5 r a 9 O b y F 9 v l 0 x 9 c + + 1 9 j d X F / 5 y b 9 4 / o I 9 M + + T u q t 4 Q / p H w v / / v 0 H D z 9 9 + O n u e G f T Y o H l X f f e / s 7 D e z s 7 B 2 M s P A y + Z 5 n Y v r f 7 Y O f e w / t 7 4 / 2 D 2 y g k 8 9 o t F N L N T S 0 f 3 9 z U s v H N T Z 1 C u k X b P g / d i h 5 O M 9 n 3 t m / 3 Y n / C b 6 e j 3 h O / / j z f T l m 9 7 3 D e Y 7 a d 2 r p F 2 / e Y b 6 e 2 b t G 2 N 9 8 b 2 v b m e E P b 3 r R u G J t t u h u q r f d a 5 9 v f v V F j W f C h x t p 9 T / i D G s v A p 1 f I / d n 5 d G + 8 s 0 n 1 O F Z + z x c d L 5 s X N / G y Y 2 V t P T w T j n l v b O p 4 9 8 a m j n V v b O q p q p v b 9 v l m o 0 j 3 + W B j 8 / 6 0 3 l I v 3 a r 5 + 0 2 h p 4 5 u 1 f w 9 5 t F T Q j e 3 f Y + Z 9 J T Q z W 1 7 M 7 m h b W 8 a N 7 T t z e G G s d m m e 6 E S + h r r f P s 3 r v O 5 T k J V d L t 1 P g d / U B U Z + H s P 9 g 5 2 d + 7 f c p X P e + 3 e 7 q c 3 v e Z 4 2 L y 2 f e / + z u 1 U k b 4 x P B + O h W 9 s 6 j j 4 x q a O g W 9 s 6 q m i m 9 v 2 u e c m U n j q y L x y 0 x v 9 2 b 2 x k / 7 M 3 l I r 3 R a n 3 o z e V j H d T N P 3 m F Z P M d 3 Y 1 l N M N 7 f t z e u G t r 0 J 3 d C 2 N 5 U b x m a b 3 o s r p l s u r O 3 f u L D m O g i V 0 u 0 W 1 h z 8 Q a V k 4 O / u f P r w / s O d e x T S P b y V W n r P F x 0 b m x d v p 5 S 0 9 f B c O P a 9 s a n j 3 h u b O u a 9 s a m n l G 5 u 2 + e c W y q k W z X v T + s t N d G t m r / f F H p q 6 F b N 3 2 M e P T V 0 c 9 v 3 m E l P D d 3 c t j e T G 9 r 2 p n F D 2 9 4 c b h i b b b o f q q G v s b C 2 v 3 + j K r K d h K p o / z 3 h D 6 o i A 5 9 e 2 d 0 Z 7 9 5 K C 9 3 + H c e 9 5 p 3 b K S B t P T w L j n F v b O r 4 9 s a m j m 1 v b O o p o J v b 9 n n m l g r o V s 3 7 k 3 l L B X S r 5 u 8 3 h Z 4 C u l X z 9 5 h H T w H d 3 P Y 9 Z t J T Q D e 3 7 c 3 k h r a 9 a d z Q t j e H G 8 Z m m 9 7 v K K D 3 X F r b v 3 F p z f U Q a p / b L a 0 5 + I P a x 8 D f P z j Y G T / Y v 5 X 2 u f 0 7 j n X N O 7 f T P t p 6 e A o c 1 9 7 Y 1 D H t j U 0 d z 9 7 Y 1 N M + N 7 f t M 8 w t t c + t m v c n 8 5 b a 5 1 b N 3 2 8 K P e 1 z q + b v M Y + e 9 r m 5 7 X v M p K d 9 b m 7 b m 8 k N b X v T u K F t b w 4 3 j M 0 2 / d T X P v e / x t L a / Z 0 b 9 Y / t I 9 A / 9 3 V S b w 1 / U P 8 Y + H v 3 y V e 6 R 8 p 3 d 3 z v 0 1 t p I f f m / q c H 9 2 h Z 7 s F 4 0 4 u O j 8 2 L 9 x 5 8 u r P 7 6 Y N 7 4 w e b 3 n M M r e 8 N z 4 x j 5 h u b W l 6 + u a l j 5 R u b e k r p 5 r Z 9 P r o d Q T z 1 Z F 7 c v u W b / W m / p a Z 6 T w z 7 c 3 1 L n f W + A 3 q P G f f U 1 8 1 t 3 2 P O P f V 1 c 9 v e n G 9 o 2 5 v m D W 1 7 E 7 t h b L b p g 1 B 9 v d c S 2 / 3 d G z W X B R 9 q L g 2 W b g 1 / U H M Z + P u f P n h I K e o H e / f G + 5 u Y x X H z + 7 7 p 2 N m 8 e T s v S l s P z 4 V j 3 x u b O u 6 9 s a l j 3 h u b e g r r 5 r Z 9 z r m l F 3 W r 5 v 2 J v a V u u l X z 9 5 t C T y P d q v l 7 z K O n h m 5 u + x 4 z 6 a m h m 9 v 2 Z n J D 2 9 4 0 b m j b m 8 M N Y 7 N N D 0 I 1 9 J 6 5 7 P v 3 b l R E t o N Q E d 1 7 T / i D i s j A 3 6 d l s p 1 7 e w 9 2 9 s Y P 9 2 6 l i N 7 3 T c f F 5 s 3 b K S J t P T w b j o F v b O r 4 9 8 a m j n 1 v b O o p o p v b 9 n n n l o r o V s 3 7 E 3 t L R X S r 5 u 8 3 h Z 4 i u l X z 9 5 h H T x H d 3 P Y 9 Z t J T R D e 3 7 c 3 k h r a 9 a d z Q t j e H G 8 Z m m z 4 M F d H X y G b f 3 7 9 R G d l O Q m W 0 / 5 7 w B 5 W R g X + w 9 + m 9 8 Y G m q a I D d 4 x 7 + 3 c c 9 5 p 3 b q e A t P X w L D j G v b G p 4 9 s b m z q 2 v b G p p 4 B u b t v n m V s q o F s 1 7 0 / m L R X Q r Z q / 3 x R 6 C u h W z d 9 j H j 0 F d H P b 9 5 h J T w H d 3 L Y 3 k x v a 9 q Z x Q 9 v e H G 4 Y m 2 n 6 Y K e j g N 4 z m 3 3 / / k 3 a x / U Q a h 8 V + V v D H 9 I + F v 6 9 v b 0 H u w 9 3 H 4 7 B z I P c Y j n 3 P d + z L G z f u 5 U W M q 2 H p 8 J y 7 8 1 N L f P e 3 N T y 7 s 1 N n R a 6 R d s + 4 9 x O C 9 2 u e X 9 S b 6 e F b t f 8 / a b Q a a H b N X + P e X R a 6 B Z t 3 2 M m n R a 6 R d v e T G 5 o 2 5 v G D W 1 7 c 7 h h b L b p r q + F P v 0 a W e 1 P d 2 7 U Q 7 a P Q A / h x f e C P 6 i H D P x P 7 + 0 / 2 D 1 4 e P / T 8 d 7 B r R S R 9 + K n D 5 B A 3 5 y A d G x s X t w / 2 N 2 5 P 7 6 / K Y p z z K w v D c + K Y + Q b m z o + v r G p Y + M b m 3 o K 6 e a 2 f R 6 6 B T U 8 v W T e 2 r 7 N a / 3 J v q V + e h / c + v N 7 S z X 1 X k N 5 j 1 n 2 1 N X N b d 9 j n j 1 1 d X P b 3 j x v a N u b 3 Q 1 t e 1 O 6 Y W y 2 6 V 6 o r t 4 r i / 3 p 7 o 2 a y o I P N d X u e 8 I f 1 F Q G / u 7 + / f v 3 H + z f 3 9 8 Z 7 9 w q a n v v N x 0 v m z c 3 8 b J j Z W 0 9 P B e O f W 9 s 6 r j 3 x q a O e W 9 s 6 i m p m 9 v 2 O W e j S P c 5 4 Z Z e 0 6 2 a 9 2 f z l l 7 T r Z r 3 5 v C 2 X t P N V H y P i f T U 0 I 1 t P T V 0 c 9 v e T G 5 o 2 5 v G D W 1 7 c 7 h h b L b p v V A N v W c W + 9 M b s 9 i u g 1 A R 3 S 6 L 7 e A P K i I D f 3 f v w c G 9 3 Y O D e 7 d z m N 7 r N c e / 5 r X b q S B t P T w P j n V v b O o 4 l 5 v e T g X d 2 N R T Q T e 3 7 X P N L V X Q r Z r 3 p / S W K u h W z d 9 v C j 0 V d K v m 7 z G P n g q 6 u e 1 7 z K S n g m 5 u 2 5 v J D W 1 7 0 7 i h b W 8 O N 4 z N N t 0 P V d D X y F 9 / u n + j G r K d h G p o / z 3 h D 6 o h A / / B z v 2 D M d h n k F k c 4 9 7 + H c e 9 5 p 3 b K S B t P T w L j n F v b O r 4 9 s a m j m 1 v b O o p o J v b 9 n n m l g r o V s 3 7 k 3 l L B X S r 5 u 8 3 h Z 4 C u l X z 9 5 h H T w H d 3 P Y 9 Z t J T Q D e 3 7 c 3 k h r a 9 a d z Q t j e H G 8 Z m m 9 7 v K K D 3 z F 9 / e n P + 2 v Y Q a p / b 5 a 8 d / E H t Y + D v 7 d H K I S W 8 x 4 h E B 7 n F c e 7 7 v e d Y 2 L x 3 O y 2 k r Y e n w n H v j U 0 d 8 9 7 Y 1 P H u j U 0 9 L X R z 2 z 7 j 3 F I L 3 a p 5 f 1 J v q Y V u 1 f z 9 p t D T Q r d q / h 7 z 6 G m h m 9 u + x 0 x 6 W u j m t r 2 Z 3 N C 2 N 4 0 b 2 v b m c M P Y b N N P f S 3 0 4 G v k r 5 E s v 0 E P 2 T 4 C P f R A J / X W 8 A f 1 k I H / 6 f 3 d n b 2 H + z t 7 4 3 u 3 0 k P 2 v f 1 7 9 + 5 9 e r C 3 M / 7 0 4 F a K y L z 4 4 N O H e / c P d s e f 7 t 1 K I + l r w 9 P i O P n G p o 6 R b 2 z q + P j G p p 5 G u r l t n 4 l u R Q 9 P N Z n 3 t m / 3 Y n / G b 6 m k 3 g + / / j z f U l u 9 5 3 D e Y 7 Y 9 v X V z 2 / e Y b 0 9 v 3 d y 2 N 9 8 b 2 v b m e E P b 3 r R u G J t t + i D U W + + V y I a 7 c Y P K s u B D l X W 7 R L a D P 6 i y D P z d 3 X v 3 d j + l T N D e + P 7 t n K f 3 f d N x s 3 n z d u 6 T t h 6 e C 8 e + N z Z 1 3 H t j U 8 e 8 N z b 1 l N X N b f u c c 0 v 3 6 V b N + x N 7 S 8 1 0 q + b v N 4 W e Q r p V 8 / e Y R 0 8 N 3 d z 2 P W b S U 0 M 3 t + 3 N 5 I a 2 v W n c 0 L Y 3 h x v G Z p s e h G r o P R P Z y F f d o I h s B 6 E i U g f n 1 v A H F Z G B v 7 t 7 8 O m n 9 + 4 9 2 P v 0 V l r o v V 5 z / G t e u 5 0 K 0 t b D 8 + B Y 9 8 a m j n N v b O o Y 9 8 a m n g q 6 u W 2 f a 2 6 p g m 7 V v D + l t 1 R B t 2 r + f l P o q a B b N X + P e f R U 0 M 1 t 3 2 M m P R V 0 c 9 v e T G 5 o 2 5 v G D W 1 7 c 7 h h b L b p w 1 A F f Y 1 E N r J W N 6 g h 2 0 m o h v b f E / 6 g G j L w P / 3 0 Y H + 8 f 3 A r H X T 7 d x z 3 m n d u p 4 C 0 9 f A s O M a 9 s a n j 2 x u b O r a 9 s a m n g G 5 u 2 + e Z W y q g W z X v T + Y t F d C t m r / f F H o K 6 F b N 3 2 M e P Q V 0 c 9 v 3 m E l P A d 3 c t j e T G 9 r 2 p n F D 2 9 4 c b h i b a X q w 0 1 F A 7 5 n I R r Z q s / Z x P Y T a 5 / 5 7 w h / S P h Y + v f F g 7 / 6 D B 2 O 4 g I P c Y j n 3 P d + z L G z f u 5 U W M q 2 H p 8 J y 7 8 1 N L f P e 3 N T y r t f 0 R i 1 0 i 7 Z 9 x r m d F r p d 8 / 6 k 3 k 4 L 3 a 7 5 + 0 2 h 0 0 K 3 a / 4 e 8 + i 0 0 C 3 a v s d M O i 1 0 i 7 a 9 m b y N F r p F 2 9 4 c 3 k Y L 7 f p a 6 O B r J L L R 2 Q 1 6 y P Y R 6 C G 8 + F 7 w B / W Q g X 9 / d 2 / / 4 P 7 O v Q f j A 9 V x N y i i 4 M X 9 B 3 u U A d + U e n R s b F 6 8 t 3 t / f H 9 T 1 t y x s r 5 y G 3 V 0 Y 1 P H x T c 2 d U x 8 Y 1 N P H d 3 c t s 9 B N 9 L C 0 0 n m n e 2 b X + p P 8 y 0 1 0 + 3 x 6 s / r L d X T e w z j P W b X U 1 I 3 t 3 2 P + f W U 1 M 1 t e / O 7 o W 1 v X j e 0 7 U 3 n h r H Z p n u h k n q v r D X 6 u U E / W f C h f t p 9 T / i D + s n A 3 9 3 5 9 N M H 9 3 c / P T g Y f 3 o 7 B f W + b z p O N m 9 u 4 m T H y N p 6 e C 4 c + 9 7 Y 1 H H v j U 0 d 8 9 7 Y 1 F N O N 7 f t c 8 4 t f a V b N e 9 P 7 C 0 1 0 q 2 a v 9 8 U e s r o V s 3 f Y x 4 9 N X R z 2 / e Y S U 8 N 3 d y 2 N 5 M b 2 v a m c U P b 3 h x u G J t t e i 9 U Q + + Z t c b r N y g i 2 0 G o i G 6 X t X b w B x W R g f / w Y O / T e + w o 3 S 5 v / b 4 v O h 4 2 L 9 5 O D W n r 4 b l w 7 H t j U 8 e 9 N z Z 1 z H t j U 0 8 N 3 d y 2 z z m 3 V E O 3 a t 6 f 1 l u q o V s 1 f 7 8 p 9 N T Q r Z q / x z x 6 a u j m t u 8 x k 5 4 a u r l t b y Y 3 t O 1 N 4 4 a 2 v T n c M D b b d D 9 U Q 1 8 j c w 0 Q N 6 g i 2 0 m o i v b f E / 6 g K j L w 7 + 0 8 / J T S 0 A o 3 O n L H u e / x k u N f 8 9 L t V J C 2 H p 4 H x 7 o 3 N n W c e 2 N T x 7 g 3 N v V U 0 M 1 t + 1 x z S x V 0 q + b 9 6 b y l C r p V 8 / e b Q k 8 F 3 a r 5 e 8 y j p 4 J u b v s e M + m p o J v b 9 m Z y Q 9 v e N G 5 o 2 5 v D D W O z T e 9 3 V N B 7 5 q 7 x / g 3 6 x / Y Q 6 p / b 5 a 4 d / E H 9 Y + D v 3 r s 3 3 r l d M H b r V x z j m l d u p 3 u 0 9 f A E O J 6 9 s a l j 2 R u b O o 6 9 s a m n e 2 5 u 2 2 e X W + q e W z X v T + U t d c + t m r / f F H q 6 5 1 b N 3 2 M e P d 1 z c 9 v 3 m E l P 9 9 z c t j e T G 9 r 2 p n F D 2 9 4 c b h i b b f q p r 3 s e f o 2 M 9 c O d G 7 W P 7 S P Q P g 9 1 U m 8 N f 1 D 7 G P j 3 9 / f u 3 X t 4 b / / h g / H D T 2 + l h O y b e 5 / u 3 3 + w + 3 D v 4 W 1 D M f P m 7 n 0 K e n f v f 3 o w 3 r T q 5 j h a 3 x u e G s f N N z Z 1 z H x j U 8 f L N z b 1 t N L N b f u M d D u C e P r J v L h 9 y z f 7 8 3 5 L V f W e G P b n + p Z K 6 3 0 H 9 B 4 z 7 u m v m 9 u + x 5 x 7 + u v m t r 0 5 3 9 C 2 N 8 0 b 2 v Y m d s P Y b N M H o f 5 6 r 2 T 2 w 5 u T 2 R Z 8 q L p u l 8 x 2 8 A d V l 4 G / S 6 0 f H O z u w x t 6 e O 9 W u u u 9 X 3 U M b V 6 9 n S O l r Y d n w z H w j U 0 d / 9 7 Y 1 L F v p + l G l X V z 2 z 7 v 3 N K R u l X z / t T e U j v d q v n 7 T a G n k 2 7 V / D 3 m 0 V N E N 7 d 9 j 5 n 0 F N H N b X s z e S t F d H P b 3 h z e R h E d h I r I p L N P v n 3 6 E 1 + d 3 k 5 d 7 N 2 o j m w n o T r a e 0 / 4 g + r I w H / 4 c P / B 7 t 7 B r f T Q 7 d 9 x 3 G v e u Z 0 C 0 t a 3 U U A 3 N n V 8 e 2 N T x 7 Y 3 N v U U 0 M 1 t + z x z S w V 0 q + b 9 y b y l A r p V 8 / e b Q k 8 B 3 a r 5 e 8 y j p 4 B u b v s e M + k p o J v b 9 m Z y Q 9 v e N G 5 o 2 5 v D D W O z T R / G F d A t 1 9 P g O d y g f G w H o f J R l + P W 8 A e V j 4 G / u / P g 3 o O 9 h 7 v 3 9 u 6 P 9 x R 6 d O y O d 9 / 7 V c f H 5 t X b q S J t P T w f j o V v b O o 4 + M a m j o F v b O q p o p v b 9 r n n l q r o V s 3 7 U 3 t L V X S r 5 u 8 3 h Z 4 q u l X z 9 5 h H T x X d 3 P Y 9 Z t J T R T e 3 7 c 3 k h r a 9 a d z Q t j e H G 8 Z m m i J l 4 6 u i r 7 G m 9 n D / J n X k O g n V 0 f 5 7 w h 9 S R x Y + K Z O 9 B + M D 9 b G i I 7 e c + z 4 v W f 6 1 L 9 1 K B Z n W w / N g W f f m p p Z z b 2 5 q G f f m p k 4 F 3 a J t n 2 t u p 4 J u 1 7 w / n b d T Q b d r / n 5 T 6 F T Q 7 Z q / x z w 6 F X S L t u 8 x k 0 4 F 3 a J t b y Y 3 t O 1 N 4 4 a 2 v T n c M D b b d L e j g t 5 z T e 3 h / R v 1 j + 0 h 1 D / 3 3 x P + o P 4 x 8 O / t 7 N x / e O / g 4 c H 4 4 F b O 0 P u + 6 J j Y v H g 7 P a S t h y f D 8 e + N T R 3 7 3 t j U c e + N T T 0 9 d H P b P u v c U g / d q n l / W m + p h 2 7 V / P 2 m 0 N N D t 2 r + H v P o 6 a G b 2 7 7 H T H p 6 6 O a 2 v Z n c 0 L Y 3 j R v a 9 u Z w w 9 h s 0 z 1 P D z 3 c e f / 1 t Y c 7 O z d q I t u H r 4 n 4 x f e C P 6 i J D P z d n d 2 H + 7 s P 7 9 8 f 7 + z f S h N 5 L z 7 4 9 N 4 D 0 k T 7 q h 6 j L z o 2 t i 9 S Y v v + p + P 7 D 2 + l k f S t 4 W l x n H x j U 8 f I N z Z 1 f H x j U 0 8 j 3 d y 2 z 0 S 3 I Y e n m c x r 2 7 d 6 r z / f t 1 R R 7 4 V d f 4 5 v q a r e b z D v M d O e z r q 5 7 X v M t a e z b m 7 b m + s N b X s T v K F t b 1 I 3 j M 0 2 v R f q r P d Z U 3 u 4 s 3 u j u r L g Q 3 W 1 + 5 7 w B 9 W V g b + 3 Q 7 m g B w 8 e 7 o w f 7 N 1 K X b 3 n i 4 6 V z Y u 3 c 5 y 0 9 f B M O O a 9 s a n j 3 R u b O t a 9 s a m n p m 5 u 2 + e b W z p O t 2 r e n 9 Z b a q V b N X + / K f S 0 0 a 2 a v 8 c 8 e k r o 5 r b v M Z O e E r q 5 b W 8 m N 7 T t T e O G t r 0 5 3 D A 2 2 3 Q / V E L v l 8 5 + u H P v R j V k O w j V 0 L 3 3 h D + o h g x 8 0 i b 3 7 9 / b 2 z k Y P 1 A V F x 2 5 4 9 z 3 f N H x s H n x d m p I W w / P h W P f G 5 s 6 7 r 2 x q W P e G 5 t 6 a s h v e 5 M a u g 0 Z P D V 0 q + b 9 a b 2 l G r p V 8 / e b Q k 8 N 3 a r 5 e 8 y j p 4 Z u b v s e M + m p o Z v b 9 m b y V m r o 5 r a 9 O b y N G r o f q q H 3 T 2 U / R K x 0 g y q y n Y S q a P 8 9 4 Q + q I g P / / s E D U i Y H t 9 J C t 3 / H c a 9 5 5 3 Y K S F v f R g H d 2 N T x 7 Y 1 N H d v e 2 N R T Q D e 3 7 f P M L R X Q r Z r 3 J / O W C u h W z d 9 v C j 0 F d K v m 7 z G P n g K 6 u e 1 7 z K S n g G 5 u 2 5 v J D W 1 7 0 7 i h b W 8 O N 4 z N N v 2 0 o 4 D e L 5 H 9 c O f + j d r H 9 h B q n / v v C X 9 Q + x j 4 u / f v f X p w b 3 z v 0 1 v p n / d 5 y 7 G v e e t 2 G k h b D 0 + D 4 9 w b m z r G v b G p 4 9 s b m 3 o a 6 O a 2 f a a 5 p Q a 6 V f P + h N 5 S A 9 2 q + f t N o a e B b t X 8 P e b R 0 0 A 3 t 3 2 P m f Q 0 0 M 1 t e z O 5 o W 1 v G j e 0 7 c 3 h h r H Z p g 9 8 D b T 7 N V L Y Y O I b d J D t I 9 B B u z q p t 4 Y / q I M M / H v 7 u w f 7 e 5 8 e 7 I z v f 3 o r N W R f v P f w A D 3 d H 9 + 7 n S 9 k X q Q o 7 t 7 9 B / f H u 5 t e c + y s r w 3 P i 2 P l G 5 s 6 T r 6 x q W P k G 5 t 6 K u n m t n 0 u u h U 9 P N 1 k 3 t u + 3 Y v 9 K b + l l n o / / P r z f E t 1 9 Z 7 D e Y / Z 9 h T X z W 3 f Y 7 4 9 x X V z 2 9 5 8 b 2 j b m + M N b X v T u m F s t u l B q L j e K 4 8 N z r 1 B Z 1 n w o c 6 6 X R 7 b w R / U W Q b + g / u f 7 u 7 v 3 N t 7 M D b J q e i 4 H S u / 5 4 u O l 8 2 L t / O e t P X w T D j m v b G p 4 9 0 b m z r W v b G p p 6 p u b t v n m 4 0 i 3 e e D j c 3 7 0 3 p L v X S r 5 u 8 3 h Z 4 6 u l X z 9 5 h H T w n d 3 P Y 9 Z t J T Q j e 3 7 c 3 k h r a 9 a d z Q t j e H G 8 Z m m z 4 M l Z D J Y 5 9 8 + / Q n v j q 9 n a r Y u 1 E V 2 U 5 C V a S r V 7 e G P 6 i K D P x N b O J Y 1 r T e 3 b / / 8 N O 9 8 f 6 n t 1 I + 5 q 3 t 2 7 z m O F h f G 5 4 K x 7 0 3 N n X M e 2 N T x 7 s 3 N v W 0 0 M 1 t + 4 x z K 3 p 4 6 u h 9 q O + p p f f r r j / Z t 9 R P 7 4 V d b 5 Z v q 6 d u p v N 7 T L W n p 2 5 s 6 + m p m 9 v 2 5 n p D 2 9 7 8 b m j b m 9 Q N Y 9 O m D 3 d 2 4 n r q l u t t Y K S N O s r r I N R R t 1 t v c / A H d J S D / 2 C X F u / v 7 e 0 d b H a t D Q e / 9 4 u G l 9 2 L m 5 j S s L B t P T w X h n 1 v 0 d R w 7 y 2 a G u a 9 R V O r q G 7 T t s 8 5 G 2 W z z w c b m / e n d W P z / m T e S h 3 d s n l v D m + n h m 5 D x f e Y S K u G b t H W q q H b t O 3 N 5 I a 2 v W n c 0 L Y 3 h x v G Z p v u h m r o a 6 y 3 g R l u U E W 2 k 1 A V 7 b 8 n / E F V Z O D T 2 t y n 4 5 1 N y s Q x 7 u 3 f c d x r 3 r m d A t L W w 7 P g G P f G p o 5 v b 2 z q 2 P b G p p 4 C 2 t C 2 p 4 B u Q w Z P A d 2 q e X 8 y b 6 m A b t X 8 / a b Q U 0 C 3 a v 4 e 8 + g p o J v b v s d M e g r o 5 r a 9 m b y V A r q 5 b W 8 O b 6 O A 9 j o K 6 D 3 X 2 z C 1 N 2 g f 2 0 O o f W 6 3 3 u b g D 2 o f A 3 9 v / 9 P 7 t H Z / q 0 T 3 + 7 3 l 2 N e 8 d T s N p K 1 v o 4 F u b O o Y 9 8 a m j m 9 v b O p p o J v b 9 p n m l h r o V s 3 7 E 3 p L D X S r 5 u 8 3 h Z 4 G u l X z 9 5 h H T w P d 3 P Y 9 Z t L T Q D e 3 7 c 3 k h r a 9 a d z Q t j e H G 8 Z m m 9 7 z N d D e 1 1 h v w 9 B v 0 E G 2 j 0 A H 7 e m k 3 h r + o A 4 y 8 H f 3 7 j 8 g / 4 8 y 0 Z v X z R z 3 u j f 3 9 3 c e 3 t 8 5 u E 3 q 2 n v t 3 s H O / U 8 f 3 N v c n W N n f W 9 4 X h w r 3 9 j U c f K N T R 0 j 3 9 j U U 0 k 3 t + 1 z 0 e 0 I 4 i k n 8 + L 2 L d / s T / o t 9 d R 7 Y t i f 6 1 t q r P c d 0 H v M u K e 8 b m 7 7 H n P u K a + b 2 / b m f E P b 3 j R v a N u b 2 A 1 j s 0 3 3 Q + X 1 X m t u G M k N e s u C D / X W 7 n v C H 9 R b B v 6 9 e / v 7 u / s P P t 2 9 P 9 5 7 c C u 9 9 b 5 v O n Y 2 b 9 7 O h 9 L W w 3 P h 2 P f G p o 5 7 b 2 z q m P f G p p 7 C u r l t n 3 N u 6 U P d q n l / Y m + p m 2 7 V / P 2 m 0 N N I t 2 r + H v P o q a G b 2 7 7 H T H p q 6 O a 2 v Z n c 0 L Y 3 j R v a 9 u Z w w 9 h s 0 / u h G v o a q 2 7 A 8 Q Z l Z D s J l d H e e 8 I f V E Y G / i Y 2 c S x r W u 9 / i h 5 2 x v d u p 3 3 M a 9 u 3 e s / x s L 4 3 P B m O f 2 9 s 6 t j 3 x q a O e 2 9 s 6 u m h m 9 v 2 W e d 2 B P E 0 0 n t N g K e a 3 r P D / o z f U k m 9 H 3 6 9 m b 6 t t r q Z 1 u 8 x 3 Z 6 2 u r G t p 6 1 u b t u b 7 w 1 t e 1 O 8 o W 1 v W j e M z T b 9 N K 6 t b r n 2 h j 5 v 0 F S 2 g 1 B T a W h 1 a / i D m s r A 3 3 u 4 9 3 D / 4 f 7 B p w f j H Q U e H b r j 4 f d 9 0 7 G z e f N 2 b p O 2 H p 4 N x 8 A 3 N n X 8 e 2 N T x 7 4 3 N v X U 1 c 1 t + 7 x z S 7 f p V s 3 7 E 3 t L t + l W z d 9 v C j 1 F d K v m 7 z G P n i K 6 u e 1 7 z K S n i G 5 u 2 5 v J D W 1 7 0 7 i h b W 8 O N 4 z N N n 0 Q K q K v s f q 2 t 3 + j M r K d h M p o / z 3 h D y o j A 3 9 3 n 5 b z b 6 W E b v u G 4 1 z z x u 2 U j 7 Y e n g H H t D c 2 d T x 7 Y 1 P H s j c 2 9 Z T P z W 3 7 / H J L 5 X O r 5 v 2 J v K X y u V X z 9 5 t C T / n c q v l 7 z K O n f G 5 u + x 4 z 6 S m f m 9 v 2 Z n J D 2 9 4 0 b m j b m 8 M N Y 7 N N D z r K 5 z 1 X 3 v b u 3 6 h 5 b A + h 5 r n / n v A H N Y + B v 7 f / g F b q x p 9 u c r A d 3 7 7 P W 4 5 9 z V u 3 0 0 D a e n g a H O f e 2 N Q x 7 o 1 N H d / e 2 N T T Q D e 0 D T T Q b c j g a a B b N e 9 P 6 C 0 1 0 K 2 a v 9 8 U e h r o V s 3 f Y x 4 9 D X R z 2 / e Y S U 8 D 3 d y 2 N 5 O 3 0 k A 3 t + 3 N 4 W 0 0 0 E O r g V 6 l O 7 v v u / L 2 Y G c H T H y D D r J 9 O B 2 k L 7 4 X / E E d Z O D v 7 9 / f u b d z c L A 7 P t C E 1 A 1 q y L 2 4 / / D + P v U 4 / v R 2 v p B 5 8 d 7 9 B w 8 e 7 o + R p h t 8 y 3 G z e W v v Y H d n 7 9 7 4 Q J X w D c r p f d 5 y 7 G 3 e 2 i Q 5 j s H f p w 9 P a + l r G / i s z 2 g P P n 3 w Y G c M 4 R r u o c 8 6 2 7 d 5 r c 8 R t 1 R i 7 4 N b n w l u q c v e a y i 9 6 b + V T n u v a e z P / v Z t 3 v N U 3 W 0 I 4 G m 7 9 8 H O U 3 y 3 6 q U / 9 b c a j E U O T O 3 r w d s v 4 k F F 7 d 6 k A h 3 4 U A X u v i f 8 I R V o 4 R 8 8 3 D 0 g n + r + w / H B J v 6 y r P + + L 1 r u t y 9 u m h b L / K b 1 M B d b h r + 5 q e X 3 m 5 t a H r + 5 q V N r t 2 j b 5 5 u N S q D P B x u b 9 6 f 1 d n r s d s 3 f b w q d A r t d 8 / e Y R 6 e 4 b t H 2 P W b S a a h b t O 3 N 5 I a 2 v W n c 0 L Y 3 h x v G Z p v u h k r o f Z f w o C p u X M J z n Y S q 6 B Z L e A H 8 Q V V k 4 O / e f 3 h / 9 9 7 4 4 a 1 c M f v W g 4 c P 7 n 8 6 f v j p r X S Q e e l 2 O s i 0 3 r 5 F H 4 6 N b 9 O H Y + T 3 G I b j 6 P d B z F N T + t q t 1 N R 7 4 O V p q / d C r M 8 B t 9 R a 7 4 P b + 8 2 9 p 7 z e a y i 9 2 b + V E n u v L v q z f 4 u 3 P M 3 2 P p 1 5 S u 4 2 V P P 0 3 P v g 9 p 7 z b 1 v v x Z X e b V Y C o Z D s S t 2 g w r M d h A p P I 7 1 b w x 9 U e A Y + a b v 9 n Z 3 7 u w / G + 7 f K g r 3 v i 4 7 3 z Y u 3 0 3 v a e p i H H b v f 2 N R x + 4 1 N H Y f f 2 N R T a j e 3 7 X P O R j 7 r 8 8 E t f a 9 b N e 9 P 5 i 1 9 r 1 s 1 7 8 3 h b X 2 v m 6 n 4 H h P p 6 a o b 2 3 o a 6 u a 2 v Z n c 0 L Y 3 j R v a 9 u Z w w 9 h s 0 3 u h G n r f d U C o i v 0 b V Z H t J F R F + + 8 J f 1 A V G f i 7 l N E 6 u J U O u u 0 b j n P N G 7 d T P t p 6 e A Y c 0 9 7 Y 1 P H s j U 0 d y 9 7 Y 1 F M + N 7 f t 8 8 s t l c + t m v c n 8 p b K 5 1 b N 3 2 8 K P e V z q + b v M Y + e 8 r m 5 7 X v M p K d 8 b m 7 b m 8 k N b X v T u K F t b w 4 3 j M 0 2 3 e 8 o n / d Z B 4 R m u H E d 0 P U Q a p 5 b r A M G 8 A c 1 j 4 G / e 3 D v Y O / B + O H t t M / 7 v O X Y 1 7 x 1 O w 2 k r Y e n w X H u j U 0 d 4 9 7 Y 1 P H t j U 0 9 D X R z 2 z 7 T 3 F I D 3 a p 5 f 0 J v q Y F u 1 f z 9 p t D T Q L d q / h 7 z 6 G m g m 9 u + x 0 x 6 G u j m t r 2 Z 3 N C 2 N 4 0 b 2 v b m c M P Y b N P 7 v g b a + x r r g B j 6 D T r I 9 h H o o D 2 d 1 F v D H 9 R B B v 7 u / u 6 n D w 4 + v T e + t 3 s r L e S / t 7 f 7 4 M H 4 0 4 e 3 0 k P m v b 3 9 T y l 8 G z + 8 d y t 9 5 N 7 a u b e 3 s x l H w 9 L v 9 5 Z j b v P W J r l x 7 P 0 + f X g 6 S 1 + 7 l c 4 y X d z / 9 O D + + N O 9 2 2 k u 8 9 L 2 L d 7 q c 8 M t F d h 7 Y N b n g F u q s f c Z S G / q b 6 X N 3 m s K + z O / f Z v 3 P C V 3 m / F 7 e u 5 9 s P N U 3 q 1 6 6 U / 8 r Q b j k P s 0 1 I D v t Q K I M d 6 g / C z 4 U P k p b r e G P 6 j 8 D P y 9 H X 5 u p f h u / 4 5 j e f P O 7 Z w v b T 3 M u 4 7 N b 2 z q u P z G p o 6 z b 2 z q K b K b 2 / a 5 5 Z b O 1 6 2 a 9 y f z l r r r V s 3 f b w o 9 r X W r 5 u 8 x j 5 6 6 u r n t e 8 y k p 5 d u b t u b y Q 1 t e 9 O 4 o W 1 v D j e M z T Z 9 E K q e r 7 H u B x x v U E C 2 k 1 A B q R G 6 N f x B B W T g P 7 i / c + / T e 7 v j g 0 1 O l O P d 9 3 r N 8 b B 5 7 X Z q S F s P z 4 V j 3 x u b O u 6 9 s a l j 3 h u b e m r o 5 r Z 9 z r m l G r p V 8 / 6 U 3 l I N 3 a r 5 + 0 2 h p 4 Z u 1 f w 9 5 t F T Q z e 3 f Y + Z 9 N T Q z W 1 7 M 7 m h b W 8 a N 7 T t z e G G s d m m B 3 E 1 d M u V O P R 5 g w q y H Y Q q S O O m W 8 M f V E E G / v 6 n 9 + 5 R u n x 8 c P 9 W K u i 9 X n P 8 a 1 6 7 n Q r S 1 s P z 4 F j 3 x q a O c 2 9 s 6 h j 3 x q a e C r q 5 b Z 9 r b q m C b t W 8 P 6 W 3 V E G 3 a v 5 + U + i p o F s 1 f 4 9 5 9 F T Q z W 3 f Y y Y 9 F X R z 2 9 5 M b m j b m 8 Y N b X t z u G F s t u n D U A V 9 j V W 4 v f 0 b 1 Z D t J F R D + + 8 J f 1 A N G f j 3 d + 6 P H 3 x 6 K x V 0 6 1 c c 7 5 p X b q d + t P X w H D i 2 v b G p 4 9 o b m z q m v b G p p 3 5 u b t v n m F u q n 1 s 1 7 0 / l L d X P r Z q / 3 x R 6 6 u d W z d 9 j H j 3 1 c 3 P b 9 5 h J T / 3 c 3 L Y 3 k x v a 9 q Z x Q 9 v e H G 4 Y m 2 k K x A P 1 8 5 7 r c H v 3 b 9 I 9 r o d Q 9 6 j H c W v 4 Q 7 r H w r 9 3 c G / n h t S X Z d v 3 e c k y r 3 3 p V v r H t B 6 e B M u 3 N z e 1 b H t z U 8 u 1 N z d 1 + u c W b f s s c z v 9 c 7 v m / e m 8 n f 6 5 X f P 3 m 0 K n f 2 7 X / D 3 m 0 e m f W 7 R 9 j 5 l 0 + u c W b X s z u a F t b x o 3 t O 3 N 4 Y a x 2 a a 7 v v 6 5 9 z V W 4 e 7 t 3 K i B b B + B B s K L 7 w V / U A M Z + P f 3 d x / u j + 8 9 u J U G M i 9 t Y i 3 H t 6 b 1 3 r 3 9 / Y O D / f H O r V b e 3 G t 7 D 3 c + P X g 4 / v T T D a 8 5 P n 6 v 1 x x L 3 2 Z I j q n f q x N P V e l 7 t 1 J V 7 z E z n s Y y b 2 3 f 5 r U + G 9 x S c 7 0 P b n 1 G u K U C e 6 + h 9 B j g V o r s / e a x P / / b t 3 r R 0 3 C 3 I Y G n 5 N 4 L P 0 / h 3 a q b / u z f b j g O v b 1 Q A b 7 X I h z 8 l h t 0 n w U f 6 r 7 d 9 4 Q / q P s M / P 0 H D + + P D w 5 u p f p u 8 0 5 X A Z p 3 N s 2 G Y 3 t t P c y / j t V v b O o 4 / c a m j r l v b O o p t J v b 9 r l l o / j 3 Z 3 9 j 8 / 5 k 3 l K D 3 a r 5 + 0 2 h p 7 p u 1 f w 9 5 t F T W T e 3 f Y + Z 9 D T T z W 1 7 M 7 m h b W 8 a N 7 T t z e G G s d m m 9 7 q q 5 / 1 i v 3 s 3 x 3 6 2 h 1 D 7 3 C 7 2 c / A H t Y + B v 3 t v 5 / 6 D v f G n e 7 f S P + / z l m N f 8 9 b t N J C 2 H p 4 G x 7 k 3 N n W M e 2 N T x 7 c 3 N v U 0 0 M 1 t + 0 x z S w 1 0 q + b 9 C b 2 l B r p V 8 / e b Q k 8 D 3 a r 5 e 8 y j p 4 F u b v s e M + l p o J v b 9 m Z y Q 9 v e N G 5 o 2 5 v D D W O z T f d 9 D b T / N a K / / Z 0 b d Z D t I 9 B B + z q p t 4 Y / q I M M / H u 7 e 5 + O P 7 1 3 K w 1 k 3 t n E W Y 5 t X Q 8 7 n 9 7 f G z / c t F j n u N e + t f P g P m F 2 b 5 O W c 0 z 8 P m 8 5 d r 7 N e B x D v 0 8 f n p b S 1 2 6 l p W 4 / K Z 6 u M i 9 t 3 + K t / v z f U m W 9 B 2 Z 9 D r i l 4 n q f g f S m / l b 6 6 7 2 m s D / z 2 7 d 5 z 1 N r t x m / p 9 n e B z t P y d 2 q l / 7 E 3 2 o w D r n 7 o c 5 7 X 6 9 r / 2 a v y / Y Q a r z b e V 0 O / q D G M / A f 7 B 3 s j Q 9 u 5 3 P d / h 3 H 9 e a d 2 3 l c 2 n q Y f R 2 n 3 9 j U M f q N T R 1 z 3 9 j U 0 2 U 3 t + 0 z z C 0 9 r l s 1 7 0 / m L d X X r Z q / 3 x R 6 i u t W z d 9 j H j 2 N d X P b 9 5 h J T z X d 3 L Y 3 k x v a 9 q Z x Q 9 v e H G 4 Y m 2 3 6 q a 9 9 7 n 8 N j + v + z R 6 X 7 S P Q P / d 1 U m 8 N f 1 D / G P j 3 H 9 7 b H z 9 4 e C v 9 Y 9 6 5 n c d l W u / d / / T B w a d j / D 3 4 l u N e 9 9 b O w f 3 d 8 f 6 m Z K t j 4 v d 5 y 7 H z b c b j G P p 9 + v C 0 l L 5 2 K y 1 1 + 0 n x d J V 5 a f s W b / X n / 5 Y q 6 z 0 w 6 3 P A L R X X + w y k N / W 3 0 l / v N Y X 9 m d + + z X u e W r v N + D 3 N 9 j 7 Y e U r u V r 3 0 J / 5 W g 3 H I P Q h 1 3 v t 6 X P d v 9 r h s D 6 H G u 5 3 H 5 e A P a j w D f 3 f / 4 P 7 B G F w x O G z H 9 + / x k u N 7 8 9 L t f C 5 t P c z A j t d v b O p Y / c a m j r 1 v b O p p s 5 v b 9 l n m l j 7 X r Z r 3 p / O W C u x W z d 9 v C j 3 V d a v m 7 z G P n s 6 6 u e 1 7 z K S n n G 5 u 2 5 v J D W 1 7 0 7 i h b W 8 O N 4 z N N j 3 w 9 c + n X 8 P n + v R m n 8 v 2 E W i g T 3 V S b w 1 / U A M Z + L v 3 o H d v p X / M K 7 d z u U z r + w f 7 D + 6 N I V u D L z n e t S 8 9 2 N 3 b H T + 4 X Y r r P V 5 y r H y b w T h m f o 8 u P A W l b 9 1 K Q d 1 6 P j w t Z d 7 Z v v m l / s T f U l f d H q / + 1 N 9 S Y b 3 H M H q T f i u 1 9 T 6 z 1 5 / z 7 V u 8 5 u m y 2 w z e U 2 f v g Z u n 2 G 7 V S X / O b z M U h 9 r D U M 2 9 r 5 v 1 a e B m R Z W c 7 S F U c r d z s x z 8 Q S V n 4 O 8 9 + H R v r F B v U H K 3 f s W x u 3 l l 0 2 Q 4 b t f W w 4 z r e P z G p o 7 F b 2 z q + P r G p p 4 G u 7 l t n 1 0 2 S n 1 / 7 j c 2 7 0 / l L d X W r Z q / 3 x R 6 G u t W z d 9 j H j 1 d d X P b 9 5 h J T y 3 d 3 L Y 3 k x v a 9 q Z x Q 9 v e H G 4 Y m 2 l 6 b 8 f X P Q + + h o v 1 Y O c m F 8 v 1 E W i f B z q p t 4 Y / p H 0 s / A N a T h j v 3 U r 9 2 H c 2 c Z Z l W 9 v 6 3 v 7 D / Z 3 d M Y R x 8 C 3 L v d 5 b u / f 2 7 o 8 P P r 2 N l / V e b 1 l 2 v t V 4 L E O / V x 9 O S 5 n X b q O l 3 m N S n K 6 y L 2 3 f 4 q 3 + / N 9 O Z b 0 P Z n 0 O u J 3 i e q + B 9 K b + N v r r / a a w P / P b t 3 n P q b V b j d 9 p t v f C z i m 5 2 / X S n / h b D c Y h t x v q v L M X n 7 8 6 f X 1 L Z + v B 7 o 3 q z o I P 1 Z 3 q j F v D H 1 R 3 B v 7 e v X u 3 1 X a 3 f s U x v H l l 0 1 Q 4 f t f W w 5 z r m P z G p o 7 H b 2 z q + P r G p p 4 a u 7 l t n 1 c 2 y n 1 / 7 j c 2 7 0 / l L T X X r Z q / 3 x R 6 O u t W z d 9 j H j 1 l d X P b 9 5 h J T y v d 3 L Y 3 k x v a 9 q Z x Q 9 v e H G 4 Y m 2 2 6 1 1 U 8 7 x f o P b g x 0 H M 9 h L r n d o G e g z + o e w z 8 3 Y O H 8 I M e 3 k r 7 v M d L j n n N S 7 f T P 9 p 6 e B I c 3 9 7 Y 1 L H t j U 0 d 1 9 7 Y 1 N M / N 7 f t s 8 w t 9 c + t m v e n 8 5 b 6 5 1 b N 3 2 8 K P f 1 z q + b v M Y + e / r m 5 7 X v M p K d / b m 7 b m 8 k N b X v T u K F t b w 4 3 j M 0 2 v e f r n 4 O v E e w d 7 N y o g W w f g Q Y 6 0 E m 9 N f x B D W T g 7 4 5 3 d m + l f c w L n + 6 P z b p i 9 A 3 H t + a N n c 1 d O M 6 1 X d z b 3 I V j 3 t u + 4 V j Y I r W h t W P i 2 8 L 3 t J K + c i u t Z M B v A / 7 + 7 V S T j 9 L G V / p z f X M 3 / e m + p Y 6 6 N V b 9 2 b 6 l n r q Z r v 1 J v n H a + j O 9 f d M 7 n t q 6 z Q g 8 z X V b r D w F d q s e B i Z 6 4 8 D t K / u h L j u V G C 5 9 8 + p 2 i u b e j Y r M d h A q s n v v C X 9 Q k R n 4 u 3 s P x 7 f T Z L d 9 w 3 G 3 e e N 2 T p S 2 H u Z U x 9 Q 3 N n U 8 f W N T x 8 s 3 N v X U 1 c 1 t + 7 x y S y f q V s 3 7 E 3 l L J + p W z d 9 v C j 3 l d K v m 7 z G P n n K 6 u e 1 7 z K S n j W 5 u 2 5 v J D W 1 7 0 7 i h b W 8 O N 4 z N N r 0 f K p 7 3 D e I O b g 7 i b A + h 5 r l d E O f g D 2 o e A 3 9 v v L N 3 K 8 V z y x c c 0 5 o X b q d 3 t P U w 8 R 2 / 3 t j U s e u N T R 2 3 3 t j U 0 z s 3 t + 2 z y i 3 1 z q 2 a 9 6 f x l n r n V s 3 f b w o 9 v X O r 5 u 8 x j 5 7 e u b n t e 8 y k p 3 d u b t u b y Q 1 t e 9 O 4 o W 1 v D j e M z T b 9 1 N c 7 D w e D t 2 H N 8 N A G V 4 O a x / Y R a J 6 H O q k 3 a B 4 H f 1 D z G P g 7 Y 7 D O I K M 4 p j U v k M P z 4 F a a x / Z w K 8 3 j w G + M 9 B z f 3 v I F x 7 y 3 w c e x 7 y 3 B e + p I 3 7 i V O j L Q t 2 8 C 3 2 e I m 9 7 o T / G N n f Q n + Z a a 6 b Y 4 9 a f 5 l s r p Z p r 2 5 / c m Z P p z f B O B P E 1 1 G / w 9 Z X V L n D y V d a s O v s Y c 2 z c e h M r r v Z b c H u 7 e q L c s + F B v K W 6 3 h j + o t w z 8 e w f 3 9 n b 3 9 3 c 2 5 w o c Z 7 / f e 4 7 F z X u 3 0 2 L a e p h f H W v f 2 N R x 9 o 1 N H U v f 2 N R T W D e 3 7 X P N L f 2 n W z X v T + o t / a d b N X + / K f R U 1 K 2 a v 8 c 8 e i r q 5 r b v M Z O e V r q 5 b W 8 m N 7 T t T e O G t r 0 5 3 D A 2 2 / Q g V E H v m T B 6 e H P C y H Y Q K q H b J Y w c / E E l Z O D v H o w R r w 6 y i W P Z 2 7 7 h u N a 8 c T v F o 6 2 H q e 8 Y 9 s a m j l 9 v b O r Y 9 c a m n u K 5 u W 2 f V 2 6 p e G 7 V v D + R t 1 Q 8 t 2 r + f l P o K Z 5 b N X + P e f Q U z 8 1 t 3 2 M m P c V z c 9 v e T G 5 o 2 5 v G D W 1 7 c 7 h h b L b p w 1 D x v G / C 6 K F N 6 A x q H t t D q H l u l z B y 8 A c 1 j 4 G / + + n t 8 k W 3 a + 9 Y 1 r S / n d b R 1 s O k d 9 x 6 Y 1 P H r D c 2 d b x 6 Y 1 N P 6 9 z c t s 8 o t 9 Q 6 t 2 r e n 8 R b a p 1 b N X + / K f S 0 z q 2 a v 8 c 8 e l r n 5 r b v M Z O e 1 r m 5 b W 8 m N 7 T t T e O G t r 0 5 3 D A 2 0 3 R / x 9 M 6 u z v v n y 7 a 3 d m 5 S e + 4 P n y 9 w y + + F / w h v W P h 4 5 X x / s F t d I 9 9 Z x N n W b a 1 r f c P d u / t j x 9 s y j F Z 5 n U v P d j Z 2 x v v P d z w k m X h 9 3 n J 8 v K t B m O 5 + X 2 6 c B r K v H U b D f U e E + L 0 l H 1 p + x Z v 9 e f + d u r q f T D r z / 7 t l N Z 7 D a Q 3 8 b f R X e 8 1 g / 1 5 3 7 7 F a 0 6 h 3 W r 0 T q e 9 D 2 5 O u 9 2 u k / 6 s 3 2 Y o D r X d U N e 9 p 4 e 1 u 3 O j h + V 6 C D X d r T w s D / 6 g p j P w 9 / b 2 9 s c P P 7 2 V p r v 9 O 4 7 j z T u b p s M x v L Y e Z l 3 H 5 T c 2 d U x + Y 1 P H 2 T c 2 9 f T Y z W 3 7 D L N R 8 P u z v 7 F 5 f z J v q b p u 1 f z 9 p t B T W r d q / h 7 z 6 G m r m 9 u + x 0 x 6 i u n m t r 2 Z 3 N C 2 N 4 0 b 2 v b m c M P Y b N M 9 X / v s f g 1 P C 0 x 8 g / 6 x f Q T 6 Z 1 c n 9 d b w B / W P g X / r 1 L Z 9 Y / f h 3 q f j / U 2 O k 2 N d + 8 6 n n 2 7 u x r G v e W V v 5 / 7 e 5 m 4 c D 9 / + H c f L 5 p 1 N Y u K 4 + f Y 9 e A p K X 7 q V g j I d b O 8 e H N w f m x z i T X r K 0 v f m l / p T f 5 u u + t N / S 6 X 1 H p j 1 5 / 6 W q u t m + v a n + x Y T 2 J / 1 7 Z v f 8 r T Z b U b h K b T b Y + Z p N q + P 4 e a R K b + 5 E 4 f Y v V D N v c 8 S 3 i 4 4 + w Y N Z 8 G H G m 7 3 P e E P a j g D f / f e + O H e r T T c b d 9 w X G 7 e u J 1 3 p a 2 H + d W x 9 o 1 N H W f f 2 N T x 8 4 1 N P e V 1 c 9 s + p 9 z S u 7 p V 8 / 5 E 3 t K 7 u l X z 9 5 t C T 0 X d q v l 7 z K O n o m 5 u + x 4 z 6 e m j m 9 v 2 Z n J D 2 9 4 0 b m j b m 8 M N Y 7 N N 9 0 O 1 Y 5 b t T r 5 9 + h N f n d 5 O O e z d q H x s J 6 H y U a m / N f x B 5 W P g 3 z u 4 9 3 C 8 c z v 1 Y 9 7 Z f b j 7 c H x f 9 W D 0 H c e 9 5 p 3 b K S D T e v v m L h w L 3 6 Y L x 8 S 3 H 4 R j 5 v d A y 1 N Q + t a t F N T t s f L U 1 P u g 1 Z / 5 W 2 q r 9 8 D s / W b d 0 1 n v M 5 D e v N 9 K d b 1 P D / 1 5 v / k l T 5 u 9 R 1 e e X r s N x T z V 9 h 6 Y v e f M 2 9 b 3 4 2 r u z a v b q a B 7 N 6 o 4 2 0 G o 4 u 6 9 J / x B F W f g 3 z v Y J w / / 4 F Y q 7 v b v O G Y 3 7 9 x O x W n r Y a 5 1 D H 5 j U 8 f f N z Z 1 T H 1 j U 0 + F 3 d y 2 z y + 3 9 L F u 1 b w / m b f U W r d q / n 5 T 6 O m r W z V / j 3 n 0 F N X N b d 9 j J j 2 t d H P b 3 k x u a N u b x g 1 t e 3 O 4 Y W y 2 6 a e h 8 j n 7 y e P 0 9 0 l P v v z i 7 P X Z l y 9 u p y D 2 b 1 R A t p N Q A e 2 / J / x B B W T g f 3 r b / P k t X 3 B 8 a 1 6 4 n e r R 1 s P 0 d y x 7 Y 1 P H s T c 2 d Q x 7 Y 1 N P 9 d z c t s 8 t t 1 Q 9 t 2 r e n 8 Z b q p 5 b N X + / K f R U z 6 2 a v 8 c 8 e q r n 5 r b v M Z O e 6 r m 5 b W 8 m N 7 T t T e O G t r 0 5 3 D A 2 2 / R B R / W 8 5 9 I d p v Y G v W N 7 C P X O / f e E P 6 h 3 D P y D e 2 P 4 f I N 8 4 n j 2 t m 8 4 t j V v 3 E 7 z a O t h 8 j u O v b G p Y 9 g b m z p + v b G p p 3 l u b t t n l l t q n l s 1 7 0 / k L T X P r Z q / 3 x R 6 m u d W z d 9 j H j 3 N c 3 P b 9 5 h J T / P c 3 L Y 3 k x v a 9 q Z x Q 9 v e H G 4 Y m 2 1 6 4 G u e v a + x b I e h 3 6 B 7 b B + B 7 t n T S b 0 1 / E H d Y + D v 7 d + n R b j b 5 Z X M O 5 s 4 y 7 G t a b 2 7 8 + n e w f 5 4 b 1 M f j n v d W / c O 9 h 6 M D z a 8 5 H j 4 P V 5 y z H y b 0 T h 2 f o 8 u P B W l b 9 1 K R d 1 + R j x F Z V 7 a v s V b / c m / p b 5 6 D 8 z 6 0 3 9 L r f U + A + l N / K 2 U 1 / v M Y H / e t 2 / x m q f R b j N 6 T 6 m 9 B 2 6 e e r t V J / 1 Z v 8 1 Q H G o P Q 2 X 3 v m 7 W 3 s 1 u l u 0 h V H W 3 c 7 M c / E F V Z + D v P 9 z d G x / s 3 0 r V 3 f 4 d x / H m n U 3 T 4 R h e W w + z r u P y G 5 s 6 J r + x q e P s G 5 t 6 e u z m t n 2 G 2 S j 4 / d n f 2 L w / m b d U X b d q / n 5 T 6 C m t W z V / j 3 n 0 t N X N b d 9 j J j 3 F t K F t T y v d 3 L Y 3 j R v a 9 u Z w w 9 h M 0 / s 7 v v a 5 9 z V c r X s 7 N + k f 1 0 e g f + 7 p p N 4 a / p D + s f A P P r 0 3 f v j w N u r H v r K J s S z X 2 t b 3 H t A q 4 e a U l O V d 9 9 K n 9 3 c f j h 8 + u I 2 j 9 T 4 v W V a + 1 W A s M 7 9 P F 0 5 B m b d u o 6 B u P x 9 O S 9 l 3 t m 9 + q T / x t 9 N V 7 4 F X f + p v p 7 D e Z x i 9 S b + N 2 n q v 2 e v P + f Y t X n O 6 7 F a D d + r s f X B z i u 1 2 n f T n / D Z D c a j t h m r u f Z 2 s e z c 6 W a 6 H U M n d z s l y 8 A e V n I G / + 4 A 8 y 9 s t 4 r 3 H O 4 7 h z T u b p s P x u 7 Y e Z l 3 H 5 T c 2 d U x + Y 1 P H 2 T c 2 9 X T Y z W 3 7 D L N R 7 v u z v 7 F 5 f z J v q b h u 1 f z 9 p t D T W b d q / h 7 z 6 G m r m 9 u + x 0 x 6 i u n m t r 2 Z 3 N C 2 N 4 0 b 2 v b m c M P Y b N M 9 X / v s f w 0 n a 3 / n R v 1 j + w j 0 z 7 5 O 6 q 3 h D + o f A 3 9 v / + D + / v 0 x / h 7 k F s e 5 5 q 3 d T + / t P T i 4 9 3 A M A g 6 + 5 1 j Y v n f / 0 z 1 6 a Z O S d 4 z s O t s h H 3 h v b 7 P K c x z 9 f u 8 5 7 j b v b R I c x 9 / v 1 4 u n t v T F W 6 k t 0 8 k 2 9 f L g 4 d 7 D e + M H u 7 f T Y B 5 6 t 3 m x z x i 3 7 b L P H L d U a + + J Y Z 8 v b q n g b q Z 3 n w V u O a l 9 b t i + 3 Z u e 7 r v N a D z 1 9 3 4 Y e r r w V v 3 E 2 e A W H T k E 7 4 X K 8 e z F 5 6 9 O X 9 / S L 9 v f v V E v W v C h X l T W u T X 8 Q b 1 o 4 H + 6 s 7 O 3 M z 6 4 n W P 2 H i 8 5 / j c v 3 c 4 z 0 9 b D X O w Y / s a m j t 9 v b O o 4 / M a m n o q 7 u W 2 f X 2 7 p m d 2 q e X 8 6 b + m Z 3 a r 5 + 0 2 h p 7 h u 1 f w 9 5 t F T X D e 3 f Y + Z 9 L T T z W 1 7 M 7 m h b W 8 a N 7 T t z e G G s d m m + 6 H y O R X d k 5 5 8 + / Q n v j q 9 n Y r Y u 1 E F 2 U 5 C F a Q e 1 K 3 h D 6 o g A 3 / / Y G f 3 w Y O D 8 Y N P b 6 W E z G v 3 7 h 0 8 2 N s 7 G O / t 3 0 o N m d d u p 4 Z M 6 2 3 S p f v 3 7 + 9 s d h w d L 9 + m F 8 f N p v W t O n G M / X 7 I e f p K X 7 y V v n o v 3 D z F 9 Z 7 I 9 d n h l i r s / f B 7 P z 7 w d N l 7 D q f H C b f S a u / Z S Z 8 T b v W e p + 7 e r 0 N P 9 9 2 G e p 7 6 e z / 8 3 p M X b O v 7 c W 3 4 5 t X t N N W 9 G z W h 7 S D U h P f e E / 6 g J j T w 9 x 4 e 7 H 1 6 f 3 9 v / O k m O j k Z e L / 3 n A y Y 9 2 6 n C 7 X 1 M C c 7 p r + x q e P 5 G 5 s 6 L r + x q a f i b m 7 b 5 5 t b u m S 3 a t 6 f 1 F v q s 1 s 1 f 7 8 p 9 N T Y r Z q / x z x 6 y u v m t u 8 x k 5 6 O u r l t b y Y 3 t O 1 N 4 4 a 2 v T n c M D b b 9 N N Q C Z 3 9 5 H H 6 + 6 Q n X 3 5 x 9 v r s y x e 3 U x T 7 N y o i 2 0 m o i P b f E / 6 g I j L w 9 8 k b u 5 0 K u u 0 b j n P N G 7 d T P t p 6 e A Y c 0 9 7 Y 1 P H s j U 0 d y 9 7 Y 1 F M + N 7 f t 8 8 s t l c + t m v c n 8 p b K Z 2 P z v v K 5 V f P e H N 5 W + d x M x f e Y S E / 5 3 N j W U z 4 3 t + 3 N 5 K 2 U z 8 1 t e 3 N 4 G + X z o K N 8 3 n O d c P / + j Z r H 9 h B q n v v v C X 9 Q 8 x j 4 + / c e 7 N y 7 P 7 7 3 6 a 2 0 z / u 8 5 d j X v H U 7 D a S t b 6 O B b m z q G P f G p o 5 v b 2 z q a a C b 2 / a Z 5 p Y a 6 F b N + x N 6 S w 1 0 q + b v N 4 W e B r p V 8 / e Y R 0 8 D 3 d z 2 P W b S 0 0 A 3 t + 3 N 5 I a 2 v W n c 0 L Y 3 h x v G Z p s e + B r o / v u l w 7 E m e Y P 6 s e A D 9 Y M X 3 w v + o P o x 8 P c f U B T 1 c P 9 W y u f 2 7 z i + N e / c T v V o 6 2 H 6 O 5 a 9 s a n j 2 B u b O o a 9 s a m n e m 5 u 2 + e W W 6 q e W z X v T + Y t V c + t m r / f F H q q 5 1 b N 3 2 M e P d V z c 9 v 3 m E l P 9 d z c t j e T G 9 r 2 p n F D 2 9 4 c b h i b b f r Q V z 2 f p q + P n z / 9 M j 1 5 c 5 w + O X 5 x K / 3 w 6 c 6 N + s f 2 E e g f v P h e 8 A f 1 j 4 G / e / / B v f H B g 1 v p H / P O J s 5 y b G t a f 3 q w 8 / B g / O n B r R S Q f e n T + 3 v 7 4 w N V t z e o o v d 4 y f H y b Q b j u P k 9 u v A 0 l L 5 1 K w 1 1 + w n x 9 J R 5 a f s W b / X n / p b q 6 j 0 w 6 8 / + L Z X W + w y k N / G 3 0 l 3 v M 4 P 9 e d + + x W u e Q r v N 6 D 2 d 9 h 6 4 e d r t V p 3 0 Z / 0 2 Q 7 G o Q Z P 4 u u 5 9 A 7 1 P b w z 0 X A + h p r t d o O f g D 2 k 6 C / / e w 3 u 7 4 7 1 P b 6 P p 3 u M d y / H 2 n U 3 T Y R n e t B 5 m X c v l N z e 1 T H 5 z U 8 v Z N z d 1 e u w W b f s M s 1 H w + 7 O / s X l / M m + n u m 7 X / P 2 m 0 C m t 2 z V / j 3 l 0 2 u o W b d 9 j J p 1 i u k X b 3 k x u a N u b x g 1 t e 3 O 4 Y W y 2 6 a 6 v f R 5 8 D U / r w c 6 N + s f 2 E e g f v P h e 8 A f 1 j 4 G / d 2 v t Y 9 7 Y f b g / f n g 7 5 W N e u Z 3 y s R 2 Q r d 1 k a h 3 v 3 v Y N x 8 G 3 w c j x 8 G 3 h e 0 p J X 7 m V U j L g t 2 + E 3 + e L G 1 / p T / X N 3 f Q n + 5 Y q 6 t Z Y 9 W f 7 l m r q Z r r 2 J / l G b P o z f S O N P K 1 1 m x F 4 i u u 2 W H n 6 6 1 Y 9 f J 2 J t q / s h a r s v f J V D 3 Z v 1 G I W f K j F d t 8 T / q A W M / D 3 7 4 0 / v Z 0 W u + 0 b j r f N G 7 d T Y t p 6 m E 8 d S 9 / Y 1 H H 0 j U 0 d J 9 / Y 1 F N W N 7 f t c 8 p G e e 3 P / M b m / Y n c 2 L w / i 7 d U T 7 d q 3 p v D 2 6 q m m 6 n 4 H h P p 6 a Q b 2 3 q 6 6 O a 2 v Z n c 0 L Y 3 j R v a 9 u Z w w 9 h s 0 3 u h 2 j k V r Z O + e X U 7 x X D v R s V j O w g V z 7 3 3 h D + o e A z 8 e w 9 u p 3 Z u 1 9 5 x r G l / O 6 W j r Y c p 7 5 j 1 x q a O V 2 9 s 6 l j 1 x q a e 0 r m 5 b Z 9 P b q l 0 b t W 8 P 4 m 3 U z q 3 a / 5 + U + g p n V s 1 f 4 9 5 9 J T O z W 3 f Y y Y 9 p X N z 2 9 5 M 3 k r p 3 N y 2 N 4 e 3 U T r 7 o d I 5 + 8 n j 9 P d J T 7 7 8 4 u z 1 2 Z c v b q c Y 9 m 9 U P L a T U P H s v y f 8 Q c V j 4 O / e G z / c u 5 X q u e 0 b j n P N G 7 d T P t r 6 N s r n x q a O Z 2 9 s 6 l j 2 x q a e 8 r m 5 b Z 9 f b q l 8 b t W 8 P 5 G 3 V D 6 3 a v 5 + U + g p n 1 s 1 f 4 9 5 9 J T P z W 3 f Y y Y 9 5 X N z 2 9 5 M b m j b m 8 Y N b X t z u G F s t u n 9 j v J 5 z 4 z 1 g 5 s z 1 r a H U P P c L m P t 4 A 9 q H g N / Z 3 z v 4 F a K 5 5 Y v O K a 1 L 9 x K 7 2 j r Y e I 7 f r 2 x q W P X G 5 s 6 b r 2 x q a d 3 b m 7 b Z 5 V b 6 p 1 b N Y 9 M 4 + 3 0 z q 2 a v 9 8 U e n r n V s 3 f Y x 4 9 v X N z 2 / e Y S U / v 3 N y 2 N 5 M b 2 v a m c U P b 3 h x u G J t t + q m v d w 6 + R q 7 6 Y O d G z W P 7 C D T P g U 7 q r e E P a h 4 D f w + r s P d u 5 / W Y d + 4 9 2 B k f f H o r 9 W N e e X h / 7 + H 9 8 c Y U t + N g + 9 K 9 n Y f 3 x q p s b 1 B H t 3 / H s b N 5 Z 5 O k O I a + f Q + e j t K X b q W j 7 J T s 7 e y N 9 z e R y t N U 5 q X t W 7 z V n / 1 b K q z 3 w K w / 9 b d U W + 8 z k N 6 0 3 0 p 7 v c c E 9 m d 9 + + a 3 P I V 2 m 7 F 7 O u 3 2 m H n K 7 V Z 9 9 K f 8 F g N x i D 0 I N d 3 7 e l g H 9 2 / U c 7 a H U M 8 p e r e G P 6 j n D P z 9 B w / u j x / c z s m 6 / T u O 2 8 0 7 t / O z t P U w 2 z o O v 7 G p Y / A b m z q 2 v r G p p 8 N u b t t n m F v 6 W b d q 3 p / M W 6 q t W z V / v y n 0 F N a t m r / H P H q a 6 u a 2 7 z G T n l q 6 u W 1 v J j e 0 7 U 3 j h r a 9 O d w w N t v 0 w N c + D 7 + G n / X w Z j / L 9 h H o n 4 c 6 q b e G P 6 h / D P x P 9 + / v j u / t 3 0 r / m H f u 3 7 t 3 7 / 4 N X p N j X / P W 7 r 1 7 u 7 s H Y 7 D T 4 F u O i y 1 + n + 7 s 7 O 2 N N 7 3 k e P k 9 X n J M b V 7 a J C + O r d + j C 0 9 V 6 V u 3 U l W m h + 3 7 e 5 8 + 3 N k f f 7 r J C f Z 0 l p 2 d 2 7 z W Z 4 T b d d d n h l s q s f f C r s 8 G t 1 R m N 9 O 5 P + + 3 m c n + / G / f 4 j V P w 9 1 m H J 6 S e w / c P H V 3 q 0 4 i M 3 + L X h x q D 0 P l d / Z C 1 v N u p 5 d 2 b 9 R 7 F n y o 9 3 b f E / 6 g 3 j P w P 7 1 P w e L D W 6 m 9 W 7 / i u N 2 8 s m k m H J N r 6 2 G u d Q x + Y 1 P H 3 z c 2 d U x 9 Y 1 N P l d 3 c t s 8 r G 6 W 3 P / c b m / e n c m P z / j T e U m H d q n l v D m + r q G 6 m 4 n t M p K e e b m z r 6 a S b 2 / Z m c k P b 3 j R u a N u b w w 1 j M 0 0 f 7 I S K 5 1 T 0 T v r m 1 e 1 U w 7 2 b V I / r I F Q 9 9 9 4 T / p D q s f B 3 d z 7 9 9 N O H m 7 S t Z d r 3 e M d y r n 3 n V s r H t B 6 e A c u 0 N z e 1 P H t z U 8 u y N z d 1 y u c W b f v 8 c j v l E z a / U f n c r n l / H m + n f G 7 X v D e H t 1 Q + t 6 D i e 0 y k U z 4 3 t 3 X K 5 x Z t e z O 5 o W 1 v G j e 0 7 c 3 h h r H Z p r u h 8 j n 7 y e P 0 9 0 l P v v z i 7 P X Z l y 9 u p y D 2 b 1 R A t p N Q A e 2 / J / x B B W T g 7 1 G a / H b q 5 7 Z v O M 4 1 b 9 x O + W j r 4 R l w T H t j U 8 e z N z Z 1 L H t j U 0 / 5 3 N y 2 z y + 3 V D 6 3 a t 6 f y F s q n 1 s 1 f 7 8 p 9 J T P r Z q / x z x 6 y u f m t u 8 x k 5 7 y u b l t b y Y 3 t O 1 N 4 4 a 2 v T n c M D b b d K + j f N 4 z 2 / 3 w x m y 3 6 y H U P L f L d j v 4 g 5 r H w N / d v X / / 3 v j B r X T P 7 d 9 x r G v e u Z 3 2 0 d b D U + C 4 9 s a m j m l v b O p 4 9 s a m n v a 5 u W 2 f Y W 6 p f W 7 V v D + Z t 9 Q + t 2 r + f l P o a Z 9 b N X + P e f S 0 z 8 1 t 3 2 M m P e 1 z c 9 v e T G 5 o 2 5 v G D W 1 7 c 7 h h b L b p P U / 7 7 N 1 7 / 2 z 3 3 s 7 O j f r H 9 u H r H 3 7 x v e A P 6 h 8 D / 9 7 O g / u f f j r + d P d W G s i 8 9 X D n 4 e 7 + / b 3 x g 4 e 3 U k L m t f 2 D B w c P x v f 3 b 6 W L z E s H B / f 2 P n 1 A + m 5 v w 2 u O n 9 / r N c f a 5 r V N U u O Y + 7 0 6 8 V S W v n c r l W X 6 2 C a i 3 T s 4 + H T z O o G n v C x y t 3 q v z x K 3 7 L D P F b f U Z + + H X 5 8 h b q n Y b q Z 1 f / Z v N 5 9 9 P t i + 1 Y u e x r v N W D y l 9 1 7 4 e Q r w V t 3 E O O A 2 / T j 0 9 k O F e P Y e G f C 9 n d 0 b d a E F H + p C V V m 3 h j + o C w 3 8 + 7 s P 7 u / t j v c 3 6 S f H 9 e / z l m N + 8 9 b t / D F t P c z D j t 1 v b O q 4 / c a m j s F v b O o p t 5 v b 9 j n m l v 7 Y r Z r 3 J / S W / t i t m r / f F H p q 6 1 b N 3 2 M e P b V 1 c 9 v 3 m E l P O 9 3 c t j e T G 9 r 2 p n F D 2 9 4 c b h i b b X o / V D 8 m D 3 7 y 7 d O f + O r 0 d k p i 7 0 Y l Z D s J l Z A q y F v D H 1 R C B v 7 u g / 2 H D z + F S 7 Z J 9 z r m N e 8 d 0 H s H 9 + 6 N 7 2 3 y 5 B w T m 9 d u p 4 d M 6 + 1 b 9 e K Y + T a 9 O H Z + r 6 E 4 z n 4 / 5 D y F p S / e S m G 9 F 2 6 e 5 n p P 5 P r 8 c E s d 9 n 7 4 v R 8 f e M r s P Y f T 4 4 R b q b X 3 7 K T P C b d 6 z 9 N 3 7 9 e h p / x u Q z 1 P / 7 0 f f u / J C 7 b 1 p 3 F 1 e L t l w b 2 d e z e q Q t t B q A r v v S f 8 Q V V o 4 O 8 e 7 O 4 / O N j 9 d H P E 6 G T g / d 5 z M m D e u 5 0 u 1 N b D n O y Y / s a m j u d v b O q 4 / M a m n o q 7 u W 2 f b 2 7 p k 9 2 q e X 9 S b 6 n P b t X 8 / a b Q U 2 O 3 a v 4 e 8 + g p r 5 v b v s d M e j r q 5 r a 9 m d z Q t j e N G 9 r 2 5 n D D 2 G z T B 6 E S e v / l w b 2 d / R s V k e 0 k V E Q q 9 b e G P 6 i I D P y D e + P 7 t / P G b v u G 4 1 z z x u 2 U j 7 Y e n g H H t D c 2 d T x 7 Y 9 O H j 2 / d 1 F M + N 7 f t 8 8 s t l c + t m v c n 8 p b K 5 1 b N 3 2 8 K P e V z q + b v M Y + e 8 r m 5 r V M + N 7 b 1 l M / N b X s z u a F t b x o 3 t O 3 N 4 Y a x 2 a Y H H e X z f s u D e z v 3 b 9 Q 8 t o d Q 8 9 x / T / i D m s f A 3 z v Y f 7 B / W / / n P V 5 y z G t e u p 3 + 0 d b D k + D 4 9 s a m j m 1 v b O q 4 9 s a m n v 6 5 u W 2 f Z W 6 p f 2 7 V v D + d t 9 Q / t 2 r + f l P o 6 Z 9 b N X + P e f T 0 z 8 1 t 3 2 M m P f 1 z c 9 v e T G 5 o 2 5 v G D W 1 7 c 7 h h b L b p Q 1 / / 7 H + N B U I w 8 Q 0 a y P Y R a C C 8 + F 7 w B z W Q g f 9 w f 3 9 v 8 z q A 4 1 v z z i b O c m x r W u / v H N z / 9 G B s 3 L b o W 4 5 7 z V v 3 H j 7 c 3 b s / v r c J M 8 f E 7 / O W Y + f b j M c x 9 P v 0 4 W k p f e 1 W W u r 2 k + L p K v P S 9 i 3 e 6 s / / L V X W e 2 D W 5 4 B b K q 7 3 G U h v 6 m + l v 9 5 r C v s z v 3 2 b 9 z y 1 d p v x e 5 r t f b D z l N y t e u l P / K 0 G Y 5 E 7 2 A l 1 3 v v 6 X L s 3 + l y u h 1 D j 3 c 7 n c v C H N J 6 F v 3 t w c H D / l q u A 7 / O S 5 X v 7 0 q Y Z s W x v W g 8 z s O X 1 m 5 t a V r + 5 q W X v m 5 s 6 b X a L t n 2 W 2 S j + / f n f 2 L w / n b d T Y L d r / n 5 T 6 F T X 7 Z q / x z w 6 n X W L t u 8 x k 0 4 5 3 a J t b y Y 3 t O 1 N 4 4 a 2 v T n c M D b b d N f X P / e / h s 9 1 f + d G D W T 7 C D Q Q X n w v + I M a y M D / 9 M H e g 7 2 D n X t j c N A g v z j e 9 d 6 7 / + n u / d 3 x p 7 u 3 0 k P 2 v Y O d + w / G 9 w 9 u p Y 7 M S / d 3 9 3 c + H Z u s / w 2 K 6 T 1 e c p x t X t o k N I 6 3 3 6 M L T 1 / p W 7 f S V 6 a H 3 U 8 / J R r f V 8 N z k 9 o y b 2 3 f 5 r U + L 9 x S f b 0 P b n 0 G u K U W e 6 + h 9 C b / V t r s f W a x P / f b t 3 j N U 3 G 3 G b 6 n 5 d 4 D N 0 / f 3 a q T / r z f Z i g O t b 1 Q + 5 2 9 k E W / 2 y m m 3 R s V n w U f K j 7 V M r e G P 6 j 4 D P w H e 5 / u H n x K z v 3 + p m E 7 r n + / 9 x z f m / c 2 z Y l j e 2 0 9 z L + O 1 W 9 s 6 j j 9 x q a O v W 9 s 6 i m 0 m 9 v 2 u W a j + P e 5 Y G P z / q T e U o P d q v n 7 T a G n u m 7 V / D 3 m 0 V N Z N 7 d 9 j 5 n 0 t N P N b X s z u a F t b x o 3 t O 3 N 4 Y a x 2 a b 3 Q h V 0 K h o o f f P q d k r i 3 o 1 K y H Y Q K i G V + F v D H 1 R C B v 6 D B + R 4 7 t z f G 5 v Q M j p w x 7 j v 9 5 7 j Y P P e 7 Z S Q t h 6 e C c e 8 N z Z 1 v H t j U 8 e 6 N z b 1 l N D N b f t 8 c 0 s l d K v m / U m 9 p R K 6 V f P 3 m 0 J P C d 2 q + X v M o 6 e E b m 7 7 H j P p K a G b 2 / Z m c k P b 3 j R u a N u b w w 1 j s 0 3 3 Q y V 0 9 p P H 6 e + T n n z 5 x d n r s y 9 f 3 E 5 R 7 N + o i G w n o S L a f 0 / 4 g 4 r I w N + 9 N 3 6 4 d y s V d N s 3 H O e a N 2 6 n f P Y f 3 1 r 5 K O D h p o 5 n b 2 z q W P b G p p 7 y u b l t n 1 9 u q X x u 1 b w / k b d U P r d q / n 5 T 6 C m f W z V / j 3 n 0 l M / N b d 9 j J j 3 l c 3 P b 3 k x u a N u b x g 1 t e 3 O 4 Y W y 2 6 f 2 O 8 n n P F D j C 6 R s 0 j + 0 h 1 D y 3 S 4 E 7 + I O a x 8 B / s P / w 0 / H t V M + t X 3 G M a 1 6 5 n e 7 R 1 s M T 4 H j 2 x q a O Z W 9 s 6 j j 2 x q a e 7 r m 5 b Z 9 d b q l 7 b t W 8 P 5 W 3 1 D 2 3 a v 5 + U + j p n l s 1 f 4 9 5 9 H T P z W 3 f Y y Y 9 3 X N z 2 9 5 M b m j b m 8 Y N b X t z u G F s t u m n v u 7 5 9 G u k v z / d u V H 7 2 D 4 C 7 f O p T u q t 4 Q 9 q H w P / 4 e 7 O z v j e / q 3 U j 3 n n / v 0 H B 3 j r d h r I v L X 7 c P c e a a 1 N X T k m t l 1 9 + u A A b 2 3 q y v H y + 7 z l u N q 8 t U l g H F + / T x + e s t L X b q W s T B f b 9 / c P P n 3 4 c P z w 4 H Z a y 6 J 2 m 9 f 6 r H C 7 7 v r s c E s 1 9 l 7 Y 9 T n h l u r s Z j r 3 J / 5 W U 9 n n g O 3 b v O d p u d u M x F N 0 7 4 O d p / N u 1 U t s 8 m / R j U P u Q a g C 3 y s H j g W z G 7 S f B R 9 q v 9 v l w B 3 8 Q e 1 n 4 N 8 + 6 r v t G 4 7 f z R u 3 8 7 y 0 9 T D f O h a / s a n j 8 B u b O q 6 + s a m n z G 5 u 2 + e U W 3 p e t 2 r e n 8 h b e l 6 3 a v 5 + U + i p q l s 1 f 4 9 5 9 F T V z W 3 f Y y Y 9 n X R z 2 9 5 M b m j b m 8 Y N b X t z u G F s t u l B q H Z M 3 v v k 2 6 c / 8 d X p 7 Z T D 3 o 3 K x 3 Y S K h + V + l v D H 1 Q + B v 7 e 3 r 3 d 3 Q f 3 x v v 7 t 9 J A 5 r X d T x / c u 3 e w M 9 7 Z Z E A d D 5 v X b q e G T O t t 8 v E e P L w 3 v v f p r R y v 2 3 T i m N m 0 v k 0 f j q 3 f C z V P W e l 7 t 1 J W 7 4 O Z p 7 T e D 7 U + J 9 x S e 7 0 X d u / H A Z 4 W e 7 / B 9 H j g V u r s / f r o 8 8 B t X v O 0 3 H t 1 5 2 m 8 2 1 D O U 3 r v h d 1 7 c o F t / T C u A m + 5 9 P f p v R v V n + 0 g V H / 3 3 h P + o P o z 8 O m V + / e J T J 9 u 0 m O O + d / r N c f 8 5 r X b q T 9 t P c z D j t 1 v b O q 4 / c a m j s F v b O o p t p v b 9 r l m I 4 / 1 e W B j 8 / 6 U 3 l K P 3 a r 5 + 0 2 h p 7 9 u 1 f w 9 5 t F T W z e 3 f Y + Z 9 P T T z W 1 7 M 7 m h b W 8 a N 7 T t z e G G s Z m m D 3 d C F f Q 1 F v 4 + 3 b 9 J D b l O Q j W 0 / 5 7 w h 9 S Q h f / p + O E m P W 2 5 9 r Y v W L 6 1 L 9 x K 9 Z j W w / S 3 L H t z U 8 u x N z e 1 D H t z U 6 d 6 b t G 2 z y 2 3 U z 2 3 a 9 6 f x t u p n t s 1 f 7 8 p d K r n d s 3 f Y x 6 d 6 r l F 2 / e Y S a d 6 b t G 2 N 5 M b 2 v a m c U P b 3 h x u G J t t u t t R P e + 5 7 P f p / R v 1 j u 0 h 1 D v 3 3 x P + o N 4 x 8 H c P 9 h 8 8 G O / E c k n m J c e 2 7 / G S Y 1 7 z 0 u 3 0 j 7 a + j f 6 5 s a l j 2 x u b O q 6 9 s a m n f 2 5 u 2 2 e Z W + q f W z X v T + c t 9 c + t m r / f F H r 6 5 1 b N 3 2 M e P f 1 z c 9 v 3 m E l P / 9 z c t j e T t 9 I / N 7 f t z e F t 9 M + e r 3 8 e f I 2 l v w c 7 N 2 o g 2 0 e g g R 7 o p N 4 a / q A G M v D p j Y f 7 O w 8 e 3 B / v P L y V B + R e 3 H m 4 v 3 / w c H c M B h l 8 0 b G x f f H h w / s H B 5 R B 3 7 2 V S t L X h u f F s f K N T R 0 n 3 9 j U M f K N T T 2 V d H P b P h f d i h 6 e b j L v b d / u x f 6 U 3 1 J L v R 9 + / X m + p b p 6 z + G 8 x 2 x 7 i u v m t u 8 x 3 5 7 i u r l t b 7 4 3 t O 3 N 8 Y a 2 v W n d M D b b 9 F 6 o u N 5 r w e 7 B 7 o 0 6 y 4 I P d Z b O 5 6 3 h D + o s A 3 / v 3 q e 7 + / u 7 0 F n 7 t 9 J Z 7 / m i 4 2 X z 4 u 2 8 J 2 0 9 P B O O e W 9 s 6 n j 3 x q a O d W 9 s 6 q m q m 9 v 2 + e a W 3 t O t m v e n 9 Z Z 6 6 V b N 3 2 8 K P X V 0 q + b v M Y + e E r q 5 7 X v M p K e E b m 7 b m 8 k N b X v T u K F t b w 4 3 j M 0 2 3 Q + V 0 H v m r h / c u 1 E N 2 Q 5 C N X T v P e E P q i E D f + / e 3 t 7 + / t 7 D B + N P b + c 6 v e e L j o f N i 7 d T Q 9 p 6 e C 4 c + 9 7 Y 1 H H v j U 0 d 8 9 7 Y 1 F N D N 7 f t c 8 4 t 1 d C t m v e n 9 Z Z q 6 F b N 3 2 8 K P T V 0 q + b v M Y + e G r q 5 7 X v M p K e G b m 7 b m 8 k N b X v T u K F t b w 4 3 j M 0 2 v R + q o a + R v 3 6 w f 6 M q s p 2 E q m j / P e E P q i I D / 9 6 D h 3 t j s M 8 g s z j G v f 0 7 j n v N O 7 d T Q N p 6 e B Y c 4 9 7 Y 1 P H t j U 0 d 2 9 7 Y 1 F N A N 7 f t 8 8 w t F d C t m v c n 8 5 Y K 6 F b N 3 2 8 K P Q V 0 q + b v M Y + e A r q 5 7 X v M p K e A b m 7 b m 8 k N b X v T u K F t b w 4 3 j M 0 2 / b S j g N 4 z i / 3 g / o 3 a x / Y Q a p / 7 7 w l / U P s Y + L v 3 d 3 Z 3 D 3 b H 6 m F F x + 3 4 9 n 3 e c u x r 3 r q d B t L W w 9 P g O P f G p o 5 x b 2 z q + P b G p p 4 G u r l t n 2 l u q Y F u 1 b w / o b f U Q L d q / n 5 T 6 G m g W z V / j 3 n 0 N N D N b d 9 j J j 0 N d H P b 3 k x u a N u b x g 1 t e 3 O 4 Y W y 2 6 Q N f A x 1 8 j T z 2 w c 6 N O s j 2 E e i g A 5 3 U W 8 M f 1 E E G / v 3 d h 3 s H B w e 0 L v b p r b S Q 9 9 7 O p / c O 7 o / 3 H t x K D 5 n 3 9 v Z I f Y 0 f b I r f H C v r S 8 N z 4 t j 4 x q a O i 2 9 s 6 p j 4 x q a e O r q 5 b Z + D b k E N T y u Z t 7 Z v 8 1 p / q m + p n d 4 H t / 7 8 3 l J J v d d Q 3 m O W P W V 1 c 9 v 3 m G d P W d 3 c t j f P G 9 r 2 Z n d D 2 9 6 U b h i b b X o Q K q v 3 y l 0 f 7 N 6 o p y z 4 U E / t v i f 8 Q T 1 l 4 O / u H D z 8 9 N O d 3 Q e b l 8 3 2 H 3 / N F x 0 n m x d v 5 z F p 6 + G Z c M x 7 Y 1 P H u z c 2 d a x 7 Y 1 N P R d 3 c t s 8 3 G w W 6 z w c b m / e n 9 Z Y 6 6 V b N 3 2 8 K P W V 0 q + b v M Y + e E r q 5 7 X v M p K e E b m 7 b m 8 k N b X v T u K F t b w 4 3 j M 0 2 f R g q o f f M X R / c n L u 2 H Y R q 6 H a 5 a w d / U A 0 Z + L s 7 9 w 7 o r d 3 d s U a D 0 Y E 7 x n 2 / 9 x w H m / d u p 4 S 0 9 f B M O O a 9 s a n j 3 R u b O t a 9 s a m n h G 5 u 2 + e b W y q h W z X v T + o t l d C t m r / f F H p K 6 F b N 3 2 M e P S V 0 c 9 v 3 m E l P C d 3 c t j e T G 9 r 2 p n F D 2 9 4 c b h i b N t 3 d 2 d k J t d D X S F 0 f 7 N + g i f x e Q l W 0 / 5 4 d D K g i r 4 P d + / c O b p e 8 f q + X D A d 7 L 9 1 G C 7 n m w 3 N h 2 P c 2 b Q 3 7 3 q a t Y d / b t L W a 6 F a N I 9 x z K 1 1 0 2 / a R a b 2 V N r p t + / e c T K u P b t v + f W b U a q R b N X 6 f O b U 6 6 V a N + 3 O 6 o X F / Q j c 0 7 s / m h g G 6 t r s d v f S e G e 2 D m z L a f h e h U r p d S t t 1 M K y U T A f 7 D + 4 9 3 B 9 D D g a Z x u P h 9 3 j L 4 2 T z 1 i 3 V k j Y f n g q P i W 9 s 6 / H w j W 0 9 F r 6 x r a + W b m 4 c Y Z 7 b q q V b t Y 9 M 7 G 3 V 0 q 3 a v + d k + m r p V u 3 f Z 0 Z 9 t X R z 4 / e Z U 1 8 t 3 d y 4 P 6 c b G v c n d E P j / m x u G K B r u + e r p Y d f I 8 3 9 c O d m x W Q 7 C R T T Q 5 3 d W 3 c w r J h M B / c / 3 f u U g r C 9 M e L W Q c 7 x G N m 9 u H t w 7 + D B z q 0 i N + + 9 B 5 / e 3 9 0 b 7 2 / q z W N r f W t 4 Y j y W v r G t x 9 E 3 t v U Y + s a 2 v p K 6 u X G E l W 5 B E 1 9 X m d e 2 b / N e Z M 5 v q 7 P e B 7 3 I T N 9 W d b 3 X c N 5 n v n 0 V d n P j 9 5 l x X 4 X d 3 L g / 4 x s a 9 + d 5 Q + P + 5 G 4 Y o G t 7 L 1 R h 7 5 X 8 f r h 7 s / a y 8 E P t t f u e H Q x r L 9 P B 7 v 6 n t O B 2 f 2 9 3 f E v P 6 v 1 e 9 J j a v H h L 5 0 q b D 8 + G x 8 c 3 t v X Y + M a 2 H h f f 2 N b X W z c 3 j v D P b Z 2 r W 7 W P T O 9 t F d W t 2 r / n Z P o a 6 l b t 3 2 d G f c 1 0 c + P 3 m V N f M 9 3 c u D + n G x r 3 J 3 R D 4 / 5 s b h i g a 7 s f a q b 3 z I g / v H e z b r I 9 h L r p 3 n t 2 M K y b T A e 7 e w / 3 9 v Y O H j w Y 7 z y 8 n X J 6 z z c 9 h j Z v 3 l I 7 a f P h G f F 4 + c a 2 H i v f 2 N b j 5 B v b + t r p 5 s Y R H r q t d r p V + 8 g E 3 1 Y 7 3 a r 9 e 0 6 m r 5 1 u 1 f 5 9 Z t T X T j c 3 f p 8 5 9 b X T z Y 3 7 c 7 q h c X 9 C N z T u z + a G A b q 2 9 0 P t 9 D U y 5 Q / 3 b 9 Z Q t p d Q Q + 2 / Z w e h h v I 1 l O l g 7 8 H 4 Q K F G R + 7 x 8 G 1 f 8 d j Y v H J L n a T N h + f B 4 + A b 2 3 o M f G N b j 3 9 v b O v r p J s b R z j n t j r p V u 0 j U 3 p b n X S r 9 u 8 5 m b 5 O u l X 7 9 5 l R X y f d 3 P h 9 5 t T X S T c 3 7 s / p h s b 9 C d 3 Q u D + b G w b o 2 n 7 a 0 U n v m S V / e P 9 m h W S 7 C B X S / f f s Y F g h m Q 7 2 d + 7 f P x g / u J 1 K u v 1 L H h + b l 2 6 p l L T 5 8 E R 4 L H x j W 4 + D b 2 z r M f C N b X 2 l d H P j C O v c V i n d q n 1 k W m + r l G 7 V / j 0 n 0 1 d K t 2 r / P j P q K 6 W b G 7 / P n P p K 6 e b G / T n d 0 L g / o R s a 9 2 d z w w B d 2 w e e U r q 3 8 / 4 5 8 n t Y K L x J L d l O f L X E b 7 5 X B 8 N q y X R w 8 P A h / b G 7 M 9 7 X K D E 6 f I + R 7 Y v 7 B 5 8 + e L C / P / 7 0 4 H b q y b x 4 f + f e 3 s N P 7 4 8 f q I 6 N v u d x t r 4 3 P D c e V 9 / Y 1 m P q G 9 t 6 P H 1 j W 1 9 P 3 d w 4 w k 2 3 o o q v s M y L 2 7 d 7 M z L 1 t 1 V d 7 4 d i Z M Z v q 8 P e c 0 j v M + + + N r u 5 8 f v M v K / N b m 7 c n / k N j f u z v a F x f 4 I 3 D N C 1 P Q i 1 2 f u k y + 9 h a f E m R W b h h 4 r s V u l y r 4 N h R W Y 6 2 H 3 w 8 M G 9 + / c e b N J G H l O / z 2 s e S 5 v X b u l j a f P h m f B 4 + M a 2 H g v f 2 N b j 4 B v b + r r r 5 s Y R 3 t k o 3 x F e 2 N g + M r W 3 V V S 3 a v + e k + n r p 1 u 1 f 5 8 Z 9 b X S z Y 3 f Z 0 5 9 r X R z 4 / 6 c b m j c n 9 A N j f u z u W G A r u 3 D U C u 9 X 6 r 8 H r L y N + k l 2 0 O o l 2 6 V K v c 6 G N Z L p o P d B / s 3 K h i P h 9 / n N Y + V z W u 3 1 E v a f H g u P C 6 + s a 3 H x D e 2 9 X j 4 x r a + X r q 5 c Y R 7 b q u X b t U + M r W 3 1 U u 3 a v + e k + n r p V u 1 f 5 8 Z 9 f X S z Y 3 f Z 0 5 9 v X R z 4 / 6 c b m j c n 9 A N j f u z u W G A t i 0 4 0 t d L 7 5 8 k v 4 e c / A 2 6 y f U S 6 q b 9 9 + x g U D f Z D u i d 8 b 1 P b 6 W Y b v + O Y 2 T 7 z u 2 0 k m k + P B O O h 2 9 u 6 1 j 4 5 r a O g 2 9 u 6 2 m l W z S O 8 M 4 t t d L t 2 k c m 9 Z Z a 6 X b t 3 3 M y P a 1 0 u / b v M 6 O e V r p F 4 / e Z U 0 8 r 3 a J x f 0 4 3 N O 5 P 6 I b G / d n c M E D X d r e j l d 4 v T X 4 P K f m b V J L t I l R J t 0 q T e x 0 M q y T T w Y N P 7 9 M 6 3 P 7 e 7 Z T S e 7 z l c b J 5 6 5 Z q S Z s P T 4 X H x D e 2 9 X j 4 x r Y e C 9 / Y 1 l d L N z e O M M 9 t 1 d K t 2 k c m 9 r Z q 6 V b t 3 3 M y f b V 0 q / b v M 6 O + W r q 5 8 f v M q a + W b m 7 c n 9 M N j f s T u q F x f z Y 3 D N C 1 3 b N q 6 f d O d 3 Z 2 3 z d T f r D D W v A m z b T 3 + G 5 X M + m b 7 9 X B s G Y y w 9 j 7 d G d v b / 8 + 5 b z H + 5 v y k h 4 v e 6 / e 2 z 1 4 S P + M D z a l 2 T 2 2 N q 8 + e E h Z s P H u p g 4 9 5 j Z v 7 R K q W D m 8 v 6 k 3 j 8 n f 6 z 2 P 3 8 1 7 m 4 T J 4 / j 3 6 s b X a P r i 7 T S a 6 W X 7 4 f 6 9 v f s P x v c O b q n a z I u 3 e i / C I b f r M M I f t 9 V 1 7 4 V g h C 1 u q / N u J n e E B 2 4 3 q R F u 2 L 7 V m 7 4 y v M 1 4 f H 3 4 X i j 6 u v F W H c U 4 4 V Y 9 e R j e 6 + j K 2 + f h o c V 2 b 1 a T t o N Q T e 6 + Z w f D a t J 0 c H / / 4 X 3 6 8 8 G D g / H D 2 2 n J 9 3 z T k w f z 5 i 0 d O W 0 + z N a e C N z Y 1 p O A G 9 t 6 T H 9 j W 1 / t 3 d w 4 w k K 3 d e R u 1 T 4 y w b d 1 5 G 7 V / j 0 n 0 1 d q t 2 r / P j P q K 7 W b G 7 / P n P q 6 6 + b G / T n d 0 L g / o R s a 9 2 d z w w B d 2 / 2 O c j L p + J N v n / 7 E V 7 d T I H s 3 a y j b S 6 i h 9 t 6 z g 2 E N Z T r 4 d P / B / Y P 9 T / f G 9 2 + p o N 7 v R Y + l z Y v b + w 8 O H t x O R 9 3 2 F Y + x z S u b B M F j b d P 8 h g 4 8 / r 4 t T r 7 q 0 n d u p 7 p u M w J f d d 2 q f W T m b 6 u 6 b t U + M s + 3 V V 2 3 a t + f 4 d u p r l v P V m S G b 3 j F 1 2 O 3 7 c Z X Z 7 c Z t 6 / R b o v W + 0 6 1 a 3 5 / Q L X d Z q U R a u f e z X r N d h H q t X v v 2 c G w X j M d 7 N / f 2 b t H T u f B g z E W W w e H 7 z H 6 + 7 7 q 8 b x 5 9 Z a + l z Y f Z m G P 3 W 9 s 6 3 H 7 j W 0 9 L r + x r a / A b m 4 c Y a P b K r B b t Y 9 M 8 W 0 V 2 K 3 a v + d k + g r s V u 3 f Z 0 Z 9 B X Z z 4 / e Z U 1 9 n 3 d y 4 P 6 c b G v c n d E P j / m x u G K B r + 2 l H Q Q V L j r d T I f s 3 6 y j b S 6 i j 9 t + z g 2 E d Z T r 4 9 H Z 6 6 T b N P f Y 1 z W + p i 7 T 5 M P 0 9 z r 2 x r c e 4 N 7 b 1 + P b G t r 4 u u r l x h G N u q 4 t u 1 T 4 y l b f V R b d q / 5 6 T 6 e u i W 7 V / n x n 1 d d H N j d 9 n T n 1 d d H P j / p x u a N y f 0 A 2 N + 7 O 5 Y Y C u 7 Y O u L n q f h U Y o i v s 3 a y L b R 6 i J 7 r 9 n B 8 O a y H S w e / / h 7 u 6 9 s Q K O D t 1 j 4 v d 4 y 2 N l 8 9 Y t 9 Z I 2 H 5 4 L j 4 t v b O s x 8 Y 1 t P R 6 + s a 2 v l 2 5 u H O G e 2 + q l W 7 W P T O x t 9 d K t 2 r / n Z P p 6 6 V b t 3 2 d G f b 1 0 c + P 3 m V N f L 9 3 c u D + n G x r 3 J 3 R D 4 / 5 s b h i g a 3 s Q 6 K V 7 X 2 O h 8 d 7 O z Z r J 9 h J o p n s 6 v b f u Y F g z m Q 7 u 7 x 3 s P j x 4 e E C L h f u 3 0 0 7 e m / s H 9 z 7 9 d H / 8 Q M P L 6 J s e U 5 s 3 9 x 5 + + u n O / f F D X Q + I v u b x t u 3 w Y H f v 4 G B 8 s O E t j 8 P f 4 y 2 P 1 c 1 b m + T I Y / b 3 6 M R X Z f r a 7 V S Z 6 W O b 6 P 3 p w d 7 4 Y F M + 0 N d p l t y 3 e S / C G r f r M M I Z t 1 V y 7 4 V g h C F u q + x u J n e E A 4 a m d E D t W a L d 4 j 1 f A 9 5 m L L 4 S f A / 0 f H V 4 q 2 5 i P H C L f j z s H n a U 4 3 u t L N 7 b v V k v 2 g 5 C v a i a 5 N Y d D O t F 0 8 H u z v 1 P d 3 b 2 9 z 7 9 d P x w k 3 r z 2 P 9 9 X / U k w b y 6 a X o 8 A b h N c 4 / / T f N P D x 6 O D z Z h 5 I n B r d / x Z O A 2 a P l q U N v f T g 3 e C n i E U z a 2 j 0 z 8 x v a R 2 b 6 t s r t V + / e c Y 1 / J 3 U z M y O x u B P 6 e M + t r t V u 1 f 8 / J 9 d X Z r d q / 7 + T a 5 h h J o M b e M 1 F / 7 + Z E v e s i V G S 3 S 9 S 7 D g Y V m e 1 g d + f T v U 9 3 D + j / Y 7 D v 4 P A d a 7 / 3 q 4 7 L 7 a u 3 U 2 S m + T D T O g a / u a 3 j 7 5 v b O t 6 + u a 2 n s m 7 R O M J G t 1 R Z t 2 s f m e J b q q z b t X / P y f R U 1 u 3 a v 8 + M e i r r F o 3 f Z 0 4 9 Z X W L x v 0 5 3 d C 4 P 6 E b G v d n c 8 M A X d v d j o J 6 3 + T Y v Z u T Y 6 6 P U E P d L j n m O h j W U K a D e 4 h A x w e 7 t 1 N O 7 / G W x 8 r m r V v q J W 0 + P B c e F 9 / Y 1 m P i G 9 t 6 P H x j W 1 8 v 3 d w 4 w j 2 3 1 U u 3 a h + Z 2 N v q p V u 1 f 8 / J 9 P X S r d q / z 4 z 6 e u n m x u 8 z p 7 5 e u r l x f 0 4 3 N O 5 P 6 I b G / d n c M E D X d i / Q S / t f I z m 2 v 3 O z Z r K 9 B J p p X 6 f 3 1 h 0 M a y b T w d 7 + L Z W S e W H / / u 7 u e O 9 2 K s m 8 c 0 u V Z L v Y e 7 C z s Q u P k W / 9 j s f P t 0 H L 4 + h b d + F r K 3 3 p d t r K 9 L B 9 c x c R H r n 5 p c i 8 3 6 K r y O T f V n 3 d H r X I 9 N 9 W h 9 1 M 4 s i c 3 4 x R Z O Z v J p a v 1 G 4 z D l + v 3 R o 1 X 7 / d q p O v N + / u p X s d X f e e Q e L + L Y J E 2 0 W o 6 G 4 X J L o O h h W d 6 W D / H q X x 9 2 + n 6 2 7 9 j s f y 5 p 1 b 6 j p t P s y 8 H q P f 2 N b j 8 x v b e u x 9 Y 1 t f o d 3 c O M I 4 t 3 W / b t U + M q m 3 d b 9 u 1 f 4 9 J 9 N X X b d q / z 4 z 6 q u u m x u / z 5 z 6 m u r m x v 0 5 3 d C 4 P 6 E b G v d n c 8 M A X d v 9 j k o 6 + 8 n j 9 P d J T 7 7 8 4 u z 1 2 Z e 3 U x r 7 N 2 s l 2 0 u o l V Q V 3 L q D Y a 1 k O t j f f f D p 7 X T S L d / w m N i 8 c U u N p M 2 H Z 8 H j 3 x v b e u x 7 Y 1 u P e 2 9 s 6 2 u k m x t H + O a 2 G u l W 7 S M T e l u N d K v 2 7 z m Z v k a 6 V f v 3 m V F f I 9 3 c + H 3 m 1 N d I N z f u z + m G x v 0 J 3 d C 4 P 5 s b B u j a 3 g 8 0 0 v 2 v E R D e 3 7 l Z I 9 l e A o 1 0 X 6 f 3 1 h 0 M a y T T w d 6 D e 2 N N g E V H 7 v G w e W X 3 0 4 P 7 D 3 c 3 L q B 6 n G z e u q V a 8 j q 5 t 3 s w v r f h L Y + d 3 + M t j 6 9 v g 5 r H 2 e / R i a + 3 9 L X b 6 S 3 T x / Z t O o n w y 2 1 e 6 3 L B b b u L s M J t 1 d n 7 o B d h h t t q t Z t J H Z n 9 2 + A U 4 Y L b k M x X d b c Z i 6 / t 3 g M 9 X + / d q p u v y w H u t U 8 7 W v D s h c S K t 9 N P u z c r Q N t B q A A 1 e 3 X r D o Y V o O n g w Y P x p / u 3 U 4 C 3 f c V j f P P K L b W f N h 9 m Y I / Z b 2 z r 8 f q N b T 0 G v 7 G t r 9 x u b h x h m t s 6 Z b d q H 5 n S 2 z p l t 2 r / n p P p q 6 9 b t X + f G f X V 1 8 2 N 3 2 d O f U 1 1 c + P + n G 5 o 3 J / Q D Y 3 7 s 7 l h g K 7 t g 4 4 6 e s / M 1 f 1 7 N y s k 2 0 W o k F R f 3 r q D Y Y V k O r h 3 7 8 H u 3 s F 4 5 9 P b K a X 3 e c 3 j Z f P a L R W T N h + e D I + N b 2 z r c f G N b T 0 m v r G t r 5 h u b h x h n 9 s q p l u 1 j 0 z t b R X T r d q / 5 2 T 6 i u l W 7 d 9 n R n 3 F d H P j 9 5 l T X z H d 3 L g / p x s a 9 y d 0 Q + P + b G 4 Y o G t 7 0 F F M Z y / e p J 8 f v z h + e l t X 6 f 7 N m s n 2 E W o m j e p u 3 c G w Z j I d P N j Z G + O P Q Z 7 x W P j W 7 3 h s b N 6 5 p U 7 S 5 s P z 4 H H w j W 0 9 B r 6 x r c e / N 7 b 1 d d L N j S O c c 1 u d d K v 2 k U m 9 r U 6 6 V f v 3 n E x f J 9 2 q / f v M q K + T b m 7 8 P n P q 6 6 S b G / f n d E P j / o R u a N y f z Q 0 D d G 0 f B j r p 0 6 + R w f p 0 5 2 a t Z H s J t B L e f K 8 O h r W S 6 W B 3 / 9 7 9 8 a c P b 6 e W z E u b u M x j Y t N 8 / 8 G n + w f 7 4 3 u f 3 k 4 z u d f u 7 + w f j D 9 9 s O E 1 j 6 X f 5 z W P u W 8 z J o + 9 3 6 c X X 3 v p e 7 f T X r e f H F + H m b e 2 b / F a h B N u q 8 r e A 7 k I L 9 x W o b 3 P Y P p M c D u 9 9 l 5 z G e G B 7 d u 8 6 K u 7 2 x D B 1 3 j v g 6 C v / G 7 V T 4 Q F b j U g h 9 + 9 n Y 4 u f K 8 8 1 q e 7 N 6 p B 1 0 G o B n f f s 4 N B N W g 7 2 N t 9 O F a o N y j B W 7 / i m N + + s m k + H O + b 5 s N M 7 B j + 5 r a O 3 2 9 u 6 3 j 8 5 r a e c r t F 4 w j T b N Q E E R 7 Y 2 D 4 y p b f U Z 7 d r / 5 6 T 6 W m y 2 7 V / n x n 1 V N g t G r / P n H q 6 6 h a N + 3 O 6 o X F / Q j c 0 7 s / m h g G 6 t r s 9 d f R + 4 e K n N 4 e L r o 9 Q I 9 0 u X H Q d D G s k 0 8 G 9 B w c H 4 4 O 9 2 + m k 2 7 / k M b J 5 6 Z Z a S Z s P z 4 T H w z e 2 9 V j 4 x r Y e B 9 / Y 1 t d K N z e O 8 M 5 t t d K t 2 k e m 9 b Z a 6 V b t 3 3 M y f a 1 0 q / b v M 6 O + V r q 5 8 f v M q a + V b m 7 c n 9 M N j f s T u q F x f z Y 3 D N C 1 3 Q u 0 0 o O v E T A + 2 L l Z L 9 l e A r 3 0 Q K f 3 1 h 0 M 6 y X T w b 2 d n f 2 x S d x H x + 5 x s X l p 9 + D T B w / 2 N / u V H j O b 1 2 6 p m V w v 9 x 4 8 2 B l D j A Z f 8 1 j 6 f V 7 z m L u D 3 E 0 q 6 3 1 6 8 b W X v n c 7 7 W U 6 2 b 5 V L x G 2 u d V 7 E W 6 4 X Y c R j r i t X n s v B C M 8 c V v 9 d j O 5 I y x w K 6 Q i v H A r q v l q 7 z a j 8 T X f + y D o K 8 F b 9 f O 1 2 c C 9 d 6 + j E 9 9 z x f H B z S u O r o t Q I a r i u n U H w w r R d H D v w b 2 9 f U r T 3 9 J V e 5 / X P D k w r 9 1 S J W r z Y X b 2 W P / G t h 7 n 3 9 j W 4 / Y b 2 / r q 7 u b G E f a 5 r b N 2 q / a R q b 2 t s 3 a r 9 u 8 5 m b 4 y u 1 X 7 9 5 l R X 5 n d 3 P h 9 5 t T X W j c 3 7 s / p h s b 9 C d 3 Q u D + b G w b o 2 u 5 3 F N P Z T x 6 n v 0 9 6 8 u U X Z 6 / P v r y d 6 t i / W T f Z X k L d t P + e H Q z r J t P B v Z 0 H 4 9 1 b K q Z b v + M x s n n n l l p J m w / P h M f D N 7 b 1 W P j G t h 4 H 3 9 j W 1 0 o 3 N 4 7 w z m 2 1 0 q 3 a R y b 1 t l r p V u 3 f c z J 9 r X S r 9 u 8 z o 7 5 W u r n x + 8 y p r 5 V u b t y f 0 w 2 N + x O 6 o X F / N j c M 0 L W 9 3 9 V K 7 5 n Y e n C L x J b t I 9 R J t 0 t s u Q 6 G d Z L p 4 N O d n Y f j n U 9 v p 5 R u / 5 L H y O a l W 2 o l b T 4 8 E x 4 P 3 9 j W Y + E b 2 3 o c f G N b X y v d 3 D j C O 7 f V S r d q H 5 n W 2 2 q l W 7 V / z 8 n 0 t d K t 2 r / P j P p a 6 e b G 7 z O n v l a 6 u X F / T j c 0 7 k / o h s b 9 2 d w w Q N f 2 0 0 A r H X y N x N b B z s 1 6 y f Y S 6 K U D n d 5 b d z C s l 0 w H u 5 / e P 9 i 5 9 2 B v D O 4 b Z B 2 P k + 2 L 9 + 5 R U m x n E 8 N 5 / G z e u n d v f / 9 g Z 2 + z U v P 4 2 r z 3 c H 9 / 7 + H 4 4 e 6 G t z z u f o + 3 P D Y 3 b 2 0 a k s f o 7 9 G J r 8 b 0 t d u p M U u 2 v f s 3 T 5 K v z 8 y L 2 7 d 7 M 8 I Y t 9 V s 7 4 d i h C V u q + L e c 0 h 9 d r i d s n u f a Y 1 w w / Y t 3 v M 1 4 G 2 o 4 C v B 9 0 D P V 4 e 3 6 i b C B b c Z j o f d g 4 5 y P H s h K a 7 b q a 3 d m / W i 7 S D U i 4 r e r T s Y 1 o u m g 7 1 7 u / c / v b e 7 M 7 5 3 S 7 3 4 f i 9 6 c m B e v K X f p s 2 H m d l j / B v b e n x / Y 1 u P 2 W 9 s 6 y u 8 m x t H G O i 2 f t u t 2 k e m 9 7 b a 7 V b t 3 3 M y f a V 2 q / b v M 6 O + K r u 5 8 f v M q a + 1 b m 7 c n 9 M N j f s T u q F x f z Y 3 D N C 1 P e i o p v d M v h / c u 1 k 5 2 S 5 C 5 X T v P T s Y V k 6 m g 9 1 P P / 3 0 B t / L 4 + H 3 e M v j Z P P W L d W S N h + e C o + J b 2 z r 8 f C N b T 0 W v r G t r 5 Z u b h x h n t u q p V u 1 j 0 z s b d X S r d q / 5 2 T 6 a u l W 7 d 9 n R n 2 1 d H P j 9 5 l T X y 3 d 3 L g / p x s a 9 y d 0 Q + P + b G 4 Y o G v 7 s K O W 3 j / 1 f r B / s 2 a y v Y S a a f 8 9 O 3 C a i T v w h m w 6 2 B v v K 9 D o w D 0 W v u U b H h O b N 2 6 p k b T 5 8 C x 4 / H t j W 4 9 9 b 2 z r c e + N b X 2 N d H P j C N / c V i P d q n 1 k Q m + r k W 7 V / j 0 n 0 9 d I t 2 r / P j P q a 6 S b G 7 / P n P o a 6 e b G / T n d 0 L g / o R s a 9 2 d z w w B t 2 / 2 d r k Z 6 z 7 T 7 w f 0 b 9 Z H r I 9 R H G j H d u o N B f W Q 7 e L D 7 6 d 7 4 4 O G t V N J 7 v O Q Y 2 b 5 0 O 6 1 k m g / P h O P h m 9 s 6 F r 6 5 r e P g m 9 t 6 W u k W j S O 8 c 0 u t d L v 2 k W m 9 p V a 6 X f v 3 n E x P K 9 2 u / f v M q K e V b t H 4 f e b U 0 0 q 3 a N y f 0 w 2 N + x O 6 o X F / N j c M 0 L X d 9 b X S 7 s 7 7 p 9 1 3 E f j c p J d s L 7 5 e 2 j U h 0 6 0 7 G N Z L p g P 6 9 V O K x + 6 N D w 5 u p 5 v e 7 0 W P p c 2 L m 1 j U 4 2 h t P j w n H j f f 2 N Z j 5 h v b e r x 8 Y 1 t f P 9 3 c O M J F t 9 V P t 2 o f m d 7 b 6 q d b t X / P y f T 1 0 6 3 a v 8 + M + v r p 5 s b v M 6 e + f r q 5 c X 9 O N z T u T + i G x v 3 Z 3 D B A 1 3 a v o 5 / e J / O 9 u 7 N 7 s 2 q y H Y S q a f c 9 O x h W T a a D 2 2 k Y j 4 n f 7 0 W P m 8 2 L t 1 R N 2 n x 4 O j x G v r G t x 8 c 3 t v X Y + M a 2 v m q 6 u X G E g W 6 r m m 7 V P j K 9 t 1 V N t 2 r / n p P p q 6 Z b t X + f G f V V 0 8 2 N 3 2 d O f d V 0 c + P + n G 5 o 3 J / Q D Y 3 7 s 7 l h g K 7 t v Y 5 q e r / M N 0 W P N y s n 2 0 W o n G 6 V + f Y 6 G F Z O p o O 9 n Y c 7 9 + 7 t P R g / + P R 2 y u n 9 X v T 4 2 b x 4 S + W k z Y c n x G P l G 9 t 6 n H x j W 4 + R b 2 z r K 6 e b G 0 d Y 6 L b K 6 V b t I 9 N 7 W + V 0 q / b v O Z m + c r p V + / e Z U V 8 5 3 d z 4 f e b U V 0 4 3 N + 7 P 6 Y b G / Q n d 0 L g / m x s G 6 N r u e 8 p p d y 9 9 3 2 z T 7 t 4 t s k 2 2 j 0 A 7 4 c 3 3 6 m B Y O 5 k O d g 9 2 x p t W / T 0 O v u 0 r H h O b V 2 6 p k b T 5 8 C x 4 / H t j W 4 9 9 b 2 z r c e + N b X 2 N d H P j C N / c V i P d q n 1 k S m + r k W 7 V / j 0 n 0 9 d I t 2 r / P j P q a 6 S b G 7 / P n P o a 6 e b G / T n d 0 L g / o R s a 9 2 d z w w B d 2 / u + R r q X v l 8 k d + 8 W k Z z t I F B H e P O 9 O h h W R 6 a D n f H O 3 u 2 0 0 S 3 f 8 P j X v n E 7 Z a T N h y f A Y 9 0 b 2 3 q c e 2 N b j 3 F v b O s r o 5 s b R 1 j m t s r o V u 1 j E 3 p L Z X S r 9 u 8 5 m b 4 y u l X 7 9 5 l R X x n d 3 P h 9 5 t R X R j c 3 7 s / p h s b 9 C d 3 Q u D + b G w b o 2 n 7 q K 6 M H 6 d d I e z / Y u V k j 2 V 4 C j f R A p z f W Q b S D Y Y 1 k O j g 4 2 N 1 5 c P B w Z / x g / 3 a K y b 7 4 4 M G n 9 3 Y f 7 o 0 / V T U Z f d F j a f P i p w e 7 u 5 / u j w 8 2 q T W P s 8 1 r 9 + 5 9 u v / p p + N P H 2 5 4 z W P w 9 3 n N Y 3 X z 2 i Y 5 8 p j 9 f X r x d Z m + d z t d Z j v Z 3 / / 0 4 c E Y a m i 4 k w g P b d / q x Q h v 3 F a 5 v R e C E Y 6 4 r Z J 7 v w H 1 m e F 2 2 u 6 9 5 j T C C 9 u 3 e d F X g r c h g 6 8 H 3 w d B X y X e q p 8 I G 9 x q Q B 5 + D z o a 8 r 3 c t Q e 3 c N d s B 6 F y v J 2 7 5 j o Y V o 6 m g 9 2 9 B 3 v 3 H + w + f D h + e E u 3 z b 5 5 7 9 7 + z u 7 + / s P x r q J 1 k 3 o 0 b 2 7 f f / B g 5 + D g 0 / H u J n J 7 U m F e v P e A 5 m m T R H g C c e t 3 P L k w 7 9 x S N d 6 6 C 1 8 v 6 k u 3 0 4 u W Y p 8 S o f d A 6 o 0 M G m G g 2 7 0 Y Y Y x b d h l h j N s 6 g O + H Y o Q d b u s J 3 k z y C A / c P K k R T t i + 8 S 1 f K 9 5 m H L 5 W v D V q v k q 8 V S e x + b + x F w + z g 4 4 + f M 9 s / 4 N 7 N 2 t E 2 0 W o E R X B W 3 c w r B F N B 7 v 7 9 3 b u P S R z M E Y E P z h 6 j / H d m 3 u f P r j 5 T U 8 E z J v 3 P t 2 h 5 3 b K U N 8 Z 5 m a P 8 2 9 s 6 z H + j W 0 9 f r + x r a / x b m 4 c 4 a Q b K e I r O / P S 9 s 1 v R S Z 8 Y / v I N N / c S W S G N 7 b v z + 5 t h v I + 8 + x r u J s b v 8 9 M + w r t 5 s b 9 m d 7 Q u D / D G x r 3 J 3 b D A F 3 b h x 3 N d f a T x + n v k 5 5 8 + c X Z 6 7 M v b 6 d b 9 m 9 W X r a X U H m p l r h 1 B 8 P K y 3 T w 6 c 6 9 T / c o 1 L 1 / S 2 f O v L f / Y P / h / s H u + P 4 t F Z d 5 b 3 f v 4 N O D n Y P x w 4 P b K S 9 9 b 3 h q P K a + s a 3 H 0 z e 2 9 V j 6 x r a + 8 r q 5 c Y S Z b k U V X 4 G Z F 7 d v 9 2 Z k 4 m + r x N 4 P x c i M 3 1 a R v e e Q 3 m f e f W V 2 c + P 3 m X l f m d 3 c u D / z G x r 3 Z 3 t D 4 / 4 E b x i g b X t / x 1 d m B 1 8 n c X e w c 6 M y c 7 0 E y u x A G e P W H Q w q M 9 v B / Y N P P 9 0 Y F D i + t u 9 8 + u D + v X t 7 4 5 3 7 t 9 J j 9 r W 9 n Q e 3 U m D 2 h Y O D h 3 s 7 m 7 t x L P 0 + b z n e t m 9 t E j n H 3 e / T i a f h z G u 3 0 n C 2 j + 2 D g w e 7 9 2 7 o J M I z t 3 k t w g m 3 6 i 7 C D R u V V Y Q N b t N N h B k 2 d t N n g 1 t p t v e a z g g X b N / i P U / d 3 W o s n s Z 7 H / Q 8 3 X e 7 b u I c c G M / H n a 7 H U 3 4 X g m 6 g 9 2 b l a D t I F S C u + / Z w b A S N B 3 s 7 p L 5 3 F e 4 N 2 l B 9 9 L 9 + / s b E 3 o e 8 5 u X 7 u 1 + e s s Y 1 L 6 y d 3 8 T Y h 7 n 3 + 4 F j / v N C 7 f U f b e D 7 6 s 9 f e N 2 a s + R 6 B 4 M 8 n A H E Q 7 Z v v G l y K x v 1 C i R C b + x j 8 h 8 b + w j M t k 3 D 6 Q / 4 b d T d b e c v c h 8 b 2 9 + x V d w t x m 2 r + B u h 5 S v 2 2 7 V Q 2 S y b x i E h 9 N e R 6 2 9 Z 5 7 t 4 O Y 8 m + s i V G y 3 y 7 O 5 D o Y V m + m A V k j v f 0 q r p J u G 7 n H 6 + 7 z m M b t 5 7 Z a K T Z s P s 6 3 H 4 j e 2 9 T j 8 x r Y e b 9 / Y 1 l d j N z e O s M 9 G y Y / w w s b 2 k a m 9 r f a 6 V X s 3 m b d r 3 5 / N W / t n N x P z f a b U 1 1 c 3 N v Y 1 1 c 2 N + 3 O 6 o X F / Q j c 0 7 s / m h g G 6 t v d 8 x f T w 6 0 S e D 3 d u 1 k 2 2 l 0 A 3 P d T p v X U H w 7 r J d L C J Y T z + N c 3 3 9 / d v W s 3 0 u P g 2 n X h M / B 6 d e K z 8 H m 9 5 P H 0 b 1 D y u f o 9 O f J 2 l r 9 1 O Z 5 k + t m / T S Y R X b v N a h A N u 1 V 2 E F W 6 r y t 4 H v Q g z 3 F a j 3 U z q y O z f B q c I F 9 y G Z L 6 a u 8 1 Y f E 3 3 H u j 5 O u 9 W 3 X x d D n C v 7 X c 0 4 H u 6 Z g + t 5 z S s / m w X o f q 7 9 5 4 d D K s / 0 w H F 2 g / 2 x v c O b q c F 3 + M t T w D M W 7 f U g t p 8 m J E 9 p r + x r c f z N 7 b 1 G P 3 G t r 6 S u 7 l x h H l u 6 5 j d q n 1 k Y m / r m N 2 q / X t O p q / G b t X + f W b U V 2 M 3 N 3 6 f O f U 1 1 s 2 N + 3 O 6 o X F / Q j c 0 7 s / m h g G 6 t v c 9 t b S 3 8 z U c s z 3 k h G 7 S T L Y X X z P t m W z S r T s Y 1 k y m g 1 s 6 Z q b 5 / r 3 d A 1 o M u K V j d p t O P C Z + j 0 4 8 V n 6 P t z y e v g 1 q H l e / R y e + z t L X b q e z T B / b t + k k w i u 3 e S 3 C A b f q L s I K t 1 V l 7 4 N e h B l u q 9 F u J n V k 9 m + D U 4 Q L b k M y X 8 3 d Z i y + p n s P 9 H y d d 6 t u v i 4 H u N c + 7 W j A 9 1 k K 2 N v Z v V n 5 2 Q 5 C 5 b f 7 n h 0 M K z / T w S 2 V 3 2 2 a e w x v m t O C w S a K e r x + y z c 8 b r / l G x 7 L 3 2 Y Q H q v f s g N f 2 e k r t 1 N 2 t 0 H H V 3 K 3 a v + e U + x r t V u 1 j 0 z y b R 2 0 W 7 X v T / D t 1 N l t J y s y v 9 s 3 v O O r s d u M w V d j t 0 T L V 2 G 3 6 i I y z T c N w 8 P q Q U d 9 v V 9 c u b d z i 7 j S d h E q s F v F l V 4 H w w r M d H D w 6 T 1 k 7 g 9 u p 8 f e 4 y 2 P 0 8 1 b t 3 T i t P k w 4 3 p M f m N b j 8 d v b O s x 9 4 1 t f b V 1 c + M I 8 9 x W b d 2 q f W R i b 6 u 2 b t X + P S f T V 1 u 3 a v 8 + M + q r r Z s b v 8 + c + p r q 5 s b 9 O d 3 Q u D + h G x r 3 Z 3 P D A F 3 b A 1 8 t 7 X 6 d u B J M f Z N m s r 0 E m m l X p / f W H Q x r J t P B 7 v 0 d E 6 1 G R + 7 x s H n l / v 2 d 3 d 3 x w 7 3 b q S X z 1 i 3 V k m m + v 3 N j J x 4 7 v 8 d b H l / f B j W P s 9 + j E 1 9 v 6 W u 3 0 1 u m j + 3 b d B L h l 9 u 8 F u G C W 3 U X Y Y X b q r P 3 Q S / C D L f V a j e T O j L 7 t 8 E p w g W 3 I Z m v 6 m 4 z F l / b v Q d 6 v t 6 7 V T d f l w P c a w 8 7 W v C 9 Y k s w / E 0 K 0 H Y Q K s D b x Z a u g 2 E F a D q 4 p f I z z X c / 3 d t T J G 7 S f P a V / X s H O w 9 u p / 5 c N z s 7 e w f m n c 3 K z 0 P t I f 4 Y 7 M d j f v P O 3 s N 7 m 0 b j 8 f 2 t M f N 1 n 7 5 0 O 9 1 n e t i + i c a + 4 r v t v P h a 7 / Y d R R j g t i r v 1 o h F Z v + 2 + u 5 m 8 k a m / O Y J j M z 6 9 o 1 v + b r u N u P w d d 2 t U f M 1 3 a 0 6 i c / 6 T Q S w L 3 2 6 0 9 F z 7 x m E g u t u 0 H S u i 1 D T 3 S 4 I d R 0 M a j r b w S 3 8 N s f v 9 q 1 N 5 H X s / j 6 d O I Y 3 b w 0 z s G P 2 m 9 s 6 X r + 5 r W P x m 9 t 6 C u 0 W j S P M c w u a e C r N v r Z 9 m / c i 8 7 x R e 0 R m + D b d R G Z 6 Y z f 9 O b 7 d c N 5 n v j 3 l d o v G 7 z P j n i 6 7 R e P + j G 9 o 3 J / n D Y 3 7 k 7 t h g K 7 t r q + 0 9 r 5 O i A o C 3 K S 3 b C + B 3 s K b 7 9 X B s N 4 y H W x i N I + d T f O 9 e w 8 e P B g / e H g 7 v X W b T j x m f o 9 O P F Z + j 7 c 8 n r 4 N a h 5 X v 0 c n v k b T 1 2 6 n 0 U w f 2 7 f p J M I r t 3 k t w g G 3 6 i 7 C C h t V V I Q J b t N N h B k 2 d t N n g 9 t p t P f B K c I F t y G Z r + Z u M x Z f 0 7 0 H e r 7 O u 1 U 3 X 5 c D 3 G t 7 H Q 3 4 n m 4 b M L h J / d k u Q v V 3 O 7 f N d T C s / k w H + w / u 3 7 8 / R q A + O H K P 9 d / j L U 8 A z F u 3 1 I L a f J i R P a a / s a 3 H 8 z e 2 9 R j 9 x r a + k r u 5 c Y R 5 N o p 1 h B M 2 t o 9 M 7 M b 2 k S m 9 r T a 7 V f v + b N 5 a j d 1 M z P e Z U l 9 5 3 d j Y 1 1 g 3 N + 7 P 6 Y b G / Q n d 0 L g / m x s G 6 N r e 8 9 X S v a / j m N 2 7 h W N m e w k 0 0 z 2 d 3 l t 3 M K y Z T A e 3 d M x M 8 3 1 a a N k d 7 + z e T i X d p h O P i d + j E 4 + V 3 + M t j 6 d v g 5 r H 1 e / R i a + z 9 L X b 6 S z T x / Z t O o n w y m 1 e i 3 D A r b q L s M J t V d n 7 o B d h h t t q t J t J H Z n 9 2 + A U 4 Y L b k M x X c 7 c Z i 6 / p 3 g M 9 X + f d q p u v y w H u t f 2 O B n x P x + y e 9 Z u G 1 Z / t I l R / 9 9 6 z g 2 H 1 Z z o 4 2 N 3 d 3 x v v 7 N 1 O C 5 q 3 d u 9 9 u n v / 3 v j h / u 3 U o H n t N t k T T w L 0 t W G O 9 r j / x r Y e 8 9 / Y 1 u P 4 G 9 v 6 2 u 7 m x h E u u g 1 R f G 1 n 3 r v N a 5 E J v 1 V 3 k S m / r b Z 7 H / T 6 c 3 1 r b X c z q d 9 n w n 0 d d 2 N j X 7 H d 3 L g / 4 x s a 9 6 d 5 Q + P + 5 G 4 Y o G t 7 3 9 d e + 1 / H f 9 u / h f 9 m e w k U 2 L 5 O 7 6 0 7 G F Z g p o N b + m + m + e 6 D e 7 t 7 4 0 8 3 a X q P m W / T i c f E 7 9 G J x 8 r v 8 Z b H 0 7 d B z e P q 9 + j E 1 2 j 6 2 u 0 0 m u l j + z a d R H j l N q 9 F O O B W 3 U V Y 4 b Y a 7 X 3 Q i z D D b T X a z a S O z P 5 t c I p w w W 1 I 5 q u 5 2 4 z F 1 3 Q x 9 G 6 h 8 2 7 V z d f l A P f a p x 0 N + J 7 + 2 / 4 t / D f b R a j + b u e / u Q 6 G 1 Z / p 4 B Y j 9 1 j / P d 7 y B M C 8 d U s t q M 2 H G d l j + h v b e j x / Y 1 u P 0 W 9 s 6 y u 5 m x t H m G e j W E c 4 Y W P 7 y M R u b B + Z 0 t t q s 1 u 1 7 8 / m r d X Y z c R 8 n y n 1 l d e N j X 2 N d X P j / p x u a N y f 0 A 2 N + 7 O 5 Y Y C u 7 Q N f L d 3 / O o 7 Z / V s 4 Z r a X Q D P d 1 + m 9 d Q f D m s l 0 c E v H z D T f v 7 d H 8 c L B p 7 d T S b f p x G P i 9 + j E Y + X 3 e M v j 6 d u g 5 n H 1 e 3 T i 6 y x 9 7 X Y 6 y / S x f Z t O I r x y m 9 c i H H C r 7 i K s c F t V 9 j 7 o R Z j h t h r t Z l J H Z v 8 2 O E W 4 4 D Y k 8 9 X c b c b i a 7 r 3 Q M / X e b f q 5 u t y g H v t o K M B z 1 6 I Z 3 Y 7 3 b R 7 s / K z H Y T K T / 2 g W 3 c w r P x M B 7 d U f r d p 7 j G 8 a X 5 v Z / + W K b R b v u F x + y 3 f 8 F j + N o P w W P 2 W H f j K T l + 5 n b K 7 D T q + k r t V + / e c Y l + r 3 a p 9 Z J I 3 t o 9 M 8 W 3 V 2 c 3 E j M z t T Z M V m d / t G 9 7 x 1 d h t x u C r s V u i 5 a u w W 3 U R m e a b h u F h 9 b C j v t 4 z r r x / i 7 j S d h E q s N v F l a 6 D Y Q V m O r i F 4 v Z 4 / D 3 e 8 j j d v L V p S j x G 1 + b D j O s x + Y 1 t P R 6 / s a 3 H 3 D e 2 9 d X W z Y 0 j z H N b t X W r 9 p G J v a 3 a u l X 7 9 5 x M X 2 3 d q v 3 7 z K i v t m 5 u / D 5 z 6 m u q m x v 3 5 3 R D 4 / 6 E b m j c n 8 0 N A 7 R t H + z 4 a u n T r x N X f r p z o 2 Z y v Q S a 6 V O d 3 l t 3 M K i Z b A e b G M b x r 2 2 + T + u h + 2 O T e Y u + 5 b j Y v n X v / v 7 4 3 i Y 1 5 j j Z 6 + n + w c H 4 w c N b + V n v 8 5 Z j 7 F s R w b H 2 + 3 T i K S 7 z 2 q 0 U l + 1 j + x a U 9 h T Y + 0 y Q p 8 f e r 7 s I P 9 x S n 7 0 X e h F m u K V a u w W p I 7 N / m + m M c M H 2 L d 7 z d N 2 t x u K p u / d B z 1 N 8 t + s m z g E 3 9 u N h t 9 t R g + 8 V X C J V f p M G t B 2 E G n D 3 P T s Y 1 o C m g 1 t q w N s 0 9 x j e N N + D 6 z v 4 g s f q t 3 v B 4 / X b v e D x + 2 1 G 4 P H 5 7 e D 7 i k 7 f u J 2 i u w 0 2 v o K 7 V f v 3 n F 5 f o 9 2 q f W S C N 7 a P z O 9 t V d n N x I x M 7 Q 1 z F Z n d 7 c 2 v + A r s N i P w F d j t k P J 1 1 6 1 6 i M z x D Y P w c N r r q K 3 3 D C o / v T m o d F 2 E i u t 2 Q a X r Y F h x m Q 5 u Y U s 9 / n Z v 3 a j m P S 4 3 b 2 2 / j w u n L w 2 z r s f m N 7 b 1 u P z G t h 5 / 3 9 j W V 1 w 3 N 4 6 w 0 M 0 k 8 d W X e e v m l y I z H e l q g y Y z b 9 1 W k 9 0 e t f 4 c 3 1 q d 3 U z i 9 5 l o X 5 P d 2 N j X Y T c 3 7 s / 0 h s b 9 C d 7 Q u D + x G w b o 2 t 7 z V d a D r x N w w s e 7 S W v Z X g K t 9 U C n 9 9 Y d D G s t 0 8 E t 3 S 3 T / B Z K z m P l 2 3 T i M f F 7 d O K x 8 n u 8 5 f H 0 b V D z u P o 9 O v E 1 m b 5 2 O 0 1 m + r h V 8 B f h l d u 8 F u G A W 3 U X Y Y X b 6 r P 3 Q S / C D L f V a D e T O j L 7 t 8 E p w g W 3 I Z m v 5 m 4 z F l / T v Q d 6 v s 6 7 V T d f l w P c a / s d D f i e T h u 6 v U n 9 2 S 5 C 9 a c I 3 r q D 3 2 t Q / Z k O b j F y j / X f 4 y 1 P A M x b t 9 S C 2 n y Y k T 2 m v 7 G t x / M 3 t v U Y / c a 2 v p K 7 u X G E e T a K d Y Q T N r a P T O z G 9 p E p v a 0 2 u 1 X 7 / m z e W o 3 d T M z 3 m V J f e d 3 Y 2 N d Y N z f u z + m G x v 0 J 3 d C 4 P 5 s b B u j a 3 v f V 0 s H X c c w O b u G Y 2 V 4 C z X S g 0 3 v r D o Y 1 k + n g l o 6 Z a b 6 / c 2 / 3 0 / G n e 7 d T S b f p x G P i 9 + j E Y + X 3 e M v j 6 d u g 5 n H 1 e 3 T i 6 y x 9 7 X Y 6 y / S x f Z t O I r x y m 9 c i H H C r 7 i K s c F t V 9 j 7 o R Z j h t h r t Z l J H Z v 8 2 O E W 4 4 D Y k 8 9 X c b c b i a 7 r 3 Q M / X e b f q 5 u t y g H v t 0 4 4 G f E / H 7 O A W j p n t I l R / t 3 P M X A f D 6 s 9 0 c L D z 6 b 1 7 4 7 3 9 2 2 n B 9 3 j L E w D z 1 i 2 1 o D Y f Z m S P 6 W 9 s 6 / H 8 j W 0 9 R r + x r a / k b m 4 c Y Z 7 b O m a 3 a h + Z 2 N s 6 Z r d q / 5 6 T 6 a u x W 7 V / n x n 1 1 d j N j d 9 n T n 2 N d X P j / p x u a N y f 0 A 2 N + 7 O 5 Y Y C u 7 Q N f L T 3 8 O o 7 Z w 1 s 4 Z r a X Q D M 9 1 O m 9 d Q f D m s l 0 c E v H z D T f + 3 R n f 2 + M P w f f 8 r j 4 N p 1 4 T P w e n X i s / B 5 v e T x 9 G 9 Q 8 r n 6 P T n y d p a / d T m e Z P r Z v 0 0 m E V 2 7 z W o Q D b t V d h B V u q 8 r e B 7 0 I M 9 x W o 9 1 M 6 s j s 3 w a n C B f c h m S + m r v N W H x N 9 x 7 o + T r v V t 1 8 X Q 5 w r x 1 0 N O B 7 O m Y P b + G Y 2 S 5 C 9 X c 7 x 8 x 1 M K z + T A f 3 6 Y 3 7 4 / v 7 t 9 O C 7 / G W J w D m r V t q Q W 0 + z M g e 0 9 / Y 1 u P 5 G 9 t 6 j H 5 j W 1 / J 3 d w 4 w j w b x T r C C R v b R y Z 2 Y / v I l N 5 W m 9 2 q f X 8 2 b 6 3 G b i b m + 0 y p r 7 x u b O x r r J s b 9 + d 0 Q + P + h G 5 o 3 J / N D Q N 0 b R 9 6 a u n e z t d w z O 7 t 7 N y s m W w v v m b i N 9 + r g 2 H N Z D r Y x D A e / 5 r m + z v 3 K Y l / 7 / 7 t V N I N n X B z j 4 n f o x O P l d / j L Y + n b 4 O a x 9 X v 0 Y m v s / S 1 2 + k s 0 8 f 2 b T q J 8 M p t X o t w w K 2 6 i 7 D C b V X Z + 6 A X Y Y b b a r S b S R 2 Z / d v g F O G C 2 5 D M V 3 O 3 G Y u v 6 d 4 D P V / n 3 a q b r 8 s B 9 j X k 4 w M N e P Z C P L P b 6 a b d G 5 W f 6 y B U f r v v 2 c G g 8 r M d 3 E 7 5 3 a q 5 Y 3 j b f H f 3 / i Z X 1 / H 6 b d 9 w 3 H 7 b N x z L 3 2 o Q j t V v 2 4 G n 7 M w r t 1 J 2 t 0 L H U 3 K 3 a / + e U + x p t d u 1 j 0 z y x v a R K b 6 l O r s F M S N z e 9 N k R e Z 3 + 4 Z 3 P D V 2 q z F 4 a u y 2 a H k q 7 H Z d R K b 5 p m F 4 W O 1 2 1 N f 7 x Z X 3 d m 6 O K 1 0 X o Q K 7 V V z p d T C s w E w H t 1 D c H o + / x 1 s e p 5 u 3 N k 2 J x + j a f J h x P S a / s a 3 H 4 z e 2 9 Z j 7 x r a + 2 r q 5 c Y R 5 b q u 2 b t U + M r G 3 V V u 3 a v + e k + m r r V u 1 f 5 8 Z 9 d X W z Y 3 f Z 0 5 9 T X V z 4 / 6 c b m j c n 9 A N j f u z u W G A r u 2 e r 5 Z 2 v 0 5 c C a a + S T P Z X g L N t K v T e + s O h j W T 6 e D e v X s H n z 4 4 G D 9 Q p R c d v s f I 7 r 3 d v f v 7 t 1 R N 5 q U H 9 / f 3 d s Y H + 7 f T U O a t / Y d 7 B w / G k O 7 B t z z O f o + 3 P B Y 3 b 2 2 S H 4 / J 3 6 M T X 4 X p a 7 d T Y a a P v U 9 3 a d l 3 4 / z 4 m s y 8 t n 2 b 9 y I M c V u N 9 j 7 o R V j h t o r t v Y b T Z 4 P b K b j 3 m c 4 I F 2 z f 4 j 1 f 6 9 2 G B r 7 i e w / 0 f B V 4 q 2 4 i H H C b 4 X j Y 3 e s o x P c K M 9 H J T b r Q d h D q Q k X v 1 h 0 M 6 0 L T w Y O 9 e 7 s P 9 + 6 P H 2 w a u S c C 7 / W e J w P m v V t 6 a t p 8 m J U 9 t r + x r c f 1 N 7 b 1 W P 3 G t r 6 a u 7 l x h H 1 u 6 6 n d q n 1 k c m + r 1 2 7 V / j 0 n 0 1 d o t 2 r / P j P q K 7 K b G 7 / P n P o 6 6 + b G / T n d 0 L g / o R s a 9 2 d z w w B d 2 / 2 O Y n r P A B J M d J N q s l 2 E q k m N 1 K 0 7 G F Z N p o N P P 9 2 7 v / N w E 8 9 4 L H z 7 l z w + N i / d U i l p 8 + G J 8 F j 4 x r Y e B 9 / Y 1 m P g G 9 v 6 S u n m x h H W u a 1 S u l X 7 y L T e V i n d q v 1 7 T q a v l G 7 V / n 1 m 1 F d K N z d + n z n 1 l d L N j f t z u q F x f 0 I 3 N O 7 P 5 o Y B u r b 3 O 0 r p 7 M W b 9 P P j F 8 d P b + s w 3 b 9 Z K 9 k + Q q 2 k w d q t O x j W S q a D X T x j M M Y g 1 3 h M / B 5 v e a x s 3 r q l X t L m w 3 P h c f G N b T 0 m v r G t x 8 M 3 t v X 1 0 s 2 N I 9 x z W 7 1 0 q / a R i b 2 t X r p V + / e c T F 8 v 3 a r 9 + 8 y o r 5 d u b v w + c + r r p Z s b 9 + d 0 Q + P + h G 5 o 3 J / N D Q N 0 b T / 1 9 d J e m N Z 6 c S v F A Q L c p J l s L 4 F m 2 t P p v X U H w 5 r J d L D 7 Y H 9 / / O D T 2 y m m 2 7 / k s b J 5 6 Z Z 6 S Z s P z 4 X H x T e 2 9 Z j 4 x r Y e D 9 / Y 1 t d L N z e O c M 9 t 9 d K t 2 k e m 9 b Z 6 6 V b t 3 3 M y f b 1 0 q / b v M 6 O + X r q 5 8 f v M q a + X b m 7 c n 9 M N j f s T u q F x f z Y 3 D N C 1 f d D R S + + V X c J w b l J J t o N Q J d 0 u u + Q 6 G F Z J p o N 7 + w 8 e j u / v 3 U 4 l 3 f 4 l j 4 v N S 7 d U S d p 8 e B o 8 B r 6 x r c e / N 7 b 1 2 P f G t r 5 K u r l x h H F u q 5 J u 1 T 4 y r b d V S b d q / 5 6 T 6 a u k W 7 V / n x n 1 V d L N j d 9 n T n 2 V d H P j / p x u a N y f 0 A 2 N + 7 O 5 Y Y C u 7 U F X J f 3 k c f r 7 p C d f f n H 2 + u z L 2 6 m N / Z v 1 k u 0 l 1 E v 7 7 9 n B s F 4 y H d z b P 7 i 9 X r r 9 S x 4 r m 5 d u q Z e 0 + f B c e F x 8 Y 1 u P i W 9 s 6 / H w j W 1 9 v X R z 4 w j 3 3 F Y v 3 a p 9 Z F p v q 5 d u 1 f 4 9 J 9 P X S 7 d q / z 4 z 6 u u l m x u / z 5 z 6 e u n m x v 0 5 3 d C 4 P 6 E b G v d n c 8 M A X d u H v l 6 6 9 3 V C u H s 7 N + s l 2 0 u g l / D m e 3 U w r J d M B w 9 2 H z y 4 n V K 6 5 R s e E 5 s 3 b q m R t P n w L H j 8 e 2 N b j 3 1 v b O t x 7 4 1 t f Y 1 0 c + M I 3 9 x W I 9 2 q f W R C b 6 u R b t X + P S f T 1 0 i 3 a v 8 + M + p r p J s b v 8 + c + h r p 5 s b 9 O d 3 Q u D + h G x r 3 Z 3 P D A G 1 b L D 0 F G u m 9 g r d 7 u z c q I 9 d B q I x 2 3 7 O D Q W V k O 7 i / f 6 B A o 2 N 2 3 G v f 2 H + A / N v g G 4 5 / 7 R u f P v z 0 V u r I v D A 8 B Y 5 5 b 2 7 r e P f m t o 5 1 b 2 7 r q a N b N I 4 w z W Z y e A r J v r F 9 w y u R e b 2 l T r o t U p F Z v a V W u v U g 3 m d u P c V 0 i 8 b v M 7 u e Y r p F 4 / 7 s b m j c n 9 g N j f t T u m G A r u 1 u R z G d i l 5 K 3 7 y 6 n e a w K / f D q s l 2 E a q m e + / Z w b B q M h 3 s 3 X t 4 u + D t t m 9 4 T G z e 2 M T E H g 9 r 8 + E p 8 J j 3 x r Y e 7 9 7 Y 1 m P d G 9 v 6 i u n m x h G m 2 S j R E Q 7 Y 2 D 4 y o b f V S b d q / 5 6 T 6 W u k W 7 V / n x n 1 1 d H N j d 9 n T n 1 1 d H P j / p x u a N y f 0 A 2 N + 7 O 5 Y Y C u 7 V 5 H H b 1 / R u n e / s 0 a y f Y S a q T 9 9 + x g W C O Z D v b Z S x z k G Y + F 7 R s P D h S N 6 B s e E 5 s 3 y E x u c q 8 8 N t Y 3 h i f C Y + E b 2 3 o c f G N b j 4 F v b O s r p Z s b R 1 j n B n r 4 e s m 8 c s M b k Y m 9 q Z P I z N 5 W O d 0 S q f 6 8 3 l o 9 3 U z W 9 5 l c X z 3 d 2 N h X T z c 3 7 s / u h s b 9 e d 3 Q u D + l G w b o 2 t 7 z 1 d P + 1 0 k s 7 e / c r J 5 s L 4 F 6 2 t f p v X U H w + r J d L B H y e v x p 7 f 0 m W 7 / k s f M 5 q V b u k 3 a f H g u P C 6 + s a 3 H x D e 2 9 X j 4 x r a + h r q 5 c Y R 7 b u s 2 3 a p 9 Z F p v 6 z b d q v 1 7 T q a v l 2 7 V / n 1 m 1 N d L N z d + n z n 1 9 d L N j f t z u q F x f 0 I 3 N O 7 P 5 o Y B u r b 7 H b 3 0 X u m l / d 2 b V Z L t I F R J u + / Z w b B K M h 3 s f 3 r w 6 d i s 7 U W H 7 T H w 7 V / y u N i 8 d E u V p M 2 H p 8 F j 4 B v b e v x 7 Y 1 u P f W 9 s 6 6 u k m x t H G O e 2 K u l W 7 S P T e l u V d K v 2 7 z m Z v k q 6 V f v 3 m V F f J d 3 c + H 3 m 1 F d J N z f u z + m G x v 0 J 3 d C 4 P 5 s b B u j a 3 u + q p P e O 5 P b 3 b 9 Z L t p d Q L + 2 / Z w f D e s l 0 s P / p w w e 3 1 k u 3 f 8 l j Z f P S L f W S N h + e C 4 + L b 2 z r M f G N b T 0 e v r G t r 5 d u b h z h n t v q p V u 1 j 0 z r b f X S r d q / 5 2 T 6 e u l W 7 d 9 n R n 2 9 d H P j 9 5 l T X y / d 3 L g / p x s a 9 y d 0 Q + P + b G 4 Y o G v 7 q a + X 7 n + d E O 7 + z s 1 6 y f Y S 6 K X 7 O r 2 3 7 m B Y L 5 k O P n 1 w M D 6 4 n V Y y r + z t 0 R L e x p c 8 R j Y v 3 V I r 2 T 5 2 a R w b X v F Y + b a v e A x 9 G 6 Q 8 l r 5 t D 7 6 2 0 n d u p 6 1 M B 9 s 3 9 h B h k R v f i c z 6 z R 1 F 5 v 2 2 u u v W i E X m / b b 6 6 2 b y R q b 7 R o Q i c 3 4 j p X x 1 d p t R + B r t t o j 5 i u 1 W f X y t K X f v P O j o u P c K B + / f I h y 0 H Y T q 7 X b h o O t g W L 2 Z D j Z R y W N x 0 / w m b e h x u X l l + 6 Z 3 P C 7 X d 4 a 5 1 u P w G 9 t 6 D H 5 j W 4 + x b 2 z r a 7 G b G 0 e 4 5 k a K + F r s t p T 3 t d j t O 4 p M 8 W 2 1 2 K 0 R 6 8 / v r b X Y z e R 9 n 0 n 2 1 d e N j X 2 1 d X P j / i x v a N y f 3 Q 2 N + 9 O 6 Y Y C u 7 U F H Q 5 2 K g k r f v L q d C r l 3 s 4 6 y X Y Q 6 S l X o r T s Y 1 l G m g 9 2 H 9 3 c f 3 t Y J u / 1 L H i + b l 2 7 p h G n z 4 Y n w W P j G t h 4 H 3 9 j W Y + A b 2 / p q 6 u b G E d b Z K K Q R P t j Y P j K t G 9 t H Z v S 2 i u l W 7 f u z e W u l d D M x 3 2 d K f a V 0 Y 2 N f K d 3 c u D + n G x r 3 J 3 R D 4 / 5 s b h i g a / u w o 5 T e P 2 V 1 f / 9 m v W R 7 C f X S / n t 2 M K y X T A f 3 H 9 4 2 X 3 X L N z w m N m / c U i N p 8 + F Z 8 P j 3 x r Y e + 9 7 Y 1 u P e G 9 v 6 G u n m x h G + u a 1 G u l X 7 y I T e V i P d q v 1 7 T q a v k W 7 V / n 1 m 1 N d I N z d + n z n 1 N d L N j f t z 2 m k 8 o J F u b t y f z V t o p N 2 d H V 8 j f f p 1 k l W f 7 t y k k b x e A o 3 0 q U 7 v r T s Y 0 k i u g 9 2 d / f v j B 7 d S S u / z k m V l 9 9 K t 9 J J t f g u 9 d I u 2 l o l v 0 d b y 8 C 3 a O r 1 0 m 8 Y R 7 r m d X r p l + 8 i 0 3 k 4 v 3 b L 9 e 0 6 m 0 0 u 3 b P 8 + M + r 0 0 m 0 a v 8 + c O r 1 0 m 8 b 9 O b 2 N X r p N 4 / 5 s b h i g a 7 v b 0 U v v l W D 6 d P d m l W Q 7 C F X S 7 n t 2 M K y S T A d 7 O w / 2 x v s H t 1 N J t 3 / J 4 2 L z 0 i 1 V k j Y f n g a P g W 9 s 6 / H v j W 0 9 9 r 2 x r a + S b m 4 c Y Z z b q q R b t Y 9 M 6 2 1 V 0 q 3 a v + d k + i r p V u 3 f Z 0 Z 9 l X R z 4 / e Z U 1 8 l 3 d y 4 P 6 c b G v c n d E P j / m x u G K B r u 9 d V S e 8 d v H 2 6 f 7 N e s r 2 E e m n / P T s Y 1 k u m g 7 2 d h 7 u 3 1 k u 3 f 8 l j Z f P S L f W S N h + e C 4 + L b 2 z r M f G N b T 0 e v r G t r 5 d u b h z h n t v q p V u 1 j 0 z r b f X S r d q / 5 2 T 6 e u l W 7 d 9 n R n 2 9 d H P j 9 5 l T X y / d 3 L g / p x s a 9 y d 0 Q + P + b G 4 Y o G t 7 z 9 d L D 7 5 O C P d g 5 2 a 9 Z H s J 9 N I D n d 5 b d z C s l 0 w H + / f 2 H j 7 c G Y P O g 4 z j 8 b F 5 7 e D + j W 9 5 3 G z e u r f / Y G d n E 4 t 6 H K 3 v D M + J x 8 0 3 t v W Y + c a 2 H i / f 2 N b X T z c 3 j n D R j R T x l Z R 5 a f v m t y I z f V t V d X v U I j N 8 W 3 3 1 H k N 5 n 3 n 2 t d b N j d 9 n p n 2 t d X P j / k x v a N y f 4 Q 2 N + x O 7 Y Y C u 7 X 5 H a 7 1 X g P d g 9 2 a F Z T s I F Z Y q i F t 3 M K y w T A c P H u w + + P T + e H / v d g r L v H a w c / D g 3 r 3 N r 3 n 8 b F 7 b v v f p w 0 8 3 O W A e T + s 7 w / P h c f K N b T 1 G v r G t x 8 c 3 t v U 1 1 s 2 N I x x 0 I 0 V 8 j W V e u v G d y E T f 3 F F k m m + r r 2 6 N W H 9 + b + 1 j 3 U z e 9 5 l k X 1 v d 2 N j X V j c 3 7 s / y h s b 9 2 d 3 Q u D + t G w b o 2 t 7 v a K t T U V b p m 1 e 3 U y f 3 b t Z X t o t Q X 9 1 7 z w 6 G 9 Z X p Y P f T + z t 7 l F 2 6 n b o y b 9 2 n j m 5 4 y + N m 8 9 b N 1 t R j Z 3 1 p e E I 8 V r 6 x r c f J N 7 b 1 G P n G t r 6 6 u r l x h I V u J o m v r 8 x b N 7 8 U m e l b d B W Z 6 d t q r N u j 1 p / j W 6 u s m 0 n 8 P h P t q 6 w b G / s q 6 + b G / Z n e 0 L g / w R s a 9 y d 2 w w B d 2 0 8 7 K u v 9 0 1 V Y E r t J a 9 l e Q q 2 l a u L W H Q x r L d P B p w / v H 4 x 3 N j l L H i v f / i W P n 8 1 L t 9 R W 2 n x 4 L j w u v r G t x 8 Q 3 t v V 4 + M a 2 v r a 6 u X G E e 2 6 r p 2 7 V P j K t t 1 V O t 2 r / n p P p 6 6 V b t X + f G f X 1 0 s 2 N 7 Z z e o r G v l 2 5 u 3 J / T D Y 3 7 E 7 q h c X 8 2 N w z Q t X 3 g 6 6 W D r 5 O u O t i 5 W S / Z X g K 9 d K D T e + s O h v W S 6 e D B / r 1 b Z 9 F v / Y 7 H y O a d W 2 o l b T 4 8 E x 4 P 3 9 j W Y + E b 2 3 o c f G N b X y v d 3 D j C O 7 f V S r d q H 5 n U 2 2 q l W 7 V / z 8 n 0 t d K t 2 r / P j P p a 6 e b G 7 z O n v l a 6 u X F / T j c 0 7 k / o h s b 9 2 d w w Q N f 2 o K O V 3 i s d d X C L d J T t I F R I t 0 t H u Q 6 G F Z L p Y G / / w c P x w 0 9 v p 5 H M S 7 s 3 v u R x s X 3 p 1 p G d v j E 8 E x 4 P 3 9 j W Y + E b 2 3 o c f G N b X y v d 3 D j C O z f Q w 1 d M 5 p X t m 9 6 J T P B t l d N t 0 Y r M 7 G 3 1 0 6 2 H 8 T 7 z 6 + u o m x u / z w z 7 O u r m x v 0 Z 3 t C 4 P 7 c b G v c n d c M A X d u H X R 3 1 3 h H d w f 7 N i s r 2 E i q q / f f s Y F h R m Q 5 2 9 w 8 + v b W i M i / t 3 f i S x 8 7 m p Z v Y 0 + N o f W V 4 P j x O v r G t x 8 g 3 t v X 4 + M a 2 v q a 6 u X G E g 2 6 U 1 w g / v I e m u n U 3 k Q m + r a q 6 L V r 9 u b 2 1 N 3 U z a d 9 n g n 1 N d W N j X 1 P d 3 L g / w x s a 9 6 d 2 Q + P + p G 4 Y o G 0 L / n S a 6 u H X i f E e 7 t y o q V w v g a Z 6 q N N 7 6 w 4 G N Z X t 4 N M H 9 x 7 c N s i z L + 1 + u v / g h r c c O 9 u 3 t h 8 + 2 L + d q j K v D E + I Y + W b 2 z p O v r m t Y + S b 2 3 q q 6 h a N I y x 0 E 0 E 8 V W X f u e m V y B T f 2 E 1 k h m + p q m 6 N V n 9 u b 6 u q b k H a 9 5 l g T 1 X d 3 N h T V b d o 3 J / h D Y 3 7 U 7 u h c X 9 S N w z Q t d 3 t q K r 3 C v w e 7 t 6 s p W w H o Z b a f c 8 O h r W U 6 W D 3 4 f 6 9 + 7 d 1 q N x b u / v 7 B 7 f 1 q O x b D x 4 e P L i d l t I 3 h u f C 4 + I b 2 3 p M f G N b j 4 d v b O t r q Z s b R 7 j n B n r 4 S s q 8 s n 3 T O 5 E p v q 2 G u i 1 a k Z m 9 r Y a 6 9 T D e Z 3 5 9 L X V z 4 / e Z Y V 9 L 3 d y 4 P 8 M b G v f n d k P j / q R u G K B r u 9 f R U q e i p N I 3 r 2 6 n R u 7 d r K d s F 6 G e u v e e H Q z r K d P B 7 t 6 9 h w 9 v 7 U 6 9 x 1 s e N 5 u 3 N n G z x 8 z a f H g q P C a + s a 3 H w z e 2 9 V j 4 x r a + k r q 5 c Y R 5 b u t G 3 a p 9 Z G J v q 5 1 u 1 f 4 9 J 9 N X T b d q / z 4 z 6 q u l m x u / z 5 z 6 a u n m x v 0 5 3 d C 4 P 6 E b G v d n c 8 M A X d t 7 H b X 0 / h m p h / s 3 a y b b S 6 i Z 9 t + z g 2 H N Z D o 4 2 L 3 / 6 e 2 0 0 i 3 f 8 J j Y v H F L j a T N h 2 f B 4 9 8 b 2 3 r s e 2 N b j 3 t v b O t r p J s b R / j m t h r p V u 0 j E 3 p b j X S r 9 u 8 5 m b 5 G u l V 7 n t H b E v N 9 p t T X S D c 2 9 j X S z Y 3 7 c 7 q h c X 9 C N z T u z + a G A b q 2 + 5 5 G 2 t / 5 G p m n f a Q T b 9 J I t h d f I + 2 b R O S t O x j W S K a D / Q f 3 7 j / Y 6 F 9 7 X G x e u r + z / + D + b S M 6 8 9 L 2 v d 3 d A y T 5 B l / y + F l f G p 4 R j 5 d v b O u x 8 o 1 t P U 6 + s a 2 v n W 5 u H O G h m 0 n i 6 y j z 1 s 0 v R e b 5 F l 1 F J v q 2 6 u r 2 q P X n + N Y 6 6 2 Y S v 8 9 E + z r r x s a + z r q 5 c X + m N z T u T / C G x v 2 J 3 T B A 1 / Z + R 2 e 9 T w p q f 2 f 3 Z n V l O w j V 1 e 5 7 d j C s r k w H D + / v 3 / / 0 / i a O 8 b j Y v U T d f H r / d u r K v H T v w f 2 D T a 9 4 j K y v D E + F x 8 Q 3 t v V 4 + M a 2 H g v f 2 N Z X V j c 3 j j D P T Q T x V Z V 5 Z / v G l y J z f F u f 6 t a I R W b 3 t n 7 V 7 Q f y P n P s K 6 q b G 7 / P L P u K 6 u b G / V n e 0 L g / v R s a 9 6 d 1 w w B d 2 0 8 7 i u r 9 s l D 7 O / d u V l W 2 i 1 B V 3 X v P D o Z V l e m A 1 o 0 P P j 3 Y 3 7 u d r n q P t z x 2 N m / d M u b T 5 s N T 4 T H x j W 0 9 H r 6 x r c f C N 7 b 1 F d X N j S P M c 9 u Y 7 1 b t I x N 7 W / 1 0 q / b v O Z m + b r p V + / e Z U V 8 t 3 d z 4 f e b U V 0 s 3 N + 7 P 6 Y b G / Q n d 0 L g / m x s G 6 N o + 6 K i l 9 8 5 C 7 e / s 3 6 y Z b C + h Z t p / z w 6 G N Z P p 4 O D e b T 2 o W 7 7 h M b F 5 4 5 Y a S Z s P z 4 L H v z e 2 9 d j 3 x r Y e 9 9 7 Y 1 t d I N z e O 8 M 1 t N d K t 2 k c m 9 L Y a 6 V b t 3 3 M y f Y 1 0 q / b v M 6 O + R r q 5 8 f v M q a + R b m 7 c n 9 M N j f s T u q F x f z Y 3 D N C 1 P f A 1 0 u 7 X y U K B q W / S S L a X Q C P t 6 v T e u o N h j W Q 6 2 N 2 5 9 2 B s V g K j Y / e 4 + P Y v e a x s X r q l X t L m w 3 P h c f G N b T 0 m v r G t x 8 M 3 t v X 1 0 s 2 N I 9 x z W 7 1 0 q / a R a b 2 t X r p V + / e c T F 8 v 3 a r 9 + 8 y o r 5 d u b v w + c + r r p Z s b 9 + d 0 Q + P + h G 5 o 3 J / N D Q N 0 b R 9 2 9 N J 7 Z Z r A o j e p J N t B q J J u l 2 l y H Q y r J N P B 3 s 6 D + + O D T 2 + n k m 7 / k s f F 5 q V b q i R t P j w N H g P f 2 N b j 3 x v b e u x 7 Y 1 t f J d 3 c O M I 4 t 1 V J t 2 o f m d b b q q R b t X / P y f R V 0 q 3 a v 8 + M + i r p 5 s b v M 6 e + S r q 5 c X 9 O N z T u T + i G x v 3 Z 3 D B A 2 x b Y h y r p v Y M 3 8 M U N e s n 1 E u q l / f f s Y F A v 2 Q 5 u V j G O i 9 / j J c f K 9 q X b 6 S X T f H g u H B f f 3 N Y x 8 c 1 t H Q / f 3 N b T S 7 d o H O G e W + q l 2 7 W P T O s t 9 d L t 2 m + a z M 1 6 6 X b w 3 2 d G P b 1 0 i 8 b v M 6 e e X r p F 4 / 6 c 3 k o v 3 a J x f z Z v p Z d 2 f b 2 0 9 3 V C O H R 3 k 1 6 y v Q R 6 C W + + V w f D e s l 0 s P t g f / d 2 S u m W b 3 h M b N 6 4 p U b S 5 r f S S D e 2 9 d j 3 x r Y e 9 9 7 Y 1 t d I N z e O 8 M 1 t N d K t 2 k c m 9 L Y a 6 V b t 3 3 M y f Y 1 0 q / b v M 6 O + R r q 5 8 f v M q a + R b m 7 c n 9 M N j f s T u q F x f z Y 3 D N C 1 3 e t o p P c K 3 t D T T c r I d h A q I 9 U C t + 5 g W B m Z D u 7 t P / j 0 d s r o l m 9 4 / G v e u K U y 0 u b D E + C x 7 o 1 t P c 6 9 s a 3 H u D e 2 9 Z X R z Y 0 j L H N b Z X S r 9 p E J v a 0 y u l X 7 9 5 x M X x n d q v 3 7 z K i v j G 5 u / D 5 z 6 i u j m x v 3 5 3 R D 4 / 6 E b m j c n 8 0 N A 3 R t 7 3 W V 0 X u H b X v 7 N 2 s k 2 0 u o k f b f s 4 N h j W Q 6 u L d / s H c 7 j X T L N z w m N m / c U i N p 8 + F Z 8 P j 3 x r Y e + 9 7 Y 1 u P e G 9 v 6 G u n m x h G + u a 1 G u l X 7 y I T e V i P d q v 1 7 T q a v k W 7 V / n 1 m 1 N d I N z d + n z n 1 N d L N j f t z u q F x f 0 I 3 N O 7 P 5 o Y B u r b 7 v k a 6 9 3 U C t n s 7 N 2 s k 2 0 u g k e 7 p 9 N 6 6 g 2 G N Z D r Y 2 7 l / / 3 Y a 6 Z Z v e E x s 3 r i l R t L m w 7 P g 8 e + N b T 3 2 v b G t x 7 0 3 t v U 1 0 s 2 N I 3 x z W 4 1 0 q / a R C b 2 t R r p V + / e c T F 8 j 3 a r 9 + 8 y o r 5 F u b v w + c + p r p J s b 9 + d 0 Q + P + h G 5 o 3 J / N D Q N 0 b e 9 3 N N J 7 B W z 3 b h G w 2 Q 5 C Z X S 7 g M 1 1 M K y M T A e 7 B / c f 3 k 4 Z u T c + v X c 7 Z W T e 2 N 6 / n T b S 9 s M z 4 P H u j W 0 9 1 r 2 x r c e 5 N 7 b 1 t d H N j S M 8 s 5 E a v j o y L 2 x s H 5 n S z R 1 E Z v S 2 + u h W C P X n 8 9 b 6 6 G Z y v s + k + v r o x s a + P r q 5 c X 9 W N z T u z + i G x v 3 p 3 D B A 1 / b T r j 5 6 7 5 j t 3 v 7 N S s n 2 E i o l Z Y d b d z C s l E w H + 7 u 7 m 3 j G Y 2 H 7 x r 2 d W 8 Z s 5 o 3 t 3 Y e b 3 v D Y W N 8 Y n g i P h W 9 s 6 3 H w j W 0 9 B r 6 x r a + W b m 4 c Y Z 0 b 6 O E r J v P K D W 9 E J v a m T i I z e 1 v l d E u k + v N 6 a / V 0 M 1 n f Z 3 J 9 9 X R j Y 1 8 9 3 d y 4 P 7 s b G v f n d U P j / p R u G K B r + 8 B X T / t f J 4 D b v 0 U A Z 3 s J 1 N O + T u + t O x h W T 6 a D / Y O D v V s 6 T b d 9 x W N k 8 8 o t Q z h t P j w P H g f f 2 N Z j 4 B v b e v x 7 Y 1 t f O 9 3 c O M I 5 t w 3 h b t U + M q W 3 D e F u 1 T 4 + m c P t + 7 N 5 a 5 1 0 M z H f Z 0 p 9 n X R j Y 1 8 n 3 d y 4 P 6 c b G v c n d E P j / m x u G K B r e 9 D R S e 8 V w m H 9 / C Z 1 Z D s I 1 d H t Q j j X w b A 6 M h 0 8 P L g H b T z I L x 7 7 m l d 2 d 3 Y f f L q J x z w W N u 9 s 3 7 O u X v Q V j 4 v 1 l e F 5 8 D j 4 x r Y e A 9 / Y 1 u P f G 9 v 6 O u n m x h H O u Y k g v l 4 y 7 9 z 0 S m R 6 b + w m M r + 3 V U + 3 R a s / t 7 f W U D e T 9 n 0 m 2 N d Q N z b 2 N d T N j f s z v K F x f 2 o 3 N O 5 P 6 o Y B u r Y P O x r q V B R U + u b V 7 V T I v Z t 1 l O 0 i 1 F G a 3 7 l 1 B 8 M 6 y n S w v / / w 4 c 7 4 o S q / 6 M g 9 N n 6 P t z x m N m 9 t 4 k y P k b X 5 8 F R 4 T H x j W 4 + H b 2 z r s f C N b X 0 l d X P j C P N s F N M I J 2 x s H 5 n Y j e 0 j U 3 p b z X S r 9 v 3 Z v L V a u p m Y 7 z O l v l q 6 s b G v l m 5 u 3 J / T D Y 3 7 E 7 q h c X 8 2 N w z Q t s V K V 6 C W 3 j / X t L 9 / o 2 Z y v Y S a a f 8 9 O x j U T L a D + 3 v 3 D 8 b g p E G 2 c V z s X n p 4 f 3 / z S 4 6 V 7 U v b n z 7 c 9 I Z j Z v P G 8 H Q 4 R r 6 5 r e P j m 9 s 6 N r 6 5 r a e a b t E 4 w k A 3 0 M P T T v a V G 9 6 I T O 9 N n U Q m 9 5 Y q 6 r Z I 9 e f 1 t k r q F m R 9 n 8 n 1 l N T N j T 0 l d Y v G / d n d 0 L g / r x s a 9 6 d 0 w w B d 2 1 1 f S X 3 6 d T J O C I 9 u U l K 2 l 0 B J m c D q 1 h 0 M K y n T A f 3 6 6 f j T T Y l N j 4 / N S / c o x D t 4 u P k 1 j 5 3 d a w / 2 9 j 4 d Y z 1 0 8 D W P p 8 1 r D + 7 v 7 T 5 4 u P k 1 j 7 X f 5 z W P y c 1 r m y T I Y / P 3 6 c X X Z / r e 7 f S Z 6 W T 7 3 o P 9 h / c 3 r Y 3 6 K s 2 R + 6 a X I v x w i 6 4 i D H F b x X Z 7 1 C J 8 c F v d d j O J I 9 N + q 3 m M z P / 2 b V 7 0 V d 5 t R u N r v f d B 0 F e A t + o n x g C 3 6 c j D b 6 + j D 9 8 r 2 / X p 7 s 2 q 0 H Y Q q s L d 9 + x g W B W a D h 7 e G 2 + 0 t x 7 f 3 / Y V j / X N K 5 v m w 2 N 6 b T 7 M x B 7 D 3 9 j W 4 / c b 2 3 o 8 f m N b X 7 H d 3 D j C N B t F O s I D G 9 t H p n R j + 8 h 8 3 l a P 3 a p 9 f z Z v r c J u J u b 7 T K m v t 2 5 s 7 O u q m x v 3 5 3 R D 4 / 6 E b m j c n 8 0 N A 3 R t 7 / X U 0 Z v 0 8 + M X x 0 9 v q 5 H u 3 6 y R b B + h R r r / n h 0 M a y T T w d 6 D / Y P x v Y P b 6 a T b v + Q x s n n p l l p J m w / P h M f D N 7 b 1 W P j G t h 4 H 3 9 j W 1 0 o 3 N 4 7 w z m 2 1 0 q 3 a R 6 b 1 t l r p V u 3 f c z J 9 r X S r 9 u 8 z o 7 5 W u r n x + 8 y p r 5 V u b t y f 0 w 2 N + x O 6 o X F / N j c M 0 L X d N x r j 5 C z d u f f e Q e P D n R 3 E q D f p J d u L 0 0 v 6 5 n t 1 M K y X T A e f H l A U 9 + n t 1 J J 5 Z / f e w R i L F I P v e I x s 3 3 m w / + n + z u a u P H 7 2 X t t 5 u L e 5 N 4 + t 3 + c 1 j 8 H N a 5 u k x 2 P x 9 + n F 1 2 D 6 3 i Y N 1 u / k / v 6 D 8 c O N P U T Y Z v v m t y K 8 c F t l d n v U I o x w W 4 3 2 H k P p M 8 D t 9 N p 7 z W N k / r d v 8 6 K v 7 m 5 D A 1 / j v Q + C v v K 7 V T 8 R B r j V g D z 8 7 n d 0 4 X t 5 a F B U t / D Q b B + h J r y F h x Z 0 M K w J T Q e 7 e / f 2 N 4 f K n g j c / i V P B M x L m 6 b F k w B t P s z L H t / f 2 N Z j + x v b e q x + Y 1 t f v 9 3 c O M I 7 G / V B h A 8 2 t o 9 M 6 2 2 V 2 q 3 a v + d k + v r s V u 3 f Z 0 Z 9 T X Z z 4 / e Z U 1 9 l 3 d y 4 P 6 c b G v c n d E P j / m x u G K B r + 6 n R G K c / m e 7 s v q + H t r u z s w O m v k k v 2 V 6 s X j J v v l c H w 3 r J d L C 3 f 7 C z c 3 D v H u X x H t x O O b k 3 q b O 9 X U r v 7 2 x S 6 B 5 T u z f v 7 X 1 K m d 3 x w b 3 b 6 S r z 4 u 7 B / t 7 O 3 t 7 + + N N N O t F j 8 / d 7 0 W N 5 8 + I m e f K Y / v 3 6 8 b W a v n k 7 r W a 6 u f 9 w 5 9 P d + z t j y N 1 w L x F 2 2 r 7 d m x E + u a 2 i e z 8 U I 8 x x W 4 3 3 n k P q M 8 X t d N 9 7 z m y E J 7 Z v 9 6 q v F m 9 D C 1 8 z v h + S v p q 8 V U 8 R d r j l o D w c H 3 h 6 k x X n 7 R c A W K f d Y g H A d h E q z Z s X A M I O h p W m 6 e D e w 0 / 3 D h 7 c 3 7 8 / 3 t n E d J 5 Y v O e b n l y Y N 2 / p 1 m n z Y e b 2 B O H G t p 4 c 3 N j W 4 / w b 2 / o K 8 O b G E S a 6 r V t 3 q / a R C b 6 t t r t V + / e c T F / J 3 a r 9 + 8 y o r 9 p u b v w + c + r r r 5 s b 9 + d 0 Q + P + h G 5 o 3 J / N D Q N 0 b Q 9 6 6 u l U t F P 6 5 t X t 9 M e 9 m x W U 7 S R U U O o F 3 b q D Y Q V l O r i 3 u 3 / / 3 v 2 D n f v j j Y v n H i e / 5 5 s e T 5 s 3 b 6 m g t P n w p H j s f G N b j 5 t v b O s x 8 4 1 t f Q V 1 c + M I G 9 1 W Q d 2 q f W S C b 6 u g b t X + P S f T V 1 C 3 a v 8 + M + o r q J s b v 8 + c + g r q 5 s b 9 O d 3 Q u D + h G x r 3 Z 3 P D A F 3 b h z 0 F 9 T 7 5 M F Y g N l 0 1 r K F s L 6 G G u j k f F n Y w r K F M B / u f P n h A u c D 7 B 7 d T T + / z m s f O 5 r V b 6 i Z t P j w f H i f f 2 N Z j 5 B v b e n x 8 Y 1 t f N 9 3 c O M J B t 9 V N t 2 o f m d r b 6 q Z b t X / P y f R 1 0 6 3 a v 8 + M + r r p 5 s b v M 6 e + b r q 5 c X 9 O N z T u T + i G x v 3 Z 3 D B A 2 3 Z / x 2 i N b 7 9 O S Q 2 8 b 0 5 s 9 1 Y 5 M d e L 0 0 3 6 5 n t 1 M K i b b A f 7 D x / s 7 j y 4 v / d g b G L H K A E c K / t v 3 n u w e 5 9 y Y r d c w b R v P n z w Y G / 8 Y F N 3 j r P t S 3 s P 7 h 3 Q C s H B p r 4 c g 7 / X a 4 7 V 7 W u b 5 M g x + 3 v 1 4 u k y 8 9 6 t d J n t Z H u P 1 n 0 / 3 R t D j o d 7 i T D R r d 6 L 8 M b t O o y w x i 2 1 3 P s h G O G J W 2 q 7 W 5 A 7 w g K 3 m t M I L 2 z f 5 k V P C d 5 q N J 4 e f C 8 E P Z V 4 u 3 6 i b H C L j j z 8 d j s a 8 v a 5 L + i u 3 Z u V o + 0 g V I 6 q U L S D m z s Y V o 6 m g 4 N 7 D w 9 2 H + 7 e 3 x / f L r J 8 z x c 9 S T A v b p o b T w C 0 + T B D e 8 x / Y 1 u P 9 2 9 s 6 / H 7 j W 1 9 h X d z 4 w g D b R T v C D 9 s b B + Z 3 o 3 t I 7 N 6 W 7 V 2 q / b 9 2 b y 1 O r u Z m O 8 z p b 4 O u 7 G x r 7 d u b t y f 0 w 2 N + x O 6 o X F / N j c M 0 L X d 6 6 g m k / c 6 + f b p T 3 x 1 O / W x d 7 N + s r 2 E + m n v P T s Y 1 k + m A 6 x K 3 D v Y 3 R n f 2 2 Q 5 P U 5 + v x c 9 l j Y v 3 l I / a f P h O f G 4 + c a 2 H j P f 2 N b j 5 R v b + v r p 5 s Y R L r q t f r p V + 8 j 0 3 l Y / 3 a r 9 e 0 6 m r 5 9 u 1 f 5 9 Z t T X T z c 3 f p 8 5 9 f X T z Y 3 7 c 7 q h c X 9 C N z T u z + a G A b q 2 9 w b 0 0 2 3 y 8 t A d N + f l X R e h c r p F X j 7 o Y F g 5 m Q 4 e 3 r t 3 / 8 G 9 v Q c H 4 0 8 3 O Y 4 e H 7 / n m x 5 H m z d v q Z 6 0 + f C U e M x 8 Y 1 u P l 2 9 s 6 7 H y j W 1 9 9 X R z 4 w g T 3 V Y 9 3 a p 9 Z I J v q 5 5 u 1 f 4 9 J 9 N X T 7 d q / z 4 z 6 q u n m x u / z 5 z 6 6 u n m x v 0 5 3 d C 4 P 6 E b G v d n c 8 M A X d v 9 j n o 6 + 8 n j 9 P d J T 7 7 8 4 u z 1 2 Z e 3 U y D 7 N 2 s o 2 0 u o o f b f s 4 N h D W U 6 2 N t 9 + P B g f K B + W X T w H h u / x 1 s e M 5 u 3 b q m Z t P n w b H h 8 f G N b j 4 1 v b O t x 8 Y 1 t f c 1 0 c + M I / 9 x W M 9 2 q f W R i b 6 u Z b t X + P S f T 1 0 y 3 a v 8 + M + p r p p s b v 8 + c + p r p 5 s b 9 O d 3 Q u D + h G x r 3 Z 3 P D A F 3 b + 1 3 N 9 D 7 r h V A b N 6 8 X u j 5 C v X S L 9 c K g g 2 G 9 Z D q 4 t 7 N / 7 8 H 4 4 N P b 6 a X 3 e M t j Z f P W L f W S N h + e C 4 + L b 2 z r M f G N b T 0 e v r G t r 5 d u b h z h n t v q p V u 1 j 0 z s b f X S r d q / 5 2 T 6 e u l W 7 d 9 n R n 2 9 d H P j 9 5 l T X y / d 3 L g / p x s a 9 y d 0 Q + P + b G 4 Y o G v 7 q a + X 9 t K v s V o I A t y k m W w v g W b a 0 + m 9 d Q f D m s l 0 s L v z c P f B 3 q f j v f 3 b 6 S b z 3 s H B / r 3 b + 0 z m r f 2 d g 4 M H + z v j n U 2 9 e W x t 3 r u 3 c 3 B / / / 7 e + N N N / X n s / V 7 v e Z x u 3 t s k R h 6 v v 1 c 3 v i 7 T F 2 + n y 9 x U 7 d z b O 3 g w 3 t / Y S 4 S J t m / 3 Z o Q 7 b q v e 3 g / F C G P c V s + 9 5 5 D 6 L H E 7 j f d + E x v h i O 1 b v e m r w t t Q w t e G 7 4 W i r x l v 1 V G E F 2 4 3 J A / D B x 1 N + X 7 L h h j r T V r S 9 h B q y d 3 3 7 G B Y S 5 o O 9 n b 2 9 z + 9 / + n 4 4 J Z a 8 r 3 e 8 8 T B v H d L H 0 6 b D / O 0 x / 8 3 t v X Y / 8 a 2 H s f f 2 N b X e z c 3 j v D P b X 2 4 W 7 W P T O 5 t l d y t 2 r / n Z P q 6 7 V b t 3 2 d G f Y 1 2 c + P 3 m V N f c d 3 c u D + n G x r 3 J 9 Q 0 3 q y m b m z s Y X H Q 1 U z v m Z V H v z f p J t t H q J v u v W c H w 7 r J d L B H C u b h 7 d T S b V / x m N i 8 c k u N p M 1 v p Z F u b O u x 7 4 1 t P e 6 9 s a 2 v k W 5 u H O G b 2 2 q k W 7 W P T O l t N d K t 2 r / n Z P o a 6 V b t 3 2 d G f Y 1 0 c + P 3 m V N f I 9 3 c u D + n t 9 N I N z f u z + a G A b q 2 D 7 s a y U / E 3 0 5 l 7 N + s k 2 w v o U 7 a f 8 8 O h n W S 6 W D v 4 e 7 + 7 h i U G + Q b j 4 3 f 4 y 2 P m c 1 b t 9 R M 2 n x 4 N j w + v r G t x 8 Y 3 t v W 4 + M a 2 v m a 6 u X G E f 2 6 r m W 7 V P j K x t 9 V M t 2 r / n p P p a 6 Z b t X + f G f U 1 0 8 2 N 3 2 d O f c 1 0 c + P + n G 5 o 3 J / Q D Y 3 7 s 7 l h g L b t / Z 2 e Z n r P R P y e z Z M P K i b X S a i Y 7 r 9 n B 4 O K y X a w v 7 O z i W U c B 9 / 2 D c f D 9 o 3 b K S T T f H g S H P v e 3 N Z x 7 8 1 t H f P e 3 N Z T S L d o H G G b W y q k 2 7 W P T O g t F d L t 2 r / n Z H o K 6 X b t 3 2 d G P Y V 0 i 8 b v M 6 e e Q r p F 4 / 6 c b m j c n 9 A N j f u z u W G A r u 2 u r 5 D u f Z 0 E / L 2 d m z W S 7 S X Q S H j z v T o Y 1 k i m g w c H O / c e f r p 7 7 / 7 4 4 Y P b a S b / z X u 0 R r g z P l B F G X 3 T Y 2 r z 5 q f 3 P j 3 Y H T / Y v 5 2 i M m / d P / j 0 t g n 4 2 7 / j c b l 5 Z 5 M I e X x + 6 y 5 8 H a Y v 3 U 6 H O X L t P L w / 3 t 3 Y R 4 R 1 t m / z X o Q j b q v S 3 g e 9 C B P c V r O 9 1 3 D 6 L H A 7 D X f 7 y Y x w w P a N b / k q 7 z b j 9 7 X e r V H z t d + t O o n M / c 1 D 8 T D b 6 2 j C 9 0 u w 3 9 u 9 W Q v a H k I t u P u e H Q x r Q d P B 7 s O 9 + / c e 7 N + 7 / 2 A M F h 8 c v c f + 7 / u q J w L m 1 U 2 z 4 0 m A N h / m Z I / r b 2 z r M f 2 N b T 1 e v 7 G t r + V u b h z h o o 3 6 I M I T G 9 t H p v i 2 a u 1 W 7 d 9 z M n 1 9 d q v 2 7 z O j v h 6 7 u f H 7 z K m v t m 5 u 3 J / T D Y 3 7 E 7 q h c X 8 2 N w z Q t b 3 X 1 U / v m W a / d 3 O a 3 f U R a q j b p d l d B 8 M a y n S w u 3 / / / v 0 H D / Y e 3 B + D C I O s 4 3 H y + 7 7 q M b V 5 9 Z Y a S p s P z 4 r H z z e 2 9 d j 5 x r Y e N 9 / Y 1 t d Q N z e O 8 N F t N d S t 2 k e m + L Y a 6 l b t 3 3 M y f Q 1 1 q / b v M 6 O + h r q 5 8 f v M q a + h b m 7 c n 9 M N j f s T u q F x f z Y 3 D N C 1 3 e 9 q q P d O u 9 / b v 1 l H 2 V 5 C H b X / n h 0 M 6 y j T w Y O 9 h + O d T 2 + n n G 7 9 j s f I 5 p 1 b a i V t P j w T H g / f 2 N Z j 4 R v b e h x 8 Y 1 t f K 9 3 c O M I 7 t 9 V K t 2 o f m d T b a q V b t X / P y f S 1 0 q 3 a v 8 + M + l r p 5 s Y P H 9 + + s a + V b m 7 c n 9 M N j f s T u q F x f z Y 3 D N C 1 v e 9 r p f 2 v k + H a 3 7 l Z K 9 l e A q 2 0 r 9 N 7 6 w 6 G t Z L p Y I 8 S V A e 3 U 0 r m l X u f P t j d G 3 + 6 K S H m c b J 5 6 5 Z q y X X y 6 U P K g j 3 c 8 J b H z u / x l s f X t 0 H N 0 1 b v 0 Y m v t / S 1 2 + k t 0 8 f 2 b T q J 8 M t t X o t w w a 2 6 i 7 D C b d X Z + 6 A X Y Y b b a r W b S R 2 Z / d v g F O G C 2 5 D M V 3 W 3 G Y u v 7 d 4 D P V / v 3 a q b r 8 s B 7 r V P O 1 r w f a P H / X s 3 6 0 D b R 6 g D 7 7 1 n B 8 M 6 0 H T w 4 N 7 e v Q f j / V s G j u / x l i c B 5 q 1 b q k F t P s z J H t f f 2 N Z j + h v b e p x + Y 1 t f y 9 3 c O M I 9 t / X O b t U + M r G 3 9 c 5 u 1 f 4 9 J 9 P X Y 7 d q / z 4 z 6 u u x m x u / z 5 z 6 K u v m x v 0 5 3 d C 4 P 6 E b G v d n c 8 M A X d s H X b 3 0 3 j H j / v 7 N m s n 2 E m q m / f f s Y F g z m Q 5 2 P 3 0 w 3 l G w 0 a F 7 T H z r d z x G N u / c U i t p 8 + G Z 8 H j 4 x r Y e C 9 / Y 1 u P g G 9 v 6 W u n m x h H e u a 1 W u l X 7 y K T e V i v d q v 1 7 T q a v l W 7 V / n 1 m 1 N d K N z d + n z n 1 t d L N j f t z u q F x f 0 I 3 N O 7 P 5 o Y B u r Y H v l b 6 l L T S 6 / e N G T / d u V k r 2 V 4 C r f S p T u + t O x j W S q a D f f I T P 7 2 d U j K v 7 F K c e d t E l n 1 n 5 / 7 B 7 o O x S c V F X / P Y 2 X / t 4 f 3 x p 5 t e 8 7 j 6 f V 7 z + N u 8 t k l 4 P A 5 / n 1 5 8 B a b v 3 U 6 B m U 6 2 H x y M 1 U u + U Y m Z d 2 5 6 J c I G N 3 Y T 4 Y P b 6 r L b o h W Z / 9 u q s 5 t J G 5 n u W 8 1 f Z N 6 3 b / O i r + V u M x p f 0 b 0 P g r 7 O u 1 U / s c m / T U c e f g + 7 K v D s h U S M t 9 N O u z e r P 9 t D q P 5 2 3 7 O D Y f V n O i D / 6 u C W 6 u + 2 r 3 i c b 1 7 Z N C E e 1 2 v z Y S 7 2 O P 7 G t h 7 D 3 9 j W Y / I b 2 / o a 7 e b G E a 7 Z K N M R H t j Y P j K l G 9 t H 5 v O 2 a u x W 7 f u z e W s d d j M x 3 2 d K f c V 1 Y 2 N f W d 3 c u D + n G x r 3 J 3 R D 4 / 5 s b h i g b Q t 3 J 9 R H J o F 1 8 u 3 T n 7 i d y t i 7 U S e 5 X k K d p D m j W 3 c w q J N s B 5 s Y x v H v r Z o 7 9 r X N t 3 f 3 H 9 w f 7 9 2 / l U p 6 n 7 c c K 9 8 K N c f M t v n N f T i m f h / M P J V l X r u V y r r V O D y V d b v 2 7 z n j n s q 6 X f v I n N 9 S Z d 2 u f X + e b 6 W y 3 m v C I v N 8 8 1 u e F n u f z j x 9 d i s C e C r t f Z B 7 3 2 l 3 z X e 7 6 u 2 9 8 2 B w 7 G 5 S b 7 a X U L 3 t v 2 c H w + r N d L C 3 c z A + u J 2 K u + 0 r H s u b V z b R 1 u N 4 b T 7 M w R 6 3 3 9 j W Y / Y b 2 3 o c f m N b X 3 / d 3 D j C O b f V X 9 r + 1 v r r V u 0 j 8 3 l b / X W r 9 v 3 Z v L X + u p m Y 7 z O l v t a 6 s b G v r G 5 u 3 J / T D Y 3 7 E 7 q h c X 8 2 N w z Q t d 3 r 6 a Q X b 9 L P j 1 8 c P 7 1 t F H j / Z p V k O w l V k q r Z W 3 c w r J J M B z d k J j w O v u U b H g + b N 2 6 p k L T 5 8 C R 4 7 H t j W 4 9 7 b 2 z r M e + N b X 2 F d H P j C N v c V i H d q n 1 k Q m + r k G 7 V / j 0 n 0 1 d I t 2 r / P j P q K 6 S b G 7 / P n P o K 6 e b G / T n d 0 L g / o R s a 9 2 d z w w B d 2 3 u + Q n p A W f n j 9 0 3 L P 9 i 5 W S P Z X g K N 9 E C n 9 9 Y d D G s k 0 8 H D T 2 + b l 7 K v 7 N I 7 t 1 w r t O 8 c f L p 3 8 H C T Z + X x s v f O w 4 c P x r u b X v N Y + n 1 e 8 5 j b v L Z J c j z 2 f p 9 e f O 2 l 7 9 1 O e 5 l O t h 8 + v K G H C M v c + E 6 E C 2 7 u K M I H t 9 V l t 0 Y s w g O 3 1 W c 3 k z c y 5 b e a w 8 j c b 9 / m R V / N 3 W Y 0 v q Z 7 H w R 9 p X e r f m L T f 5 u O P P z 2 O z r w / f L y D 3 Z v 1 n + 2 h 1 D / 7 b 5 n B 8 P 6 z 3 R A v 4 0 f 7 N 1 O A d 7 6 H Y / 5 z T u b p s T j e 2 0 + z M c e z 9 / Y 1 m P 5 G 9 t 6 b H 5 j W 1 + v 3 d w 4 w j c b p T r C B R v b R y Z 1 Y / v I h N 5 W k 9 2 q f X 8 2 b 6 3 F b i b m + 0 y p r 7 p u b O y r q 5 s b 9 + d 0 Q + P + h G 5 o 3 J / N D Q N 0 b e / 3 N N L 7 p q 4 e 7 N + s l W w v o V b a f 8 8 O h r W S 6 W B / b 3 e 8 s 0 k Z e 0 x 8 6 3 c 8 R j b v 3 F I r a f P h m f B 4 + M a 2 H g v f 2 N b j 4 B v b + l r p 5 s Y R 3 r m t V r p V + 8 i k 3 l Y r 3 a r 9 e 0 6 m r 5 V u 1 f 5 9 Z t T X S j c 3 f p 8 5 9 b X S z Y 3 7 c 7 q h c X 9 C N z T u z + a G A b q 2 n / p a 6 e D r x I o H O z d r J d t L o J U O d H p v 3 c G w V j I d f P r g 1 r G i e W V 3 j 5 Y r b q m U z D t 7 O / c f k o N 1 / 3 a 6 y b 3 1 6 f 2 9 M f h 2 8 C 2 P p 9 / j L Y + 5 z V u b J M d j 7 / f o x F d e + t r t l J f p Y / v + g / H + J p / U 1 2 D m p R v f i T D B z R 1 F 2 O C 2 q u z W i E U Y 4 L b q 7 G b y R m b 8 N l M Y m f n t W 7 z n 6 7 j b j M V X c + + B n q / w b t V N b O 5 v 0 Y + H 3 Y O O + n u / M P H g F m G i 7 S F U f b c L E 1 0 H w 6 r P d P D w 4 e b g 2 O P 5 2 7 7 i s b 1 5 5 Z b u m D Y f 5 m C P 2 2 9 s 6 z H 7 j W 0 9 D r + x r a / R b m 4 c 4 Z r b u m O 3 a h + Z 0 t u 6 Y 7 d q / 5 6 T 6 e u v W 7 V / n x n 1 9 d f N j d 9 n T n 1 V d X P j / p x u a N y f 0 A 2 N + 7 O 5 Y Y C u 7 U F X H 5 2 K O k r f v L q d w r h 3 s 0 a y f Y Q a 6 d 5 7 d j C s k U w H 9 3 b H m z w k j 4 F v + Y b H w u a N W + o j b T 4 8 B x 7 3 B m 1 j b T 3 m v b G t x 7 s 3 t v X 1 0 c 2 N I 1 x z W 3 1 0 q / a R C b 2 t P r p V + / e c T F 8 f 3 a r 9 + 8 y o r 4 9 u b v w + c + r r o 5 s b 9 + f 0 d v r o 5 s b 9 2 b y V P n r Y 1 U f v n b Q 6 2 L 9 Z I 9 l e Q o 2 0 / 5 4 d D G s k 0 8 H e 7 s P x z q e 3 0 0 m 3 f s d j Z P P O L b W S N r + V V r q x r c f C N 7 b 1 O P j G t r 5 W u r l x h H d u q 5 V u 1 T 4 y q b f V S r d q / 5 6 T 6 W u l W 7 V / n x n 1 t d L N j d 9 n T n 2 t d H P j / p x u a N y f 0 A 2 N + 7 O 5 Y Y C 2 7 Y O d n l Z 6 8 S b 9 / P j F 8 d P b B m 7 3 b 1 R K r p N Q K a l / c u s O B p W S 7 e D e p + P 7 q u q i A 3 c s f O t X H B f b V 2 6 n k k z z 4 W l w D H x z W 8 e / N 7 d 1 7 H t z W 0 8 l 3 a J x h H F u q Z J u 1 z 4 y p b d U S b d r / 5 6 T 6 a m k 2 7 V / n x n 1 V N I t G r / P n H o q 6 R a N + 3 O 6 o X F / Q j c 0 7 s / m h g G 6 t r u + S n r 4 d f L o D 3 d u 1 k m 2 l 0 A n 4 c 3 3 6 m B Y J 5 k O H l J O f F N 2 0 + N h 8 8 r 9 e / s H e / u b k 6 I e K 5 v X b q m X v F 4 e 7 D 0 c b + r E 4 + f 3 e M t j 7 N u g 5 r H 2 e 3 T i K y 5 9 7 X a K y / S x f Z t O I g x z m 9 c i b H C r 7 i K 8 c F t 9 9 j 7 o R Z j h t m r t Z l J H Z v 8 2 O E W 4 4 D Y k 8 3 X d b c b i q 7 v 3 Q M 9 X f L f q 5 u t y g H t t r 6 M G 3 y + f / n D 3 Z h V o e w h V 4 O 5 7 d j C s A k 0 H 9 w 4 e P t y 5 N 9 6 / n R Z 8 j 7 c 8 / j d v 3 V I J a v N h P v Z 4 / s a 2 H s v f 2 N b j 8 x v b + j r u 5 s Y R 3 t k o 1 R F O 2 N g + M r E b 2 0 e m 9 L b K 7 F b t + 7 N 5 a y 1 2 M z H f Z 0 p 9 3 X V j Y 1 9 h 3 d y 4 P 6 c b G v c n d E P j / m x u G K B r e 6 + r l U x W / e T b p z 9 x O 8 W x d 7 N m s r 2 E m k k 1 5 6 0 7 G N Z M p g P W M X u 3 1 U z v 8 Z b H z O a t W 2 o m b T 4 8 G x 4 f 3 9 j W Y + M b 2 3 p c f G N b X z P d 3 D j C P 7 f V T L d q H 5 n Y 2 2 q m W 7 V / z 8 n 0 N d O t 2 r / P j P q a 6 e b G 7 z O n v m a 6 u X F / T j c 0 7 k / o h s b 9 2 d w w Q N d 2 f 0 g z 3 X K 9 7 + G 9 m / W S 7 S P U S / f e s 4 N h v W Q 6 2 D t 4 + O m D B + N 7 q v G i Y / e 4 + H 1 e 8 5 j Z v H Z L z a T N h 2 f D 4 + M b 2 3 p s f G N b j 4 t v b O t r p p s b R / j n t p r p V u 0 j U 3 t b z X S r 9 u 8 5 m b 5 m u l X 7 9 5 l R X z P d 3 P h 9 5 t T X T D c 3 7 s / p h s b 9 C d 3 Q u D + b G w b o 2 t 7 v a q b 3 X v l 7 u H + z b r K 9 h L p p / z 0 7 G N Z N p o P d T + + P H 9 x S M f n v b H z H Y 2 T z z i 2 1 k j Y f n g m P h 2 9 s 6 7 H w j W 0 9 D r 6 x r a + V b m 4 c 4 Z 3 b a q V b t Y 9 M 6 m 2 1 0 q 3 a v + d k + l r p V u 3 f Z 0 Z 9 r X R z 4 / e Z U 1 8 r 3 d y 4 P 6 c b G v c n d E P j / m x u G K B r + 2 l P K 7 3 n y t / D + z c r J d t J q J T u v 2 c H w 0 r J d L B 7 c D D e V 1 0 X H b n H w 7 d + x + N j 8 8 4 t l Z I 2 H 5 4 I j 4 V v b O t x 8 I 1 t P Q a + s a 2 v l G 5 u H G G d 2 y q l W 7 W P T O p t l d K t 2 r / n Z P p K 6 V b t 3 2 d G f a V 0 c + P 3 m V N f K d 3 c u D + n G x r 3 J 3 R D 4 / 5 s b h i g a / v A U 0 q 7 O 1 9 j 7 Y / U x s 1 a y f b i a y V + 8 7 0 6 G N Z K p o M H 4 / u f 3 k 4 n m T c O 7 o 3 v 3 9 J P M q / s 3 d v 5 9 N P x n u r U 6 F s e L 7 u 3 d v f 3 x u C A w b c 8 j n 6 P t z z W N m 9 t k h u P u d + j E 1 9 1 6 W u 3 U 1 2 m j + 0 H 9 8 c P N 8 2 N r 7 / s d N 7 0 T o Q F b u 4 o w g W 3 V W S 3 R i z C A L d V Z j e T N z L j t 5 n C y M x v 3 + I 9 X 8 P d Z i y + k n s P 9 H x 1 d 6 t u Y n N / i 3 4 8 7 A 4 6 y u + 9 4 8 T d n f 2 b l Z / t J V R + + + / Z w b D y M x 3 s f v p g b M D e p P 5 u / Y 7 H / O a d W 7 p k 2 n y Y j z 2 e v 7 G t x / I 3 t v X 4 / M a 2 v l 6 7 u X G E d z Z K d Y Q L N r a P T O r G 9 p E J v a 0 m u 1 X 7 / m z e W o v d T M z 3 m V J f d 9 3 Y 2 F d Y N z f u z + m G x v 0 J 3 d C 4 P 5 s b B u j a P u x p p f e L E 3 d 3 b h E n 2 k 5 C p X S r O N H r Y F g p m Q 5 2 7 4 9 3 N / l X H g v f 9 h W P i 8 0 r t 1 R J 2 n x 4 G j w G v r G t x 7 8 3 t v X Y 9 8 a 2 v k q 6 u X G E c W 6 r k m 7 V P j K l t 1 V J t 2 r / n p P p q 6 R b t X + f G f V V 0 s 2 N 3 2 d O f Z V 0 c + P + n G 5 o 3 J / Q D Y 3 7 s 7 l h g L b t w Y 6 v k n a / j q M E v r h B J 7 l e A p 2 E N 9 + r g 0 G d Z D u g k P L + + N 6 n t 9 J K 7 / G S Y 2 X 7 0 u 3 0 k m k + P B e O i 2 9 u 6 5 j 4 5 r a O h 2 9 u 6 + m l W z S O c M 8 t 9 d L t 2 k e m 9 Z Z 6 6 X b t 3 3 M y P b 1 0 u / b v M 6 O e X r p F 4 / e Z U 0 8 v 3 a J x f 0 4 3 N O 5 P 6 I b G / d n c M E D X d t f X S / t f J 3 u 1 v 3 O z X r K 9 B H o J b 7 5 X B 8 N 6 y X S w i W E 8 / j X N H 9 7 b n I T w W N i 8 c u / g w b 1 P D 8 Y H 9 2 6 n l 7 z X 9 j / d G 8 N m D L 7 m M f T 7 v O a x 9 m 3 I 4 D H 3 + / T i 6 y 5 9 7 3 a 6 y 3 S y f R O x f Q V 2 2 w n y l d j t O 4 p w w m 0 1 2 a 0 R i / D A b b X Z z e S N T P m t 5 j A y 9 9 u 3 e d F X c r c Z j a / n 3 g d B X + X d q p / Y 9 N + m I w + / v Y 4 G 9 D 2 z s 9 s p q P 2 b N a D t J d S A + + / Z w b A G N B 3 s H j w Y P 7 x d u H j 7 d z w B M O 9 s m h a P 9 7 X 5 M C 9 7 f H 9 j W 4 / t b 2 z r s f q N b X 3 d d n P j C O 9 s l O w I F 2 x s H 5 n U j e 0 j E 3 p b b X a r 9 v 3 Z v L U m u 5 m Y 7 z O l v v q 6 s b G v s m 5 u 3 J / T D Y 3 7 E 7 q h c X 8 2 N w z Q t b 3 n a 6 V P v 4 5 f 9 u k t / D L b S 6 C V P t X p v X U H w 1 r J d E D N 7 4 2 N t o u O 3 e N i 9 9 I + O V q b 1 L j H y u a l n f H O 7 u 1 U k 3 n j 3 v 3 x / q e 3 c 8 t u + 4 r H 1 R a v 2 7 l k t + 3 B V 1 n 6 z u 1 U l u l g G z 1 s W o D 1 9 Z a P 1 c Z 3 I l N / c 0 e R q b + t A r s 1 Y p F 5 v 6 0 S u 5 m 8 k e m + c f 4 i c 7 5 9 0 0 u + T r v N K H y 1 d l v E f O 1 2 q z 6 G p n z j 6 N 0 7 + x 1 F R 7 n 6 z 1 + d v r 5 l o v 7 T 3 Z u V n O 0 h V H K q J W 7 d w b C S M x 3 s 7 t / f u 7 W S u / 1 L H r u b l 2 7 p f G n z Y c 7 1 u P z G t h 6 T 3 9 j W Y + 4 b 2 / q a 7 O b G E c 6 5 r f N 1 q / a R a b 2 t 8 3 W r 9 u 8 5 m b 7 e u l X 7 9 5 l R X 2 / d 3 P h 9 5 t R X V D c 3 7 s / p h s b 9 C d 3 Q u D + b G w b o 2 t 7 v 6 q R T U U n p m 1 e 3 U x r 3 b t Z K t o 9 Q K 9 1 7 z w 6 G t Z L p Y O / e 3 m a X y G P h W 7 / j s b F 5 5 5 Y 6 S Z s P z 4 P H w T e 2 9 R j 4 x r Y e / 9 7 Y 1 t d J N z e O c M 5 t d d K t 2 k c m 9 b Y 6 6 V b t 3 3 M y f Z 1 0 q / b v M 6 O + T r q 5 8 f v M q a + T b m 7 c n 9 M N j f s T u q F x f z Y 3 D N C 1 / b S r k 9 5 7 A f H T / Z u 1 k u 0 l 1 E r 7 7 9 n B s F Y y H e z e v 3 8 w f n B w O 7 V 0 + 5 c 8 V j Y v 3 V I v a f P h u f C 4 + M a 2 H h P f 2 N b j 4 R v b + n r p 5 s Y R 7 r m t X r p V + 8 i 0 3 l Y v 3 a r 9 e 0 6 m r 5 d u 1 f 5 9 Z t T X S z c 3 f p 8 5 9 f X S z Y 3 7 c 7 q h c X 9 C N z T u z + a G A b q 2 D 3 p 6 6 c W b 9 P P j F 8 d P b x v C 3 b 9 Z L d l O Q r W k E f + t O x h W S 6 a D v U 9 v H c D d 9 h W P i 8 0 r t 1 R J 2 n x 4 G j w G v r G t x 7 8 3 t v X Y 9 8 a 2 v k q 6 u X G E c W 6 r k m 7 V P j K l t 1 V J t 2 r / n p P p q 6 R b t X + f G f V V 0 s 2 N 3 2 d O f Z V 0 c + P + n G 5 o 3 J / Q D Y 3 7 s 7 l h g K 7 t g a e S 9 n a / R u 5 8 D 0 x 9 k 0 6 y v f g 6 i d 9 8 r w 6 G d Z L p 4 O H + p / s 7 l D 3 f u 5 1 e s q 8 9 2 L 9 3 j 7 L h t 9 R N 5 r X t T x 8 + f D g 2 c W j 0 L Y + p z V t 7 O w 9 J D z 5 8 u O E t j 7 X f 4 y 2 P x 8 1 b m w T I 4 / L 3 6 M T X Y f r a 7 X S Y J d r e A 3 T y 6 a Y p 8 n W Z x e 0 W r 0 U 4 4 l b d R V j i t q r t f d C L M M N t N d z N p I 7 M / m 2 m M 8 I F 2 7 d 4 z 1 d 7 8 t 4 N q e 8 I J 9 y m m w g j b O w m y g E 3 9 + N h 9 7 C j E d 8 r y b 4 H j r 9 J G 9 o e Q m 2 o O a R b d z C s D U 0 H t I x 6 7 + H e g z E S e o N D 9 3 j / v d 7 z Z M C 8 t 2 l m P N 7 X 5 s O 8 7 P H 9 j W 0 9 t r + x r c f r N 7 b 1 9 d z N j S P 8 s 1 G y I 9 y w s X 1 k c j e 2 j 0 z q b R X a r d r 3 Z / P W m u x m Y r 7 P l P r 6 6 8 b G v t K 6 u X F / T j c 0 7 k / o h s b 9 2 d w w Q N v 2 4 U 5 X M 7 1 f q n 0 P X H S D b n J 9 h L r p V q l 2 r 4 N B 3 W Q 7 2 H 2 4 u 3 c P 0 f M g 0 z g e d i 8 d P L i / + S X H y P a l e w 9 2 d m 6 n m c w r w 7 P h + P j m t o 6 N b 2 7 r u P j m t p 5 m u k X j C P / c R B B P O 9 l 3 t m 9 8 K T L H t 1 R R t 0 c s M r u 3 V F P v M Z D 3 m W N P V 9 2 i 8 f v M s q e r b t G 4 P 8 s b G v e n d 0 P j / r R u G K B r u 9 v V V e + b g t 8 D g 9 y k r W w v o b b a f 8 8 O h r W V 6 e D e 3 r 3 9 8 c 7 B 7 b T V 7 V / y + N m 8 d E t N p c 2 H 5 8 L j 4 h v b e k x 8 Y 1 u P h 2 9 s 6 2 u q m x t H u O e 2 W u p W 7 S P T e l s F d a v 2 7 z m Z v n K 6 V f v 3 m V F f L 9 3 c + H 3 m 1 N d L N z f u z + m G x v 0 J 3 d C 4 P 5 s b B u j a 7 v l 6 a e / r 5 L t A g J v 0 k u 0 l 0 E t 7 O r 2 3 7 m B Y L 5 k O 7 l O Y e / / T h + M H m 3 J Q H i O 7 9 z 6 l I G 9 3 f F t f y r z 3 K W W 8 P h 3 v 7 N 5 O S Z m 3 9 n f 2 9 g / G R i 3 f p K 7 e 4 y 2 P y 8 1 b m 0 T I 4 / P 3 6 M T X Y v r a 7 b S Y 6 W P v 0 w f 7 F E w / u K U y M 6 9 t 3 + a 9 C E / c V q m 9 D 3 o R V r i t b n u v 4 f T Z 4 H Y 6 7 n 2 m M 8 I F 2 7 d 4 z 1 d 8 t 6 G B r / v e A z 1 f C 9 6 q m w g H 3 G Y 4 H n b 3 O j r x / T J e G O d N + t D 2 E O p D V S O 3 7 m B Y H 5 o O 9 v Z p 4 E b P 3 q Q M z U v 3 H x z s 3 r v 3 Y H x v k x L 1 J M C 8 t 3 3 v 3 v 1 P 7 + / e 8 K I n C v r i M E t 7 7 H 9 j W 4 / 7 b 2 z r s f y N b X 1 1 d 3 P j C B v d j i y + x j N v 3 u 7 F y L T f s s v I 3 N / W o 3 s / F P t z f m v X 7 m a S v 8 / E + 8 r u x s a + h r u 5 c X / m N z T u T / a G x v 0 J 3 j B A 1 3 a / q 8 b e M z 2 G f m 9 S Z L a P U J E p M 9 y 6 g 9 9 r U J G Z D n Z 3 7 t 1 / c P + W i f v 3 e c v j a f P W L U N O b T 4 8 F x 4 X 3 9 j W Y + I b 2 3 o 8 f G N b X 3 v d 3 D j C P b c N O W / V P j K x t / X O b t X + P S f T 1 0 u 3 a v 8 + M + r r p Z s b v 8 + c + n r p 5 s b 9 O d 3 Q u D + h G x r 3 Z 3 P D A F 3 b + 1 2 9 9 N 6 p s L 3 9 m z W T 7 S X U T P v v 2 c G w Z j I d 3 L u 3 d 3 / 8 Y O 9 2 i u n 2 L 3 m s b F 6 6 p V 7 S 5 s N z 4 X H x j W 0 9 J r 6 x r c f D N 7 b 1 9 d L N j S P c c 1 u 9 d K v 2 k W m 9 r V 4 a b D + g l 2 7 V v j + b t 9 Z L N x P z f a b U 1 0 s 3 N v b 1 0 s 2 N + 3 N 6 O 7 1 0 c + P + b N 5 K L 3 3 q 6 6 V 7 X y c V d m / n Z r 1 k e w n 0 0 j 2 d 3 l t 3 M K y X T A d 7 O / T S v Q e f j v H J b X S T 9 + L + v U 8 P b p + q N y 9 + e r B 3 / 2 D 8 q a r Y m 9 S U e e v h Q 4 o g x g 8 2 I e m x 9 3 u 8 5 f G 5 e W u T E H m c / h 6 d + H p M X 7 u d H j N 9 b N / b v b f z Y L y 7 y R b 4 + s y 8 d 5 v X I l x x q + 4 i T H F b t + t 9 0 I s w w 2 2 1 3 M 2 k j s z + b a Y z w g X b t 3 j P V 3 2 3 G Y u v / d 4 D P V 8 P 3 q q b G A f c o h 8 P u w c d r f h + y b B 7 t 0 i G 2 R 5 C j X i 7 Z J j r Y F g j m g 7 u P a B 4 8 N 7 + p + P 9 T c k K j / n t i / c P K I 1 2 s D f e 2 f S i J w X m R R I C W o 7 Z G 9 9 S J Z r X a J 1 0 f 5 P u 9 Q T h t q 9 4 4 m B e u a U y v G 0 P v i b U d 2 6 n C S 2 x 9 h 4 c 7 H + 6 v 5 F Y v i Y 0 7 2 3 f 6 s U I P 9 z W x X s v B C N c c F t X 7 / 0 G 1 G e C 2 2 n D W 8 9 n h A e 2 b 3 r J 1 4 O 3 G b 6 v B 2 + L m K 8 E b 9 V H Z O p v H I i H 1 0 F X A 7 5 n H g 2 p 0 Z t 0 o O 0 j 1 I G 3 y 6 O 5 D o Z 1 o O l g 7 2 D v w c 7 D h 5 v s s s f 5 3 l u f f n r v t v 6 g e W v / 0 4 2 Z N 4 / z 9 Y 1 h B v a Y / c a 2 H q / f 2 N b j 8 R v b + g r u 5 s Y R B r q B H r 5 u M 6 9 s 3 / R O Z I p v q 9 Z u i 1 Z k Z m + r 0 W 4 9 j P e Z X 1 + Z 3 d z 4 f W b Y 1 1 4 3 N + 7 P 8 I b G / b n d 0 L g / q R s G 6 N o + 7 C q q 9 0 6 s 3 d u / W V X Z X k J V p d N 7 6 w 6 G V Z X p 4 O H O / Y f 7 D 8 c H m 7 S O x 8 7 v 8 5 r H 0 u a 1 T S z t c b Q 2 H 5 4 P j 5 N v b O s x 8 o 1 t P T 6 + s a 2 v q W 5 u H O G g j f I d 4 Y W N 7 S N T e 1 s V d a v 2 7 z m Z v n 6 6 V f v 3 m V F f N 9 3 c + H 3 m 1 N d N N z f u z + m G x v 0 J 3 d C 4 P 5 s b B m j a 7 u 3 s + L p p / + s k 1 / Z 3 b t J N X i + B b t r X 6 b 1 1 B 0 O 6 y X W w v 3 d / / z 7 F d b f S T d 5 r 5 N U f 7 I 4 / v V X i 3 3 v t N r r J N d 9 D m D v e 3 f S W 5 e n 3 e s s y t 3 t r k + R Y 9 n 6 v T p z y s q / d R n m 5 P r a p k 7 2 H N 3 Q S Y Z r b v B Z h h V t 1 F + G F 2 + m 0 9 0 M v w g y 3 U 2 2 3 I X V k 9 m 8 z n R E u 2 L 7 F e 0 7 f 3 W 4 s T u W 9 F 3 p O + d 2 y m w E O u J E M 7 r X d j i p 8 v 4 z a / u 7 N a t D 2 E K r B 3 f f s Y F g N m g 7 2 7 h 0 c P N x E L o / v v X c e P t h E K o / 3 z T v b t w s k 7 Q v D X O x x / I 1 t P Y a / s a 3 H 5 T e 2 9 T X c z Y 0 j n L O Z H L 5 u M 2 / c M o i 8 d R e R e b 2 t P r s d S v 0 5 v b U m u 5 m k 7 z O x v v 6 6 s b G v t G 5 u 3 J / Z D Y 3 7 k 7 q h c X 9 C N w z Q t d 3 r a q b 3 z H Q h r 3 6 T b r J 9 h L r p d p k u 1 8 G w b j I d 7 B 0 8 P H i w s 3 m d w 2 P j 9 3 n N 4 2 b z W p 8 5 o / p J m 9 9 K P 9 3 Y 1 m P j G 9 t 6 X H x j W 1 8 / 3 d w 4 w j 8 b J T X C C x v b R 6 Z 2 Y / v I n N 5 W N d 2 q f X 8 2 b 6 2 Z b i b m + 0 y p r 5 l u b O x r p p s b 9 + f 0 d p r p 5 s b 9 2 b y V Z r r X 1 U z v n d r a 3 7 9 Z N 9 l e Q t 2 0 / 5 4 d D O s m 0 8 H u z o O D 8 c E t N Z N 7 6 d O d 8 c H e 7 f S S f e l g v K P 4 R 1 / x u F l f G Z 4 P j 5 N v b O s x 8 o 1 t P T 6 + s a 2 v m 2 5 u H O G g m w j i 6 y f z z v a N L 0 X m + L Z K 6 t a I R W b 3 t o r q 9 g N 5 n z n 2 t d X N j d 9 n l n 1 t d X P j / i x v a N y f 3 g 2 N + 9 O 6 Y Y C u 7 b 6 v r e 6 T t n r 9 v s m u + z s 3 a y v b S 6 C t 7 i t P 3 L q D Y W 1 l O r h l g G e a 3 / 9 0 b 3 f 8 c P d 2 e u o 2 f X i M f P s + P E a + / U s e Q 9 8 G M Y + l b 9 + H r 8 H 0 r d t p M N P F 9 i 3 6 i L D J L d 6 K z P 1 t O o v w w G 0 9 r v d A L s I F t / W 7 b i Z z Z O J v g V J k / m 9 B L 1 + 5 3 W Y k v n 6 7 P X K + o r t V L 1 9 z 8 t 1 b 9 7 t a 7 z 2 j x / v 3 b t Z 5 t o 9 Q 5 9 1 7 z w 6 G d Z 7 p g F 7 Z v 7 f Z 2 / L Y / j 3 e 8 p j f v H V L 3 a f N h 7 n Y 4 / g b 2 3 o M f 2 N b j 8 1 v b O t r t 5 s b R 7 j n t r H j r d p H J v a 2 b t m t 2 r / n Z P o 6 7 F b t 3 2 d G f R 1 2 c + P 3 m V N f Y d 3 c u D + n G x r 3 J 3 R D 4 / 5 s b h i g a / u p r 5 c + / T r e 2 K e 3 8 M Z s L 4 F m + l S n 9 9 Y d D G s m 0 8 E t v T H T / G Y V 7 j H x b f r w e P j 2 f X i M f P u X P I a + D W I e S 9 + + D 1 9 f 6 V u 3 0 1 e m i 9 v Y y A i b 3 O K t y N z f p r M I D 9 x W h 7 0 H c h E u u K 0 m u 5 n M k Y m / B U q R + b 8 F v X z l d p u R + P r t 9 s j 5 i u 5 W v X z N y X d v P e h q v f f 0 x j 6 9 h T d m + w h 1 3 u 2 8 M d f B s M 4 z H d w 8 c o / r b / + S x / r m p V t q P m 0 + z M M e v 9 / Y 1 m P 3 G 9 t 6 T H 5 j W 1 + 3 3 d w 4 w j u 3 9 c V u 1 T 4 y r b f 1 x W 7 V / j 0 n 0 9 d g t 2 r / P j P q a 7 C b G 7 / P n P r q 6 u b G / T n d 0 L g / o R s a 9 2 d z w w B d 2 w N f K z 3 4 O r 7 Y g 1 v 4 Y r a X Q C 8 9 0 O m 9 d Q f D e s l 0 s L f 7 4 P 7 4 w Y P b 6 S X z 0 r 2 9 h w / G 9 + 7 f T i / Z n g 4 + 3 R 8 / 2 P S S x 8 + 2 p 4 c H n 4 7 v q T q + S U 3 d / i W P u c 1 L t / T L b t + H r 7 v 0 r d v p L t P F N q Z z f P / g l i r M v H a L t y J 8 c J v O I p x w W 3 3 2 H s h F u O C 2 W u 1 m M k c m / h Y z G Z n / 7 Z t f 8 x X d b U b i 6 7 r b I + c r v V v 1 E p v 8 e D c B D d x b D 7 s a 8 O y F O G a 3 U 0 6 7 N 2 s / 2 0 O o / d Q R u n U H w 9 r P d P D w 4 f 3 x v V t m y G 7 9 j s f 2 5 p 1 N E + L x u z Y f 5 l + P 1 2 9 s 6 7 H 6 j W 0 9 B r + x r a / X b m 4 c 4 Z u N 0 h z h g o 3 t I 5 O 6 s X 1 k Q m + r w 2 7 V v j + b t 9 Z e N x P z f a b U V 1 o 3 N v Z V 1 c 2 N + 3 O 6 o X F / Q j c 0 7 s / m h g H a t u D I j k b 6 y e P 0 9 0 l P v v z i 7 P X Z 7 Z T G / o 1 a y f U S a q X 9 9 + x g U C v Z D u 5 / e v / B b d X S e 7 z k W N m + d D u 9 Z J o P z 4 X j 4 p v b O i a + u a 3 j 4 Z v b e n r p F o 0 j 3 H N L v X S 7 9 p F p v a V e u l 3 7 9 5 x M T y / d r v 3 7 z K i n l 2 7 R + H 3 m 1 N N L t 2 j c n 9 M N j f s T u q F x f z Y 3 D N C 1 3 e 3 p p R d v 0 s + P X x w / v a 2 z d P 9 m t W Q 7 C d W S B l q 3 7 m B Y L Z k O 6 J X x p w 9 v p 5 V u / Y 7 H x + a d W y o l b T 4 8 E R 4 L 3 9 j W 4 + A b 2 3 o M f G N b X y n d 3 D j C O r d V S r d q H 5 n U 2 y q l W 7 V / z 8 n 0 l d K t 2 r / P j P p K 6 e b G 7 z O n v l K 6 u X F / T j c 0 7 k / o h s b 9 2 d w w Q N d 2 z 1 d K B 1 8 n g X W w c 7 N W s r 0 E W u l A p / f W H Q x r J d P B v Z 2 D n U / H J m M f H b z H x v a t v Y N 7 B / v 7 Y 0 z 8 4 H s e O 5 v 3 d v d 3 9 h 6 O 8 e f g W x 5 T u 9 4 + f b D z K W F 5 s O E 9 j 7 n f 6 z 2 P z 8 1 7 m 4 T I 4 / T 3 6 s b X Z P r i 7 T S Z 6 W X 7 3 t 7 9 e z v 3 H o z v f 3 p L n e b w u 8 2 L E d 6 4 Z Z c R / r i t m n s / F C O s c V t 9 d z P J I 3 x w u 4 m N c M T 2 r d 7 0 F e F t x u P r w v d C 0 d e L t + o o z g u 3 6 M n D 8 F 5 X T 7 5 X m u t g 9 2 Y d a X s I d e T u e 3 Y w r C N N B / c O 7 j + 4 N 9 6 k 6 j w R u P 1 L n h y Y l 2 7 p u 2 n z Y W 7 2 O P / G t h 7 j 3 9 j W 4 / U b 2 / o a 7 + b G E c 6 5 r e 9 2 q / a R a b 2 t 7 3 a r 9 u 8 5 m b 4 u u 1 X 7 9 5 l R X 5 f d 3 P h 9 5 t R X W T c 3 7 s / p h s b 9 C d 3 Q u D + b G w b o 2 u 5 3 d d K p q K T 0 5 N u n P 3 E 7 t b F 3 s 1 6 y v Y R 6 S Z 2 e W 3 c w r J d M B 3 v 3 6 H l A C x z 7 t 1 N N 5 r 3 d 3 U 8 / / f T g Y A y m G n z P Y 2 j z 3 i 2 1 k 2 m + f a t + P M a + T T 8 e a 7 / X c D w u f z / 8 f D W m b 9 5 O j b 0 X e r 4 + e 0 / 8 I o x x W 8 3 2 f i i + J 0 f 4 K u 4 9 h 9 T n i d s p u / f s J s I T t 3 r R 1 4 L v 1 6 W v E m 9 D Q 1 8 r v h + K 7 8 s V r v n 9 I S X 5 5 t X t N N i 9 m 1 W k 7 S N U k f f e s 4 N h F W k 6 + P T + p w / u 7 T w c 7 3 x 6 O x X 5 X u 9 5 A m H e u 6 W K 1 O b D X O 1 J w I 1 t P Q G 4 s a 3 H 8 j e 2 9 T X f z Y 0 j H H R b B + 5 W 7 S O T e 1 s 1 d 6 v 2 7 z m Z v n Y b a D + o 0 2 4 m 5 v t M q a / G b m z s q 6 6 b G / f n d E P j / o R u a N y f z Q 0 D d G 0 / 7 e q m 9 1 6 p P N i / W T v Z X k L t t P + e H Q x r J 9 P B v f 3 d 8 a f q F 9 6 k m W 7 9 j s f I 5 p 1 b a i V t f i u t d G N b j 4 V v b O t x 8 I 1 t f a 1 0 c + M I 7 9 x W K 9 2 q f W R S b 6 u V b t X + P S f T 1 0 q 3 a v 8 + M + p r p Z s b v 8 + c + l r p 5 s b 9 O d 3 Q u D + h G x r 3 Z 3 P D A F 3 b B z 2 t 9 J 7 r l A f 3 b 1 Z K t p N Q K d 1 / z w 6 G l Z L p Y G / v 4 f 1 P x 3 u f 3 k 4 t v c d b H i + b t 2 6 p m L T 5 8 G R 4 b H x j W 4 + L b 2 z r M f G N b X 3 F d H P j C P v c V j H d q n 1 k Y m + r m G 7 V / j 0 n 0 1 d M t 2 r / P j P q K 6 a b G 7 / P n P q K 6 e b G / T n d 0 L g / o R s a 9 2 d z w w B d 2 w N f M T 3 8 O m u V D 3 d u 1 k y 2 l 0 A z P d T p v X U H w 5 r J d L C 7 9 + n u 3 s 5 4 X 3 V e d P Q e H 5 v X 9 u 4 d 0 G s H 9 2 + t n W x / 9 x + S O z e G b A y + 5 v G 1 1 9 / + / b 3 9 g / H D T Y h 6 D P 5 + L 3 r M b l 7 c J E k e u 7 9 f P 7 4 + 0 z d v p 8 9 M N 9 t 7 9 z 4 9 u P / w 0 / 2 x W Z O 5 U b U 5 D G / 1 Z o R H b t t p h E 9 u q + / e E 8 k I h 9 x W 8 9 1 M 9 g g z 3 H J 2 I 3 y x f b t X f a V 4 m x H 5 e v H 9 k P S V 5 K 1 6 i j P E b b r y c H z Y 1 Z r v t X L 5 c P d m j W l 7 C D W m s t G t O x j W m K Y D + v W 2 6 5 a 3 f c U T B P P K p i n x u F + b D 3 O z x / k 3 t v U Y / 8 a 2 H q v f 2 N b X e j c 3 j n D N R t m O 8 M D G 9 p E p 3 d g + M p + 3 1 W q 3 a t + f z V v r s p u J + T 5 T 6 q u v G x v 7 C u v m x v 0 5 3 d C 4 P 6 E b G v d n c 8 M A b V t g H + q j 9 0 z I P 7 w 5 I e / 6 C D X S 7 R L y r o N B j W Q 7 u H 9 v j 5 y x B w f j / f 1 b 6 a X 3 f N E x t H 3 x d t r J N B + e E c f L N 7 d 1 r H x z W 8 f J N 7 f 1 t N M t G k d 4 6 J b a 6 X b t I 9 N 7 S + 1 0 u / b v O Z m e d r p d + / e Z U U 8 7 3 a L x + 8 y p p 5 1 u 0 b g / p x s a 9 y d 0 Q + P + b G 4 Y o G u 7 2 9 V O 7 5 2 S f 7 h / s 3 6 y v Y T 6 S V X B r T s Y 1 k + m A 8 r 8 j R / e L i V / + 3 c 8 R j b v 3 F I r a f P h m f B 4 + M a 2 H g v f 2 N b j 4 B v b + l r p 5 s Y R 3 r m t V r p V + 8 i k 3 l Y r 3 a r 9 e 0 6 m r 5 V u 1 f 5 9 Z t T X S j c 3 f p 8 5 9 b X S z Y 3 7 c 7 q h c X 9 C N z T u z + a G A b q 2 e z 2 t 9 J 4 p e Q S L N y k l 2 0 m o l G 6 X k n c d D C s l 0 8 G 9 e 3 v 3 7 + + M 7 9 9 S L 7 3 P a x 4 3 m 9 d u q Z q 0 + f B 0 e I x 8 Y 1 u P j 2 9 s 6 7 H x j W 1 9 1 X R z 4 w g D 3 V Y 1 R d p v V E 2 3 a h + Z 0 9 u q p l u 1 7 8 / m r V X T z c R 8 n y n 1 V d O N j X 3 V d H P j / p z e T j X d 3 L g / m 7 d S T f c 8 1 X R v 5 2 s k 5 e / t 7 N y s m 2 w v v m 7 i N 9 + r g 2 H d Z D r Y e / j g 4 a 0 1 k 3 l p d / f T + / u 7 9 8 b 3 H t x O N d n 3 7 u 9 S d u r T 2 y k o r 7 N 7 D / f v b 0 7 T e q z 9 X u 9 5 X G 7 e 2 y R C H p + / V z e + H t M X b 6 f H T C / b 1 M 3 e / r 1 7 Y 7 N i f K N G 8 / C 7 x Y s R z r h l l x H 2 u K 2 S e z 8 U I 6 x x W 2 1 3 M 8 k j f H C 7 i Y 1 w x P a t 3 v T V 4 G 3 G 4 2 v C 9 0 L R 1 4 q 3 6 m i A F 2 7 u y c N w v 6 s l 3 y c J f 2 9 n 9 2 Y N a X s I N a T i d + s O h j W k 6 W B v f 2 e 8 d 0 s F e e t 3 P C k w 7 9 z S b 9 P m w 7 z s 8 f 2 N b T 2 2 v 7 G t x + k 3 t v X 1 3 c 2 N I 3 x z W 7 / t V u 0 j k 3 p b v + 1 W 7 d 9 z M n 1 N d q v 2 7 z O j v i a 7 u f H 7 z K m v s G 5 u 3 J / T D Y 3 7 E 7 q h c X 8 2 N w z Q t b 3 f 1 U g m D X / y 7 d O f u J 3 S 2 L t Z K 9 l e Q q 2 k q u D W H Q x r J d P B H g W H O 8 Y f j I 7 d 4 2 L z E g z t / Y 0 v e a x s X r q l X j L N t 2 / u x O P n 2 3 T i c f T t B + J x 9 n t g 5 u s t f e 1 2 e u v 2 i P n a 6 3 0 w i / D A b Z X Y e y D 3 n v P v q 7 L 3 G U y f A 2 6 n 0 d 6 n j w g H 3 P y W r + T e o z N f 3 d 2 G b r 7 G e w / k 3 p c H X P N P h 7 T f 7 R Y h 7 + 3 c u 1 n 3 2 T 5 C 3 X f v P T s Y 1 n 2 m g / f S f b d / y e N 9 8 9 I t d Z 8 2 H + Z h j 9 9 v b O u x + 4 1 t P R 6 / s a 2 v 2 2 5 u H O G d 2 2 q 1 W 7 W P T O t t 1 d m t 2 r / n Z P q K 7 F b t 3 2 d G f Q 1 2 c + P 3 m V N f X d 3 c u D + n G x r 3 J 3 R D 4 / 5 s b h i g a / u g q 5 X e d / H x 3 s 7 + z X r J 9 h L q p f 3 3 7 G B Y L 5 k O 7 t + 7 v z v + 9 N P b 6 a X b v + S x s n n p l n p J m w / P h c f F N 7 b 1 m P j G t h 4 P 3 9 j W 1 0 s 3 N 4 5 w z 2 3 1 0 q 3 a R 6 b 1 t n r p V u 3 f c z J 9 v X S r 9 u 8 z o 7 5 e u r n x + 8 y p r 5 d u b t y f 0 w 2 N + x O 6 o X F / N j c M 0 L U 9 6 O m l 9 1 t + v L d z / 2 a 1 Z D s J 1 d L 9 9 + x g W C 2 Z D v Y e 7 j 0 Y f / r g d m r p 9 i 9 5 n G x e u q V a 0 u b D U + E x 8 Y 1 t P R 6 + s a 3 H w j e 2 9 d X S z Y 0 j z H N b t X S r 9 p F p v a 1 a u l X 7 9 5 x M X y 3 d q v 3 7 z K i v l m 5 u / D 5 z 6 q u l m x v 3 5 3 R D 4 / 6 E b m j c n 8 0 N A 3 R t H / p q a e / r L D 2 C A D f p J d t L o J f w 5 n t 1 M K y X T A c P E P U d H I z 3 b 6 m a 3 H t 7 n + 4 8 u L 9 5 u c h j a P P e / r 3 d v f G n m 7 L y H l c / f H x 7 H a U d D L f 1 G P r G t h 4 / 3 9 j W 1 1 E 3 N 4 5 w 0 s 0 k 8 T W V e W v 7 F q 9 F 5 v u 2 C u s 9 k I v M 8 m 3 V 1 v s M 5 n 3 m 2 t d e N z d + n 9 n 2 t d f N j f u z v a F x f 5 I 3 N O 5 P 7 Y Y B 2 r b 3 d r r a 6 7 2 W B D G e G z S X 6 y H U X L v v 2 c G g 5 r I d 7 O 7 v 3 H / w 8 N 7 D M R h q k G 0 c S 7 / n i 4 6 r 7 Y u b u N o x t W k + P B + O k 2 9 u 6 x j 5 5 r a O j 2 9 u 6 2 m t W z S O c N B G E Y / w w 8 b 2 k e m 9 p a K 6 X f v 3 n E x P R d 2 u / f v M q K e b b t H 4 f e b U 0 0 2 3 a N y f 0 w 2 N + x O 6 o X F / N j c M 0 L X d 7 e q m 9 0 y P o 9 + b t J P t I 9 R O t 0 u P u w 6 G t Z P p Y H f / 0 4 O H B / d v q Z r e 4 y 2 P l c 1 b t 9 R L 2 n x 4 L j w u v r G t x 8 Q 3 t v V 4 + M a 2 v l 6 6 u X G E e 2 6 r l 2 7 V P j K x t 9 V L t 2 r / n p P p 6 6 V b t X + f G f X 1 0 s 2 N 3 2 d O f b 1 0 c + P + n G 5 o 3 J / Q D Y 3 7 s 7 l h g K 7 t X l c v v X e C f G / / Z s 1 k e w k 1 0 / 5 7 d j C s m U w H p F / G t w v 2 b v 2 K x 8 b m l V v q J G 0 + P A 8 e B 9 / Y 1 m P g G 9 t 6 / H t j W 1 8 n 3 d w 4 w j m 3 1 U m 3 a h + Z 0 t v q p F u 1 f 8 / J 9 H X S r d q / z 4 z 6 O u n m x u 8 z p 7 5 O u r l x f 0 4 3 N O 5 P 6 I b G / d n c M E D X 9 l 5 P J 7 1 n c n z v 5 u S 4 6 y R U S b d L j r s O h l W S 6 e D h g 5 2 D 8 X 1 V d d G h e 0 x 8 + 5 c 8 T j Y v 3 V I t a f P h q f C Y + M a 2 H g / f 2 N Z j 4 R v b + m r p 5 s Y R 5 r m t W r p V + 8 i 0 3 l Y t 3 a r 9 e 0 6 m r 5 Z u 1 f 5 9 Z t R X S z c 3 f p 8 5 9 d X S z Y 3 7 c 7 q h c X 9 C N z T u z + a G A b q 2 + 7 5 a 2 v 8 6 y f H 9 n Z v 1 k u 0 l 0 E v 7 O r 2 3 7 m B Y L 5 k O 7 n + 6 s / 9 w Z / / T 8 f 1 b O k z 2 x f t 7 D w / 2 6 c W D e 7 f T T + b F B / d 3 7 j 9 8 O H 6 w f z s 9 p a 8 N z 4 3 H 1 T e 2 9 Z j 6 x r Y e T 9 / Y 1 t d T N z e O c N N t i O L r K / P e 9 q 1 e j M z 7 b R X X e y E Y m e 3 b K r D 3 G 9 D 7 z L m v y W 5 u / D 6 z 7 m u y m x v 3 Z 3 1 D 4 / 5 U b 2 j c n 9 4 N A 3 R t 7 3 c 1 2 X s l y v d 3 b 9 Z i t o d Q i + 2 + Z w f D W s x 0 s L u 7 / / D e v f v 3 7 t 3 a x f L e J I 7 b 2 d 2 / t Z 9 l 3 z y 4 d x / s M v i O x 9 3 6 z v C 0 e A x 9 Y 1 u P n 2 9 s 6 7 H z j W 1 9 J X Z z 4 w g j 3 U g R X 4 O Z l 7 Z v f i s y 4 b d V X 7 d H L T L D t 9 V d 7 z G U 9 5 l n X 3 H d 3 P h 9 Z t p X X D c 3 7 s / 0 h s b 9 G d 7 Q u D + x G w b o 2 n 7 a V V z v m U X f v 3 e z 6 r J 9 h K p L f Z 1 b d z C s u k w H u z s P d x 7 e 3 9 / 7 9 H Z 6 6 3 1 e 8 1 j a v H b L 4 F C b D 8 + G x 8 c 3 t v X Y + M a 2 H h f f 2 N b X V z c 3 j v D P b Y P D W 7 W P T O 1 t l d S t 2 r / n Z P r 6 6 V b t 3 2 d G f c 1 0 c + P 3 m V N f M 9 3 c u D + n G x r 3 J 3 R D 4 / 5 s b h i g a / u g q 5 n e O 4 + + v 3 + z b r K 9 h L p p / z 0 7 G N Z N p o P d T y n I u z + G c h 5 k H I + P 3 W v 7 9 3 Y e j H c U o e h r H j u b 1 x 4 e H I y x a j H 4 j s f S + s 7 w p H j s f G N b j 5 t v b O s x 8 4 1 t f Q V 1 c + M I G 9 1 I E V 9 L m Z e 2 b 3 4 r M t W 3 1 V W 3 R y 0 y w 7 d V W O 8 x l P e Z Z 1 9 t 3 d z 4 f W b a V 1 s 3 N + 7 P 9 I b G / R n e 0 L g / s R s G 6 N o e 9 N T W e 6 b a 9 + / f r L V s J 6 H W U t 1 y 6 w 6 G t Z b p 4 P 7 u / h 4 l E D 6 9 n d I y b z 3 c u b + 7 N 9 7 Z 9 J b H 0 e a t 7 X s P d w 7 2 x p t S Y B 5 f 6 1 v D c + J x 8 4 1 t P W a + s a 3 H y z e 2 9 b X W z Y 0 j X H Q L m v h 6 y 7 x 2 i 7 c i k 3 2 b z i K z f V t X 6 z 2 Q 6 8 / z r R 2 u m 8 n 8 P p P t a 6 4 b G / u a 6 + b G / d n e 0 L g / x x s a 9 6 d 2 w w B d 2 4 e + 5 r r / d b L x 9 3 d u V l 2 2 l 0 B 1 4 c 3 3 6 m B Y d Z k O P r 1 / f / / g 3 r 2 D z e l P j 5 / d i / s 7 e w 8 f 7 I 3 N 0 m X 0 R Y + x z Y u 7 + / f v f f r p e H 9 T 1 s L j b H 1 t e G 4 8 r r 6 x r c f U N 7 b 1 e P r G t r 4 G u 7 l x h J t u Q x R f h Z n 3 t m / 1 Y m T e N y q K y H T f q p / I b G / s p z / N t x z Q + 8 y 5 r 8 l u b v w + s + 5 r s p s b 9 2 d 9 Q + P + V G 9 o 3 J / e D Q O 0 b b F m F 2 q y 9 8 r G 3 9 + 9 U Y u 5 H k I t t v u e H Q x q M d v B 7 r 2 d g 5 1 7 n + 5 u 4 j b H 1 O / 1 m u N p + 9 q m 5 o 6 l T f P h u X B c f H N b x 8 Q 3 t 3 U 8 f H N b T 3 P d o n G E e z Y K e I Q X N r a P T O 0 t F d X t 2 r / n Z H o K 6 n b t 3 2 d G P b 1 0 i 8 b v M 6 e e X r p F 4 / 6 c b m j c n 9 A N j f u z u W G A r u 1 u V y + 9 Z 7 L 9 / s 3 J d t d H q J l u l 2 x 3 H Q x r J t O B q p i d g 9 t p p v d 5 z W N m 8 9 o t N Z M 2 H 5 4 N j 4 9 v b O u x 8 Y 1 t P S 6 + s a 2 v m W 5 u H O G f 2 2 q m W 7 W P T O 1 t N d O t 2 r / n Z P q a 6 V b t 3 2 d G f c 1 0 c + P 3 m V N f M 9 3 c u D + n G x r 3 J 3 R D 4 / 5 s b h i g a 7 v X 1 U z v n W z H k v 9 N u s n 2 E u q m / f f s Y F g 3 m Q 7 2 7 t 3 7 d H y 7 T P v t 3 / E Y 2 b x z S 6 2 k z Y d n w u P h G 9 t 6 L H x j W 4 + D b 2 z r a 6 W b G 0 d 4 5 7 Z a 6 V b t I 5 N 6 W 6 1 0 q / b v O Z m + V r p V + / e Z U V 8 r 3 d z 4 f e b U 1 0 o 3 N + 7 P 6 Y b G / Q n d 0 L g / m x s G 6 N r e 6 2 m l G 3 L p P Z 1 x c y 7 d d R I q p d v l 0 l 0 H w 0 r J d L D 3 8 N 7 O p / f H + 7 d 0 m N 7 n N Y + b z W u 3 V E 3 a f H g 6 P E a + s a 3 H x z e 2 9 d j 4 x r a + a r q 5 c Y S B b q u a b t U + M r W 3 V U 2 3 a v + e k + m r p l u 1 f 5 8 Z 9 V X T z Y 3 f Z 0 5 9 1 X R z 4 / 6 c b m j c n 9 A N j f u z u W G A r u 2 + r 5 o + / T r J 8 k 9 3 b t Z N t p d A N 3 2 q 0 3 v r D o Z 1 k + l g f + f e g 4 c H Y 5 B g k H E 8 P j a v 7 e 7 e P x g / f H A 7 z e T 6 2 v v 0 3 s P x / q e 3 0 1 D 6 2 v C s e P x 8 Y 1 u P n W 9 s 6 3 H z j W 1 9 D X V z 4 w g f 3 Y Y o v q Y y 7 2 3 f 6 s X I j N 9 W Z b 0 X g p H Z v q 3 q e r 8 B v c + c + z r s 5 s b v M + u + D r u 5 c X / W N z T u T / W G x v 3 p 3 T B A 1 / Z + V 4 e 9 V 5 r 8 0 9 2 b 9 Z f t I d R f u + / Z w b D + M h 0 c 7 N x / 8 O n + 7 Z T X r d / x u N m 8 c 0 u v S p s P z 4 L H v z e 2 9 d j 3 x r Y e 9 9 7 Y 1 t d Z N z e O 8 M 1 t v a p b t Y 9 M 6 m 1 V 1 K 3 a v + d k + q r p V u 3 f Z 0 Z 9 j X R z 4 / e Z U 1 8 j 3 d y 4 P 6 c b G v c n d E P j / m x u G K B r + 2 l P I 7 1 v G g o C f Z N W s r 2 E W k l V w a 0 7 G N Z K p o O 9 e 7 s P x g 9 v q Z Z u / 5 L H y u a l W + o l b T 4 8 F x 4 X 3 9 j W Y + I b 2 3 o 8 f G N b X y / d 3 D j C P b f V S 7 d q H 5 n W 2 + q l W 7 V / z 8 n 0 9 d K t 2 r / P j P p 6 6 e b G 7 z O n v l 6 6 u X F / T j c 0 7 k / o h s b 9 2 d w w Q N f 2 Q U 8 v v W c i 6 l O b J x p W S 7 a T U C 3 d f 8 8 O h t W S 6 W D 3 4 N 7 O + O D T 2 6 m l 2 7 / k c b J 5 6 Z Z q S Z s P T 4 X H x D e 2 9 X j 4 x r Y e C 9 / Y 1 l d L N z e O M M 9 t 1 d K t 2 k e m 9 b Z q 6 V b t 3 3 M y f b V 0 q / b v M 6 O + W r q 5 8 f v M q a + W b m 7 c n 9 M N j f s T u q F x f z Y 3 D N C 1 P f D V 0 o O v k 4 R 6 s H O z X r K 9 B H r p g U 7 v r T s Y 1 k u m g 7 3 b a S T T f H f 8 8 O H t 1 J F 5 Y 2 e 8 o 6 F n 9 A 2 P h / W N 4 V n w + P f G t h 7 7 3 t j W 4 9 4 b 2 / o a 6 e b G E b 6 5 g R 6 + U j K v b N / 0 T m R e b 6 u Y b o t W b G Z v q Z t u P Y z 3 m V 9 f P 9 3 c + H 1 m 2 N d P N z f u z / C G x v 2 5 3 d C 4 P 6 k b B u j a P u z q p / d K M D 2 4 R Y L J 9 h D q p t s l m F w H w 7 r J d H B L 3 X S b 5 h 7 7 m u a b 2 N f j X m 0 + T H u P a 2 9 s 6 z H t j W 0 9 n r 2 x r a + V b m 4 c 4 Z a N s h y Z + 4 3 t I 1 N 5 W 3 V 0 q / b v O Z m + L r p V + / e Z U V 8 P 3 d z 4 f e b U 1 0 M 3 N + 7 P 6 Y b G / Q n d 0 L g / m 2 H j Y I C 2 7 f 2 d n h 5 6 3 7 T S g / 0 b d Z H r J d R F + + / Z w a A u s h 3 c G z 8 8 u J U 6 u u 0 b j o n t G 7 f T S K b 5 b T T S z W 0 d + 9 7 c 1 n H v z W 0 9 j X S L x h G + u a V G u l 3 7 y I T e U i P d r v 1 7 T q a n k W 7 X / n 1 m 1 N N I t 2 j 8 P n P q a a R b N O 7 P 6 a 0 0 0 i 0 a 9 2 f z V h p p 1 9 d I B 1 8 n c j v Y u V k j 2 V 4 C j Y Q 3 3 6 u D Y Y 1 k O t i 7 f / / e z s H e 7 l i V X X T 4 H i O 7 9 / Z p F e 7 g 4 X j v 4 H b q y b x 4 f 2 f v 3 t 5 4 d 5 O b 5 f G 1 v j U 8 M x 5 P 3 9 j W Y + k b 2 3 o c f W N b X 0 v d 3 D j C S 7 e g i a + s z G v b t 3 k v M u e 3 V V r v g 1 5 k p m + r u 9 5 r O O 8 z 3 7 4 O u 7 n x + 8 y 4 r 8 N u b t y f 8 Q 2 N + / O 8 o X F / c j c M 0 L X d 6 + q w 9 4 r u D n Z v 1 l + 2 h 1 B / 7 b 5 n B 8 P 6 y 3 R w f + f h p w c P 9 x + O P 3 1 4 O w X 2 f i 9 6 b G 1 e 3 M T W H l d r 8 + H 5 8 D j 5 x r Y e I 9 / Y 1 u P j G 9 v 6 m u v m x h E O 2 i j j E X 6 4 r X 9 1 q / a R W b 2 t f 3 W r 9 v 3 Z v L V / d T M x 3 2 d K f d 1 0 Y 2 N f N 9 3 c u D + n G x r 3 J 3 R D 4 / 5 s b h i g a 3 u v q 5 t O R T W l b 1 7 d T n n c u 1 k 7 2 T 5 C 7 X T v P T s Y 1 k 6 m A y i Z H X p u p 5 r e 4 y 2 P l c 1 b t 9 R L 2 n x 4 L j w u v r G t x 8 Q 3 t v V 4 + M a 2 v l 6 6 u X G E e 2 6 r l 2 7 V P j K x t 9 V L t 2 r / n p P p 6 6 V b t X + f G f X 1 0 s 2 N 3 2 d O f b 1 0 c + P + n G 5 o 3 J / Q D Y 3 7 s 7 l h g K 7 t f l c v v X c m 6 m D / Z s 1 k e w k 1 0 / 5 7 d j C s m U w H u 7 s P D s b 3 P 7 2 d Y r r 9 S x 4 r m 5 d u q Z e 0 + f B c e F x 8 Y 1 u P i W 9 s 6 / H w j W 1 9 v X R z 4 w j 3 3 F Y v 3 a p 9 Z F p v q 5 d u 1 f 4 9 J 9 P X S 7 d q / z 4 z 6 u u l m x u / z 5 z 6 e u n m x v 0 5 3 d C 4 P 6 E b G v d n c 8 M A X d v 7 P b 3 0 4 k 3 6 + f G L 4 6 e 3 D e f u 3 6 y W b C e h W r r / n h 0 M q y X T w e 7 e w f 7 D 3 f H B g 9 s p p v d 5 z e N m 8 9 o t V Z M 2 H 5 4 O j 5 F v b O v x 8 Y 1 t P T a + s a 2 v m m 5 u H G G g 2 6 q m W 7 W P T O 1 t V d O t 2 r / n Z P q q 6 V b t 3 2 d G f d V 0 c + P 3 m V N f N d 3 c u D + n G x r 3 J 3 R D 4 / 5 s b h i g a / u p r 5 o e f p 1 U + c O d m 3 W T 7 S X Q T Q 9 1 e m / d w b B u M h 3 c P z j 4 9 O H + p w 9 v r Z 2 8 F + 8 9 p H f H q i + j 7 3 k c b d 7 b Q x g 4 v r e p N 4 + v 9 a 3 h m f F 4 + s a 2 H k v f 2 N b j 6 B v b + l r q 5 s Y R X r o F T X x l Z V 7 b v s 1 7 k T m / r d J 6 H / Q i M 3 1 b 3 f V e w 3 m f + f Z 1 2 M 2 N 3 2 f G f R 2 2 o X F f h 9 3 c u D / P t 9 N h N z b 2 s H j Q 1 W H v l S p / e I t U u e 0 h 1 F + 3 S 5 W 7 D o b 1 l + m A 1 N D O z u 7 u / h j + 5 S D b e E z 9 f i 9 6 b G 1 e v K V / p c 1 v p b l u b O s x 8 o 1 t P T 6 + s a 2 v u W 5 u H O G g 2 / p X t 2 o f m d 7 b q q p b t X / P y f R 1 1 K 3 a v 8 + M + r r p 5 s b v M 6 e + b r q 5 c X 9 O N z T u T + i G x v 3 Z 3 D B A 1 / a g q 5 v e M 1 X + 8 N 7 N 2 s n 2 E W q n e + / Z w b B 2 M h 2 Q k n l w 8 O D B v f H B w e 2 0 0 / u 9 6 D G 0 e f G W 2 k m b D 8 + I x 8 s 3 t v V Y + c a 2 H i f f 2 N b X T j c 3 j v D Q b b X T r d p H p v e 2 2 u l W 7 d 9 z M n 3 t d K v 2 7 z O j v n a 6 u f H 7 z K m v n W 5 u 3 J / T D Y 3 7 E 7 q h c X 8 2 N w z Q t X 3 Y 1 U 7 v n T B / u H + z f r K 9 h P p p / z 0 7 G N Z P p o O H n 9 4 f Q x A G u c Z j 4 l u / 4 z G y e e e W W k m b D 8 + E x 8 M 3 t v V Y + M a 2 H g f f 2 N b X S j c 3 j v D O b b X S r d p H J v W 2 W u l W 7 d 9 z M n 2 t d K v 2 7 z O j v l a 6 u f H 7 z K m v l W 5 u 3 J / T D Y 3 7 E 7 q h c X 8 2 N w z Q t v 1 0 p 6 e V 3 j N d / v D + j U r J d R I q J U 3 / 3 L q D Q a V k O 9 i 9 d / D w 3 s P x A 1 V 3 0 c E 7 N n 6 v 1 x w 3 2 9 d u p 5 p M 8 + H p c I x 8 c 1 v H x z e 3 d W x 8 c 1 t P N d 2 i c Y S B b q m a b t c + M r W 3 V E 2 3 a / + e k + m p p t u 1 f 5 8 Z 9 V T T L R q / z 5 x 6 q u k W j f t z u q F x f 0 I 3 N O 7 P 5 o Y B u r a 7 n m r a 3 / 8 a 6 f L 9 / Z 2 b d Z P t x d d N / O Z 7 d T C s m 0 w H 9 + / d f 7 i 3 s 3 s 7 z W R e 2 s R l H h P f v g + P k / W l 4 b n w u P j G t h 4 T 3 9 j W 4 + E b 2 / p 6 6 e b G E e 6 5 m S S + d j J v b d / i t c g c 3 1 Z J v Q d y k V m + r a p 6 n 8 G 8 z 1 z 7 G u v m x u 8 z 2 7 7 G u r l x f 7 Y 3 N O 5 P 8 o b G / a n d M E D X d q + r s d 4 n O b 6 / v 3 u z t r I 9 h N p K p / b W H Q x r K 9 P B 7 s 6 D 3 Y P 9 2 6 q r 9 3 j L 4 2 f z 1 i Z + 9 t h Z m w / P h M f D N 7 b 1 W P j G t h 4 H 3 9 j W 1 1 c 3 N 4 7 w z k b h j n D C b f 2 o W 7 W P T O l t / a h b t e / P 5 q 3 9 q J u J + T 5 T 6 m u l G x v 7 W u n m x v 0 5 3 d C 4 P 6 E b G v d n c 8 M A X d t 7 f a 3 0 X i H e / v 4 t Q j z b S a i Y b h X i e R 0 M K y b T w S 0 1 0 m 2 a e 9 x r m t 9 S F W n z Y f J 7 j H t j W 4 9 v b 2 z r s e 2 N b X 1 V d H P j C M P c V h X d q n 1 k K m + r i m 7 V / j 0 n 0 1 d F t 2 r / P j P q q 6 K b G 0 f n 9 B a q 6 E b I v i q 6 u X F / Q m + n i m 5 s 7 G G x 7 6 u i + 1 8 n p L t / i 5 D O 9 h L o o v s 6 v b f u Y F g X m Q 4 + v U + + z s H O / u 1 U k n n r l j H d e 3 T i 8 b K + d S v N d G N b j 4 1 v b O t x 8 Y 1 t f c 1 0 c + M I / 9 y C J r 6 C M q 9 t 3 + a 9 y D z f V l G 9 D 3 q R m b 6 t v n q v 4 b z P f P t 6 6 + b G 7 z P j v t 6 6 u X F / x j c 0 7 s / z h s b 9 y d 0 w Q N f 2 f l d v v V d g d / 8 W g Z 3 t I d R Z t w v s X A f D O s t 0 c G / v w c 7 O w 5 2 9 T c z m s f T 7 v O a x t H n t l v 6 U N h + e C 4 + L b 2 z r M f G N b T 0 e v r G t r 7 V u b h z h n t v 6 U 7 d q H 5 n a 2 6 q p W 7 V / z 8 n 0 9 d O t 2 r / P j P p 6 6 e b G 7 z O n v l 6 6 u X F / T j c 0 7 k / o h s b 9 2 d w w Q N f 2 U 6 M 1 z p 6 k O 7 v v 7 U / t 7 e y A q W / S T b Y X p 5 v 0 z f f q Y F g 3 m Q 5 2 d x 7 u 7 Y 3 v H d x O N Z m 3 9 u 4 d b H r D Y 2 T z x r 3 7 + / c e P B j f 3 7 + d d r K v 7 d 8 / 2 L 8 3 B q s P v u a x 9 f u 8 5 j G 4 e W 2 T 9 H g s / j 6 9 + B p M 3 7 u d B j O d H N y / t 7 9 5 f n w 9 Z t 7 a v s V r E W 6 4 r T p 7 D + Q i v H B b p f Y + g + k z w e 1 0 2 3 v N Z Y Q H t m / z o q / y b k M E X + u 9 D 4 K + A r x V P x E W u N W A P P w e d P X h 2 U 8 e p 7 9 P e v L l F 2 e v z 2 6 n r v Z v 1 o e 2 l 1 A f q j a 5 d Q f D + t B 0 s P / w w f 3 b 6 c J b v u H x v 3 n j l h 6 a N h / m Y 4 / n b 2 z r s f y N b T 0 2 v 7 G t r 9 9 u b h z h m 9 t 6 a L d q H 5 n Q 2 6 q 0 W 7 V / z 8 n 0 l d m t 2 r / P j P p a 7 O b G 7 z O n v r q 6 u X F / T j c 0 7 k / o h s b 9 2 d w w Q N f 2 o K e R 3 i f 5 D n 1 x / 2 a F Z D s J F Z J q g l t 3 M K y Q T A f 3 7 u 3 B Q d u 7 n V J 6 j 7 c 8 X j Z v 3 V I x a f P h y f D Y + M a 2 H h f f 2 N Z j 4 h v b + o r p 5 s Y R 9 r m t Y r p V + 8 j E 3 l Y x 3 a r 9 e 0 6 m r 5 h u 1 f 5 9 Z t R X T D c 3 f p 8 5 9 R X T z Y 3 7 c 7 q h c X 9 C N z T u z + a G A b q 2 D 3 3 F t P d e K S 1 S G h j P T V r J 9 h B o J b z 5 X h 0 M a y X T w e 7 u v X s P y S l / 8 O n t 9 J J 5 7 2 B n 9 8 H + g / G D / d s p J v M a q b P d g w f j n U 3 6 z G N p f W 1 4 U j x 2 v r G t x 8 0 3 t v W Y + c a 2 v o K 6 u X G E j W 5 D F F 9 R m f e 2 b / V i Z N J v q 7 H e C 8 H I b N 9 W c 7 3 f g N 5 n z n 0 V d n P j 9 5 l 1 X 4 X d 3 L g / 6 x s a 9 6 d 6 Q + P + 9 G 4 Y o G 3 7 Y M e q s B d f J / t 1 7 1 b Z L 9 e L U 2 P 6 5 n t 1 M K j G b A d 7 D 2 g 1 5 + H + w 0 / 3 P x 3 f v 5 0 q 8 9 / d u 7 / / k L r c G 9 + / d y t 9 Z t / d x O G O w V 1 X l D 3 b / f T + / f H D B x t e d A z + n i 8 6 Z r 8 V g o 7 d 3 7 M f T + O Z N 2 + l 8 W w 3 2 7 f s J 8 J K t 3 g z 1 H r v 3 W m E R T Y q s g h b 3 L K n C I d s 7 K n P G L f S f O + L V o Q v b k k 7 T y n e a k S e X n x P J D 0 l e b u e P o A h 3 J u 7 X a 1 5 e 8 c P C m 3 3 Z o 1 p e w g 1 5 u 5 7 d j C s M U 0 H l O 3 a e 7 h L i 5 I P H o 7 3 N 2 k 9 T x z e + 1 1 P N M y 7 t 9 S Y t 2 n u i Y N p v v f g 4 Q P y I c b 3 N t k A T z L e 6 z 1 P L m 6 D n q 8 l t f 3 t t O S t g E d 4 Z m P 7 C A t s b B + Z 9 t t q w V u 1 f 8 + 5 9 n X f z c S M z P B G 4 O 8 5 s 7 6 a u 1 X 7 9 5 x c X 7 n d q v 3 7 T q 5 r v t f V a K e i 0 N I 3 r 2 6 n c u 7 d r N N s H 6 F O U 8 V x 6 w 6 G d Z r p Y P / B 3 u 7 u w 5 2 9 v f u f b p Z k j 7 n f + 1 2 P 0 c 2 7 t 9 R p 2 n y Y b z 0 e v 7 G t x + I 3 t v X Y + 8 a 2 v t a 6 u X G E k 2 6 r t W 7 V P j L J t 9 V a t 2 r / n p P p a 6 1 b t X + f G f W 1 1 s 2 N 3 2 d O f X 1 1 c + P + n G 5 o 3 J / Q D Y 3 7 s 7 l h g K 7 t v a 6 O e r + V S S i R / Z u 1 l O 0 l 1 F L 7 7 9 n B s J Y y H X x 6 f 2 d / h / 5 3 O / 3 0 H m 9 5 z G z e u q V m 0 u b D s + H x 8 Y 1 t P T a + s a 3 H x T e 2 9 T X T z Y 0 j / H N b z X S r 9 p G J v a 1 m u l X 7 9 5 x M X z P d q v 3 7 z K i v m W 5 u / D 5 z 6 m u m m x v 3 5 3 R D 4 / 6 E b m j c n 8 0 N A 3 R t 9 3 3 N d O / r Z N H u 7 d y s m W w v g W a 6 p 9 N 7 6 w 6 G N Z P p 4 N 5 4 / + B 2 W s m 8 s T O + v + k N j 4 n N G 3 u f 3 h s / 2 P S O x 8 j u n Z 3 x w a Z 3 P G a + 9 T s e T 9 v R b G j u c f W t u / A 1 l r 5 0 O 4 1 l e x g / v K X O M m 9 s 3 / B K Z N Z v q 7 Z u i V R k z m + r u G 4 7 i P 5 0 3 0 5 3 3 X 7 i I r O 9 f e N b v j K 7 z d B 9 f X Z r 1 H y 9 d q t O I j N + 8 1 A 8 z O 5 3 d d x 7 R o j 3 7 t 2 s 4 W w f o Y a 7 9 5 4 d D G s 4 0 8 H D g w e 7 + 7 R y O b 6 / f z t F 9 3 4 v e r x v X t w 0 N x 7 r a / N h P v Z 4 / s a 2 H s v f 2 N b j 9 B v b + v r s 5 s Y R H t q o C C L 8 s L F 9 Z H p v q 8 p u 1 f 4 9 J 9 N X Z L d q / z 4 z 6 m u x m x u / z 5 z 6 S u v m x v 0 5 3 d C 4 P 6 E b G v d n c 8 M A X d t P u 9 r p 7 M W b 9 P P j F 8 d P b 5 m U v 3 f / Z v V k O w n V 0 / 3 3 7 G B Y P Z k O H o 7 v 3 V I v 3 f I N j 4 f N G 7 d U S N p 8 e B I 8 9 r 2 x r c e 9 N 7 b 1 m P f G t r 5 C u r l x h G 1 u q 5 B u 1 T 4 y o b d V S L d q / 5 6 T 6 S u k W 7 V / n x n 1 F d L N j d 9 n T n 2 F d H P j / p x u a N y f 0 A 2 N + 7 O 5 Y Y C u 7 Q N f I d 3 / O i H h / Z 2 b N Z L t J d B I 9 3 V 6 b 9 3 B s E Y y H e z t 7 9 / b 2 9 t 7 u H O w 0 S X 3 W N l / 8 9 7 9 v Y N P d 2 + n n + x 7 e w 8 P P n 0 4 3 l H t G n 3 N 4 2 z z 2 r 3 7 D w 9 o A Q 9 C M v i a x + D v 8 5 r H 6 u a 1 T X L k M f v 7 9 O L r M n 3 v d r r M d L K 9 u / f w 4 f 2 9 8 S Z 6 + z r N v H e b 1 y K c c a v u I n x x W x X 3 P u h F + O G 2 m u 5 m U k e m / 1 b z G e G D 7 d u 8 6 C v A 2 4 z G 1 4 H v g 6 C v D m / V T 4 w J b t O R h 9 9 B V z u e v Z B o 8 n a K a / d m z W h 7 C D W j s s + t O x j W j K a D e z v 7 B / s H u w / 3 9 s c P b q k a 3 / d V T x r M q 7 f 0 3 r T 5 M F d 7 E n B j W 0 8 A b m z r M f 2 N b X 2 N d 3 P j C B d t l P E I T 2 x s H 5 n i j e 0 j 8 3 p b 1 X a r 9 v 3 Z v L V O u 5 m Y 7 z O l v i K 7 s b G v v G 5 u 3 J / T D Y 3 7 E 7 q h c X 8 2 N w z Q t X 3 Y 1 U / v m e y 6 f 4 t k l + 0 j 1 F C 3 S 3 a 5 D o Y 1 l O n g 3 s 6 D n Q c P H u z d 2 x 0 / 3 K S f P U 5 + 3 1 c 9 p j a v 3 l J D a f P h W f H 4 + c a 2 H j v f 2 N b j 5 h v b + h r q 5 s Y R P r q t h r p V + 8 g U 3 1 Z D 3 a r 9 e 0 6 m r 6 F u 1 f 5 9 Z t T X U D c 3 f p 8 5 9 T X U z Y 3 7 c 7 q h c X 9 C N z T u z + a G A d q 2 B z u + h v r 0 6 8 S X n + 7 c q K N c L 4 G O + l S n 9 9 Y d D O o o 2 8 E B R X o H t 9 J N 9 p X d + z u 7 D 8 Y I y g f f c p z s 3 t o f g w E H X 3 H M 7 L 3 y c H 9 v f H C 7 i P J 9 3 n K 8 b d / a J D i O u 9 + n E 0 9 3 m d d u p b t s H 9 v U y d 7 B + N N N 0 + P p M B + 3 G 1 + L c M K t u o u w w y 1 V 2 n u h F 2 G G W 2 q 2 W 5 A 6 M v u 3 m c 4 I F 2 z f 4 j 1 P 3 d 1 q L J 7 G e x / 0 P N 1 3 u 2 4 G O O B G M r j X d r u a 8 D 1 9 t U 9 v 9 t V c H 6 E e v J 2 v 5 j o Y 1 o O m A 2 q + s z f e 2 b + d K n y P t z w J M G 9 t m h e P 8 7 X 5 M C d 7 X H 9 j W 4 / p b 2 z r c f q N b X 0 t d 3 P j C P d s l O s I J 2 x s H 5 n Y j e 0 j U 3 p b d X a r 9 v 3 Z v L U e u 5 m Y 7 z O l v v a 6 s b G v s m 5 u 3 J / T D Y 3 7 E 7 q h c X 8 2 N w z Q t d 3 r 6 q X 3 X Z L 8 9 O Y l S d d J q J h u t y T p O h h W T K a D 3 Y f 3 x / c 2 G U u P h 2 / 9 j s f H 5 p 1 b K i V t P j w R H g v f 2 N b j 4 B v b e g x 8 Y 1 t f K d 3 c O M I 6 t 1 V K t 2 o f m d T b K q V b t X / P y f S V 0 q 3 a v 8 + M + k r p 5 s b v M 6 e + U r q 5 c X 9 O N z T u T + i G x v 3 Z 3 D B A 1 / a e r 5 Q O v k 7 Y C D f t J q 1 k e w m 0 0 o F O 7 6 0 7 G N Z K p o O 9 n c 3 R n M f D 9 p X x w a Y 3 P C 6 2 b 9 w / 2 B v f M m Z 0 7 3 x 6 f 7 y / 4 R 2 P m 2 / 9 j s f U 5 p 1 N E u O x 9 a 2 7 8 F W W v n Q 7 l W V 6 o J B c v e I b t Z Z 5 Z f u m d y I T f 1 v N d V u 0 I t N + W + V 1 6 2 H 0 p / x 2 C u z 2 k x e Z 8 e 0 b 3 / I 1 2 m 3 G 7 i u 1 W 6 P m K 7 d b d R K Z 8 5 u H 4 m G 2 / / h u q O j e a 4 U R j t 5 N S m 4 / r u R 2 3 7 O D Y S V n O t j d e b D 7 Y G d 3 b w w i D o 7 d Y / r 3 e 9 F j f f P i L Z 0 w b T 7 M x R 7 H 3 9 j W Y / g b 2 3 p 8 f m N b X 6 P d 3 D j C Q b d 1 w m 7 V P j K 9 t 1 V l t 2 r / n p P p 6 7 F b t X + f G f V 1 2 M 2 N 3 2 d O f Z V 1 c + P + n G 5 o 3 J / Q D Y 3 7 s 7 l h g K 7 t f a M 5 n G 5 6 v 8 j w w A Z u b w b V k + 0 k V E + 3 i w x d B 8 P q y X S w f 2 9 8 7 5 Y + 2 G 1 f 8 b j Y v H J L l a T N h 6 f B Y + A b 2 3 r 8 e 2 N b j 3 1 v b O u r p J s b R x j n t i r p V u 0 j U 3 p b l X S r 9 u 8 5 m b 5 K u l X 7 9 5 l R X y X d 3 P h 9 5 t R X S T c 3 7 s / p h s b 9 C d 3 Q u D + b G w b o 2 n 7 q q 6 S H X y c u f G j D t m G d Z H s J d N J D n d 5 b d z C s k 0 w H 9 / b v f X o 7 l W T e + P R g Z / x g k / v u s b F 5 5 + H e / X u 0 n K g e X / Q t j 5 n N W w c P H z w 4 G M N g D L 7 l s f R 7 v O X x t n l r k + B 4 3 P 0 e n f i 6 S 1 + 7 n e 4 y f e w 9 u H 9 / v L d J + / s a z L y 1 f Y v X I n x w W 0 X 2 H s h F + O C 2 6 u x 9 B t N n g d t p t f e Z y g g H b N / i P V / V 3 Y Y E v r Z 7 D / R 8 v X e r b i L z f 5 v h e N g 9 6 G r B 9 3 X M H t 7 C M b O d h E r w d o 6 Z 6 2 B Y C Z o O P t 1 9 u L u Z y z w J u P 1 L n g C Y l 2 7 p n G n z Y U b 2 m P 7 G t h 7 P 3 9 j W Y / Q b 2 / o K 7 u b G E e a 5 r X N 2 q / a R a b 2 t T r t V + / e c T F + b 3 a r 9 + 8 y o r 8 Z u b v w + c + p r r J s b 9 + d 0 Q + P + h G 5 o 3 J / N D Q N 0 b Q 8 8 t b S 7 8 z W c s 9 2 d W z h n t h d f L / G b 7 9 X B s F 4 y H e z e / 3 R 3 Y 6 b U Y 2 L z z r 2 d h + N 7 t 8 x i m X f 2 9 3 b 2 H 4 z 3 P r 2 d c r J v 7 T x 4 S M b 5 4 H b u 2 X u 8 5 X G 3 e W u T 6 H j 8 / R 6 d + N p L X 7 u d 9 r K T s 3 d / d / x w Y x c R n t m + x W s R T r i t K n s P 5 C J 8 c F u F 9 j 6 D 6 b P A 7 f T a + 0 x l h A O 2 b / G e r + x u Q w J f 3 7 0 H e r 7 m u 1 U 3 k f m / z X A 8 7 B 5 2 9 e B 7 u m e 7 O 7 d w z 2 w n o R q 8 l X v m d T C s B k 0 H 9 / b u 7 Y w 3 K S d P A G 7 9 j s f + 5 p 1 N k + J x v z Y f Z m O P 5 W 9 s 6 3 H 8 j W 0 9 N r + x r a / e b m 4 c Y Z 2 N u i D C B R v b R y b 1 t h r t V u 3 f c z J 9 X X a r 9 u 8 z o 7 4 S u 7 n x + 8 y p r 6 9 u b t y f 0 w 2 N + x O 6 o X F / N j c M 0 L Z F V s o p p d 2 v 4 5 y B q W / Q S q 6 X Q C v t 6 v T e u o N B r W Q 7 2 M Q w j n 9 v 1 d y x r 2 1 + / 8 E B L e I + G B t 1 G n 3 P s f H 7 v e f Y + f 3 e c 5 x 9 q 2 E 5 3 n 6 / b j z d Z V 6 8 l e 6 6 F V K e 7 r p d + / e c e k 9 3 3 a 5 9 Z P J v q b t u 1 7 4 / 2 T 1 i x n T X e 0 5 Z Z K 6 3 b / W m p 9 R u N R 5 P r 7 0 f i p 6 O u 1 1 H k Y m / 3 Z A 8 D H d 9 n f f g 6 + i 8 B z s 3 6 z z b S 6 D z H u j o b t 3 B s M 4 z H e w 9 P N j f v b e 3 R 6 7 V p h D T E w H z 5 q e f P r y 3 s 3 + w Q + H C 7 R S h e Z H e e b A 3 f r g p C v Y k w r x 1 7 8 H O w 3 s P P 7 2 / P w a / D L 7 p y c Z 7 v u k J i n n z l q r w P T v y l a G + e j t l a P r Z p o 4 O H u 7 e P 9 i 9 I X y I M N R t X 4 2 w y q 2 7 j T D L b f X l + 6 I Z Y Z T b q s 6 b S R / h i N t O c Y Q 7 t m / 5 r q 8 + b z M m X 3 2 + J 5 q + A r 1 V V w N c c Z u + P C z 3 u i r 0 7 M X n r 0 5 f 3 z K Q f b B 7 s / q 0 P Y T q U / G 7 d Q f D 6 t N 0 s H f / I a n B B / s P x / c f 3 k 5 9 v u e b n m y Y N z f N k C c P 2 n y Y v z 1 Z u L G t J w o 3 t v V 4 / 8 a 2 v i 6 8 u X G E h z Z K e 4 Q j N r a P T P D G 9 p F p v a 2 i u 1 X 7 / m z e W r v d T M z 3 m V J f n 9 3 Y 2 F d g N z f u z + m G x v 0 J 3 d C 4 P 5 s b B u j a 3 u t q p 1 N R T u n J t 0 9 / 4 n Y K Z O 9 m D W V 7 C T W U + m C 3 7 m B Y Q 5 k O a P X g Y O / T h w / 3 x / u 3 U 1 D m x b 3 9 e / f 3 P 7 1 / b 2 9 z O t j j a f M m r f E / v H d w f 4 y l 6 M H 3 P N 6 2 7 3 3 6 6 f 3 7 5 I 8 + u O 0 S h H 1 z k 1 R 4 f G 6 a 3 6 4 f j + f f E 0 N f q + m r t 9 N q D s G 9 g 5 1 9 W i r a V 4 a 4 U b 9 5 G N 7 q 1 Q i n 3 F b V v S e S E Q a 5 r d J 7 3 0 H 1 O e N 2 + u 9 9 p z f C G b d 7 0 1 e N 7 9 m p r y h v Q 0 d f V 7 4 n k u / L G 6 7 5 / p D u f P P q d o r t 3 s 2 a 0 / Y R a s 5 7 7 9 n B s O Y 0 H R z s k e r c f X h / b 3 N u w J O M 9 3 z T k w z z 5 i 1 9 O 2 0 + z N 2 e J N z Y 1 h O E G 9 t 6 n H 9 j W 1 8 L 3 t w 4 w k W 3 9 e 1 u 1 T 4 y w b d V e L d q / 5 6 T 6 a u 5 W 7 V / n x n 1 d d v N j d 9 n T n 0 F d n P j / p x u a N y f 0 A 2 N + 7 O 5 Y Y C u 7 f 2 u f n r f V d Q H N 6 + i u k 5 C B X W 7 V V T X w b C C M h 3 s 7 d C z v 3 d v / G C T O v c Y + f 1 e 9 D j a v H h L 9 a T N h 6 f E Y + Y b 2 3 q 8 f G N b j 5 V v b O u r p 5 s b R 5 j o t u r p V u 0 j 0 3 t b 9 X S r 9 u 8 5 m b 5 6 u l X 7 9 5 l R X z 3 d 3 P h 9 5 t R X T z c 3 7 s / p h s b 9 C d 3 Q u D + b G w b o 2 n 7 q q 6 e D r 7 O 2 c L B z s 3 6 y v Q T 6 6 U C n 9 9 Y d D O s n 0 8 H u P i m a / Q f 7 O / v j e 7 f 0 o H q v 7 o z 3 P r 2 d j j K v 7 o 9 3 N i X U P M b W N 4 a n x m P q G 9 t 6 P H 1 j W 4 + l b 2 z r q 6 m b G 0 e Y 6 Q Z 6 + J r K v L J 9 0 z u R y b 6 t t r o t W p G Z v a 3 C u v U w 3 m d + f a V 1 c + P 3 m W F f a d 3 c u D / D G x r 3 5 3 Z D 4 / 6 k b h i g a / u g q 7 T e K 5 t / s H u z w r I 9 h A p r 9 z 0 7 G F Z Y p g N K e D 3 Y u X / v P t Y y P r 2 d w n r f V z 2 2 N q / e 0 q n S 5 s N z 4 n H z g / f Q V j f C 9 X j 5 x r a + t r q 5 c Y S L b u t U 3 a p 9 Z I p v q 6 Z u 1 f 4 9 J 9 P X U b d q / z 4 z 6 u u n m x u / z 5 z 6 + u n m x v 0 5 3 d C 4 P 6 E b G v d n c 8 M A X d u D r n 5 6 z 5 z U w S 1 y U r a P U E P d L i f l O h j W U K a D v Y P 7 D 3 d 2 H j 4 4 e D C + v y k V 6 n H y + 7 7 q M b V 5 9 Z Y a S p s P z 4 r H z z e 2 9 d j 5 x r Y e N 9 / Y 1 t d Q N z e O 8 N F t N d S t 2 k e m + L Y a 6 l b t 3 3 M y f Q 1 1 q / b v M 6 O + h r q 5 8 f v M q a + h b m 7 c n 9 M N j f s T u q F x f z Y 3 D N C 1 f d j V U O + b l T q w S a N h F W U 7 C V W U x m W 3 7 m B Y R Z k O 7 u 0 e G K j R g X s s f N t X P C 4 2 r 9 x S J W n z 4 W n w G P j G t h 7 / 3 t j W Y 9 8 b 2 / o q 6 e b G E c a 5 r U q 6 V f v I l N 5 W J d 2 q / X t O p q + S b t X + f W b U V 0 k 3 N 3 6 f O f V V 0 s 2 N + 3 O 6 o X F / Q j c 0 7 s / m h g G a t v d 2 d j y V t L f z N T J R e w C x W S d 5 v f g 6 i d 9 8 r w 6 G d J L r Y O / + w e 7 O p / d 3 D 8 Y P 9 m + j m v p v 3 h s f b H r T M r V 7 c 3 / 8 8 D Y 6 y r 4 w P C + W o 2 / R 1 j L 0 L d p a f r 5 F W 6 e j b t M 4 w k m b y e G 0 l H t j + 4 Z X I v N 8 O 0 V 1 a 6 Q i s 3 o 7 V X X 7 Q b z P 3 D p t d Z v G 7 z O 7 T l v d p n F / d j c 0 7 k / s h s b 9 K d 0 w Q N d 2 t 6 u t 3 i c F t Y f X b 9 J U t o d Q U + 2 + Z w f D m s p 0 c H / 3 0 9 2 D B 3 v 3 7 4 3 B T Y N 8 4 / H y e 7 7 p 8 b R 5 c x N P e y y t z Y d n x O P l G 9 t 6 r H x j W 4 + T b 2 z r 6 6 m b G 0 d 4 a K O A R z h i Y / v I B N 9 W R d 2 q / X t O p q + g b t X + f W b U 1 0 4 3 N 3 6 f O f W 1 0 8 2 N + 3 O 6 o X F / Q j c 0 7 s / m h g G 6 t n t d 7 f R + C a i 9 n R s T U F 4 f o X 6 6 V Q L K 6 2 B Y P 5 k O 9 h / c J 3 + I 4 t v x / V v q p / d 8 0 2 N p 8 + Y t 9 Z M 2 H 5 4 T j 5 t v b O s x 8 4 1 t P V 6 + s a 2 v n 2 5 u H O G i 2 + q n W 7 W P T P B t 9 d O t 2 r / n Z P r 6 6 V b t 3 2 d G f f 1 0 c + P 3 m V N f P 9 3 c u D + n G x r 3 J 3 R D 4 / 5 s b h i g a 3 u v q 5 / O f v I 4 / X 3 S k y + / O H t 9 d j s F s n + z h r K 9 h B p q / z 0 7 G N Z Q p o P 9 T / c e 7 B 3 s j J G C G + Q c j 5 H f 6 z 2 P o c 1 7 t 9 R O 2 n x 4 R j x e v r G t x 8 o 3 t v U 4 + c a 2 v n a 6 u X G E h 2 6 r n W 7 V P j K 5 t 9 V O t 2 r / n p P p a 6 d b t X + f G f W 1 0 8 2 N 3 2 d O f e 1 0 c + P + n G 5 o 3 J / Q D Y 3 7 s 7 l h g K 7 t f k 8 7 v V 9 y f G / n x u S 4 1 0 m o n G 6 V H P c 6 G F Z O p o O 9 + w 8 O 9 s f 3 9 m 6 n m t 7 j L Y + X 8 d Z 7 K C Z t P j w Z H h v f 2 N b j 4 h v b e k x 8 Y 1 t f M d 3 c O M I + t 1 V M t 2 o f m d j b K q Z b t X / P y f Q V 0 6 3 a v 8 + M + o r p 5 s b v M 6 e + Y r q 5 c X 9 O N z T u T + i G x v 3 Z 3 D B A 1 / a + V U y / d 7 q z m 7 4 + f q 8 M + f 7 O D n j 6 J s V k O 3 G K S d 9 8 r w 6 G F Z P p Y O / e / V 1 K V N 2 7 d z C + d 0 v H y b 2 6 v / v p / j 2 8 e n B L F W V e 3 d 3 9 d O / g 4 c 4 B 5 a z u 3 U 5 b 2 T d 3 P n 1 w b x d v 3 n + w 4 U 2 P 0 9 / z T Y / t z Z u b Z M p j / P f s y F d t + u r t V J v p 5 + H 9 + w 8 e P n y 4 O a z 2 d Z x 5 c f t 2 b 0 a 4 5 b b a 7 v 1 Q j D D I b d X e e w 6 p z x a 3 U 4 D v O 7 U R r t i + 5 b u + d r w N N X w F + Z 5 o + u r y V l 1 F O O K 2 w / K w / D R U o L f P 2 U O 1 7 d 6 s O y 3 8 U H f u v m c H w 7 r T d H C f s l r 3 P n 2 w f 2 9 n / O k t d a f / 6 v 4 + U e 1 g / O n D 2 + l O 8 + r 2 g 3 v 0 4 t i s Q d y k O P W 1 Y T 7 3 Z O L G t p 5 I 3 N j W k 4 E b 2 / q 6 8 O b G E V 6 6 D V F 8 V W j e u 8 1 r k Z m / V X e R a b + t 9 / c + 6 P X n + t Z O 4 M 2 k f p 8 J 9 7 X e j Y 1 9 N X d z 4 / 6 M b 2 j c n + Y N j f u T u 2 G A r u 2 D U I e 9 T 2 Y f S u b e z V r M 9 h B q M X W X b t 3 B s B Y z H e z v 7 j 8 8 + P T B / b 2 d 8 Y N N q s h j 5 / d 9 1 e N s 8 + o t g 1 R t P j w n H j f f 2 N Z j 5 h v b e r x 8 Y 1 t f e 9 3 c O M J F t w 1 S b 9 U + M s W 3 d d t u 1 f 4 9 J 9 P X T 7 d q / z 4 z 6 u u n m x u / z 5 z 6 + u n m x v 0 5 3 d C 4 P 6 E b G v d n c 8 M A X d u D U D / 5 m f 0 v X 9 x O h e z f r K N s L 6 G O 2 n / P D o Z 1 l O m A w s X d h w 9 3 P r 1 9 d v 8 9 3 / S Y 2 r x 5 S w 2 l z Y d n x e P n G 9 t 6 7 H x j W 4 + b b 2 z r a 6 i b G 0 f 4 6 L Y a 6 l b t I x N 8 W w 1 1 q / b v O Z m + h r p V + / e Z U V 9 D 3 d z 4 f e b U 1 1 A 3 N + 7 P 6 Y b G / Q n d 0 L g / m x s G 6 N o + 7 G i o 9 8 n u Q 3 v c v 1 k 9 2 S 5 C 9 X T / P T s Y V k + m g 4 P d g 4 f 3 7 9 3 a f X q f 1 z x e N q / d U j F p 8 + H J 8 N j 4 x r Y e F 9 / Y 1 m P i G 9 v 6 i u n m x h H 2 u a 1 i u l X 7 y N T e V j H d q v 1 7 T q a v m G 7 V / n 1 m 1 F d M N z d + n z n 1 F d P N j f t z u q F x f 0 I 3 N O 7 P 5 o Y B 2 r b g S N E a r 4 / T n X v v m 9 + / v 7 N z b + d G 1 e Q 6 c a p J 3 3 y v D g Z V k + 3 g 0 4 c 7 D 3 b 3 7 9 / b H R / s 3 k o 7 B W 8 + O D h 4 u D 8 G + Q b f d D x t 3 y R D Q F m x 8 b 4 q 2 u h r j r X d a w 9 o h f j T 8 Y N N K w K O w 9 / r N c f r 9 r V N g u S 4 / b 1 6 8 Z S Z e e 9 W y s x 2 s k 3 L K Z / u j f c O b q f U 3 F T d 4 r U I b 9 y q u w h n 3 F L H v R d 6 E X 6 4 p a q 7 B a k j 0 3 + r + Y z w w f Z t X v Q 0 4 K 1 G 4 y n B 9 0 L Q 0 4 f 6 3 q 0 T + O 8 3 I A + / 3 V A 9 3 j 5 7 D 8 W 1 e 7 N m t P B D z a j K 6 9 Y d D G t G 0 8 E u / f 7 p P v 1 3 M N 6 / p W p 8 3 1 c 9 W T C v b p o e T w a 0 + T B P e / x / Y 1 u P / W 9 s 6 7 H 8 j W 1 9 f X d z 4 w g P b Z T w C E 9 s b B + Z 4 o 3 t I / N 6 W 8 V 2 q / b 9 2 b y 1 R r u Z m O 8 z p b 4 a u 7 G x r 7 p u b t y f 0 w 2 N + x O 6 o X F / N j c M 0 L X d C 7 X T + + T l o T 5 u z s u 7 H k L 9 d I u 8 f N D B s H 4 y H S A M f X D v 4 c H B 3 v j h 7 d T T e 7 7 p M b R 5 8 5 b a S Z s P z 4 j H y z e 2 9 V j 5 x r Y e J 9 / Y 1 t d O N z e O 8 N B t t d O t 2 k c m + L b a 6 V b t 3 3 M y f e 1 0 q / b v M 6 O + d r q 5 8 f v M q a + d b m 7 c n 9 M N j f s T u q F x f z Y 3 D N C 1 v R d q p / f N y k O B 7 N + s o W w v o Y b a f 8 8 O h j W U 6 W B 3 9 + H e / Q e b H C C P i 2 / / k s f K 5 q V b 6 i V t P j w X H h f f 2 N Z j 4 h v b e j x 8 Y 1 t f L 9 3 c O M I 9 t 9 V L t 2 o f m d b b 6 q V b t X / P y f T 1 0 q 3 a v 8 + M + n r p 5 s b v M 6 e + X r q 5 c X 9 O N z T u T + i G x v 3 Z 3 D B A 1 3 b f 1 0 v 7 X y P l t b 9 z s 1 q y n Q R q a V 9 n 9 9 Y d D K s l 0 8 G D h 3 v j g 7 3 b a S X z z t 6 D g / 3 b q S T 7 x q d 7 D 3 Y e 3 B v v P b i d b v L e o + X I G 7 J j H l e / 1 3 s e g 5 v 3 N k m P x + L v 1 Y 2 v w v T F 2 6 k w 0 8 s 2 r c n u j i G P w 3 1 E W O c W b 0 X 4 4 T a d R V j i t m r t P Z C L s M N t l d v N Z I 7 M / e 0 m M 8 I F 2 7 d 6 0 9 d 6 t x m P r / j e C 0 V f C d 6 q o x g X 3 K o n D 8 P 7 o V L 8 G s 7 a / v 7 N W t H 2 E m r F / f f s Y F g r m g 7 u 3 / 9 0 E 2 9 6 A n D L N z w R M G / c 0 k 3 T 5 s O 8 7 P H 9 j W 0 9 t r + x r c f p N 7 b 1 d d z N j S N 8 c 1 s 3 7 V b t I x N 6 W z f t V u 3 f c z J 9 T X a r 9 u 8 z o 7 4 m u 7 n x + 8 y p r 7 B u b t y f 0 w 2 N + x O 6 o X F / N j c M 0 L X 9 t K O R X r x J P z 9 + c f z 0 l t l 3 K L 6 b 1 J H t I l R H q j J v 3 c G w O j I d 7 D 7 c 3 x / f M n S 8 9 T s e F 5 t 3 b q m S t P n w N H g M f G N b j 3 9 v b O u x 7 4 1 t f Z V 0 c + M I 4 9 x W J d 2 q f W R S b 6 u S b t X + P S f T V 0 m 3 a v 8 + M + q r p J s b v 8 + c + i r p 5 s b 9 O d 3 Q u D + h G x r 3 Z 3 P D A F 3 b B 7 5 K u v 8 1 I s f 7 O z c r J d t J o J T u 6 + z e u o N h p W Q 6 2 M Q v H v u a 5 r s P P 7 1 t g v 0 2 P X g M f N s e P B 6 + 7 S s e J 9 8 G K Y + X b 9 u D r 6 b 0 n d u p K d P B 9 o 0 9 R J j j x n c i 8 3 1 z R 5 F Z v 6 3 S u j V i k X m / r e L q k X e T 4 r o 1 Q p E 5 v 5 F S v h 6 7 z S h 8 V X Z b x H y N d q s + v t a U u 3 c O Q u V 2 9 k J W E 2 + n d n Z v 1 m s W f q j X 1 M O 5 d Q f D e s 1 0 s E d h 7 8 7 + 7 Z T b r d / x W N 2 8 c 0 v t p s 2 H l Y L H 4 T e 2 9 R j 8 x r Y e Y 9 / Y 1 t d i N z e O c M 1 G G Y 5 w w c b 2 k U n d 2 D 4 y o b f V W 7 d q 3 5 / N W + u s m 4 n 5 P l P q K 6 s b G / t K 6 u b G / T n d 0 L g / o R s a 9 2 d z w w B d 2 4 c d f f T + G a n 7 + z d r J d t L q J V U F d y 6 g 2 G t Z D o 4 u P 9 g f H A 7 p X T b V z w 2 N q / c U i d p 8 + F 5 8 D j 4 x r Y e A 9 / Y 1 u P f G 9 v 6 O u n m x h H O u a 1 O u l X 7 y J T e V i f d q v 1 7 T q a v k 2 7 V / n 1 m 1 N d J N z d + n z n 1 d d L N j f t z u q F x f 0 I 3 N O 7 P 5 o Y B 2 r b A 3 u m k T 7 9 G A P j p z o 0 q y X U S q K R P d X Z v 3 c G g S r I d 7 O 7 c u 7 + / v / d g 7 9 O x p r y i 4 3 e c 3 H v z 4 G D 8 8 N 6 t N J R 7 9 d 7 4 g W r X 6 C u O r + 0 r D z 4 d g 3 0 H X 3 G s f e t X H I P b V z Z J j 2 P x W / f g a S / z z q 2 0 l + 1 g + 9 O 9 8 f 4 m 4 n o q z L 5 0 4 z s R N r i 5 o w g H 3 F K X 3 R 6 x y L z f U p / d g r y R 6 b 5 x / i J z v n 3 T S 5 5 6 u 9 U o P A 1 3 a 8 Q 8 R X e 7 P m J T f u P o 3 T u 7 o c 5 7 r 7 j w 0 9 2 b 1 Z 2 F H 6 q 7 3 f f s Y F j d m Q 7 2 D u 7 d P 3 i 4 9 + n B 3 v h g E y t 6 3 P 6 + r 3 q M b 1 7 d N D U e z 2 v z Y R 7 2 + P 3 G t h 6 7 3 9 j W Y / M b 2 / o 6 7 e b G E R 7 a K N E R n t j Y P j L F G 9 t H 5 v W 2 W u x W 7 f u z e W s N d j M x 3 2 d K f d V 1 Y 2 N f Z d 3 c u D + n G x r 3 J 3 R D 4 / 5 s b h i g a 7 s X a q d T U U 7 p m 1 e 3 U x / 3 b t Z P t o d Q P 6 k a u H U H w / r J d L D 7 4 G D 3 / s H e w / 3 d M W Z w k H E 8 P n 7 f V z 2 W N q / e U j 9 p 8 + E 5 8 b j 5 x r Y e M 9 / Y 1 u P l G 9 v 6 + u n m x h E u u q 1 + u l X 7 y B T f V j / d q v 1 7 T q a v n 2 7 V / n 1 m 1 N d P N z d + n z n 1 9 d P N j f t z u q F x f 0 I 3 N O 7 P 5 o Y B u r b 3 Q v 1 0 9 u J N + v n x i + O n t 3 W g 7 t + s o G w X o Y L S k O 7 W H Q w r K N P B 3 s 7 D / U / H e 5 / e T j e 9 x 1 s e J 5 u 3 b q m W t P n w V H h M f G N b j 4 d v b O u x 8 I 1 t f b V 0 c + M I 8 9 x W L d 2 q f W R i b 6 u W b t X + P S f T V 0 u 3 a v 8 + M + q r p Z s b v 8 + c + m r p 5 s b 9 O d 3 Q u D + h G x r 3 Z 3 P D A F 3 b f V 8 t P f g a i a w H O z c r J t t J o J g e 6 O z e u o N h x W Q 6 2 H 8 4 f n h w O 6 1 k X q H c 1 f 7 t N J J 5 4 + G D T 6 H H N m X K P F Y 2 b + 3 u 7 N w 7 2 B n v 3 T J / 9 T 6 v e b x t X t s k O B 5 3 v 0 8 v v v L S 9 2 6 n v E w n 2 3 s P 7 t H i 6 t 4 t d Z i b o B v f u v f 1 O o t w w 2 0 V 2 n s g F + G F 2 6 q 1 m 8 k c m f p b z W W E B 7 Z v 8 6 K v 7 W 4 z G l / h v Q + C v u 6 7 V T 8 R Z X C r A X n 4 3 Q 9 V 4 X v l t x 7 s 3 q w F L f x Q C + 6 + Z w f D W t B 0 s D / e U 6 A 3 K c F b v u E x v n n j l m 6 Z N h / m Y I / b b 2 z r M f u N b T 0 G v 7 G t r 9 l u b h z h m N u 6 Z b d q H 5 n Q 2 7 p l t 2 r / n p P p 6 6 9 b t X + f G f X 1 1 8 2 N 3 2 d O f U V 1 c + P + n G 5 o 3 J / Q D Y 3 7 s 7 l h g K 7 t p x 1 d 9 J P H 6 e + T n n z 5 x d n r s y 9 f 3 E 5 h 7 N + s k W w v o U b a f 8 8 O h j W S 6 e D + / U 9 v 6 Z b d 8 g 2 P i c 0 b t 9 R I 2 n x 4 F j z + v b G t x 7 4 3 t v W 4 9 8 a 2 v k a 6 u X G E b 2 6 r k W 7 V P j K h t 9 V I t 2 r / n p P p a 6 R b t X + f G f U 1 0 s 2 N 3 2 d O f Y 1 0 c + P + n G 5 o 3 J / Q D Y 3 7 s 7 l h g K 7 t g 4 5 G e s / 8 1 Y P 7 N 6 s j 2 0 W o j j T Q u n U H w + r I d L C 7 e 2 + 8 s 8 k r 9 D j 4 1 u 9 4 X G z e u a V K 0 u b D 0 + A x 8 I 1 t P f 6 9 s a 3 H v j e 2 9 V X S z Y 0 j j H N b l X S r 9 p F J v a 1 K u l X 7 9 5 x M X y X d q v 3 7 z K i v k m 5 u / D 5 z 6 q u k m x v 3 5 3 R D 4 / 6 E b m j c n 8 0 N A 3 R t D 3 y V d P A 1 c l c H O z c r J d t J o J Q O d H Z v 3 c G w U j I d 7 O 6 N d 2 4 Z t p l X b p + 7 M m / c e 7 h z 7 9 M x x G f w L Y + V z V v 7 u w c 7 B 2 M I 6 e B b H k O / x 1 s e Z 5 u 3 N o m N x 9 v v 0 Y m v u f S 1 2 2 k u 0 w f l k h 7 s j h 8 + v K U C c 7 N z 4 1 s R N r h N Z x F W u K 0 2 e w / k I o x w W 5 1 2 M 5 k j M 3 + b q Y x w w P Y t 3 v M V 3 W 3 G 4 u u 6 9 0 D P 1 3 q 3 6 i Y 2 / 7 f o x 8 P u Y a g D v 0 a g C B V y k x K 0 v Y R K U J X P r T s Y V o K m g 0 9 3 7 m 0 a u M f 4 t 3 z D Y 3 3 z x q Y Z 8 X h e m w / z s M f v N 7 b 1 2 P 3 G t h 6 P 3 9 j W 1 2 0 3 N 4 7 w z U a J j n D A x v a R C d 3 Y P j K d t 9 V j t 2 r f n 8 1 b a 7 C b i f k + U + r r r R s b + 8 r q 5 s b 9 O d 3 Q u D + h G x r 3 Z 3 P D A G 3 b e z s d j f S e g e L B z Y G i 6 y J U R 7 c L F F 0 H g + r I d r D 3 6 X h H l V x 0 2 I 6 B b / 2 K 4 2 H 7 y u 0 U k m k + P A m O f W 9 u 6 7 j 3 5 r a O e W 9 u 6 y m k W z S O s M 0 t F d L t 2 k e m 9 J Y K 6 X b t 3 3 M y P Y V 0 u / b v M 6 O e Q r p F 4 / e Z U 0 8 h 3 a J x f 0 4 3 N O 5 P 6 I b G / d n c M E D X d t d X S A + / R p j 4 c O d m l W Q 7 C V Q S 3 n y v D o Z V k u n g P V S S f e W 2 Y a J 9 4 + D + f Q o P N v l V H i f b l w 7 I U I z B 4 4 N v e f z 8 H m 9 5 j G 3 e 6 k j N k L p 6 j 0 5 8 x a W v 3 U 5 x m T 4 o c L v / Y P x w Y x 8 R h r n F W x E u u E 1 n E U 6 4 r T J 7 D + Q i j H B b l X Y z m S M z f 5 u p j H D A 9 i 3 e 8 / X c b c b i q 7 r 3 Q M 9 X e r f q J j b / t + j H w 2 4 v V I F f I 0 p 8 u H + z D r S 9 h D p Q d c + t O x j W g a a D W y 8 n 3 v Y N j / X N G 5 t m x O N 5 b T 7 M w x 6 / 3 9 j W Y / c b 2 3 o 8 f m N b X 7 f d 3 D j C N x s l O s I B G 9 t H J n R j + 8 h 0 3 l a P 3 a p 9 f z Z v r c F u J u b 7 T K m v t 2 5 s 7 C u r m x v 3 5 3 R D 4 / 6 E b m j c n 8 0 N A 3 R t 7 3 U 0 0 n t G i Q 9 v E S X a L k J 1 d L s o 0 X U w r I 5 M B / c p c 3 9 L f X T b V z w e N q / c U i F p 8 + F J 8 N j 3 x r Y e 9 9 7 Y 1 m P e G 9 v 6 C u n m x h G 2 u a 1 C u l X 7 y J T e V i H d q v 1 7 T q a v k G 7 V / n 1 m 1 F d I N z d + n z n 1 F d L N j f t z u q F x f 0 I 3 N O 7 P 5 o Y B u r b 7 n k L a 3 S G F 9 P m r 0 9 e 3 0 0 a 7 W L e 7 S R t Z + L 4 2 2 j U r f r f u Y F g b m Q 5 2 b h 0 f 3 v I N j 3 3 t G 7 f T R d p 8 m P 4 e 5 9 7 Y 1 m P c G 9 t 6 f H t j W 1 8 X 3 d w 4 w j G 3 1 U W 3 a h + b 0 F v q o l u 1 f 8 / J 9 H X R r d q / z 4 z 6 u u j m x u 8 z p 7 4 u u r l x f 0 4 3 N O 5 P 6 I b G / d n c M E D X 9 r 6 v i 3 b f P 2 O 1 C 5 6 + S S H Z T g K F t K u z e + s O h h W S 6 W B 3 f w w 2 H e Q Z j 4 X N K 7 f P W J k 3 9 j / d 3 d k b 3 9 + 7 n W K y b x 0 c P N g b 3 9 v k i X k M / R 5 v e Z x t 3 t o k N h 5 v v 0 c n v u b S 1 2 6 n u U w f l E X 6 9 O H 4 4 N N b K j A 3 O z e + F W G D 2 3 Q W Y Y X b a r P 3 Q C 7 C C L f V a T e T O T L z t 5 n K C A d s 3 + I 9 X 9 H d Z i y + r n s P 9 H y t d 6 t u Y v N / i 3 4 8 7 D 4 N d e B 7 + W P g 9 Z v U n 4 U f q r / b + W O u g 2 H 1 Z z q g P L q G n D d p v 1 u + 4 T G 9 e e O W / p g 2 H + Z e j 9 N v b O s x + o 1 t P e 6 + s a 2 v 1 W 5 u H O G Y 2 / p j t 2 o f m d D b + m O 3 a v + e k + n r r l u 1 f 5 8 Z 9 X X X z Y 3 f Z 0 5 9 N X V z 4 / 6 c b m j c n 9 A N j f u z u W G A r u 2 D U B e d i i p K 3 7 y 6 n b K 4 d 7 M 2 s j 2 E 2 u j e e 3 Y w r I 1 M B w c 7 m 9 j F 4 9 7 b v e C x r 3 n h l r p I m w / T 3 + P c G 9 t 6 j H t j W 4 9 v b 2 z r 6 6 K b G 0 c 4 5 r a 6 6 F b t I 9 N 5 W 1 1 0 q / b v O Z m + L r p V + / e Z U V 8 X 3 d z 4 f e b U 1 0 U 3 N + 7 P 6 Y b G / Q n d 0 L g / m x s G 6 N o e h L r o / Z f y d s E X N + k j 2 0 u o j / b f s 4 N h f W Q 6 + P T T P Q U a H b j H w p v e i G s k 8 8 Y t N Z I 2 v 5 V G u r G t x 7 4 3 t v W 4 9 8 a 2 v k a 6 u X G E b 2 6 r k W 7 V P j K h t 9 V I t 2 r / n p P p a 6 R b t X + f G f U 1 0 s 2 N 3 2 d O f Y 1 0 c + P + n N 5 O I 9 3 c u D + b t 9 J I D z s a 6 f 2 W 8 n Y x y T e p I 9 t F q I 4 0 S r p 1 B 8 P q y H R w b 3 d 8 / 5 b R 2 m 1 f 8 X j Y v H J L h a T N h y f B Y 9 8 b 2 3 r c e 2 N b j 3 l v b O s r p J s b R 9 j m t g r p V u 0 j U 3 p b h X S r 9 u 8 5 m b 5 C u l X 7 9 5 l R X y H d 3 P h 9 5 t R X S D c 3 7 s / p h s b 9 C d 3 Q u D + b G w Z o 2 + 7 v + A p p 7 2 u k z z H + G 1 S S 6 y R Q S X s 6 u 7 f u Y F A l 2 Q 4 2 8 Y t j X 9 v 8 1 q l z 9 8 b u / o O 9 g / G D T U r M 8 b H 3 2 o P 7 u 3 u b X 3 P s / F 6 v O c a + F R U c a 7 9 X L 5 7 m M u / d S n P Z T r Z v o L W n v W 4 7 P Z 4 C u 3 0 3 E S 6 4 p R K 7 N V q R + b + l H r s F a S P T f a v 5 i 8 z 7 9 m 1 e 9 N T b r U b j a b j 3 Q t B T d r f r J z r 5 t + j I w 2 8 3 1 H 1 f I z x E P H a T 8 r O 9 h M p P W e j W H Q w r P 9 P B / f u f H t x O / 9 3 y D Y / 3 z R u b p s T j e 2 0 + z M c e z 9 / Y 1 m P 5 G 9 t 6 b H 5 j W 1 + n 3 d w 4 w j c b p T r C A R v b R y Z 0 Y / v I d N 5 W k d 2 q f X 8 2 b 6 3 F b i b m + 0 y p r 7 p u b O y r q 5 s b 9 + d 0 Q + P + h G 5 o 3 J / N D Q N 0 b f c 6 G u k 9 w 0 M s h d 2 k j m w X o T q 6 X X j o O h h W R 6 a D 3 b 2 H n 4 7 B p o M 8 4 7 H w 7 V / y + N i 8 d E u l p M 2 H J 8 J j 4 R v b e h x 8 Y 1 u P g W 9 s 6 y u l m x t H W O e 2 S u l W 7 S P T e l u l d K v 2 7 z m Z v l K 6 V f v 3 m V F f K d 3 c + H 3 m 1 F d K N z f u z + m G x v 0 J 3 d C 4 P 5 s b B u j a 3 v O V 0 r 2 v E S L e 2 7 l Z L d l O A r V 0 T 2 f 3 1 h 0 M q y X T w d 7 e p + P 7 t 9 R K 9 p 1 b x 4 n m j f 3 9 + / f u P x z v f H o 7 1 e R e e / B w l / D b 2 / C a x 9 P v 8 5 r H 3 e a 1 T a L j 8 f f 7 9 O K r L 3 3 v d u r L d L K 9 d / / + g / H + J r r 5 W s z O 0 M 1 v R X j h N p 1 F 2 O G 2 K u 0 9 k I v w w m 0 V 2 8 1 k j k z 9 r e Y y w g P b t 3 n R 1 3 e 3 G Y 2 v 8 t 4 H Q V / 7 3 a q f G A v c p i M P v / 1 Q G X o x 4 + 0 0 1 f 7 N q t B 2 E a p C 1 U C 3 7 m B Y F Z o O b h 8 w 3 v I N j / f N G 7 f 0 z b T 5 M B N 7 D H 9 j W 4 / f b 2 z r 8 f i N b X 3 l d n P j C N P c 1 j e 7 V f v I h N 7 W N 7 t V + / e c T F + F 3 a r 9 + 8 y o r 8 J u b v w + c + r r q p s b 9 + d 0 Q + P + h G 5 o 3 J / N D Q N 0 b e 9 3 1 N E t A s Z A W 9 w i Y L R d h O r o d g G j 6 2 B Y H Z k O P r 1 P q 4 O f 3 k 4 h 3 f o d j 4 v N O 7 d U S d p 8 e B o 8 B r 6 x r c e / N 7 b 1 2 P f G t r 5 K u r l x h H F u q 5 J u 1 T 4 y q b d V S b d q / 5 6 T 6 a u k W 7 V / n x n 1 V d L N j d 9 n T n 2 V d H P j / p x u a N y f 0 A 2 N + 7 O 5 Y Y C u 7 a e + S t r / G u E i 8 v k 3 K S X b S a C U 9 n V 2 b 9 3 B s F I y H e x R F A c + G m Q a j 4 f t O 7 c O F 8 0 b 9 3 c e 3 q e O N j q h H j P b 1 2 h x 9 G B / f G 8 T f h 5 P v 8 9 r H n e b 1 z a J j s f f 7 9 O L r 7 7 0 v d u p L 9 M J R X B 7 + + N b r y y 6 W b 3 x r Q g v 3 K a z C D v c V q W 9 B 3 I R X r i t Y r u Z z J G p v 9 V c R n h g + z Y v + v r u N q P x V d 7 7 I O h r v 1 v 1 E 2 O B 2 3 T k 4 f c g V I Z n L z 5 / d f r 6 l t l 8 r B z c p A c t / F A P 7 r 5 n B 8 N 6 0 H S w t z f e e X g 7 N X j b V z z W N 6 / c 0 j X T 5 s M 8 7 P H 7 j W 0 9 d r + x r c f i N 7 b 1 d d v N j S M 8 c 1 v X 7 F b t I 1 N 6 W 9 f s V u 3 f c z J 9 D X a r 9 u 8 z o 7 4 G u 7 n x + 8 y p r 6 p u b t y f 0 w 2 N + x O 6 o X F / N j c M 0 L U 9 6 G g j l 7 w 6 + / L F 7 V T G / s 0 6 y f Y S 6 q T 9 9 + x g W C e Z D m 6 f v 7 r l G x 4 T m z d u q Z G 0 + f A s e P x 7 Y 1 u P f W 9 s 6 3 H v j W 1 9 j X R z 4 w j f 3 F Y j 3 a p 9 Z E J v q 5 F u 1 f 4 9 J 9 P X S L d q / z 4 z 6 m u k m x u / z 5 z 6 G u n m x v 0 5 3 d C 4 P 6 E b G v d n c 8 M A X d u H H Y 3 0 n v k r B K Y 3 q S P b R a i O b p e / c h 0 M q y P T w X 3 y C + / f 0 k e 6 9 T s e F 5 t 3 b q m S t P n w N H g M f G N b j 3 9 v b O u x 7 4 1 t f Z V 0 c + M I 4 9 x W J d 2 q f W R S b 6 u S b t X + P S f T V 0 m 3 a v 8 + M + q r p J s b v 8 + c + i r p 5 s b 9 O d 3 Q u D + h G x r 3 Z 3 P D A G 3 b + z u + S r r / N f J X g H C D U n K d B E r p v s 7 u r T s Y V E q 2 g 4 c 7 D 8 Y P b 6 e U 7 D u 3 z l / Z N 3 Y f H D z Y 2 6 d 4 b 9 N 7 j p v 9 9 x 7 u 7 h 6 M d 1 Q b 3 6 C n 3 u 8 9 x + D 2 v U 3 S 4 1 j 8 / b r x V J h 5 8 V Y q z P a y v X v w 4 N P x z u 7 t N J l D 7 u a 3 I v x w m 8 4 i L H F L t f Y + y E X Y 4 Z b K 7 R Z k j s z 9 7 S Y z w g X b t 3 r T 0 3 q 3 G o + n + N 4 P R U 8 J 3 q 6 j K B f c p i c P w 9 1 Q K b 5 X H g s v 3 6 Q P L f x Q H y o D 3 b q D Y X 1 o O r i / M 9 7 f l G X 3 e P + 2 r 3 j s b 1 7 Z N B 8 e 3 2 v z Y T 7 2 e P 7 G t h 7 L 3 9 j W 4 / I b 2 / r 6 7 e b G E Z 7 Z K N U R H t j Y P j K l G 9 t H 5 v O 2 u u x W 7 f u z e W s t d j M x 3 2 d K f c 2 1 s X F X W d 3 c u D + n G x r 3 J 3 R D 4 / 5 s b h i g a 7 v X 0 U b v n 8 e 6 v 3 + z T r K 9 h D p p / z 0 7 G N Z J p o N b 5 7 F u + 4 b H x O a N W 2 o k b X 4 r j X R j W 4 9 9 b 2 z r c e + N b X 2 N d H P j C N / c V i P d q n 1 k Q m + r k W 7 V / j 0 n 0 9 d I t 2 r / P j P q a 6 S b G 7 / P n P o a 6 e b G / T n d 0 L g / o R s a 9 2 d z w w B d 2 3 s d j f S e e a z 7 N + e x X B e h O r p d H s t 1 M K y O T A d 7 e 5 / u j 3 d v p 5 B u / Y 7 H x e a d W 6 o k b T 4 8 D R 4 D 3 9 j W 4 9 8 b 2 3 r s e 2 N b X y X d 3 D j C O L d V S b d q H 5 n U 2 6 q k W 7 V / z 8 n 0 V d K t 2 r / P j P o q 6 e b G 7 z O n v k q 6 u X F / T j c 0 7 k / o h s b 9 2 d w w Q N d 2 3 1 d J D 7 5 G H u v B z s 1 K y X Y S K K U H O r u 3 7 m B Y K Z k O N v G L x 7 6 m + c N P 7 + 0 e j A 8 e 3 k 4 j 3 a Y T j 4 f f o x O P k 9 / j L Y + l b 4 O a x 9 T v 0 Y m v s v S 1 2 6 k s 0 8 f 2 b T q J 8 M p t X o t w w K 2 6 i 7 D C b T X Z + 6 A X Y Y b b K r S b S R 2 Z / d v g F O G C 2 5 D M 1 3 K 3 G Y u v 6 N 4 D P V / l 3 a q b r 8 s B 7 r X 7 o Q I 8 l Z R V + u b V 7 Z T T v Z u 1 n + 0 h 1 H 7 3 3 r O D Y e 1 n O t h 9 S M r y 4 f j B w e 2 0 4 P u 8 5 k m A e e 2 W a l C b D 3 O y x / U 3 t v W Y / s a 2 H q f f 2 N b X c j c 3 j n D P b R 2 z W 7 W P T O 1 t H b N b t X / P y f T 1 2 K 3 a v 8 + M + n r s 5 s b v M 6 e + y r q 5 c X 9 O N z T u T + i G x v 3 Z 3 D B A 1 / b T U C 9 9 j e z V g / 2 b d Z P t J d R N + + / Z w b B u M h 0 8 3 L u l V r r d C x 4 L m x d u q Y + 0 + f A c e N x 7 Y 1 u P e W 9 s 6 / H u j W 1 9 f X R z 4 w j X 3 F Y f 3 a p 9 Z D p v q 4 9 u 1 f 4 9 J 9 P X R 7 d q / z 4 z 6 u u j m x u / z 5 z 6 + u j m x v 0 5 3 d C 4 P 6 E b G v d n c 8 M A X d s H H X 3 0 n r m r B z a 1 N K y M b B e h M r r / n h 0 M K y P T w e 7 D g 4 O d n U 0 8 4 7 H w 7 V / y + N i 8 d E u l p M 2 H J 8 J j 4 R v b e h x 8 Y 1 u P g W 9 s 6 y u l m x t H W O e 2 S u l W 7 S P T e l u l d K v 2 7 z m Z v l K 6 V f v 3 m V F f K d 3 c + H 3 m 1 F d K N z f u z + m G x v 0 J 3 d C 4 P 5 s b B u j a H v h K 6 e B r Z K 8 O d m 5 W S 7 a T Q C 0 d 6 O z e u o N h t W Q 6 2 N 0 5 G D / 4 9 H Z a y b y z 9 + B g / 3 Y q y b 6 x e + / e g 0 / H n + 7 d T j W 5 1 z 7 d u b 8 7 P t i E n 8 f T 7 / O a x 9 3 m t U 2 i 4 / H 3 + / T i q y 9 9 7 3 b q y 3 S y v f f p g / v j v U 3 k 9 r W Y x e 3 m t y K 8 c J v O I u x w W 5 V 2 I 3 J R x X a r X v p M c D v F 9 l 5 z G e G B 7 d u 8 6 O u 7 2 4 z G V 3 n v g 6 C v / W 7 V T 5 Q F b t G R h 9 / D U B l + j Y g R q u Q m b W h 7 C b W h M u q t O x j W h q a D + / c / P b i d L r z l G x 7 7 m z c 2 T Y n H 9 9 p 8 m I 8 9 n r + x r c f y N 7 b 1 2 P z G t r 5 + u 7 l x h G 8 2 S n W E A z a 2 j 0 z o x v a R 6 b y t L r t V + / 5 s 3 l q L 3 U z M 9 5 l S X 3 X d 2 N h X V z c 3 7 s / p h s b 9 C d 3 Q u D + b G w Z o 2 3 6 6 0 9 F I 7 x k z H t w c M 7 o u Q n V 0 u 5 j R d T C o j m w H 9 0 g T 3 9 u k i R 0 H 3 / 4 d x 8 X 2 n d u p J N N 8 e B o c A 9 / c 1 v H v z W 0 d + 9 7 c 1 l N J t 2 g c Y Z x b q q T b t Y 9 M 6 i 1 V 0 u 3 a v + d k e i r p d u 3 f Z 0 Y 9 l X S L x u 8 z p 5 5 K u k X j / p x u a N y f 0 A 2 N + 7 O 5 Y Y C u 7 a 6 v k h 5 + j Y j x 4 c 7 N S s l 2 E i g l v P l e H Q w r J d P B J n 7 x 2 N c 0 v 3 W w 6 N 6 4 f / / B Z h X m c b F 5 6 f 6 9 / R v 0 n s f K t 3 / J Y + n b j N 9 j 6 t v 3 4 W s s f e t 2 G s t 0 s X 0 D j X 2 t d c t p 8 R X X r b u J z P 5 t l d d t 0 Y r M / G 3 1 1 8 2 k j U z 2 L W Y v M u f b N 7 / m q 7 T b j M T X a r d H z l d v t + o l N u 0 3 d + P h t h f q u q 8 R E D 7 c v 1 n Z 2 V 5 C Z a e s c + s O h p W d 6 e D W A e F t 3 / B 4 3 r y x a U I 8 f t f m w / z r 8 f q N b T 1 W v 7 G t x + A 3 t v V 1 2 c 2 N I 3 y z U Z o j H L C x f W R C N 7 a P T O d t F d i t 2 v d n 8 9 b a 6 2 Z i v s + U + k r r x s a + q r q 5 c X 9 O N z T u T + i G x v 3 Z 3 D B A 1 / a e p 5 H 2 9 t / f + 9 r b v 4 X 3 Z T v x F R K / + V 4 d D C s k 0 8 H e w 3 v j / Y e 3 U 0 n 2 n V u 7 Y O a N + w 8 e 7 J I T B g E d f M 1 j Z v f a w 0 / 3 H 2 x O 8 3 s 8 / T 6 v e d x t X r u l I / Y + v f j q S 9 + 7 n f o y n W z v 7 T / c G d / f R D d f i 9 k Z u v m t C C / c p r M I O 9 x W p b 0 H c h F e u K 1 i u 5 n M k a m / 1 V x G e G D 7 N i / 6 + u 4 2 o / F V 3 v s g 6 G u / W / U T Y 4 H b d O T h t x 8 q w / d 3 z / b 2 9 2 / W h r a X U B u q E r p 1 B 8 P a 0 H R w e / f s l m 9 4 7 G / e u K V 7 p s 2 H + d j j + R v b e i x / Y 1 u P z W 9 s 6 + u 3 m x t H + O a 2 7 t m t 2 k c m 9 L b u 2 a 3 a v + d k + l r s V u 3 f Z 0 Z 9 L X Z z 4 / e Z U 1 9 d 3 d y 4 P 6 c b G v c n d E P j / m x u G K B r e 7 + j k d 4 v X 7 + 3 f 4 t 8 v e 0 i V E e 3 y t d 7 H Q y r I 9 P B p w c P x j u b N L H H w b d + x + N i 8 8 4 t V Z I 2 H 5 4 G j 4 F v b O v x 7 4 1 t P f a 9 s a 2 n k m 7 R O M I 4 t 1 V J t 2 o f m d T b q q R b t X / P y f R V 0 q 3 a v 8 + M + i r p 5 s b v M 6 e + S r q 5 c X 9 O N z T u T + i G x v 3 Z 3 D B A 1 / Z T X y V 9 + j U i x k 9 3 b l Z K t p N A K X 2 q s 3 v r D o a V k u n g / v 7 e e O / B 7 Z S S e e f 2 E a N 5 Y 3 f n 0 w c 7 + / v j T 2 + n m r z X H u 4 d f D q + d 2 / D e x 5 T v 9 d 7 H n + b 9 z Y J j 8 f h 7 9 W N r 8 H 0 x d t p M N P L 9 t 4 e Z V g f b O w j w j m 3 e C v C D r f p L M I R t 9 V q 7 4 F c h B 1 u q 9 t u J n N k 7 m 8 3 m R E u 2 L 7 V m 7 7 S u 8 1 4 f L 3 3 X i j 6 O v B W H c W 4 4 F Y 9 e R g + C H X i 1 w g c 4 R X e p B R t L 6 F S V F 1 0 6 w 6 G l a L p 4 P a B 4 y 3 f 8 E T A v H F L L 0 2 b D / O y x / c 3 t v X Y / s a 2 H q f f 2 N b X c T c 3 j v D N b b 2 0 W 7 W P T O h t v b R b t X / P y f Q 1 2 a 3 a v 8 + M + p r s 5 s b v M 6 e + w r q 5 c X 9 O N z T u T + i G x v 3 Z 3 D B A 1 / a g o 5 H e M 3 C E R 3 i T O r J d h O r o d o G j 6 2 B Y H Z k O d v c + f T j e + f R 2 G u n 2 L 3 l 8 b F 6 6 p V L S 5 s M T 4 b H w j W 0 9 D r 6 x r c f A N 7 b 1 l d L N j S O s c 1 u l d K v 2 k W m 9 r V K 6 V f v 3 n E x f K d 2 q / f v M q K + U b m 7 8 P n P q K 6 W b G / f n d E P j / o R u a N y f z Q 0 D d G 0 f + k r p w d c I H R / s 3 K y W b C e B W s K b 7 9 X B s F o y H T z c H 9 / b v 5 1 S M q / c P n I 0 b + w e 7 D 8 8 u C F W 8 H j Z v f b g 0 w e 7 4 3 s P N 7 z m s f T 7 v O Y x t 3 l t k + R 4 7 P 0 + v f j a S 9 + 7 n f Y y n W z v f X r w c A y X f r i P C N f c 4 q 0 I K 9 y m s w g 7 3 F a j v Q d y E V 6 4 r V 6 7 m c y R q b / V X E Z 4 Y P s 2 L / r q 7 j a j 8 T X e + y D o K 7 9 b 9 R N j g d t 0 5 P C D o v F 1 4 d m L z 1 + d v r 6 l d / Z g 9 0 Y 1 6 O C H a n D 3 P T s Y V I O 2 g 9 3 7 4 4 1 K z f H 9 r V 9 x r G 9 f 2 T Q d j u d N 8 2 E e d v x + c 1 v H 7 j e 3 d S x + c 1 t P t 9 2 i c Y R n N k p 0 h A c 2 t o 9 M 6 c b 2 k f m 8 p R 6 7 X f v + b N 5 W g 9 2 C m O 8 z p Z 7 a u r m x p 6 p u 0 b g / p x s a 9 y d 0 Q + P + b G 4 Y o G u 7 2 9 F G 7 5 / A e r B / s 0 6 y v Y Q 6 S V X B r T s Y 1 k m m g 0 8 f Y g 1 g k G c 8 F r 7 l G x 4 T m z d u q Z G 0 + f A s e P x 7 Y 1 u P f W 9 s 6 3 H v j W 1 9 j X R z 4 w j f 3 F Y j 3 a p 9 Z E J v q 5 F u 1 f 4 9 J 9 P X S L d q / z 4 z 6 m u k m x u / z 5 z 6 G u n m x v 0 5 3 d C 4 P 6 E b G v d n c 8 M A X d u 9 j k Z 6 z w T W g 5 s T W K 6 L U B 3 d L o H l O h h W R 6 a D v X u f j g 8 O b q e Q B t / Z o J L M O 7 d U S d r 8 V i r p x r Y e / 9 7 Y 1 m P f G 9 v 6 K u n m x h H G u a 1 K u l X 7 y K T e V i X d q v 1 7 T q a v k m 7 V / n 1 m 1 F d J N z d + n z n 1 V d L N j f t z e j u V d H P j / m z e S i X d 8 1 X S w d d I X x 3 s 3 K y U b C e B U j r Q 2 b 1 1 B 8 N K y X S w e 3 8 M t h 7 k G Y + F z S u 3 T l + 5 N w 4 e 3 t 8 b P 7 y d X j I v 3 d t 9 s E c p r w c b 3 v L 4 + T 3 e 8 h j b v L V J a j z W f o 9 O f M W l r 9 1 O c Z k + t v c e f H o w P t j Y R 4 R h b v F W h A t u 0 1 m E E 2 6 r z N 4 D u Q g j 3 F a l 3 U z m y M z f Z i o j H L B 9 i / d 8 P X e b s f i q 7 j 3 Q 8 5 X e r b q J z f 8 t + v G w 2 w 9 V 4 N e I E 6 F B b t K B t p d Q B 6 r u u X U H w z r Q d H D / P t Y v B g f u M f 4 t 3 / B Y 3 7 x x S 6 d M m w / z s M f v N 7 b 1 2 P 3 G t h 6 P 3 9 j W 1 2 0 3 N 4 7 w z W 2 d s l u 1 j 0 z o b Z 2 y W 7 V / z 8 n 0 N d i t 2 r / P j P o a 7 O b G 7 z O n v r K 6 u X F / T j c 0 7 k / o h s b 9 2 d w w Q N f 2 f k c j v W e c e H C L O N F 2 E a q j 2 8 W J r o N h d W Q 6 u L 8 z v r d 3 O 3 1 0 2 1 c 8 H j a v 3 F I h a f P h S f D Y 9 8 a 2 H v f e 2 N Z j 3 h v b + g r p 5 s Y R t r m t Q r p V + 8 i U 3 l Y h 3 a r 9 e 0 6 m r 5 B u 1 f 5 9 Z t R X S D c 3 f p 8 5 9 R X S z Y 3 7 c 7 q h c X 9 C N z T u z + a G A b q 2 n / o K 6 e H X i B I f 7 t y s k m w n g U p 6 q L N 7 6 w 6 G V Z L p Y H e 8 e 0 u N Z N 6 4 f Z B o + 7 j 3 c H 9 8 7 3 Z a y b y z v / v g w R g 8 O P i S x 8 y 3 f 8 l j a v P S J o n x 2 P r 2 f f g 6 S 9 + 6 n c 4 y X V D M d r C 3 O a H o q y 5 v Y m 5 6 K 8 I A t + k s w g W 3 1 W P v g V y E C 2 6 r z W 4 m c 2 T i b z G T k f n f v v k 1 X 8 H d Z i S + j r s 9 c r 6 y u 1 U v s c m / u R s P t w e h 5 v s a w e H D / Z t V n + 0 l V H 2 q c 2 7 d w b D q M x 3 c P j i 8 5 R s e 2 5 s 3 N k 2 I x + / a f J h / P V 6 / s a 3 H 6 j e 2 9 R j 8 x r a + X r u 5 c Y R v N k p z h A M 2 t o 9 M 6 M b 2 k e m 8 r Q 6 7 V f v + b N 5 a e 9 1 M z P e Z U l 9 p 3 d j Y V 1 U 3 N + 7 P 6 Y b G / Q n d 0 L g / m x s G 6 N o e d D T S e w a H D 2 8 R H N o u Q n V 0 u + D Q d T C s j k w H l E b / 9 H b q 6 J Z v e B x s 3 r i l O t L m w 1 P g M e + N b T 3 e v b G t x 7 o 3 t v X V 0 c 2 N I 0 x z W 3 V 0 q / a R C b 2 t O r p V + / e c T F 8 d 3 a r 9 + 8 y o r 4 5 u b v w + c + q r o 5 s b 9 + d 0 Q + P + h G 5 o 3 J / N D Q N 0 b R 9 6 6 u j e z n s 6 S F A Y 9 3 b 2 b 9 Z I t h d f I / G b m N 7 N G s n r Y F g j m Q 5 2 7 4 9 3 D m 6 n k m 7 7 i s f G 5 p V b 6 i R t P j w P H g f f 2 N Z j 4 B v b e v x 7 Y 1 t f J 9 3 c O M I 5 t 9 V J t 2 o f m d L b 6 q R b t X / P y f R 1 0 q 3 a v 8 + M + j r p 5 s b v M 6 e + T r q 5 c X 9 O N z T u T + i G x v 3 Z 3 D B A 2 / Z g x 9 d J u + + f r r o H n r 5 B J b l O A p W 0 q 7 N 7 6 w 4 G V Z L t Y B O / O P a 9 V X P H v b b 5 / f 3 x / U 3 Z M M f A t 3 7 F 8 f C t X 3 G c f K t x O F 6 + d Q + e m j L v 3 E p N 3 Q o f T 0 3 d r v 1 7 T r O n p m 7 X P j L R t 1 R T t 2 v f n + J b q a n b z 1 Z k h r d v e s n T W r c a h a e 4 b o 2 Y p 7 9 u 1 0 d k p m 8 c i I f X r q / K 9 r + G K t v f u V m V 2 U 4 C V b a v 4 7 p 1 B 8 O q z H R w b 2 8 M 5 3 J w 4 B 6 b m 1 d u n X q 3 b 3 x K 8 f S n 4 / u b + v H Y 3 b 7 1 6 f 2 9 B + N N L 3 k 8 f / u X P N 4 3 L 2 1 i F 4 / t b 9 + H r 9 r 0 r d u p N t M F 5 c P v 7 4 7 3 N r J k h F 1 u 8 V a E B 2 7 T W Y Q P b q v u 3 g O 5 C B f c V u n d T O b I x N 9 i J i P z v 3 3 z a 7 7 i u 8 1 I f M V 3 e + R 8 1 X e r X m K T f 3 M 3 H m 5 7 o f J 7 / + T 7 v f 3 9 m 7 W f 7 S X U f q p 1 b t 3 B s P Y z H d z f N Q H r T c r v l m 9 4 b G / e 2 D Q h H r 9 r 8 2 H + 9 X j 9 x r Y e q 9 / Y 1 m P w G 9 v 6 e u 3 m x h G + 2 S j N E Q 7 Y 2 D 4 y o R v b R 6 b z t j r s V u 3 7 s 3 l r 7 X U z M d 9 n S n 2 l d W N j X 1 X d 3 L g / p x s a 9 y d 0 Q + P + b G 4 Y o G t 7 r 6 O R 3 i / 5 f m / / 5 u S 7 6 y J U R 7 d K v n s d D K s j 0 8 H 9 v Y f j + 5 / e T i H d + h 2 P i 8 0 7 t 1 R J 2 n x 4 G j w G v r G t x 7 8 3 t v X Y 9 8 a 2 v k q 6 u X G E c W 6 r k m 7 V P j K p t 1 V J t 2 r / n p P p q 6 R b t X + f G f V V 0 s 2 N 3 2 d O f Z V 0 c + P + n G 5 o 3 J / Q D Y 3 7 s 7 l h g K 7 t v q + S 7 r + 3 S r p / C 5 V k u w h U 0 v 3 b q S T X w b B K M h 0 8 G D / Y 5 L F 7 / H v L N z w O N m / c U h 1 p 8 + E p 8 J j 3 x r Y e 7 9 7 Y 1 m P d G 9 v 6 6 u j m x h G m u a 0 6 u l X 7 y I T e V h 3 d q v 1 7 T q a v j m 7 V / n 1 m 1 F d H N z d + n z n 1 1 d H N j f t z u q F x f 0 I 3 N O 7 P 5 o Y B u r b 3 f X X 0 4 G s k r B 7 s 3 K y Q b C e B Q n q g s 3 v r D o Y V k u n g 0 4 e f P t j d 2 6 e U 0 h i k H u Q d j 5 X d q w 8 + 3 f t 0 / 8 H 9 T 8 c 7 q i m j r 3 p c b V 6 9 9 + D T e w 9 3 7 9 8 b 7 2 / S b R 5 7 m x f 3 P 3 3 w 4 O H e g 7 3 x 3 q c b X v T 4 / P 1 e 9 H j e v L h J o D y u f 7 9 + f L W m b 9 5 O r Z l u t h / u 7 u / s 7 h 6 M w b r D 3 U Q 4 6 n Y v R j j l l l 1 G G O W 2 O u / 9 U I x w x 2 2 V 3 8 0 k j z D C L W c 2 5 A m h 3 O 1 e 9 f X i b U b k q 8 b 3 Q 9 L X k 7 f q K c Y O t + v K w / H T U H G e v f j 8 1 e n r W z p x D 3 Z v 1 p k W f q g z V a v d u o N h n W k 6 2 N 1 5 8 P D T h 7 v 3 9 v Y e 3 l p p + u 8 + 2 L 1 P O X 9 6 9 + B 2 W t O 8 e 0 v H z j T f 2 9 / / d G 9 n v P P g d p r y f V 7 z x O M 2 y H k y 8 T 6 9 + F p S 3 7 u d l j S d b N + q l w g L 3 e q 9 C G f c r s M I W 9 x W R b 4 X g h G e u K 2 G v J n c E R a 4 F V I R X r g V 1 X z t e J v R + N r x f R D 0 d e O t + v n a b O D e e x B q x l N R j O n J t 0 9 / 4 q v T 2 6 m v v Z v 1 o + 0 l 1 I / q g d 2 6 g 2 H 9 a D o g l 3 D 3 H r 2 0 s z N + c O 9 2 6 t F 7 F R H 1 w 0 9 3 x z u 3 D H v N q 9 v 7 D z / d o + W E v b F J J d 6 k K N 2 b 9 x 8 S s g d 7 Y 4 j M 4 J u e e J g 3 N z G G J y B 2 d L f q x 5 O Q 9 8 T Q V 5 j 6 6 u 0 U p u 2 H 5 n n n 4 a c 7 4 7 2 H t 9 S Y 5 s 3 b v R h h l l t 2 G e G V 2 + r M 9 0 M x w h + 3 V Z o 3 k z z C E 7 e d 2 g h X 3 O 5 N X 3 G + Z 6 e + D r 0 N M X z d + Z 5 I R j h j I 9 l d 8 4 O 4 8 n z z 6 n Z 6 7 d 7 N i t P 2 E C p O V W 2 3 7 m B Y c Z o O S P c 9 f P j p / U 9 3 7 2 1 c Q P Z k 4 T 3 f 9 K T C v H l L p 1 K b D / O 2 J w c 3 t v X E 4 M a 2 H t / f 2 N b X f z c 3 j v D Q R p a L c M T G 9 p E J 3 t g + M q 2 3 V X G 3 a t + f z V t r t p u J + T 5 T 6 u u y G x v 7 6 u v m x v 0 5 3 d C 4 P 6 E b G v d n c 8 M A X d u H o X Y 6 + 8 n j 9 P d J T 7 7 8 4 u z 1 2 Z c v b q d A 9 m / W U L a X U E P t v 2 c H w x r K d L C 3 g 1 T h / v 7 4 w S Y j 6 n H y + 7 3 o s b R 5 8 Z b 6 S Z s P z 4 n H z T e 2 9 Z j 5 x r Y e L 9 / Y 1 t d P N z e O c N F t 9 d O t 2 k e m 9 7 b 6 6 V b t 3 3 M y f f 1 0 q / b v M 6 O + f r q 5 8 f v M q a + f b m 7 c n 9 M N j f s T u q F x f z Y 3 D N C 2 f b j T 0 U / v u b j 6 4 P 6 N y s l 1 E S o n D d J u 3 c G g c r I d 3 N u 7 f + / e / Z 3 x v d s t s b 7 f e 4 6 b 7 X u 3 U 0 2 m + f B 0 O E a + u a 3 j 4 5 v b O j a + u a 2 n m m 7 R O M J A t 1 R N t 2 s f m d x b q q b b t X / P y f R U 0 + 3 a v 8 + M e q r p F o 3 f Z 0 4 9 1 X S L x v 0 5 3 d C 4 P 6 E b G v d n c 8 M A X d t d X z U 9 / B o L r e j t J u V k O w m U E 9 5 8 r w 6 G l Z P p 4 N N P x 7 u q 8 q I D 9 1 j Y v L L 3 Y O M K m M f E 5 o 3 d v Y e U Q R u D p Q Z f 8 3 j Z v n Z v b / f h v f H O p m S d x 9 L v 8 5 r H 3 O a 1 T Z L j s f f 7 9 O J r L 3 3 v d t r L d L K 9 9 2 D 3 w f h g 0 w T 5 S s z N 0 I 1 v R V j h N p 1 F 2 O G 2 G u 0 9 k I v w w m 3 1 2 s 1 k j k z 9 r e Y y w g P b t 3 n R V 3 e 3 G Y 2 v 8 d 4 H Q V / 5 3 a q f G A v c p i M P v 7 1 Q F 3 6 N M P L h / s 3 K 0 P Y S K k N V Q r f u Y F g Z m g 7 u 3 / 9 0 k 4 r y m P + W b 3 j s b 9 7 Y N C U e 3 2 v z Y T 7 2 e P 7 G t h 7 L S 9 v b e W c 3 t v X 1 2 8 2 N I 3 y z U a o j H L C x f W R C N 7 a P T O d t d d m t 2 v d n 8 9 Z a 7 G Z i v s + U + q r r x s a + u r q 5 c X 9 O N z T u T + i G x v 3 Z 3 D B A 1 / Z e R y O 9 Z + D 4 8 B a B o + 0 i V E e 3 C x x d B 8 P q y H R A y n i 8 S R F 7 D H z b V z w e N q / c U i F p 8 + F J 8 N j 3 x r Y e 9 9 7 Y 1 m P e G 9 v 6 C u n m x h G 2 u a 1 C u l X 7 y J T e V i H d q v 1 7 T q a v k G 7 V / n 1 m 1 F d I N z d + n z n 1 F d L N j f t z u q F x f 0 I 3 N O 7 P 5 o Y B u r b 7 n k L a 3 3 n / c H F / Z + d m l W Q 7 8 V U S v / l e H Q y r J N M B u T v 3 9 8 b 3 b 6 m V / L d 2 x j u 7 t 1 N M 5 q 0 b + v G 4 2 b x x Q x 8 e P 9 / y D Y + p 7 R s b m n t s f c s O f I W l r 9 x O Y X l E 2 r u l z j K v b N / 0 T m T e b 6 u 3 b o t W Z L p v q 7 p u P Y z + d N 9 O f d 1 2 6 i K z v X 3 D O 7 4 u u 8 2 4 f X V 2 S 7 R 8 p X a r L i K z f d M w P K z u h + r t 7 M X n r 0 5 f 3 8 7 Z 2 k c f N 2 k 2 C z / U b I r d r T s Y 1 m y m g 9 3 d e w + M w r x J r 9 3 6 H Y / N z T u 3 d L e 0 + T D H e t x 9 Y 1 u P u W 9 s 6 3 H 1 j W 1 9 7 X V z 4 w j X 3 N b d u l X 7 y K T e V m 3 d q v 1 7 T q a v s 2 7 V / n 1 m 1 N d X N z d + n z n 1 V d T N j f t z u q F x f 0 I 3 N O 7 P 5 o Y B u r a f h v r o V N R R + u b V 7 R T G v Z s 1 k u 0 h 1 E j q q t y 6 g 2 G N Z D q 4 U b t 4 D H z r d z w m N u / c U i N p 8 + F Z 8 P j 3 x r Y e + 9 7 Y 1 u P e G 9 v 6 G u n m x h G + u a 1 G u l X 7 y K T e V i P d q v 1 7 T q a v k W 7 V / n 1 m 1 N d I N z d + n z n 1 N d L N j f t z u q F x f 0 I 3 N O 7 P 5 o Y B u r Y P Q o 3 0 / j n y / Z 3 9 m 7 W S 7 S X U S v v v 2 c G w V j I d k G u 4 y e v 2 W P i W b 3 h M b N + 4 n U b S 5 s O z 4 P H v j W 0 9 9 r 2 x r c e 9 N 7 b 1 N d L N j S N 8 c 1 u N d K v 2 s Q m 9 p U a 6 V f v 3 n E x f I 9 2 q / f v M q K + R b m 7 8 P n P q a 6 S b G / f n d E P j / o R u a N y f z Q 0 D d G 0 P O h r p / X L k + z v 3 b 1 Z H t o t Q H d 1 / z w 6 G 1 Z H p 4 N P x p 6 r j o q P 2 + P e W b 3 g c b N 6 4 p T r S 5 s N T 4 D H v j W 0 9 3 r 2 x r c e 6 N 7 b 1 1 d H N j S N M c 1 t 1 d K v 2 k Q m 9 r T q 6 V f v 3 n E x f H d 2 q / f v M q K + O b m 7 8 P n P q q 6 O b G / f n d E P j / o R u a N y f z Q 0 D d G 0 f + u p o 9 2 t k y M H T N y k k 2 0 m g k P D m e 3 U w r J B M B 5 v 4 x W N f 0 3 z v w c E t t Z F 9 4 / 6 D T + + P 7 6 k q j b 7 l s b F 9 6 + D + / k P 7 1 k 3 q 6 T 3 e 8 r j 6 N i T w + P o 9 O v G 1 l r 5 2 O 6 1 l + t i + g c 6 + 5 r r l 1 P j K 6 9 b d R D j g t g r s t m h F J v + 2 O u x m 0 k Z m + z b T F 5 n 1 7 V u 8 5 y u 2 2 4 z F 1 2 3 v g Z 6 v 5 W 7 V T X T m b + 7 H Y s d L b r 7 O + x p B I V h p s 9 L z e g m V n r L P r T s Y U n q u g / u 0 w n c b v X f r N y z f u z c 2 z Y j l e d t 8 m I c t v 9 + i r W X 3 W 7 S 1 P H 6 L t k 6 f 3 a Z x h G 8 2 S n S E A z a 2 j 0 z o x v a R 6 b y d E r t l + / 5 s 3 l K D 3 Y a Y 7 z O l T m / d o r F T V r d p 3 J / T D Y 3 7 E 7 q h c X 8 2 N w z Q t d 3 1 N d L e 1 / D C M P 6 b F J L t J F B I e P O 9 O h h W S K a D e z v 3 D h 7 s b 1 7 F 9 N j Y v f b p z s O D 8 b 1 b 5 a v 8 1 8 Y P N / X k M b R 5 Z W / v / v 3 x 3 q Z + P K 6 + / U s e d 5 u X N o m O x 9 + 3 7 8 N X X v r W 7 Z S X 6 W J 7 b 2 9 v f 3 x v E 8 V 8 H e Y w u / G t C C f c p r M I J 9 x W o b 0 H c h E u u K 1 a u 5 n M k Y m / x U x G 5 n / 7 5 t d 8 T X e b k f j K 7 v b I + V r v V r 3 E J / 9 G G r i 3 9 k I V e P Z C F g 9 v p 5 x 2 b 9 Z + F n 6 o / Z R p b t 3 B s P Y z H X y 6 8 + D T g / v j B 7 d K 1 L / f a x 7 r m 9 c 2 T Y r H 8 9 p 8 m I c 9 f r + x r c f u N 7 b 1 m P z G t r 5 u u 7 l x h H c 2 S n S E F z a 2 j 0 z t x v a R O b 2 t H r t V + / 5 s 3 l q D 3 U z M 9 5 l S X 3 H d 2 N h X V z c 3 7 s / p h s b 9 C d 3 Q u D + b G w b o 2 t 4 L t d K p K K X 0 z a v b q Y 1 7 N + s l 2 0 O o l + 6 9 Z w f D e s l 0 o A r m d h n 7 9 3 v N Y 2 X z 2 i 3 1 k j Y f n g u P i 2 9 s 6 z H x j W 0 9 H r 6 x r a + X b m 4 c 4 Z 7 b 6 q V b t Y 9 M 7 W 3 1 0 q 3 a v + d k + n r p V u 3 f Z 0 Z 9 v X R z 4 / e Z U 1 8 v 3 d y 4 P 6 c b G v c n d E P j / m x u G K B r u x / q p a + R w t r b v 1 k 3 2 V 5 C 3 a S q 4 N Y d D O s m 0 8 H + f Y j N I M 9 4 L H z L N z w m N m / c U i N p 8 + F Z 8 P j 3 x r Y e + 9 7 Y 1 u P e G 9 v 6 G u n m x h G + u a 1 G u l X 7 y I T e V i P d q v 1 7 T q a v k W 7 V / n 1 m 1 N d I N z d + n z n 1 N d L N j f t z u q F x f 0 I 3 N O 7 P 5 o Y B u r b 3 O x r p x Z v 0 8 + M X x 0 9 v G 8 L d v 1 k d 2 S 5 C d a R Z / 1 t 3 M K y O T A c H D 8 a 3 T a n f 9 h W P h 8 0 r t 1 R I 2 n x 4 E j z 2 v b G t x 7 0 3 t v W Y 9 8 a 2 v k K 6 u X G E b W 6 r k G 7 V P j K l t 1 V I t 2 r / n p P p K 6 R b t X + f G f U V 0 s 2 N 3 2 d O f Y V 0 c + P + n G 5 o 3 J / Q D Y 3 7 s 7 l h g K 7 t p 7 5 C u v 8 1 c u r 3 d 2 5 W S b a T Q C X d 1 9 m N d x D p Y F g l m Q 7 u P d j 9 d L z 3 8 H Z K y b z 0 6 a f 3 9 s f 3 P 7 2 d W j I v 7 Y z B 3 4 N v e L x s 3 t h 7 u H s w 3 t / b 8 J L H 0 L d / y W N s i 9 u G 5 h 5 r 3 7 4 P X 2 / p W 7 f T W 6 a L b e 5 j 7 8 E t 1 V e A 2 e a 3 I k x w m 8 4 i b H B b X f Y e y E W 4 4 L Y a 7 W Y y R y b + F j M Z m f / t m 1 / z l d x t R u L r u d s j 5 y u 8 W / U y O P m b a e D e e h B q v / d K p 9 + / R T r d w g 8 V 3 + 3 S 6 a 6 D Y c V n O n i w f 2 9 3 f O + W 3 t j t X / L Y 3 r x 0 S 3 9 M m w / z r 8 f r N 7 b 1 W P 3 G t h 6 D 3 9 j W 1 2 s 3 N 4 7 w z W 3 9 s V u 1 j 0 z r b f 2 x W 7 V / z 8 n 0 t d e t 2 r / P j P r a 6 + b G 7 z O n v q q 6 u X F / T j c 0 7 k / o h s b 9 2 d w w Q N f 2 I N R I 7 5 l K v 3 / v Z p 1 k e w h 1 0 r 3 3 7 G B Y J 5 k O H j z Y 2 R 3 v b t L E H g f f / i W P j c 1 L t 9 R J 2 n x 4 H j w O v r G t x 8 A 3 t v X 4 9 8 a 2 v k 6 6 u X G E c 2 6 r k 2 7 V P j K t t 9 V J t 2 r / n p P p 6 6 R b t X + f G f V 1 0 s 2 N 3 2 d O f Z 1 0 c + P + n G 5 o 3 J / Q D Y 3 7 s 7 l h g K 7 t w 1 A n f Y 0 0 + v 3 9 m / W S 7 S X U S / v v 2 c G w X j I d 3 L 9 / 2 7 T V L d / w m N i 8 c U u N p M 2 H Z 8 H j 3 x v b e u x 7 Y 1 u P e 2 9 s 6 2 u k m x t H + O a 2 G u l W 7 S M T e l u N d K v 2 7 z m Z v k a 6 V f v 3 m V F f I 9 3 c + H 3 m 1 N d I N z f u z + m G x v 0 J 3 d C 4 P 5 s b B m j b g i M D j f S e a f T 7 9 2 9 U R 6 6 L U B 1 p 0 u f W H Q y q I 9 v B 7 n j v d j 7 S b d 9 w H G z f u J 0 6 M s 2 H p 8 A x 7 8 1 t H e / e 3 N a x 7 s 1 t P X V 0 i 8 Y R p r m l O r p d + 8 i E 3 l I d 3 a 7 9 e 0 6 m p 4 5 u 1 / 5 9 Z t R T R 7 d o / D 5 z 6 q m j W z T u z + m G x v 0 J 3 d C 4 P 5 s b B u j a 7 v r q 6 N O v k U T / d O d m h W Q 7 C R Q S 3 n y v D o Y V k u n g 3 r 1 7 u 3 v 3 x g e 3 U 0 r 2 r U / v 7 3 7 6 6 a c P b 7 v A Z 1 + k X 8 c P d 2 + n o F x n u w f 3 P q X V x A c P N 7 z o 8 f b 7 v e j x u X l x k x B 5 n P 5 + / f i q T N + 8 n S o z 3 W x z P / f 3 7 4 8 P N l H d 1 2 o B h j e / G e G P 2 3 Y a Y Z L b q r r 3 R D L C I b d V e j e T P c I M t 5 z d C F 9 s 3 + 5 V X x / e Z k S + S n w / J H 3 9 e K u e B h n i x q 4 8 H P d C h f l e e f d P d 2 / W l R Z + q C t V y 9 y 6 g 2 F d a T r 4 d P / h w w f 7 t 9 O U t 3 7 H E w T z z q Y p 8 b h f m w 9 z s 8 f 5 N 7 b 1 G P / G t h 6 r 3 9 j W 1 3 o 3 N 4 5 w z U b Z j n D B x v a R S d 3 Y P j K h t 9 V q t 2 r f n 8 1 b 6 7 K b i f k + U + q r r x s b + w r r 5 s b 9 O e 0 3 t o 3 7 E 7 q h c X 8 2 N w z Q t b 0 X 6 i O T d T / 5 9 u l P f H V 6 O 6 W x d 7 N W s r 2 E W m n v P T s Y 1 k q m g 3 u 0 C L q 7 t 3 9 v / O m D 2 6 k m 8 + L u / s M H D / b 3 9 s e K 0 0 3 q y b x 3 S / V k m m / v P n h 4 7 9 7 B 7 s P x / i Y E P d a + T U c e c 9 v x 3 K o f j 9 H f E 0 N f l e m r t 1 N l 7 4 e g r 9 T e F 8 M I e 9 x W v 7 0 n k u / J F 7 6 m e 9 9 B 9 T n j d k r v f f u J c M b t 3 v T 1 4 X t 2 6 m v H 2 9 D R V 5 D v i e T 7 8 o Z r v h 9 X m L d c p v z 0 3 s 3 K 0 v Y Q K s t 7 7 9 n B s L I 0 H e z v 7 O 5 + + u D e p 2 N k I A f H 7 o n F + 7 3 o S Y V 5 8 Z b a U p s P c 7 Y n B T e 2 9 Y T g x r Y e 1 9 / Y 1 t e A N z e O c N B t n b l b t Y 9 M 7 2 2 V 3 a 3 a v + d k + i r u V u 3 f Z 0 Z 9 v X Z z 4 / e Z U 1 9 5 3 d y 4 P 6 c b G v c n d E P j / m x u G K B r e z / U T V 9 j u f L T / Z v 1 k + 0 l 1 E / 7 7 9 n B s H 4 y H X z 6 6 d 7 u 5 q S a x 8 W 3 f 8 l j Z f P S L f W S N h + e C 4 + L b 2 z r M f G N b T 0 e v r G t r 5 d u b h z h n t v q p V u 1 j 0 z r b f X S r d q / 5 2 T 6 e u l W 7 d 9 n R n 2 9 d H P j 9 5 l T X y / d 3 L g / p x s a 9 y d 0 Q + P + b G 4 Y o G v 7 a U c v v e e i 5 a f 3 b 1 Z K t o t Q K d 1 / z w 6 G l Z L p Y G 9 v / + B g v H 9 L r f Q e b 3 m c b N 6 6 p V r S 5 s N T 4 T H x j W 0 9 H r 6 x r c f C N 7 b 1 1 d L N j S P M c 1 u 1 d K v 2 k Y m 9 r V q 6 V f v 3 n E x f L d 2 q / f v M q K + W b m 7 8 P n P q q 6 W b G / f n d E P j / o R u a N y f z Q 0 D d G 0 f + G r p w d d Y v H y w c 7 N i s p 0 E i u m B z u 6 t O x h W T K a D 3 f 2 d n Z 3 x P d V 4 0 b F 7 X G z f e n B v Z 3 e 8 8 + n t F J N 9 a + f T 8 Y N N m T K P n 8 0 7 9 / Z 3 H o z 3 N Y q 9 S U 3 d / i W P u c 1 L m y T H Y + / b 9 + H r L n 3 r d r r L d L F 9 7 x 7 N z Q N d h b l R h V n M b n 4 r w g i 3 6 S z C C b f V Z + + B X I Q L b q v V b i Z z Z O J v M Z O R + d + + + T V f 0 d 1 m J L 6 u u z 1 y v t K 7 V S / R y b + x G w + 3 g 1 A D v t d q J K b + J u V n 4 Y f K T 5 n m 1 h 0 M K z / T w d 4 B K b / b a b 7 b v u K x v H n l l v 6 Y N h / m X Y / P b 2 z r s f m N b T 3 m v r G t r 9 N u b h z h m Y 2 S H O G B j e 0 j U 7 q x f W Q + b 6 u / b t W + P 5 u 3 1 l w 3 E / N 9 p t R X W D c 2 9 t X U z Y 3 7 c 7 q h c X 9 C N z T u z + a G A b q 2 D 0 N t 9 J 6 p 9 Q e 3 S K 3 b H k J 9 d L v U u u t g W B + Z D v b v 3 b + / O 8 b o B 3 n G Y + H 3 e M t j Z P P W L b W S N h + e C Y + H b 2 z r s f C N b T 0 O v r G t r 5 V u b h z h n d t q p V u 1 j 0 z s b b X S r d r H J 3 O 4 f X 8 2 b 6 2 V b i b m + 0 y p r 5 V u b O x r p Z s b 9 + d 0 Q + P + h G 5 o 3 J / N D Q O 0 b Y G 9 r 5 W + R l L 9 w f 6 N m s n 1 E m q m / f f s Y F A z 2 Q 4 + 3 X / 4 6 a 2 0 0 m 3 f c E x s 3 7 i d R j L N h 2 f B 8 e / N b R 3 7 3 t z W c e / N b T 2 N d I v G E b 6 5 p U a 6 X f v I h N 5 S I 9 2 u / X t O p q e R b t f + f W b U 0 0 i 3 a P w + c + p p p F s 0 7 s / p h s b 9 C d 3 Q u D + b G w b o 2 u 5 2 N N J 7 p t M f 3 J x O d 1 2 E 6 u h 2 6 X T X w b A 6 M h 3 s f X o w v q 9 a L j p u j 4 N v / Y 7 H x e a d W 6 o k b T 4 8 D R 4 D 3 9 j W 4 9 8 b 2 3 r s e 2 N b X y X d 3 D j C O L d V S b d q H 5 n U 2 6 q k W 7 V / z 8 n 0 V d K t 2 r / P j P o q 6 e b G 7 z O n v k q 6 u X F / T j c 0 7 k / o h s b 9 2 d w w Q N d 2 z 1 N J 9 / f f P 5 V + f 3 / n Z q V k O / G V E r / 5 X h 0 M K y X T w c 5 4 9 3 Y a y b y w e 3 D v 0 z E 4 e / A l j 4 t t L 7 d T S U E f O 5 v 6 8 D j 5 9 i 9 5 H H 0 b x D y e v n 0 f v s L S t 2 6 n s E w X 2 7 f o I 8 I o t 3 g r M v u 3 6 S z C A 7 d V Y u + B X I Q L b q v K b i Z z Z O J v g V J k / m 9 B L 1 + 7 3 W Y k v o K 7 P X K + p r t V L 1 9 z 8 t 1 b 9 0 K 1 9 / 6 x 4 f 3 9 / Z v 1 n u 0 l 1 H u K 4 6 0 7 G N Z 7 p o N 7 n z 7 Y G + 8 d 3 E 7 3 3 f 4 l j / n N S 7 f U f d p 8 m I s 9 j r + x r c f w N 7 b 1 2 P z G t r 5 2 u 7 l x h H t u 6 4 7 d q n 1 k W m / r j t 2 q / X t O p q / D b t X + f W b U 1 2 E 3 N 3 6 f O f U V 1 s 2 N + 3 O 6 o X F / Q j c 0 7 s / m h g G 6 t v s d v f R + E e L 9 / V t E i L a L U C n d K k L 0 O h h W S q a D e z v 3 x r d U S b d 9 x e N h 8 8 o t F Z I 2 H 5 4 E j 3 1 v b O t x 7 4 1 t P e a 9 s a 2 v k G 5 u H G G b 2 y q k W 7 W P T O l t F d K t 2 r / n Z P o K 6 V b t 3 2 d G f Y V 0 c + P 3 m V N f I d 3 c u D + n G x r 3 J 3 R D 4 / 5 s b h i g a 3 v f V 0 j 3 v 0 Z 8 e H / n Z p V k O w l U 0 n 2 d 3 V t 3 M K y S T A d 7 e 3 v j h 3 u 3 0 0 n m H X I x 7 z 0 4 2 N k f 3 3 t w O 8 1 k X r y l Z g r 6 u X + w O z a q + C Y 1 9 X 4 v e g x + G w Q 9 F n + / f n w d p m / e T o e Z b r Z v 2 U + E f 2 7 5 Z o Q x b t t p h D 9 u q + P e E 8 k I h 9 x W 2 9 1 M 9 g g z 3 B K t C F / c k n a + I r z N i H x d + H 5 I + o r x V j 1 9 A E O 4 N z 8 N N e X p 5 6 9 O X 3 / 5 O j 3 5 9 u l P f H V 6 O 0 2 2 d 7 O q t L 2 E q l J 1 2 q 0 7 G F a V p o O D f V o O 2 N k n t X c 7 d W n e E 7 q R n t 3 d R D d P L s y L t 1 S X p r l O 0 E 0 d e W J x m 4 4 8 w X i / A U E u v h 6 G v s L U V 2 + n M N 8 P Q V 9 f v i + G E f a 4 r S f 4 n k i + J 1 / 4 W v J 9 B 9 X n j N s p z P f t J 8 I Z t 3 v T V 5 j v 2 a m v O 2 9 D R 1 9 j v i e S 7 8 s b r v m D U G F + j R w c 1 h J v U p i 2 l 1 B h 7 r 9 n B 8 M K 0 3 T w c P f T 8 a e 3 9 C 1 v / Y 4 n D + a d W + p J b T 7 M 0 x 7 / 3 9 j W Y / 8 b 2 3 r 8 f m N b X / f d 3 D j C O x t Z L c I F G 9 t H J v W 2 a u 5 W 7 d 9 z M n 3 l d q v 2 7 z O j v k a 7 u f H 7 z K m v t m 5 u 3 J / T D Y 3 7 E 7 q h c X 8 2 N w z Q t T 3 o a K X 3 z M D d v 3 + z S r J d h C p J 1 e y t O x h W S a a D 3 X v 3 H o y N b x g d u M f C t 3 / J 4 2 P z 0 i 2 V k j Y f n g i P h W 9 s 6 3 H w j W 0 9 B r 6 x r a + U b m 4 c Y Z 3 b K q V b t Y 9 M 6 2 2 V 0 q 3 a v + d k + k r p V u 3 f Z 0 Z 9 p X R z 4 / e Z U 1 8 p 3 d y 4 P 6 c b G v c n d E P j / m x u G K B r + 9 B X S p 9 + j S z c p z s 3 q y X b S a C W 8 O Z 7 d T C s l k w H m / j F Y 1 / T f O / B e O e W 6 u g 2 P X g M f N s e P B 6 + 7 S s e J 9 8 G K Y + X b 9 u D r 6 b 0 n d u p K d P B 9 o 0 9 R J j j x n c i 8 3 1 z R 5 F Z v 6 3 S u j V i k X m / r e K 6 m b y R 6 b 4 R o c i c 3 0 g p X 4 / d Z h S + K r s t Y r 5 G u 1 U f X 2 v K 7 T v 3 d k L l 9 j X i w E / 3 b 9 R u r p d Q u + 2 / Z w e D 2 s 1 2 c H 9 / v K N Q b 9 B w t 3 7 F s b t 9 5 X Y a z j Q f 5 l z H 5 T e 3 d U x + c 1 v H 3 D e 3 9 T T Z L R p H O G e j H E d 4 Y G P 7 y J R u b B + Z z 1 v q r t u 1 7 8 / m b f X W L Y j 5 P l P q K a y b G 3 u K 6 h a N + 3 O 6 o X F / Q j c 0 7 s / m h g G 6 t r s d n f S e U e C n N 0 e B r o t Q I d 0 u C n Q d D C s k 0 8 H u A 9 L F B 7 f T S L d + x + N i 8 8 4 t V Z I 2 H 5 4 G j 4 F v b O v x 7 4 1 t P f a 9 s a 2 v k m 5 u H G G c 2 6 q k W 7 W P T O p t V d K t 2 r / n Z P o q 6 V b t 3 2 d G f Z V 0 c + P 3 m V N f J d 3 c u D + n G x r 3 J 3 R D 4 / 5 s b h i g a 7 v n q 6 S H X y M G f L h z s 1 K y n Q R K 6 a H O 7 q 0 7 G F Z K p o O 9 B / s 7 D 3 b 3 d 8 Y P d m + n m c I X P z 0 Y f / r w d u r J v H h L 9 e T 6 G T / c p A A 9 n r 7 t K x 5 n 3 w Y p j 7 d v 2 4 O v t v S d 2 6 k t 0 8 H 2 j T 1 E m O X G d y L z f 3 N H k b m / r R K 7 N W K R e b + t I r u Z v J H p v h G h y J z f S C l f r 9 1 m F L 5 q u y 1 i v o a 7 V R 9 f a 8 r d O / d C Z X f 2 4 v N X p 6 9 v 6 X w 9 3 L 1 Z z 1 n 4 o Z 5 T X X T r D k I 9 5 + s 5 0 8 H 9 + / f 2 H 9 7 f O R g / 2 D R y j 9 f f 7 0 W P 6 c 2 L t 9 R z 2 n y Y f z 1 e v 7 G t x + o 3 t v V Y / M a 2 v j 6 7 u X G E f z Z K c 4 Q f N r a P T O / G 9 p F Z v a 0 G u 1 X 7 / m z e W n v d T M z 3 m V J f b d 3 Y 2 F d X N z f u z + m G x v 0 J 3 d C 4 P 5 s b B u j a 7 o e a 6 V Q U U / r m 1 e 1 U x 7 2 b d Z P t I d R N 9 9 6 z g 2 H d Z D q 4 v 3 + w S 3 / e H 4 N w g 2 z j c f H 7 v e i x s 3 n x l r p J m w / P h 8 f J N 7 b 1 G P n G t h 4 f 3 9 j W 1 0 0 3 N 4 5 w 0 G 1 1 0 6 3 a R 6 b 3 t r r p V u 3 f c z J 9 3 X S r 9 u 8 z o 7 5 u u r n x + 8 y p r 5 t u b t y f 0 w 2 N + x O 6 o X F / N j c M 0 L W 9 H + q m r 5 F J f 7 h / s 3 6 y v Y T 6 a f 8 9 O x j W T 6 a D v Y c 7 e 2 N w 0 i D b e F x 8 + 5 c 8 V j Y v 3 V I v a f P h u f C 4 + M a 2 H h P f 2 N b j 4 R v b + n r p 5 s Y R 7 r m t X r p V + 8 i 0 3 l Y v 3 a r 9 e 0 6 m r 5 d u 1 f 5 9 Z t T X S z c 3 f p 8 5 9 f X S z Y 3 7 c 7 q h c X 9 C N z T u z + a G A b q 2 n 3 b 0 0 n t m 0 x / e v 1 k p 2 S 5 C p X T / P T s Y V k q m g 4 N P 9 8 a 3 V E m 3 f c X j Y f P K L R W S N h + e B I 9 9 b 2 z r c e + N b T 3 m v b G t r 5 B u b h x h m 9 s q p F u 1 j 0 z p b R X S r d q / 5 2 T 6 C u l W 7 d 9 n R n 2 F d H P j 9 5 l T X y H d 3 L g / p x s a 9 y d 0 Q + P + b G 4 Y o G v 7 w F N I n + 6 8 f y 7 9 0 5 2 d m 1 W S 7 c R X S f z m e 3 U w r J J M B 5 8 + / P T + z s 6 9 g / v j n f 3 b a S b 3 5 o N 7 + / c f P i T 9 t O l N j 6 f N m 3 v 7 B / T W w a b k v c f Z 5 q 2 D B z u E 6 X h / 0 2 s e g 7 / P a x 6 r m 9 c 2 y Z H H 7 O / T i 6 / L 9 L 3 b 6 T L T y f b B / v 1 P d x 5 s t A e + T r P I 3 e K 1 C G v c q r s I Y 9 x W x b 0 P e h F + u K 2 m u 5 n U k e m / 1 X x G + G D 7 N i / 6 C v A 2 o / F 1 4 P s g 6 K v D W / U T Z Y J b d O T h d x B q x / d J v n + 6 s 3 u z Y r T w Q 8 W o 2 N 2 6 g 2 H F a D r Y v f f w 3 g 4 / t 1 O L 7 / W e J w X m v V t 6 b d p 8 m J s 9 z r + x r c f 4 N 7 b 1 m P 3 G t r 6 m u 7 l x h H s 2 y n a E G z a 2 j 0 z u x v a R S b 2 t S r t V + / 5 s 3 l q X 3 U z M 9 5 l S X 4 H d 2 N h X W j c 3 7 s / p h s b 9 C d 3 Q u D + b G w b o 2 j 4 M 9 d L 7 p d 4 / 3 b l F 6 t 3 2 E G q m W 6 X e v Q 6 G N Z P p g D T M / q c H n + 7 v P h j v H d x O O b 3 v q x 5 L m 1 d v q Z + 0 + f C c e N x 8 Y 1 u P m W 9 s 6 / H y j W 1 9 / X R z 4 w g X 3 V Y / 3 a p 9 Z I p v q 5 9 u 1 f 4 9 J 9 P X T 7 d q / z 4 z 6 u u n m x u / z 5 z 6 + u n m x v 0 5 3 d C 4 P 6 E b G v d n c 8 M A b d v 9 n V A / v X / 6 / V P E b z f o q H 3 b S 6 i j 9 t + z g 0 E d Z T u 4 f / / T 2 6 m m 2 7 7 h m N i + c T u N Z J o P z 4 L j 3 5 v b O v a 9 u a 3 j 3 p v b e h r p F o 0 j f H N L j X S 7 9 p E J v a V G u l 3 7 9 5 x M T y P d r v 3 7 z K i n k W 7 R + H 3 m 1 N N I t 2 j c n 9 M N j f s T u q F x f z Y 3 D N C 1 3 e 1 o p P d L v H + 6 c 3 P i 3 X U R q q N b J d 6 9 D o b V k e n g w Y O d 8 c 4 m 9 e J x 8 K 3 f 8 b j Y v H N L l a T N h 6 f B Y + A b 2 3 r 8 e 2 N b j 3 1 v b O u r p J s b R x j n t i r p V u 0 j k 3 p b l X S r 9 u 8 5 m b 5 K u l X 7 9 5 l R X y X d 3 P h 9 5 t R X S T c 3 7 s / p h s b 9 C d 3 Q u D + b G w b o 2 u 7 5 K u n T r 5 F 6 / 3 T n Z q V k O w m U 0 q c 6 u 7 f u Y F g p m Q 4 e P N x / 8 P D e w f j B 7 f S S f e 3 + w c H B 3 s 7 4 l q r J v L b / 4 O D + p / c 2 a z S P q c 1 r u 7 s P 9 / f v j 3 c 3 v e b x 9 v u 8 5 n G 5 e W 2 T C H l 8 / j 6 9 + G p M 3 7 u d G j O d 3 L v / c J f i 5 Y e 3 1 G b m t e 3 b v B f h i t t q t f d B L 8 I O t 1 V u 7 z W c P i P c T s m 9 1 3 x G + G D 7 N i / 6 u u 8 2 V P D V 3 / s g 6 G v C W / U T Y Y J b D c j D 7 1 6 o G N 8 r 6 / 7 p 7 s 0 6 0 c I P d e L u e 3 Y w r B N N B 7 v 3 P 7 1 / s H P / w X h n 7 3 Z a 8 f 1 e 9 A T B v H h L l 0 2 b D / O z x / s 3 t v V Y / 8 a 2 H r v f 2 N b X d T c 3 j v D P b V 2 2 W 7 W P T O 9 t l d u t 2 r / n Z P p a 7 V b t 3 2 d G f W 1 2 c + P 3 m V N f b d 3 c u D + n G x r 3 J 3 R D 4 / 5 s b h i g a 7 s f a q b 3 z L t / e u 9 m 3 W R 7 C H X T v f f s Y F g 3 m Q 5 2 7 + / u 7 d 9 2 P f B 9 3 v I Y 2 b x 1 S 6 2 k z Y d n w u P h G 9 t 6 L H x j W 4 + D b 2 z r a 6 W b G 0 d 4 5 7 Z a 6 V b t I x N 7 W 6 1 0 q / b v O Z m + V r p V + / e Z U V 8 r 3 d z 4 f e b U 1 0 o 3 N + 7 P 6 Y b G / Q n d 0 L g / m x s G 6 N r e D 7 X S 1 8 i 2 f 7 p / s 2 a y v Y S a a f 8 9 O x j W T K a D 3 Y c P 7 z 3 c H d / S Z X q P t z x m N m / d U j N p 8 + H Z 8 P j 4 x r Y e G 9 / Y 1 u P i G 9 v 6 m u n m x h H + u a 1 m u l X 7 y M T e V j P d q v 1 7 T q a v m W 7 V / n 1 m 1 N d M N z d + n z n 1 N d P N j f t z u q F x f 0 I 3 N O 7 P 5 o Y B u r a f + p r p w d d I c T 3 Y u V k x 2 U 4 C x f R A Z / f W H Q w r J t P B / b 3 d B 7 v 3 9 g 7 u j z + 9 p X K y b 5 J 2 2 t 8 / e P D p x o y D x 9 L m x b 2 d f f r f z v i + B q f R 9 z z W t u 8 9 u P f p v d 3 x g 0 3 d e R z + P q 9 5 v G 5 e 2 y R I H r e / T y + + M t P 3 b q f M T C e 7 D z 4 9 2 N + h f O S m q f K 1 m n l x + 3 Z v R v j j t v r t / V C M c M V t F d 1 7 D q n P E L d T e f 1 5 3 d B J h B + 2 b 8 M Q v i a 8 D R 1 8 Z f g + C P p 6 8 V b 9 R B j h V g P y 8 H s Q q s n 3 S n g 9 u E X C y 8 I P N e T t E l 6 u g 2 E N a T q 4 T / H h p 7 u f P i B O u 3 8 7 D W n f 3 N s 9 I M 1 6 n 9 7 c p O o 8 Y T B v b n 9 6 7 + E e 0 X 7 8 8 N P b 6 U j z 4 t 4 D C v 4 1 s L 5 J Q d 7 6 H U 8 s z D u 3 1 I 6 3 7 s J X j f r S 7 V S j o x g 9 B w 8 e b q a Y r x v N m 7 d 7 M c I Y t + w y w h i 3 d Q L f D 8 U I O 9 z W G 7 y Z 5 B E e u H l S I 5 y w f e N b v l K 8 z T h 8 p X h r 1 H y N e K t O Y v N / Y y 8 e Z g e h O n z P L N u D W 2 T Z b A + h Q r x d l s 1 1 M K w Q T Q e f 7 t 7 b 3 / v 0 0 / u 0 w H l L h e i / u f O A F k d v p w 3 N a 7 v k Z O 5 t 7 s z j f X 1 r m J c 9 v r + x r c f 2 N 7 b 1 u P 3 G t r 6 + u 7 l x h I 9 u Q R N f 2 Z n X t m / z X m T O b + s G v g 9 6 k Z n e 2 E 1 / j m 8 3 n P e Z b 1 / P 3 d z 4 f W b c V 2 s 3 N + 7 P + I b G / X n e 0 L g / u R s G 6 N o + D P X X 1 8 j H P d i / W Y f Z X k I d t v + e H Q z r M N P B 3 h 6 5 Z b v 7 4 7 1 b a j D 3 H n n B O 7 v j W / p z 5 j U K V h 4 c f H p r F a a v D U + M x 9 I 3 t v U 4 + s a 2 H k P f 2 N Z X Y T c 3 j r D S b Y j i 6 z D z 3 m 1 e i 0 z 5 r b q L T P l G n R S Z 6 9 t 0 0 5 / r W 7 t q N 5 P 6 f S b c V 2 E 3 N v Z V 2 M 2 N + z O + o X F / m j c 0 7 k / u h g H a t v d 3 f B V 2 8 D U S d w c 7 N 2 o w 1 0 m g w Q 5 0 d m / d w a A G s x 3 s P 3 i 4 / + n e / v j g 4 a 0 0 m P f e / Y f 0 7 v j g d i r M v v d g 5 8 G D / f G O q u L o W 4 6 r 7 V v 3 7 n + 6 d 7 A 5 b n G 8 / T 5 v O S a 3 b 2 2 S I M f m 7 9 O J p + L M a 7 d S c V 4 f 9 M d 4 5 + B 2 G s 6 + t n 2 b 9 y I 8 s V G H R H j h N t 1 E W G F j N x E m u N V w + m x w K x X 3 X t M Z 4 Y L t W 7 z n 6 b 1 b 0 c B T f e + D n q c E b 9 d N h A N u M x w P u 9 1 Q J b 5 X k g 4 K 5 C Z t a O G H 2 l B V z 6 0 7 G N a G p o P 7 D x 8 e 7 O x + O t 4 0 b k 8 A 7 G s H + / f 3 H t w f 3 9 v 0 n i c B 5 r 3 d A 8 J v b 7 x 3 S 2 1 o X r u 3 d 2 9 P x 3 6 T K r z t K 5 4 k m F d u q Q d v 2 4 O v B P W d 2 y l B S y w i 8 f 7 u Z m L 5 W t C 8 t 3 2 r F y P M c F s 1 + F 4 I R r j g t n r w / Q b U Z 4 L b K c J b z 2 e E B 7 Z v e s l X g b c Z v q 8 C b 4 u Y r / 9 u 1 U d k 6 m 8 c i I f X X q j 8 3 j M l d 3 B z S s 7 1 E K q / 2 6 X k X A f D 6 s 9 0 c I 8 y k T s 7 m 4 j l s f 3 t X / J 4 3 r y 0 q b n H 8 t p 8 m H M 9 L r + x r c f k N 7 b 1 m P v G t r 5 m u 7 l x h H M 2 K o A I H 2 x s H 5 n W 2 y q y W 7 V / z 8 n 0 F d i t 2 r / P j P p 6 6 + b G 7 z O n v q K 6 u X F / T j c 0 7 k / o h s b 9 2 d w w Q N f 2 X q i T v k a a 7 W D / Z r 1 k e w n 1 0 v 5 7 d j C s l 0 w H D + 4 / 2 D 8 Y f / r w d o r J v H V w 7 + D g w X h n U w b F Y 2 b z 1 v b B 7 r 2 D z Z 6 c x 9 L 6 1 v C k e O w s b W + n o G 5 s 6 z H z j W 1 9 B X V z 4 w g b 3 Y I m v p 6 y E 3 D z W 5 H J v k 1 n k d m + r d J 6 D + T 6 8 3 x r 1 X U z m d 9 n s n 3 V d W N j X 3 X d 3 L g / 2 x s a 9 + d 4 Q + P + 1 G 4 Y o G u 7 7 6 u u h 1 8 j v f Z w 5 2 b N Z T s J N N d D n d 1 b d z C s u U w H e 5 / u I 6 C 8 t z O + f 7 s l A u / N e w c 7 B 1 h c 2 L l 3 O w 1 m 3 t y l F N u n D + + N H 2 5 y Y D 3 e N u 8 d 7 B 8 8 e D C + t 0 n L e h z + H m 9 5 r G 7 e u m V w + R 6 d + E p O X 7 u d k j N 9 P H y 4 d 0 C h P + z s c C c R H t q + 1 Y s R 3 r i t W / Z e C E b 4 4 b b u 2 f s N q M 8 K t 1 N 2 7 z O l E U 7 Y v s V 7 v g a 8 D R F 8 J f g e 6 P n q 8 F b d R H j g N s P x s L s f K s f 3 S r R B H d y k F y 3 8 U C + q I r l 1 B 8 N 6 0 X R w / + H 9 B z u 0 e P r p Z i 3 l S Y F 7 8 9 N d W k S 4 9 3 C M h e f B N z 0 5 M G 9 u 7 1 M u 8 G B v f P / B 7 f S i v j f M 1 p 4 I 3 N j W k 4 A b 2 3 p s f 2 N b X + 3 d 3 D j C S r e i i q / 3 z I u 3 e i 8 y 9 b f r M D L z t / X w 3 g v B / n z f 2 s e 7 m d z v M + m + s r u x s a / h b m 7 c n / U N j f s z v a F x f 3 o 3 D N C 1 / T R U Y y Z l d v L t 0 5 / 4 6 v R 2 u m b v Z m V m e w m V m V q 1 W 3 c w r M x M B 7 v 3 a L l k / 3 Z q 7 N b v e A x t 3 t n E m B 4 f a / P h m f B 4 + M a 2 H g v f 2 N b j 4 B v b + n r r 5 s Y R 3 t k o p R E u 2 N g + M q m 3 9 c 5 u 1 f 4 9 J 9 P X S r d q / z 4 z 6 m u l m x u / z 5 z 6 W u n m x v 0 5 3 d C 4 P 6 E b G v d n c 8 M A X d s H c a 1 0 y 0 T + w 3 s 3 a y T b Q 6 i R N L 6 7 d Q f D G s l 0 s L + z R w 7 W p 7 d N 5 b / P a x 4 r m 9 d u q Z e 0 + f B c e F x 8 Y 1 u P i W 9 s 6 / H w j W 1 9 v X R z 4 w j 3 3 F Y v 3 a p 9 Z G p v q 5 d u 1 f 4 9 J 9 P X S 7 d q / z 4 z 6 u u l m x u / z 5 z 6 e u n m x v 0 5 3 d C 4 P 6 E b G v d n c 8 M A X d u D U C 9 9 j W T + w / 2 b d Z P t J d R N + + / Z w b B u M h 3 s 7 j 0 4 + P T T h + O H n 9 5 O O d n 3 7 t 3 b 2 d t / s H k Z w G N o 8 9 7 2 / d 3 7 F G I / 2 J R F 8 / h a X x u e G Y + n b 2 z r s f S N b T 2 O v r G t r 6 V u b h z h p d s Q x d d W 5 r 3 b v B a Z 8 1 t 1 F 5 n z 2 y q v 9 0 G v P 9 e 3 1 m E 3 k / p 9 J t z X Y T c 2 9 n X Y z Y 3 7 M 7 6 h c X + a N z T u T + 6 G A b q 2 D z 0 d 9 m D n / b P 6 D + C T 3 K T C b C e + C n t g v J l b d z C s w k w H e / T O w 4 N 7 9 8 b 7 q h 6 j w / f 4 2 b y 4 + / D T / R 1 y s D Y r P 4 + x 7 Y v 3 D x 7 u 7 T 0 Y Y 2 Y H 3 / M 4 2 7 6 3 s 7 N 7 f 3 + z R H g M / j 6 v e a x u X t s k R x 6 z v 0 8 v v q b T 9 2 6 n 6 W w n + w c P d x 7 s b c 4 W + q r O v L h 9 u z c j 7 L F R n c S 4 4 l Y d R b h i Y 0 c R b r j l k P o M c T u N 9 1 7 z G u G H 7 d u 8 6 C v C 2 9 D B 1 4 X v g 6 C v F m / V T 4 Q R Y g P a o C U / 3 Q m 1 5 P u k 9 x / s 7 N 6 o I B 3 8 U E G q T r l 1 B 4 M K 0 n a w v / s p Z V 8 f 7 o 1 3 N j G a E 4 X w x Y f 7 n 4 4 f b F p 8 c q J g X 9 y m + d y Y T 3 P i Y N 4 Z Z m o n A D e 3 d f x / c 1 v H 8 z e 3 9 R T f L R p H m O h G i n h K z 7 5 0 4 z u R y b 6 5 o 8 h E b 1 R d k f m 9 s Y / + / N 7 W r b s F e d 9 n k j 3 N d n N j T 5 v d o n F / l j c 0 7 s / u h s b 9 a d 0 w Q N d 2 N 1 R Y 7 5 c y e 7 B z c 8 r M 9 R C q r F u l z L w O h l W W 6 W D v 3 s 7 O w 5 1 b Z s z e 5 y 2 P m c 1 b m 5 p 7 f K z N h 2 f C 4 + E b 2 3 o s f G N b j 4 N v b O v r q Z s b R 3 h n o 5 R G O G F j + 8 j E b m w f m d L b a q Z b t e / P 5 q 2 1 0 s 3 E f J 8 p 9 b X S j Y 1 9 r X R z 4 / 6 c b m j c n 9 A N j f u z u W G A r u 1 e q J X e P 2 H 2 Y G f / Z s 1 k e w k 1 0 / 5 7 d j C s m U w H D + / d O x i D k w b Z x u N i + 9 L + v f v j P U U m + p L H y u a l 7 Y c P N n t s H j v r O 8 M T 4 r H y j W 0 9 T r 6 x r c f I N 7 b 1 l d P N j S M s d C N F f A 1 l a X / T O 5 F J v r m j y C T f V l X d G r H + / N 5 a X d 1 M 3 v e Z Z F 9 d 3 d j Y V 1 c 3 N + 7 P 8 o b G / d n d 0 L g / r R s G 6 N r e 8 9 X V 7 t f I j Y H L b 9 J W t p N A W + 3 q 7 N 6 6 g 2 F t Z T r Y e 7 h L m u f e 7 u 3 U l X l r 9 9 4 B L Q k 8 2 P S W x 8 / m r X 3 K p u 2 O D / Z u p 7 H M W / d 2 d + 9 9 O t 7 b 9 J b H 1 + / x l s f g 5 q 1 N 0 u O x + H t 0 4 q s 0 f e 1 2 K s 2 S + v 7 e p / f H n 9 5 S p 5 m 3 t m / x W o Q b b u t 8 v Q d y E T 6 4 r Q v 2 P o P p s 8 D t V N v 7 T G W E A 7 Z v 8 Z 6 v 7 2 5 D A l / l v Q d 6 v v K 7 V T e R + b / N c D z s 9 k N V + F 4 J M P D 6 T V r Q w g + 1 o K q d W 3 c w r A V N B / f 3 H l D 2 6 / 7 t l K B 7 6 e H u w / H B J r b 0 m N + 8 t b 9 / 7 9 a Z L 9 v T R k 3 r s f 7 t X v D Y 3 7 x w S 8 V 3 O / i + z t M 3 b q f z D P h t W n Q e 3 7 u t z j N v 3 f x S Z O Z v 0 V V k 6 m / r y d 0 e t c i s 3 9 a V u 5 n E k Q m / Y Q Y j c 7 6 9 + R V f y 9 1 m B L 6 W u x 1 S v o K 7 V Q + x 6 b 5 h 3 O 6 N + x 3 d 9 v 5 R K R j n J g 1 n e w k 1 3 P 5 7 d j C s 4 U w H t I b y 6 c F 4 5 8 H t V J x 7 a / c h G d 5 N Q Y j H 7 e Y t l q l P N 9 H Z 4 3 Z 9 a Z h 7 P U 6 / s a 3 H 6 D e 2 9 V j 8 x r a + R r u 5 c Y S L b i a J r 9 E s + W 9 8 K T L T t + g q M t O 3 1 W i 3 R 6 0 / x 7 f W a D e T + H 0 m 2 l d m N z b 2 1 d j N j f s z v a F x f 4 I 3 N O 5 P 7 I Y B u r a f + l p r 7 2 s E p x j / T U r L d h I o r T 2 d 3 V t 3 M K y 0 T A c P D v b v 7 + + P H 9 5 O a Z m 3 D h 4 c P L i / t z m m 9 T j a v E b r Y p 9 S 5 u 6 2 v p l 5 7 d 7 D + 6 R Y H 2 x S r B 5 n v 8 d b H o u b t 2 7 p p b 1 H J 7 5 i 0 9 d u p 9 g s 1 R 7 u 7 + 0 8 G O / f V r W Z 9 2 7 z W o Q j b t V d h C d u q 9 5 6 6 N 1 O w d 2 q m z 4 b 3 E 7 B v c 9 0 R r h g + x b v + V r v N m P x F d 9 7 o O e r w F t 1 E + O A W / T j Y f c g V I j v F a J i l D f p Q g s / 1 I X K n 7 f u Y F g X m g 5 2 H z 6 k k H Z 3 v L 9 J P 3 m c 7 9 7 b 3 b v 3 4 O H m m N 6 T A P P e w f 6 D e 3 u b 3 / I E Q N 8 a Z m i P + W 9 s 6 / H + j W 0 9 h r + x r a / s b m 4 c Y a J b 0 M T X d e a 1 7 d u 8 F 5 n y j d o k M t W 3 6 S Y y 0 x u 7 6 c / x 7 Y b z P v P t K 7 u b G 7 / P j P t 6 7 e b G / R n f 0 L g / z x s a 9 y d 3 w w B d 2 4 N Q e Z 2 K 7 k r f v L q d d r l 3 s / q y P Y T q 6 9 5 7 d j C s v k w H u 7 s P 7 + 3 s b G I 1 j 6 F v / 5 L H z u a l T c 0 9 b t b m w / P g c f C N b T 0 G v r G t x 7 8 3 t v U 1 1 s 2 N I 5 y z U b Y j f L C x f W R a b 6 u i b t X + P S f T 1 0 2 3 a v 8 + M + r r p J s b v 8 + c + j r p 5 s b 9 O d 3 Q u D + h G x r 3 Z 3 P D A F 3 b h 6 F O + h p 5 s b 3 9 m / W S 7 S X U S / v v 2 c G w X j I d P P j 0 0 3 v j 3 U 2 m z O N i + x J 1 s X E 5 y u N k 8 8 7 2 p + S 7 H d x O N + k 7 w / P h c f K N b T 1 G v r G t x 8 c 3 t v V 1 0 8 2 N I x x 0 I 0 V 8 B W V e u v G d y B z f 3 F F k j m + r q W 6 N W H 9 + b 6 2 t b i b v + 0 y y r 6 1 u b O x r q 5 s b 9 2 d 5 Q + P + 7 G 5 o 3 J / W D Q O 0 b R / s d L T V i z f p 5 8 c v j p / e N g K 8 f 6 O q c l 2 E q u r + e 3 Y w q K p s B 5 R x f a C O W X T Y j o n t K / d 2 x v c 2 v e L 4 2 L 6 y v b d R s z k u N m 8 M z 4 P j 4 J v b O g a + u a 3 j 3 5 v b e l r q F o 0 j n H M D P T w d 5 S Z q 8 x u R q b 2 p k 8 j U 3 l I / 3 R a p / r z e V j v d g q z v M 7 m e d r q 5 s a e d b t G 4 P 7 s b G v f n d U P j / p R u G K B r u + t r p 3 t f I 1 t / b + d m / W Q 7 C f Q T 3 n y v D o b 1 k + n g w e 7 D T U k 5 j 4 f N G / f 2 d h 6 O H 9 w u M W V f 2 o P a v K 2 O s i / t 7 h z c H 9 / b 1 J X H 0 e / x l s f a 5 q 1 N c u M x 9 3 t 0 4 i s x f e 1 2 S s w S + u H B g / H e w S 3 1 m H l r + x a v R f h g o 9 6 I c c H N v U T Y Y G M v E Q 6 4 z W D 6 L H A 7 p f Y + U x n h g O 1 b v O d r u t u Q w F d 2 7 4 G e r / Z u 1 U 1 k / m 8 z H A + 7 v V A J v l e G H m t 8 N + k / C z / U f 7 v v 2 c G w / j M d 3 B 9 v Y i 6 P 8 e 0 L e w 9 3 x 7 f U f u a d 7 f t 7 R N v 9 2 2 k / f W m Y i T 2 G v 7 G t x + 8 3 t v W Y / M a 2 v n K 7 u X G E c W 4 m i a / c H P F v e i k y x b f o K j L P t 3 X V b o 9 a f 4 5 v 7 a 3 d T O L 3 m W h f n d 3 Y 2 N d h N z f u z / S G x v 0 J 3 t C 4 P 7 E b B u j a 3 u s o q v f P f N 3 b v 1 l d 2 V 5 C d a X s c O s O h t W V 6 e D T / d 2 H t 1 1 N 9 F 7 a u z 8 2 a b j o S x 4 / m 5 e 2 N 2 t G j 5 n 1 j e H p 8 B j 5 x r Y e H 9 / Y 1 m P j s O 0 N C u v m x h E G u o E e v r Y y r 9 z w R m R 6 b + o k M r m 3 1 V O 3 R K o / r 7 d W U j e T 9 X 0 m 1 1 d S N z b 2 l d T N j f u z e z s l d X P j / p T e S k n t + 0 p q / 2 u E l P s 2 4 h v W U b a T Q E f t 6 + z e u o N h H W U 6 u L / 7 c O f T M T J + g 2 z j 8 b F 5 6 9 6 D + w 9 2 x 5 / e U k u Z t / Y f 7 t N S w K e b Q l i P o 2 1 f 9 3 f 3 D s a f b v L i P L 5 + j 7 c 8 B j d v b Z I e j 8 X f o x N f l e l r t 1 N l p o / d / X v 3 7 o 9 3 N N l 5 o z o z r 2 3 f 5 r 0 I P 9 w 2 t H w f 9 C K s c N v Y 8 r 2 G 0 2 e D 2 6 m 3 9 5 n O C B d s 3 + I 9 X + f d h g a + 2 n s P 9 H w F e K t u I h x w m + F 4 2 N 0 P 1 e F 7 B Z f 7 t w g u L f x Q E 9 4 u u H Q d D G t C 0 8 H u v d 3 9 3 X v j v U 3 j 9 g T A v n Z / D 6 8 9 U I R u 0 o X m t e 3 d B w e k e P c 3 K V 5 P D s x r 9 3 Y f 7 t 9 O E d 7 y D U 8 M z B u 3 V I K 3 7 M B X g P r K 7 R S g p R Q l O 3 Z 2 N l P K 1 4 D m v d u 8 F m G D W 3 U X 4 Y P b u n b v g 1 6 E A W 7 r 3 9 1 M 6 s j M 3 z S V k d n f v u E d X / H d Z g y + 4 r s l W r 7 S u 1 U X s V m / a e j u l U 9 D h X c q + i 5 9 8 + p 2 G u n e z S r P 9 h C q v H v v 2 c G w y j M d f H p A P H g 7 d X f b V z x O N 6 9 s a u 5 x u D Y f 5 l i P u 2 9 s 6 z H 3 j W 0 9 r r 6 x r a / N b m 4 c 4 Z q N 8 h v h g Y 3 t I 1 N 6 W / / t V u 3 f c z J 9 f X W r 9 u 8 z o 7 6 + u r n x + 8 y p r 6 J u b t y f 0 w 2 N + x O 6 o X F / N j c M 0 L V 9 E O q j r 5 E 0 Q 4 r q J p 1 k e w l 1 k u r M W 3 c w r J N M B / f 3 H + 5 s X k T y u N i + t P P g Y L y / 6 S W P l c 1 L + 7 u 7 t 8 2 a 6 S v D 8 + F x 8 o 1 t P U a + s a 3 H x z e 2 9 X X T z Y 0 j H H Q T Q X z 9 Z N 7 Z v v G l y B z f V k n d G r H I 7 N 5 W U d 1 + I O 8 z x 7 6 2 u r n x + 8 y y r 6 1 u b t y f 5 Q 2 N + 9 O 7 o X F / W j c M 0 L U 9 8 L X V / a + R P b u / c 7 O y s p 0 E y u q + s s S t O x h W V q a D e w e f P i A n c r y j e j A 6 e o + h 7 X v 3 D h 7 e 2 3 k w P t j 0 n s f U 5 r 3 7 u w d 7 e w f j v V u m 0 M x r + z s 7 n + 6 O d z a 9 5 T H 3 e 7 z l c b l 5 a 5 P c e X z + H p 3 4 e k 1 f u 5 1 e s 3 0 8 O N j 9 9 M H G d W B f t Z n X t m / z X o Q p b q v d 3 g e 9 C C / c V s G 9 1 3 D 6 b H A 7 H f c + 0 x n h g u 1 b v O c r v t v Q w N d 9 7 4 G e r w V v 1 U 2 E A 2 4 z H A + 7 h 6 F O f K 8 U 2 v 1 b p N A s / F A d 3 i 6 F 5 j o Y V o e m g 9 3 d g 4 O d v Y P d 8 c O D 2 + l D + + L e z r 3 9 / f u f j u 9 v I p k n B O b F 7 d 3 7 + 7 s P 9 s f 3 N + V R P G H Q 9 4 a Z 2 h O A G 9 t 6 / H 9 j W 4 / p b 2 z r K 7 y b G 0 c Y 6 V Z U 8 V W e n Y f b v B e Z + N t 1 G J n 4 j U o s M t + 3 6 q c / 3 7 c O Q 2 8 m 9 / t M u q / q b m z s 6 7 e b G / d n f U P j / k x v a N y f 3 g 0 D t G 0 P d k I l d v u 0 m G i Z m 9 N i r o d Q j d 0 u L e Y 6 G F R j t o N P P 9 2 7 d 9 v E 2 H u 8 5 N j Z v r S p u e N i 0 3 x 4 H h w H 3 9 z W M f D N b R 3 / 3 t z W 0 1 q 3 a B z h n I 0 y G u G D j e 0 j 0 7 q x f W R G b 6 m b b t e + P 5 u 3 1 U m 3 I O b 7 T K m n k 2 5 u 7 O m k W z T u z + m G x v 0 J 3 d C 4 P 5 s b B u j a 7 o Y 6 6 W u k x u 7 v 3 6 y X b C + h X t p / z w 6 G 9 Z L p Y O 8 h r V F + u j n P 5 f G x e 2 1 v b 2 d v / O B 2 r p V 9 b f v g 4 N P x 3 i Z D 6 / G 0 v j Q 8 K x 4 / 3 9 j W Y + c b 2 3 r c f G N b X 0 P d 3 D j C R z e T x N d T 5 q 2 b X 4 r M 9 S 2 6 i k z 1 b V X W 7 V H r z / G t 9 d b N J H 6 f i f b 1 1 o 2 N f b 1 1 c + P + T G 9 o 3 J / g D Y 3 7 E 7 t h g K 7 t n q + 3 P v 0 a S b J P d 2 5 W W 7 a T Q G 1 9 q r N 7 6 w 6 G 1 Z b p Y H f v U 0 o 7 3 L + l 1 j J v P f h 0 / 2 C M h Z D B l z x + N i / d + 3 T / / o P x p + o S R t / y G N q + t b t / 7 2 C M G R p 8 y 2 P r 9 3 j L 4 2 / z 1 i b h 8 T j 8 P T r x t Z q + d j u t Z v q 4 v 7 N L X d w y O 2 b f 2 r 7 F a x F m u K 0 T 9 h 7 I R f j g t q 7 Y + w y m z w K 3 0 2 z v M 5 U R D t i + x X u + u r s N C X y N 9 x 7 o + b r v V t 1 E 5 v 8 2 w / G w u x d q w v d K j X 2 6 e 7 M S t P B D J a j Y 3 b q D Y S V o O t j b 2 d / d G + 9 s s r U e 9 7 u 3 K G e 7 O d 3 v c b 9 5 a / v e p w / H Y M H B l z w R 0 J e G e d n j + x v b e m x / Y 1 u P 1 2 9 s 6 + u 4 m x t H + O d m k v g 6 z r x 1 8 0 u R m b 5 F V 5 G Z v q 3 n d n v U + n N 8 a 8 / t Z h K / z 0 T 7 W u 3 G x r 4 q u 7 l x f 6 Y 3 N O 5 P 8 I b G / Y n d M E D X d r + j r 9 4 / 4 v x 0 / 2 a t Z X s J t d b + e 3 Y w r L V M B w 9 3 7 h + M 7 2 8 y i x 4 r 2 5 d 2 9 + 5 v X E n 3 2 N m 8 s 4 2 F q V t q L H 1 n e D 4 8 T r 6 x r c f I N 7 b 1 + P j G t r 7 G u r l x h I N u p I i v s M x L N 7 4 T m e O b O 4 r M 8 W 3 V 1 a 0 R 6 8 / v r b X V z e R 9 n 0 n 2 t d W N j X 1 t d X P j / i x v a N y f 3 Q 2 N + 9 O 6 Y Y C u 7 X 1 f W z 3 4 G n H m g 5 2 b l Z X t J F B W D 3 R 2 b 9 3 B s L I y H d A L u / f u 7 4 7 3 N 7 l L H i / b 9 3 Y o r / Z w d 3 O E 6 v G 0 e e / h w 0 8 f 7 I z v f X o 7 r W X e u v f w w e 7 O Z h w 9 3 n 6 P t z w m N 2 9 t k i C P z d + j E 1 + t 6 W u 3 U 2 u m j / s P H 9 5 / O D 7 Y 5 A f 7 i s 2 8 t n 2 b 9 y I 8 s V G H R H j h N t 1 E W G F j N x E m u N V w + m x w O x X 3 P t M Z 4 Y L t W 7 z n 6 7 3 b 0 M B X f e + B n q 8 E b 9 V N h A N u M x w P u 0 9 D l f h e A e e D W w S c F n 6 o D W 8 X c L o O h r W h 6 W B / / 9 O d / b 2 d 8 c 4 t v T f 3 3 s O D / X 3 K 1 9 2 7 n T Y 0 7 2 3 f O 9 j Z o 9 c 2 B f a e J O h r w x z t c f + N b T 3 m v 7 G t x / E 3 t v W 1 3 c 2 N I 1 x 0 G 6 L 4 6 s 6 8 d 5 v X I n N + q + 4 i c 3 5 b b + 5 9 0 O v P 9 U A 3 f W 1 3 M 6 n f Z 8 J 9 H X d j Y 1 + x 3 d y 4 P + M b G v e n e U P j / u R u G K B r + y D U X q e i v N I 3 r 2 6 n X u 7 d r L 9 s D 6 H + U m V x 6 w 6 G 9 Z f p Y I 8 y + T s 7 m z j T Y + T b v + R x s 3 l p U 3 O P i 7 X 5 r T T W j W 0 9 B r 6 x r c e / N 7 b 1 N d b N j S O c s 1 E V R P h g Y / v I t N 7 W I b t V + / e c T F 8 n 3 a r 9 + 8 y o r 5 N u b v w + c + r r p J s b 9 + d 0 Q + P + h G 5 o 3 J / N D Q N 0 b Q 9 C n f Q 1 U m I P 9 m / W S 7 a X U C / t v 2 c H w 3 r J d L C 7 u / P p 7 v j e p l j R Y 2 P 7 1 s 6 n s J j 3 b 6 e Z z F v 7 9 + 6 N D 1 S 1 R t / x G F r f G Z 4 S j 5 l v b O v x 8 o 1 t P V a + s a 2 v n m 5 u H G G i G y n i 6 y j z 0 v b N b 0 U m + r a a 6 v a o R W b 4 t u r q P Y b y P v P s K 6 2 b G 7 / P T P t K 6 + b G / Z n e 0 L g / w x s a 9 y d 2 w w B d 2 4 e + 0 j r 4 G p m x g 5 2 b d Z b t J N B Z e P O 9 O h j W W a a D 3 Z 2 H n + 4 / e D D + d B P j e C z t 3 q M 1 z v 2 D 8 Y N N M a T H 1 e a 9 e w / v 7 + + M j f K N v u X x t u 3 t 4 d 7 u 7 m b m 9 n j 7 P d 7 y m N y 8 t U n u P D Z / j 0 5 8 1 a a v 3 U 6 1 m T 7 2 d u 7 t H Y w f 3 j Z U N K 9 t 3 + a 9 C E / c V r 2 9 D 3 o R V r i t g n u v 4 f T Z 4 H Y q 7 n 2 m M 8 I F 2 7 d 4 z 9 d 7 t 6 G B r / r e A z 1 f C d 6 q m w g H 3 G Y 4 D r u H O 6 F K f K / M 2 M H u j d r Q w Q + 1 o T L C r T s Y 1 I a 2 g 7 2 D / Q P S b O N 7 t 8 u M + e / d 2 9 / b H + 9 s S i U 6 E b D v 7 X 9 6 c G + 8 t 8 n 1 c 3 J g X h r m Z 8 f 7 N 7 d 1 r H 9 z W 8 f v N 7 f 1 d N 0 t G k d 4 6 G a S e K r O v r V 9 i 9 c i 8 3 1 L T f c + y E V m + Z a K 7 r 0 G 8 z 5 z 7 e m 5 W z R + n 9 n 2 V N o t G v d n e 0 P j / i R v a N y f 2 g 0 D d G 1 3 Q 7 3 1 n j k x a M e b N J f t I d R c q l d v 3 c G w 5 j I d 7 H 7 6 6 d 5 t c 2 L v 8 Z L H z e a l T c 0 9 Z t b m w / P g c f C N b T 0 G v r G t x 7 8 3 t v W 1 1 c 2 N I 5 y z U b Q j f L C x f W R a b 6 u g b t X + P S f T V 0 2 3 a v 8 + M + r r p J s b v 8 + c + j r p 5 s b 9 O d 3 Q u D + h G x r 3 Z 3 P D A F 3 b v V A n f Y 2 c 2 M H + z X r J 9 h L q p f 3 3 7 G B Y L 5 k O H u z v P B z f 0 p u y 7 9 z f v T 9 + u O k l j 5 P N S 9 u U R 9 s c j X r s r C 8 N T 4 j H y j e 2 9 T j 5 x r Y e I 9 / Y 1 l d O N z e O s N D N J P F V l H n r 5 p c i 0 3 y L r i I T f V t t d X v U + n N 8 a 5 V 1 M 4 n f Z 6 J 9 l X V j Y 1 9 l 3 d y 4 P 9 M b G v c n e E P j / s R u G K B r e 8 9 X W Q + / R k Y M T t t N G s t 2 E m i s h z q 7 t + 5 g W G O Z D n Z 3 7 u 8 / G B 9 s 8 r 4 9 V j Z v k c f + 6 X j n 4 H Y 6 y 7 x 0 b 3 f n 4 P 7 4 / q e 3 U 1 r m r b 0 H 9 x 7 c G z 9 4 u O E t j 6 3 f 4 y 2 P v 8 1 b m 4 T H 4 / D 3 6 M T X a v r a I J M F W s 0 S 7 Q F l J h 5 s C r R 9 r W b e 2 r 7 F a x F m u K 3 / 9 R 7 I R f j g t l 7 Y + w y m z w K 3 0 2 z v M 5 U R D t i + x X u + u r s N C X y N 9 x 7 o + b r v V t 1 E 5 v 8 2 w / G w 2 w 8 1 4 X s l w u A l 3 q Q E L f x Q C e 6 + Z w f D S t B 0 s P t g / 9 6 D 8 c 4 m W + t x v 3 v r 0 / v 7 4 / 1 7 t 9 O C 5 q 3 t v d 0 H 4 3 0 d w 0 1 K U F 8 a 5 m W P 7 2 9 s 6 7 H 9 j W 0 9 X r + x r a / j b m 4 c 4 Z + b S e L r O P P W z S 9 F Z v o W X U V m + r a e 2 + 1 R 6 8 / x r T 2 3 m 0 n 8 P h P t a 7 U b G / u q 7 O b G / Z n e 0 L g / w R s a 9 y d 2 w w B d 2 / s d f f X + w S a 6 u 0 l r 2 V 5 C r b X / n h 0 M a y 3 T w c M H l I P f 2 + S E e a x s X 7 q / d z D e U 2 S i L 3 n 8 b F 7 a f U j e 3 q Z 3 P H b W d 4 Y n x G P l G 9 t 6 n H x j W 4 + R b 2 z r q 6 y b G 0 d Y 6 E a K + B r L v L R 9 8 1 u R a b 6 t U 3 Z 7 1 C I z f F u f 7 D 2 G 8 j 7 z 7 K u s m x u / z 0 z 7 K u v m x v 2 Z 3 t C 4 P 8 M b G v c n d s M A X d t P P Z V 1 s P P + w e Y B 8 t 0 3 a S z b i a + x D k y m / N Y d D G s s 0 8 H u A b 1 x b 2 w S b 9 H B e x x t X 6 O c 4 q e 3 X G s 0 7 9 x / u P f p w 8 2 K z m N r 8 x a 9 c 2 9 v v O k l j 6 t v / 5 L H 3 e a l W 4 a a t + / D V 2 n 6 1 u 1 U m u n i 3 t 4 9 C u o 3 z o 2 v 1 M x r 2 7 d 5 L 8 I L t 1 V r 7 4 N e h A 9 u q 9 j e a z h 9 J r i d a n u P 2 Y z w w P b N r / n a 7 j Y U 8 B X e 7 Z H z N d + t e o l M / y 0 G 4 + H 2 I F S D 7 x N p H u z c I t K 0 8 E M N e K t I 0 + t g W A O a D j 7 d v b / 3 6 c H 4 l k 6 b f W v v 0 3 s H 9 z e + 5 b G + e W u b E N z d p D Y 9 9 t d 3 h t n Y Y / k b 2 3 o c f 2 N b j 8 9 v b O u r u J s b R 9 j n R o r 4 C s 6 8 d O M 7 k W m + u a P I L N 8 2 y r w 1 Y v 3 5 v X W Q e T N 5 3 2 e S f W 1 2 Y 2 N f h 9 3 c u D / L G x r 3 Z 3 d D 4 / 6 0 b h i g a 3 s Q q q p T 0 V T p m 1 e 3 0 y X 3 b l Z W t o d Q W W k e 6 t Y d D C s r 0 8 E e O X f G C 4 w O 2 2 P i W 7 / j M b J 5 Z 1 N z j 4 e 1 + f A s e P x 7 Y 1 u P f W 9 s 6 3 H v j W 1 9 H X V z 4 w j f b J T Q C B d s b B + Z 1 I 3 t I x N 6 W 6 1 0 q / b 9 2 b y 1 R r q Z m O 8 z p b 5 G u r G x r 5 F u b t y f 0 w 2 N + x O 6 o X F / N j c M 0 L V 9 G G q k 9 0 9 7 H S D Q v 0 k r 2 V 5 C r b T / n h 0 M a y X T w c H 9 v Q d j c N I g 2 3 h c f P u X P F Y 2 L 9 1 S L 2 n z 4 b n w u P j G t h 4 T 3 9 j W 4 + E b 2 / p 6 6 e b G E e 6 5 r V 6 6 V f v I t N 5 W L 9 2 q / X t O p q + X b t X + f W b U 1 0 s 3 N 3 6 f O f X 1 0 s 2 N + 3 O 6 o X F / Q j c 0 7 s / m h g G a t v f h J V i 9 9 P B + + v o 9 U 1 s P 7 + / c p J W 8 P n y t x G + + V w d D W s l 1 s I l d L P d 6 z c e Q m f C N m D K 6 X Q e W f W / d g W X g W 7 9 h u f h 2 K F k + v n U H T k P Z V 2 6 j o R z 8 7 Z s 6 i P D F T a 9 E Z v r G b m L T f S t l d X u 0 Y h N + K 3 1 1 G 9 L G Z v o G f C K z f R O Z n P K 6 3 R i c / r o 1 W k 6 L 3 b K L r z P b 7 p X d U J + 9 v 5 / 1 8 P 7 + z R r N 9 h J q t P 3 3 7 G B Y o 5 k O d j Z n z z 0 u v + U b H p / b N 2 6 n 1 L T 5 M M 9 6 / H 1 j W 4 + 9 b 2 z r 8 f W N b X 3 9 d X P j C N 9 s l O A I B 2 x s H 5 v Q W y q t W 7 V / z 8 n 0 N d a t 2 r / P j P o a 6 + b G 7 z O n v p K 6 u X F / T j c 0 7 k / o h s b 9 2 d w w Q N d 2 z 9 d I n 7 6 / h / X p z s 3 6 y P Y R 6 K N P d X J v 3 c G w P j I d 7 D 7 Y v X d w s L s / P t i 9 n V p y L + 7 v 7 e z f e z h + q C m y 6 I s e Q 5 s X b 6 m d T P O 9 g 9 1 P 9 + 7 f 2 u 9 6 n 9 c 8 B r 8 N c h 6 L v 0 8 v v g b T 9 2 6 n w U w n 2 7 f q J c I 8 t 3 o v w h O 3 6 z D C E 7 f V b e + F Y I Q n b q v j b i Z 3 h A V u h V S E F 2 5 F N V / 1 3 W Y 0 v v Z 7 H w R 9 R X i r f r 4 2 G 7 j 3 7 o V 6 8 X 2 W E x 9 + u n u z T r T w Q 5 2 o e u v W H Q z r R N P B v f 2 9 B 5 / e u 3 d / / H D T y D 3 + f 7 8 X P U E w L 9 5 S J 2 r z Y X 7 2 e P / G t h 7 r 3 9 j W Y / c b 2 / r 6 7 u b G E f 6 5 r c d 2 q / a R 6 b 2 t x 3 a r 9 u 8 5 m b 4 2 u 1 X 7 9 5 l R X 5 v d 3 P h 9 5 t R X W z c 3 7 s / p h s b 9 C d 3 Q u D + b G w b o 2 u 6 H m s m s H p 5 8 + / Q n v j q 9 n f r Y u 1 k / 2 V 5 C / a S q 4 N Y d D O s n 0 8 H 9 T / c f 3 m 4 F 0 b 2 z d 7 C 3 b x J 0 0 X c 8 R j b v 3 F I r m e b b N / b h M f N t + v D Y + d b D 8 L j 6 9 n j 5 K k v f u p 3 K u j V a v t 5 6 D 7 w i k 3 9 b 7 X V 7 1 N 5 z 5 n 0 V 9 h 5 D 6 c / 9 7 R T Z e 3 Q R m f s b X / I 1 2 + 2 7 8 l X c b W j m a 7 n b o / a + s + + a 3 4 8 r v D e v b q e L 7 t 2 s 7 G w P o b K 7 9 5 4 d D C s 7 0 w F 8 K v J J 9 2 + n 7 t 7 j L Y / t z V u 3 V H j a f J h / P V 6 / s a 3 H 6 j e 2 9 R j 8 x r a + T r u 5 c Y R 3 b q v O b t U + M r G 3 V W S 3 a v + e k + n r s F u 1 f 5 8 Z 9 b X X z Y 3 f Z 0 5 9 Z X V z 4 / 6 c b m j c n 9 A N j f u z u W G A r u 2 n o V b 6 G q n 8 T / d v 1 k y 2 l 1 A z q S q 4 d Q f D m s l 0 8 P D + / f H B p 7 f T S 7 d + x 2 N k 8 8 4 t t Z I 2 H 5 4 J j 4 d v b O u x 8 I 1 t P Q 6 + s a 2 v l W 5 u H O G d 2 2 q l W 7 W P T O p t t d K t 2 r / n Z P p a 6 V b t 3 2 d G f a 1 0 c + P 3 m V N f K 9 3 c u D + n G x r 3 J 3 R D 4 / 5 s o t 2 N W u l B R y u 9 e J N + f v z i + O l t M 1 f 3 b 1 Z J t o t Q J d 1 / z w 6 G V Z L p Y P f e z u 5 4 5 + B 2 O u n 2 L 3 l 8 b F 6 6 p V L S 5 s M T 4 b H w j W 0 9 D r 6 x r c f A N 7 b 1 l d L N j S O s c 1 u l d K v 2 k W m 9 r V K 6 V f v 3 n E x f K d 2 q / f v M q K + U b m 7 8 P n P q K 6 W b G / f n d E P j / o R u a N y f z Q 0 D d G 0 P f K X 0 4 P 3 X G B / s 3 K y V b B + B V n q g k 3 v r D o a 1 k u l g b 3 f 3 / o O H n 4 4 f f n o 7 x W T e 2 z / Y u X f v w b 0 x J n 7 w P Y + d 7 X s P H 9 J b m 1 L w H k 9 b J B / c e 3 B / / + F 4 X 0 P Y m 7 T V e 7 3 n s b l 5 b 5 M M e Y z + X t 3 4 i k x f v J 0 i M 7 1 s 7 3 1 6 8 O D + g 0 / H e x u 7 i T D R 7 V 6 M M M c t u 4 y w x 2 2 1 3 P u h G G G N 2 6 q 7 m 0 k e 4 Y P b T W y E I 7 Z v 9 a a v B 2 8 z H l 8 V v h e K v l q 8 V U d R X r h N T x 6 G D 0 M 1 + T U S + w 9 u k d i 3 v Y S K 8 n a J f d f B s K I 0 H e z v 3 d v Z v 3 d / v H 9 w O 0 V p 3 o O C 3 d t 9 M H 6 w f z t F a d 7 b N D + e H J j m 2 7 f q x x O I 2 / T j i c R 7 D c e T i P f D z 1 e S + u b t l O R 7 o e f r y P f E L 8 I Y G z X Q 1 2 U I X 0 f e q q O v z R K + k r y Z 5 B G O u G U 3 E Z 6 4 1 Y u + k n y / L n 1 1 e R s a + l r y / V B 8 X 6 6 w z c H v M S V 5 y 8 W A B / d u V J C u h 1 B B q h K / d Q e D C t J 2 c G / v / v 6 9 3 f 3 x p 7 f S j + / 1 m h M G + 9 r t 1 K N p P s z R j v t v b u u Y / + a 2 j t 1 v b u t p v V s 0 j n D P R m a L 8 M L G 9 p G p v a W K u 1 3 7 9 5 x M T 7 P d r v 3 7 z K i n z 2 7 R + H 3 m 1 F N b t 2 j c n 9 M N j f s T u q F x f z Y 3 D N C 1 3 Q 3 1 0 t d Y D o D G v E k 3 2 V 5 C 3 a S 6 9 t Y d D O s m 0 8 G D v U 9 3 b 6 u Y b v 2 O x 8 j m n V t q J W 0 + P B M e D 9 / Y 1 m P h G 9 t 6 H H x j W 1 8 r 3 d w 4 w j u 3 1 U q 3 a h + Z 1 N t q p V u 1 f 8 / J 9 L X S r d q / z 4 z 6 W u n m x u 8 z p 7 5 W u r l x f 0 4 3 N O 5 P 6 I b G / d n c M E D X d q + j l d 5 z O e D B z c s B r o t Q J d 1 u O c B 1 M K y S T A e 7 D 3 b H J k y N j t v j 4 F u / 4 3 G x e e e W K k m b D 0 + D x 8 A 3 t v X 4 9 8 a 2 H v v e 2 N Z X S T c 3 j j D O b V X S r d p H J v W 2 K u l W 7 d 9 z M n 2 V d K v 2 7 z O j v k q 6 u f H 7 z K m v k m 5 u 3 J / T D Y 3 7 E 7 q h c X 8 2 N w z Q t b 3 n q 6 S D 9 1 8 M O N i 5 W S f Z P g K d d K C T e + s O h n W S 6 e D + p 7 s P D 8 b 7 + 7 f T S u a t / f 0 H D x 7 c v z f + 9 O B 2 m s m 8 9 3 D / w e 6 9 + w d j x M y D 7 3 l M b d 7 b v X f w c O / h 7 r 3 x v U 2 Z S I + 7 3 + 9 F j 9 P N i 5 v E y O P 1 9 + v H V 2 b 6 5 u 2 U m e l m e 3 + f Z v j + / f H e p g n z 1 Z q b s d u 8 G G G Q W 3 Y Z Y Z I o C S O a 7 v 1 Q j H D H b V X e z S S P M M I t Z z b C E 9 u 3 e 9 X X h r c Z k a 8 Q 3 w 9 J X z v e q q c Y O 9 y u K w / H / V B d f o 1 F g Y O 9 m x W m 7 S V U m O o 5 3 b q D Y Y V p O j h 4 u P / w 0 x 3 i 0 k 2 q z 5 M G 8 x 6 p T F p A 3 R t / u o m 7 P a k w 7 2 3 f e 7 j 3 6 f 7 e + M G D 2 6 l M + 9 7 + w a c P 9 v d p 9 W L 3 d i r T v L i J I z z 5 s O O 6 T T e e d L w f f r 7 G 1 D d v p z H f i + y + w n T 4 3 e r N C I f c 1 i N 8 P x Q j r H F b 1 / A 9 h 9 T n i d t p z P e c 2 Q h P 3 O p F X 1 + + X 5 e + 5 r w N D X 1 9 + X 4 o v i 9 X u O b 3 Q 2 3 5 N b J w B / s 3 a 0 v b S 6 g t l S 1 u 3 c G w t j Q d 3 H 9 I 7 I Y F 5 c G x e w J x + 5 c 8 Y T A v b a K v J w v a f J i j P e 6 / s a 3 H / D e 2 9 d j 9 x r a + 1 r u 5 c Y R 7 N j J b h A 8 2 t o 9 M 6 2 1 V 3 K 3 a v + d k + p r t V u 3 f Z 0 Z 9 f X Z z 4 / e Z U 1 9 t 3 d y 4 P 6 c b G v c n d E P j / m x u G K B r + 2 l H L 7 1 n H u 7 g / s 1 K y X Y R K q X 7 7 9 n B s F I y H d A r B / c + H T / 8 9 H Z q 6 X 1 e 8 3 j Z v H Z L x a T N h y f D Y + M b 2 3 p c f G N b j 4 l v b O s r p p s b R 9 j n t o r p V u 0 j U 3 t b x X S r 9 u 8 5 m b 5 i u l X 7 9 5 l R X z H d 3 P h 9 5 t R X T D c 3 7 s / p h s b 9 C d 3 Q u D + b G w b o 2 j 5 w i m l 3 Z + d 9 s 3 H 0 y s 7 N m s n 2 4 W k m e f O 9 O h j W T K a D 3 Y P 7 O w 8 e P D w Y 4 5 N B x v H 4 2 L x 4 8 J D e 2 j m 4 P z 7 Y F J V 7 D G 1 e 3 P / 0 / o O D / T 1 6 8 d P b 6 S m L 6 u 6 D g 0 8 P K J 0 3 v q 9 B 9 k 1 a 6 z 3 f 9 B j e v L l J m j y W f 8 + O f K W m r 9 5 O q Z l + t h / s 7 p H L e v B g / O k m I v r 6 z b x 6 y z c j r H L b T i P M c l u l 9 5 5 I R p j k t u r v Z r J H u O G 2 0 x v h j O 1 b v u v r x t u M y V e P 7 4 m m r y x v 1 V W M J 2 7 Z l 4 f l Q a g + z 1 5 I e u 5 2 m m 3 3 Z t V p 4 Y e q U 6 P n W 3 c w r D p N B w d 7 O 3 v 3 H u 7 f f o X 1 / V 7 0 x M K 8 e E v H T p s P 8 7 Y n B z e 2 9 c T g x r Y e 3 9 / Y 1 t e B N z e O 8 M 9 G S Y / w w 8 b 2 k e n d 2 D 4 y q 7 f V c b d q 3 5 / N W 2 u 2 m 4 n 5 P l P q 6 7 I b G / v K 6 + b G / T n d 0 L g / o R s a 9 2 d z w w B d 2 4 e h Z n r v d Q N 6 6 R b r B r a X U D / d Z t 3 A 7 2 B Y P 5 k O d g 8 O P t 3 5 d P / T v T H Y e 5 B 3 P F a 2 b 9 5 7 8 G A H i n 3 8 4 J b O n X m T F m s + / Z Q W L M b 3 H t 5 O V 9 k X 7 + / t P d i 9 / + n D 8 Y N N b 3 p 8 b t 5 8 c H 9 / B w s q 4 / v 7 t / P t 7 C j 3 H n z 6 Y O / + / b 3 N C 0 u e A L w n s r 6 K 0 1 d v p + J M P 5 R l 2 N n / 9 A H l f m + p 6 x y C t 3 o z w j S 3 1 X r v h 2 K E U 2 6 r / t 5 z S H 0 G u Z 0 i f N + p j X D F 7 d 7 0 d e R 7 d u p r z N u Q 0 V e a 7 4 n k + 3 K G b Y 7 h x Z T o m 1 e 3 0 2 / 3 b l S g r o d Q g a o M 9 z o Y 6 m B Q g d o O D n b u k W r Z u T / e 0 Y z g D f r z P V 9 0 Q m F f 3 E R j J x O m + T B n O y m 4 u a 0 T g p v b O q 6 / u a 2 n / W 7 R O M J B G x k u w g 8 b 2 0 e m 9 5 a q 7 n b t 3 3 M y P Q 1 3 u / b v M 6 O e X r t F 4 / e Z U 0 9 5 3 a J x f 0 4 3 N O 5 P 6 I b G / d n c M E D X d j f U T e + 9 1 E k v 7 d + s n 2 w v o X 7 a f 8 8 O h v W T 6 e D T n Y O d 2 w a f 7 / G S x 8 r m p V v q J W 0 + P B c e F 9 / Y 1 m P i G 9 t 6 P H x j W 1 8 v 3 d w 4 w j 2 3 1 U u 3 a h + Z 1 t v q p V u 1 f 8 / J 9 P X S r d q / z 4 z 6 e u n m x u 8 z p 7 5 e u r l x f 0 4 3 N O 5 P 6 I b G / d n c M E D X d q + j l 9 5 r q Z P e u H m p 0 3 U R K q X b L H X 6 H Q w r J d M B v b L / 8 D 4 F g L d T S + / z m s f L 5 r V b K i Z t P j w Z H h v f 2 N b j 4 h v b e k x 8 Y 1 t f M d 3 c O M I + t 1 V M t 2 o f m d r b K q Z b t X / P y f Q V 0 6 3 a v 8 + M + o r p 5 s b v M 6 e + Y r q 5 c X 9 O N z T u T + i G x v 3 Z 3 D B A 1 / a e r 5 h 2 3 3 + p E y x 9 k 2 a y f Q S a a V c n 9 9 Y d D G s m 0 8 E D c n z 2 H 9 5 O L Z l 3 K F K + v 7 u 7 P 7 5 l H O d e O 3 h I C 1 j j g w e 3 0 0 / m v d 3 d e 7 Q 0 e u / T 8 c H B h h c 9 1 n 6 / F z 0 2 N y 9 u k i G P 0 d + v H 1 + T 6 Z u 3 0 2 S m m 2 2 i + / 6 9 e / t j s 2 x z o 0 7 z J u w W L 0 a 4 4 5 Z d R n j k t m r u / V C M c M d t 9 d 3 N J I 8 w w i 1 n N s I T 2 7 d 7 1 V e F t x m R r w 3 f D 0 l f N d 6 q p x g 7 3 K 4 r D 8 f 9 U F e + Z + I L L H m T p r Q 9 h J p S X a Z b d z C s K U 0 H 9 M a 9 g / s H 9 z a q P U 8 S 3 u s 9 T y L M e 7 f 0 4 r T 5 M F 9 7 M n B j W 0 8 E b m z r M f 2 N b X 3 d d 3 P j C P / c 1 o u 7 V f v I 5 N 7 W i 7 t V + / e c T F + r 3 a r 9 + 8 y o r 9 V u b v w + c + q r r p s b 9 + d 0 Q + P + h G 5 o 3 J / N D Q N 0 b e + H m u l r p L 3 A F z d p J 9 t L q J 3 2 3 7 O D Y e 1 k O r h P 3 t X t 9 N I t 3 / C Y 2 L x x S 4 2 k z Y d n w e P f G 9 t 6 7 H t j W 4 9 7 b 2 z r a 6 S b G 0 f 4 5 r Y a 6 V b t I x N 6 W 4 1 0 q / b v O Z m + R r p V + / e Z U V 8 j 3 d z 4 f e b U 1 0 g 3 N + 7 P 6 Y b G / Q n d 0 L g / m x s G 6 N p + 2 t F I 7 5 n w w i T f p I 5 s F 6 E 6 U s / k 1 h 0 M q y P T A a 2 m 7 o w f 3 l I j 3 f 4 l j 4 / N S 7 d U S t p 8 e C I 8 F r 6 x r c f B N 7 b 1 G P j G t r 5 S u r l x h H V u q 5 R u 1 T 4 y r b d V S r d q / 5 6 T 6 S u l W 7 V / n x n 1 l d L N j d 9 n T n 2 l d H P j / p x u a N y f 0 A 2 N w 9 m 8 t V J 6 4 C u l v f d P d m H 4 N 2 k l 2 0 e g l f Z 0 c m / d w b B W M h 3 s P d x 9 u H v w 6 c M H 4 0 8 3 5 a A 8 R v b e f P B w 5 9 P d v f H e p m S Z x 9 L 2 z f 2 D 3 b 2 9 8 a e q Y 6 O v e Z x t X t v d 2 9 m 5 9 2 C 8 t w l P j 8 H f 5 z W P 1 c 1 r m + T I Y / b 3 6 c X X Z f r e 7 X S Z 6 + R g 5 + D + + N 4 m e + D r N P P e 9 q 1 e j H D H b Z X b e y E Y 4 Y j b K r n 3 G 1 C f G W 6 n 7 d 5 r T i O 8 s H 2 b F 3 0 l e B s y + H r w f R D 0 V e K t + o m w w a 0 G 5 O F 3 E G r I s x e S 4 7 q d 8 t q 9 W T t a + K F 2 1 D z p r T s Y 1 o 6 m g / v 3 k d 4 7 O H g w v r 9 / O + 3 4 n m 9 6 s m D e v K X 3 p s 2 H O d r j / h v b e s x / Y 1 u P 4 W 9 s 6 2 u 8 m x t H O G i j Y o h w x M b 2 k Q m + r Y K 7 V f v 3 n E x f s d 2 q / f v M q K / P b m 7 8 P n P q K 6 6 b G / f n d E P j / o R u a N y f z Q 0 D d G 0 f h r r p P d P v 6 P U m 7 W R 7 C L X T 7 d L v r o N h 7 W Q 6 + H R v 9 + H O g w c P 9 s c P b q m d 3 v N N j 6 H N m 7 f U T t p 8 e E Y 8 X r 6 x r c f K N 7 b 1 O P n G t r 5 2 u r l x h I d u q 5 1 u 1 T 4 y w b f V T r d q / 5 6 T 6 W u n W 7 V / n x n 1 t d P N j d 9 n T n 3 t d H P j / p x u a N y f 0 A 2 N + 7 O 5 Y Y C 2 7 b 2 d U D t 9 j R Q 8 M v 4 3 a C j X S 6 i h V B X c u o N B D W U 7 e P B w 9 9 7 u g z F k Y Z B x H B + / 1 2 u O n e 1 r t 9 N N p v n w f D h O v r m t Y + S b 2 z o + v r m t p 5 t u 0 T j C Q b f U T b d r H 5 n a W + q m 2 7 V / z 8 n 0 d N P t 2 r / P j H q 6 6 R a N 3 2 d O P d 1 0 i 8 b 9 O d 3 Q u D + h G x r 3 Z 3 P D A F 3 b 3 Y 5 u e s 9 k P B L / N y k m 2 0 W o m G 6 X j H c d D C s m 0 8 G 9 v d 0 d i m 8 / H d + / p W p 6 v x c 9 f j Y v 3 l I 5 a f P h C f F Y + c a 2 H i f f 2 N Z j 5 B v b + s r p 5 s Y R F r q t c r p V + 8 j 0 3 l Y 5 3 a r 9 e 0 6 m r 5 x u 1 f 5 9 Z t R X T j c 3 f p 8 5 9 Z X T z Y 3 7 c 7 q h c X 9 C N z T u z + a G A b q 2 e 7 5 y u v f + S X l o w p u 0 k + 0 j 0 E 7 3 d H J v 3 c G w d j I d f H r / 4 Y N P D / b 2 H o 5 3 N u X I P U Z + z z c 9 l j Z v 3 l I / a f P h O f G 4 + c a 2 H j P f 2 N b j 5 R v b + v r p 5 s Y R L r q t f r p V + 8 g E 3 1 Y / 3 a r 9 e 0 6 m r 5 9 u 1 f 5 9 Z t T X T z c 3 f p 8 5 9 f X T z Y 3 7 c 7 q h c X 9 C N z T u z + a G A b q 2 9 0 L 9 9 F 4 p c S j C m 3 S T h R / q p t 3 3 7 G B Y N 5 k O R M N Q + m i 8 v 3 8 7 3 f S e b 3 r s b N 6 8 p W 7 S 5 s P z 4 X H y j W 0 9 R r 6 x r c f H N 7 b 1 d d P N j S M c d F v d d K v 2 k Q m + r W 6 6 V f v 3 n E x f N 9 2 q / f v M q K + b I o 2 H d d O N j X 3 d d H P j / p z e T j f d 3 L g / m 7 f S T f t d 3 f R + g d 2 9 W w R 2 t o t Q P d 0 u s H M d D K s n 0 8 H u w b 3 N y 5 Q e B 9 / 6 H Y + L z T u 3 V E n a / F Y q 6 c a 2 H v / e 2 N Z j 3 x v b + i r p 5 s Y R x r m t S r p V + 8 i k 3 l Y l 3 a r 9 e 0 6 m r 5 J u 1 f 5 9 Z t R X S T c 3 f p 8 5 9 V X S z Y 3 7 c 7 q h c X 9 C N z T u z + a G A b q 2 9 3 2 V t P / + 4 d z + z s 0 6 y f Y R 6 K R 9 n d x b d z C s k 0 w H m 9 j F 4 1 7 T / N 4 Y 2 n v w D Y 9 / b 9 O B x 7 6 3 7 M B j 4 F u + 4 X H x b V D y + P i W H f g a S l + 5 n Y Y y 8 L d v 6 i D C F z e 9 E p n p G 7 u J T P d t l d V t 0 Y p M + G 3 1 1 c 2 k j c z 0 T f h E Z v s m M v n K 6 z Z j 8 P X X L d H y t d i t u v g 6 s + 1 e + T T U Z 1 9 j X Q 8 x 0 0 0 a z f Y S a r T 9 9 + x g W K O Z D j 4 d f / r p 7 Z T a L d / w + N y 8 c U u l p s 2 H e d b j 7 x v b e u x 9 Y 1 u P r 2 9 s 6 + u v m x t H + O a 2 H t a t 2 k c m 9 L Y e 1 q 3 a v + d k + h r r V u 3 f Z 0 Z 9 j X V z 4 / e Z U 1 9 J 3 d y 4 P 6 c b G v c n d E P j / m x u G K B r + 8 D X S P f f 3 8 O 6 f w s P y / Y R 6 K P 7 O r m 3 7 m B Y H 5 k O b u l h m e b 3 d s f 7 t 4 z 3 b t O D x 7 + 3 7 c F j 4 d u + 4 j H y b Z D y W P m 2 P f h a S t + 5 n Z Y y H W z f 2 E O E O W 5 8 J z L f N 3 c U m f X b 6 q x b I x a Z 9 9 v q r Z v J G 5 n u G x G K z P m N l P L V 2 G 1 G 4 W u y 2 y L m K 7 R b 9 f G 1 p t y 9 c x D q t q / h b d 3 f v 1 m 7 2 V 5 C 7 b b / n h 0 M a z f T w a d 7 4 4 c K 9 S Y N d 9 t X P H Y 3 r 9 x S w 2 n z Y c 7 1 u P z G t h 6 T 3 9 j W Y + 4 b 2 / q a 7 O b G E c 7 Z K M c R H t j Y P j K l G 9 t H 5 v O 2 u u t W 7 f u z e W u 9 d T M x 3 2 d K f Y V 1 Y 2 N f U d 3 c u D + n G x r 3 J 3 R D 4 / 5 s b h i g a / v Q 1 0 m f v r + / 9 e n O z R r J 9 h F o J L z 5 X h 0 M a y T T w d 5 4 Z + 9 2 C s m 8 c X C P V B I k Y f A l j 4 v N S z v j n U 1 K z O N j r 5 u d M Q R i 8 C W P m W / / k s f U F r f b + V 6 3 7 8 P X W f r W 7 X S W 6 W J b + t i 9 p e o K M d v 4 V o Q D b t N Z h A 1 u q 8 f e A 7 k I F 9 x W m 9 1 M 5 s j E 3 2 I m I / O v 9 N r 0 m q / g b j M S X 8 f d H j l f 2 d 2 q l + H J 3 0 g D + x Y y 5 b 7 m O 3 v x + a v T 1 7 d c W / x 0 9 0 a t 5 + C H W k + Z 5 t Y d D G o 9 2 w E 5 o L f T e r d 9 w z G 8 f W P T V D h O N 8 2 H O d d x + c 1 t H Z P f 3 N a x 9 s 1 t P Y 1 2 i 8 Y R j t k o x x E O 2 N g + M q F B + 2 H t d b v 2 7 z m Z n t 6 6 X f v 3 m V F P b 9 2 i 8 f v M q a e k b t G 4 P 6 c b G v c n d E P j / m x u G K B r u x v q o l N R R e m b V 7 d T F v d u 1 k a 2 h 1 A b q e d z 6 w 6 G t Z H p g N 6 5 v 7 / Z p f J Y + D 3 e 8 h j Z v H V L r a T N b 6 W V b m z r s f C N b T 0 O v r G t r 5 V u b h z h n d t q p V u 1 j 0 z s b b X S r d q / 5 2 T 6 W u l W 7 d 9 n R n 2 t d H P j 9 5 l T X y v d 3 L g / p x s a 9 y d 0 Q + P + b G 4 Y o G u 7 F 2 q l r 5 G v + n T / Z s 1 k e w k 1 0 / 5 7 d j C s m U w H 9 + 9 / e n A 7 r X T L N z w m N m / c U i N p 8 + F Z 8 P j 3 x r Y e + 9 7 Y 1 u P e G 9 v 6 G u n m x h G + u a 1 G u l X 7 y I T e V i P d q v 1 7 T q a v k W 7 V / n 1 m 1 N d I N z d + n z n 1 N d L N j f t z u q F x f 0 I 3 N O 7 P 5 o Y B u r b 3 O h r p x Z v 0 8 + M X x 0 9 v G 7 b d v 1 k d 2 S 5 C d a R B 5 a 0 7 G F Z H p o P d 8 d 7 t t N H t X v D 4 1 7 x w S 2 W k z Y c n w G P d G 9 t 6 n H t j W 4 9 x b 2 z r K 6 O b G 0 d Y 5 r b K 6 F b t I 9 N 5 W 2 V 0 q / b v O Z m + M r p V + / e Z U V 8 Z 3 d z 4 f e b U V 0 Y 3 N + 7 P 6 Y b G / Q n d 0 L g / m x s G 6 N r u + 8 r o w f u n z h / s 3 K y N b B + B N n q g k 3 v r D o a 1 k e m A c t q b V j E 9 B j Z v 7 H 3 6 8 N 5 4 / + H t V J L t 5 n Y q K e x j k 9 r z O P n 2 L 3 k c f R v E P J 6 + f R + + w t K 3 b q e w T B f b t + g j w i m 3 e C s y / b f p L M I D t 1 V i 7 4 F c h A t u q 8 p u J n N k 4 m + B U m T + b 0 E v X 7 v d Z i S + g r s 9 c r 6 m u 1 U v X 3 P y 3 V v 3 Q 7 X 3 X n n z B 7 s 3 q z w L P 1 R 5 u + / Z w b D K M x 3 s H u y P s V Y 6 O G i P 4 W / 9 j s f 0 5 p 1 b 6 j x t P s y 9 H q f f 2 N Z j 9 B v b e u x 9 Y 1 t f q 9 3 c O M I 1 t 3 X D b t U + M q m 3 d c N u 1 f 4 9 J 9 P X X b d q / z 4 z 6 u u u m x u / z 5 z 6 i u r m x v 0 5 3 d C 4 P 6 E b G v d n c 8 M A X d t P O / r o / b N U D / Z v 1 k q 2 l 1 A r 7 b 9 n B 8 N a y X R w / 9 7 B p + O H t 1 R L t 3 / J Y 2 X z 0 i 3 1 k j Y f n g u P i 2 9 s 6 z H x j W 0 9 H r 6 x r a + X b m 4 c 4 Z 7 b 6 q V b t Y 9 M 6 2 3 1 0 q 3 a v + d k + n r p V u 3 f Z 0 Z 9 v X R z 4 / e Z U 1 8 v 3 d y 4 P 6 c b G v c n d E P j / m x u G K B r + 6 C j l 9 4 z V / X A p p K G l Z L t I l R K 9 9 + z g 2 G l Z D q A 2 3 N f P b D o u D 0 O v v U 7 H h e b d 2 6 p k r T 5 8 D R 4 D H x j W 4 9 / b 2 z r s e + N b X 2 V d H P j C O M I M W 5 W S b d q H 5 n U 2 6 q k W 7 V / z 8 n 0 V d K t 2 r / P j P o q 6 e b G 7 z O n v k q 6 u X F / T j c 0 7 k / o h s b 9 2 d w w Q N f 2 w F N J u z v v n b H a 3 d m 5 W S f Z P n y d x G + + V w f D O s l 0 s H u w + + D T e w / G m O 1 B v v H Y 2 L 2 3 8 + m 9 + / v j W 2 a u 7 G v 7 + 6 T Q d j Y p N I + n z V v 3 9 n Z 2 x w / u b X j J Y + z b v + Q x u H l p k / R 4 L H 7 7 P n z 9 p W / d T n 9 Z i u 3 u H e y N 9 z Z N j 6 / G z G v b t 3 k v w g + 3 V W f v g 1 6 E D 2 6 r 1 d 5 r O H 0 m u J 1 2 e 4 / Z j P D A 9 s 2 v + Q r v N h T w d d 7 t k f O V 3 6 1 6 i U z / L Q b j 4 f Y w 1 I T v k 8 T a h Q 6 4 S Q t a + K E W v F U S y + t g W A u a D n Y / P f j 0 / s 7 B G H Z g c O A e 9 9 v 3 D n Z 2 D w 7 u b y a Y x / 7 m v U 3 T 4 n G / 7 W b 3 / r 0 H D 8 Z 7 n 9 5 O A 7 7 P a 5 4 Y 3 A Y 5 j / / f p x d f C + p 7 t 9 O C p p P t W / U S Y Z 1 b v R f h i N t 1 G G G J j Z o t w g q 3 6 i f C E x v 7 6 T P D 7 T T h e y E V 4 Y V b U c 3 X h r c Z j a 8 N 3 w d B X x / e q p + v z Q b 2 v f s 7 o U Y 8 F Y W Y n n z 7 9 C e + O r 2 d 2 t q 7 U S + 6 X k K 9 q E s P t + 5 g U C / a D v Z 3 7 x 0 c 3 N Y 3 f J + 3 n C D Y t 2 6 n E 0 3 z Y X 5 2 v H 9 z W 8 f 6 N 7 d 1 7 H 5 z W 0 / f 3 a J x h H 8 2 S n e E E z a 2 j 0 z s x v a R K b 2 l V r t d + / 5 s 3 l a b 3 Y K Y 7 z O l n g q 7 u b G n t m 7 R u D + n G x r 3 J 3 R D 4 / 5 s b h i g a 7 s b 1 0 x v X t 1 O a d y 7 W S v Z H k K t p K 7 R r T s Y 1 k q m g 9 1 P d 0 n F P B g b 0 N G h e 0 x s 3 9 t / e P D g / s P x g 0 1 e n s f M 5 r 1 b a i b T / F Y 2 w + P p 2 3 T j c b U d z S 1 6 8 f j 7 v b D z 9 Z e + e D v 9 9 T 7 I + X r s / b C L 8 M R t F d p 7 I f i e v O A r t v c b U J 8 b b q f h 3 q + X C D f c 5 j 1 f 8 b 1 X h 7 4 S v A 3 9 f D 3 4 X g i + L z + 4 5 n u h V n z / Z c / d n f 2 b N a P t J d S M + + / Z w b B m N B 0 c P H z w c K x u 4 E 1 a 8 d b v e F J g 3 r m l R t T m w 7 z s 8 f 2 N b T 2 2 v 7 G t x + k 3 t v V 1 3 c 2 N I 7 y z k d U i X H B b X + 1 W 7 S M T e l t f 7 V b t + 7 N 5 a 1 / t Z m K + z 5 T 6 2 u v G x r 7 K u r l x f 0 4 3 N O 5 P 6 I b G / d n c M E D X 9 l 5 H K 7 3 f o u f u z s 2 L n q 6 L U C X d a t H T 6 2 B Y J Z k O 7 u 3 e 3 9 n b u E z g s f D t X / L 4 2 L x 0 S 6 W k z Y c n w m P h G 9 t 6 H H x j W 4 + B b 2 z r K 6 W b G 0 d Y 5 7 Z K 6 V b t I 9 N 6 W 6 V 0 q / b v O Z m + U r p V + / e Z U V 8 p 3 d z 4 f e b U V 0 o 3 N + 7 P 6 Y b G / Q n d 0 L g / m x s G 6 N r u + 0 p p 9 / 2 X P c H S N 2 k l 2 0 e g l X Z 1 c m / d Q V 8 r d T v Y u 7 d z / 8 H u L b W S e e n e 7 t 6 n t / W U 7 D v 3 P 9 3 b + / R g f H A 7 5 W R e 2 9 2 7 / / D T B 5 9 u e M n j 6 d u / 5 P G 2 e W m T 4 H j c f f s + f N W l b 9 1 O d X l z Q 5 3 s b S S Z r 8 L M e 9 u 3 e t H j / t u Q w N d l 7 4 V g h B d u q 9 P e b 0 B 9 R r i d c n u P G Y 3 w w f b N r / n 6 7 j Y k 8 F X e 7 Z H z d d + t e o k w w C 0 G 4 + F 2 P 1 S E 7 7 X q C X 6 / S Q l a + K E S 3 H 3 P D o a V o O l g / + D e w Y O D W y r B 2 7 / k c b 5 5 6 Z a u m T Y f 5 l + P 1 2 9 s 6 7 H 6 j W 0 9 B r + x r a / f b m 4 c 4 Z v b u m a 3 a h + Z 1 t u q s 1 u 1 f 8 / J 9 N X Y r d q / z 4 z 6 2 u v m x u 8 z p 7 6 q u r l x f 0 4 3 N O 5 P 6 I b G / d n c M E D X 9 t O O R n r / L B b 4 4 i a 9 Z H s J 9 d L + e 3 Y w r J d M B 5 8 + u H d v o 8 3 z m P j W 7 3 i M b N 6 5 p V b S 5 s M z 4 f H w j W 0 9 F r 6 x r c f B N 7 b 1 t d L N j S O 8 c 1 u t d K v 2 k U m 9 r V a 6 V f v 3 n E x f K 9 2 q / f v M q K + V b m 7 8 P n P q a 6 W b G / f n d E P j / o R u a N y f z Q 0 D d G 0 f + F p p 7 / 0 D R g z / J p 1 k + w h 0 0 p 5 O 7 q 0 7 G N Z J p o O H D y l J v m n d 0 G N h + w 6 t N 3 7 6 8 N 4 Y u n z w P Y + V z X v 3 H x w 8 u E f r l K D 2 4 H s e S 5 v 3 d u / v H d z f u U 9 6 c H / D i x 5 v v 9 + L H p + b F z c J k c f p 7 9 e P r 8 r 0 z d u p M t P N N h H + w a c P 9 8 d 7 m w y C r 9 S 8 G b v F i x H 2 u G W X E S a 5 r Z 5 7 P x Q j 3 H F b h X c z y S O M c M u Z j f D E 9 u 1 e 9 X X h b U b k q 8 P 3 Q 9 L X j b f q K c Y O t + v K w / E g V J a n n 3 N M m Z 5 8 + / Q n v j q 9 n T b b u 1 l d 2 l 5 C d a k 5 r V t 3 M K w u T Q e 7 O w c P H t 4 7 G J s F h Z t U p n n v Y O 8 h 9 T P + 9 J Z Z N v P a L T 0 5 0 3 x 7 7 / 7 B w e 7 9 8 f 6 9 2 + n J 2 3 T j C Y V p f p t e P I l 4 L + x 8 J a k v 3 k 5 J v g 9 y v o p 8 P + w i L L F R / 0 R Y 4 V b 9 v C c v + H r x / Q b U 5 4 b b K c j 3 6 y X C D b d 5 z 1 e O 7 9 W h r y V v Q z 9 f N 7 4 X g u / L D 6 7 5 w 7 h i f P P q d j r r 3 s 1 K 0 f Y Q K k U d z 6 0 7 G F a K p o P d g / 1 P 7 3 2 6 T 7 T 6 9 H Z a 8 f 1 e 9 G T B v H h L v a j N h z n a 4 / 4 b 2 3 r M f 2 N b j 9 9 v b O t r v J s b R z h o I 8 N F + G F j + 8 j 0 3 l b B 3 a r 9 e 0 6 m r 9 h u 1 f 5 9 Z t T X Z z c 3 f p 8 5 9 R X X z Y 3 7 c 7 q h c X 9 C N z T u z + a G A d q 2 n + 6 E u u l r 5 N 3 2 9 m / U T 6 6 X U D / t v 2 c H g / r J d n D / 0 / u f j s F J g 2 z j u P g 9 X n K s b F + 6 n V 4 y z Y f n w n H x z W 0 d E 9 / c 1 v H w z W 0 9 v X S L x h H u u a V e u l 3 7 y L T e U i / d r v 1 7 T q a n l 2 7 X / n 1 m 1 N N L N z U O 9 N L N j T 2 9 d I v G / T m 9 l V 6 6 R e P + b N 5 K L + 1 2 9 N K L N + n n x y + O n 9 5 y k X L v / s 1 K y X Y R K i U N 9 2 7 d w b B S M h 3 s P n x 4 M M Z K 7 S D P e C x 8 + 5 c 8 P j Y v 3 V I p a f N b K a U b 2 3 o c f G N b j 4 F v b O s r p Z s b R 1 j n t k r p V u 0 j 0 3 p b p X S r 9 u 8 5 m b 5 S u l X 7 9 5 l R X y n d 3 P h 9 5 t R X S j c 3 7 s / p h s b 9 C d 3 Q u D + b G w b o 2 u 7 5 S u n e + y 8 H 3 N u 5 W S v Z P g K t d E 8 n 9 9 Y d D G s l 0 8 E m d v G 4 1 z S / N w a p B t / w + P c 2 H X j s e 8 s O P A a + 5 R s e F 9 8 G J Y + P b 9 m B r 6 H 0 l d t p K A N / + 6 Y O I n x x 0 y u R m b 6 x m 8 h 0 3 1 Z Z 3 R a t y I T f V l / d T N r I T N + E T 2 S 2 b y K T r 7 x u M w Z f f 9 0 S L V + L 3 a q L r z P b 7 p V 7 o T 5 7 z 8 T U v Z s T U 6 6 H U J v d L j H l O h j W Z q a D B 2 O z B H C T Q r v l G x 6 P m z d u q d C 0 + T C / e r x 9 Y 1 u P t W 9 s 6 / H 0 j W 1 9 3 X V z 4 w j P 3 N a 7 u l X 7 y I T e 1 r u 6 V f v 3 n E x f W 9 2 q / f v M q K + t b m 7 8 P n P q K 6 i b G / f n d E P j / o R u a N y f z Q 0 D d G 3 3 Q 2 3 0 v i H f v V u E f L a L U B 3 d L u R z H Q y r I 9 P B 3 q f 3 x g 8 + v Z 1 C u v U 7 H h e b d 2 6 p k r T 5 8 D R 4 D H x j W 4 9 / b 2 z r s e + N b X 2 V d H P j C O P c V i X d q n 1 k U m + r k m 7 V / j 0 n 0 1 d J t 2 r / P j P q q 6 S b G 7 / P n P o q 6 e b G / T n d 0 L g / o R s a 9 2 d z w w B d 2 / u + S t p / / 4 B v f + d m n W T 7 C H T S v k 7 u r T s Y 1 k m m g 0 3 s 4 n G v a b 5 / M H 5 w y 4 j v N j 1 4 / H v b H j w W v u 0 r H i P f B i m P l W / b g 6 + l 9 J 3 b a S n T w f a N P U S Y 4 8 Z 3 I v N 9 c 0 e R W b + t z r o 1 Y p F 5 v 6 3 e u p m 8 k e m + E a H I n N 9 I K V + N 3 W Y U v i a 7 L W K + Q r t V H 1 9 r y t 0 7 n 4 a 6 7 T 2 D v / 1 7 N 2 s 2 2 0 O o 2 e 6 9 Z w f D m s 1 0 8 P D B e P + W 0 d 9 t X / F Y 3 b x y S + 2 m z Y e 5 1 u P w G 9 t 6 D H 5 j W 4 + x b 2 z r a 7 G b G 0 e 4 5 r a + 1 q 3 a R 6 b 0 t r 7 W r d q / 5 2 T 6 O u t W 7 d 9 n R n 2 d d X P j 9 5 l T X 0 n d 3 L g / p x s a 9 y d 0 Q + P + b G 4 Y o G v 7 w N d H 9 9 / f 1 7 p / C 1 / L 9 h F o p P s 6 u b f u Y F g j m Q 5 u 6 W u Z 5 v u 7 4 3 u f 3 k 4 b 3 a Y H j 3 9 v 2 4 P H w r d 9 x W P k 2 y D l s f J t e / C 1 l L 5 z O y 1 l O t i + s Y c I c 9 z 4 T m S + b + 4 o M u u 3 1 V n S / h a I R e b 9 t n r r Z v J G p v t G h C J z f i O l f D V 2 m 1 H 4 m u y 2 i P k K 7 V Z 9 f K 0 p d + 8 c h L r N + F o n 3 z 7 9 i a 9 O b 6 d 8 9 m 7 W b r a X U L u p m 3 P r D o a 1 m + n g 0 1 u q N 9 P e r F 7 e p N t M + 1 v q N t N 8 e y N 8 j 8 l v A 9 9 j 8 1 u h 7 7 H 4 7 f D x l Z q + c T u l d i t 0 f I V 2 S 3 w i E 7 y x / f t O s K / K b t X B e 0 + x r 8 h u J m l k h m 8 A H 5 n j j S / 4 K u x 2 X f h K 7 D Y 0 8 h X Y 7 V B 6 3 1 l 2 z R + G y u v s J 4 / T 3 y c 9 + f K L s 9 d n X 7 6 4 n W 7 Z v 1 l 5 2 V 5 C 5 b X / n h 0 M K y / T w d 7 e + M E t g 8 X b v u I x u H l l E 2 0 9 / t b m w 9 z q c f a N b T 3 G v r G t x 9 I 3 t v U 1 1 s 2 N I 5 x z W 4 V 1 q / a R K b 2 t u r p V + / e c T F 9 b 3 a r 9 + 8 y o r 6 t u b v w + c + q r q J s b 9 + d 0 Q + P + h G 5 o 3 J / N D Q O 0 b R / s + D r p 0 / c P F u H B 3 K C R X B + B R j K + z 6 0 7 G N R I t o O 9 B + O 9 B 7 f S S P a V B w c H e w / 3 7 4 8 h b Y P v O U 6 2 7 9 1 O L Y X d 7 D 4 Y H + z f y s F 6 v / c c b 9 8 K P c f d 7 9 e N p 7 3 M i 7 f S X r a X 7 d t 1 E + G c 2 7 0 Y 4 Y h b d h l h j F u q t v d E M c I a t 9 R x t y B 5 h A 9 u h 1 W E I 2 5 H O E / 5 3 W o 8 n v 5 7 P x Q 9 X X i 7 j r 4 + L 7 g X d 0 P d + D W C z U 9 v D j Z d L 6 F 2 v F 2 w 6 T o Y 1 o 6 m A / r 1 0 / s H 9 + 6 P 4 b c O j t 8 T B f P i r e j m i Y R 5 7 5 Y 6 0 j S / 3 f x 4 E n G b f j y Z e K / h e C L x f v j 5 W l L f v J 2 W f C / 0 f C X 5 n v h F O G O j C v q 6 D O E r y V t 1 9 L V Z w t e S N 5 M 8 w h G 3 7 C b C E 7 d 6 0 d e S 7 9 e l r y 9 v Q 0 N f T b 4 f i u / L F a 7 5 X q g l v 0 Z U + + n + z V r S 9 h J q S R 3 T r T s Y 1 p K m g / v 7 Y x M r 3 6 Q f b / u K J w j m l V u q R m 0 + z M 0 e 5 9 / Y 1 m P 8 G 9 t 6 r H 5 j W 1 / j 3 d w 4 w j k b G S 3 C A x v b R 6 b 0 t u r t V u 3 f c z J 9 r X a r 9 u 8 z o 7 4 u u 7 n x + 8 y p r 7 J u b t y f 0 w 2 N + x O 6 o X F / N j c M 0 L W 9 1 9 F J L 9 6 k n x + / O H 7 6 5 e v b 6 Y v 7 N y s k 2 0 W o k O 6 / Z w f D C s l 0 8 O A B R a e 3 1 E i 3 f s f j Y v P O L V W S N h + e B o + B b 2 z r 8 e + N b T 3 2 v b G t r 5 J u b h x h n N u q p F u 1 j 0 z q b V X S r d q / 5 2 T 6 K u l W 7 d 9 n R n 2 V d H P j 9 5 l T X y X d 3 L g / p x s a 9 y d 0 Q + P + b G 4 Y o G u 7 7 6 m k v d 3 3 T r T t g a V v 0 k m 2 D 1 8 n 8 Z v v 1 c G w T j I d U B 7 f u F 7 R c X s c b F 7 Z 3 9 n Z u e k 1 j 5 H N a 7 f U S n 4 v O 5 v e e f D 4 7 n u / 4 7 H 0 b d D y m P r W X f g K S 1 + 6 n c I y P W z f 3 E W E U W 5 + K T L 5 t + g q M v + 3 1 W C 3 R y 0 y / b d V Y z e T O D L n N 2 M U m f m b i e X r t d u M w 1 d t t 0 b N V 3 G 3 6 u T r z b t 7 6 X 6 o 7 s 5 e S P L s d p p o 9 2 Z V Z + G H q m 7 3 P T s Y V n W m g 9 2 d 8 b 2 9 2 6 m 6 2 7 7 i c b t 5 5 Z Z q T p s P 8 6 3 H 4 z e 2 9 V j 8 x r Y e Z 9 / Y 1 t d l N z e O 8 M x t t d i t 2 k e m 9 L a q 6 1 b t 3 3 M y f a 1 1 q / b v M 6 O + 1 r q 5 8 f v M q a + k b m 7 c n 9 M N j f s T u q F x f z Y 3 D N C 1 / T T U R i a T / + b V 7 d T F v Z v 1 k e 0 h 1 E f 3 3 r O D Y X 1 k O j g g F X z v 0 / H D T 2 + n k 9 7 n N Y + V z W u 3 1 E v a f H g u P C 6 + s a 3 H x D e 2 9 X j 4 x r a + X r q 5 c Y R 7 b q u X b t U + M r W 3 1 U u 3 a v + e k + n r p V u 1 f 5 8 Z 9 f X S z Y 3 f Z 0 5 9 v X R z 4 / 6 c b m j c n 9 A N j f u z u W G A r u 2 D U C + 9 f + 5 8 D 3 x x k 2 6 y v Y S 6 a f 8 9 O x j W T a a D / f H B w e 3 U 0 i 3 f 8 J j Y v H F L j a T N h 2 f B 4 9 8 b 2 3 r s e 2 N b j 3 t v b O t r p J s b R / j m t h r p V u 0 j E 3 p b j X S r 9 u 8 5 m b 5 G u l X 7 9 5 l R X y P d 3 P h 9 5 t T X S D c 3 7 s / p h s b 9 C d 3 Q u D + b G w b o 2 h 5 0 N N L 7 Z c 7 3 M M k 3 q S P b R a i O 7 r 9 n B 8 P q y H R w 7 2 C s O i 4 6 a o 9 / b / m G x 8 H m j V u q I 2 0 + P A U e 8 9 7 Y 1 u P d G 9 t 6 r H t j W 1 8 d 3 d w 4 w j S 3 V U e 3 a h + Z 0 N u q o 1 u 1 f 8 / J 9 N X R r d q / z 4 z 6 6 u j m x u 8 z p 7 4 6 u r l x f 0 4 3 N O 5 P 6 I b G / d n c M E D X 9 q G v j v b e P 2 u O 4 d + k j 2 w f g T 7 C m + / V w b A + M h 3 s P t w 5 G I M S g 0 z j 8 b B 9 6 d 7 9 h / f 3 P t 0 b 7 9 w y p W R f 3 N u 5 / / D T g w f j e 6 p Z o y 9 6 X G 1 e 3 L v / 6 f 1 7 O / u 7 m 1 c Q P f Z + v x c 9 V j c v b p I j j 9 n f r x 9 f m + m b t 9 N m p p t t k P 7 e v f v 3 x v h o u J 8 I K 9 3 y z Q i P 3 L b T C K f c V t u 9 J 5 I R D r m t 3 r u Z 7 B F m u O X s R v h i + 3 a v + i r x N i P y t e L 7 I e m r y F v 1 F G O I 2 3 X l c D z Y C X W m S X a d f P v 0 J 7 4 6 v Z 1 S 2 7 t R a 7 p e Q q 2 p S u r W H Q x q T d v B 7 s N 7 D + m V B + P d T Q r Q y c N 7 v u g E w 7 6 4 v f u A n o P x w e 6 t F O f 7 v e f E w 7 6 3 i S W c g L h x 3 a I X J x 3 v h 5 2 n N M 2 L t 1 K a t x q L p y l v 1 z 7 C D R v b R 5 j g l k r x d u 0 j c 3 5 L V X g L Y k Z m + n Z T F p n r 2 7 z n q c H 3 6 9 D T h 7 c i g 6 c F 3 w / B 9 5 1 + 1 3 w 3 r g I l 3 3 + z d r o 5 3 + 9 6 C N X f 7 f L 9 r o N h 9 W c 6 e P D g 4 f 6 n n + 6 O 7 2 3 S / h 7 j v 9 d 7 n g C Y 9 z Z R 2 O N / b T 7 M z x 7 v 3 9 j W Y / 0 b 2 3 r c f m N b X 5 v d 3 D j C P 7 f V Z r d q H 5 n c 2 2 q z W 7 V / z 8 n 0 t d m t 2 r / P j P r a 7 O b G 7 z O n v t q 6 u X F / T j c 0 7 k / o h s b 9 2 d w w Q N d 2 L 9 R M X y P j v 7 d / s 3 a y v Y T a S V X B r T s Y 1 k 6 m A / K u D m 6 p m G 7 7 i s f G 5 p V b 6 i R t P j w P H g f f 2 N Z j 4 B v b e v x 7 Y 1 t f J 9 3 c O M I 5 t 9 V J t 2 o f m d L b 6 q R b t X / P y f R 1 0 q 3 a v 8 + M + j r p 5 s b v M 6 e + T r q 5 c X 9 O N z T u T + i G x v 3 Z 3 D B A 1 / Z e R y e 9 Z 8 5 / 7 + a c v + s i V E i 3 y / m 7 D o Y V k u l g 7 8 F 9 W l P c l P H y W P j 2 L 3 l 8 b F 6 6 p V L S 5 s M T 4 b H w j W 0 9 D r 6 x r c f A N 7 b 1 l d L N j S O s c 1 u l d K v 2 k W m 9 r V K 6 V f v 3 n E x f K d 2 q / f v M q K + U b m 7 8 P n P q K 6 W b G / f n d E P j / o R u a N y f z Q 0 D d G 3 3 f a V 0 7 / 0 z / / d 2 b t Z K t o 9 A K 9 3 T y b 1 1 B 8 N a y X S w f / / e g / H O 7 u 2 0 k n n p 4 X 1 k / T e 9 5 D G y e e m W W s k 0 v 7 9 j d P B N u s m 8 s b u z + R W P n 1 0 n O 5 v Q 8 p j 6 l m j 5 6 k p f u Z 2 6 M v C 3 b + o g w i Q 3 v R K Z 9 h u 7 i c z 6 b T X X b d G K T P p t l d f N p I 1 O 9 m Z 8 I r N 9 E 5 l 8 T X a b M f j K 7 J Z o + S r t V l 1 8 n d l 2 r 9 w P l d v X S N H f 2 7 t Z v d l e Q v W 2 9 5 4 d D K s 3 0 w H p h I 0 S 7 r G 5 e e U G n e A x u n n j l p r N N N + + o Q e P z 2 / T g 8 f p t x y C x + i 3 x c n X a / r O 7 f T a L V H y 1 d q t c Y r M 9 2 2 9 s d u i 9 Z 6 z 7 e u 0 W w + j P 9 + 3 0 2 u 3 7 i A y 3 z e 8 4 u u 1 2 3 b j 6 7 b b 0 M p X b L d F 6 3 1 n 3 D X / N N R r X y O 7 h X T 1 T X r N 9 h L q t f 3 3 7 G B Y r 5 k O 9 u 6 P b + m z 3 f I N j 9 H N G 7 d U a 9 p 8 m G c 9 / r 6 x r c f e N 7 b 1 2 P r G t r 7 + u r l x h G 9 u q 7 x u 1 T 4 y o b d V X L d q / 5 6 T 6 W u t W 7 V / n x n 1 N d b N j d 9 n T n 0 l d X P j / p x u a N y f 0 A 2 N + 7 O 5 Y Y C u 7 Y O O R n r P 3 N a 9 + z e r I 9 t F q I 7 U F b x 1 B 8 P q y H S w c 1 t t d L s X P P 6 1 L 9 x O G W n z 4 Q n w W P f G t h 7 n 3 t j W Y 9 w b 2 / r K 6 O b G E Z a 5 r T K 6 V f v Y d N 5 S G d 2 q / X t O p q + M b t X + f W b U V 0 Y 3 N 3 6 f O f W V 0 c 2 N + 3 P K j e O N + x O 6 o X F / N j c M 0 L U 9 8 J X R / v v n t P Z 3 b t Z G t o 9 A G + 3 r 5 N 6 6 g 2 F t Z D r Y 2 / n 0 4 M H 9 T x / u f T p + 8 O B 2 e s l / 9 f 7 9 h w 8 / P R j v H 9 x O Q 5 l X d x 9 + + v D + w X j v 4 e 0 0 l b 4 2 P D s e X 9 / Y 1 m P r G 9 t 6 X H 1 j W 1 9 T 3 d w 4 w k + 3 I Y q v s c x 7 2 7 d 6 M T L 3 t 1 V d 7 4 V g Z L Z v q 8 L e b 0 D v M + e + L r u 5 8 f v M u q / L b m 7 c n / U N j f t T v a F x f 3 o 3 D N C 1 f R j q s r M X k s O 6 n Z r Z v V m P W f i h H l O H 5 t Y d D O s x 0 8 H + 3 o O D h / s P H j z Y G T / 8 9 H Z 6 7 H 1 f 9 T j b v L q J s z 3 G 1 u b D M + L x 8 o 1 t P V a + s a 3 H y T e 2 9 f X X z Y 0 j P L R R z C M 8 s b F 9 Z I p v q 6 5 u 1 f 4 9 J 9 N X U 7 d q / z 4 z 6 m u n m x u / z 5 z 6 2 u n m x v 0 5 3 d C 4 P 6 E b G v d n c 8 M A b d u H O 6 F 2 M g n 2 N 6 9 u p z 7 u 3 a i f X A + h f r r 3 n h 0 M 6 i f b w f 7 u / Q f 3 7 + 0 e 3 N u 9 r X 5 6 7 1 c d S 9 t X b 6 e f T P P h O X H c f H N b x 8 w 3 t 3 W 8 f H N b T z / d o n G E i 2 6 p n 2 7 X P j L F t 9 R P t 2 v / n p P p 6 a f b t X + f G f X 0 0 y 0 a v 8 + c e v r p F o 3 7 c 7 q h c X 9 C N z T u z + a G A b q 2 u 6 F + e t + 0 1 P 7 N a S n X R a i g b p e W c h 0 M K y j T w b 2 H 9 x 7 u f j q + f 3 A 7 5 f Q + r 3 m 8 b F 6 7 p W L S 5 s O T 4 b H x j W 0 9 L r 6 x r c f E N 7 b 1 F d P N j S P s c 1 v F d K v 2 k a m 9 r W K 6 V f v 3 n E x f M d 2 q / f v M q K + Y b m 7 8 P n P q K 6 a b G / f n d E P j / o R u a N y f z Q 0 D d G 3 3 f M X 0 6 f u n q D 7 d u V k z 2 T 4 C z f S p T u 6 t O x j W T K a D 3 Z 2 D e w c P K E F l w s b o 6 D 0 + d i + S 2 / R w Z 1 N a y + N m 8 9 Y 9 S m v t P t z c m c f U + t r w t H g M f W N b j 5 9 v b O u x 8 4 1 t f R V 1 c + M I I 9 2 G K L 6 q M u 9 t 3 + r F y K T f V m e 9 F 4 K R 2 b 6 t 7 n q / A b 3 P n P t K 7 O b G 7 z P r v h K 7 u X F / 1 j c 0 7 k / 1 h s b 9 6 d 0 w Q N f 2 X q j E 3 i s 3 9 e n u z Q r M w g 8 V m E 7 s r T s Y V m C m A 3 r h / t 6 D / U 9 v p 7 3 e 4 y 2 P n 8 1 b t 3 S s t P n w P H g c f G N b j 4 F v b O v x 7 4 1 t f a 1 1 c + M I 5 9 z W s b p V + 8 j E 3 l Z J 3 a r 9 e 0 6 m r 5 x u 1 f 5 9 Z t T X S T c 3 f p 8 5 9 X X S z Y 3 7 c 7 q h c X 9 C N z T u z + a G A b q 2 + 6 F O e s + M 1 K f 3 b t Z K t o d Q K 9 1 7 z w 6 G t Z L p Y G 9 3 5 9 N 7 B 2 D T Q Z 7 x W P g 9 3 v I Y 2 b x 1 S 6 2 k z Y d n w u P h G 9 t 6 L H x j W 4 + D b 2 z r a 6 W b G 0 d 4 5 7 Z a 6 V b t I x N 7 W 6 1 0 q / b v O Z m + V r p V + / e Z U V 8 r 7 d / Y + H 3 m 1 N d K N z f u z + m G x v 0 J 3 d C 4 P 5 s b B u j a 3 g + 1 0 v v m o T 6 9 R R 7 K d h G q p d v l o V w H w 2 r J d E B Z q w c 7 n 4 4 P 9 m + n l 9 7 n N Y + X z W u 3 V E z a f H g y P D a + s a 2 n m G 5 s 6 z H x j W 1 9 x X R z 4 w j 7 3 F Y x 3 a p 9 Z G p v q 5 h u 1 f 4 9 J 9 N X T L d q / z 4 z 6 i u m m x u / z 5 z 6 i u n m x v 0 5 3 d C 4 P 6 E b G v d n c 8 M A X d t P n W J K d / c e p K + P 3 z c T 9 W D n Z t 1 k e w l 0 0 w O d 3 l t 3 M K y b T A e 7 O / R Q T L Y 3 P r h l K s q 8 + f D h w 9 3 d e w 8 e j L H + O f i i x 9 P 2 x d 1 7 n + 6 P E T c P v u V x t r 4 1 P D c e V 9 / Y 1 m P q G 9 t 6 P H 1 j W 1 9 P 3 d w 4 w k 2 3 o I m v r s x r 2 7 d 5 L z L r t 1 V b 7 4 N e Z K Z v q 7 3 e a z j v M 9 + + F r u 5 8 f v M u K / F b m 7 c n / E N j f v z v K F x f 3 I 3 D N C 1 f d D R Y u + V i X p w i 0 y U 7 S B U Y L f L R L k O h h W Y 6 W A P C m x n / + G 9 8 a e f 3 k 6 B v e e b H l + b N 2 / p Y m n z 4 Q n x W P n G t h 4 n 3 9 j W Y + Q b 2 / q q 6 + b G E R a 6 r Y t 1 q / a R C b 6 t r r p V + / e c T F 9 J 3 a r 9 + 8 y o r 5 x u b v w + c + o r p 5 s b 9 + d 0 Q + P + h G 5 o 3 J / N D Q N 0 b Q 8 6 y u k 9 U 1 I P b p G S s l 2 E 6 u l 2 K S n X w b B 6 M h 3 s H T z Y u f / p z u 6 9 M f T z I O N 4 f P y e b 3 o c b d 6 8 p X r S 5 s N T 4 j H z j W 0 9 X r 6 x r c f K N 7 b 1 1 d P N j S N M d F v 1 d K v 2 k Q m + r X q 6 V f v 3 n E x f P d 2 q / f v M q K + e b m 7 8 P n P q q 6 e b G / f n d E P j / o R u a N y f z Q 0 D d G 0 f d t T T 2 U 8 e p 7 9 P e v L l F 2 e 3 d J / 2 b 9 Z P t o 9 Q P + 2 / Z w f D + s l 0 s L d 3 b 3 d 3 f N u F v P d 4 y 2 N l 8 9 Y t 9 Z I 2 H 5 4 L j 4 t v b O s x 8 Y 1 t P R 6 + s a 2 v l 2 5 u H O G e 2 + q l W 7 W P T O x t 9 d K t 2 r / n Z P p 6 6 V b t 3 2 d G f b 1 0 c + P 3 m V N f L 9 3 c u D + n G x r 3 J 3 R D 4 / 5 s b h i g a f v p z o 5 S 2 s V 0 7 5 c z f 2 B T 2 k N 6 y e s j 1 E v 3 3 7 O D I b 3 k O t i / v / 9 g f H 9 T I s D y 8 P u 8 Z B n Z v X Q r r W S b D 8 + E 5 e F b t L U s f I u 2 l o N v 0 d Z p p d s 0 j v D O 7 b T S L d t H p v V 2 W u m W 7 d 9 z M p 1 W u m X 7 9 5 l R p 5 V u 0 / h 9 5 t R p p d s 0 7 s / p h s b 9 C d 3 Q u D + b G w b o 2 u 4 6 r b S 7 9 z B 9 / b 7 Z 8 o c 7 N 2 s l 2 0 e g l f D m e 3 U w r J V M B w 8 P 9 n d 3 P 3 2 4 M 3 7 w 6 e 0 0 k / / i z s H B b W M 5 9 + I B V g B v p 6 H 0 l e F Z 8 f j 5 x r Y e O 9 / Y 1 u P m G 9 v 6 G u r m x h E + u o k g v p Y y 7 2 z f + F J k r m + r q m 6 N W G R 2 w z 6 G 1 d X t B / I + c + z r r J s b v 8 8 s + z r r 5 s b 9 W b 6 d z r q 5 c X 9 a b 6 W z 9 k K d 9 V 7 J 8 Y e 7 N + s r C z / U V 7 v v 2 c G w v j I d 7 D 5 8 Q F 7 X v U 8 P x s Z F u 0 l h v e e b H k + b N z f x t M f S 2 v x W 2 u r G t h 4 j 3 9 j W 4 + M b 2 / r a 6 u b G E Q 7 a K O A R j t j Y P j L B t 1 V S t 2 r / n p P p K 6 h b t X + f G f V 1 0 8 2 N 3 2 d O f d 1 0 c + P + n G 5 o 3 J / Q D Y 3 7 s 7 l h g K 7 t v V A 3 v W d u / O G N u X G v h 1 A 7 3 S 4 3 7 j o Y 1 k 6 m g 9 2 H n x 7 s 7 T 7 4 9 M H m F V + P j d / z T Y + h z Z u 3 1 E 7 a f H h G P F 6 + s a 3 H y j e 2 9 T j 5 x r a + d r q 5 c Y S H b q u d b t U + M s G 3 1 U 6 3 a v + e k + l r p 1 u 1 f 5 8 Z 9 b X T z Y 3 f Z 0 5 9 7 X R z 4 / 6 c b m j c n 9 A N j f u z u W G A r u 1 + q J 3 e N w X 1 8 B Y p K N t F q J 5 u l 4 J y H Q y r J 9 P B 7 q c H B + O 9 B 7 f T T L d / y e N j 8 9 I t l Z I 2 H 5 4 I j 4 V v b O t x 8 I 1 t P Q a + s a 2 v l G 5 u H G G d 2 y q l W 7 W P T O t t l d K t 2 r / n Z P p K 6 V b t 3 2 d G f a V 0 c + P 3 m V N f K d 3 c u D + n G x r 3 J 3 R D 4 / 5 s b h i g a 3 v f U 0 r 3 d t 4 7 B X U P + a 6 b t J L t w 9 d K / O Z 7 d T C s l U w H 9 w 4 e U l T 2 6 c P 7 4 7 3 9 2 6 k m 9 + a D + 3 u f 7 l A S 6 t P b q S f z 4 u 7 B / t 6 n t N 7 3 6 a Y O P c 7 W 9 4 b n x u P q G 9 t 6 T H 1 j W 4 + n b 2 z r 6 6 m b G 0 e 4 6 V Z U 8 R W W e X H 7 d m 9 G 5 v 6 2 q u v 9 U I z M + G 1 1 2 H s O 6 X 3 m 3 d d m N z d + n 5 n 3 t d n N j f s z v 6 F x f 7 Y 3 N O 5 P 8 I Y B u r a f h t r s f Z J T 9 5 A F u 0 m T W f i h J r t V c s r r Y F i T m Q 4 e P H j 4 c H / 3 4 N O d W 6 / z v e e b H m O b N 2 / p a W n z 4 f n w O P n G t h 4 j 3 9 j W 4 + M b 2 / o a 7 O b G E Q 6 6 r a d 1 q / a R C b 6 t u r p V + / e c T F 9 L 3 a r 9 + 8 y o r 5 t u b v w + c + r r p p s b 9 + d 0 Q + P + h G 5 o 3 J / N D Q N 0 b R + E u u n 9 k l P 3 E G n e p J 1 s D 6 F 2 u v e e H Q x r J 9 P B w c 7 u Q 0 o x P f x 0 D F 9 z k G 8 8 N n 7 P N z 2 G N m / e U j t p 8 + E Z 8 X j 5 x r Y e K 9 / Y 1 u P k G 9 v 6 2 u n m x h E e u q 1 2 u l X 7 y A T f V j v d q v 1 7 T q a v n W 7 V / n 1 m 1 N d O N z d + n z n 1 t d P N j f t z u q F x f 0 I 3 N O 7 P 5 o Y B u r Y H o X Z 6 z + T U P X h p N 6 k n 2 0 W o n u 6 / Z w f D 6 s l 0 c G / n 0 4 f j / Y P b a a b b v + T x s X n p l k p J m w 9 P h M f C N 7 b 1 O P j G t h 4 D 3 9 j W V 0 o 3 N 4 6 w z m 2 V 0 q 3 a d 6 f 1 P Z T S r e C / 5 2 T 6 S u l W 7 d 9 n R n 2 l d H P j 9 5 l T X y n d 3 L g / p x s a 9 y d 0 Q + P + b G 4 Y o G v 7 0 F d K u + + f n A J L 3 6 S V b B + B V s K b 7 9 X B s F Y y H d z f f 3 D v w e 7 O / v i B a r z o 6 D 0 + N i / u 7 9 + 7 9 + n D v U 1 v e d x s 3 q K e d n b I 0 9 r c n c f W + u L w x H g s f W N b j 6 N v b O s x 9 I 1 t f S V 1 c + M I K 9 2 O L L 6 6 M m 9 u 3 / L V y N T f V n O 9 J 5 K R W b + t D n v f Q b 3 P 3 P v q 7 O b G 7 z P 7 v j q 7 u X F / 9 j c 0 7 k / 4 h s b 9 K d 4 w Q N s W v O u r s / f K T o G X b 1 B l D n 6 o y n b f s 4 N B V W Y 7 2 N 1 5 S M r s 4 M H e + F M F H h 2 6 4 + z 3 f d N x t n 1 z E 2 c 7 x j b N h + f D c f L N b R 0 j 3 9 z W 8 f H N b T 0 t d o v G E Q 7 a K O Y R j t j Y P j L B t 1 R Y t 2 v / n p P p q a n b t X + f G f V 0 0 y 0 a v 8 + c e r r p F o 3 7 c 7 q h c X 9 C N z T u z + a G A b q 2 u 6 F u e s / s F H j o J u 1 k e w i 1 0 + 2 y U 6 6 D Y e 1 k O j g 4 + J R U z P 1 N P O O x 8 H u 8 5 T G y e e u W W k m b D 8 + E x 8 M 3 t v V Y + M a 2 H g f f 2 N b X S j c 3 j v D O b b X S r d p H J v a 2 W u l W 7 d 9 z M n 2 t d K v 2 7 z O j v l a 6 u f H 7 z K m v l W 5 u 3 J / T D Y 3 7 E 7 q h c X 8 2 N w z Q t d 0 L t d L 7 Z q U w y T e p J d t F q J Z u l 5 V y H Q y r J d M B B X H j g 4 e 3 U 0 q 3 f s f j Y v P O L V W S N h + e B o + B b 2 z r 8 e + N b T 3 2 v b G t r 5 J u b h x h n N u q p F u 1 j 0 z q b V X S r d q / 5 2 T 6 K u l W 7 d 9 n R n 2 V d H P j 9 5 l T X y X d 3 L g / p x s a 9 y d 0 Q + P + b G 4 Y o G t 7 z 1 d J e + + f k 8 L w b 9 J J t o 9 A J + 3 p 5 N 6 6 g 2 G d Z D r Y 3 d / Z O 7 i / S 9 H / p 7 d T T O / 3 o s f Q 5 s V b a i d t P j w j H i / f 2 N Z j 5 R v b e p x 8 Y 1 t f O 9 3 c O M J D t 9 V O t 2 o f m d 7 b a q d b t X / P y f S 1 0 6 3 a v 8 + M + t r p 5 s b v M 6 e + d r q 5 c X 9 O N z T u T + i G x v 3 Z 3 D B A 1 3 Y / 1 E 7 v l W L C a G 7 S T B Z + q J l 2 3 7 O D Y c 1 k O t g 7 2 L n / 6 c P 9 W 6 q l 9 3 j L Y 2 P z 1 i 1 1 k j Y f n g e P g 2 9 s 6 z H w j W 0 9 / r 2 x r a + T b m 4 c 4 Z z b 6 q R b t Y 9 M 7 G 1 1 0 q 3 a v + d k + j r p V u 3 f Z 0 Z 9 n X R z 4 / e Z U 1 8 n 3 d y 4 P 6 c b G v c n d E P j / m x u G K B r e z / U S e + Z W k K v N 2 k l 2 0 O o l e 6 9 Z w f D W s l 0 c A v 9 4 r H w e 7 z l M b J 5 6 5 Z a S Z s P z 4 T H w z e 2 9 V j 4 x r Y e B 9 / Y 1 t d K N z e O 8 M 7 O L b X S b Y j n a 6 V b t Y 9 M 6 W 2 1 0 q 3 a 9 2 f z 1 l r p Z m K + z 5 T 6 W u n G x r 5 W u r l x f 0 4 3 N O 5 P 6 I b G / d n c M E D X 9 t N Q K 5 3 9 5 H H 6 + 6 Q n X 3 5 x 9 v r s y x e 3 U x z 7 N 2 s m 2 0 u o m f b f s 4 N h z W Q 6 e H h v f H / v d m r p t q 9 4 b G x e u a V O 0 u b D 8 + B x 8 I 1 t P Q a + s a 3 H v z e 2 9 X X S z Y 0 j n H N b T + l W 7 S N T e l u d d K v 2 7 z m Z v k 6 6 V f v 3 m V F f J 9 3 c + H 3 m 1 N d J N z f u z + m G x v 0 J 3 d C 4 P 5 s b B u j a P u j o p P d M d + / d v 1 k h 2 S 5 C h X T / P T s Y V k i m g / d Q S L d 9 x e N h 8 8 o t F Z I 2 H 5 4 E j 3 1 v b O t x 7 4 1 t P e a 9 s a 2 v k G 5 u H G G b 2 y q k W 7 W P T O l t F d K t 2 r / n Z P o K 6 V b t 3 2 d G f Y V 0 c + P 3 m V N f I d 3 c u D + n G x r 3 J 3 R D 4 / 5 s b h i g a 3 v g K 6 R 7 7 5 / s v r d z s 0 a y f Q Q a 6 Z 5 O 7 q 0 7 G N Z I p o P d n f v 3 H + z t 3 3 s 4 3 n 9 w O 8 U U v L m 7 + 2 B v / K n G l N E 3 P Z a 2 b + 5 9 S i t 4 + 7 f T U v r S 8 M x 4 P H 1 j W 4 + l b 2 z r c f S N b X 0 t d X P j C C / d T B J f V 5 m 3 t m / x W m T O b 6 u y 3 g O 5 y C z f V n G 9 z 2 D e Z 6 5 9 / X V z 4 / e Z b V 9 / 3 d y 4 P 9 s b G v c n e U P j / t R u G K B r + z D U X + + V D r 9 3 i 3 S 4 h R / q r t u l w 1 0 H w 7 r L d L D 7 4 P 7 D + z v 3 D + 6 N N y k g j 6 H f 7 0 W P p 8 2 L m 3 j a Y 2 l t P j w b H h / f 2 N Z j 4 x v b e l x 8 Y 1 t f Z 9 3 c O M I / G w U 8 w g 8 b 2 0 e m 9 7 Z q 6 l b t 3 3 M y f Q V 1 q / b v M 6 O + Z r q 5 8 f v M q a + Z b m 7 c n 9 M N j f s T u q F x f z Y 3 D N C 2 B f a + Z n r P p P i 9 m 5 P i r o d Q N 9 0 u K e 4 6 G N R N t o P d / Z 0 H n + 7 s 7 + 6 M d 2 6 n n N 7 3 T c f Q 9 s 3 b a S f T f H h G H C / f 3 N a x 8 s 1 t H S f f 3 N b T T r d o H O G h W 2 q n 2 7 W P T P A t t d P t 2 r / n Z H r a 6 X b t 3 2 d G P e 1 0 i 8 b v M 6 e e d r p F 4 / 6 c b m j c n 9 A N j f u z u W G A r u 1 u q J 2 + R n L 8 3 v 7 N G s r 2 E m q o / f f s Y F h D m Q 4 + 3 d 8 b H 9 x S N 9 3 6 H Y + R z T u 3 1 E r a f H g m P B 6 + s a 3 H w j e 2 9 T j 4 x r a + V r q 5 c Y R 3 b q u V b t U + M q m 3 1 U q 3 a v + e k + l r p V u 1 f 5 8 Z 9 b X S z Y 3 f Z 0 5 9 r X R z 4 / 6 c b m j c n 9 A N j f u z u W G A r u 1 e R y u 9 Z 3 r 8 3 s 3 p c d d F q J J u l x 5 3 H Q y r J N P B 7 s H e 3 u Y M g M f C t 3 / J 4 2 P z 0 i 2 V k j Y f n g i P h W 9 s 6 3 H w j W 0 9 B t 7 Q t q + U b m 4 c Y Z 3 b K q V b t Y 9 M 6 2 2 V 0 q 3 a v + d k + k r p V u 3 f Z 0 Z 9 p X R z 4 / e Z U 1 8 p 3 d y 4 P 6 e 3 U 0 o 3 N + 7 P 5 q 2 U 0 j 1 f K e 2 / f 4 p 8 f + d m r W T 7 C L T S v k 7 u r T s Y 1 k q m g 9 2 H D x / s P d g f H z y 8 n W I K 3 t u 7 b Y 7 J v n Z / d 3 x / U 0 8 e Q + s r t 1 J P N 7 b 1 e P n G t h 4 r 3 9 j W V 0 8 3 N 4 4 w 0 U 0 E 8 V W U e W f 7 x p c i E 3 1 b P X V r x C K z e 1 t d d f u B v M 8 c + w r r 5 s b v M 8 u + w r q 5 c X + W N z T u T + + G x v 1 p 3 T B A 1 3 Y / V F j v l R P f 3 7 1 Z W V n 4 o b L a f c 8 O h p W V 6 e D e w 4 f 7 + / f 2 x / d u q a z e 6 z 2 P n 8 1 7 t 3 S k t P n w X H h c f G N b j 4 l v b O v x 8 I 1 t f U 1 1 c + M I 9 9 z W k b p V + 8 j k 3 l Z B 3 a r 9 e 0 6 m r 5 x u 1 f 5 9 Z t T X S z c 3 f p 8 5 9 f X S z Y 3 7 c 7 q h c X 9 C N z T u z + a G A b q 2 9 0 O 9 9 J 4 Z 8 f 1 7 N 2 s m 2 0 O o m d R p u X U H w 5 r J d M A a Z m c T y 3 g c f P u X P D Y 2 L 9 1 S J 2 n z 4 X n w O P j G t h 4 D 3 9 j W 4 9 8 b 2 / o 6 6 e b G E c 6 5 r U 6 6 V f v I t N 5 W J 9 2 q / X t O p q + T b t X + f W b U 1 0 k 3 N 3 6 f O f V 1 0 s 2 N + 3 O 6 o X F / Q j c 0 7 s / m h g G 6 t p + G O u l r 5 M H 3 9 2 / W S 7 a X U C / t v 2 c H w 3 r J d P D p v f G e Q o 2 O 3 O P h 2 7 7 i s b F 5 5 Z Y 6 S Z s P z 4 P H w T e 2 9 R j 4 x r Y e / 9 7 Y 1 t d J N z e O c M 5 t d d K t 2 k e m 9 L Y 6 6 V b t 3 3 M y f Z 1 0 q / b v M 6 O + T r q 5 8 f v M q a + T b m 7 c n 9 M N j f s T u q F x f z Y 3 D N C 1 f d D R S e + Z B d + / f 7 N C s l 2 E C u n + e 3 Y w r J B M B x S F P V S o 0 W F 7 D H z b V z w e N q / c U i F p 8 + F J 8 N j 3 x r Y e 9 9 7 Y 1 m P e G 9 v 6 C u n m x h G 2 u a 1 C u l X 7 y J T e V i H d q v 1 7 T q a v k G 7 V / n 1 m 1 F d I N z d + n z n 1 F d L N j f t z u q F x f 0 I 3 N O 7 P 5 o Y B u r Y H v k K 6 / / 4 Z 8 P s 7 N 2 s k 2 0 e g k e 7 r 5 N 6 6 g 2 G N Z D q g d x 4 + u L e 3 P 9 6 7 p V 5 6 v x c 9 h j Y v 3 l I 7 a f P h G f F 4 + c a 2 H i v f 2 N b j 5 B v b + t r p 5 s Y R H r q t d r p V + 8 j 0 3 l Y 7 3 a r 9 e 0 6 m r 5 1 u 1 f 5 9 Z t T X T j c 3 f p 8 5 9 b X T z Y 3 7 c 7 q h c X 9 C N z T u z + a G A b q 2 D 0 P t 9 F 7 p 7 v u 3 S H d b + K F m u l 2 6 2 3 U w r J l M B 7 S + 9 n B / 5 8 E m j v E Y + D 3 e 8 t j Y v H V L n a T N h + f B 4 + A b 2 3 o M H G k 7 q J N u b O v r p J s b R z j n t j r p V u 0 j E 3 t b n X S r 9 u 8 5 m b 5 O u l X 7 9 5 l R X y f d 3 P h 9 5 t T X S T c 3 7 s / p 7 X T S z Y 3 7 s 3 k b n X R v J 9 R J 7 5 n q v n 9 z q t v 1 E G q l 2 6 W 6 X Q e D W s l 2 w P p l / 9 P d 8 c H B r R T T e 7 7 o 2 N m + e D v d Z J r f R j f d 3 N Y x 8 s 1 t H R / f 3 N b T T b d o H O G g W + q m 2 7 W P T O 8 t d d P t 2 r / n Z H q 6 6 X b t 3 2 d G P d 1 0 i 8 b v M 6 e e b r p F 4 / 6 c b m j c n 9 A N j f u z u W G A r u 1 u q J u + R s r 7 / v 7 N + s n 2 E u q n / f f s Y F g / m Q 5 2 D z 4 d f 7 p 3 O 9 V 0 6 3 c 8 R j b v 3 F I r a f P h m f B 4 + M a 2 H g v f 2 N b j 4 B v b + l r p 5 s Y R 3 r m t V r p V + 8 i k 3 l Y r 3 a r 9 e 0 6 m r 5 V u 1 f 5 9 Z t T X S j c 3 f p 8 5 9 b X S z Y 3 7 c 7 q h c X 9 C N z T u z + a G A b q 2 e x 2 t 9 J 5 J 7 / s 3 J 7 1 d F 6 F K u l 3 S 2 3 U w r J J M B / d 2 d 8 c 7 t 1 R J t 3 7 H 4 2 L z z i 1 V k j Y f n g a P g W 9 s 6 / H v j W 0 9 9 r 2 x r a + S b m 4 c Y Z z b q q R b t Y 9 M 6 m 1 V 0 q 3 a v + d k + i r p V u 3 f Z 0 Z 9 l X R z 4 / e Z U 1 8 l 3 d y 4 P 6 c b G v c n d E P j / m x u G K B r e 8 9 X S Z + + f 9 r 7 0 5 2 b d Z L t I 9 B J n + r k 3 r q D Y Z 1 k O t j d o W d 3 Z 2 / 8 4 O H t F F P w I j 2 3 U 0 3 u r R t 6 8 j h a 3 x m e E 4 + b b 2 z r M f O N b T 1 e v r G t r 5 9 u b h z h o h s p 4 i s p 8 9 L 2 z W 9 F 5 v q 2 q u r 2 q E V m + L b 6 6 j 2 G 8 j 7 z 7 G u t m x u / z 0 z 7 W u v m x v 2 Z 3 t C 4 P 8 M b G v c n d s M A X d v 9 U G u 9 V z r 8 0 9 2 b N Z a F H 2 q s 3 f f s Y F h j m Q 7 2 V P G M d x R 2 d O Q e O 7 / f i x 5 L m x d v 6 U 9 p 8 + H Z 8 P j 4 x r Y e G 9 / Y 1 u P i G 9 v 6 + u r m x h H + u a 0 / d a v 2 k e m 9 r Z K 6 V f v 3 n E x f P 9 2 q / f v M q K + Z b m 7 8 P n P q a 6 a b G / f n d E P j / o R u a N y f z Q 0 D d G 3 v h 5 r p P Z P i n 9 6 7 W T f Z H k L d d O 8 9 O x j W T a a D P d U x t 1 N M 7 / G W x 8 j m r V t q J W 0 + P B M e D 9 / Y 1 m P h G 9 t 6 H H x j W 1 8 r 3 d w 4 w j u 3 1 U q 3 a h + Z 2 N t q p V u 1 f 8 / J 9 L X S r d q / z 4 z 6 W u n m x u 8 z p 7 5 W u r l x f 0 4 3 N O 5 P 6 I b G / d n c M E D X 9 t N Q K 7 1 v 4 u l T m x c a V k u 2 i 1 A t 3 X / P D o b V k u l g 7 / 7 t 4 7 t b v + N x s X n n l i p J m w 9 P g 8 f A n 7 6 H S r o R r s e + N 7 b 1 V d L N j S O M c 1 u V d K v 2 k U m 9 r U q 6 V f v 3 n E x f J d 2 q / f v M q K + S b m 7 8 P n P q q 6 S b G / f n d E P j / o R u a N y f z Q 0 D d G 0 f + C r p w f s n n h 7 s 3 K y T b B + B T n q g k 3 v r D o Z 1 k u l g d + f e / Z 2 d h 5 + O 9 w 5 u p 5 j C F 2 / r L Z m 3 b u r I Y 2 h 9 Z X h K P G a + s a 3 H y z e 2 9 V j 5 x r a + e r q 5 c Y S J b i K I r 6 L M O 9 s 3 v h S Z 6 N v q q V s j F p n d 2 + q q 2 w / k f e b Y V 1 g 3 N 3 6 f W f Y V 1 s 2 N + 7 O 8 o X F / e j c 0 7 k / r h g G 6 t g e h w n q v n N O D W + S c L P x Q W d 0 u 5 + Q 6 G F Z W p o O 9 n Q e a O t q 7 n b J 6 v x c 9 j j Y v 3 t K V 0 u b D s + H x 8 Y 1 t P T a + s a 3 H x T e 2 9 X X V z Y 0 j / L N R v C P 8 s L F 9 Z H p v q 6 J u 1 f 4 9 J 9 N X T 7 d q / z 4 z 6 m u m m x u / z 5 z 6 m u n m x v 0 5 3 d C 4 P 6 E b G v d n c 8 M A X d u H o W Z 6 z 5 z T g 1 v k n G w P o W 6 6 X c 7 J d T C s m 0 w H e 3 u i Y m 6 n m N 7 j L Y + R z V u 3 1 E r a f H g m P B 6 + s a 3 H w j e 2 9 T j 4 x r a + V r q 5 c Y R 3 b q u V b t U + M r G 3 1 U q 3 a v + e k + l r p V u 1 f 5 8 Z 9 b X S z Y 3 f Z 0 5 9 r X R z 4 / 6 c b m j c n 9 A N j f u z u W G A t u 3 + T q i V 3 j f n 9 O D m n J P r I l R L t 8 s 5 u Q 4 G 1 Z L t Y G / n 3 v j T g 1 s p p d u / 4 7 j Y v n M 7 l W S a D 0 + D Y + C b 2 z r + v b m t Y 9 + b 2 3 o q 6 R a N I 4 x z S 5 V 0 u / a R S b 2 l S r p d + / e c T E 8 l 3 a 7 9 + 8 y o p 5 J u 0 f h 9 5 t R T S b d o 3 J / T D Y 3 7 E 7 q h c X 8 2 N w z Q t d 3 1 V d L B + + e c D n Z u 1 k m 2 j 0 A n 4 c 3 3 6 m B Y J 5 k O 9 j 4 l f b y 3 f / / h z v i e a r z o + D 1 O t q / e 3 z 9 4 8 P D e v Y P d 8 b 7 6 c N F X P a Y 2 r + 4 C z d 2 9 n Y P x w 0 1 B o M f e + u b w B H m s f W N b j 7 N v b O s x 9 o 1 t f W V 1 c + M I S 9 2 S L r 7 e M q 9 u 3 / b d C B P c V o e 9 L 5 q R m b + t O n v v Y b 3 P / P u q 7 e b G 7 8 M B v m q 7 u X G f A z Y 0 7 s / 5 h s b 9 S d 4 w Q N d 2 L 1 R t 7 5 W d O t i 9 W a 1 Z + K F a 2 3 3 P D o b V m u n g / r 2 d + 5 8 + O L j 3 6 e 7 4 0 9 t p t f d 8 0 2 N t 8 + Y m 1 v Y 4 W 5 s P z 4 f H y T e 2 9 R j 5 x r Y e H 9 / Y 1 t d k N z e O c N B t 3 a 5 b t Y 9 M 8 G 1 V 1 q 3 a v + d k + n r q V u 3 f Z 0 Z 9 3 X R z 4 / e Z U 1 8 3 3 d y 4 P 6 c b G v c n d E P j / m x u G K B r e y / U T S Y / d f L t 0 5 / 4 6 v R 2 C m T v Z g 1 l e w k 1 l J q e W 3 c w r K F M B 7 s 7 n + 7 u 7 D / Y 2 b 9 1 S G j f 3 H u 4 9 3 B 3 Z 2 d v / O k m i + g x t X l z e + / e 7 s G n e w 8 f j B / u 3 0 5 Z 6 Z v D E + S x 9 o 1 t P c 6 + s a 3 H 2 D e 2 9 Z X V z Y 0 j L H V L u v h 6 y 7 x 6 y z c j D H D b T i M c c F t l 9 p 5 I 9 u f 9 1 m r t Z r K / z + T 7 a u 3 G x r 5 a u 7 l x f / Y 3 N O 7 P 9 4 b G / S n e M E D X d j + u 1 m 6 Z d j + 4 d 7 N K s z 2 E K u 3 e e 3 Y w r N J M B / d 3 7 u / c u 3 + w t 0 e a 6 c H t d N r 7 v u o x t 3 n 1 l m 6 X N h + e E 4 + b b 2 z r M f O N b T 1 e v r G t r 8 l u b h z h o t u 6 X b d q H 5 n i 2 7 p d t 2 r / n p P p 6 6 d b t X + f G f X 1 0 8 2 N 3 2 d O f f 1 0 c + P + n G 5 o 3 J / Q D Y 3 7 s 7 l h g K 7 t / V A / n f 3 k c f r 7 p C d f f n H 2 + u z L F 7 d T I f s 3 6 y j b S 6 i j 9 t + z g 2 E d Z T q 4 d + / + w / 3 x w a e 3 U 0 / v 8 Z b H z O a t W 2 o m b T 4 8 G x 4 f 3 9 j W Y + M b 2 3 p c f G N b X z P d 3 D j C P 7 f V T L d q H 5 n Y 2 2 q m W 7 V / z 8 n 0 N d O t 2 r / P j P q a 6 e b G 7 z O n v m a 6 u X F / T j c 0 7 k / o h s b 9 2 d w w Q N f 2 0 4 5 m e s + l w Y P 7 N 6 s l 2 0 W o l u 6 / Z w f D a s l 0 s H 9 / Z 5 / + H O + p x o u O 3 e P i 9 3 r P 4 2 b z 3 i 1 V k z Y f n g 6 P k W 9 s 6 / H x j W 0 9 N r 6 x r a + a b m 4 c Y a D b q q Z b t Y 9 M 7 m 1 V 0 6 3 a v + d k + q r p V u 3 f Z 0 Z 9 1 X R z 4 / e Z U 1 8 1 3 d y 4 P 6 c b G v c n d E P j / m x u G K B r + 8 B X T Q / f f 4 n w 4 c 7 N u s n 2 E e i m h z q 5 t + 5 g W D e Z D h 4 8 2 N / f 2 b + 3 N 7 7 3 8 H b K y b 5 4 7 9 7 + 7 v 3 9 3 V u H d O b F / Z 2 H B w e 0 I v l g U 3 7 L Y 2 x 9 b 3 h q P K a + s a 3 H 0 z e 2 9 V j 6 x r a + m r q 5 c Y S Z b k U V X 1 + Z F 7 d v 9 2 Z k 6 m + r u d 4 P x c i M 3 1 a F v e e Q 3 m f e f W V 2 c + P 3 m X l f m d 3 c u D / z G x r 3 Z 3 t D 4 / 4 E b x i g a 3 s Q K r P 3 W h R 8 a N f s h h W Z h R 8 q s t 3 3 7 G B Y k Z k O S B f d 2 9 8 5 u H d v v K v A o 0 P 3 + P o 9 3 / Q Y 2 7 x 5 S 0 d L m w / P h 8 f J N 7 b 1 G P n G t h 4 f 3 9 j W 1 2 A 3 N 4 5 w 0 G 0 d r V u 1 j 0 z w b d X V r d q / 5 2 T 6 W u p W 7 d 9 n R n 3 d d H P j 9 5 l T X z f d 3 L g / p x s a 9 y d 0 Q + P + b G 4 Y o G v 7 M N R N 7 5 k 9 f 3 i L 7 L n t I d R O t 8 u e u w 6 G t Z P p Y H f / / k N 6 5 d M H 4 5 1 N N s 1 j 4 / d 8 0 2 N o 8 + Y t t Z M 2 H 5 4 R j 5 d v b O u x 8 o 1 t P U 6 + s a 2 v n W 5 u H O G h 2 2 q n W 7 W P T P B t t d O t 2 r / n Z P r a 6 V b t 3 2 d G f e 1 0 c + P 3 m V N f O 9 3 c u D + n G x r 3 J 3 R D 4 / 5 s b h i g b X t / J 9 R O X y N 3 / n A / o q F C D e V 6 C T X U / n t 2 M K i h b A e 7 D x 4 8 f A B O G m Q b x 8 X v 8 Z J j Z f v S 7 f S S a T 4 8 F 4 6 L b 2 7 r m P j m t o 6 H b 2 7 r 6 a V b N I 5 w z y 3 1 0 u 3 a R 6 b 1 l n r p d u 3 f c z I 9 v X S 7 9 u 8 z o 5 5 e u k X j 9 5 l T T y / d o n F / T j c 0 7 k / o h s b 9 2 d w w Q N d 2 t 6 O X 3 j N z / v D m z L n r I l R K t 8 u c u w 6 G l Z L p 4 P 7 + z s 6 9 G 1 J M H h O / z 2 s e L 5 v X b q m Y t P n w Z H h s f G N b j 4 t v b O s x 8 Y 1 t f c V 0 c + M I + 9 x W M d 2 q f W R q b 6 u Y b t X + P S f T V 0 y 3 a v 8 + M + o r p p s b v 8 + c + o r p 5 s b 9 O d 3 Q u D + h G x r 3 Z 3 P D A F 3 b P U 8 x 7 e + 8 d 9 6 c Z P p m z W T 7 8 D U T v / l e H Q x r J t P B 7 q e f H t y / v 7 8 3 v q V q C t 6 7 t 7 d / 2 1 y T f X F v 9 2 B 8 / + H t N J S + M z w r H j / f 2 N Z j 5 x v b e t x 8 Y 1 t f Q 9 3 c O M J H N 1 L E V 1 P m p e 2 b 3 4 r M 9 m 2 V 1 e 1 R i 8 z w b T X W e w z l f e b Z 1 1 s 3 N 3 6 f m f b 1 1 s 2 N + z O 9 o X F / h j c 0 7 k / s h g G 6 t v d C v f U + K f L 9 n d 2 b d Z a F H + o s 1 Q + 3 7 m B Y Z 5 k O 7 t 2 7 9 2 D n 0 5 1 P x / c / v Z 3 S e r 8 X P Z Y 2 L 9 7 S o 9 L m w 7 P h 8 f G N b T 0 2 v r G t x 8 U 3 t v X 1 1 c 2 N I / x z W 4 / q V u 0 j 0 3 t b J X W r 9 u 8 5 m b 5 + u l X 7 9 5 l R X z P d 3 P h 9 5 t T X T D c 3 7 s / p h s b 9 C d 3 Q u D + b G w b o 2 u 6 H m u n 9 E u T 7 O / d u 1 k 2 2 h 1 A 3 3 X v P D o Z 1 k + n g d i r G 4 + L 3 e 9 F j Z / P i L X W T N h + e D 4 + T b 2 z r M f K N b T 0 + v r G t r 5 t u b h z h o N v q p l u 1 j 0 z v b X X T r d q / 5 2 T 6 u u l W 7 d 9 n R n 3 d d H P j 9 5 l T X z f d 3 L g / p x s a 9 y d 0 Q + P + b G 4 Y o G t 7 P 9 R N 7 5 8 e 3 9 / Z v 1 k / 2 V 5 C / b T / n h 0 M 6 y f T w c G 9 8 b 2 9 2 2 m m 2 7 7 i s b F 5 5 Z Y 6 S Z s P z 4 P H w T e 2 9 R j 4 x r Y e / 9 7 Y 1 t d J N z e O c M 5 t d d K t 2 k e m 9 L Y 6 6 V b t 3 3 M y f Z 1 0 q / b v M 6 O + T r q 5 8 f v M q a + T b m 7 c n 9 M N j f s T u q F x f z Y 3 D N C 1 / b S j k 9 4 v N b 6 / c / 9 m h W S 7 C B X S / f f s Y F g h m Q 7 u P X w w N n o u O m 6 P g 2 / 9 j s f F 5 p 1 b q i R t P j w N H g P f 2 N b j 3 x v b e u x 7 Y 1 t f J d 3 c O M I 4 t 1 V J t 2 o f m d T b q q R b t X / P y f R V 0 q 3 a v 8 + M + i r p 5 s b v M 6 e + S r q 5 c X 9 O N z T u T + i G x v 3 Z 3 D B A 1 / a B r 5 L 2 0 t f P 3 z M p j u H f p J N s H 4 F O 2 t P J v X U H w z r J d L B 3 8 P D h g / u U E 7 9 l U v y 9 3 v P Y 2 b x 3 S 9 2 k z Y f n w + P k G 9 t 6 j H x j W 4 + P b 2 z r 6 6 a b G 0 c 4 6 L a 6 6 V b t I 5 N 7 W 9 1 0 q / b v O Z m + b r p V + / e Z U V 8 3 3 d z 4 f e b U 1 0 0 3 N + 7 P 6 Y b G / Q n d 0 L g / m x s G 6 N o e h L r p v R L f G M 1 N e s n C D / X S 7 R L f r o N h v W Q 6 2 H / w 8 O H + p / f G B w e 3 0 0 v v 9 Z 7 H y u a 9 W + o l b T 4 8 F x 4 X 3 9 j W Y + I b 2 3 o 8 f G N b X y / d 3 D j C P b f V S 7 d q H 5 n c 2 + q l W 7 V / z 8 n 0 9 d K t 2 r / P j P p 6 6 e b G 7 z O n v l 6 6 u X F / T j c 0 7 k / o h s b 9 2 d w w Q N f 2 Y a i X 3 j P t j V 5 v 0 k y 2 h 1 A z 3 S 7 t 7 T o Y 1 k y m g 3 u 3 0 T A e E 7 / X e x 4 z m / d u q Z m 0 + f B s e H x 8 Y 1 u P j W 9 s 6 3 H x j W 1 9 z X R z 4 w j / 3 F Y z 3 a p 9 Z H J v q 5 l u 1 f 4 9 J 9 P X T L d q / z 4 z 6 m u m m x u / z 5 z 6 m u n m x v 0 5 3 d C 4 P 6 E b G v d n c 8 M A b d t P d 0 L N 9 D W S 3 n v 7 N 2 o n 1 0 u o n f b f s 4 N B 7 W Q 7 2 N 8 d f / r p r R T T r V 9 x b G x f u Z 1 O M s 2 H 5 8 F x 8 M 1 t H Q P f 3 N b x 7 8 1 t P Z 1 0 i 8 Y R z r m l T r p d + 8 i U 3 l I n 3 a 7 9 e 0 6 m p 5 N u 1 / 5 9 Z t T T S b d o / D 5 z 6 u m k W z T u z + m G x v 0 J 3 d C 4 P 5 s b B u j a 7 n Z 0 0 n s m v f d u T n q 7 L k K F d L u k t + t g W C G Z D t 5 D I d 3 2 F Y + H z S u 3 V E j a f H g S P P a 9 s a 3 H v T e 2 9 Z j 3 x r a + Q r q 5 c Y R t b q u Q b t U + M q W 3 V U i 3 a v + e k + k r p F u 1 f 5 8 Z 9 R X S z Y 3 f Z 0 5 9 h X R z 4 / 6 c b m j c n 9 A N j f u z u W G A r u 2 e r 5 D u p a + f v 2 f K + 9 7 O z R r J 9 h F o p H s 6 u b f u Y F g j m Q 7 2 9 j 7 d 3 6 e Q 7 + F Y g 8 P o 6 D 0 + N i / u 7 h 8 8 P N i 5 9 + D T 8 e 6 m N z 2 O N m 8 + e E C R 3 w E F f 2 D H w R c 9 1 t Y X h y f H Y + s b 2 3 p c f W N b j 6 l v b O s r q p s b R 9 j p d m T x V Z Z 5 c / u W r 0 a m / 7 b a 6 z 2 R j M z 6 b f X Y + w 7 q f e b e V 2 k 3 N 3 6 f 2 f d V 2 s 2 N + 7 O / o X F / w j c 0 7 k / x h g G 6 t v d C l f Z e m f J 7 u z e r M w s / V G e 7 7 9 n B s D o z H e z f 3 9 t 7 s L t z 8 G C 8 / + n t 9 N l 7 v u l x t n n z l u 6 W N h + e D 4 + T b 2 z r M f K N b T 0 + v r G t r 8 V u b h z h o N u 6 W 7 d q H 5 n g 2 y q s W 7 V / z 8 n 0 1 d S t 2 r / P j P q 6 6 e b G 7 z O n v m 6 6 u X F / T j c 0 7 k 9 o O t y 4 P 5 u 3 0 k 3 7 o W 5 6 z 2 z 5 v X s 3 a y f b Q 6 i d 1 K 2 5 d Q f D 2 s l 0 s L + 7 + + D + p / v 3 P h 3 v H 9 x O O 7 3 n m x 5 D m z d v q Z 2 0 + a 2 0 0 4 1 t P V a + s a 3 H y T e 2 9 b X T z Y 0 j P H R b 7 X S r 9 p E J v q 1 2 u l X 7 9 5 x M X z v d q v 3 7 z K i v n W 5 u / D 5 z 6 m u n m x v 3 5 / R 2 2 u n m x v 3 Z 3 D B A 1 / Z + q J 2 + R s b 8 3 v 7 N G s r 2 E m q o / f f s Y F h D m Q 5 2 9 3 f 2 P r 0 / f n B L 9 f Q + r 3 n s b F 6 7 p W 7 S 5 s P z 4 X H y j W 0 9 R r 6 x r c f H N 7 b 1 d d P N j S M c d F v d d K v 2 k a m 9 r W 6 6 V f v 3 n E x f N 9 2 q / f v M q K + b b m 7 8 P n P q 6 6 a b G / f n d E P j / o R u a N y f z Q 0 D d G 0 / 7 e i m 9 8 y c 3 7 t / s 2 K y X Y S K 6 f 5 7 d j C s m E w H n + 4 + u P d w d w x G H e Q a j 4 n f 5 z W P l 8 1 r t 1 R M 2 n x 4 M j w 2 v r G t x 8 U 3 t v W Y + M a 2 v m K 6 u X G E f W 6 r m G 7 V P j K 1 t 1 V M t 2 r / n p P p K 6 Z b t X + f G f U V 0 8 2 N 3 2 d O f c V 0 c + P + n G 5 o 3 J / Q D Y 3 7 s 7 l h g K 7 t A 1 8 x 3 X / / D P r 9 n Z s 1 k + 0 j 0 E z 3 d X J v 3 c G w Z j I d 7 O 3 s H u z e u 3 / w 6 e 0 0 k 3 l t 9 2 D / 4 b 2 D e / d 3 x v h o 8 E 2 P n + 2 b n x 4 8 u L 9 3 7 / 7 Y R K j R F z 3 G 1 h e H p 8 Z j 6 h v b e j x 9 Y 1 u P p W 9 s 6 6 u p m x t H m O l 2 Z P E V l n l z + 5 a v R i b / t r r r P Z G M z P p t t d j 7 D u p 9 5 t 5 X a D c 3 f p / Z 9 x X a z Y 3 7 s 7 + h c X / C N z T u T / G G A b q 2 B 6 F C e 6 / 8 + f 1 b 5 M 8 t / F C Z 3 S 5 / 7 j o Y V m a m g / 2 d e 5 / u 3 b + 3 e / v 8 + X u + 6 X G 2 e f O W z p Y 2 H 5 4 P j 5 N v b O s x 8 o 1 t P T 6 + s a 2 v x W 5 u H O G g 2 z p b t 2 o f m e D b K q x b t X / P y f T V 1 K 3 a v 8 + M + r r p 5 s b v M 6 e + b r q 5 c X 9 O N z T u T + i G x v 3 Z 3 D B A 1 / Z h q J v e M 3 9 + / x b 5 c 9 t D q J 1 u l z 9 3 H Q x r J 9 P B v U 8 f H j z Y P 9 j / d H x w O + X 0 f i 9 6 7 G x e v K V u 0 u b D 8 + F x 8 o 1 t P U a + s a 3 H x z e 2 9 X X T z Y 0 j H H R b 3 X S r 9 p H p v a 1 u u l X 7 9 5 x M X z f d q v 3 7 z K i v m 2 5 u / D 5 z 6 u u m m x v 3 5 3 R D 4 / 6 E b m j c n 8 0 N A 7 R t H + y E u u l r Z M / v 7 9 + o n 1 w v o X 7 a f 8 8 O B v W T 7 W D 3 4 P 7 + 2 M C N j t 1 x 8 X u 8 5 F j Z v n Q 7 v W S a D 8 + F 4 + K b 2 z o m v r m t 4 + G b 2 3 p 6 6 R a N I 9 x z S 7 1 0 u / a R a b 2 l X r p d + / e c T E 8 v 3 a 7 9 + 8 y o p 5 d u 0 f h 2 c 9 r T S z d D 9 v T S L R r 3 J / R W e u n m x h 4 W u x 2 9 9 J 6 Z 8 / s 3 Z 8 5 d F 6 F S u l 3 m 3 H U w r J R M B z f r F 4 + F b / + S x 8 f m p V s q J W 1 + K 6 V 0 Y 1 u P g 2 9 s 6 z H w j W 1 9 p X R z 4 w j r 3 F Y p 3 a p 9 Z F p v q 5 R u 1 f 4 9 J 9 N X S r d q / z 4 z 6 i u l m x u / z 5 z 6 S u n m x v 0 5 3 d C 4 P 6 E b G v d n c 8 M A X d s 9 q 5 R O 0 p 3 d 9 P X x e 6 X N P 9 3 Z A U / f p J Z s J 0 4 t 6 Z v v 1 c G w W j I d 7 B 3 c 2 9 k n L f N w D I 9 x k H U 8 T v b e 3 L t / c L C z M 9 7 Z l N n 0 e N q 8 u X v v w f 6 n e + P 9 T X r N Y 2 3 z 2 r 3 9 B w 9 2 9 8 Y P D j a 8 5 n H 4 + 7 z m 8 b p 5 b Z M g e d z + P r 3 4 y k z f u 5 0 y M 5 1 s 7 + 3 u 7 N F S x b 1 N l P O 1 m p 2 r 2 7 w X 4 Y 7 b d R h h j t u q u f d C M M I T t 1 V 3 N 5 M 7 w g K 3 m t M I L 2 z f 5 k V f C 9 5 m N L 4 i f B 8 E f Z 1 4 q 3 5 i b H C b j j z 8 7 o U q 8 v Z 5 e C i v 3 Z u 1 o 4 U f a s f d 9 + x g W D u a D u 5 / + u n O w w c 7 D x + O 7 2 0 a u i c A 7 / m m J w r m z V u 6 b 9 p 8 m K M 9 7 r + x r c f 8 N 7 b 1 G P 7 G t r 7 G u 7 l x h I N u 6 7 7 d q n 1 k g m / r v t 2 q / X t O p q / P b t X + f W b U 1 2 c 3 N 3 6 f O f U V 1 8 2 N + 3 O 6 o X F / Q j c 0 7 s / m h g G 6 t v u h b j J 5 + J N v n / 7 E V 6 e 3 U y B 7 N 2 s o 2 0 u o o f b e s 4 N h D W U 6 e P B g 5 / 6 D g 3 v j B w o 6 O n y P k d / r P Y + h z X u 3 1 E 7 a f H h G P F 6 + s a 3 H y j e 2 9 T j 5 x r a + d r q 5 c Y S H b q u d b t U + M r m 3 1 U 6 3 a v + e k + l r p 1 u 1 f 5 8 Z 9 b X T z Y 3 f Z 0 5 9 7 X R z 4 / 6 c b m j c n 9 A N j f u z u W G A r u 3 9 u H a 6 z S o h F M e 9 m z W T 7 S H U T P f e s 4 N h z W Q 6 u H / / 3 r 3 7 B 5 / u 7 4 9 3 H t x O N 7 3 n m x 5 D m z d v q Z 2 0 + f C M e L x 8 Y 1 u P l W 9 s 6 3 H y j W 1 9 7 X R z 4 w g P 3 V Y 7 3 a p 9 Z I J v q 5 1 u 1 f 4 9 J 9 P X T r d q / z 4 z 6 m u n m x u / z 5 z 6 2 u n m x v 0 5 3 d C 4 P 6 E b G v d n c 8 M A X d t P Q + 3 0 v u u E U C D 7 N 2 s o 2 0 u o o f b f s 4 N h D W U 6 u P / g 0 9 2 H m 9 N Q H h u / x 1 s e M 5 u 3 b q m Z t P n w b H h 8 f G N b j 4 1 v b O t x 8 Y 1 t f c 1 0 c + M I / 9 x W M 9 2 q f W R i b 6 u Z b t X + P S f T 1 0 y 3 a v 8 + M + p r p p s b v 8 + c + p r p 5 s b 9 O d 3 Q u D + h G x r 3 Z 3 P D A F 3 b B 7 5 m 2 v s a S X m M / y b F Z D s J F N O e z u 6 t O x h W T K a D 3 f s H + w 8 P y A k a g 5 s G W c f j 5 O 6 b + + M H m 9 7 0 e N q 8 u b f 3 Y G f / / v j e p t c 8 1 g 5 e 2 x 8 / 3 P S a x + H v 8 5 r H 6 + a 1 T Y L k c f v 7 9 O I r M 3 3 v d s r M 4 j T e v 6 U 6 M 2 9 s 3 / B K h C N u q 9 F s + 8 0 9 R O b / t j r t t o P o T / r t 1 N p 7 z V 1 k z r d v 8 6 K v 7 W 5 D A F / h v Q + C v u 6 7 V T + R q b / V g D z 8 D k J V + F 7 J d 4 z z J i 1 o 4 Y d a 8 H b J d 9 f B s B Y 0 H e w 9 e L i z v 0 c v j Q 9 u m d x 6 z z c 9 K T B v 3 t J N 0 + b D H O 1 x / 4 1 t P e a / s a 3 H 8 D e 2 9 T X b z Y 0 j H L R R J U Q 4 Y m P 7 y A T f V q n d q v 1 7 T q a v 0 m 7 V / n 1 m 1 N d n N z d + n z n 1 F d f N j f t z u q F x f 0 I 3 N O 7 P 5 o Y B u r Y P Q 9 3 0 n u k t 9 H q T d r I 9 h N r p d u k t 1 8 G w d j I d 3 N u l B N X O D i 1 a Y w I H + c Z j 4 / d 8 0 2 N o 8 + Y t t Z M 2 H 5 4 R j 5 d v b O u x 8 o 1 t P U 6 + s a 2 v n W 5 u H O G h 2 2 q n W 7 W P T P B t t d O t 2 r / n Z P r a 6 V b t 3 2 d G f e 1 0 c + P 3 m V N f O 9 3 c u D + n G x r 3 J 3 R D 4 / 5 s b h i g b X u w E 2 q n r 5 H e 2 t u / U U O 5 X k I N t f + e H Q x q K N v B / t 7 9 h / c P x j s H t 1 J P 7 / W a Y 2 f 7 2 u 1 0 k 2 k + P B + O k 2 9 u 6 x j 5 5 r a O j 2 9 u 6 + m m W z S O c N A t d d P t 2 k e m 9 p a 6 6 X b t 3 3 M y P d 1 0 u / b v M 6 O e b r p F 4 / e Z U 0 8 3 3 a J x f 0 4 3 N O 5 P 6 I b G / d n c M E D X d t f X T f e + R o L r 3 s 7 N q s l 2 E q g m v P l e H Q y r J t P B 7 v 6 n 4 / u 3 U 0 v m l U 0 s 5 n G w 6 2 H / 0 3 v 3 x / s H t 1 N L 3 m v 7 B w f j h 5 t e 8 / j 5 f V 7 z O P s 2 Y / J 4 + 3 1 6 8 V W X v n c 7 1 X X b q f H V l 3 l n + 8 a X I j x w W x 1 2 a 8 Q i X H B b P X b 7 g f Q n / 3 b K 7 L 3 m M D L 3 2 7 d 5 0 d d x t y G B r + b e B 0 F f 4 9 2 q n 8 j 0 3 2 p A H n 5 7 o Q I 8 e / E m / f z 4 x f H T W 2 a 2 7 t 2 / W f 3 Z L k L 1 p / x w 6 w 6 G 1 Z / p 4 N 7 u g / H B p n F 7 7 H / r d z z 2 N + 9 s m h O P + 7 X 5 M C N 7 T H 9 j W 4 / n b 2 z r 8 f m N b X 3 F d n P j C O N s 1 A U R L t j Y P j K p t 9 V n t 2 r / n p P p 6 7 J b t X + f G f X V 2 M 2 N 3 2 d O f X 1 1 c + P + n G 5 o 3 J / Q D Y 3 7 s 7 l h g K 7 t P V 8 l 7 X 8 N n 2 z f u k z D S s l 2 E i i l f Z 3 d W 3 c w r J R M B 5 v 4 x W P f 2 z T 3 u N c 0 3 7 1 P y D w Y 7 z 2 8 n U p 6 n 9 c 8 X n 6 f 1 z y u v s 2 Y P L 5 + n 1 5 8 t a X v 3 U 5 t 3 Q Y n X 2 3 d q v 1 7 T r u v t m 7 V P j L x t 1 V b t 2 r f n + r b q a 3 3 m r H I T G / f 5 k V f m 9 1 m N L 5 C e x 8 E f d 1 2 q 3 4 i s 3 6 r A X n 4 7 f u q 7 v 7 X U H X 3 b 6 H q b C e B q r u v Y 7 t 1 B 8 O q z n S w e / / B + P 6 D 2 + k 7 8 8 4 t 9 Z 3 r 4 v 7 9 T 3 c 3 e 2 w e 9 3 u v 7 e / s j + / t 3 k 7 f D b + 2 U d / d Z k y e F L x P L 7 6 + 0 / d u p + 9 u P T e + 0 j M v b d / 8 V o Q N b q v 6 b o 9 a h B F u q / / e Y y h 9 B r i d F n y v e Y z M / / Z t X v S 1 4 G 1 o 4 G v B 9 0 H Q 1 4 K 3 6 i f C A L c a k I f f / V A L n r 2 Q 9 c v b 6 a f d m x W g h R 8 q Q M X u 1 h 0 M K 0 D T w e 6 9 8 b 1 N m s l j / t u + 4 r G + e W X T d H i c r 8 2 H e d j j 9 x v b e u x + Y 1 u P x W 9 s 6 + u 1 m x t H e O a 2 f t y t 2 k e m 9 L b K 7 F b t 3 3 M y f T 1 2 q / b v M 6 O + B r u 5 8 f v M q a + q b m 7 c n 9 M N j f s T u q F x f z Y 3 D N C 1 / b S r j d 4 v I 3 b f J q y G F Z L t I l R I 9 9 + z g 2 G F Z D q 4 t 7 M 7 f v D p 7 T T S r d / x u N i 8 c 0 u V p M 2 H p 8 F j 4 B v b e v x 7 Y 1 u P f W 9 s 6 6 u k m x t H G O e 2 K u l W 7 S O T e l u V d K v 2 7 z m Z v k q 6 V f v 3 m V F f J d 3 c + H 3 m 1 F d J N z f u z + m G x v 0 J 3 d C 4 P 5 s b B u j a P v B V 0 q d f I 0 z 8 d O d m p W Q 7 C Z T S p z q 7 t + 5 g W C m Z D j b x i 8 e + t 2 n u c a 9 p v v f g / q f j e 5 s c f Y + F b / + S x 8 e 3 f 8 n j 5 9 u M x u P o 2 / f h q y t 9 6 3 b q 6 j Y Y + e r q V u 3 f c 7 p 9 d X W r 9 p E J v 6 2 6 u l X 7 / j T f T l 2 9 x 3 x F Z n n 7 5 t d 8 D X a b k f h K 7 P b I + d r s V r 1 E 5 v s W g / F w O / B V 2 4 O v o d o e 3 E K 1 2 U 4 C 1 f Z A R 3 b r D o Z V m + l g 7 / 7 B w Y N 7 e + P 9 v d v p O P P e L X W c a X 5 v 5 2 B / b 2 9 / b E L Y m 9 S c e W / / 4 f 3 9 h 3 v j n U 3 Z S U 8 C 3 u c 1 T x Z u M y h P C N 6 n F 1 / Z 6 X u 3 U 3 b v N U G + 1 j M v b t / u z Q h P 3 F b / v R + K E a 6 4 r S J 8 z y H 1 G e J 2 K v G 9 5 j X C D 9 u 3 e d F X i 7 e h g 6 8 W 3 w d B X z H e q p 8 I I 9 x q Q B 5 + D 0 P V + F 5 p s Q e 3 S I t Z + K F W V J 1 y 6 w 6 G t a L p 4 P 6 D B w e f 3 r 8 3 3 t 8 0 c E 8 S 3 u s 9 T x D M e 5 s m x p M D b T 7 M z R 7 n 3 9 j W Y / w b 2 3 r M f m N b X + P d 3 D j C P R u 1 Q o Q b N r a P T O 5 t 1 d u t 2 r / n Z P p a 7 V b t 3 2 d G f V 1 2 c + P 3 m V N f a d 3 c u D + n G x r 3 J 3 R D 4 / 5 s b h i g b f t w p 6 u X 3 i 9 B 9 u D m B J n r I l R N t 0 u Q u Q 4 G V Z P t Y O / h w c P x / q 3 U 0 u 3 f c V x s 3 7 m d S j L N h 6 f B M f D N b R 3 / 3 t z W s e / N b T 2 V d I v G E c a 5 p U q 6 X f v I p N 5 S J d 2 u / X t O p q e S b t f + f W b U U 0 m 3 a P w + c + q p p F s 0 7 s / p h s b 9 C d 3 Q u D + b G w b o 2 u 7 6 K u n g a 0 S R B z s 3 K y V 0 0 l d K e P O 9 O h h W S q a D e w 8 + H Z v F g O j I P R 4 2 7 2 z i M Y + F X R e 7 n 9 7 f H e / e T i 1 5 b + 0 9 2 N + M m 8 f P 7 / O a x 9 m 3 G Z L H 2 + / T i 6 + 6 9 L 3 b q a 5 b T 4 2 v v 8 x L 2 z e / F e G C 2 2 q x 2 6 M W 4 Y P b q r L 3 G E q f A W 6 n 0 N 5 r H i P z v 3 2 b F 3 0 9 d x s a + K r u f R D 0 t d 6 t + o k w w K 0 G 5 O G 3 F y r B 9 / X L s E h 6 k w q 0 X Y Q q 8 H Z + m e t g W A W a D g 4 O d s Y P D 2 6 n A m / 9 j s f / 5 p 1 N c + K x v z Y f Z m S P 6 W 9 s 6 / H 8 j W 0 9 P r + x r a / c b m 4 c Y Z y N y i D C B R v b R y b 1 t h r t V u 3 f c z J 9 Z X a r 9 u 8 z o 7 4 a u 7 n x + 8 y p r 6 9 u b t y f 0 w 2 N + x O 6 o X F / N j c M 0 L W 9 5 6 m k 3 d 3 3 9 8 t 2 w d M 3 K S X b i a + U + M 3 3 6 m B Y K Z k O d u 8 / u L + 7 D z W z a X H D Y 2 T / x X v 7 e z s H 4 / v 7 t 9 N P 5 s 3 9 + / d 3 9 / Z 3 x w 8 + v Z 2 i c u 8 9 2 L n / 6 c P x p t c 8 D n + f 1 z x e N 6 / d 0 l N 7 n 1 5 8 Z a b v 3 U 6 Z m U 6 2 d x / e 2 3 s w P t h E c F + p 2 b m 6 x W s R 3 r h V d x H W u K 2 O e x / 0 I v x w W 1 V 3 M 6 k j 0 3 + r + Y z w w f Z t X v Q 1 4 G 1 G 4 y v B 9 0 H Q 1 4 e 3 6 i f G B L f p y M N v P 1 S P 7 5 P h 3 w X P 3 6 Q Z L f x Q M + 6 + Z w f D m t F 0 c G / 3 / s 7 u p / v 7 9 8 b 3 b 6 k a 3 / N N T x L M m 7 d 0 3 b T 5 M E d 7 3 H 9 j W 4 / 5 b 2 z r M f y N b X 1 t d 3 P j C A f d 1 n W 7 V f v I B N / W d b t V + / e c T F + f 3 a r 9 + 8 y o r 8 9 u b v w + c + o r r p s b 9 + d 0 Q + P + h G 5 o 3 J / N D Q N 0 b e + H u u l U V F N 6 8 u 3 T n / j q 9 H Y K Z O 9 m D W V 7 C T X U 3 n t 2 M K y h T A e f H u z v P h j v H N x O O 5 m 3 3 s 9 p M 2 / d U j O Z 5 t u 3 6 M V j 6 d v 0 4 j H 1 e w z F 4 + 7 3 w c 1 X X v r e 7 Z T X e 6 D m 6 7 D 3 w i 3 C C r f V Z e + D 3 n t y g a / S 3 m s 4 f T 6 4 n W p 7 r 0 4 i f H C L 1 3 x 9 9 z 7 d + a r v N r T z t d / 7 o P e + n O C a f x p X h W 9 e 3 U 5 L 3 b t Z D d o e Q j V 4 7 z 0 7 G F a D p g M Q i p / b 6 c H 3 e c 0 T A f P a L R W h N h / m Z I / r b 2 z r M f 2 N b T 1 G v 7 G t r + V u b h z h n t u 6 a L d q H 5 n a 2 6 q 1 W 7 V / z 8 n 0 9 d m t 2 r / P j P p 6 7 O b G 7 z O n v s q 6 u X F / T j c 0 7 k / o h s b 9 2 d w w Q N f 2 Q a i X 3 j P h v 4 t J v k k x 2 S 5 C x X T / P T s Y V k y m g 9 1 7 9 8 g / O 1 C N F x 2 5 x 8 P v 8 Z b H y e a t W 6 o l b T 4 8 F R 4 T 3 9 j W 4 + E b 2 3 o s f G N b X y 3 d 3 D j C P L d V S 7 d q H 5 n Y 2 6 q l W 7 V / z 8 n 0 1 d K t 2 t 8 4 o w N q 6 W b K v 8 + c + m r p 5 s b 9 O b 2 d W r q 5 c X 8 2 b 6 W W D n y 1 t P c 1 k v 4 Y / 0 2 K y X Y S K K Y 9 n d 1 b d z C s m E w H u 7 s P H o 4 1 Y 3 a T W j L v 3 N J N c l 1 8 e u 9 T S v L v b 9 J j H i t 7 7 + 3 t f 7 o 3 v r f p P Y + l 3 + s 9 j 7 t v M y y P v 9 + r G 1 9 / 6 Y u 3 0 1 + 3 n h 9 f i Z m X t m 9 + K 8 I K t 1 V l t 0 c t w g y 3 1 W f v M Z Q + C 2 w g c W T e b z e R E Q 7 Y v t W b v r q 7 D R V 8 j f d e K P r a 7 1 Y d R X j g d k P y M H w Y a s P 3 d d L 2 b u G k 2 S 5 C X X g 7 J 8 1 1 M K w L T Q d 7 D + 4 f b F z b 8 I T g 1 u 9 4 M m D e 2 T Q p n g h o 8 2 F m 9 h j / x r Y e 3 9 / Y 1 m P 1 G 9 v 6 C u 7 m x h H G 2 a g Q I l y w s X 1 k U m + r 1 W 7 V / j 0 n 0 1 d o t 2 r / P j P q q 7 K b G 7 / P n P o a 6 + b G / T n d 0 L g / o R s a 9 2 d z w w B N 2 w f I 4 j i V d O 9 r O G j 3 d m 5 S S l 4 n g V K 6 p 7 N 7 6 w 6 G l J L r Y B O / W P a 9 X X P L v a 7 5 7 g N y z B 7 o e k T 0 J c v C 7 / O S 5 e P 3 e c n y 8 + 1 G Y z n 6 f f p w 6 s q + d R t 1 d T u M n L q 6 Z f v 3 n G 6 n r m 7 Z P j L h t 1 N X t 2 z f n + b b q K v 3 m q / I L G / f / J r T Y L c b i V N i 7 4 O c 0 2 a 3 7 C U y 3 7 c Y j I f b r q / a 7 n 8 N 1 X Z / 5 2 b V Z j s J V N t 9 H d m t O x h W b a a D e z v j h + r F 3 a T e z C u f k n v 6 Y H M k 6 T G 9 e W v T p H g 8 7 z q 5 / / D T 8 f 7 B 7 R T c e 7 z l i c B t U P N 4 / z 0 6 8 V W c v n Y 7 F W f 6 2 L 5 N J x F + u c 1 r E S 6 4 V X c R V r i t 5 n s f 9 C L M c F s F e D O p I 7 N / G 5 w i X H A b k v k q 8 D Z j 8 V X g e 6 D n 6 8 B b d f N 1 O c C 9 t h c q w f d c r 7 x / 7 2 Y N a H s I N a B q n V t 3 M K w B T Q e 7 e / f 2 7 u + P D z 6 9 n R Z 8 n 9 c 8 C T C v 3 V I N a v N h T v a 4 / s a 2 H t P f 2 N b j 9 B v b + l r u 5 s Y R 7 t k o 1 x F e 2 N g + M r U b 2 0 f m 9 L b q 7 F b t + 7 N 5 a z 1 2 M z H f Z 0 p 9 7 X V j Y 1 9 l 3 d y 4 P 6 c b G v c n d E P j / m x u G K B r e y / U S + + b C r t / Y y r M 6 y J U T L d L h b k O h h W T 6 W B 3 / 9 M x u G i Q Z T w O v v U 7 H h e b d 2 6 p k r T 5 8 D R 4 D H x j W 4 9 / b 2 z r s e + N b X 2 V d H P j C O P c V i X d q n 1 k U m + r k m 7 V / j 0 n 0 1 d J t 2 r / P j P q q 6 S b G 7 / P n P o q 6 e b G / T n d 0 L g / o R s a 9 2 d z w w B d 2 3 1 f J X 3 6 N e L F T 3 d u V k q 2 k 0 A p f a q z e + s O h p W S 6 e D + / s P x / i 2 V k n l n E 4 9 5 L O y 6 2 N t 7 + H C M B e H B 1 z x O d q / t P r i / M 7 6 / u + E 1 j 6 H f 5 z W P t W 8 z J o + 5 3 6 c X 1 V 3 + e 7 f T X b e e G 1 + B m Z e 2 b 3 4 r w g a 3 V W O 3 R y 3 C C L f V Z e 8 x l D 4 D 3 E 6 j v d c 8 R u Z / + z Y v + o r u N j T w d d 3 7 I O i r v V v 1 E 2 G A W w 3 I w + 9 + q A X f 1 z H 7 9 B a O m e 0 i 1 I G 3 c 8 x c B 8 M 6 0 H S w S 4 s H m 9 O F n g T c / i V P A s x L t 3 T N t P k w K 3 t s f 2 N b j + t v b O t x + o 1 t f f V 2 c + M I 6 9 z W N b t V + 8 i 0 3 l a n 3 a r 9 e 0 6 m r 8 5 u 1 f 5 9 Z t R X Z D c 3 f p 8 5 9 T X W z Y 3 7 c 7 q h c X 9 C N z T u z + a G A b q 2 n / p K 6 e B r u G Y H t 3 D N b C e B W j r Q 2 b 1 1 B 8 N q y X S w u 3 9 v / / 6 9 g 3 u 7 4 0 0 6 2 W N k 9 + K D / Y N 7 O 7 Q G A j Y f f N N j a f P m / r 2 d n Y O d h + M 9 V b L R 9 z z W N u 8 d 3 K M X d + m 9 h 7 d z 1 t 7 r P Y / b z X u 3 9 N b e q x t f n + m L t 9 N n p p f t / Z 2 9 h 3 u 7 O + O d T V T 3 N Z s l + 6 1 e j L D I L b u M 8 M h t l d 3 7 o R h h j d t q v Z t J H u G D 2 0 1 s h C O 2 b / W m r w 5 v M x 5 f I 7 4 X i r 5 2 v F V H M V 6 4 V U 8 e h g 9 C b X n 2 Q p L + t 9 N j u z c r S g s / V J S q z G 7 d w b C i N B 3 s H R w c 7 H y 6 8 + n + b R X l + 7 3 o S Y N 5 8 Z Z + n D Y f 5 m m P / 2 9 s 6 7 H / j W 0 9 j r + x r a / 3 b m 4 c 4 Z / b + n G 3 a h + Z 3 t v 6 c b d q / 5 6 T 6 W u 0 W 7 V / n x n 1 N d r N j d 9 n T n 3 F d X P j / p x u a N y f 0 A 2 N + 7 O 5 Y Y C u 7 U G o m d 5 z N f L g 3 s 2 6 y f Y Q 6 q Z 7 7 9 n B s G 4 y H d z b u f f g 3 s G n + 3 v j e 7 c M M N / z T Y + h z Z u 3 1 E 7 a f H h G P F 6 + s a 3 H y j e 2 9 T j 5 x r a + d r q 5 c Y S H b q u d b t U + M s G 3 1 U 6 3 a v + e k + l r p 1 u 1 f 5 8 Z 9 b X T z Y 3 f Z 0 5 9 7 X R z 4 / 6 c b m j c n 9 A N j f u z u W G A r u 3 D U D u d / e R x + v u k J 1 9 + c f b 6 7 M s X t 1 M g + z d r K N t L q K H 2 3 7 O D Y Q 1 l O i D v 5 + G n t 1 N N t 3 3 F Y 2 P z y i 1 1 k j Y f n g e P g 2 9 s 6 z H w j W 0 9 / r 2 x r a + T b m 4 c 4 Z z b 6 q R b t Y 9 M 6 W 1 1 0 q 3 a v + d k + j r p V u 3 f Z 0 Z 9 n X R z 4 / e Z U 1 8 n 3 d y 4 P 6 c b G v c n d E P j / m x u G K B t C 4 4 M d N J 7 p u M P 7 t + o k F w X o U L S T N G t O x h U S L Y D S p L d e z j + 9 H Y 6 6 X 3 e c p x s 3 7 q d W j L N h 6 f C M f H N b R 0 P 3 9 z W s f D N b T 2 1 d I v G E e a 5 p V q 6 X f v I x N 5 S L d 2 u / X t O p q e W b t f + f W b U U 0 u 3 a P w + c + q p p V s 0 7 s / p h s b 9 C d 3 Q u D + b G w b o 2 u 7 6 a u n h 1 0 j I P 9 y 5 W T H Z T g L F h D f f q 4 N h x W Q 6 2 D 9 4 Q B m j W y 8 V 6 n v k L u 0 + e E B / b s 6 d e v x s + t u 7 t 7 t 3 / 8 H 9 M X h 3 8 D 2 P r 8 1 7 9 z 7 d / f T g 0 / v j / Y M N 7 3 n 8 / V 7 v e a x u 3 t s k R x 6 z v 1 c 3 v j L T F 2 + n z E w v 2 7 Q + u 7 / 3 c G d z 9 O y r N f P m 7 V 6 M 8 M c t u 4 x w y G 0 1 3 f u h G G G N 2 6 q 8 m 0 k e 4 Y P b T W y E I 7 Z v 9 a a v C 2 8 z H l 8 d v h e K v m q 8 V U c x X r h V T x 6 G e 6 G q f K 9 s / M P d m 7 W k h R 9 q y d 3 3 7 G B Y S 5 o O 9 g 8 O d u 8 f 7 I / v P 7 y d l n y v 9 z x Z M O 9 t m h l P A r T 5 M E d 7 3 H 9 j W 4 / 5 b 2 z r 8 f u N b X 2 t d 3 P j C P d s l O 8 I N 2 x s H 5 n c j e 0 j k 3 p b x X a r 9 v 3 Z v L U + u 5 m Y 7 z O l v g 6 7 s b G v t m 5 u 3 J / T D Y 3 7 E 7 q h c X 8 2 N w z Q t b 0 X 6 i W T i z / 5 9 u l P f H V 6 O + W x d 7 N 2 s r 2 E 2 k n N 2 6 0 7 G N Z O p o O 9 g 3 u 7 D / Z 3 x 5 u 0 s s f H 5 r V d 8 v s O H u y M w b O D 7 3 n 8 b N 7 b 3 n 2 I Z 7 y 3 6 T 2 P r 9 1 7 u / e 5 w 0 3 K 0 O N v 8 9 4 m e f A 4 3 A 7 r F r 1 4 v P 5 e 2 P m 6 T F + 8 n S 4 z v T x E H 7 v j T z e R z t d p F r t b v R j h j d s q t / d C M M I U t 1 V y 7 z e g P j f c T t u 9 3 6 R G u O E 2 7 / l K 8 L 0 6 9 B X i b e j n 6 8 T 3 Q v B 9 + c E 1 3 4 9 r y F u u V j 6 8 d 7 N 2 t D 2 E 2 v H e e 3 Y w r B 1 N B / f 3 d n Y e 3 n 8 4 f r C J 0 z x J e K / 3 P E k w 7 9 3 S d 9 P m w / z s 8 f 6 N b T 3 W v 7 G t x + 0 3 t v X 1 3 c 2 N I / x z W 9 / t V u 0 j k 3 t b 9 X a r 9 u 8 5 m b 5 a u 1 X 7 9 5 l R X 5 v d 3 P h 9 5 t R X W z c 3 7 s / p h s b 9 C d 3 Q u D + b G w b o 2 t 4 P N d P X W K l 8 u H + z d r K 9 h N p p / z 0 7 G N Z O p o N 7 e 5 u j a Y + H b / u K x 8 b m l V v q J G 0 + P A 8 e B 9 / Y 1 m P g G 9 t 6 / H t j W 1 8 n 3 d w 4 w j m 3 1 U m 3 a h + Z 0 t v q p F u 1 f 8 / J 9 H X S r d q / z 4 z 6 O u n m x u 8 z p 7 5 O u r l x f 0 4 3 N O 5 P 6 I b G / d n c M E D X 9 t O O T n r P l c q H 9 2 9 W S L a L U C G p b 3 L r D o Y V k u l g f 2 / n 4 R h s P c g z H g v f / i W P j 8 1 L t 1 R K 2 n x 4 I j w W v r G t x 8 E 3 t v U Y + M a 2 v l K 6 u X G E d W 6 r l G 7 V P j K t t 1 V K t 2 r / n p P p K 6 V b t X + f G f W V 0 s 2 N 3 2 d O f a V 0 c + P + n G 5 o 3 J / Q D Y 3 7 s 7 l h g K 7 t A 0 8 p 7 e 2 8 / z o l h T 8 3 q y X b i a + W + M 3 3 6 m B Y L Z k O 9 n Z 3 d v b u f X r / / v j B p p D X 4 2 T 3 5 s N 7 B 3 s P 9 h + M 7 6 u 2 j L 7 p 8 b R 5 8 1 P q 8 + D e g / H B / u 0 0 l X l v 9 / 7 + / Y c P 9 x 6 O P 9 3 w n s f j 7 / W e x + 7 m v U 2 y 5 D H 8 e 3 X j K z R 9 8 X Y K z f S y / f D e / Y c 7 D 3 f H D z Z 2 E + G l 2 7 0 Y 4 Z F b d h n h k d t q u / d D M c I a t 1 V 7 N 5 M 8 w g e 3 m 9 g I R 2 z f 6 k 1 P H 9 5 q P L 5 K f C 8 U f f V 4 q 4 5 i v H C r n j w M D 0 J 1 + T 5 r l X s 7 u z d r S g s / 1 J S 7 7 9 n B s K Y 0 H Z A v t r O 3 u 7 + z M 9 7 R p Y a b N O V 7 v u n J g 3 n z l q 6 c N h / m a k 8 C b m z r C c C N b T 2 e v 7 G t r / l u b h z h o I 0 y H u G I j e 0 j E 7 y x f W R a b 6 v c b t W + P 5 u 3 1 m k 3 E / N 9 p t T X Y z c 2 9 l X X z Y 3 7 c 7 q h c X 9 C N z T u z + a G A b q 2 D 0 P d 9 H 7 Z + L 2 d W 2 T j b Q + h d r p V N t 7 r Y F g 7 m Q 7 2 7 3 / 6 4 M G n 5 F a N Q e Z B v v H Y + D 3 f 9 B j a v H l L 7 a T N h 2 f E 4 + U b 2 3 q s f G N b j 5 N v b O t r p 5 s b R 3 j o t t r p V u 0 j E 3 x b 7 X S r 9 u 8 5 m b 5 2 u l X 7 9 5 l R X z v d 3 P h 9 5 t T X T j c 3 7 s / p h s b 9 C d 3 Q u D + b G w Z o 2 w J 7 X z u 9 f 0 Z + b 2 f / R g 3 l e g k 1 1 P 5 7 d j C o o W w H B 7 v j 2 / l N t 3 3 D M b F 9 4 3 Y a y T Q f n g X H v z e 3 d e x 7 c 1 v H v T e 3 9 T T S L R p H + O a W G u l 2 7 S M T e k u N d L v 2 7 z m Z n k a 6 X f v 3 m V F P I 9 2 i 8 f v M q a e R b t G 4 P 6 c b G v c n d E P j / m x u G K B r u 9 v R S O + X j 9 / b u T k f 7 7 o I 1 d G t 8 v F e B 8 P q y H S w d / / h 7 u 7 4 / q e 3 U 0 n v 8 Z b H y e a t W 6 o l b T 4 8 F R 4 T 3 9 j W 4 + E b 2 3 o s f G N b X y 3 d 3 D j C P L d V S 7 d q H 5 n Y 2 6 q l W 7 V / z 8 n 0 1 d K t 2 r / P j P p q 6 e b G 7 z O n v l q 6 u X F / T j c 0 7 k / o h s b 9 2 d w w Q N d 2 z 1 d L u 1 8 j I w + e v k k x 2 U 4 C x b S r s 3 v r D o Y V k + n g 3 t 7 B v U / H 9 2 7 p K 9 m 3 K I z b v X d w 2 8 V C + 9 4 u 5 a X u H T w Y G 4 c v + p 7 H 1 e Y 9 6 u 7 e p w c H 4 4 N N u X + P u 9 / r P Y / R z X u b p M h j 9 f f q x l d l + u L t V J n p Z f v e / t 6 9 e z u 7 4 4 P d W y o 1 N 1 2 3 e T H C H b f s M s I h t 9 V z 7 4 d i h D V u q / B u J n m E D 2 4 3 s R G O 2 L 7 V m 7 4 m v M 1 4 f G X 4 X i j 6 i v F W H c V 4 4 V Y 9 e R j e C x X l e + X i w f 8 3 6 U g L P 9 S R y k C 3 7 m B Y R 5 o O P t 3 5 9 P 6 D 8 d 7 D 2 + n I 9 3 j L k w P z 1 i 2 d N 2 0 + z M 0 e 5 9 / Y 1 m P 8 G 9 t 6 v H 5 j W 1 / j 3 d w 4 w j m 3 d d 5 u 1 T 4 y s b d 1 3 m 7 V / j 0 n 0 9 d l t 2 r / P j P q 6 7 K b G 7 / P n P o q 6 + b G / T n d 0 L g / o R s a 9 2 d z w w B d 2 / 1 Q J 5 k c / M m 3 T 3 / i q 9 P b K Y 6 9 m z W T 7 S X U T O p k 3 b q D Y c 1 k O t j b e f D w 0 4 c P x w 8 P b q e b z H u 7 O / c e H u z T e 7 f U T u a 9 7 Q e f 3 q P X 7 m 8 y 0 h 5 f 2 9 d o b J / u E p 6 3 d N / M e 5 v k w e N w O 6 p b 9 O L x + n t h 5 + s y f f F 2 u u y 9 S O 4 r N Y f e r d 6 M c M d N 6 u 3 r o R h h i 9 v q u f c c U p 8 j b q f x 3 m 9 i I x x x m / d 8 R f h e H f p K 8 T Y E 9 P X i e y H 4 v h z h m t + P a 8 l b r l S C F W / S k L a H U E P e e 8 8 O h j W k 6 W D / 4 N O 9 + / u 7 4 0 8 3 q a z 9 r / m e J w r m v V v 6 b 9 p 8 m J 8 9 3 r + x r c f 6 N 7 b 1 u P 3 G t r 7 O u 7 l x h H 9 u 6 7 / d q n 1 k c m + r 4 G 7 V / j 0 n 0 9 d r t 2 r / P j P q a 7 O b G 7 / P n P p q 6 + b G / T n d 0 L g / o R s a 9 2 d z w w B d 2 0 9 D z f Q 1 V i n B F z d p J 9 t L q J 3 2 3 7 O D Y e 1 k O v h 0 f / z w 0 9 s p p t u + 4 r G x e e W W O k m b D 8 + D x 8 E 3 t v U Y + M a 2 H v / e 2 N b X S T c 3 j n D O b X X S r d p H p v S 2 O u l W 7 d 9 z M n 2 d d K v 2 7 z O j v k 6 6 u f H 7 z K m v k 2 5 u 3 J / T D Y 3 7 E 7 q h c X 8 2 N w z Q t X 3 Q 0 U n v u U 6 J S b 5 J I d k u Q o W k 7 t + t O x h W S K a D + 3 s 7 n 9 4 6 0 3 X 7 l z w + N i / d U i l p 8 + G J 8 F j 4 x r Y e B 9 / Y 1 m P g G 9 v 6 S u n m x h H W u a 1 S u l X 7 y L T e V i n d q v 1 7 T q a v l G 7 V / n 1 m 1 F d K N z d + n z n 1 l d L N j f t z u q F x f 0 I 3 N O 7 P 5 o Y B u r Y H v l L a + x q r l B j / T W r J d h K o p T 2 d 3 V t 3 M K y W T A f 3 9 v f v H e w 8 v P d g / O B 2 q s m + e O / B w / 2 D n Y P d 8 b 3 9 2 + k n 8 + a n D x / s 3 r + 3 P z 7 Q m D T 6 n s f a 5 r 3 7 9 w 4 + f X A w 3 t + E q M f h 7 / O a x + v m t U 2 C 5 H H 7 + / T i K z N 9 7 3 b K z F J u n x a V 7 9 O i 8 q e 3 1 G r m x e 3 b v R n h j 9 v q t / d D M c I V t 1 V 0 7 z m k P k P c T u W 9 1 7 x G + G H 7 N i / 6 m v A 2 d P C V 4 f s g 6 O v F W / U T Y Y R b D c j D 7 2 G o J t 9 r j R L j v E l D W v i h h t S k 0 q 0 7 G N a Q p o M H O w 9 3 9 2 j k e + P 7 m z j N k 4 X 3 f N M T B v P m p s n x Z E G b D 3 O 0 x / 0 3 t v W Y / 8 a 2 H s P f 2 N b X e j c 3 j n D Q R s 0 Q 4 Y i N 7 S M T f F s V d 6 v 2 7 z m Z v m a 7 V f v 3 m V F f n 9 3 c + H 3 m 1 F d c N z f u z + m G x v 0 J 3 d C 4 P 5 s b B m j b 3 t s J d d P X W K s E m j d o K N d L q K F u t 1 b p O h j U U L Y D W v O h R Y u 9 8 Y 6 C j g 7 f M b J 9 7 / 7 u / Q O K L 3 d U Z 0 Z f c / x s X 7 u d c r L N t 2 / T j W P r W 3 X j G P u 9 B u N Y / P 2 w 8 1 S Y e f F W K u y 9 k P N U 2 X t i F 2 G J W + q 0 9 0 P w P X n B 0 2 3 v O a A + N 9 x K y b 1 n L x F u u M 1 7 n u 5 7 v w 4 9 P X g r + n m q 8 P 0 Q f F 9 + c M 1 3 4 4 r x l s u T 6 P g m p W h 7 C J X i 7 Z Y n X Q f D S t F 0 8 G B n Z / / + 3 n 2 K T 3 c e 3 k 4 t v u e b n j S Y N y 2 V N 2 t G b T 7 M 0 x 7 / 3 9 j W Y / 8 b 2 3 o c f 2 N b X + f d 3 D j C Q x t Z L s I R G 9 t H J v i 2 K u 5 W 7 d 9 z M n 3 V d q v 2 7 z O j v k a 7 u f H 7 z K m v u m 5 u 3 J / T D Y 3 7 E 7 q h c X 8 2 N w z Q t d 0 L t d P X W K L c 2 7 9 Z Q 9 l e Q g 2 1 / 5 4 d D G s o 0 w G F h + O H t 3 T Z b v 2 O x 8 j m n V t q J W 0 + P B M e D 9 / Y 1 m P h G 9 t 6 H H x j W 1 8 r 3 d w 4 w j u 3 1 U q 3 a h + Z 1 N t q p V u 1 f 8 / J 9 L X S r d q / z 4 z 6 W u n m x u 8 z p 7 5 W u r l x f 0 4 3 N O 5 P 6 I b G / d n c M E D X 9 l 5 H K 7 3 n I u X e z Y u U r o t Q J d 1 u k d J 1 M K y S T A f 3 7 l N S d X y g u i 4 6 c o + H 3 + M t j 5 P N W 7 d U S 9 p 8 e C o 8 J r 6 x r c f D N 7 b 1 W P j G t r 5 a u r l x h H l u q 5 Z u 1 T 4 y s b d V S 7 d q / 5 6 T 6 a u l W 7 V / n x n 1 1 d L N j d 9 n T n 2 1 d H P j / p x u a N y f 0 A 2 N + 7 O 5 Y Y C u 7 b 6 v l u 5 9 j W V K x I 4 3 K S b b S a C Y 7 u n s 3 r q D Y c V k O r i 3 + + D g 4 N P 7 B + N 7 t 1 N N 5 r 2 9 h w e f 7 l F 2 b L y v y j L 6 o s f Q t s O 9 H Y q 1 H 4 w f H t x O T Z n 3 d v c I U e p v d x O i H o O / 1 3 s e r 5 v 3 N g m S x + 3 v 1 Y 2 v z f T F 2 2 k z 2 8 v D v U / v 7 e + O D z Y R 3 V d r 5 s X t 2 7 0 Z Y Z D b K r j 3 Q z H C G L f V d O 8 5 p D 5 L 3 E 7 n v d / E R j h i + 1 Z v + s r w N p T w 9 e F 7 o e j r x l t 1 F O G F 2 w 3 J w / B + q C v f a 6 0 S E e x N a t L C D 9 X k 7 n t 2 M K w m T Q e f 3 r v / 6 a d 7 9 3 f H + 5 v U l i c O 7 / e i J w 7 m x V t 6 c d p 8 m K c 9 / r + x r c f + N 7 b 1 O P 7 G t r 7 e u 7 l x h H 9 u 6 8 X d q n 1 k e m + r 5 G 7 V / j 0 n 0 9 d t t 2 r / P j P q a 7 S b G 7 / P n P q K 6 + b G / T n d 0 L g / o R s a 9 2 d z w w B d 2 0 9 D z f S e C X k 4 j D f p J t t D q J t U c 9 6 6 g 2 H d Z D q 4 / / D B 3 v 7 9 T 8 m l 2 r + d b n q / F z 1 2 N i / e U j d p 8 + H 5 8 D j 5 x r Y e I 9 / Y 1 u P j G 9 v 6 u u n m x h E O u q 1 u u l X 7 y P T e V j f d q v 1 7 T q a v m 2 7 V / n 1 m 1 N d N N z d + n z n 1 d d P N j f t z u q F x f 0 I 3 N O 7 P 5 o Y B u r Y P Q t 3 0 N d L x 8 N h u 0 k + 2 l 1 A / q S q 4 d Q f D + s l 0 8 O n + + O G n t 9 N M t 3 3 F Y 2 P z y i 1 1 k j Y f n g e P g 2 9 s 6 z H w j W 0 9 / r 2 x r a + T b m 4 c 4 Z z b 6 q R b t Y 9 M 6 W 1 1 0 q 3 a v + d k + j r p V u 3 f Z 0 Z 9 n X R z 4 / e Z U 1 8 n 3 d y 4 P 6 c b G v c n d E P j / m x u G K B r e 9 D R S e + Z j I d v d p N C s l 2 E C k m j e + n g F h 0 M K y T T w e 7 u / Z 3 7 4 1 u q p N u / 5 P G x e e m W S k m b D 0 + E x 8 I 3 t v U 4 + M a 2 H g P f 2 N Z X S j c 3 j r D O b Z X S r d p H p v W 2 S u l W 7 d 9 z M n 2 l d K v 2 7 z O j v l K 6 u f H 7 z K m v l G 5 u 3 J / T D Y 3 7 E 7 q h c X 8 2 N w z Q t X 3 o K 6 X 9 r 5 G K 3 9 + 5 W S 3 Z T g K 1 h D f f q 4 N h t W Q 6 2 M Q v H v v e p r n H v a b 5 7 u 7 O G F w 6 + I 7 H w b d + x + P i W 7 / j M f N t h u K x 8 6 2 7 8 F W V v n Q 7 V X U b h H x V d a v 2 7 z n V v q q 6 V f v I Z N 9 W V d 2 q f X + S b 6 e q b j 9 d k T n e v v E t X 3 f d Z h y + + r o 1 a r 4 a u 1 U n k c m + e S g O M + g L p 9 I + / R o q 7 d O b V Z r r J F B p n + r A b t 3 B o E q z H V B u C V 7 m 4 M A d q 9 t X 9 j 5 9 S H m p 8 d 6 m 1 x z H 2 9 c 2 T Y p j + K C X v Y f j h 7 f S b e / z l u P / W 6 H m O P 9 9 O v H 0 m 3 n t V v r N 9 r F 9 m 0 4 i D H O b 1 y J s c K v u I r x w S 7 X 3 X u h F m O G W 2 u 8 W p I 7 M / m 1 w i n D B b U j m a c B b j c X T g O + D n q c D b 9 f N 1 + U A 9 9 p u q A X f M z v / 6 c 3 Z e d d D q A J v l 5 1 3 H Q y r Q N P B / X s P d x / u j / d v p w X f 4 y 2 P / 8 1 b t 1 S C 2 n y Y j z 2 e v 7 G t x / I 3 t v X 4 / M a 2 v o 6 7 u X G E d z Z K d Y Q T N r a P T O z G 9 p E p v a 0 y u 1 X 7 / m z e W o v d T M z 3 m V J f d 9 3 Y 2 F d Y N z f u z + m G x v 0 J 3 d C 4 P 5 s b B u j a 7 o V a 6 X 1 z Y J / e n A N z X Y R q 6 X Y 5 M N f B s F o y H e w 9 u H f b r P z t 3 / G 4 2 L x z S 5 W k z Y e n w W P g G 9 t 6 / H t j W 4 9 9 b 2 z r q 6 S b G 0 c Y 5 7 Y q 6 V b t I 5 N 6 W 5 V 0 q / b v O Z m + S r p V + / e Z U V 8 l 3 d z 4 f e b U V 0 k 3 N + 7 P 6 Y b G / Q n d 0 L g / m x s G 6 N r e 8 1 X S g 6 8 R L j 7 Y u V k p 2 U 4 C p f R A Z / f W H Q w r J d P B J n 7 x 2 P c 2 z T 3 u N c 1 3 7 2 / W X h 4 D 3 / Y V j 4 d v + 4 r H y b c Z h 8 f L t + 3 B V 1 P 6 z u 3 U 1 G 3 w 8 d X U r d q / 5 z T 7 a u p W 7 S M T f V s 1 d a v 2 / S m + n Z q 6 9 W x F Z n j 7 p p d 8 r X W b U f i K 6 7 a I + f r r V n 1 E Z v r G g X h 4 7 f u q 7 O B r q L K D W 6 g y 2 0 m g y g 5 0 X L f u Y F i V m Q 7 u 7 + 7 v 7 j / Y 2 7 8 3 v r 9 p / B 6 3 2 z d 3 9 i l u v r / 3 6 X h v 0 5 s e 3 5 s 3 K c L e 3 / 3 0 0 / G 9 v d t p O f P e L n 5 / O N 7 Z 9 J o n B u / z m i c Q 5 r V b a r v 3 6 c X X e P r e 7 T S e p d z + z q c P d i l Z e U v N Z 9 7 b v t W L E f a 4 r Q p 8 L w Q j L H F b V f h + A + o z w + 1 0 4 n v N a Y Q X t n d v 8 a K v G 2 9 D B l 8 3 v g + C v n 6 8 V T 8 R N t i + T U c e f v d D H X n 2 Q h J j t 9 N e u z e r R w s / V I + 7 7 9 n B s H o 0 H e x S 8 7 1 7 O w 8 e 7 o 0 f P L y d f n z f V z 1 p M K 9 u m h 5 P G L T 5 M E 9 7 / H 9 j W 4 / 9 b 2 z r s f y N b X 2 d d 3 P j C A / d 1 s u 7 V f v I F N 9 W x d 2 q / X t O p q / a b t X + f W b U 1 2 g 3 N 3 6 f O f V V 1 8 2 N + 3 O 6 o X F / Q j c 0 7 s / m h g G 6 t p + G 2 u k 9 s / Y H 9 2 7 W T 7 a H U D + p s b p 1 B 8 P 6 y X S w u 7 P z 8 G B v / 8 H B g / H 9 T b r Z 4 + P 3 f d V j a f P q L f W T N h + e E 4 + b b 2 z r M f O N b T 1 e v r G t r 5 9 u b h z h o t v q p 1 u 1 j 0 z x b f X T r d q / 5 2 T 6 + u l W 7 d 9 n R n 3 9 d H P j 9 5 l T X z / d 3 L g / p x s a 9 y d 0 Q + P + b G 4 Y o G v 7 I N R P Z z 9 5 n P 4 + 6 c m X X 5 y 9 P v v y x e 1 U y P 7 N O s r 2 E u q o / f f s Y F h H m Q 4 e 3 L 8 / B i M N c o 3 H x L d + x 2 N k 8 8 4 t t Z I 2 H 5 4 J j 4 d v b O u x 8 I 1 t P Q 6 + s a 2 v l W 5 u H O G d 2 2 q l W 7 W P T O p t t d K t 2 r / n Z P p a 6 V b t 3 2 d G f a 1 0 c + P 3 m V N f K 9 3 c u D + n G x r 3 J 3 R D 4 / 5 s b h i g a 3 v Q 0 U r v u a p 4 c P 9 m l W S 7 C F X S / f f s Y F g l m Q 4 e 7 F H a a 3 z v l k r p P d 7 y O N m 8 d U u 1 p M 2 H p 8 J j 4 h v b e j x 8 Y 1 u P h W 9 s 6 6 u l m x t H m O e 2 a u l W 7 S M T e 1 u 1 d K v 2 7 z m Z v l q 6 V f v 3 m V F f L d 3 c + H 3 m 1 F d L N z f u z + m G x v 0 J 3 d C 4 P 5 s b B u j a P v T V 0 s O v k Y 5 / u H O z Y r K d B I o J b 7 5 X B 8 O K y X R w f 2 f 3 4 b 3 9 / b 0 x C D 3 I O R 4 j 2 x d 3 7 9 + 7 f 7 C 7 s 3 k Z w + N o 8 + K n 9 z 9 9 Q D n 8 n f 3 b q S n z 2 u 7 D h w 9 3 H u 5 v T m 1 5 D P 5 e 7 3 m 8 b t 7 b J E g e t 7 9 X N 7 4 2 0 x d v p 8 1 M L 9 u 7 9 / b 3 7 n 1 6 M H 6 g J u p G v W b x u 9 W L E Q a 5 Z Z c R D r m t q n s / F C O s c V u d d z P J I 3 x w u 4 m N c M T 2 r d 7 0 l e F t x u P r w / d C 0 d e N t + o o y g u 3 6 c l h e H 8 n 1 J X v l Z Z / u H u j m n T w Q z W 5 + 5 4 d D K p J 2 w H l r u 7 d v 3 + w s 4 l i T g T e 6 z U n C f a 1 T c 0 d / 5 v m w / z s e P / m t o 7 1 b 2 7 r u P 3 m t p 7 O u 0 X j C O 9 s l O 4 I L 2 x s H 5 n a j e 0 j c 3 p L t X a 7 9 v 3 Z v K 0 2 u w U x 3 2 d K P Q 1 2 c 2 N P a d 2 i c X 9 O N z T u T + i G x v 3 Z 3 D B A 1 3 Y 3 1 E r v m Y 5 / e H M 6 3 v U Q 6 q X b p e N d B 8 N 6 y X S w u 0 M L f r v 3 9 3 f G D 2 6 X j X / f N z 2 G N m / e U j t p 8 + E Z 8 X j 5 x r Y e K 9 / Y 1 u P k G 9 v 6 2 u n m x h E e u q 1 2 u l X 7 y A T f V j v d q v 1 7 T q a v n W 7 V / n 1 m 1 N d O N z d + n z n 1 t d P N j f t z e j v t d H P j / m z e S j v t h d r p a y T j H + 7 f r K F s L 6 G G 2 n / P D o Y 1 l O n g Y H d 8 S 8 1 0 y z c 8 J j Z v 3 F I j a f N b a a Q b 2 3 r s e 2 N b j 3 t v b O t r p J s b R / j m t h r p V u 0 j E 3 p b j X S r 9 u 8 5 m b 5 G u l X 7 9 5 l R X y P d 3 P h 9 5 t T X S D c 3 7 s / p h s b 9 C d 3 Q u D + b G w b o 2 t 7 r a K T 3 T M Q / v D k R 7 7 o I 1 d H t E v G u g 2 F 1 Z D q 4 t / v g w d 7 4 4 c H t V N J 7 v O V x s n n r l m p J m w 9 P h c f E N 7 b 1 e P j G t h 4 L 3 9 j W V 0 s 3 N 4 4 w z 2 3 V 0 q 3 a R y b 2 t m r p V u 3 f c z J 9 t X S r 9 u 8 z o 7 5 a u r n x + 8 y p r 5 Z u b t y f 0 w 2 N + x O 6 o X F / N j c M 0 L X d 9 9 T S v Z 3 3 T 8 T f Q 1 r m J s V k O / E V 0 z 2 T 0 L l 1 B 8 O K y X T w c P f B w d 6 9 3 b 2 D 8 a c P b 6 e c 7 J v 7 9 y k n d 7 B / f 2 w C z O i b H k + b N y m F v 3 O w t / / p + O D T 2 6 k q 8 + L + 3 v 0 H D x 9 + u j / e 3 f C e x + T v 9 Z 7 H 7 + a 9 T c L k c f x 7 d e N r N H 3 x d h r N 9 L K 9 9 2 D v w S 7 9 N 9 7 b v 6 V y M 6 / e 8 s 0 I m 9 y 2 0 w i f 3 F b j v S e S E f a 4 r e 6 7 m e w R X r j d 5 E a 4 Y v t W b / p K 8 T b j 8 f X i e 6 H o 6 8 h b d R T j h l v 1 5 G F 4 P 9 S Z 7 5 O Q v 7 e z e 7 O 6 t P B D d a n Y 3 b q D Y X V p O t j 9 9 O H + w 4 P 9 v Y e f j v c 3 a T 1 P D t 7 3 V U 8 k z K u 3 9 O i 0 + T B f e z J w Y 1 t P B G 5 s 6 3 H 9 j W 1 9 / X d z 4 w g P 3 d a j u 1 X 7 y B T f 1 q O 7 V f v 3 n E x f q 9 2 q / f v M q K / V b m 7 8 P n P q K 6 + b G / f n d E P j / o R u a N y f z Q 0 D d G 0 / D b W T S c y f f P v 0 J 7 4 6 v Z 0 K 2 b t Z R 9 l e Q h 2 1 9 5 4 d D O s o 0 8 E m h v H 4 1 z T f O 3 j 4 6 c 4 m 3 8 / j Y f P O 9 o 0 v e Y y s L w 1 P h c f E N 7 b 1 e P j G t h 4 L 3 9 j W V 0 s 3 N 4 4 w z 8 0 k 8 Z X T r Y n v a 6 j 3 6 C o y z 7 f V U 7 d H r T / H t 1 Z W N 5 P 4 f S b a V 1 Y 3 N v a V 1 c 2 N + z O 9 o X F / g j c 0 7 k / s h g G 6 t g / i y u p 2 q 4 j 3 d u 7 d r K h s D 6 G i U p / l 1 h 0 M K y r T w e 7 B / U / 3 H + w / 3 L n 9 M u L 7 v u r x t X n 1 l s 6 U N h + e E 4 + b b 2 z r M f O N b T 1 e v r G t r 7 V u b h z h o t s 6 U 7 d q H 5 n i 2 z p T t 2 r / n p P p 6 6 d b t X + f G f X 1 0 8 2 N 3 2 d O f f 1 0 c + P + n G 5 o 3 J / Q D Y 3 7 s 7 l h g K 7 t Q a i f 3 n 8 d 8 d 7 O / s 0 6 y v Y S 6 q j 9 9 + x g W E e Z D v Z 3 P r 2 d Z r r d C x 4 L m x d u q Y + 0 + f A c e N x 7 Y 1 u P e W 9 s 6 / F u v + 0 G f X R z 4 w j X 3 F Y f 3 a p 9 Z D p v q 4 9 u 1 f 4 9 J 9 P X R 7 d q / z 4 z 6 u u j m x u / z 5 z 6 + u j m x v 0 5 v Z 0 + u r l x f z Z v p Y 8 e d v T R + 6 0 i 3 t u 5 f 7 M y s l 2 E y u j + e 3 Y w r I x M B w e U c 9 8 b 7 2 9 y y j 0 e f o + 3 P E 4 2 b 9 1 S L W n z W 6 m l G 9 t 6 P H x j W 4 + F b 2 z r q 6 W b G 0 e Y 5 7 Z q 6 V b t I x N 7 W 7 V 0 q / b v O Z m + W r p V + / e Z U V 8 t 3 d z 4 f e b U V 0 s 3 N + 7 P 6 Y b G / Q n d 0 L g / m x s G a N t + u u O p p f 0 H 7 5 U R 3 3 + w e 6 N O c v B 9 n c R v v l c H g z r J d r C J V R z n 3 q q 5 Y 1 z b / P 7 B 7 f T Q L V 9 w r H v L F x z 7 3 m o E j o F v C d / T T O a N W 2 m m W 2 H j a a b b t X / P 6 f U 0 0 + 3 a R y b 4 l p r p d u 3 7 0 3 s r z X T b u Y r M 7 v b m V z w l d a s R e H r q l k h 5 y u p 2 P U T m + I Z B e D j t + l r r I H 1 9 / P z p l + n J m + P 0 y f G L W 2 k W d H S T 6 r K d B K r L o H j r D o Z V l + n g 3 r 3 7 D + + P 8 e f g 2 D 0 O d 2 9 9 u v P p + O D h 7 R S Z e W s T g T 0 2 N 8 1 3 d 8 d 7 B 7 d T Z L d 9 x e P 3 2 y D l M f t t e / C V m b 5 z O 2 V m O t i + s Y c I m 9 z 4 T m T m b + 4 o M v E b Z S Q y 5 T f 2 E Z n 3 2 6 q 3 m 8 k b m e 4 b E Y r M + Y 2 U 8 l X c b U b h q 7 j b I u Y r u V v 1 8 b W m 3 L 2 z F 6 q 5 9 3 L O D n Z v 1 n A W f q j h V B H d u o N h D W c 6 u F 1 W / V b N P Q Y 3 z W + p 0 7 T 5 M K 9 6 f H 1 j W 4 + t b 2 z r s f O N b X 3 d d X P j C K 9 s l N z I 3 G 9 s H 5 n K j e 0 j c 3 l b b X W r 9 v 3 Z v L W m u p m Y 7 z O l v o q 6 s b G v m m 5 u 3 J / T D Y 3 7 E 7 q h c X 8 2 N w z Q t b 0 X a q H 3 W + n b P 7 h 5 p c / 1 E O q h W 6 3 0 e R 0 M 6 y H T w d 7 + G I u c g w z j 8 e 9 t X / F Y 2 L x y S 3 2 k z Y f n w O P e G 9 t 6 z H t j W 4 9 3 b 2 z r 6 6 O b G 0 e 4 5 r b 6 6 F b t I 1 N 6 W 3 1 0 q / b v O Z m + P r p V + / e Z U V 8 f 3 d z 4 f e b U 1 0 c 3 N + 7 P 6 Y b G / Q n d 0 L g / m x s G 6 N r u h / r o P T P p + w c 3 Z 9 J d F 6 F C u l U m 3 e t g W C G Z D n Z 3 d h 4 8 H D + 4 n U q 6 / U s e H 5 u X b q m U t P n w R H g s f G N b j 4 N v b O s x 8 I 1 t f a V 0 c + M I 6 9 x W K d 2 q f W R a b 6 u U b t X + P S f T V 0 q 3 a v 8 + M + o r p Z s b v 8 + c + k r p 5 s b 9 O d 3 Q u D + h G x r 3 Z 3 P D A F 3 b + 7 5 S e v g 1 M l I P d 2 5 W S 7 a T Q C 0 9 1 N m 9 d Q f D a s l 0 c H + P A t Z P D 0 i V j X d v q Z y 8 V + / f f 3 C w u 3 N v v L N / O x V l X 3 2 4 c + 9 g b w y B G n z N Y 2 5 9 j a c n 2 t Z j 7 B v b e n x 9 Y 1 u P r W 9 s 6 6 u q m x t H G O o 2 R P F V l n l v + 1 Y v R u b + t r r r v R C M z P Z t d d j 7 D e h 9 5 t x X Z j c 3 f p 9 Z 9 5 X Z z Y 3 7 s 7 6 h c X + q N z T u T + + G A b q 2 n 4 b K 7 L 3 y T g 9 v k X e y 8 E M 9 d r u 8 k + t g W I + Z D n Z 3 P n 3 4 6 c P 7 e w c P K L + + i W 8 8 v n 7 v d z 3 e N u / e 0 t n S 5 s N z 4 n H z j W 0 9 Z r 6 x r c f L N 7 b 1 N d j N j S N c d F t n 6 1 b t I 5 N 8 W 4 V 1 q / b v O Z m + o r p V + / e Z U V 8 / 3 d z 4 f e b U 1 0 8 3 N + 7 P 6 Y b G / Q n d 0 L g / m x s G 6 N o + C P X T e 2 a k H t 6 7 W U P Z H k I N p W r g 1 h 0 M a y j T w e 7 O / Q f 3 D h 7 u f X p v E 9 t 4 X P x + L 3 r s b F 6 8 p W 7 S 5 s P z 4 X H y j W 0 9 R r 6 x r c f H N 7 b 1 d d P N j S M c d F v d d K v 2 k e m 9 r W 6 6 V f v 3 n E x f N 9 2 q / f v M q K + b b m 7 8 P n P q 6 6 a b G / f n d E P j / o R u a N y f z Q 0 D d G 0 P Q t 1 0 9 p P H 6 e + T n n z 5 x d n r s y 9 f 3 E 5 9 7 N + s n 2 w v o X 7 a f 8 8 O h v W T 6 W D / 4 O D e / Q N K g u 8 c 3 E 4 / v d + L H k u b F 2 + p n 7 T 5 8 J x 4 3 H x j W 4 + Z b 2 z r 8 f K N b X 3 9 d H P j C B f d V j / d q n 1 k e m + r n 2 7 V / j 0 n 0 9 d P t 2 r / P j P q 6 6 e b G 7 / P n P r 6 6 e b G / T n d 0 L g / o R s a 9 2 d z w w B d 2 4 c d / f S e 2 f O H 9 2 9 W T r a L U D n d f 8 8 O h p W T 6 W D 3 4 c H 9 B / v j B x o 4 R o f u M f H 7 v O b x s n n t l o p J m w 9 P h s f G N 7 b 1 u P j G t h 4 T 3 9 j W V 0 w 3 N 4 6 w z 2 0 V 0 6 3 a R 6 b 2 t o r p V u 3 f c z J 9 x X S r 9 u 8 z o 7 5 i u r n x + 8 y p r 5 h u b t y f 0 w 2 N + x O 6 o X F / N j c M 0 L Z 9 s O M p p v s 7 7 5 9 B v 7 + z c 6 N q c p 3 4 q o n f f K 8 O B l W T 7 W B 3 7 + D g Y O f T B / s P b p t 4 C l 5 9 s P / w 0 7 2 d 8 a e 3 0 l D 2 z f s P d v c e j H c 2 9 e d Y 2 7 w 1 P D m O r W 9 u 6 7 j 6 5 r a O q W 9 u 6 y m q W z S O s N M t a O L p K / v a 9 m 3 e i 8 z 7 L f X W e 6 E X m e l b q q / 3 G 8 7 7 z L e n x m 7 R + H 1 m 3 F N j t 2 j c n / E N j f v z v K F x f 3 I 3 D N C 1 3 Q 3 V 2 P v k z u / v 7 N 6 s w S z 8 U I P t v m c H w x r M d L D 3 6 c 6 D + w 8 f P D x 4 O H 6 w S Q 9 5 T P 2 + r 3 q M b V 7 d x N g e X 2 v z 4 R n x e P n G t h 4 r 3 9 j W 4 + Q b 2 / q 6 6 + b G E R 7 a K O U R n t j Y P j L F t 1 V W t 2 r / n p P p a 6 l b t X + f G f W 1 0 8 2 N 3 2 d O f e 1 0 c + P + n G 5 o 3 J / Q D Y 3 7 s 7 l h g K 7 t X q i d 3 i 9 z f h / m 4 y b 9 Z H s I 9 d O t M u d e B 8 P 6 y X S w 9 + D e v X s 7 B 5 / u 0 1 w / v Y V y e q / 3 P G Y 2 7 9 1 S M 2 n z 4 d n w + P j G t h 4 b 3 9 j W 4 + I b 2 / q a 6 e b G E f 6 5 r W a 6 V f v I 5 N 5 W M 9 2 q / X t O p q + Z b t X + f W b U 1 0 w 3 N 3 6 f O f U 1 0 8 2 N + 3 O 6 o X F / Q j c 0 7 s / m h g G 6 t v d C z f T + e f P 7 O / s 3 a y f b S 6 i d 9 t + z g 2 H t Z D o 4 2 B 3 v 3 U 4 v 3 f I N j 4 n N G 7 f U S N p 8 e B Y 8 / r 2 x r c e + N 7 b 1 u P f G t r 5 G u r l x h G 9 u q 5 F u 1 T 4 y o b f V S L d q / 5 6 T 6 W u k W 7 V / n x n 1 N d L N j d 9 n T n 2 N d H P j / p x u a N y f 0 A 2 N + 7 O 5 Y Y C u 7 X 5 H I 7 1 f p v z + z s 2 Z c t d F q I 5 u l S n 3 O h h W R 6 a D 3 f v U f K x w o w P 3 W P j 2 L 3 l 8 b F 6 6 p V L S 5 s M T 4 b H w j W 0 9 D r 6 x r c f A N 7 b 1 l d L N j S O s c 1 u l d K v 2 k W m 9 r V K 6 V f v 3 n E x f K d 2 q / f v M q K + U b m 7 8 P n P q K 6 W b G / f n d E P j / o R u a N y f z Q 0 D d G 3 v + 0 p p 9 2 t k y c H T N 6 k l 2 0 m g l n Z 1 d m / d w b B a M h 1 s 4 h e P f U 3 z 3 U / 3 x w / 3 b 6 e P b t O F x 8 G 3 7 s L j 4 l u / 4 z H z b d D y 2 P n W X f i q S l + 6 n a o y P W z f 3 E W E Q 2 5 + K T L r t + g q M v m 3 1 V 2 3 R y 0 y / b d V Y D e T O D L n N 2 M U m f m b i e V r t N u M w 1 d q t 0 b N V 2 6 3 6 u T r z b t 7 6 d N Q 0 b 1 n p g p s d 5 O W s z 2 E W u 7 e e 3 Y w r O V M B w d 7 4 / 0 H t 9 N 0 t 3 3 F 4 3 f z y i 0 V n T Y f 5 l y P y 2 9 s 6 z H 5 j W 0 9 3 r 6 x r a / N b m 4 c 4 Z r b O l 6 3 a h + Z 0 t s 6 X r d q / 5 6 T 6 e u t W 7 V / n x n 1 9 d b N j d 9 n T n 0 1 d X P j / p x u a N y f 0 A 2 N + 7 O 5 Y Y C u 7 Y N Q H 3 2 N / B T 4 4 i a d Z H s J d Z L q z F t 3 M K y T T A f v o Z N u + 4 r H x u a V W + o k b T 4 8 D x 4 H 3 9 j W Y + A b 2 3 r 8 e 2 N b X y f d 3 D j C O b f V S b d q H 5 n S 2 + q k W 7 V / z 8 n 0 d d K t 2 r / P j P o 6 6 e b G 7 z O n v k 6 6 u X F / T j c 0 7 k / o h s b 9 2 d w w Q N f 2 w G i L n / y 9 0 5 3 3 D g Y f 7 O z c J h i 0 n T i V p G + + V w f D K s l 0 c G 9 n / 9 6 D v f 3 x p 7 f U S + a 9 v Y c P d u / t H 4 x 3 D m 6 n n O x 7 9 x 8 8 v L f z c P x w U 9 r d 4 2 v 3 3 s 6 n D + / d G 9 9 T T / E m j f V e 7 3 m s b t 7 b J E c e s 7 9 X N 7 4 y 0 x d v p 8 x M L w / 2 7 j 3 4 d H z / 4 S 1 1 m n l t + z b v R X j j t r r t f d C L s M R t V d x 7 D a f P C r d T d e 8 3 o R F O 2 L 7 V m 7 4 O v A 0 d f D X 4 X i j 6 K v F W H U X 4 Y G h I g y r y Y a g i z 1 5 I H H k 7 5 b V 7 s 3 a 0 8 E P t u P u e H Q x r R 9 P B / Y f 7 e 5 8 + 3 K T i P D G 4 / U u e E J i X N s 2 J J w P a f J i X P b 6 / s a 3 H 9 j e 2 9 T j 9 x r a + n r u 5 c Y R v N m q E C B 9 s b B + Z 1 t s q t l u 1 f 8 / J 9 D X a r d q / z 4 z 6 m u z m x u 8 z p 7 7 C u r l x f 0 4 3 N O 5 P 6 I b G / d n c M E D b 9 m A n 1 E j v k 9 i C y r g 5 s e V 6 C H X S L R J b Q Q e D O s l 2 I O r l 0 z E Y a Z B r H B O / 3 3 u O m e 1 7 t 9 N M p v n w b D g + v r m t Y + O b 2 z o u v r m t p 5 l u 0 T j C P 7 f U T L d r H 5 n c W 2 q m 2 7 V / z 8 n 0 N N P t 2 r / P j H q a 6 R a N 3 2 d O P c 1 0 i 8 b 9 O d 3 Q u D + h G x r 3 Z 3 P D A F 3 b 3 V A z n b 1 4 k 3 5 + / O L 4 6 W 3 d p f s 3 q y b b R a i a 7 r 9 n B 8 O q y X S w u 7 / / 4 P 7 u + N 7 + 7 T T T + 7 z m 8 b J 5 7 Z a K S Z s P T 4 b H x j e 2 9 b j 4 x r Y e E 9 / Y 1 l d M N z e O s M 9 t F d O t 2 k e m 9 r a K 6 V b t 3 3 M y f c V 0 q / b v M 6 O + Y r q 5 8 f v M q a + Y b m 7 c n 9 M N j f s T u q F x f z Y 3 D N C 1 3 T N a 4 4 u f h G J K 0 9 f v l e g 6 u F W i y / X i d J O + + V 4 d D O s m 0 8 H B / q Y w 2 e N g 8 8 J 9 W j i l 7 P u n u 7 f T S u Y 1 W m 3 9 9 N P b a S b X 0 / 0 H O / v j v U 0 p O I + l 3 + c 1 j 7 n N a 5 s k x 2 P v 9 + n F 1 1 7 6 3 u 2 0 l + l k m 3 r 5 9 N 7 D z c T 2 1 Z i H 3 c 3 v R b j h d h 1 G u O K 2 e u 2 9 E I z w x G 3 1 2 8 3 k j r D A r e Y 0 w g v b t 3 n R V 3 u 3 G Y 2 v + d 4 H Q V 8 J 3 q q f A T a 4 s S M P v 3 t d n X j 7 1 B b U 1 e 7 N + t D 2 E O p D Z Z 9 b d z C s D 0 0 H e w 9 3 d h 7 e v 7 e 3 s z P e 2 b u d Z n z f V z 1 x M K / e 0 m f T 5 s N c 7 U n A j W 0 9 A b i x r c f 0 N 7 b 1 t d 7 N j S N c d F u f 7 V b t I 1 N 8 W 5 / t V u 3 f c z J 9 n X a r 9 u 8 z o 7 5 O u 7 n x + 8 y p r 7 x u b t y f 0 w 2 N + x O 6 o X F / N j c M 0 L X d 7 + q n 9 0 l 0 Q Y H c u 1 l D 2 T 5 C D a X e 1 a 0 7 G N Z Q p o P d n X t 7 D z + 9 P 9 6 7 p X p 6 r / c 8 d j b v 3 V I 3 a f P h + f A 4 + c a 2 H i P f 2 N b j 4 x v b + r r p 5 s Y R D r q t b r p V + 8 j k 3 l Y 3 3 a r 9 e 0 6 m r 5 t u 1 f 5 9 Z t T X T T c 3 f p 8 5 9 X X T z Y 3 7 c 7 q h c X 9 C N z T u z + a G A b q 2 9 7 u 6 6 b 1 S X d A d t 0 h 1 2 U 5 C 5 X S L V F f Q w b B y M h 3 s f n p w f 3 z L l c H 3 e M n j Z P P S L d W S N h + e C o + J b 2 z r 8 f C N b T 0 W v r G t r 5 Z u b h x h n t u q p V u 1 j 0 z r b d X S r d q / 5 2 T 6 a u l W 7 d 9 n R n 2 1 d H P j 2 8 1 p X y 3 d C N l X S z c 3 7 k / o 7 d T S j Y 0 9 L D 7 1 1 d L e 1 0 l z g Q A 3 6 S X b S 6 C X 9 n R 6 b 9 3 B s F 4 y H d z b f 3 h v 5 w F 5 j f f G n 9 5 O O b 3 n m x 5 T m z d v q a G 0 + a 0 0 1 I 1 t P X a + s a 3 H z T e 2 9 T X U z Y 0 j f H R b D X W r 9 p E J v q 2 G u l X 7 9 5 x M X 0 P d q v 3 7 z K i v o W 5 u / D 5 z 6 m u o m x v 3 5 3 R D 4 / 6 E b m j c n 8 0 N A 3 R t H 3 Q 1 1 H s l n T C e m 7 S T 7 S H U T r d L O r k O h r W T 6 Y C S 8 J 9 + e m 9 v 7 9 M H 4 1 s G d e / 5 p s f Q 5 s 1 b a i d t P j w j H i / f 2 N Z j 5 R v b e p x 8 Y 1 t f O 9 3 c O M J D t 9 V O t 2 o f m e D b a q d b t X / P y f S 1 0 6 3 a v 8 + M + t r p 5 s b v M 6 e + d r q 5 c X 9 O N z T u T + i G x v 3 Z 3 D B A 1 / a g q 5 3 e M + W E f m / S T 7 a P U D / d L u X k O h j W T 6 a D h w / u 7 + 8 / 2 N m h 7 N G D h 7 d T U O / 7 q s f U 5 t V b a i h t P j w r H j / f 2 N Z j 5 x v b e t x 8 Y 1 t f Q 9 3 c O M J H t 9 V Q t 2 o f m e L b a q h b t X / P y f Q 1 1 K 3 a v 8 + M + h r q 5 s b v M 6 e + h r q 5 c X 9 O N z T u T + i G x v 3 Z 3 D B A 1 / Z h V 0 O d / e R x + v u k J 1 9 + c f b 6 7 H Y q Z P 9 m H W V 7 C X X U / n t 2 M K y j T A d 7 n 9 7 / d H f / w a 3 T 4 u / 1 n s f Q 5 r 1 b a i d t P j w j H i / f 2 N Z j 5 R v b e p x 8 Y 1 t f O 9 3 c O M J D t 9 V O t 2 o f m d z b a q d b t X / P y f S 1 0 6 3 a v 8 + M + t r p 5 s b v M 6 e + d r q 5 c X 9 O N z T u T + i G x v 3 Z 3 D B A 2 / b h j t E b l G 4 6 + T J 9 f f z 8 V v l w W o I H M 9 + g l R x 0 p 5 X 0 z f f q Y F A r 2 Q 7 u P 9 x 9 e P D g 0 / 3 x p w e 3 U k v 2 x b 2 H + w c U 1 D 3 4 9 F Z a y b 5 2 O 6 1 k m 2 / f P 3 i 4 c + / g 4 a f j h 5 v U n + N o + + a n D / c p a 7 9 / b 7 y 7 4 T 3 H 3 P a 9 3 b 2 D e w / 2 9 v d 3 x j u b e n S c / r 6 4 e r r M v H o r X e a m 7 H b d R L j p t h h G + O S W C u 5 9 k X x P D v F U 3 X s P q s 8 j t 9 J 6 7 9 1 P h D N u 9 6 a n E N + 3 U 0 8 9 3 o q O n o Z 8 X y T f l z d c 8 1 2 j 0 1 4 f 7 + 7 d f 7 9 8 / f 3 7 9 H + r 1 o b 1 p u 3 D 6 k 3 z 5 n t 1 M K w 3 T Q e 7 9 w / u 0 T v 3 d 8 b 3 N J y 9 S X E G b + 4 / f L B J L 3 l i Y V 9 7 8 H B z V 5 5 o 6 D v D / O 3 J w o 1 t P V G 4 s a 3 H + z e 2 9 f X g z Y 0 j f H Q j R X w V a F 7 a v v m t y G z f V v v d H r X I D N 9 W 8 b 3 H U N 5 n n n 2 d d 3 P j 9 5 l p X 7 H d 3 L g / 0 x s a 9 2 d 4 Q + P + x G 4 Y o G u 7 F + q t W 2 f x W a X s 3 q y z L P x Q Z 6 l + u H U H w z r L d H B v f 3 f n w d 7 e / s H t F N b 7 v O a x s 3 l t E z t 7 3 K z N h 2 f C 4 + E b 2 3 o s f G N b j 4 N v b O v r q p s b R 3 h n o 2 x H e G F j + 8 j U 3 l Z B c f u b 2 r / n Z P q 6 6 V b t 3 2 d G f a 1 0 c + P 3 m V N f K 9 3 c u D + n G x r 3 J 3 R D 4 / 5 s b h i g a 3 s v 1 E o m e 3 / y 7 d O f + O r 0 d q p j 7 2 b d Z H s J d Z N 6 i L f u Y F g 3 m Q 4 2 M Y z H v 6 b 5 7 u 3 T 9 f a d 7 R t f 8 h h Z X x q e C o + J b 2 z r 8 f C N b T 0 W v r G t r 5 Z u b h x h n p t J 4 i u n W x P f 1 1 D v 0 V V k n m + r p 2 6 P W n + O b 6 2 s b i b x + 0 y 0 r 6 x u b O w r q 5 s b 9 2 d 6 Q + P + B G 9 o 3 J / Y D Q N 0 b f f j y u o W S 4 2 s R + 7 d r K h s D 6 G i u v e e H Q w r K t P B v b 2 D g 4 e 7 O w 8 V c n T k H i O / z 2 s e P 5 v X b u l E a f P h u f C 4 + M a 2 H h P f 2 N b j 4 R v b + t r q 5 s Y R 7 r m t E 3 W r 9 p G p v a 0 T d a v 2 7 z m Z v l 6 6 V f v 3 m V F f L 9 3 c + H 3 m 1 N d L N z f u z + m G x v 0 J 3 d C 4 P 5 s b B u j a 3 g / 1 0 t m L N + n n x y + O b 5 P J Z 7 1 x / 2 b F Z L s I F d P 9 9 + x g W D G Z D u 4 d k O n b v 5 1 W u v U 7 H h e b d 2 6 p k r T 5 8 D R 4 D H x j W 4 9 / b 2 z r s e + N b X 2 V d H P j C O P c V i X d q n 1 k U m + r k m 7 V / j 0 n 0 1 d J t 2 r / P j P q q 6 S b G 7 / P n P o q 6 e b G / T n d 0 L g / o R s a 9 2 d z w w B d 2 0 + N v n j x 5 R f p T 5 6 9 e v P V 8 X P j M N 2 o M x 5 i 9 e 8 W Y Z 3 t x C o l 8 + Z 7 d T C s l E w H u z u f P t z d 2 3 t A z s 9 4 Y 8 b b 4 + X g 3 f 3 9 g 4 O D e 2 M s z Q 6 + 6 / G 1 e X d 7 b 2 / n 4 c P 9 M d h s 8 D 2 P v / W 9 4 R n y e P v G t h 5 r 3 9 j W 4 + w b 2 / r a 6 u b G E Z 6 6 F V V 8 t W V e v N V 7 k e m / X Y e R u b + t H n s v B P v z f W t 9 d j O 5 3 2 f S f X 1 2 Y 2 N f n 9 3 c u D / r G x r 3 Z 3 p D 4 / 7 0 b h i g a / v A q B r K m 3 8 t f b Z 3 C 3 1 m O w n 0 2 d 7 t 9 J n r Y F i f m Q 5 2 9 + / t f 3 p A b t O D g / E 9 9 e G i F P B 4 2 r 2 7 u 3 d v / + H B v Y c P x w e b G N X j b / P u 3 t 6 9 e / s 7 u 9 T r / o P b a T R 9 c 3 i O P O 6 + s a 3 H 3 D e 2 9 X j 7 x r a + R r u 5 c Y S r b k k X X 6 e Z V 7 d v + 2 6 E D W 7 r l r 0 v m p G Z v 6 2 H 9 t 7 D e p / 5 9 7 X b z Y 3 f h w N 8 7 X Z z 4 z 4 H b G j c n / M N j f u T v G G A r u 2 B U T x P j l + c f J m e P D 9 + d f b s 7 O T 4 5 O z L F 7 d S P v d 2 b 9 Z u t p N A u + H N 9 + p g W L u Z D n Z 3 D w 7 u 7 x / s P h i D s w Z Z x 2 N w + y a p t f t 7 n + 7 t j T f x n M f e 5 s V t C t g f P j j Y u T + + v 3 8 7 x a Z v D k + P x 9 g 3 t v X 4 + s a 2 H l v f 2 N Z X b D c 3 j j D U L e n i K z b z 6 i 3 f j M z / b T u N M M B t H b b 3 R L I / 7 7 d 2 2 W 4 m + / t M v q / U b m z s K 7 W b G / d n f 0 P j / n x v a N y f 4 g 0 D d G 0 f G n 3 z 6 v T E u m z k v t 3 e Z 7 t 3 C 5 / N 9 h J q t d v 5 b K 6 D Y a 1 m O t j b 2 z v Y 2 7 2 / e 3 9 s H M I o A T y m f s 8 3 P f Y 2 b 2 5 i U o + n t f n w r H j 8 f G N b j 5 0 3 t w 1 1 2 Y 1 t f V 1 2 c + M I H 2 2 U 2 A h H b G w f m e C N 7 S P T e l t d d a v 2 / d m 8 t Y a 6 m Z j v M 6 W + h r q x s a + h b m 7 c n 9 P b a a i b G / d n 8 x Y a 6 m B n x + g O c r i s h n p 6 K n H l 7 R S I X f I b 0 l B e L 6 G G 0 i W 8 W 3 c w p K F c B 5 s Y x v K v a 7 7 3 6 Y P 9 n U 3 B p + V h 9 8 7 2 j S 9 Z R r Y v 3 U I t 3 a K t 5 e F b t L U s f I u 2 T i 3 d p n G E e W 4 m i V N O 7 0 F 8 p 6 H e q 6 v I P N 9 O T 7 0 P a v 0 5 v q W y u g 2 J 3 2 e i n b K 6 R W O n r G 7 T u D / T G x r 3 J 3 h D 4 / 7 E b h i g a 7 t r 1 M j Z 8 j K v m 6 J a 5 k 3 6 J l + s q j o r b 9 I l + z e r K Q v f v X J L m M O a y c A 8 e P j p p 7 s H e w / u 3 f t 0 / O m t 8 l 3 B u / f u 7 + w 8 h J e / f 3 A 7 d W X e 3 a O 0 / 9 7 O / b 2 d 8 e 7 t V J Z 9 k T L B O 3 s P D w 7 G D 1 V P 3 6 T A 3 v N N j 8 v N m 5 t E y O P z 9 + z I 1 2 / 6 6 u 3 0 m + 3 n U 4 r k 7 9 / b H e 9 u i s l 9 H W f e 3 L 7 l q x G G 2 a h O I k x y y 5 4 i L L K x p w h n 3 H Z Q f d a 4 n c 5 7 3 + m N c M b 2 L d / 1 F e J t y O H r x P d E 0 9 e Q t + o q w h O 3 H Z a H 5 Z 7 V m S 9 + 8 v T V a 8 q m n b 5 O 3 5 x + 8 f L L V 8 f P b 9 R v u z v 0 7 N 6 s O W 0 v x s G z b 7 5 X B 8 N q 1 H T w d d S o 9 + 5 7 q 1 H z 7 n u r U f v i 7 W b M k 5 X 3 f N M T H P P m L d X o e 3 b k q 1 F 9 9 X Z q 1 P Z z O 7 U R Y a v b a p w I w 9 x W j b 4 n k h E W u a 0 a f d 9 B 9 V n j d m r 0 f a c 3 w h m 3 1 T e + G r 0 N O X w 1 + p 5 o + m r 0 V l 1 F e O K 2 w / K w v G c U 3 L N q O a u a d F o t 0 + P z f N p m 0 + I f / V t v U n P 3 b 9 a g t g P 3 y i 1 h D i t N A 3 N 3 b 5 / 0 3 q f 7 e 2 M s O A 8 O 1 5 M G 8 y a x J 1 F p f x O B P U k w b 1 G y b 2 f / w f 1 P 9 8 a f 7 t 1 O W 1 p M H x w 8 3 L / / 4 P 7 D 8 a e b M P V E w r 5 5 Q G / u P 7 z p T U 8 + z J s P 6 d l D H D L 4 k i c Z 7 4 m o r z P 1 1 d v p T N P P / s P d H X D u 5 p n z d a Z 5 c / u W r 0 b 4 5 b Y 6 8 z 2 R j H D K b X X m + w 6 q z y C 3 0 5 n v O 7 0 R z t i + 5 b u + z r w N O X y d + Z 5 o + j r z V l 1 F e O K 2 w / K w 3 L c 6 8 + m X K a U T T 1 / 9 5 H H 6 7 O z F 8 Y s b d d t t / U 7 b h f E 7 7 Z v v 1 c G w C j U d v L 8 K N W + + n w o 1 b 7 2 / C r W Y 3 m 6 e P A m x b 7 6 3 C j V v v p c K f U 9 E f R W q r 9 5 O h Z p + b q k y I l x 1 W 2 0 T 4 Z f b q t D 3 R D L C K b d V o e 8 7 q D 6 D 3 E 6 F v u / 0 R j j j t r r G V 6 G 3 I Y e v Q t 8 T T V + F 3 q q r C E / c d l g e l v e N f n u a r / 7 R v 7 U p W n I 9 Z 3 k q T u h N S u 7 T m / W n h e 9 e u S X M Y Z V p Y O 7 e v / f g 0 4 N 7 D + / v 7 Y 5 3 N i k x T x y 8 d + / f 2 9 l / u P N g Z 3 x v / 3 a q 0 7 x 7 b + / B f U o s 7 I / v 3 1 J z m h c p P 7 B D K Y L x w a Y O P b F 4 r / c 8 C T H v 3 V J f v l c 3 v r b U F 2 + n L U 0 v e / c e P N w h W z f + 9 O C W 2 t K 8 u X 3 L V y O s c l t t + Z 5 I R p j j t t r y d o O K a s u b y R 7 h h d t N b o Q r t m / 1 p q 8 p b 0 M K X 1 O + F 4 q + n r x V R x F u u N 2 Q P A w / N V r s y U n 6 8 G H 6 + v g 5 O Z w n b 4 7 T J z e 7 m p / u 3 N u h V e a b V a X t x L i a 9 s 3 3 6 m B Y b 5 o O 7 n 2 6 8 + n D v f 2 d 8 Y N N w / e k w r x I L u r u w e 7 D 3 f G m d J I n E + Y 9 c o f J H 9 5 / O N 7 Z 1 K E n H P r i M I d 7 0 n B j W 0 8 Y b m z r 8 f + N b X 1 N e H P j C D f d j i y + J j R v b t / y 1 c j k 3 1 Y T v i e S k V m / r S Z 8 3 0 G 9 z 9 z 7 m v D m x u 8 z + 7 7 C u 7 l x f / Y 3 N O 5 P + I b G / S n e M E D X 9 k G o 0 c 5 e f E 7 x 8 5 e v b 6 d r b h E 3 W / i h M r s x b u 5 0 M K z M T A e 7 e 5 / u H N z b 2 d 0 Z 3 3 9 4 O 2 3 2 n m 9 6 n G 3 e 3 M T Z H m N r 8 + H 5 8 D j 5 x r Y e I 9 / Y 1 u P j G 9 v 6 W u z m x h E O 2 i j m E Y 7 Y 2 D 4 y w b d V W L d q / 5 6 T 6 a u p W 7 V / n x n 1 d d P N j d 9 n T n 3 d d H P j / p x u a N y f 0 A 2 N + 7 O 5 Y Y C u 7 U G o m 0 5 F N a U n 3 z 7 9 i a 9 O b 6 d A 9 m 7 W U L a X U E N p S H f r D o Y 1 l O n g 3 v 6 n O z v 3 9 m 4 d o p r 3 9 j + 9 R 0 v C B 2 M T M 0 f f 8 x j a v E d 2 9 M H B g 4 e f j i E d g y 9 6 n K 0 v D s + N x 9 U 3 t v W Y + s a 2 H k / f 2 N b X U z c 3 j n D T 7 c j i a y z z 5 u 1 e j M z 8 L b u M z P 1 t l d j 7 o d i f 8 1 t r s 5 t J / j 4 T 7 2 u z G x v 7 2 u z m x v 2 Z 3 9 C 4 P 9 k b G v c n e M M A X d u H c W 3 2 5 t X t F M 2 9 m z W Z 7 S H U Z P f e s 4 N h T W Y 6 2 L 9 / / 8 G 9 + 7 s P x p 9 u Y j O P n d / v R Y + v z Y u b 2 N P j Z m 0 + P B 8 e J 9 / Y 1 m P k G 9 t 6 f H x j W 1 + D 3 d w 4 w k E b Z T X C D x v b R 6 Z 3 Y / v I r N 5 W S d 2 q f X 8 2 b 6 2 b b i b m + 0 y p r 5 t u b O z r p p s b 9 + d 0 Q + P + h G 5 o 3 J / N D Q O 0 b c G R v m 4 6 o + X T 3 y c 9 + f K L s 9 d n X 7 6 4 n f r Y v 1 E / u V 5 C / a S q 4 N Y d D O o n 2 8 H e w b 1 7 t 0 1 q v c d L j p X t S 7 f T S 6 b 5 8 F w 4 L r 6 5 r W P i m 9 s 6 H r 6 5 r a e X b t E 4 w j 2 3 1 E u 3 a x + Z 1 l v q p d u 1 f 8 / J 9 P T S 7 d q / z 4 x 6 e u k W j d 9 n T j 2 9 d I v G / T n d 0 L g / o R s a 9 2 d z w w B d 2 9 2 O X n r x J v 3 8 + M X x 0 9 s m q O 7 f r J R s F 6 F S u v + e H Q w r J d P B L q c 1 D 8 b 7 n 9 5 O L 7 3 X e x 4 3 m / d u q Z q 0 + f B 0 e I x 8 Y 1 u P j 2 9 s 6 7 H x j W 1 9 1 X R z 4 w g D 3 V Y 1 3 a p 9 Z H J v q 5 p u 1 f 4 9 J 9 N X T b d q / z 4 z 6 q u m m x u / z 5 z 6 q u n m x v 0 5 3 d C 4 P 6 E b G v d n c 8 M A X d s 9 p 5 p 2 d + 6 n r 9 9 v J Z B e 2 b l Z N 9 k + P N 0 k b 7 5 X B 8 O 6 y X S w + 4 D W Q B / e T i / d + h 2 P j c 0 7 t 9 R J 2 n x 4 H j w O v r G t x 8 A 3 t v X 4 9 8 a 2 v k 6 6 u X G E c 2 6 r k 9 D + x v a R S b 2 t T r p V + / e c T F 8 n 3 a r 9 + 8 y o r 5 N u b v w + c + r r p J s b 9 + d 0 Q + P + h G 5 o 3 J / N D Q N 0 b e + F O u m 9 U k z 0 w s 0 p J t d D q J F u k 2 L y O x j W S K a D e / s P x g 8 O b q e R b v 2 O x 8 T m n V t q J G 0 + P A s e / 9 7 Y 1 m P f G 9 t 6 3 H t j W 1 8 j 3 d w 4 w j e 3 1 U i 3 a h + Z 1 N t q p F u 1 f 8 / J 9 D X S r d q / z 4 z 6 G u n m x u 8 z p 7 5 G u r l x f 0 4 3 N O 5 P 6 I b G / d n c M E D X d j / U S O 8 X w N E b t w j g b B e h S r p N A O d 3 M K y S T A c 3 q h e P g 2 / 9 j s f F 5 p 1 b q i R t P j w N H g P f 2 N b j 3 x v b e u x 7 Y 1 t f J d 3 c O M I 4 t 1 V J t 2 o f m d T b q q R b t X / P y f R V 0 q 3 a v 8 + M + i r p 5 s b v M 6 e + S r q 5 c X 9 O N z T u T + i G x v 3 Z 3 D B A 1 / a + r 5 I O 3 j 9 w O 9 i 5 W S f Z P g K d d K C T e + s O h n W S 6 e D + z s H + 7 t 7 9 h / f H D 2 8 Z v g V v 7 u z s f D p + o K o y + q b H 0 u b N v f s H D 8 d 7 + 7 f T U v r S 8 M x 4 P H 1 j W 4 + l b 2 z r c f S N b X 0 t d X P j C C / d T B J f V 5 m 3 t m / x W m T O b 6 u y 3 g O 5 y C z f V n G 9 z 2 D e Z 6 5 9 / X V z 4 / e Z b V 9 / 3 d y 4 P 9 s b G v c n e U P j / t R u G K B r + 2 m o v 8 5 e S J R 3 O 9 W y e 7 P u s v B D 3 b X 7 n h 0 M 6 y 7 T w e 7 O p w f 3 7 + / f u / d w f L B J B X k s / b 6 v e n x t X r 2 l d 6 X N h 2 f E 4 + U b 2 3 q s f G N b j 5 N v b O v r r Z s b R 3 j o t t 7 V r d p H p v i 2 q u p W 7 d 9 z M n 0 l d a v 2 7 z O j v n a 6 u f H 7 z K m v n W 5 u 3 J / T D Y 3 7 E 7 q h c X 8 2 N w z Q t X 0 Q a q f 3 T E E d 3 L t Z P 9 k e Q v 1 0 7 z 0 7 G N Z P p o O H n + 4 + v L + 7 + + C W j t X 7 v O a x s n n t l n p J m w / P h c f F N 7 b 1 m P j G t h 4 P 3 9 j W 1 0 s 3 N 4 5 w z 2 3 1 0 q 3 a R 6 b 2 t n r p V u 3 f c z J 9 v X S r 9 u 8 z o 7 5 e u r n x + 8 y p r 5 d u b t y f 0 w 2 N + x O 6 o X F / N j c M 0 L U 9 C P X S 2 U 8 e p 7 9 P e v L l F 2 e v z 7 5 8 c T v V s X + z b r K 9 h L p p / z 0 7 G N Z N p o O 9 g 3 v 3 x g 8 U b n T s H h f f / i W P l c 1 L t 9 R L 2 n x 4 L j w u v r G t x 8 Q 3 t v V 4 + M a 2 v l 6 6 u X G E e 2 6 r l 2 7 V P j K t t 9 V L t 2 r / n p P p 6 6 V b t X + f G f X 1 0 s 2 N 3 2 d O f b 1 0 c + P + n G 5 o 3 J / Q D Y 3 7 s 7 l h g K 7 t w 4 5 e e s 8 E O a K f m 5 S S 7 S J U S h o 3 3 b q D Y a V k O r h 3 f 2 9 n v H f L U O 7 2 L 3 l 8 b F 6 6 p V L S 5 s M T 4 b H w j W 0 9 D r 6 x r c f A N 7 b 1 l d J g Y 9 s 4 w j q 3 V U q 3 a h + Z 1 t s q p V u 1 f 8 / J 9 J X S r d q / z 4 z 6 S u n m x u 8 z p 7 5 S u r l x f 0 5 v p 5 R u b t y f z d s o J W B v l d L u v f d O k e / e 2 7 l R K 7 k + f K 3 E b 7 5 X B 4 N a y X a w R 0 n u n T 2 F e 4 N W e o + X H C P b l 2 6 n l U z z 2 2 i l m 9 s 6 F r 6 5 r e P g m 9 t 6 W u k W j S O 8 c 0 u t d L v 2 k W m 9 p V a 6 X f v 3 n E x P K 9 2 u / f v M q K e V b t H 4 f e b U 0 0 q 3 a N y f 0 w 2 N + x O 6 o X F / N j c M 0 L X d D b X S + y S + d + / t 3 q y R L P x Q I + 2 + Z w f D G s l 0 s L / D z + 0 0 0 u 1 f 8 p j Y v H R L j a T N h 2 f B 4 9 8 b 2 3 r s e 2 N b j 3 t v b O t r p J s b R / j m t h r p V u 0 j 0 3 p b j X S r 9 u 8 5 m b 5 G u l X 7 9 5 l R X y P d 3 P h 9 5 t T X S D c 3 7 s / p h s b 9 C d 3 Q u D + b G w b o 2 u 6 F G u n 9 k t 2 7 9 2 5 O d r s e Q p 1 0 q 2 S 3 1 8 G w T j I d 7 O 7 d f 7 i 7 8 / C W S u k 9 3 v I Y 2 b x 1 S 6 2 k z Y d n w u P h G 9 t 6 L H x j W 4 + D b 2 z r a 6 W b G 0 d 4 5 7 Z a 6 V b t I x N 7 W 6 1 0 q / b v O Z m + V r p V + / e Z U V 8 r 3 d z 4 f e b U 1 0 o 3 N + 7 P 6 Y b G / Q n d 0 L g / m x s G 6 N r e C 7 X S e 6 a U d u / d n F J y X Y R q 6 V Y p J a + D Y b V k O t i / p U K 6 V X u P e 0 3 7 W 6 o i b T 5 M f o 9 x b 2 z r 8 e 2 N b T 2 2 v b G t r 4 p u b h x h m N u q o l u 1 j 0 z m b V X R r d q / 5 2 T 6 q u h W 7 d 9 n R n 1 V d H P j 9 5 l T X x X d 3 L g / p x s a 9 y d 0 Q + P + b G 4 Y o G u 7 b 1 X R i / Q h J Z K O 3 y u T 9 O n O w 9 t k k m w n T h n p m + / V w b A y M h 3 s 7 d w / e H j / w f j B 7 V L c 9 r 3 d B w 9 3 a L V y v P f w d s r J 9 v f p w e 7 + z n j / 0 9 s p K X 1 t e G I 8 l r 6 x r c f R N 7 b 1 G P r G t r 6 S u r l x h J V u Q x R f W Z n 3 t m / 1 Y m T W b 6 u 1 3 g v B y G z f V n u 9 3 4 D e Z 8 5 9 N X Z z 4 / e Z d V + N 3 d y 4 P + s b G v e n e k P j / v R u G K B r e z 9 U Y 7 f P P E H B 7 N 6 s w S z 8 U I P t v m c H w x r M d H D v 4 P 7 e / v 2 D 8 Y O D 2 2 m w 9 3 r P 4 2 n z 3 i 3 d K 2 0 + P B c e F 9 / Y 1 m P i G 9 t 6 P H x j W 1 9 z 3 d w 4 w j 2 3 d a 9 u 1 T 4 y u b d V V L d q / 5 6 T 6 S u o W 7 V / n x n 1 9 d L N j d 9 n T n 2 9 d H P j / p x u a N y f 0 A 2 N + 7 O 5 Y Y C u 7 a e h X n q f / B M U x 7 2 b N Z P t I d R M 9 9 6 z g 2 H N Z D q 4 d 2 / v 3 u 6 n n 4 5 v q Z j e 5 z W P l c 1 r t 9 R L 2 n x 4 L j w u v r G t x 8 Q 3 t v V 4 W N r e U i / d 3 D j C P b f V S 7 d q H 5 n a 2 + q l W 7 V / z 8 n 0 9 d K t 2 r / P j P p 6 6 e b G 7 z O n v l 6 6 u X F / T j c 0 7 k / o h s b 9 2 d w w Q N f 2 Q a i X z n 7 y O P 1 9 0 p M v v z h 7 f f b l i 9 u p j v 2 b d Z P t J d R N + + / Z w b B u M h 1 8 u r c 7 3 r u l Y r r 1 O x 4 j m 3 d u q Z W 0 + f B M e D x 8 Y 1 u P h W 9 s 6 3 H w j W 1 9 r X R z 4 w j v 3 F Y r 3 a p 9 Z F J v q 5 V u 1 f 4 9 J 9 P X S r d q / z 4 z 6 m u l m x u / z 5 z 6 W u n m x v 0 5 3 d C 4 P 6 E b G v d n c 8 M A X d u D j l Z 6 n 7 w 4 N M b 9 m 1 W S 7 S J U S f f f s 4 N h l W Q 6 e P D p 7 s 4 Y V B v k G Y + F b / + S x 8 f m p V s q J W 0 + P B E e C 9 / Y 1 u P g G 9 t 6 D H x j W 1 8 p 3 d w 4 w j q 3 V U q 3 a h + Z 1 t s q p V u 1 f 8 / J 9 J X S r d q / z 4 z 6 S u n m x u 8 z p 7 5 S u r l x f 0 4 3 N O 5 P 6 I b G / d n c M E D X 9 q H R G K + P 0 5 3 d 9 8 y Q 7 9 7 f 2 Q F P 3 6 S W b C d W L Z k 3 3 6 u D Y b V k O n j w 4 P 7 B / v 7 u + N 6 m T L f H x + a 9 v f 3 d B 5 / u 3 0 4 x m X d 2 d / d 2 P j 1 4 + H B 8 b 5 N G 8 5 j a v H j v 0 4 c 7 e + S e P d Q o 9 i Z 1 9 V 7 v e X x u 3 t s k R B 6 n v 1 c 3 v i b T F 2 + n y e x M 3 a e w + c G D z T P l q z T z 4 v b t 3 o w w x 2 2 V 2 / u h G O G M 2 2 q 5 9 x x S n y V u p + / e b 2 I j H L F 9 q z d 9 R X g b S v i 6 8 L 1 Q 9 P X i r T q K 8 M L t h u Q w x D K d r y d v n Y J n D b Z 7 o 4 p 0 8 E M V u f u e H Q y q S N s B t d / b 3 b 1 3 M H 5 4 c C s d + Z 4 v O n G w L 2 6 a G y c N p v k w T z v + v 7 m t Y / + b 2 z q O v 7 m t p / d u 0 T j C P x t 1 Q 4 Q f N r a P T O 8 t l d z t 2 r / n Z H q 6 7 X b t 3 2 d G P Y 1 2 i 8 b v M 6 e e 4 r p F 4 / 6 c b m j c n 9 A N j f u z u W G A r u 1 u q J n e I w n P q u P m J L z r I d R N N y f h w w 6 G d Z P p Y P / B g 4 e f b u I Y j 4 F v / Y 7 H x O a d W 2 o k b T 4 8 C x 7 / 3 t j W Y 9 8 b 2 3 r c e 2 N b X y P d 3 D j C N 7 f V S L d q H 5 n U 2 2 q k W 7 V / z 8 n 0 N d K t 2 r / P j P o a 6 e b G 7 z O n v k a 6 u X F / T j c 0 7 k / o h s b 9 2 d w w Q N d 2 L 9 R I 7 5 l + Z 6 W x f 7 N W s r 2 E W m n / P T s Y 1 k q m g 0 / 3 H 3 5 6 O 5 1 0 y z c 8 J j Z v 3 F I j a f P h W f D 4 9 8 a 2 H v v e 2 N b j 3 h v b + h r p 5 s Y R v r m t R r p V + 8 i E 3 l Y j 3 a r 9 e 0 6 m r 5 F u 1 f 5 9 Z t T X S D c 3 f p 8 5 9 T X S z Y 3 7 c 7 q h c X 9 C N z T u z + a G A b q 2 9 z o a 6 T 1 S 7 6 w t b k 6 9 u y 5 C d X R z 6 j 3 s Y F g d m Q 4 o 5 f R g r F o u O m 6 P g 2 / 9 j s f F 5 p 2 A K 4 d V k j a / l U q 6 s a 3 H v z e 2 9 d j 3 x r a + S r q 5 c Y R x b q u S b t U + M q m 3 V U m 3 a v + e k + m r p F u 1 f 5 8 Z 9 V X S z Y 3 f Z 0 5 9 l X R z 4 / 6 c 3 k 4 l 3 d y 4 P 5 u 3 U k n 7 n k q 6 9 + n 7 J 9 7 v I e i 5 S S n Z T n y l x G + + V w f D S s l 0 s H f v 4 c G D h w 9 3 x g 8 f 3 E 4 z m R d 3 H z 6 g l c c H O 2 O j K W 9 S T + b F h / d 3 7 t + 7 v z d + s H c 7 1 8 m 8 d 3 9 v 7 9 M H 9 y j x t + E 1 j 8 H f 5 z W P 1 c 1 r m + T I Y / b 3 6 c X X Z f r e 7 X S Z 6 W R / 7 8 H B p 3 s 7 4 4 N N l P O V m n l x + 3 Z v R t j j t u r t / V C M c M V t 9 d x 7 D q n P E L f T e O 8 1 r x F + 2 L 7 N i 7 4 i v A 0 d f F 3 4 P g j 6 a v F W / U Q Y 4 V Y D 8 v C 7 H 2 r J 9 0 m 7 3 / t 0 9 2 Y F a e G H C n L 3 P T s Y V p C m g / s H O z T s v X v j + 5 v 0 n C c K 7 / e i J w r m x V v 6 b 9 p 8 m J 8 9 3 r + x r c f 6 N 7 b 1 2 P 3 G t r 7 O u 7 l x h H 9 u 6 7 / d q n 1 k e m + r 4 G 7 V / j 0 n 0 9 d r t 2 r / P j P q a 7 O b G 7 / P n P p q 6 + b G / T n d 0 L g / o R s a 9 2 d z w w B d 2 0 9 D z f R + a f d 7 n 9 6 7 W T f Z H k L d d O 8 9 O x j W T a a D / Z 3 7 D x 8 8 u P / p + J 7 q v e j Y P S 5 + v x c 9 d j Y v 7 u 7 c f 7 B / a 9 f t P d 7 y W P s 9 3 v J 4 3 L x 1 S 8 f t P T r x d Z i + d j s d d h u U f B 1 2 q / Y R N r i t D r t V + 8 i k 3 1 a H 3 a p 9 f 6 J v p 8 P e Z 8 I i 8 7 x 9 i / d 8 x X a b s f i 6 7 T 3 Q 8 7 X c r b q J T P l t h u N h 9 y D U e e + f 2 L / 3 6 f 7 N e s / 2 E u q 9 / f f s Y F j v m Q 7 u 3 / / 0 4 H Y K 7 5 Z v e E x v 3 r i l F 6 b N h 3 n Y 4 / c b 2 3 r s f m N b j 8 d v b O t r s J s b R / j m t h r s V u 0 j E 3 p b D X a r 9 u 8 5 m b 4 G u 1 X 7 9 5 l R X 4 P d 3 P h 9 5 t R X V j c 3 7 s / p h s b 9 C d 3 Q u D + b G w b o 2 h 5 0 N N L 7 J f b v f X r / Z n V k u w j V k U Z j t + 5 g W B 2 Z D n b v 7 + 4 + u G X 6 7 N b v e F x s 3 r m l S t L m w 9 P g M f C N b T 3 + v b G t x 7 4 3 t v V V 0 s 2 N I 4 x z W 5 V 0 q / a R S b 2 t S r p V + / e c T F 8 l 3 a r 9 + 8 y o r 5 J u b v w + c + q r p J s b 9 + d 0 Q + P + h G 5 o 3 J / N D Q N 0 b R 9 6 K m l / / / 0 T + / v 7 O z c r J d u J r 5 T 4 z f f q Y F g p m Q 7 2 7 t + 7 9 / D h 7 v 6 n 9 8 Y H m x J Q H i t 7 r + 5 9 e u / h 3 s N 7 4 4 c H t 1 N R 5 t X d e w f 3 P 9 2 5 P w Y H D 7 7 n c b d 5 7 9 6 9 / X v 3 x 3 s P N 7 z l 8 f h 7 v O U x u 3 l r k y R 5 7 P 4 e n f j K T F + 7 n T J z Z L u / t / v p w / H B J o v g a z X z 4 v b t 3 o z w x 2 3 1 2 / u h G G G J 2 y q 6 9 x x S n x 1 u p / L e Z 1 o j 3 L B 9 i / d 8 P X g b K v i q 8 D 3 Q 8 5 X i Y D c D e v F 9 h u O w g / 7 x V e T 7 Z P X 3 9 3 d v 1 I 4 O f q g d d 9 + z g 0 H t a D u 4 v / v g U / p r 7 2 B / D B s x O H Y n C O / 9 q h M F + + o m J n C S Y J o P 8 7 P j / Z v b O t a / u a 3 j 9 5 v b e j r v F o 0 j P L R R L 0 R 4 Y m P 7 y B T f U s H d r v 1 7 T q a n 1 2 7 X / n 1 m 1 N N m t 2 j 8 P n P q K a 5 b N O 7 P 6 Y b G / Q n d 0 L g / m x s G 6 N r u h t r p / T L 7 + / s 3 Z / Z d D 6 F + u l V m 3 + t g W D + Z D v Y f U I p e d P P 9 T 2 + n n 9 7 3 V Y + l z a u 3 1 E / a f H h O P G 6 + s a 3 H z D e 2 9 X j 5 x r a + f r q 5 c Y S L b q u f b t U + M s W 3 1 U + 3 a v + e k + n r p 1 u 1 f 5 8 Z 9 f X T z Y 3 f Z 0 5 9 / X R z 4 / 6 c b m j c n 9 A N j f u z u W G A r u 1 e q J / e P w u / v 7 9 / s 4 6 y v Y Q 6 a v 8 9 O x j W U a a D W 2 f h b / u G x 8 T m j V t q J G 0 + P A s e / 9 7 Y 1 m P f G 9 t 6 3 H t j W 1 8 j 3 d w 4 w j e 3 1 U i 3 a h + Z 0 N t q p F u 1 f 8 / J 9 D X S r d q / z 4 z 6 G u n m x u 8 z p 7 5 G u r l x f 0 4 3 N O 5 P 6 I b G / d n c M E D X 9 l 5 H I 7 1 f F n 5 / / + Y s v O s i V E e 3 y s J 7 H Q y r I 9 P B v d 1 P P 6 V k 1 z 1 1 x q J D 9 5 j 4 f V 7 z e N m 8 d k v F p M 2 H J 8 N j 4 x v b e l x 8 Y 1 u P i W 9 s 6 y u m m x t H 2 O e 2 i u l W 7 S N T e 1 v F d K v 2 7 z m Z v m K 6 V f v 3 m V F f M d 3 c + H 3 m 1 F d M N z f u z + m G x v 0 J 3 d C 4 P 5 s b B u j a 7 h u t 8 W V b V 0 1 6 e p 5 P 2 + K S f r t O T 3 / R T a r j 4 c 1 a y c J 3 r 9 w S 5 r A i M j D v U c 7 9 0 3 v 7 D z 7 d G R / c U h n Z V + / T s 3 P v / s H u + G D 3 d g r J v H p L h W S a P 9 w 9 + P T g Y G 9 n c 4 b f 4 + X 3 e 9 H j 6 9 s g 6 H H 2 + / X j q y 5 9 8 3 a q y 3 S z f c t + I r x z y z c j H H L b T i M c c l v V 9 p 5 I R j j k t k r u Z r J H m O G W a E X 4 4 p a 0 8 / X f b U b k q 8 D 3 Q 9 L X h 7 f q 6 Q M Y w r 1 5 3 y r I N 6 8 o x 3 X 6 7 P T k z d l P 0 m + / T 3 r 6 E z c q s 9 0 d e n Z v V p O 2 F + O 8 2 T f f q 4 N h n W k 6 2 E Q w T w p M 8 9 u R y x O H 2 / T j y c D 7 9 e M J w / u 9 6 A n G b R D 0 p O H 9 + v G 1 p L 5 5 O y 1 p u r k t f 0 Z Y 5 5 Z v R n j i t p 1 G + O O 2 W v I 9 k Y x w y G 2 1 5 M 1 k j z D D L d G K 8 M U t a e d r y d u M y N e S 7 4 e k r y V v 1 d M H M I R 7 8 9 N Q S 9 J 6 5 e v 0 x Z f p y 5 d v j p / f T o f t 3 a w k b S e h k t x 7 z w 6 G l a T p 4 G s 4 l u / 7 q i c b 5 t V b q k x t P s z g n j D c 2 N a T h R v b e t x / Y 1 t f E d 7 c O M J I G 8 U 9 w h M b 2 0 e m e G P 7 y L z e q O j e p 3 1 / N m + t 3 m 4 m 5 v t M q a / R b m z s 6 7 C b G / f n d E P j / o R u a N y f z Q 0 D d G 0 f G O 3 x N K / z 6 Z x C 3 C x 9 l U + L S V G n p z e o k F s o J w v e v n E 7 i M P a y E A k h X L w 6 Y P d + w / u 3 R / f U h u 5 V + / d e / D p w Y O d B / v j n Q e 3 U 0 f m 3 d 1 7 B / d 3 D j 6 9 v 7 8 3 N n 7 o T a r J v r p z 7 9 O d + w 8 O D n b G D 2 7 p z 7 l X P 3 1 4 7 2 D n 4 e 7 + e E 9 p e J P i M q / S W P f u 7 d y 7 N z Z L M D d p s f d F 1 1 d q + u 7 t l J r F c P / h z t 7 B p 5 / u j v c 2 T a S v 3 8 y r 2 7 d 9 N 8 J A t 9 V 1 7 4 t m h G l u q / b e e 1 h 9 V r m d C n z v O Y 7 w x / Z t X / Y 1 5 G 0 o 4 i v J 9 0 X U 1 5 m 3 6 i v C G L c e m I f n g d F z J + t 8 2 W Z N u q r q 9 K S a 1 F m d Z j c p v V v o U Q v f v X J L m M O a 1 M D c / 3 T / 0 / s P a c S f f j q + v 0 l J e E L x 3 u 9 6 U m H e v a V n d 5 v m n h y Y 5 r s H D z W r e p O m v O U b n g j c B i V f L W r 7 2 6 n F W w G P s M b G 9 p F p v 6 3 + u 1 X 7 9 5 x e X + n d q n 1 / g m + n 6 G 4 F / D 1 n 1 t d n t 2 r / n p P r 6 7 B b t X / f y X X N H x q 1 c v z y y 1 d v j k / O v n y R v n 7 6 5 Y 3 K 5 R 5 F j g c 7 N 6 s t C 1 9 j U / f m e 3 U w r M N M B 5 v G 6 / H y b Z p 7 r H y b 5 h 4 n 3 6 a 5 x 8 i m + e 0 1 1 S 3 f 8 P j 5 N i j 5 m k r b 3 0 5 T 3 Q p 4 h B s 2 t n / P y f U 1 1 a 3 a v + f 0 + p r q V u 3 7 E 3 w 7 T X U r 4 O 8 5 s 7 6 m u l X 7 9 5 x c X 1 P d q v 3 7 T q 5 t f n / H a J K X x 6 / e n J 2 c v W R l d f r 6 d p p k 9 0 Z V 5 T o I V d X u e 3 Y w q K p s B 7 u f 7 u 7 d + 3 T v Y H f v 4 f j e p u j T c f b 7 v + u 4 3 L 5 7 O y V m m g 8 z r W P w m 9 s 6 / r 6 5 r e P t m 9 t 6 K u s W j S N s d E u V d b v 2 k U m + p c q 6 X f v 3 n E x P Z d 2 u / f v M q K e y b t H 4 f e b U U 1 a 3 a N y f 0 w 2 N + x O 6 o X F / N j c M 0 L X d N f r D u V K 3 1 U 4 3 x 3 8 O e q i d b g 4 D w w 6 G t Z P p Y P f + 3 j 2 K f 3 f 3 d / b H 9 z 6 9 n X Z 6 7 3 c 9 h j b v 3 l I 7 a f P h G f F 4 + c a 2 H i v f 2 N b j 5 B v b + t r p 5 s Y R H r q t d r p V + 8 g k 3 1 Y 7 3 a r 9 e 0 6 m r 5 1 u 1 f 5 9 Z t T X T j c 3 f p 8 5 9 b X T z Y 3 7 c 7 q h c X 9 C N z T u z + a G A b q 2 e 0 Z / n H z 5 4 i d P X 5 x 9 e U v V d O 9 m 1 W R B h 6 p J 8 5 a 3 7 m B Y N Z k O d v d 2 9 y j n / / B g f / x w U x L c Y + D 3 f d X j Z f P q L R W T N h + e D I + N b 2 z r c f G N b T 0 m v r G t r 5 h u b h x h n 9 s q p l u 1 j 0 z x b R X T r d q / 5 2 T 6 i u l W 7 d 9 n R n 3 F d H P j 9 5 l T X z H d 3 L g / p x s a 9 y d 0 Q + P + b G 4 Y o G t 7 z 2 i P N 6 + O X 7 x O z 1 6 8 S X + f 9 P j 1 2 e f p 6 / T l r V T I w 9 2 b d Z T t J d B R e P O 9 O h j W U a a D T + / t f / r g 4 c 6 9 h 7 T e d k s d 9 b 6 v e m x t X r 2 l j t L m w / P i c f S N b T 2 G 3 t C 2 p 6 N u b O v r q J s b R z j p t j r q V u 0 j U 3 x b H X W r 9 u 8 5 m b 6 O u l X 7 9 5 l R X 0 f d 3 P h 9 5 t T X U T c 3 7 s / p 7 X T U z Y 3 7 s 3 k r H b V v t M f r r 5 6 8 P n t K z h P p K P q d H K m T 2 2 m Q e z e r K N t J q K L u v W c H w y r K d P D g / v 3 d A 8 o i 3 d 8 f Y 8 l z k H c 8 V n 7 f V z 2 u N q / e U k V p 8 1 u p q B v b e v x 8 Y 1 u P n W 9 s 6 6 u o m x t H G O m 2 K u p W 7 S N T f F s V d a v 2 7 z m Z v o q 6 V f v 3 m V F f R d 3 c + H 3 m 1 F d R N z f u z + m G x v 0 J 3 d C 4 P 5 s b B u j a 3 j f a 4 2 m + n l V 1 3 q R P i 8 u 8 b q o m X V U 3 q Z B b a C c L 3 7 1 y S 5 j D C s n A f L C 7 + 3 D v 4 c H e g w f j g / 3 b K S T z 6 q c P 9 3 c + 3 T + 4 / 3 B v v H f / d g r J v H r v 3 q f 3 S J t 9 S o n 0 T W 9 6 3 G z e 3 L 3 / 4 M H O 3 u 7 B v f G D T z e 8 6 f G 1 f Z P s z v 7 e / Y O D z Q P 1 m N y 8 u f f g U 8 q q 7 d w f 7 x x s e N F j + P d E 1 l d p + u r t V J r t 5 8 H B p / s P P z 2 4 P 7 7 / 8 J b a z b y 6 f d t 3 I 7 x z W 0 3 3 v m h G G O a 2 S u + 9 h 9 V n l N s p w P e d 4 g h 3 b N / y X V 8 7 3 o Y e v o J 8 T z R 9 d X m r r i J c c d t h e V h + a h X o 6 V d P v 3 y V P j 3 7 y d f p 7 5 2 e f P n k 1 f G r G 5 X d L v l g O 7 e I Q 2 0 v x s m z b 7 5 X B 8 M 6 1 X T w Y H e H V O P D 3 U 9 J Y 9 x S p 5 p X P z 3 Y + 5 Q W N H f v 3 x / v 3 t L J M 6 / u H d y 7 t 3 d A 7 u j 4 Y N O b n r D o m 8 M M 7 w n H j W 0 9 2 b i x r S c M N 7 b 1 l e P N j S N M d U u 6 + M r R v L p 9 2 3 c j T H B b 5 f i + a E Z m / r b K 8 b 2 H 9 T 7 z 7 y v H m x u / D w f 4 + u / m x n 0 O 2 N C 4 P + c b G v c n e c M A X d s H R u 0 8 O 3 7 + 5 v j F m 9 P X 6 d P T 9 O T 4 O 6 e v b l 4 I E N 2 z d 7 N y s 7 2 E y k 1 z W b f u Y F i 5 m Q 5 I 0 e / T C u M m T 8 j j 7 v d 4 y 2 N s 8 9 Y t 4 1 Z t P j w b H h / f 2 N Z j 4 x v b e l x 8 Y 1 t f j 9 3 c O M I / t 4 1 b b 9 U + M r G 3 V V i 3 a v + e k + l r q V u 1 f 5 8 Z 9 T X T z Y 3 f Z 0 5 9 z X R z 4 / 6 c b m j c n 9 A N j f u z u W G A r u 2 B 0 R n q d p 1 8 m z T T T 3 5 1 + v z N b R X T L Y J X 2 0 m o m G 6 O Y c M O h h W T 6 W C P T N r D e w d j O K K D j O P x s X m P I o W d 3 Q c P x 2 C T w f c 8 f j b v 3 d 8 / e H C f A t h b O l v 6 2 v D E e C x 9 Y 1 u P o 2 9 s 6 z H 0 j W 1 9 J X V z 4 w g r 3 Y Y o v r I y 7 2 3 f 6 s X I r N 9 W a 7 0 X g p H Z v q 3 2 e r 8 B v c + c + 2 r s 5 s b v M + u + G r u 5 c X / W N z T u T / W G x v 3 p 3 T B A 1 / Z h R 4 1 x 9 P j 6 + P n T L 2 + n Y z 6 9 W Y n Z L k I l 9 u l 7 d j C s x E w H u 3 s P 7 z 3 Y O 9 g c / H l s b d / b o Z h 7 9 / 7 + p + N 9 R S r 6 p s f Y 5 s 3 7 1 O U + r S p s X l T w O N x 2 e b s w 3 2 N x + + Z 7 Z + L M m + + d i X t P Z H 3 9 p 6 / e T v + Z f r Z 3 K S W 6 8 + B g 9 2 C 8 9 / C W O t D N 4 e 1 e j b D N r b u N s M 5 G z R Z h m N t 2 F W G Z j V 3 1 G e V 2 u v B 9 p z j C H b d N W f m K 8 j Z j 8 n X l e 6 L p a 8 5 b d R X h i t s O y 2 H 5 6 Y 5 R d G 9 e / c J s s T r 8 I j V R q 0 a s N 2 q 8 v d t l 4 1 x P V q W a N 9 + r g 0 G V a j v 4 d P d g 5 + H O 7 v h 2 G t W + d h + 9 f P p g b J T 8 D f r U v r d L 3 T 2 4 t z / + d J N q c 7 J h 3 h v m d S c X N 7 d 1 Y n F z W y c H N 7 f 1 9 O I t G k f 4 6 V Z U 8 Z S i f X H 7 d m 9 G 5 n 2 j s o l M + O 0 6 i s z 4 x o 7 6 M 3 3 b I b 3 P v H v 6 8 B a N 3 2 f m P Z V 3 i 8 b 9 m d / Q u D / b G x r 3 J 3 j D A F 3 b X a N l z p Y X t D D L K 7 J 1 + i q f r l d 5 f Z O q 2 b 9 Z i 1 n 4 7 p V b w h x W X A b m g 3 u k + j / d + X T v 1 k u z 3 q s P D u 7 d f 7 B / / w Y j 7 X G z e Z X W g 3 c P D h 4 c P B j f 0 x g 9 + q b H 1 + 7 N 3 f u U G t 1 9 M H 5 w c C u H M H z z A S 2 Y j D / d p K U 9 J j d v 7 t H a 9 f h g 0 x A 9 Z n 9 P R H 2 l p 6 / e T u n Z W f h 0 5 9 4 u r X F v z E j 4 S s + 8 u H 2 7 N y M 8 c 1 u l 9 3 4 o R t j k t k r v P Y f U Z 4 7 b K b 3 3 n d o I V 2 z f 8 l 1 f I 9 6 G G r 5 S f E 8 0 f R V 5 q 6 4 i H H H b Y X l Y 7 l m l + c X L N 1 + m r 2 k Z 9 j Q 9 e / H 5 q 9 P X N y c G 9 x H y Q h p u U p 2 2 F + M A 2 j f f q 4 N h P W o 6 + P T h p 5 / e 3 7 u / e 9 t F i / d 8 0 R M O 8 + K m O f J k Q 5 s P c 7 g n D T e 2 9 Y T h x r Y e 9 9 / Y 1 t e C N z e O c N F G T R H h h 4 3 t I 9 N 7 W 5 V 3 q / b v O Z m + p r t V + / e Z U V + / 3 d z 4 f e b U V 2 E 3 N + 7 P 6 Y b G / Q n d 0 L g / m x s G 6 N r e C / X T y 1 d f P v 3 q 5 C Q 9 + f L F 6 6 + + u J 3 6 u H n h w v U S 6 q c b F y 4 6 H Q z r J 9 P B L k L N n X v 7 O + M H q v y i B P B Y + T 3 f 9 J j a v H l L D a X N h 2 f F 4 + c b 2 3 r s f G N b j 5 t v b O t r q J s b R / j o t h r q V u 0 j E 3 x b D X W r 9 u 8 5 m b 6 G u l X 7 9 5 l R X 0 P d 3 P h 9 5 t T X U D c 3 7 s / p h s b 9 C d 3 Q u D + b G w b o 2 u 6 H G u r F l 1 + c v T h O j 1 + f f X H 2 / P h 2 C u T + z R r K 9 h J q K H W w b 9 3 B s I Y y H Z A L e f D p p 5 8 e 7 F G s t X c 7 F f W + r 3 p s b V 6 9 p Y 7 S 5 s P z 4 n H 0 j W 0 9 h r 6 x r c f P N 7 b 1 d d T N j S O c d F s d d a v 2 k S m + r Y 6 6 V f v 3 n E x f R 9 2 q / f v M q K + j b m 7 8 P n P q 6 6 i b G / f n d E P j / o R u a N y f z Q 0 D d G 3 v G + 1 B O o I C u 1 d n t 4 3 t H t y s m S z s U D N p c u f W H Q x r J t P B g / s H 9 z 7 d 3 9 8 b 7 9 9 S L 3 k v P n y w 9 + m 9 8 f 1 7 t 9 N K 5 s X t T 3 c O 9 n b H J k 6 N v u b x s 7 4 2 P C M e L 9 / Y 1 m P l G 9 t 6 n H x j W 1 8 7 3 d w 4 w k O 3 I Y q v p c x 7 t 3 k t M u u 3 6 i 4 y 6 b d V W u + D X n + u b 6 2 7 b i b 1 + 0 y 4 r 7 t u b O z r r p s b 9 2 d 8 Q + P + N G 9 o 3 J / c D Q N 0 b T 8 1 + u X L N 6 + + f J 2 S l / X V 6 e s 3 t 1 V g B z c r M N t B q M A O 3 r O D Y Q V m O t j d 2 d 2 / R y r v / q f j A 3 X c o o P 3 u P l 9 X / U Y 2 7 x 6 S 9 d K m w 9 P i c f M N 7 b 1 e P n G t h 4 r 3 9 j W V 1 4 3 N 4 4 w 0 W 1 d q 1 u 1 j 0 z x b V 2 r W 7 V / n 8 n s q K d b w X + f G f X V 0 8 2 N 3 2 d O f f V 0 c + P + n N 5 O P d 3 c u D + b t 1 J P D 4 z 2 M O E f 5 a a + e P k q P X 1 2 / P J 2 G u T h z S r K d h K q q I f v 2 c G w i j I d 7 B 4 8 w P 8 e j H d u 6 W O 9 3 4 s e R 5 s X b 6 m e t P m t 1 N O N b T 1 e v r G t x 8 o 3 t v X V 0 8 2 N I 0 x 0 W / V 0 q / a R 6 b 2 t e r p V + / e c T F 8 9 3 a r 9 + 8 y o r 5 5 u b v w + c + q r p 5 s b 9 + d 0 Q + P + h G 5 o 3 J / N D Q N 0 b Q + s e i K d 9 P T 0 V f r k 7 P R F + v T L L 9 K X X z 2 5 l f r Y 3 7 1 Z P 9 l e A v 2 E N 9 + r g 2 H 9 Z D r Y f f D p P Z u X j 4 7 d 4 + L b v + S x s n n p l n p J m w / P h c f F N 7 b 1 m P j G t h 4 P 3 9 j W 1 0 s 3 N 4 5 w z 2 3 1 0 q 3 a R 6 b 1 t n r p V u 3 f c z J 9 v X S r 9 u 8 z o 7 5 e u r n x + 8 y p r 5 d u b t y f 0 w 2 N + x O 6 o X F / N j c M 0 L V 9 2 N V L L 1 + d v k 5 f n 7 7 6 y d v p j H s 3 K y X b R a i U V A / c u o N h p W Q 6 2 P 3 0 3 u 7 + p / c f P H g 4 v q X X 9 J 5 v e h x t 3 r y l e t L m w 1 P i M f O N b T 1 e v r G t x 8 o 3 t v X V 0 8 2 N I 0 x 0 W / V 0 q / a R C b 6 t e r p V + / e c T F 8 9 3 a r 9 + 8 y o r 5 5 u b v w + c + q r p 5 s b 9 + d 0 Q + P + h G 5 o 3 J / N D Q O 0 b R / s + O r p P Z P m + / d v 1 E 0 O f q i b N L V z 6 w 4 G d Z P t Y P / B w c O H + / u 7 4 3 u 7 t 1 J N 7 / m i Y 2 b 7 4 u 0 0 k 2 k + P B u O j 2 9 u 6 9 j 4 5 r a O i 2 9 u 6 2 m m W z S O 8 M 8 t N d P t 2 k e m 9 5 a a 6 X b t 3 3 M y P c 1 0 u / b v M 6 O e Z r p F 4 / e Z U 0 8 z 3 a J x f 0 4 3 N O 5 P 6 I b G / d n c M E D X d t f X T O Q 4 n Z 5 8 m 7 L i m n a 6 n f p 4 e L N + s r 2 E + u n h e 3 Y w r J 9 M B 7 s 7 n 9 6 7 9 + m n 4 4 e 3 V E / v 9 Z 7 H 0 O a 9 W 2 o n b T 4 8 I x 4 v 3 9 j W Y + U b 2 3 q c f G N b X z v d 3 D j C Q 7 f V T r d q H 5 n c 2 2 q n W 7 V / z 8 n 0 t d O t 2 r / P j P r a 6 e b G 7 z O n v n a 6 u X F / T j c 0 7 k / o h s b 9 2 d w w Q N d 2 z 9 d O L 1 9 9 + f S r E 1 q q S 9 + c 3 E p x 3 N + 9 W T P Z H g L N h D f f q 4 N h z W Q 6 O N g 5 2 L 3 3 Y H d v f O / h 7 V T T + 7 3 o s b N 5 8 Z a 6 S Z s P z 4 f H y T e 2 9 R j 5 x r Y e H 9 / Y 1 t d N N z e O c N B t d d O t 2 k e m 9 7 a 6 6 V b t 3 3 M y f d 1 0 q / b v M 6 O + b r q 5 8 f v M q a + b b m 7 c n 9 M N j f s T u q F x f z Y 3 D N C 1 v R f X T e n J 8 c u z N 7 d T H 3 s 3 6 y f b S 6 i f 9 t 6 z g 2 H 9 Z D r Y 3 3 u 4 s / f w w d 7 4 0 / 3 b 6 a f 3 e 9 F j a f P i L f W T N h + e E 4 + b b 2 z r M f O N b T 1 e v r G t r 5 9 u b h z h o t v q p 1 u 1 j 0 z v b f W T t r + 1 f r p V + / 5 s 3 l o / 3 U z M 9 5 l S X z / d 2 N j X T z c 3 7 s / p h s b 9 C d 3 Q u D + b G w b o 2 u 7 7 + u m Y F N R P U m x 3 / A W t 1 7 3 5 8 l b a 4 9 N b u E + 2 k 0 A 9 4 c 3 3 6 m B Y P Z k O 9 v b v H 9 y n z P b 9 + + O 9 T 2 + n o N 7 3 V Y + r z a u 3 V F H a f H h a P I a + s a 3 H z z e 2 9 d j 5 x r a + i r q 5 c Y S R b q u i b t U + M s W 3 V V G 3 a v + e k + m r q F u 1 f 5 8 Z 9 V X U z Y 3 f Z 0 5 9 F X V z 4 / 6 c b m j c n 9 A N j f u z u W G A r u 3 9 n o o y m a d X t 1 M g D 2 / W U L a P U E N p L H X r D o Y 1 l O l g 9 9 7 u w / u f P v x 0 D F 4 d Z B y P j 9 / v R Y + h z Y u 3 1 E 7 a f H h G P F 6 + s a 3 H y j e 2 9 T j 5 x r a + d r q 5 c Y S H b q u d b t U + M r 2 3 1 U 6 3 a v + e k + l r p 1 u 1 f 5 8 Z 9 b X T z Y 3 f Z 0 5 9 7 X R z 4 / 6 c b m j c n 9 A N j f u z u W G A r u 2 n R n O c f P n i J 9 O T l + n Z F y / f f J m + v n v 2 4 v O b 9 d M e q Q 8 w 9 U 3 6 y f Z i 9 Z N 5 8 7 0 6 G N Z P p o P d g 3 s 7 4 4 M H t 9 N N 9 q X d 3 f u k 0 / c P x p / e v 5 1 y M m / e U j k F H d 3 / d P f B + M H B h j c 9 x g 5 R f L j 7 6 f j T T Y P z u N y 8 u b f 3 8 G B 8 s C m r 5 n H 7 e y L q 6 z N 9 9 X b 6 z P S z f d u O I r x 0 2 1 c j X H L r b i P M c l u V 9 7 5 o R t j l t t r v Z t J H + O K 2 e E W 4 4 7 b k 8 1 X j b c b k a 8 f 3 R N P X l b f q 6 k O 4 w r 3 6 4 M O 1 5 y 3 i T 9 t L q D 1 v j j / D D o a 1 p + l g / + G 9 A y L C r b N j 9 r 3 9 B / f 3 d g / G B q W b 1 K d 9 7 9 O 9 g 4 f 3 x v f v 3 U 6 N 6 m v D f O 7 J x I 1 t P Z G 4 s a 0 n A z e 2 9 X X i z Y 0 j v H Q b o v j 6 0 L y 3 f a s X I 7 N + W 6 f v v R C M z P Z t n b / 3 G 9 D 7 z L m v B 2 9 u / D 6 z 7 q u 6 m x v 3 Z 3 1 D 4 / 5 U b 2 j c n 9 4 N A 3 R t D 4 b 0 G F L + t 1 M z 9 2 7 W Y 7 a X U I / p 9 N 6 6 g 2 E 9 Z j r Y O 0 C 4 u f O Q N N I m h 8 7 j b f v m / X s P 9 x / u 7 9 4 f P 7 y l K 2 j f f H C P w t u D v b G u W k T f 8 7 h c 3 x u e H o + x b 2 z r 8 f W N b T 2 2 v r G t r 8 x u b h x h q F t R x d d m 5 s X t 2 7 0 Z m f z b q r P 3 Q z E y 4 7 f V Z + 8 5 p P e Z d 1 + h 3 d z 4 f W b e V 2 g 3 N + 7 P / I b G / d n e 0 L g / w R s G 6 N o + H F J o L 7 7 8 4 n b q 5 v 7 N + s x 2 E u o z V R y 3 7 m B Y n 5 k O 7 u / s f n r v w d 6 n 4 4 P b a T P z 3 v 7 e v Y O d T / f u j / d v p 8 v M e w 8 e H N z b 3 d n d + J r H 4 P r a 8 M R 4 L H 1 j W 4 + j b 2 z r M f S N b X 1 V d n P j C C v d h i i + J j P v b d / q x c i s 3 1 a R v R e C k d m + r R 5 7 v w G 9 z 5 z 7 a u z m x u 8 z 6 7 4 a u 7 l x f 9 Y 3 N O 5 P 9 Y b G / e n d M E D b 9 m C n q 8 Z I n 5 y + / v L V 2 Z e v b 6 d k H t y o x V w f o R b T N N O t O x j U Y r a D e 5 9 S c H 0 r B X b r V x w 3 2 1 c 2 c b N j Z m 5 + S 5 1 1 c 1 v H v j e 3 d d x 7 c 1 t P Z 9 2 i c Y R v N o p 2 h A c 2 t o 9 M 6 S 1 V 1 O 3 a v + d k e q r p d u 3 f Z 0 Y 9 j X S L x u 8 z p 5 5 G u k X j / p x u a N y f 0 A 2 N + 7 O 5 Y Y C u 7 W 5 X I 4 l j 9 e I u F j R v p z I e 3 q y T b C + h T n r 4 n h 0 M 6 y T T w a c 7 O w f 3 K c e w t 3 8 7 x W T e O 7 i 3 d 2 / 3 3 v 7 4 / s H t t J N 5 b 5 t e 2 7 + / v z u + t 6 l D j 7 P 1 x e G 5 8 b j 6 x r Y e U 9 / Y 1 u P p G 9 v 6 e u r m x h F u u h 1 Z f I 1 l 3 r z d i 5 G Z v 2 W X k b m / r R J 7 P x T 7 c 3 5 r b X Y z y d 9 n 4 n 1 t d m N j X 5 v d 3 L g / 8 x s a 9 y d 7 Q + P + B G 8 Y o G u 7 1 9 V m T 0 9 f p S 9 f n b 5 O X 5 / e L n + / f 3 P e y / U S a D O 8 + V 4 d D G s z 0 8 H e p x T u 7 R 8 8 G B / c U p 3 Z F 0 m d H X z 6 6 f 3 x 7 q Y X P d 4 2 L 9 6 7 / + m D g 7 2 9 s X q L 0 d c 8 z t b X h u f G 4 + o b 2 3 p M f W N b j 6 d v b O t r s 5 s b R 7 j p N k T x d Z l 5 b / t W L 0 b m / b Z u 2 H s h G J n t 2 7 p j 7 z e g 9 5 l z X 5 P d 3 P h 9 Z t 3 X Z D c 3 7 s / 6 h s b 9 q d 7 Q u D + 9 G w b o 2 t 7 r a r J j S t 3 / Z P r m 5 F Z K 5 t P d m 7 W Y 7 S H Q Y n j z v T o Y 1 m K m g 7 0 H B z s H n + 7 e v z d + s H c 7 N W b f 3 N k 7 O N i / t 3 N v v L P p T Y + z z Z u 0 f r m z e 3 B / 5 7 a K T N 8 b n h q P q W 9 s 6 / H 0 j W 0 9 l r 6 x r a / I b m 4 c Y a Z b U c X X Z O b F 7 d u 9 G Z n 8 2 6 q y 9 0 M x M u O 3 1 W X v O a T 3 m X d f m d 3 c + H 1 m 3 l d m N z f u z / y G x v 3 Z 3 t C 4 P 8 E b B u j a 7 s e V 2 X s E m Z 8 + v F m h 2 V 5 C h f b w P T s Y V m i m g 9 3 d / Y f 3 9 x / u b I 4 W P e Y 2 L + 7 f 2 / 3 0 0 4 c U O d y 7 n T Y z 7 z 3 Y f U B 5 x o f j v U 1 r m B 6 P 6 3 v D c + N x 9 Y 1 t P a a + s a 3 H 0 z e 2 9 b X Z z Y 0 j 3 H Q r q v j a z L y 4 f b s 3 I z N / W 2 3 2 f i h G Z v y 2 2 u w 9 h / Q + 8 + 5 r s 5 s b v 8 / M + 9 r s 5 s b 9 m d / Q u D / b G x r 3 J 3 j D A F 3 b + 0 b P n L 1 8 l Z 6 9 + E k K M d + c f k G Z M y i W G 1 T N v R 0 k t G 7 W Z b Y P q 8 v M m + / V w b A u M x 3 s 7 d 2 / t 7 e z P 3 6 4 i W 8 8 z n 6 v 9 z z G N u 9 t Y m y P r 7 X 5 8 H x 4 n H x j W 4 + R b 2 z r 8 f G N b X 0 N d n P j C A d t l P I I N 2 x s H 5 n c 2 6 q r W 7 V / z 8 n 0 t d S t 2 r / P j P q 6 6 e b G 7 z O n v m 6 6 u X F / T j c 0 7 k / o h s b 9 2 d w w Q N f 2 U 6 M 3 n u b r W V X n T b q q 6 v R 4 2 R b T Y n W T 8 r h / s 1 6 y 8 N 0 r t 4 Q 5 r I o M z L 1 P P / 1 0 7 9 O d e / d 3 x 5 9 u c p A 8 x r W v 3 t 8 5 o L 5 2 7 x 2 M D z a 5 8 x 4 P m 1 c f 7 p E n d 3 9 n 7 / 7 4 4 a Z O P W 4 2 b z 7 4 9 N M H n z 4 8 2 L 0 3 N o u r N 2 k q 9 + Z D C o c P H h y M T d L w J r 1 l B 3 r v Y H + H 8 n p 7 n 2 5 4 z + P 3 9 8 T V 1 2 j 6 6 u 0 0 m u l n 9 z 7 1 c X 9 v l 1 J E m z D 0 l Z t 5 d f u 2 7 0 Z Y 5 7 a K 7 n 3 R j P D L b X X e e w + r z y e 3 0 3 / v O 8 U R 7 t i + 5 b u + c r w N P X z 9 + J 5 o + t r y V l 3 d e 3 z 3 6 w 7 L w / K B 0 W / P n n 6 Z v v r y z f G b L 1 + d f Z m + f v 7 0 y x s 1 3 e 4 t f T v b h / H t 7 J v v 1 c G w Q j U d H D y 4 9 + l 4 X + H e p E r N S 7 v 7 n z 7 Y 3 R k j W T n 4 m i c W 5 r X t T + 9 / u v k l T z Z s X / c e 3 N t 9 M L 6 v I f p N 6 t O 8 R g H 7 3 s 7 B + N N N 4 u Q J i H l t 7 2 D v g I L v n U 2 s 4 A n H + y D p 6 0 1 9 7 3 Z 6 0 5 K P e n n 4 Y H / z b P l a 0 8 P u 5 v c i v H G 7 D i P 8 c V s f 8 b 0 Q j P D G b X 3 F m 8 k d Y Y V b z W m E F 7 Z v 8 6 K v J W 8 z G l 9 L v g + C v o q 8 V T 8 D b H B j R x 5 + B 0 Z 3 H b 9 4 k 3 5 x 9 u L s 9 Z t X x y d n X 7 5 I n 9 1 W Q + 7 d r C F t L 6 G G V O 1 y 6 w 6 G N a T p g B b y 7 5 F 9 v k e e 2 M N b 6 k n 7 6 s 6 9 e 9 T d Q x i X W 8 b A 5 l U k H O 8 / 2 C c 3 b q N H 4 A m F v j n M 5 J 5 A 3 N j W k 4 c b 2 3 o y c G N b X w n e 3 D j C V L e k i 6 8 G z a v b t 3 0 3 w g S 3 d R 7 f F 8 3 I z N / W e X z v Y b 3 P / P s K 8 e b G 7 8 M B v u a 7 u X G f A z Y 0 7 s / 5 h s b 9 S d 4 w Q N f 2 o a / c X h 6 / e p O e v i Y P 8 P j 5 6 e v b a Z 7 9 m 1 W b 7 S N U b f v v 2 c G w a j M d P N y n k O N T y g m P b 6 n Y z I v 7 5 P 4 9 / H T / 4 Y M x G G X w T Y + 7 / T d p s f Z g d / z w l o 6 g v j k 8 O x 5 f 3 9 j W Y + s b 2 3 p c f W N b X 6 / d 3 D j C T 7 e k i 6 / X z K v b t 3 0 3 w g G 3 1 W v v i 2 Z k 5 m + r 1 9 5 7 W O 8 z / 7 5 e u 7 n x + 3 C A r 9 d u b t z n g A 2 N + 3 O + o X F / k j c M 0 L Z 9 u O P r N X X a 4 K + l r 2 / r s 9 2 c G X S d h I r t 5 g R h 2 M G g Y r M d 7 F H 0 9 / D h 3 g 4 l w T b p J 8 f g 9 s 1 P y W N 7 c P D p p / u b F 2 4 d f 9 s 3 7 9 2 7 T 4 7 e z o O x i d K j L z p G t y / u 7 3 + 6 / 2 C H 8 h D j e 5 v e d G z u v X l w / 8 H u w 3 1 a Z d 7 w o m N 5 R 5 / d n d 1 d i r j A 4 Y P v O e 5 / X 1 Q 9 b W h e v Z U 2 t P 1 s 7 + / u k V n a v / 9 w v C n 5 6 W l D h + L t 3 o w w z W 0 7 j X D N R t 0 W 4 Z V b 9 h R h l o 0 9 9 V n k V p r w v a c 3 w h n b t 3 z X U 5 O 3 G p O n K d 8 X T U 9 v 3 q 6 r K E / c r i 8 P y 1 1 f k / o e 4 u 1 V 6 a c 3 q 1 L b S 6 h K P 3 3 P D o Z V q e l g l 7 K j n 9 7 7 9 G B z B O v J h H n x 3 r 0 H n 1 L g / C n x u G J 1 k y Y 1 b + 7 t f X p / 7 2 B s B n O T H r U d 7 u 3 s f r r 7 Y O / h e G 9 T + s 4 T k v d 8 0 5 M Y 8 + Y m f v K k 5 D 0 7 8 v W n v n o 7 / W n 6 2 b 6 3 + / A h L S j s 7 I 4 h Q M M d R T j q t q 9 G e O X W 3 U b Y 5 b Y q 9 H 3 R j D D K b X X o z a S P c M R t p z j C H d u 3 f N f X o b c Z k 6 9 D 3 x N N X 4 f e q q s o V 9 y u L w / L P a P d 3 r z 6 h d l i d f h F + u r 0 5 P i r p + n T 0 / S L l 2 d f 3 h x r 7 9 1 u o c X 1 Z P W o e f O 9 O h j W o 6 a D e 3 s P y Y 4 c 3 B s / O L i d H n 2 / F z 0 J M S 9 u m i d P K r T 5 M J d 7 E n F j W 0 8 g b m z r S c C N b X 2 N e H P j C C d t l P k I P 2 x s H 5 n e j e 0 j s 3 p b d X e r 9 v 3 Z v L W O u 5 m Y 7 z O l v l a 7 s b G v x m 5 u 3 J / T D Y 3 7 E 7 q h c X 8 2 N w z Q t b 1 n N M e X b V 0 1 6 d O 8 z q d z + i V L X + X T m 9 T H w 5 s 1 k 4 X v X r k l z G F l Z G D u P 9 x D t L o 7 3 r + l U 2 d f p J i F l k M O x p C Z w R c 9 / r U v f r q / c 0 D x z v 7 t l J J 5 b Y 8 c 7 4 2 L s R 4 r m 3 d I Y e 6 T 5 x k P / c 1 7 H l f 7 7 9 2 j L P p G f 8 J j 8 F v j 6 C s v f e l 2 y s s n 3 v 2 H 9 8 b 3 b h s M m x e 3 b / d m h E N u q 8 / e D 8 U I Y 9 x W s b 3 n k P p 8 c T s V d / t J j X D C 9 o 1 v + T r v N h T w 1 d 6 t U f P V 3 6 0 6 i c z / z U P x M N s 3 q u p U Q t 5 j i n j T s x e f p z 9 5 9 u p G r b V 7 S 0 / N d m I 8 N f v m e 3 U w r B x N B / u 7 9 / b 2 9 u 9 t V n G e C J j 3 N p H Y Y / z 3 6 s Y T A H 1 v m I 0 9 l r + x r c f x N 7 b 1 G P 3 G t r 6 q u 7 l x h I V u R R V f 1 Z k X t 2 / 3 Z m S + b 6 v q 3 g / F y I z f V t W 9 5 5 D e Z 9 5 9 V X d z 4 / e Z e V + z 3 d y 4 P / M b G v d n e 0 P j / g R v G K B r e 9 9 o l 5 N X p x R m v v k y / X 3 S 4 5 + k p B 3 C z R t V z G 2 j T d u L 1 W G 3 i z Y 7 H Q z r M N P B P u X 5 7 n 1 K W b u N V t J j b v v i + z p 4 5 s X 7 O w f 3 7 u 9 s d p 4 8 H t f X h u f G 4 + o b 2 3 p M f W N b j 6 d v b O t r s 5 s b R 7 j p N k T x l Z l 5 b / t W L 0 b m / b a 6 7 L 0 Q j M z 2 b V X Z + w 3 o f e b c 1 2 Q 3 N 3 6 f W f c 1 2 c 2 N + 7 O + o X F / q j c 0 7 k / v h g G 6 t p 8 6 T c Y a 7 P T 1 b R Y e R M P c u 1 m F W f C h C l M 1 c + s O h l W Y 6 W A T i 3 m c f J v m H g O b 5 j e 6 t x 4 T 3 / o d j 3 / N O + 8 b j P r v v U 8 w e m s c f Z 2 m L 9 1 O p 9 2 G 0 L 4 u u 1 X 7 9 5 x 3 X 4 X d q n 1 k 5 m + r u m 7 V v j / j t 9 N Y t 5 + u y B z f H J v 5 K u w 2 4 / C 1 2 K 1 R 8 7 X Z r T q J T P b N Q / E w e 2 B U T 5 h r K y Z F n T 6 5 Q f / c Q r N Z 8 P a N 2 0 E c V m U G 4 i 7 l L P b u k w n c G z + 4 Z V B p X 9 2 7 T 8 u v u w / u 7 Y / v b S K T x + j m 1 U 8 f P H x A r t y D B 7 c O M c 2 b + w / u k 8 I + 2 D s Y P 7 i l u r N 9 3 v v 0 w f 5 D + m A M x h 1 8 0 5 M E O 9 B P 6 b + H 9 z 7 d G e 9 v w t Y T h / f E 1 l d 8 + u r t F J / p Z 2 9 n / 9 O 9 e / f 2 y a m + f 0 s d a F 7 d v u 2 7 E e a 5 r T 5 8 X z Q j H H N b 1 f j e w + p z y u 3 U 5 P t O c Y Q 7 t m / 5 r q 8 y b 0 M P X 2 W + J 5 q + 4 r x V V x G u u O 2 w P C w P j H 4 7 X r b F t F h V p D 5 f 1 t V l + n u n x 7 O b l N 0 t g l s L 3 7 1 y S 5 j D G t T A 3 L 3 3 c O f g 4 c P 7 9 3 f H B 5 / e T o P a V 3 c P 7 j 2 8 f 0 D q d 7 y J R z 1 x M G 9 + u k f k J Z L v j u 9 v U m a e Y J g 3 9 / d 2 7 + 2 T + q W A Z 1 P 8 7 Y m F e f P + w d 7 D T x / c u 7 c z / n Q T t p 6 M 2 H G + t w J 9 T 2 x 9 B a q v 3 k 6 B m n 7 2 d j 5 9 u E / Z 2 N 3 x v U 1 z 6 C t Q 8 + r 2 b d + N 8 M 5 t F e j 7 o h n h m N s q 0 P c e V p 9 T b q d A 3 3 e K I 9 y x f c t 3 f Q V 6 G 3 r 4 C v Q 9 0 f Q V 6 K 2 6 i n D F b Y f l Y f n Q K l A s c 7 x K n 5 y d v q D o + v d J X 7 6 + U d X d d p X D 9 q H h t X v z v T o Y 1 q i m g 9 1 7 D w 7 2 9 x 4 g K X O w S d N 4 A m J e f X B v 9 1 P S j A 8 O x j u 3 1 K j m z U / 3 y T 3 c 3 3 + w N z 6 4 n U L V F 4 e Z 3 R O M G 9 t 6 c n F j W 0 8 Q b m z r K 8 a b G 0 c Y 6 n Z k 8 f W i e X P 7 l q 9 G G O C 2 a v E 9 k Y z M + m 2 1 4 v s O 6 n 3 m 3 i j F 2 z V + n 9 n 3 9 d 7 N j f u z v 6 F x f 8 I 3 N O 5 P 8 Y Y B m r Y P d 3 Z C p f b l T 5 6 e P v 3 y 1 a 2 S h q p 0 9 m 7 S a l 4 n o V Z T P + X W H Q x p N d f B 7 h 5 x z R 6 Z U 6 M x o 8 O 3 3 O 1 e 3 L + / t / f g / q f E c v u 3 0 m n u z e 3 d g / 3 7 5 F 3 u 3 n L t w + v z d h b I s r l 7 8 3 2 9 R I 9 A 7 + k l v j e 2 T h n a V 2 + j D D 1 6 7 t 9 7 e L B D X e 2 O 9 / d v p Q 4 9 H G / 5 a o R z b t 1 t h H k 2 K r g I y 9 y 2 q w j P b O y q z y m 3 U Y j v P 8 U R 7 r i t O + W 0 5 e 3 G 5 B T m e 6 P p 1 O c t u 4 p y x e 3 6 8 r D c t Q r V h d k n 1 b K t s 7 Z o b l J 4 + z f r U g v f v X J L m M P q 0 8 A k l U K q j N T K 7 Y J s 9 + K n n 3 5 6 / + G 9 B / c 2 5 3 I 9 U T A v 3 t + l H n c e U l h / c D v l a V 7 c 3 / / 0 / s F D S o v u P L y d 7 n y / F z 3 p M C 9 u 4 h 1 P I t 6 v H 1 9 d 6 p u 3 U 5 e O 8 g 8 / 3 b 3 / Y P x g Y y 8 R / t m + 3 Z s R L t m o g 6 L M c Z u O I s y x s a M I T 9 x y S H 2 m u J 2 a f M + Z j f D E 9 u 1 e 9 Z X k b W j h K 8 n 3 Q 9 L X k b f q K c I O t x y U h + O e V Z H k c 5 5 8 + e L N q + M 3 Z 6 / f H N 8 Y R i N V c o s w 2 u v B O J z 2 z f f q Y F h j m g 4 + P X h P j W l e 3 H 1 A H e 3 f O x g j I z H 4 o i c U 5 s X 3 1 p j 6 4 j C P e / J w Y 1 t P H G 5 s 6 w n A j W 1 9 P X h z 4 w g v 3 Y 4 s v i I 0 b 2 7 f 8 t X I 7 N 9 W E 7 4 n k p F Z v 6 0 q f N 9 B v c / c + 7 r w 5 s b v M / u + w r u 5 c X / 2 N z T u T / i G x v 0 p 3 j B A 1 / b e k D 6 7 T R A t K m f v Z p 1 m e w l 1 2 t 5 7 d j C s 0 0 w H 9 3 f 4 u Z 0 + M y / t P 7 y N E f A 4 2 7 y 4 q R + P s W 0 / t z I 2 H l u / 3 4 s e i 9 8 G Q Y / J 3 6 8 f X 9 / p m 7 f T d 6 a b 2 1 r d C A P d 8 s 0 I Z 9 y 2 0 w h / b F R g E b a 4 Z U 8 R D t n Y U 5 8 x b q f v 3 h O t C F / c k n a + K r z N i H x t + H 5 I + q r x V j 1 9 A E O 4 N / e N F v u y r a s m f Z r X 0 z l F y K / y a T E p b l J l D 2 / W k h a + e + W W M I c V o 4 F 5 S 5 V o m p O L f O 9 g d 2 d j E t v j f P P a L l n t 3 X u b M 3 s e 2 9 v e d v f 2 H u 7 t b 8 5 f e u z / X u 9 5 k n A b Y n j s / 1 7 d + F p R X 7 y d V j S 9 b N + G 5 r 5 O f J + 5 8 j X i + 3 U Y Y Y 7 b 6 s P 3 Q j D C F r f V h j e T O 8 I D t 5 v U C D d s 3 + p N X x f e Z j y + L n w v F H 1 V e K u O o p x w m 5 4 8 D O 8 b T Q W v 8 e n p y / T z 4 1 f H L 9 L X z 2 / 2 G R / e 1 m e 0 f R i f 0 b 7 5 X h 0 M q 0 b T w S 1 V o 2 l + G 2 7 2 h M C 8 9 p 6 q 0 f Z 2 m 5 n x Z O G 9 3 v P E 4 j b E 8 I T h v b r x V a O + e D v V a H q 5 n a a K 8 M 6 t 3 o u w x O 0 6 j D D H b V X j e y E Y Y Y v b q s a b y R 3 h g d t N a o Q b b q d H f N V 4 m / H 4 q v G 9 U P R V 4 6 0 6 i n L C b X r y M P z U q s Z y k U 3 z Z d 7 c o L D u 3 6 w K B a Z 1 D B W T m y E O 6 z 4 D 8 V N a L 9 r d 2 8 x / H p u / z 2 s e t 5 v X N h H f Y 3 J t P s y 0 H o P f 2 N b j 7 x v b e i x 9 Y 1 t f q d 3 c O M I g G 0 U 4 M v k b 2 0 e m d m P 7 y J z e V n X d q n 1 / N m + t s m 4 m 5 v t M q a + m b m z s a 6 a b G / f n d E P j / o R u a N y f z Q 0 D d G 0 f B K r n H / 2 r l + k s T 7 / I 2 r w u s j K / S W n s 3 q y H b A f u l V v C H N Z E B u Z t V I r H t e / z m s e 8 5 r V b a i J t P k x 9 j 2 9 v b O u x 7 Y 1 t P a 6 9 s a 2 v i W 5 u H O G X 2 2 q i W 7 W P T O 1 t N d G t 2 r / n Z P q a 6 F b t 3 2 d G f U 1 0 c + P 3 m V N f E 9 3 c u D + n G x r 3 J 3 R D 4 / 5 s b h i g a 3 t g F M U X b 5 6 / T o + f f v H l i / T 0 i 7 P 0 6 c m b L 1 / f q D Q Q w O 3 d Q h 3 Z X j R C d G + + V w f D u s l 0 c B s l 4 / H x + 7 z m s b N 5 7 Z a 6 S Z s P z 4 f H y T e 2 9 R j 5 x r Y e H 9 / Y 1 t d N N z e O c N B t d d O t 2 k e m 9 r a 6 6 V b t 3 3 M y f d 1 0 q / b v M 6 O + b r q 5 8 f v M q a + b b m 7 c n 9 M N j f s T u q F x f z Y 3 D N C 1 f W i 0 h m T x j 6 d t c U k / T 4 p 6 u i 5 v U B 0 P b 1 Z K F r x 9 4 3 Y Q h 7 W Q g b h 3 Q L E o J e 3 G e w o 0 O l K P Z 8 2 L l H f 6 9 G D n / s H 4 4 N P b a S L 7 I q W s 9 v Y e f D r + 9 M H t d J J 9 8 f 6 n D / b v 7 Y 7 3 9 j e 8 5 3 H z e 7 3 n M b Z 5 b 5 P U e K z 9 X t 3 4 q k t f v J 3 q s r 0 8 u L + / f 7 B / f 7 x / 7 5 Z K z L y 5 f c t X I 0 x y W 3 3 2 n k h G m O O 2 m u 1 9 B 9 V n i 9 s p u f e b 3 A h X b N / q T V / 7 3 Y Y U v g J 8 L x R 9 Z X i r j i L c c L s h O Q z B 8 6 K 9 n h R I X W G N s 7 j M Z q Q f T x e T m 1 T Z v R u 1 o 4 P v X r k l z E H 9 a G G + r 3 6 0 L 7 6 v f n Q v v q d + d C / e Z l q c I L z f e 0 4 m 7 H u 3 0 4 / v 1 4 2 n H 8 2 L t 9 K P r p f b 6 Y M I 9 9 x W l U S Y 5 J b 6 8 X 2 R j D D H L f X j e w + q z x a 3 0 o / v O b k R r r i d M v H 0 4 6 1 I 4 e n H 9 0 P R 0 4 + 3 6 y j C D b c b k o f h r t W P Z 6 c v a O X z 1 d l P U m D 7 J H 1 9 4 8 L n w 3 u 3 X P h 0 f W h Y 6 9 5 8 r w 6 G F a b p 4 L 0 V p n n x v R W m f f F 9 F a Z 9 8 T b z 5 E n G e 7 3 n C Y l 5 7 5 Y K 8 7 2 6 8 R W m v n g 7 h W l 7 u Z 2 C i L D S b X V L h E l u q z D f E 8 k I c 9 x W Y b 7 v o P p s c T u F + X 6 T G + G K 2 2 k X X 2 H e h h S + w n w v F H 2 F e a u O I t x w u y F 5 G O 4 Z Z S Z x d v r i S 4 2 0 s 2 V 7 w 5 L E L V S l h W 5 e u B W 8 Y c 1 o 4 O 3 v P j i 4 t 3 d w f + / + + N 7 B 7 X S j e f X e / o M H D / Z o W f / h e H c T W 3 o C Y F 6 l 7 h 7 s 3 P v 0 3 s P d g / H 9 T e 9 6 w m D f 3 T 3 4 9 O G D + / f v 3 9 s b 7 2 1 C 2 Z M G 8 + 7 D e w 8 f 3 t v Z 3 9 / d / 3 R s s q c 3 K U p L q b 3 d P a L U w a e 7 9 8 b G m 7 9 J a 7 4 3 z r 7 m 1 J d v p z l N T w 9 2 d j 7 d O b h 3 Q O P b u I w f Y a 3 t 2 7 4 b Y a P b 6 s 7 b o R l V n r f q K s I v t x 5 W n 1 9 u p z 3 f f 5 I j H L J 9 6 7 d 9 L X o b m v h a 9 L 1 R 9 T X p r T q L 8 M b t h + Z h e s / o u 7 P l Z V 4 3 R Y U Y / V m x z J b T 4 i Z t u n u z O r X g 7 R u 3 g z i s U A 3 E T d T x B O E 2 z T 3 m N 8 3 3 7 x / Q q s 7 e 3 v j e J l b 2 p O D 9 X v R E w L x I y z r 3 d 3 b u f 0 r 2 Y Z M n 6 8 m D e f P B / q c H 5 L b c G x u H / i Z t + X 6 4 + q p S 3 7 y d q r w N 6 X 3 9 e K v 2 7 8 k J v k 6 8 V f s I L 9 x W E d 6 q f X / m b 6 f 8 3 n P O I r O 9 f b t X f b V 3 m x H 5 a u / 9 k P R 1 3 q 1 6 i s z 9 L Q f l 4 b h v N N L L r G 6 L a b H K p q L 0 r t P j 1 U 3 q a f 9 m j W f h u 1 d u C X N Y 5 x m Y t 9 R 5 t 2 n u 8 b l p f j t S e g z / f i 9 6 n G 9 e f H + d Z 9 5 8 b 5 3 3 f r j 6 O k / f v J 3 O u w 3 p f Z 1 3 q / b v y Q l o 9 F 7 t I 7 x w W 5 1 3 q / b 9 m b + d z n v P O Y v M 9 i 3 V g 6 / z b j M i X + e 9 H 5 K + z r t V T 5 G 5 v + W g P B z v + z q P F V 1 F P 2 d 5 e p K t i h v 1 0 y 3 c P N u B 9 8 5 t o Q 6 r P Q P 1 l m r v N s 0 9 V j f N b 0 d N j + f f 7 0 W P + c 2 L 7 6 / 2 z J v v r f b e D 1 d f 7 e m b t 1 N 7 t y G 9 r / Z u 1 f 4 9 O c F X e 7 d q H + G F 2 6 q 9 W 7 X v z / z t 1 N 5 7 z l l k t m + p I X y 1 d 5 s R + W r v / Z D 0 1 d 6 t e o r M / S 0 H 5 e H 4 q d F K x y 9 P 0 p f H r 4 5 P X 7 9 B u v D 0 i 5 e v b t Z P O z s P b h P h 2 k 5 k b c V 7 8 7 0 6 G N a C p o N b a s H b N P c 4 3 z S / H X E 9 E X i / F z 1 Z M C + + v x Y 0 b 7 6 3 F n w / X H 0 t q G / e T g v e h v S + F r x V + / f k B F 8 L 3 q p 9 h B d u q w V v 1 b 4 / 8 7 f T g u 8 5 Z 5 H Z v q X C 8 L X g b U b k a 8 H 3 Q 9 L X g r f q K T L 3 t x y U h + M D o 6 C e 5 n U + n V d N m q W v 8 m k x K e r 0 9 A Y t t X e z / r P g 7 R u 3 g z i s 8 A z E W y q 8 2 z T 3 m N w 0 3 9 8 h F b w / v v f w d u r u f V 7 z W P 5 9 X v O Y / z Z j 8 j j + f X r x t Z u + d z v t d h u c f O 1 2 q / b v O e 2 + d r t V + 8 j E 3 1 a 7 3 a p 9 f 6 p v p 9 3 e a 8 Y i M 7 1 9 m x d 9 z X a b 0 f i a 7 X 0 Q 9 P X a r f q J z P q t B u T h d 2 D U z p d t T S p N d J t o t p u 1 2 s O b 1 Z q F 7 1 6 5 J c x h x W Z g 3 l K x 3 a a 5 x 9 + m + W 0 I 6 b H 5 + 7 z m c f v 7 v O b x / W 3 G 5 L H 7 + / T i K z Z 9 7 3 a K 7 T Y 4 + Y r t V u 3 f c 9 p 9 x X a r 9 p G J v 6 1 i u 1 X 7 / l T f T r G 9 1 4 x F Z v p W e s B X b L c Z j a / Y 3 g d B X 7 H d q p / I r N 9 q Q B 5 + D 4 3 i O X 7 x J n 1 6 + j L 9 n A L X F + n r 5 0 + / v F E F U U i 5 s 2 M 9 r G H l Z v o w M a t 7 8 7 0 6 G N Z 0 p o N N x P I 4 / j b N P Y Y 3 z W 9 D W Y / v 3 + c 1 j / 3 f 5 z V P E G 4 z J o / / 3 6 c X X 9 P p e 7 f T d L f B y d d 0 t 2 r / n t P u a 7 p b t Y 9 M / G 0 1 3 a 3 a 9 6 f 6 d p r u v W Y s M t O 3 U g y + p r v N a H x N 9 z 4 I + p r u V v 1 E Z v 1 W A 3 L 4 Y W i i 6 Z 4 U O R Z g z 5 a L d T 4 p 8 2 Z E v 9 6 g i u 7 d q O Q c e P v G 7 S A O a j U L 8 d 6 n B / d 2 H h 7 s 7 D 8 c f 7 p 7 K w 1 n X 9 0 7 o K T X w / t E q P H O p v j d M b 1 9 9 f 7 u w 0 9 3 9 w 4 o I f p g v K + j u U H l e e / u H N z b O 6 D 3 d 8 c H m 7 J t T h j s u w c P 7 + 3 v 7 + 1 + u v d g b / z p p o S b k w 1 H q Y O 9 T 3 c e 3 t v Z v b 8 z f r B p v E 4 + 3 h 9 n T x 2 a l 2 + l D t 0 I H x z s 7 N z b u X d / f P / T 2 2 l G + + r 2 b d + N s N E t t e R 7 o x n h n V s q z P c f V p 9 f b q U 8 v 8 Y k R z h k + 9 Z v e 2 r 0 V j T x 1 O j 7 o + r p 0 t t 1 F u G N 2 w / N w 3 T X a L w 3 e V 3 n y 6 q 5 S e X t 3 q x F L U z 3 y i 1 h D u t R A 3 O X k v i f 7 u / S j 9 s p U f M e p U D v f 3 p w s H N w O w V q X r t 3 f / f g 0 / v 3 D g 4 e j B 9 s 6 t G T B / P q 3 v 6 9 P e R d 9 3 c 3 v + q J g 0 X 2 4 N M H + w 8 / 3 d 9 5 M D Y 2 6 C b t 6 f W 6 T 8 v + h P R 4 f 5 N N 9 U T j f R H 2 d a e + e z v d a e d w 5 + B T W s e 6 t 3 9 b z W l e 3 L 7 d m x G 2 u a 3 e f D 8 U I w x z W 6 3 5 n k P q M 8 n t d O Z 7 z 2 2 E L 7 Z v + 7 K v M W 9 D D 1 9 j v i + i v s K 8 V V 8 R p r j 1 w D w 8 9 6 y + P H 3 1 6 v T F l 6 / T 1 8 c 3 h 9 n 3 S G E d U C B 8 s + 6 0 8 D X M d m + + V w f D i t R 0 s I l Y n k D c p r k n B q b 5 9 t 4 9 e v b u b f b g P H l 4 v x c 9 c T A v 3 n Y u P e H w X n 1 f n f l + 6 P o a U 9 + 8 n c a 8 D f V 9 R X m r 9 u / J D L 5 6 v F X 7 C D v c V i v e q n 1 / 8 m + n C 9 9 z z i K z f a s X f S 3 4 f l 3 6 + v A 2 l P B 1 4 P u h + L 4 s 4 J r f 6 + q / 2 y m m 3 Z s 1 n 4 U c a r 7 d 9 + x g W P O Z D t 7 X h T T v v a c L a V 6 7 d 3 + P A v 8 H e 7 u 7 m 7 W L J w b m 1 d s q J k 8 i 3 v d V T z 7 M q 5 s 4 w R O K 9 + 3 J V 4 L 6 7 u 2 U o J 2 3 W 3 l K E Y 6 6 p Y 8 V Y Z X b 6 s X 3 Q z H C J L d V k O 8 5 p D 5 j 3 E 5 V v v f c R v h i + 7 Y v + w r z N v T w 1 e T 7 I u q r z F v 1 F W G K W w / M w 3 P f K L e f L C 4 p c z n L m p v U 2 t 7 N G t M C d a / c E u a w k j Q w b + k e m u a k 4 u 4 d 7 D 7 c O V A c b l K O 5 r 1 7 D z 9 9 u E t r R J 9 + O t 7 b p F c 9 E T C v f r r z 6 d 7 D / Y O 9 / Y P N r 3 o y Y F 6 l Z S m y k f s 7 + w c H m 3 N V n k j Y b n c / f X i P z O b + z u Z u P Y l 4 X 4 x 9 T a n v 3 k 5 T m o 6 2 b z U d v q p 8 r 3 n 0 N e V 7 d h l h n d v 6 k u + H Y o R h b u t U 3 k z y G F v c d m 4 j f L F 9 2 5 d 9 T X m b U f m a 8 n 0 R 9 T X l r f q K M c V t O / P w v G 8 1 5 d l P n p 2 + e H p 8 y w h 7 j 9 z A v d t E 2 L Y D 4 2 f a N 9 + r g 2 E V a j q 4 p Q q 9 T X N P D E x z 8 g A + 3 d + / 9 / D h J j H w p O C 9 3 v O k w b x n p v K m q f R k w 7 7 6 / i r z v b D 1 9 a W + e D t 9 e R v S + 1 r y V u 3 f k x N 8 l X i r 9 h F e 2 N g + w g O 3 1 Y Q 3 E z M y 2 7 e b s s h c 3 + Y 9 X w O + V 4 e + K r w N G X z 1 9 1 4 I v u / 0 u + a f 9 j T f 7 V T S L W J r C z r U e T f G 1 p 0 O h n W e 6 e C W O s 8 0 v 5 U t 9 x j e v E c r I / f v P 7 h H 2 N 3 a b T S v 3 l Y Z e W L w v q 9 6 Q n E b u n i i 8 L 4 9 + Z p P 3 7 2 d 5 j M d 3 d J t i 7 D S 7 V 6 M s M g t u 4 x w y 2 3 V 4 v u h G O G R 2 + r H m 0 k e Y Y V b z 2 2 E L 7 Z v + 7 K v J 2 8 z K l 8 9 v i + i v q q 8 V V 8 x p r h t Z x 6 e D 4 x S O 5 0 V 5 8 W 0 q J p 0 W a X f z i Z F m 0 1 v 0 m z 3 b l a a F r 5 7 5 Z Y w h / W k g U n p m 4 P 7 9 3 d J h 9 1 O Y Z r 3 H t x / u L P 3 Y H 8 T e T 1 B M G / R A j Z J w o O d g 3 v j W 2 Y g z Z v 7 9 x 5 8 + u D e w d 7 9 n Y 1 v e j J h R 7 i 3 d / / T 3 Q c U Y u + M D 2 6 p L e 0 o D x 4 8 3 L / 3 K c U O 4 4 e b X v U k 5 D 0 R 9 h W n v n o 7 x e k m c H f v U x q c 4 Y o b 9 a Z 5 c f t 2 b 0 Z 4 5 r Z e 5 P u h G G G X 2 7 q T 7 z m k P p P c T n G + 7 9 R G u G L 7 l u / 6 a v M 2 1 P D V 5 n u i 6 W v N W 3 U V 4 Y j b D s v D 8 s A q z a d n z 9 I X X 6 b f P n 5 y 9 u b 4 J H 1 9 i x g b D t e 9 2 8 T Y t h f j b 9 o 3 3 6 u D Y T 1 q O t h E M U 8 k b t P c E w T T f P v e v f u 7 D w / 2 d h + M 4 c w P v u r J x P u + 6 g m F e f U B r U / t 3 T v Y 3 9 0 b b z Q P n o j Y V 9 9 f c b 4 v w r 7 m 1 H d v p z l v M w e + w r x V + / d k C V 9 N 3 q p 9 h C l u q x 1 v 1 b 4 / / b f T i e 8 9 a 5 E Z v + W r v k 5 8 3 2 5 9 / X g b e v h K 8 X 3 R f F 9 W c M 0 f + j r x 7 M T T i m d f v r i d y r p F D G 5 7 C X X i j T F 4 p 4 N h n W g 6 e F / f 0 r z 3 f r 6 l e e v + g z 0 s j B O G 4 9 1 N 8 + N J h n l 1 / 8 H u 7 s N 7 n + 5 / e r D 5 V U 9 I 3 v d V T 2 T M q 5 v G 5 0 n J + / b k 6 0 V 9 9 3 Z 6 0 U 3 b b Z y o C E P d 0 v 2 K c M p t V e X 7 o R h h k t v q z P c c U p 8 x b q c 9 3 3 t u I 3 y x f d u X f f 1 5 G 3 r 4 O v N 9 E f X 1 5 6 3 6 i j D F r Q f m 8 L y 3 Y 3 T b 2 f K 8 z v K m r d f T d V t n N + m 2 / R v V p g P t X r k l z E F N a W F u I o 1 j / 1 s 1 d 0 x v m 5 P J e r B 7 f 2 f n 3 s 7 e e O f g V q r x / d 9 1 I h C 8 + + D h p w d 7 D y n y v p 0 D a d + l W X / w k F b F H 2 y a e C c N 7 4 + v p y b N y 7 d S k 7 e a B E 8 7 3 q 7 9 e / K E p x N v 1 z 7 C F b d U h b d r 3 5 / 9 W y n A r z F t k T n f v v X b n g q 8 1 b g 8 F f j + q H o 6 8 H a d R Z j g 9 k P z M N 2 1 S v D F s 1 f H 6 c n x q 1 e n b 0 7 p t 9 u E 1 v u 7 O 3 h u 1 o e 2 F + N G 2 j f f q 4 N h 5 W g 6 2 E Q z T w 5 u 0 9 w T A 9 O c C P z p / Z 1 7 e / d 2 7 4 0 3 G n l P J N 7 7 X U 8 8 v H d v N 7 G e t J h 3 3 1 c 5 v j e + v n L U l 2 + n H G 8 z C b 5 y v F X 7 O E 8 M t 3 9 P p v C V 4 6 3 a R z j h t s r x Z m J G p v v 2 0 x a Z 8 + 1 b v + 0 r x 9 u M y 1 e O 7 4 2 q r x x v 1 V m E C W 4 / N A / T v V A 5 n j 4 / P X n z 6 u z k + E a 1 9 Q B a a / d m v W g 7 s H r R v P l e H Q z r R d P B L f X i b Z p 7 E m C a 3 0 r H e J L w X u 9 5 E v F e 7 3 n C c Z t h e e L w X t 3 4 6 k 9 f v J 3 6 u w 1 S v v q 7 V f v 3 n H p f / d 2 q f W T y b 6 v + b t W + P 9 m 3 U 3 / v N 2 W R u d 6 + 1 Z u + 2 r v N e H y 1 9 1 4 o + i r v V h 1 F J v 5 2 Q / I w v G e 0 0 U m 1 5 G i Y l q e X e Z P m y / R l f Z N K u n + z t r P w 3 S u 3 h D m s 4 A z M B 5 8 e P N z Z v 0 9 r S p j d w d F 6 / G 7 e 3 N 1 7 s P f g I W U R x 6 p 2 b 9 J 6 5 s X 9 n b 3 d T / f 3 P t 1 5 e G v F Z 1 6 9 d + + A 1 D f F u 7 v j T z + 9 n e 4 z r + 5 R 0 v L e w 3 s P 9 j 7 d G 2 O q B 9 / 1 p M M O 9 e G n 9 + 4 9 p A 9 2 d j b 3 6 w n I + 6 L s 6 0 N 9 9 3 b 6 0 H T 0 6 f 7 u p 3 v 7 l E c b 7 2 y a S V 8 1 m l e 3 b / t u h I F u q y b f F 8 0 I 4 9 x W Y 7 7 3 s P r s c j v t + d 5 z H O G P 7 d u + 7 O v Q 2 1 D E 1 6 H v i 6 i v R m / V V 4 Q x b j 0 w D 8 9 9 o + l 4 w Z r X Z d K X r 7 6 k B e u b g + r 7 u 5 / u 7 t 4 m q L a d G O f R v v l e H Q z r V t P B L Z 3 H 2 z T 3 p M E 0 p 9 W b h / s P H + y O H 9 x O h 7 7 X e 5 5 E m P f u P 6 C l J n K h x 5 9 u k i V P O m y H D + + T c S W 1 + 3 D T i 5 5 o v B e m v t 7 U F 2 + n N 2 9 D d l 9 Z 3 q r 9 e 3 K B r y B v 1 T 7 C B 7 f V i r d q 3 5 / 3 2 2 n C 9 5 u y y F x v 3 + p N X w f e Z j y + D n w v F H 0 F e K u O I h N / u y F 5 G N 6 3 2 u / b L 9 N X p 1 9 8 + T T 9 f d I v T r / z 5 a v j L 2 6 n n G 4 R O t t O Q u 1 3 Y + j c 6 W B Y + 5 k O b q n 9 b t P c 4 3 r T f J + 8 u f 0 H D 8 f 3 b q n 9 3 u s 9 T w r e 6 z 1 P I G 4 z L E 8 M 3 q s b X + X p i 7 d T e b d B y l d 5 t 2 r / n l P v q 7 x b t Y 9 M / m 1 V 3 q 3 a 9 y f 7 d i r v / a Y s M t f b t 3 r T V 3 m 3 G Y + v 8 t 4 L R V / l 3 a q j y M T f b k g e h p / 6 K u / k y x e v 3 5 D K O / 7 i 5 f O z 4 5 P b a a S 9 m 1 W e 7 S R U e R o E 3 r q D Y Z V n O n i w v 7 9 3 7 9 7 + z n j n 0 9 s p P / M i o s t P 7 9 E K 7 q b 3 P E G w H e 4 9 g I 3 5 d L y r g 7 l J D Z o X d x / s U 0 r 3 0 / H D T e 9 5 k v F e 7 3 l C Y t 6 7 p R p 8 r 2 5 8 N a g v 3 k 4 N W u r t 7 t z b f U B p i I 2 9 R B h p + 3 Z v R j j k t p r x / V C M c M Z t V e R 7 D q n P E r d T l u 8 3 s R G O 2 L 7 V m 7 6 y v A 0 l f G X 5 X i j 6 y v J W H U V 4 4 X Z D 8 j B 8 Y J U l o u M X X y J A v n 1 4 v P f p 7 t 5 t w m P b i 9 W W 5 s 3 3 6 m B Y W 5 o O b u k g 3 q a 5 J w C m O W n U v Y M H O 7 t j c P v g i 5 4 k v N + L n i C Y F x / u f H r v Y P / e 7 s 5 4 / / 7 t t K N 5 8 + D T B 3 v 3 7 y M h u n f L E P n 9 k P U 1 p b 5 5 O 0 1 5 G 9 r 7 C v J W 7 d + T F X y 1 e K v 2 E W a 4 r T a 8 V f v + 1 N 9 O B 7 7 n n E V m e / t 2 r / p a 8 D Y j 8 r V g i O S N P b 3 n 3 P t q 8 D 0 H 5 e F 4 Y P X g C + M 1 v v r q 5 O T s y x e 3 0 1 G 3 i J J t F 6 E S v D l K D j s Y V o K m A 1 q W e P h g 5 w G t S S j s m 9 S h e X G f e o O u 2 Z j Z 9 k T B d k j r N p 8 e 7 B 1 s t P O e S H i I 3 t v 5 9 P 7 4 4 c H t t O J 7 v e d J i X l v E x t 5 o v F e 3 f h 6 U F + 8 n R 4 0 v e w e P H x w 7 w G l M v c 2 m u w I I 2 3 f 8 t U I i 9 x W O b 4 n k h H e u K 2 a f N 9 B 9 d n i d h r z / S Y 3 w h X b t 3 r T 1 5 e 3 I Y W v L 9 8 L R V 9 d 3 q q j C D f c b k g e h g 8 D b a m x 9 a 1 1 5 S 3 C a 9 t B q C t v D q / D D o Z 1 p e l g E 6 k 8 O b h N c 4 / 5 T f N 7 9 w / 2 P n 1 4 / 9 P x z r 3 b a c b 3 e 9 G T g f d 7 0 Z O H 2 4 z M k 4 L 3 6 8 d X j v r m 7 Z T j b b D y V e K t 2 r / n 9 P t 6 8 F b t I w x w W + 1 3 q / b 9 6 b 6 d y n v P O Y v M 9 v b t X v W V 3 m 1 G 5 C u 9 9 0 P S 1 3 q 3 6 i k y 9 7 c c l M N x f y d Q e + + 7 m s K q 6 d 6 N u s / 1 E u o + x f H W H Q z q P t v B g 0 / v 7 + 7 e P x g f b A o t n R D Y 9 3 Y f P v j 0 U z L Q + 5 v I 5 o T B v n f / w S 6 t 2 x 6 M 9 2 + l C + 1 r F A D T c v 8 t f c T 3 e c u J i H 3 r d l r w f T r x V K B 5 7 V Y q 0 F H t U 0 o B P / x 0 v H 9 L 9 9 C + u H 2 7 N y O M c U u t + J 4 o R j j i l u r x f Y f U Z 4 d b K c r 3 m t Y I N 2 z f 4 j 1 P R d 6 K C p 6 K f B / 0 P P 1 4 u 2 4 i X H C b 4 X j Y 7 Q b K 8 Z R X X S i R + P u c n r z 5 8 v X t d N e D m 5 W j 7 S V U j g / e s 4 N h 5 W g 6 + P T e / q d 7 9 8 Y P P 7 2 d b j S v U b 7 7 3 s a F E 0 8 K z D v 3 H 5 J m 3 N 3 c l S c M 5 r W 9 B w f 7 J o V 6 k 1 a 8 9 T u e N J h 3 b q k T b 9 2 F r x H 1 p d t p x I D G N 9 D L V 4 j m v e 1 b v R j h h d v q w / d C M M I I t 1 W H 7 z e g P h v c T h v e f k I j X L B 9 4 1 u + J r w N A X x N e G v U f D 1 4 q 0 4 i s 3 / z U D z M 9 g I t e P L l F 6 Q F 3 3 z 1 6 u z 1 m 7 O T 4 9 s p q Y c 3 a 0 H b S 6 g F H 7 5 n B 8 N a 0 H R A s T T / b / z w l j 6 i e f H e v Q P K Q O 5 t X r X 2 R M C + t 3 u f c h E H 9 8 b 7 t 9 S G 5 s X d / U 8 f 7 h w c 7 I / v q y 2 4 S S W + 3 4 u e X J g X b 6 k X 3 6 8 f X z n q m 7 d T j r a b T w / u P d x / S F 6 9 c s O N 6 t G 8 u X 3 L V y N s c l s F + Z 5 I R v j j t i r y f Q f V Z 4 z b K c n 3 n N 0 I X 2 z f 7 l V f X d 6 G G L 6 6 f D 8 k f Z 1 5 q 5 4 i D H H L Q X k 4 3 g s V 5 1 f P S W s e p 0 9 P X 3 7 5 6 s 3 p r f Q a p O E m x W l 7 C R Q n 3 n y v D o Y V p + l g j 7 j u 4 d 4 + L Y k o 7 J s U p 3 l x d + f h / X v 7 t H a z i W 6 e Y J j 3 H u w / 2 H 3 4 8 N O d 8 e 4 m T e 1 J i H l x / 8 H + 7 q c 7 9 / c 3 r x Z 5 8 v F + L 3 q y Y l 6 8 p e J 8 v 3 5 8 x a l v 3 k 5 x 2 h l 7 Q I b n 4 c 7 9 8 c H + L R W n e X P 7 l q 9 G 2 O S 2 i v M 9 k Y z w x 2 0 V 5 / s O q s 8 Y t 1 O c 7 z m 7 E b 7 Y v t 2 r v u K 8 D T F 8 x f l + S P q K 8 1 Y 9 R R j i l o P y c N w P F O f p 0 6 9 O 0 t d f v T x 9 d f b l q 9 t p t V t E 3 b a P U G 3 e L u p 2 H b D a j K p N 0 8 H + / d 0 9 W o U e P z i 4 n d Y 0 7 + 0 9 2 L 2 / u / / w 1 i l J 8 9 7 u g 4 c P 9 j 6 9 N 7 5 3 S 6 W p 7 w 2 z u C c O N 7 b 1 p O H G t h 7 / 3 9 j W V 4 U 3 N 4 6 w 0 q 2 o 4 m t C 8 + L 2 7 d 6 M T P x t F e H 7 o R i Z 8 d v q w f c c 0 v v M u 6 8 G b 2 7 8 P j P v 6 7 q b G / d n f k P j / m x v a N y f 4 A 0 D d G 3 v 9 1 U Z Z R A / p 2 T i y 9 t p m o O b V Z n t I 1 R l q m 9 u 3 c G w K j M d 3 N v d u f / w 4 X j v l o G z e W 1 n v L N J 8 X s c 3 e 1 o / 3 Y q T F 8 b n h C P l W 9 s 6 3 H y j W 0 9 R r 6 x r a / C b m 4 c Y a H b E M X X Y O a 9 7 V u 9 G J n u 2 y q w 9 0 I w M t u 3 1 V / v N 6 D 3 m X N f f d 3 c + H 1 m 3 V d f N z f u z / q G x v 2 p 3 t C 4 P 7 0 b B u j a f h q o r 7 M X T 8 9 e 8 e J H + u W T V 8 e 3 0 i 9 A 8 y Y F Z n s J F B j e f K 8 O h h W Y 6 Y C W h n f 2 P h 0 / 2 O R S e Y x t X t v E o B 4 / 2 1 5 2 P t 1 / u P 9 g 8 z K T x 9 f m v Y c 7 n z 7 c 2 9 2 s X j 2 u f p / X P P 6 + z a A 8 D n + f X n w V p + / d T s W 9 z / z 4 K s 6 8 t 3 2 r F y M M c V s V 9 1 4 I R l j i t i r u / Q b U Z 4 b b q b j 3 m t M I L 2 z f 5 k V f 8 9 2 G D L 7 y e x 8 E f T 1 4 q 3 4 i b H C r A X n 4 P T A K 6 / j J M a 0 K H 3 / + 1 X H 6 8 v T N q y / T 1 0 + / v F F r 3 f t 0 9 x 4 W X 2 5 S i 7 Y X q x b N m + / V w b B a N B 1 s I p c n B L d p 7 v G + a b 5 7 f 5 8 w u j + + 9 + n t 1 O F 7 v e e J g H l v j 1 I N 9 y h P S Q n H T Q r Y k w f 3 5 r 2 D A 1 q 3 f j D e U d t z k 3 Z 8 L 1 x 9 9 a g v 3 k 4 9 3 o b w v l q 8 V f v 3 5 A N f G 9 6 q f Y Q T b q s F b 9 W + P / O 3 U 3 7 v N 2 W R u d 6 + 1 Z u + + r v N e H z 1 9 1 4 o + v r v V h 1 F J v 5 2 Q / I w P D C q 6 f V x e v z F y + d n x y d n X 7 6 4 n W K 6 h U N o w Y e a 7 2 a H M O x g W P O Z D m 6 p + W 7 T 3 O N 3 0 / z e / s P 7 e z s 7 m / O e H t + / 1 3 s e / 7 / X e 5 4 o 3 G Z Y n g C 8 V z e + s t M X b 6 f s b o O U r + x u 1 f 4 9 p 9 5 X d r d q H 5 n 8 2 y q 7 W 7 X v T / b t l N 3 7 T V l k r r d v 9 a a v 7 G 4 z H l / Z v R e K v r K 7 V U e R i b / d k D w M H x p t 9 P T s J 8 9 e k 5 5 L 3 5 y + e n X 6 g s L g 1 8 9 v V E n 7 n + 7 u 3 8 b b s 7 1 Y n W f e f K 8 O h n W e 6 W A T v T y + v 0 1 z j + 1 N 8 / v 3 H 3 z 6 6 c 7 O p 7 t j s w R 9 k 9 Z 7 z z c 9 U T B v 7 n 7 6 4 O D h w 3 v 3 D w 7 G B w 9 u p / r s q 5 Q B v X e P M g k P x g 8 + v Z 0 a f E 9 8 f U W o r 9 5 O E d 5 m A n x F e K v 2 7 8 k P v i K 8 V f s I R 9 x W E d 6 q f X / 2 b 6 c I 3 3 f S I v O 9 f c t 3 f W V 4 m z H 5 y v A 9 0 f T V 4 a 2 6 i k z / b Y f l s L y / Y 1 T V 6 e s 3 X z 0 9 I z 3 4 + 2 B V 4 / f h 1 O D t 9 N W n N y p E 1 0 u o E F V K b 9 3 B o E K 0 H e w / e H h / 9 / 6 D 8 f 2 H t 9 K M 9 r 2 9 / X u 7 B / f H m 0 J F J w 7 2 r Q f 7 e / s P d 4 j Y m 3 I N T i x c b w c P 9 h 7 u H W x W U 0 4 8 3 u 8 9 J y n 2 v U 1 8 5 K T j / b r x d K F 5 8 V a 6 0 E 3 V / f u 7 t H Y 5 v r d p q j y l a F / c v t 2 b E e 6 4 h X r 8 G i h G G O O W e v J 9 h 9 R n i V t p z P e c 2 A h H b N / q T U 9 b 3 o o S n r Z 8 P x Q 9 X X m 7 j i K 8 c L s h e R j u G h 2 G 9 Z L X 6 d P T 9 O T 4 y e l P H d 9 O h z 2 4 W U n a D k I l q V 7 Q r T s Y V p K m g 3 t 7 u w / u 7 9 0 f 3 9 + k t j w l a d 7 7 d H / v 4 P 7 B G O Z m 8 D V P G M x r e / c f 7 H / 6 K S X i N h H a E w p 9 b 5 i 1 P T G 4 s a 0 n B T e 2 9 R j / x r a + + r u 5 c Y S N b k U V X / 2 Z F 7 d v 9 2 Z k 3 m + r / t 4 P x c i M 3 1 b 9 v e e Q 3 m f e f f V 3 c + P 3 m X l f y 9 3 c u D / z G x r 3 Z 3 t D 4 / 4 E b x i g a 7 t n t M z Z i 2 e v j s n b O / 0 J X f T 4 8 s 3 t N M 3 B z a r M d h K q s o P 3 7 G B Y l Z k O 9 s n Z e 7 A H L b 5 J K X m 8 b V 5 8 c L C 7 t 7 8 3 3 t m 0 K O d x t u 3 v 3 r 0 H O 3 s P S X f u 3 k 6 Z m R f B 4 f d 2 C M / b r Q i / 3 3 s e r 5 v 3 N o m g x + 3 v 1 Y 2 v 8 / T F 2 + k 8 S 7 0 d c s 8 f H n x 6 g 8 2 N M N L 2 L V + N s M h t t d 5 7 I h l h j t u q v f c d V J 8 t b q f 3 3 m 9 y I 1 y x f a s 3 f Y V 4 G 1 L 4 O v G 9 U P T 1 4 6 0 6 i n D D 7 Y b k Y X g v p i + f n x y / e H P 8 6 n b q 7 O H N + t J 2 E u p L 1 W m 3 7 m B Y X 5 o O 9 v c + v X 9 / / + G n 4 / 3 9 2 + l L 8 + L u z v 2 9 g 4 f 7 4 z 3 V 4 T c p T P P e / U / 3 9 w 9 2 9 j 8 d f 7 o p m + c J h + 1 w / 2 D / / v 7 + / m Z N 6 4 n G + 7 3 o i Y l 5 8 Z Y q 8 / 3 6 8 X W m v n k 7 n W l n b P f T n T 3 6 3 x g a Z L i b C D N t 3 / L V C J v c V m e + J 5 I R / r i t z n z f Q f U Z 4 3 Y 6 8 z 1 n N 8 I X 2 7 d 7 1 d e a t y G G r z X f D 0 l f b d 6 q p w h D 3 H J Q H o 7 7 R q W d P q d c 4 q u z Z + l X r 5 4 c v z i + l U q D 1 N y k M 2 0 H g c 7 c 1 Z H d u o N h n W k 6 2 N u l P 3 b H D z Z p P k 8 m z G u b S O w J w v v 0 4 s m D v j b M 1 J 4 A 3 N j W 4 / 8 b 2 3 o c f 2 N b X / n d 3 D j C P L c h i q / 6 z H v b t 3 o x M t e 3 V X z v h W B k t m + r 9 t 5 v Q O 8 z 5 7 7 S u 7 n x + 8 y 6 r 9 l u b t y f 9 Q 2 N + 1 O 9 o X F / e j c M 0 L W 9 3 1 N c r 7 5 6 d f z 8 d m p l 9 2 a 9 Z e G H e k v V 6 q 0 7 G N Z b p g N S 2 Q d 7 e / c f j u / d T n G Z 9 w 4 O H j 6 g X M y 9 T a 9 5 L O 2 6 2 + H l k P G 9 / d u p M P P i / s O H D w / G 9 z b 5 h x 5 j v 8 d b H o e b t 2 7 p 4 7 1 H J 7 6 O 0 9 d u p + M s 3 e 4 9 f E h 0 2 x 0 / 3 N h N h I O 2 b / l q h D d u q + f e E 8 k I W 9 x W 0 7 3 v o P o s c T t d 9 z 5 T G + G I 7 V u 8 5 y v A 2 5 D B 1 4 H v g Z 6 v D W / V T Y Q P b j M c D 7 t P e 7 r x x Z f p y Z c v f v L 0 x c n t 9 N f e z Q r S d h I q y L 3 3 7 G B Y Q Z o O N h H L k 4 H b N P c Y 3 z Q n 9 X t / 9 8 E t o 9 7 b v + T x / e 1 f 8 v j / N q P x + P 7 2 f f i K U N + 6 n S K 8 D U a + + r t V + / e c b l / n 3 a p 9 Z M J v q + l u 1 b 4 / z b d T b + 8 x X 5 F Z 3 r 7 5 N V + 5 3 W Y k v n K 7 P X K + b r t V L 5 H 5 v s V g P N w e y F t H H 3 9 x + p 0 v X x 1 / k Z 5 9 c f z 5 e 8 W s + z e r N t t J q N r 2 3 7 O D Y d V m O t j / 9 N 7 9 3 R u S n B 7 L m 9 d u q e L e p x e P 8 f W 1 Y U b 2 m P 7 G t h 7 P 3 9 j W 4 / Q b 2 / p q 7 O b G E Q a 6 D V F 8 d W b e 2 7 7 V i 5 G 5 v q 1 e e y 8 E I 7 N 9 W / 3 2 f g N 6 n z n 3 F d 3 N j d 9 n 1 n 2 t d n P j / q x v a N y f 6 g 2 N + 9 O 7 Y Y C u 7 Y H R K + S L v X 5 D i x S v T r 9 9 / C Q 9 O X 7 + / P T 1 7 Z T L w c 3 a y / Y S a q + D 9 + x g W H u Z D k h t 0 x t 7 D 8 b 3 b 6 m / z I u 7 O / f u 3 3 t A W c q D W w a v 5 s U H t E j x 4 N O D v f E D d T O j L 3 p M r i 8 O z 4 7 H 1 z e 2 9 d j 6 x r Y e V 9 / Y 1 t d l N z e O 8 N P t y O J r M / P m 9 i 1 f j c z + b f X Z e y I Z m f X b a r T 3 H d T 7 z L 2 v 0 2 5 u / D 6 z 7 + u 0 m x v 3 Z 3 9 D 4 / 6 E b 2 j c n + I N A 3 R t H x p t 8 / L 5 8 U 8 d v 0 5 P z n 7 y 7 I R + / j 7 p d 2 6 5 8 g p q 3 a T T b C + h T n v 4 n h 0 M 6 z T T w d 7 e 7 o N 7 O 5 / u j D 9 V f R k d v 8 f e 5 s X d n Z 1 7 u w + J 5 z b m Q z z u t i / u Y Z 3 j w Y P x A 8 0 t R l / 0 2 F x f H J 4 d j 6 9 v b O u x 9 Y 1 t P a 6 + s a 2 v 0 2 5 u H O G n 2 5 H F 1 2 n m z e 1 b v h q Z / d v q t P d E M j L r t 9 V p 7 z u o 9 5 l 7 X 6 f d 3 P h 9 Z t / X a T c 3 7 s / + h s b 9 C d / Q u D / F G w Z o 2 3 6 6 Y 7 T N T 5 4 d P z 9 7 e v z 0 9 L W G m L f z 0 j D 8 G z S a 6 y P Q a H v K F 7 f u Y F C j 2 Q 4 e k i E 8 e P B w f 7 y 3 f y u N Z l / c o 5 f 2 7 t 0 7 G O / f z k u z L + 7 e e 0 A d 7 h 7 s b H 7 T c b l 9 8 9 M D S i o / 2 N s f f 7 r J c D s e f 8 8 X H b / b F z f J o e P 4 9 + z H U 3 7 m z V s p P 6 + b g 4 N P 9 + / f H x / c U v n Z N 7 d v + W q E U W 6 p / N 4 X y Q i D 3 F L 5 v f e g + o x x K + X 3 v r M b 4 Y v t 2 7 3 q 6 c V b E c N T j e + J p K c n b 9 d T h C F u O S g P x 1 2 j 1 F 4 e / 6 S G t e Q I H t O 6 w + 3 U 2 s 3 L D q 6 L U G / e b t n B d T C s N 0 0 H e w c 7 B z s 7 F O G O 7 x 3 c T n G a N 2 l 9 9 f 7 9 B 7 s P x / c 3 c a s n F + b F + 5 / u P d y 7 t / 8 p B c a 3 y 9 X Z N + 9 R l w 8 e 7 u y R + 7 k J W U 9 A 3 v N N T 1 r M m 7 d U n e / Z k a 8 7 9 d X b 6 U 4 7 b / c O 7 u 3 T s z s + 2 O S J + 8 r T v L p 9 2 3 c j 7 H J b 7 f m + a E b Y 5 L b q 8 7 2 H 1 W e P 2 + n P 9 5 3 i C H d s 3 / J d X 4 P e h h 6 + B n 1 P N H 0 V e q u u I l x x 2 2 F 5 W O 4 Z B X f 2 4 u n Z K 1 q / / f J 1 + v T s J 1 + n b 0 5 f 3 S 6 g h q N 3 k x q 1 v Y R q d P 8 9 O x h W o 6 Y D s t v 7 D + + P H 2 7 y B D 3 x M K / t k u G h I P x 2 s b R 7 C 3 r 3 4 P b q 0 7 z 3 Y B c R w h h B w u B r n n C 8 z 2 u e m J j X b q k 4 3 6 c X X 2 v q e 7 f T m n a a 9 u / v 7 d 0 f 7 3 1 6 S 5 V p 3 t u + 1 Y s R v r i t v n w v B C M s c V t l + X 4 D 6 j P D 7 T T l e 8 1 p h B e 2 b / O i r y N v Q w Z f R 7 4 P g r 6 C v F U / E T a 4 1 Y A 8 / O 4 Z v f W T Z 0 g 2 f v n F V y 8 o 3 X i S v n 7 6 5 Y 2 q 6 / 6 n u / d 3 d m 7 W j b Y P q x v N m + / V w b B u N B 1 s I p Y n A r d p 7 n G + a U 4 r L O S 8 E z P f N r P 4 v m 9 6 Q u D e f E h / 7 F L S Q B 3 y m 3 S i e f H + p w 9 3 i H r j / U 1 8 4 A T i f V H 1 9 a O + e j v 9 e B v a + 3 r x V u 3 f k x V 8 d X i r 9 h F m u K 0 a v F X 7 / s T f T v u 9 7 6 R F 5 n v 7 l u / 6 O v A 2 Y / J 1 4 H u i 6 a v B W 3 U V m f 7 b D s v D c t 9 o K V 5 M f v X V y c n Z l y 9 u p 6 L u 3 a w D L f R Q B 6 o X d + s O h n W g 6 e C W O v A 2 z T 2 2 N 8 3 3 7 + / v 7 B j N f Z P 6 u / 1 L n g D c / i V P E G 4 z G o / 5 b 9 + H r + f 0 r d v p u d t g 5 O u 5 W 7 V / z + n 2 9 d y t 2 k c m / L Z 6 7 l b t + 9 N 8 O z 3 3 H v M V m e X t m 1 / z t d t t R u J r t 9 s j 5 y u 2 W / U S m e 9 b D M b D 7 b 7 R O q e v 3 3 z 1 9 O x L Z A 9 f v v r y 9 + E o + H a q 5 / 7 N u s 3 2 E u o 2 j R l v 3 c G w b j M d 3 F K 3 3 a a 5 x + q m + S 4 h c 6 P L 5 L H 8 e 7 3 n s f 5 7 v e d J w W 2 G 5 b H / e 3 X j 6 z l 9 8 X Z 6 7 j Z I + X r u V u 3 f c + p 9 P X e r 9 p H J v 6 2 e u 1 X 7 / m T f T s + 9 3 5 R F 5 n r 7 V m / 6 2 u 4 2 4 / G 1 3 X u h 6 C u 8 W 3 U U m f j b D c n D 8 F O j j U 6 O X 7 1 K j 5 + f f X H 6 4 s 3 x 0 y 9 f 3 W K x m R X S w 5 s 1 n u 0 j 1 H i K 4 a 0 7 G N Z 4 p o P d + w e f f v r g 0 4 d j y N z g 6 D 3 + f 7 8 X P U E w L 2 6 a H 0 8 O t P k w X 3 s y c G N b T w R u b O t x / Y 1 t f a 1 2 c + M I D 9 1 W q 9 2 q f W R 6 b 6 v V b t X + P S f T 1 2 q 3 a v 8 + M + p r t Z s b v 8 + c + s r r 5 s b 9 O d 3 Q u D + h G x r 3 Z 3 P D A F 3 b B 0 Z z f P n m F S f c E G u m r 5 8 / v V F 1 f P r p 7 q e 3 y b b Z H q x u M m + + V w f D u s l 0 c E t v 7 D b N P d Y 1 z W n Z 4 c H + z u 7 + w 4 P x g U b J 0 V c 9 L n 7 f V z 2 G t q 8 + 3 L t P l N j 5 9 N N P x w / 3 b + e X 2 X e p U 1 L v D 3 c / P d i s d T 1 2 f 1 + U f Y 2 m 7 9 5 O o 9 1 m F n y N d q v 2 7 8 k U v k a 7 V f s I W 9 x W o 9 2 q f Z 8 B b q f R 3 n v W I j O + f d u X f Y V 3 m 1 H 5 O u 9 9 E f V V 4 K 3 6 i n D A r Q f m 4 X l g d N Z J t W z a e j 2 d F t U y b 9 J 8 m b 6 s b 1 J c n 9 6 s E y 1 8 9 8 o t Y Q 6 r Q Q N z 7 2 C X 4 v E H D / b G + 5 t y 9 B 7 v m z d p H X d v f / 9 g d / x Q Q + W b d K N 5 c X f / w e 7 + / r 1 P P 7 0 / B l s O v u r J g 3 1 1 7 9 5 D m i t K j 9 5 6 L c K 8 e u / e A / I o P 6 U V m f G m a f X k x J J o 9 9 6 n t J C x u 3 d / 8 7 q U J y b v i 6 + v G P X d 2 y l G i + M 9 o u q n e w 9 3 x v s P b q k j z a v b t 3 0 3 w j 2 3 1 Z f v i 2 a E a 2 6 r O t 9 7 W H 1 e u Z 0 a f e 8 5 j v D H 9 m 1 f 9 t X o b S j i q 9 H 3 R d R X o 7 f q K 8 I Y t x 6 Y h + d D o + a e v E x P n 5 4 9 S 1 9 8 m X 7 7 + M n Z m 9 s 4 m J / u f b q 3 d x s H 0 / Z i H E z 7 5 n t 1 M K x Z T Q e b S O a J x m 2 a e + J g m p O J e n C P f L 3 9 8 c 4 m 7 v Y E 4 z 3 f 9 M T C v L m 3 d 3 B v 5 + E D e s Y H m 1 7 1 h M S 8 u n t w Q F p 0 n 1 T p + O B 2 K v Q 9 0 f U 1 q L 5 6 O w 1 6 G / r 7 a v N W 7 d + T H X x V e a v 2 E Y a 4 r X 6 8 V f v + 5 N 9 O J 7 7 v p E X m e / u W 7 / o a 8 T Z j 8 j X i e 6 L p K 8 R b d R W Z / t s O y 2 H 5 Y M f T h + + z q i u a a v d G V e g 6 C F W h q u t b d z C o C m 0 H D 3 f x x + 7 O + N N N Q 3 d C Y F + E 6 0 W B / b 3 x / i a f z U m D f f H g 3 v 2 D + / s P 7 o 8 f 3 E 4 7 2 h d 3 7 z 2 4 f 3 / n w c H 4 / u 1 i 7 / d 8 0 c m K f X E T J z n 5 e M 9 + P H V o 3 r y V O r T d f P q Q d P 2 9 h w / G e / u 3 U 4 z 2 z e 1 b v h r h k 1 v q y P d F M s I f t 9 S W 7 z 2 o P m P c S n G + 7 + x G + G L 7 d q 9 6 a v N W x P D U 5 n s i 6 W n N 2 / U U Y Y h b D s r D c d d T m s d f v H x + d n x 7 l b l 3 s 8 q 0 4 E O V q a H z r T s Y V p m m g / s P H u z u 7 e 6 P d 2 + p M c 1 7 u w 9 2 Q b D N 7 3 k C Y d 7 7 9 N O H 9 z 8 9 O N j s r H u C Y d 7 b + 5 T 8 f E o C 3 D I c f 7 / 3 P A E x 7 9 1 S W 7 5 X N 7 6 y 1 B d v p y x N L / s 7 9 + 8 / 2 G z W I z y 0 f Y v X I p x x W y X 5 H s h F + O G 2 C v J 9 B t N n g 9 s p x / e b z A g X b N / q T V 8 1 3 o Y M v m p 8 L x R 9 z X i r j i J c c L s h e R j u e Y r x 1 e k X X z 5 N f x / 6 i f j 6 + d m b 2 6 m v e z f r R 9 t L q B 9 V e d + 6 g 2 H 9 a D o g d / L h w T 6 t V T x 4 e D s F a V 7 c p W X s g 9 2 9 / f H B J s J 5 E m F e v H + w c / D g I Z m i 3 U 0 9 e q J h e 9 y n P N S 9 / f H e p g 4 9 2 X i v 9 z w x M e / d U k W + V z e + i t Q X b 6 c i L f U + / X R / 5 9 7 + v f H D g 1 u q S f P m 9 i 1 f j T D J b V X l e y I Z Y Y 7 b q s v 3 H V S f L W 6 n M t 9 v c i N c s X 2 r N 3 2 V e R t S + C r z v V D 0 V e a t O o p w w + 2 G 5 G F 4 z 1 O Z p 6 / f f P X 0 7 E t S m i 9 f f f n 7 n E I F A s R N G u 3 B z S r T 9 h K q T L W k t + 5 g W G W a D v b u H e z s f f p w v L d p v c a T C v P e J j p 7 o m C a 7 + 9 Q N 6 R f N y 4 L e S J h 3 t v 9 9 O H D h / c p Y r + d l n y f 1 z z B u M 2 g P H F 4 n 1 5 8 H a n v 3 U 5 H v t c E + S r S v L h 9 u z c j P H F b D f l + K E a 4 4 r Y K 8 j 2 H 1 G e I 2 + n H 9 5 r X C D 9 s 3 + Z F X z v e h g 6 + d n w f B H 3 l e K t + I o x w q w F 5 + O 1 7 u v H s x b N X x + n p T 6 Q n X z 1 / 8 9 W r 4 1 t p L g j A T a r R d h K o R r z 5 X h 0 M q 0 b T w R 6 t 7 x 4 c P B j f U j O a 1 2 6 p G d + n F 0 8 U 9 L V h h v a Y / 8 a 2 H u / f 2 N b j 9 x v b + k r v 5 s Y R B r o N U X y d Z 9 7 b v t W L k b m + r c p 7 L w Q j s 3 1 b j f d + A 3 q f O f c V 3 s 2 N 3 2 f W f c 1 2 c + P + r G 9 o 3 J / q D Y 3 7 0 7 t h g K 7 t f U 9 5 n T 7 9 6 o Q 0 2 N n J 2 f F z 8 v J e 3 k 6 3 7 N 2 s v G w n o f L a e 8 8 O h p W X 6 W A T o 3 n 8 f J v m H h u b 5 p / u 7 H x K n D n e / / R 2 W u u 9 3 v O 4 + b 3 e 8 x j 7 N s P y W P u 9 u v G V m 7 5 4 O + V 2 G 6 R 8 p X a r 9 u 8 5 9 b 4 u u 1 X 7 y O T f V o f d q n 1 / s m + n u t 5 v y i J z v X 2 r N 3 2 d d p v x + G r t v V D 0 V d y t O o p M / O 2 G 5 G H 4 a V f l v X x 1 e v r 6 5 M v n x 6 9 u p 5 D u 3 a z x b B + h x r v 3 n h 0 M a z z T Q Z d a f n O P 6 2 / T 3 G N 6 0 3 x 3 d 2 e X Y o 9 7 Y 1 B 7 8 E W P + 9 / v R U 8 M 3 u 9 F T y R u M z J P E N 6 v H 1 / r 6 Z u 3 0 3 q 3 w c r X e r d q / 5 7 T 7 2 u 9 W 7 W P M M B t t d 6 t 2 v e n + 3 Z a 7 z 3 n L D L b 2 7 d 7 1 d d 7 t x m R r / f e D 0 l f 8 d 2 q p 8 j c 3 3 J Q H o 4 P + p r v 7 I v j V 2 e 3 D F P 3 b 9 Z 7 t o d Q 7 + 2 / Z w f D e s 9 0 c E u 9 d 5 v m H t u b 5 v v 3 H 1 I E g v z o p h y A x / / v 9 6 I n C O / 3 o i c U t x m Z J w n v 1 4 + v 9 / T N 2 + m 9 2 2 D l 6 7 1 b t X / P 6 f f 1 3 q 3 a R x j g t n r v V u 3 7 0 3 0 7 v f e e c x a Z 7 e 3 b v e r r v d u M y N d 7 7 4 e k r / d u 1 V N k 7 m 8 5 K A / H g 6 7 e e 3 1 6 8 t W L p 7 f X f P d v 1 n y 2 j 1 D z q W a + d Q f D m s 9 0 c E v N d 5 v m H u O b 5 v f u 7 e 0 9 u L d 3 f 3 x P U 4 s 3 a b 7 3 e 9 E T h f d 7 0 R O L 2 4 z M k 4 X 3 6 8 f X f P r m 7 T T f b b D y N d + t 2 r / n 9 P u a 7 1 b t I w x w W 8 1 3 q / b 9 6 b 6 d 5 n v P O Y v M 9 v b t X v U 1 3 2 1 G 5 G u + 9 0 P S 1 3 y 3 6 i k y 9 7 c c l I f j w 5 7 m + + r l 6 a u z L 2 8 Z 6 T 6 4 W e / Z H k K 9 p 5 r 5 1 h 0 M 6 z 3 T w S Z i e X x / m + Y e 2 5 v m 9 x 4 8 3 N / f u 7 c 3 f n h w O 7 3 3 f i 9 6 g v B + L 3 p C c Z u R e Z L w f v 3 4 e k / f v J 3 e u w 1 W v t 6 7 V f v 3 n H 5 f 7 9 2 q f Y Q B b q v 3 b t W + P 9 2 3 0 3 v v O W e R 2 d 6 + 3 a u + 3 r v N i H y 9 9 3 5 I + n r v V j 1 F 5 v 6 W g 3 I 4 H u x 0 9 d 7 L V 1 9 + j j W N 0 5 P b + n w H N + o + 1 0 u o + x T H W 3 c w q P t s B 7 f T f b d q 7 l j f N t / d e / D g 4 c H e / s P x / Y e 3 U n 7 v + 6 Y T h / d 9 0 8 n G r Q b n B O J 9 O / L 0 n 3 n 1 V v r v V m h 5 + u 9 2 7 d + T B T z 9 d 7 v 2 E S b Y 2 D 4 y 9 R v b 9 y f 8 V v r v v S c t M t / b t 3 z X 0 4 C 3 G p O n A d 8 X T U 8 F 3 q 6 r y P T f d l g e l r u e D n x F e u / F m y 9 J F 5 4 9 S 1 9 + 9 e R 2 G u r h z S r Q d h K q Q E X x 1 h 0 M q 0 D T w Y N P P 3 3 w 6 f 2 9 B + M D X T a + S R m a F 3 f 3 d h 7 s 7 h L d P t X V l 5 v U o n n x 0 / 1 P d + 7 f e 3 A w N q O 5 S S v q i 8 O s 7 o n F j W 0 9 q b i x r S c G N 7 b 1 F d 3 N j S P s d D u y + C r P v L l 9 y 1 c j s 3 9 b 7 f e e S E Z m / b Z 6 8 H 0 H 9 T 5 z 7 6 v E m x u / z + z 7 W u / m x v 3 Z 3 9 C 4 P + E b G v e n e M M A X d s 9 T 6 W d v X h 6 R m r t z Z e v 0 9 M X 3 7 6 V v s H o b 1 J o t o t A o e 0 p W 9 y 6 g 2 G F Z j r Y v b + / v 3 t v v L 8 p h + l x t n l t E 3 9 6 7 P w + v X h c r a 8 N T 4 b H x j e 2 9 b j 4 x r Y e E 9 / Y 1 l d h N z e O s M 9 t i O I r M P P e 9 q 1 e j M z 1 b d X X e y E Y m e 2 d x 7 d T X u 8 3 o P e Z c 1 9 1 3 d z 4 f W b d V 1 0 3 N + 7 P + o b G / a n e 0 L g / v R s G 6 N r e 8 1 Q X J e H S k y 9 f v E l P j p + f P T 1 + e j v d s n u z 8 r K d h M p r 9 z 0 7 G F Z e p o O 9 n b 3 d n f H e p n V n j 6 3 N W 7 f U X a Y 5 L W / v 3 N / d 3 I v H 1 O a 1 g 5 2 D f R 3 x T S r s t q 9 4 T H 2 b s X h s f d s e f J 2 m 7 9 x O p 7 3 H j P g q z b y 2 f Z v 3 I g x w W 4 3 2 P u h F W O C 2 3 t h 7 D a f P A L f T Z 7 e e y 8 j 8 b 9 / 0 k q / e b j N 6 X 8 P d F j F f 0 d 2 q j 8 j E 3 z g Q D 6 9 9 T + e R v n v 9 5 l X 6 k 2 f H r 9 P X z 5 9 + e a N K u v / p 3 v 2 d W z h s t h O r 8 8 y b 7 9 X B s M 4 z H W y i l M f x t 2 n u c b p p f u / h g / 2 D / U 9 3 d 8 c P 7 9 1 O 3 7 3 n m x 7 X m z c / p b B l f + / B / Y P x g 7 3 b a T / z 5 t 7 + z r 3 7 B 7 v 7 n 4 6 R p B 1 8 0 x O E 9 8 T W 1 4 f 6 6 u 3 0 4 W 3 I 7 y v C W 7 V / T 2 7 w F e C t 2 k f 4 4 b a a 7 1 b t + 3 N / O 4 3 3 v p M W m e / t W 7 7 r 6 7 / b j M n X f + + J p q 8 G b 9 V V Z P p v O y w P y / u e N q T A l f X h V y c n Z / / o n / r i d r r q F g 6 g 7 S N U h j c 7 g G E H w 8 r Q d H B L Z X i b 5 h 7 z m + b 7 O z u k l z 4 d 7 2 9 S L p 4 Q v N d 7 n j C 8 1 3 u e X N x m W J 4 s v F c 3 v u b T F 2 + n + W 6 D l K / 5 b t X + P a f e 1 3 y 3 a h + Z / N t q v l u 1 7 0 / 2 7 T T f + 0 1 Z Z K 6 3 b / W m r / V u M x 5 f 6 7 0 X i r 7 O u 1 V H k Y m / 3 Z A 8 D D / 1 N N 4 X X z 5 N f 5 / 0 + I u X z 8 + O T 8 6 + v K X K 2 7 t Z 5 d l O Q p W n D s 2 t O x h W e a a D v Y N 7 n 5 L O J 5 d n k 8 L 3 B M C 8 + O n e A S W J x 6 D j 4 G u e H J j X d n f v f f r w 3 v 2 H e + P d T W 9 6 E m H e P L j / 8 P 7 + g / t 7 4 7 1 N e R 1 P N N 7 v R U 9 M z I u 3 V I T v 1 4 + v C f X N 2 2 l C O 2 M P H t w 7 O L j 3 c H x w c E u d a N 7 c v u W r E T a 5 r X p 8 T y Q j D H J b R f m + g + o z x u 1 0 5 n v O b o Q v t m / 3 q q 8 1 b 0 M M X 2 u + H 5 K + 2 r x V T x G G u O W g P B w f e H r T + Y m 3 1 Z n 3 b t a Z t o N Q Z 6 p e u 3 U H w z r T d H B L N / E 2 z T 0 B M M 0 P H u w 8 / P T e 7 h h i N f i e J w j v 9 Z 4 n B e / 1 n i c Q t x m W J w X v 1 Y 2 v H P X F 2 y n H 2 y D l q 8 R b t X / P q f f 1 4 K 3 a R y b / t t r v V u 3 7 k 3 0 7 l f d + U x a Z 6 + 1 b v e k r v N u M x 1 d 4 7 4 W i r + 9 u 1 V F k 4 m 8 3 J A / D g 4 6 6 O 3 3 1 k + / h I u 7 f r O 5 s B 6 G 6 U / R u 3 c G w u j M d 3 F L d 3 a a 5 x / G m + f 2 D f V q p 2 S E 7 o v H 8 T f r u / V 7 0 Z O D 9 X v T k 4 T Y j 8 6 T g / f r x V Z 6 + e T u V d x u s f J V 3 q / b v O f 2 + y r t V + w g D 3 F b l 3 a p 9 f 7 p v p / L e c 8 4 i s 7 1 9 u 1 d 9 p X e b E f l K 7 / 2 Q 9 L X e r X q K z P 0 t B + X h + N B T e 6 e v 3 3 z 1 9 O x L i p B f v v r y 9 z m F L g O I m 1 T T / Z 7 u 6 + k + 2 0 u o + z S i v H U H w 7 r P d H B v / 9 5 9 C p H H D z Y 5 u Z 4 Q m P d 2 D / b 3 9 3 f G O 5 / e T h n a 7 g g 7 o v j 4 w S 1 1 o b 4 3 z O O e P N z Y 1 h O H G 9 t 6 A n B j W 1 / D 3 d w 4 w k u 3 o o q v 6 s y L 2 7 d 7 M z L v t 1 V 6 7 4 d i Z M Z v q / 3 e c 0 j v M + + + H r y 5 8 f v M v K / s b m 7 c n / k N j f u z v a F x f 4 I 3 D N C 2 f b j j 6 b K z F 0 / Z j U t / E m u 9 J 1 9 + c S t V A 6 a 8 w Y 9 z v Q S 6 D G + + V w e D u s x 2 s I n V H E v f q r l j Z N t 8 b 2 f / 0 4 M d U n k P b 6 W 6 3 u 8 9 x 8 7 v 9 5 7 j 7 F s N y / H 2 + 3 X j a T j z 4 q 0 0 3 K 2 Q 8 h T b 7 d q / 5 9 R 7 6 u x 2 7 S O T f 0 s t d r v 2 / c m + l e 5 6 z y m L z P X 2 r d 7 0 l N q t x u P p t f d D 0 d N x t + s o M v G 3 G 5 K H 4 a 6 n 8 7 5 8 8 4 p 1 H X J 1 6 e v n T 7 + 8 U S V 9 + u n e p z s 7 N + s 8 2 4 v V e e b N 9 + p g W O e Z D j b R y + P 7 2 z T 3 2 P 4 2 z T 2 u v 0 1 z j + l N 8 9 3 9 B z s H D z / d t E z i c f 9 7 v O W x / m 1 Q 8 7 W b t r + d d r s V 8 A h X 3 F a 7 3 a r 9 e 8 6 y r 9 1 u 1 f 4 9 5 9 n X b j c T M z K / G 4 G / 5 8 z 6 q u x W 7 d 9 z c n 0 N d q v 2 7 z u 5 r v m e p 7 d I b T 1 J j 0 + O n x w / / f J 1 + v o W e u v h p 3 s P b 6 O 3 b C 9 W b 5 k 3 3 6 u D Y b 1 l O r i l 3 r p N c 4 + h b 9 P c 4 + f b N P f Y 2 T S n B e U D Q 5 K b t N a t 3 / E 4 + z Z o + T p L 2 9 9 O Z 9 0 K e I Q j b q u z b t X + P W f Y 1 1 m 3 a v + e c + z r r J u J G Z n d 2 + q s 2 7 T 3 d d a t 2 r / n 5 P o 6 6 1 b t 3 3 d y X f N 7 R p t 8 2 d Z V k z 4 p 8 m X e p G f L x T q f l D e p l I c 3 a y s L 3 7 1 y S 5 j D C s r A v K W C u k 1 z j 3 t N 8 9 3 d g 9 2 H 9 + / t 7 e / v j T d 5 M h 4 j v + + r H k + / 7 6 s e h 9 9 m f B 6 D v 2 9 P v h r T d 2 + n x m 6 D l 6 / G b t X + P d n A V 2 O 3 a h 9 h h N u q s V u 1 7 0 / 5 7 d T Y e 8 9 a Z M a 3 b / u y r 9 9 u M y p f v 7 0 v o r 6 u u 1 V f E Q 6 4 9 c A 8 P P e t 4 n v z i j y 0 J 5 R d + + K r 0 y e 3 i j E f 7 t 4 / u J W v Z j s x v p p 9 8 7 0 6 G F a F p o N b q s L b N P c k w D S / L X k 9 Y X j f V z 2 5 e N 9 X P S m 5 z f g 8 w X j f n n x V q O / e T h X e B i 9 f F d 6 q / X u y w e 5 7 8 o G v C m / V P j L 7 t 1 W F N x M z M s m 3 n r X I j N 9 a Y / i q 8 D a j 8 l X h + y L q q 8 J b 9 R X h g F s P z M P z v t F S 6 v 1 9 A d 8 v b 2 5 Q U v s 3 q z 8 L 2 L 5 x O 4 j D + s 5 A 3 N 9 F R n H v / o P x v X u 3 U 3 3 m z V 1 a r 7 i / u / P p g 8 3 p S I / 5 7 Z s P d / c P D v Y P 9 u 6 N d z d 1 6 s m B f f X T / Y f 3 7 t 3 / 9 N 7 e + G B T r 5 5 I m F d p J u 8 f f P q Q J n W 8 v 3 s 7 L e i G S j m 4 e / u 7 B 5 + O 7 + / d T i O + L 8 K + R t R 3 b 6 c R T U d 7 n 9 6 / v / 9 w 9 + H O 2 L D H j c r R v L p 9 2 3 c j / H N b R e n Q v F 1 X E b a 5 r c 5 8 7 2 H 1 m e V 2 + v O 9 5 z j C H 9 u 3 f d n X n 7 e h i K 8 / 3 x d R X 3 / e q q 8 I Y 9 x 6 Y B 6 e n x o 1 9 0 U 1 K c o i q 4 s q v U 5 P f 9 G 6 W F U 3 q b z d m 7 W o B e 9 e u S X M Y T 1 q Y J K p e H h v h 9 Y 0 x v u 3 1 K P m z U / v 7 e z v k X I a 3 9 / 0 o i c P 5 s W H p H 3 p / w 8 / H e 9 s s k + e Z J g 3 D 3 Y P 9 n Y e 7 N 7 f H + 9 u e t O T C / P m 3 u 7 O 3 t 6 n Z B p 3 x m Z R + y Y l a i m 0 d 7 C / c 3 + f b M 3 4 4 Y P b K d H 3 x N f X o f r q 7 X S o R f H e 3 s H B w c 7 + 7 n g j w 0 Z Y a v u W r 0 Y 4 5 7 Y a 9 D 2 R j D D M b R X o + w 6 q z y e 3 0 5 / v O 7 0 R z t i + 5 b u + 9 r w N O X z t + Z 5 o + s r z V l 1 F e O K 2 w / K w f G B 1 J w X f z 0 9 f p 1 8 + e 3 F 8 m y B 8 f 5 c 8 u d 3 b B O G 2 C w 3 C 3 Z v v 1 c G w M j U d 3 N v 5 9 P 6 n m 6 2 G J x j m r V 3 y K k n B j B 8 c 3 E 6 P 2 v f u P S A n g Z I g 4 / 1 b 6 l H 3 5 s O d e w 8 o y T C + t 3 8 7 P W r e J C V K q v s + v f n p L X 1 R 8 + Y B I b u / t 0 M + z S 2 V 6 H s i 6 y t R f f V 2 S t T 0 Q 4 H T L n X z 4 A a r H + G r 2 7 0 Y 4 Z d b d h n h m d v G 7 e + H Y o R V b h v A 3 0 z y C E / c d m o j X L F 9 y 3 d 9 B X q b M f k K 9 D 3 R 9 B X o r b q K c s T t + v K w P I g q 0 N 8 n P X 3 9 5 v j F 7 V T c L X x Q 2 0 u o Q 2 9 2 R c M O h n W o 6 W D 3 4 O H B 3 s M H + + O 9 T U r N E w n z 4 q c P H 9 y / f 2 9 n v H 9 L N W o 7 v P d w n 1 b 6 d / b G n 3 5 6 O z V q 3 9 x 7 Q G H a p / c P b h 3 T u z c P a D H + 0 5 2 H 4 4 N N 2 H o i Y 9 / c f 0 D O 8 8 7 4 4 a Y e P X l 5 T 1 x 9 L a q v 3 k 6 L u n 5 2 d h 7 s 7 9 8 b P 9 i k 5 n 0 t a t 7 c v u W r E Z 7 Z q K Q i r H L L n i L M s r G n C I v c d l B 9 H r m d J n 3 f 6 Y 1 w x v Y t 3 / U 1 6 W 3 I 4 W v S 9 0 T T 1 6 S 3 6 i r C E 7 c d l o f l w 1 C T p q e / t 9 G l r 2 / h j V J S c e 8 2 3 q j t x W p S 8 + Z 7 d T C s S U 0 H m y j m C c V t m n u S Y J p T e u r T / f 2 d z Q r M k 4 j 3 e s 8 T B / P e 3 j 3 y k e m 9 j b 6 u J x n m v X s P D + i P 8 f 1 b e p 3 v h a a v L f X F 2 2 n L 2 9 D c 1 5 G 3 a v + e L O A r x l u 1 j z D B b d X h r d r 3 J / 1 2 O v D 9 p i w y 1 9 u 3 e t P X f 7 c Z j 6 / / 3 g t F X / v d q q P I x N 9 u S A Z D U i s 7 g 7 q P / M j b q a b d G 3 S f 3 0 u o + 3 b f s 4 M B 3 e d 1 c B v d d 8 v m h u 2 9 5 r f S R Y b 9 3 / c 9 I w b v + 5 6 R i F s O y 8 j B + 3 Z j d Z 5 7 8 R Y 6 7 5 Z I W Z 1 3 2 / b v O f V W 5 9 2 2 f W T y N 7 a P T P r G 9 v 3 J v o X O e + 8 p i 8 z 1 9 q 3 e t D r v l u O x O u 9 9 U b Q 6 7 7 Y d R S b + d k P y M N w 1 2 u j 0 J 9 K T L 7 9 4 + d W b L 2 + X e L x H K b A b X T 2 / A 6 v u z J v v 1 c G w u j M d 3 C c H 5 + B 2 K s + 8 8 u n O / b 1 7 9 8 f 3 H t 5 O 9 Z n X 7 u 0 / + P T h p 7 s H D 8 Y P V W v f p P z c m w f 3 d n b v f U q h 0 K Y V G E 8 i 7 O j u U b x 8 c P / B w e Z B e u J h 3 q R s 9 M O D B 3 u 7 + + O D T 2 + n C 9 8 T W 1 8 b 6 q u 3 0 4 a m n 2 2 a h 9 0 H 9 8 c H m 6 j p q 0 V v / m 5 + L 8 I q t + s w w j C 3 1 Z P v h W C E T 2 6 r L 2 8 m d 4 Q h b j u t E Y 7 Y v u W 7 v s 6 8 z Z h 8 n f m e a P p a 8 1 Z d x f j h l n 1 5 W O 5 F 9 O b v k 7 4 5 P X n x 5 f P b q b b d m 3 W n 7 S T U n c p N t + 5 g W H e a D i j 9 t 3 v / 4 O H + Z l f Z E w j z I m U 2 D z 6 9 d 3 B v / O l t F s C 9 F / f v H T y 8 9 / D T + w / G e / u 3 0 6 H 2 T U r / U T Z 1 / / 7 m / J 8 n J e / 5 p i c y 5 s 1 N D O W J y X t 2 5 C t O f f V 2 i t P 0 s 7 e / t 0 d L U b u b 8 8 S + 5 j R v b t / y 1 Q i v b N R N E R a 5 Z U 8 R H r m t l / m + g + q z x u 0 U 6 P t O b 4 Q z t m / 5 r q 9 A b 0 M O X 4 G + J 5 q + A r 1 V V x G e u O 2 w P C z v G d 3 2 5 Z t X X 7 5 O v / j y y e 3 8 T p r f h 7 f x O y 1 8 q z v N m + / V w b D u N B 1 s o p U n D q b 5 P U r I 3 r / / Y H e z h + 5 J g 3 l x + 9 6 D v Q f 3 d h 8 + 2 B v f U m O 6 N + 8 9 O N j 9 d J 8 W n h / e M u o 2 r 9 4 / e I B F 6 4 M b V v Q 9 I T F v P t y 7 T 8 v k 9 P 7 4 Y B O 6 n o y 8 L 7 q + + t R 3 b 6 c + X U e 3 m g t f f 7 7 f L P r q 8 3 0 7 j b D O b b 3 P 9 0 Q y w j G 3 9 T 9 v J n u E M 2 4 9 v x H e u O W r v v p 8 3 2 5 9 V X o b e v j 6 8 3 3 R f E 9 1 4 m G 2 b 9 Q b + Z 9 P T 9 P j p 1 9 8 + e J 2 q u 0 W f q c F H u r O m / 3 O s I N h 3 W k 6 o O a 7 9 x 7 s H G w O w T 1 R M C / u 7 9 G i + j 4 t a 9 1 O h 5 r X q L N P H + z u 3 j s Y g + s H 3 / Q k w r x J C y i f H j x E + L 1 p E c U T j f d 7 0 R M T 8 + I t f c 7 3 6 8 f X m f r m 7 X S m J f y D B z t 7 u 8 i 1 b L T z E W b a v u W r E T a 5 r c v 5 n k h G G O S 2 L u f 7 D q r P G L f T m e 8 5 u x G + 2 L 7 d q 7 7 G v A 0 x f C 3 5 f k j 6 + v J W P U U Y 4 p a D 8 n C 8 b 1 Q a H E 1 a 0 P k J W t M 5 + e r 0 + X H 6 / P j J 7 f T a 3 s 2 K 0 / Y S K s 6 9 9 + x g W H G a D g 7 g W e 3 A F d y / n e I 0 L 2 6 i t C c P p v n u 7 o O D g 4 d 7 O w / G m + j s C Y Z 5 8 R 4 l o v c o D z H e 2 6 R o P b F 4 v x 4 9 E X k / k n g S 8 n 6 o + p p T 3 7 y d 5 n w / / H z N a d 7 c v u W r E T 6 5 r e Z 8 T y Q j n H J b z f m + g + q z y O 0 0 5 3 v O b o Q v t m / 3 q q 8 5 b 0 M M X 3 O + H 5 K + 5 r x V T x G G u O W g P B w / t Z q z m h R l k d V F l V 6 n p 7 9 o X a y q m / T a L V S m B e 9 e u S X M Y S 1 p Y O 4 d 7 B 4 8 3 N n f n G L 0 p M C 8 R 0 s m 9 O L B r Z O a 5 r 3 7 D z / 9 d O / h v Z 1 b e 5 f 2 x Y N P P 7 3 / c G 9 / f H 9 T u O C J g n m R F h j u 7 X 2 6 v z t + u A l V T y z c E D 8 l T / j B + N 4 m D 9 o T i v f D 1 F e W + u b t l K X p 5 u H D B 8 S z 4 0 8 1 5 L h R V Z r 3 t m / 1 Y o R V b q s o 3 w v B C I v c V k 2 + 3 4 D 6 n H E 7 J f m e s x r h h + 3 b v e o r y d u Q w l e S 7 4 e k r y R v 1 V O E G W 4 5 K A / H B 0 a L k W P 5 + 6 T H L 4 9 f H b + h r O Z t M p o U P e z t 3 i a j a f s w z q V 9 8 7 0 6 G F a b p o N N 5 P J E 4 T b N P Q k w z X f v 3 7 v 3 6 d 6 n 4 5 1 N m s e T h P d 6 z x M E 8 9 7 e f X I y 9 v b G O 7 f U k O a 9 h w / u 3 X 9 4 f 3 M C x x O I 9 0 L T 1 4 / 6 4 u 3 0 4 2 1 o 7 u v F W 7 V / T x b w 1 e G t 2 k e Y 4 L Z q 8 F b t + 5 N + O + 3 3 f l M W m e v t W 7 3 p 6 7 7 b j M f X f e + F o q / 6 b t V R Z O I 3 D 8 k S w 7 1 4 4 D T f S 9 J 4 T v n d T i 3 d I h t p e w j 1 3 o 3 Z y E 4 H w 3 r P d L C 3 f 4 8 W w s c P 9 m + n / 8 x r u 5 + S d r 2 l E r T v 7 N E S / Y P 7 4 5 1 N 2 s W T A / s e j e n B w c 7 4 3 i Z 3 w J O H 9 3 r P E w 3 z 3 q Z h e Q L x X t 3 4 y k 9 f v J 3 y M 7 0 c 7 N 0 4 T b 4 O N K 9 t 3 + a 9 C F v c V h e + D 3 o R l r i t S n y v 4 f R Z 4 X a q 8 f 0 m N M I J 2 7 d 6 0 1 e N t 6 G D r x r f C 0 V f N d 6 q o w g f 3 G 5 I H o Y P j e I S l U j r N C + / f P X m 7 C e / T F / f w i 3 c u 7 + 3 d x u 3 0 P Z i 1 a N 5 8 7 0 6 G F a P p o N N 9 P L E 4 D b N P f Y 3 z f c O 9 v c / v e 3 K 9 u 1 f 8 g T A v H R v 9 z 4 l j j e 9 5 A m C e + m e Z i Z u 0 o W 3 x 8 1 X h P r W 7 R T h b U j s a 8 B b t X / P G f c 1 3 6 3 a R + b 8 t i r v V u 3 7 M 3 0 7 V f c e 8 x W Z 5 e 2 b X / O V 3 G 1 G 4 i u 5 2 y P n a 7 h b 9 R K Z 7 1 s M x u E G 7 v X V G z l / V s H d 7 P y x 8 t m 9 U b u 5 T k L t p h r 4 1 h 0 M a j f b w b 0 d P L d S c f a d 2 6 k 4 1 8 X N m s c x v X v r x p c c 5 7 / H S 0 4 C b j U c x / r v 0 Y e n 4 M x b t 1 J w t 5 8 U T 8 v Z l 7 Z v f i s y / 7 f U d e + B W o Q D b q n w 3 m c o / c m / l d p 7 n 1 m M z P 3 2 z a 9 5 a u 9 W 4 / f U 3 n s g 5 6 m 9 2 / U S m f p b D M b D b d d o p J P j L 0 j v v U 6 f f f n m y 8 9 f I d d 3 o 1 K 6 d 5 9 W X 3 Z u 1 n q 2 D 6 v 1 z J v v 1 c G w 1 j M d b C K V x / S m + e 7 + D q X S 7 o / v P 7 y d 5 r P v 7 T 3 c O f j 0 3 v j T g 9 v p P v P e 3 q e 0 m n L w c L z 3 4 H b q z 7 x 3 7 / 6 D B / f 2 D m 6 5 h G x f O z g g C j 4 c 7 2 / K F H r C 8 F 5 Y + r p Q X 7 y d L j S 9 b N + K + L 5 C f K 9 Z 8 3 X i e 3 Y Z Y Z T b K s b 3 Q z H C I b f V j T e T P M I P t 5 v Y C E d s 3 + p N X 0 P e Z j y + h n w v F H 0 l e a u O Y r x w q 5 4 8 D P d C P c l q k t K D P 3 n 2 9 P T m 4 J f 1 2 O 7 N i t J 2 E i r K 3 f f s Y F h R m g 7 2 9 h 7 c v 7 / z c L w p X + f J g X 2 N V p I e 3 B v v 7 N 9 O X 5 r X 7 u 3 c u 3 / v 4 c M x V q Q G 3 / O k w b x H 6 c 6 D + 5 / u j T e 9 5 g n F + 7 z m i Y d 5 b R M L e U L x P r 3 4 W l L f u 5 2 W t A T f 2 f 3 0 4 B 7 F M B t 7 i X D Q 9 u 3 e j L D G R h U U 4 4 l b d R T h i t t 6 j + 8 5 p D 5 D 3 E 5 L v t e 8 R v h h + z Y v + j r y N n T w d e T 7 I O i r y F v 1 E 2 G E W w 3 I w + + e U V 5 f v n n 1 Z f r F l 0 9 I P d L 6 8 a 0 W j R / e J 5 f q F p 6 k 7 c M q S P P m e 3 U w r C B N B 7 f 0 J G / T 3 G N 9 0 / z e 7 q e f 3 v t 0 9 + H 4 4 S Z N 6 s n A + 7 3 o i Y D / 4 s N 7 n 9 7 w o i c O 5 s X 7 D + 7 f U j G + H 4 6 + a t Q 3 b 6 c a b 0 N y X y P e q v 1 7 c o C v B 2 / V P s I D t 1 V / t 2 r f n / H b K b 3 3 n L P I b G / f 7 l V f 8 d 1 m R L 7 i e z 8 k f d V 3 q 5 4 i c 3 / L Q X k 4 7 s e V 3 + n T r 0 5 u p 5 t u 4 R 3 a P k L l d 7 N 3 G H Y w r P x M B 7 d U f r d p 7 j G + a b 6 3 c 3 + f E p q 7 4 / u 3 W y 1 + z x c 9 U b j p x U H l d 5 u R e b L w f v 3 4 m k / f v J 3 m u w 1 W v u a 7 V f v 3 n H 4 0 e q / 2 E Q a 4 r e a 7 V f v + d N 9 O 8 7 3 n n E V m e / t 2 r / q a 7 z Y j 8 j X f + y H p a 7 5 b 9 R S Z + 1 s O y s P x v t F K p 7 9 o X a y q N E / P l k 1 b r x f 5 s s 1 u U k 3 3 b t Z 6 F r 5 7 5 Z Y w h x W d g b l 7 8 O D e w f 1 7 O + O H n 9 5 O 5 Z k X D w 7 2 9 h / s 7 d 0 6 E j b v 7 T 1 8 e H / 3 4 N 6 9 8 b 1 N H X o y Y F / c 2 b l 3 s L O 3 P 9 7 f 1 K M n D P b F / f 1 7 9 / b 3 H o z v 3 T J 7 a F 7 c v / f w P q W x x g + V 4 D c p w f f D 1 F e C + u b t l K D p 5 u H D X e r m Y P x w 7 5 b a 0 L y 4 f b s 3 I 9 x y W 7 3 4 f i h G u O S 2 C v I 9 h 9 T n j t u p y v e c 2 Q h P b N / u V V 9 V 3 o Y W v q p 8 P y R 9 V X m r n i L s c M t B e T h + a l X l T 6 R f n D 4 9 O 0 E G 8 f n x k 1 v F y L S q c 2 / 3 N j G y 7 c W 4 i f b N 9 + p g W H u a D m 7 p J t 6 m u S c E p v n u / q f 7 O / f 2 d 2 6 t K t / v R U 8 Y 7 I u 0 p n O P 8 q i b E 0 y e Y J g X K b e 5 d / B w Z 6 y e + E 2 a 8 v 0 Q 9 T W l v n k 7 T X k b u v s K 8 l b t 3 5 M N f L V 4 q / Y R R r i t N r x V + / 6 0 3 0 4 H v u e c R W Z 7 + 3 a v + j r w N i P y d e D 7 I e n r w F v 1 F J n 7 W w 7 K w / H B g A 7 8 8 t X x m 9 t p q F t E y r a T U A X e G C l 3 O h h W g a a D 9 3 Y g z Y v v 6 0 D a D v f p v d 3 9 e 2 P M x u C L n l S Y F 8 k L p G d / f G + T k v K k 4 7 3 e 8 w T F v L e J k z z p e K 9 u f F W o L 9 5 O F Z p e b u c n R R h p + 3 Z v R j j k t t r x / V C M c M Z t 1 e R 7 D q n P E r d T m O 8 3 s R G O 2 L 7 V m 7 6 6 v A 0 l f H X 5 X i j 6 2 v J W H U V 4 4 X Z D 8 j A 8 M H r s 7 M X r N 6 + M v r y V t 7 h 3 / 9 7 e b b x F 2 4 V V l e b N 9 + p g W F W a D m 7 p L d 6 m u c f 9 p v m n n + 5 i a f D h J n X q C c H 7 v O Z J g H l t d + f T / X v 7 D 8 c P b h l T m / c o n r 6 / u z c + u G V I / T 5 Y + r p R 3 7 u d b r w N w X 2 V e K v 2 7 z n / v i K 8 V f s I B 9 x W / 9 2 q f X / O b 6 f 1 3 m v G I j O 9 f Z s X f Z 1 3 m 9 H 4 O u 9 9 E P R V 3 q 3 6 i c z 6 r Q b k 4 f c w q v H Y Q 7 y d R r q F d 2 j 7 C F X e z d 5 h 2 M G w y j M d b C K W x / G 3 a e 4 x v G l + G 2 X i 8 f 3 7 v O a x / / u 8 5 g n C b c b k 8 f / 7 9 O J r O n 3 v d p r u N j j 5 m u 5 W 7 d 9 z 2 n 1 N d 6 v 2 k Y m / r a a 7 V f v + V N 9 O 0 7 3 X j E V m e v s 2 L / q a 7 j a j 8 T X d + y D o a 7 p b 9 R O Z 9 V s N y O G H o Y k W + s l 8 / o / + 9 d N 1 W T X p d a q L K L O b d N H + j W r O d e B e u S X M Q c 1 m Y e 4 e P L z 3 4 I C i 5 f H + p u j B M b t 9 8 8 H + w 3 u 7 e w 9 3 N y c M H N f b F / c f 7 B 9 Q 6 L t 3 f 7 y n I 7 l B 4 9 k 3 7 3 2 6 s 7 + z s / f p v T E Y e P B N J w n 2 z U / 3 d v Y / 3 b 1 / / + F 4 Z x O 2 T i z s m 3 u f 7 u x 8 S u O 8 P z 7 Y 1 K c T j P f F 1 t O C 5 t V b a U E 3 h b v 7 + / u f H n y 6 t 3 l s n k K 0 r 2 7 f 9 t 0 I 5 9 x S O b 4 3 m h G O u V F P f t 1 h 9 T n l V j r z v a c 4 w h 3 b t 3 z X 0 5 y 3 o o e n O d 8 X T U 9 5 3 q 6 r C F f c d l g e l r t G v R 1 / 9 Q Y e I u U T 3 5 y + e p W + v j k 4 3 t + 9 v 3 + b p R T X h / E U 7 Z v v 1 c G w P j U d b K K X J x S m + f 7 D g / 3 7 9 z 8 d 7 2 6 y N Z 5 E m P d I l d 1 7 8 O l 9 W q r 4 d B O D e z r U v v n p z r 1 P S T 4 + H T 9 4 e D s d a n H d f f g p v b 2 / O 3 6 4 6 U 1 P T M y b e / c f 7 t 3 f P y A d u s n G e E L y n s j 6 K l R f v Z 0 K N f 1 s 3 2 o e f A 3 6 X h P o q 8 / 3 7 D L C M x u 1 Y Y R X b t d R h F U 2 d t R n k N u p z v e d 2 g h X b N / y X V 9 1 3 m Z M v u p 8 T z R 9 1 X m r r m I c c c u + P C z 3 4 q r z l C L u 0 9 u p t t 2 b d a f t J N S d u + / Z w b D u N B 3 s H h z c P 9 j 5 9 M G 9 8 Y N N S s 0 T C f P m p w 8 P 7 h 3 s 3 b u / e T H F k w 3 z 4 t 7 + 3 u 7 u p 3 s H 9 8 f 3 N 2 U A P e G w y O 7 d u 0 d L R v s P N q / 8 e G L y n m 9 6 M m P e 3 M R R n p y 8 Z 0 e + 9 t R X b 6 c 9 b T + 0 e E a r W f c O x v d v q z 7 N q 9 u 3 f T f C L h v V U 4 R J b t t V h E 0 2 d h V h j l s P q 8 8 e t 9 O i 7 z v F E e 7 Y v u W 7 v h a 9 D T 1 8 L f q e a P p a 9 F Z d R b j i t s P y s L x n F N z J 8 a t X X 5 6 Q H n 1 1 + s W X z 2 + 1 P L N P j s 1 t l m d c J 1 a L m j f f q 4 N h L W o 6 u K U H a p r v 7 h z c N 1 j c p D X N O w c U v O + S t l U T c J P K t K / R z H x 6 w 2 u e Q J j X H i K g o N c e b I o n P N m w 3 d H a z g 4 5 y J t e 8 + T i f b D 0 V a a + d z u V a T r Z v p H s v r a 8 9 V z 5 a v I 9 u o q w x W 2 d z N u j F m G I 2 z q Y N 5 M 4 N v 2 3 m c f I / G / f 5 k V f K d 5 m N L 5 S f B 8 E f Y 1 4 q 3 5 i D H C b j j z 8 9 u P q 8 C e + O n 1 9 O 2 V 1 C 5 / S 9 h F q w 5 t 9 y r C D Y W 1 o O t j b u / 9 g 5 / 7 m K N l j f / P a L R W i a U 7 L y D u 7 n 3 4 6 v r d / O 4 1 o 3 j u 4 R 2 m q G 1 S U J w f v 8 5 o n E b c Z l C c I 7 9 O L r w j 1 v d s p w v e Z H 1 8 V m v e 2 b / V i h C F u q w j f C 8 E I S 9 x W F 7 7 f g P r M c D u l + F 5 z G u G F 7 d u 8 6 C v F 2 5 D B V 4 r v g 6 C v F G / V T 4 Q N b j U g D 7 / 7 R m G d / s R X Z y + / T I 9 P X 3 1 5 + v r l 8 c n Z 8 f M b l d a 9 + / v 3 b u M j 2 k 6 s V j R v v l c H w 1 r R d L C J W p 4 M 3 K a 5 x / q m + a e k D P c + f b A 7 x i e D L 3 o y 8 H 4 v e j L w f i 9 6 8 n C b k X l i 8 H 7 9 + E p R 3 7 y d U r w N V r 4 y v F X 7 9 5 x + X w f e q n 2 E A W 6 r + 2 7 V v j / d t 1 N 5 7 z l n k d n e v t 2 r v t q 7 z Y h 8 t f d + S P q K 7 1 Y 9 R e b + l o P y c P z U q r 4 v n h y / O i G V 9 + W L W 7 i C 9 + / v 3 7 + N K 2 j B W 6 V n 3 n y v D o a V n u m A s n w H B 5 u y f B 7 n m 3 d u q f l u 3 Y X H / P r O M D N 7 j H 9 j W 4 / v b 2 z r c f q N b X 1 V d n P j C N P c S B F f n 5 m X t m 9 + K z K / t 9 V q t 0 c t M s O 3 V W 3 v M Z T 3 m W d f w d 3 c + H 1 m 2 t d i N z f u z / S G x v 0 Z 3 t C 4 P 7 E b B m j a 7 u w 9 M F r k y z e v v n z N C y G v j l + 8 f v n l q z e n N 2 q S h / f 3 H 9 5 G V d l O r K o y b 7 5 X B 8 O q y n R w I 9 N 4 7 G z e u a W q M s 0 p Q b 1 z 7 + D h + N 7 e 7 d S V f e 8 + r S b u 7 G 1 + z 2 P p 9 3 r P 4 + 7 b D M v j 7 / f q x t d q + u L t t N q t 5 8 f X a u a l W 6 i C C C v c V q v d H r U I M 9 x W q 7 3 H U P o s c D u t 9 n 4 T G e G A 7 V u 9 6 a u 7 2 1 D B 1 3 j v h a K v / W 7 V U Y Q H b j c k D 8 M D o 6 h O f 9 G 6 W F X p L E + f 5 u f 5 s s n S 6 5 u U 1 f 2 b 9 a A F 7 1 6 5 J c x h 1 W d g 7 n 1 6 7 2 D 3 Y H x w O + V n 3 n p w f / + W + s + 8 8 e m n e 3 u f 7 j 8 4 G N / b 1 J X H + / b F + w 8 f 7 O w + f D i + v + l F j / 1 d j z s P 9 + 7 d 9 K I n C u b F 3 b 0 9 u 1 B 0 k x 5 8 P y x 9 R a h v 3 k 4 R 2 t m 6 / + n e g 8 2 z 5 a t C 8 9 r 2 b d 6 L M M d t l e H 7 o B f h j Y 3 d R F j i V s P p c 8 T t F O J 7 z m i E F 7 Z v 9 6 q v E m 9 D C V 8 l v h + S v k 6 8 V U 8 R V r j l o D w c H 1 q l + B P p 0 9 N n p y 9 e H 9 P a x u v T z 7 H Q e 6 M G 2 7 1 / f / c 2 O T z b i / E R 7 Z v v 1 c G w o j Q d b C K Y J w q 3 a e 6 J g G n + K V m c B w 9 v o q 4 n C + / 3 o i c M 7 s X b z K c n G O b F 9 1 G P 7 4 e l r x 7 1 z d u p x 9 s Q 3 d e L t 2 r / n j z g 6 8 N b t Y 9 w w c b 2 k c n f 2 L 4 / 5 7 d T g O 8 5 Z 5 H Z 3 r 7 d q 7 4 C v M 2 I f A X 4 f k j 6 C v B W P U X m / p a D c j j e 2 x l S g F + 9 O r u l A t y 9 U Q G 6 X k I F u P u e H Q w q Q N v B e 3 m K 9 q 1 b e 4 r 2 j X s P D u A n 3 k 4 P 2 r d u 1 E p O H G 7 / j p M K + 8 7 t F N / t u / B 0 n n n p V j r P T c s t f K E I u 9 z K h 4 p w w c a x R O b / N t 1 E m G B j N 5 H p v 9 V w + i x w K 4 3 4 H p M Z 4 Y D t G 9 / y 9 O C t x u / p w d u j 5 q n A 2 3 U S m f u b h + J h t m v 0 0 h c Z B c X L r C 6 y U f p l W 1 d N e v q L b l J O n 9 6 s 9 y x 8 9 8 o t Y Q 6 r O g P z 4 a c P d v Y P 7 o 3 3 N 7 G T x + z m v b 1 P 9 + 7 t P d w Z 3 7 9 3 O 5 V n 3 r t 3 7 9 7 O / k P K W o 4 f 7 t 9 O 7 d k 3 9 z 7 d o c T F p 7 v j h w 9 v p / z s m w 9 o K u / t 7 n w 6 v r d p Y c o T A / M m r e P T m / v 7 4 3 t K 8 5 u U 4 X s i 6 6 t E f f V 2 K t H 0 Q 5 P 3 Y P f h 3 v j h x h W 3 C C 9 t 3 + 7 N C M f c V i 2 + H 4 o R V r m t Y n z P I f U Z 5 H a q 8 X 2 n N s I V 2 7 d 8 1 1 e T t 6 G G r y b f E 0 1 f W d 6 q q w h H 3 H Z Y H p Z 7 V m U e / w R 5 i u Q 2 H n / + 6 k u E y 1 / e q N x 2 7 3 9 6 m 3 j Z 9 W H c R f v m e 3 U w r E N N B 5 v o 5 Q n E b Z p 7 Y m C a 7 3 3 6 c O / g 0 5 1 b a s v 3 e M s T h P d 4 y 5 O I 2 w z I k 4 L 3 6 M T X i / r a 7 f T i b V D y 1 e G t 2 r / n l P t K 8 F b t I 5 N + W 9 1 3 q / b 9 i b 6 d x n u f C Y v M 8 / Y t 3 v M 1 3 W 3 G 4 m u 6 9 0 D P 1 3 K 3 6 i Y y 5 b c Z j o f d v Z 6 G O 3 v x 9 K v X b 2 6 n 4 + D j 3 0 b H 2 V 6 s j j N v v l c H w z r O d H B L H X e b 5 h 6 7 m + b b u w 9 3 P t 3 b 3 x v f / / R 2 a u 7 9 X v Q E w L x 4 b 2 e X w v U H N y 4 a d 9 / b f 7 i 3 + + n + w / H B J n / Z E 4 b 3 Q 9 T X e / r m 7 f T e b e j u 6 7 1 b t X 9 P N v D 1 3 q 3 a R x j h t n r v V u 3 7 0 3 4 7 v f e e c x a Z 7 V u 9 6 O u + 9 + v S 1 4 K 3 o Y S v / t 4 P x f d l A d d 8 f 0 D / v T o 7 f n 4 7 7 b R 7 s / q z n Y T q b / c 9 O x h W f 6 a D 3 Q O K W n f H m O v B w X v s b 1 4 7 2 E c W d a N T 7 A m B 7 W x v Z / / T + / f H D 2 + p D O 1 7 u z s P S T m N H 9 x S F 7 7 X e 5 5 8 m P d u 6 f e 9 V z e + B t Q X b 6 c B T S + U W q C J 2 r u l H j R v b d / i t Q h b 3 F Y d v g d y E X 6 4 r V J 8 n 8 H 0 2 e B 2 u v H 9 J j P C B d u 3 e t P X j b c h g 6 8 R 3 w t F X z X e q q M I F 9 x u S B 6 G 9 3 u 6 8 e T L F 6 9 v 5 x n e u / / p v d t 4 h r Y P q x r N m + / V w b B q N B 3 c 0 j O 8 T X O P 9 0 3 z b U p O 3 t u 9 9 3 C 8 v 0 m J e k L w f i 9 6 Y m B e 3 H 2 4 f + 9 g f 3 z L T K F 5 6 z 7 l P + 7 v 3 d u s 6 z 1 x e D 8 0 f a 2 o b 9 5 O K 9 6 G 6 r 4 + v F X 7 9 2 Q C X x H e q n 2 E D W 6 r A m / V v j / p t 9 N 9 7 z l n k d m + 1 Y u + 7 n u / L n 0 t e B t K + M r v / V B 8 X x Z w z T + N 6 r 4 3 r 7 4 6 O b m d a r q F W 2 j 7 C H X f z W 5 h 2 M G w 7 j M d 7 N 2 / 9 + D T h + O d T a b W 4 3 7 z 2 i 1 1 o G m + v 3 f v 4 N 7 9 8 c G m X j w Z M K / t P t j Z + f T T j e u E n i S 8 x 1 u e S N x m R J 4 c v E c n v s r T 1 2 6 n 8 t 5 n b n z V Z 9 7 b v t W L E W a 4 r Q 5 8 L w Q j 7 H B b X f h + A + q z w u 2 U 4 v t M a Y Q T t m / x n q 8 Q b 0 M E X w 2 + B 3 q + N r x V N x E e u M 1 w P O w e G E X 1 + o w y g 8 c n 6 c n x 8 9 N n t 3 M E 9 + 9 / u n 8 b R 9 D 2 Y Z W h e f O 9 O h h W h q a D T b T y 2 N 8 0 f 7 C z u 7 c x R v F Y 3 7 x D C 0 2 f P t y 5 P 9 7 5 9 H a q 0 L 3 3 4 N 7 D 3 Q f j v U 3 v e R J g 3 v t 0 / x 7 5 9 v f G B w 9 u p w 5 t f 7 v 3 H + w e f D r + V E 3 O T X r x v f D 0 N a O + e D v N a H r Z v p H 0 v l 6 8 9 X z 5 O v E 9 u o q w x m 2 9 w 9 u j F u G J 2 7 q I N 5 M 4 x g C 3 m s g I B 2 z f 6 k 1 f I 9 5 m P L 5 G f C 8 U f Z 1 4 q 4 5 i P H C r n j w M D + J a 8 e T 4 5 e 1 0 1 i 0 8 R N t F q B R v 9 h D D D o a V o u l g 9 + B g / w F p g r 1 N 8 a Q n A u a 9 T + 8 f 7 B z s j j d R z B M E 8 9 a D T + 8 / o P f G 9 2 / p K t r e b q P n P J l 4 r / c 8 8 T D v b W I h T y j e q x t f L e q L t 1 O L d q r 2 9 j 5 9 s L M / / n T T V P m a 0 b y 4 f b s 3 I 9 y x U Q d F u O J 2 H U U Y Y 2 N H E Y a 4 5 Z D 6 L H E 7 N f l + E x v h i O 1 b v e m r y d t Q w l e T 7 4 W i r y Z v 1 V G E F 2 4 3 J A / D h 0 a H c Q z 9 x V c v z k 6 O T 8 6 + f E H u 4 4 1 q 7 P 7 9 T + / f x n m 0 f V g 9 a d 5 8 r w 6 G 9 a T p Y A 8 Z 6 4 N N 7 p I n D u a l h / v 3 9 3 b G 9 z a x q C c L t q s d i o Y e 7 u / t j T d 1 5 w m F 9 + K D h 7 v 7 9 3 f G n + 7 f T k / a N / c e H u w 9 o M T i e P / e 7 T S l e 5 O C C 1 p 0 H j 9 4 e D u d + Z 7 I + l p T X 7 2 d 1 j T 9 b D / c 2 9 k j i 7 O x k w h H 3 e a 1 C J / c q r s I q 2 x U g B E m M d 3 c U m / e q p s + Y 9 x O W 7 7 v l E a 4 Y f u W 7 / o a 8 z Z j 8 j X m e 6 L p 6 8 x b d R X j h l v 2 5 b D c 3 x n Q m r f T a L s 3 q k z X Q a g y V d f c u o N B l W k 7 o F C Y v F F y q 2 + X f b T v 7 T 6 4 / + n u 7 v 7 m x W w n E v a 9 v b 1 7 l E m i S O t g k 8 J 1 Q u F 1 e O / g 0 4 P 7 D z d n M J 1 0 v O e L T l L s i 5 v 4 y E n H e / b j q U r z 5 q 1 U p e 1 m / y E t L N 2 / N 9 7 Z Z A M 8 X W l f 3 L 7 d m x E e 2 a i P I r x x u 4 4 i z L G x o w h P 3 H J I f a a 4 l c p 8 3 5 m N 8 M T 2 7 V 7 1 F O a t a O E p z P d E 0 t O X t + s p w g 6 3 H J S H 4 6 6 n L j 8 / f X H 6 S l z M 2 6 U o P 7 3 / 6 a e 3 8 D J d J 1 Z l m j f f q 4 N h l W k 6 2 E Q v T x p M 8 7 0 d + J e f 3 k 5 N m p f u 7 T w k / b r / Y H O + 3 R M J 7 8 U H n 3 5 K C v 3 T W 6 p J + + L e g 4 O 9 g w c P x w / 2 b 6 c m z Y u 7 B z u f 7 p F C 3 9 3 U o S c b 7 4 e p r y / 1 z d v p S 9 P N 9 s 3 0 9 7 X l 7 W f N 1 5 T v 0 1 m E R T b q v Q h 3 3 K K X C G t s 7 K X P E b f T k e 8 5 m x E + 2 L 7 d q 7 6 O v M 2 I f B 3 5 f k j 6 O v J W P c U Y 4 X Z d e T j u x X X k 6 f P T k z e v b q f D d m 9 W k r a X U E n u v m c H w 0 r S d H D / P r n U t 9 S U 5 h 3 Q 7 7 a K 0 r y z e / / + v Z 2 9 h z v j B w e 3 U 5 T 2 x f 2 H D / Y R v 9 / b 9 K I n F u / 3 o i c i 5 s V N 1 P D k 4 v 3 6 8 f W j v n k 7 / e g m 6 j 4 Z 8 / E m p e / r R / P a 9 m 3 e i / D F R i U U 4 Y n b d B N h i 4 3 d R L j h V s P p M 8 P t d O R 7 z m i E F 7 Z v 9 6 q v I 2 9 D C V 9 H v h + S v o 6 8 V U 8 R V r j l o D w c 7 x n t 9 e 3 T V 6 + O v z g 7 f f H m + P X t v E g K V x / c x o u 0 X V g F a d 5 8 r w 6 G F a T p 4 J a 6 8 T b N P f 4 3 z f f 3 H 3 y 6 M Q X s y c C t 3 / H 4 3 7 x z c P / B g 3 v 3 x g / U g N y k C m 1 X u z s 7 + 5 9 u f s 0 T g 1 t j 6 G t D f e l 2 2 v A 2 Z P b V 4 K 3 a v + e s + + r v V u 0 j 8 3 5 b v X e r 9 v 3 5 v p 2 + u / 1 0 R e Z 4 + 8 a 3 f C 1 3 m 3 H 4 W u 7 W q P k K 7 l a d R C b 7 5 q F 4 m O 3 H d N v t t M 4 t / D 4 L P V R r N / t 9 Y Q f D a s 1 0 s H t w 7 + H D 8 c O H t 9 N u 5 q 1 b a j f T / I B 0 z h 5 F q r f T b / a t + 7 Q E 8 n C z 0 v F Y / n 1 e 8 5 j / N k P y 2 P 5 9 e v G 1 m 7 5 3 O + 3 2 H p P j K z n z 2 v Z t 3 o v w w m 2 V 3 f u g F + G G 2 + q 8 9 x p O n x F u p / v e a z 4 j f L B 9 m x d 9 D X g b K v g a 8 H 0 Q 9 J X g r f q J M M G t B u T h d 9 9 o q l e n z 0 g l p b 9 P S v + e v k 6 / O P 5 9 v r w 5 D m Z 1 t X e z P r S 9 h P p w 7 z 0 7 G N a H p o M H l B 3 b 5 N 1 6 Y m B e u a U y d D 1 8 u r E H T w L M K z Y r e p M O v N 0 L H v v f Z g w e 1 9 8 O v q / 3 9 I 3 b 6 b 3 b T o K v 9 M w 7 2 z e + F J n t 2 2 q 8 W y M W m e / b q r v b D 6 Q / 4 b f T d b e c v c h 8 b 2 9 + x d d v t x m 2 r 9 9 u h 5 S v 2 W 7 V Q 2 S y b x i E h 9 O n R t t 8 + e b V l 6 / T 0 5 / 4 6 u z l l x y 4 3 q h v a B n g 4 W 3 i V t u F V W j m z f f q Y F i h m Q 4 2 D d n j 8 N s 0 9 5 j b N C d 3 + c G D 3 Y P x w 0 9 v p 9 H e 6 z 2 P z 8 1 7 l D 7 c P X h 4 f 3 f z + r f H 8 + b F g 0 / 3 d 2 k p e 7 y 3 q U O P 8 9 8 L U V / h 6 Y u 3 U 3 i 3 o b q v 7 G 7 V / j 2 Z w N d z t 2 o f Y Y P b 6 r h b t e 9 P + + 3 U 2 / t N W W S u t 2 / 1 p q / s b j M e X 9 m 9 F 4 q + z r t V R 5 G J v 9 2 Q P A w f R F X f 7 b T S L e J a C z 5 U e z f H t W E H w 2 r P d H B L t X e b 5 h 6 / m + a 3 U 0 M e 4 7 / f i 5 4 E v N + L n j T c Z m S e D L x f P 7 7 C 0 z d v p / B u g 5 W v 8 G 7 V / j 2 n 3 1 d 4 t 2 o f Y Y D b K r x b t e 9 P 9 + 0 U 3 n v O W W S 2 t 2 / 3 q q / y b j M i X + W 9 H 5 K + z r t V T 5 G 5 v + W g P B w P j F Y 6 q c p 8 O i 2 q Z d 6 M 0 i 8 n d d a k s 5 t U 0 4 O b t Z 6 F 7 1 6 5 J c x h R W d g 3 l L R 3 a a 5 x + e m + T 1 a 8 L l / O x V 3 2 1 c 8 b j e v P N j 9 d O M r H s / b X v b 3 N n r z H r P f F j F f q e k 7 t 1 N q t 6 G t r 9 R u 1 f 4 9 p 9 p X a r d q H 5 n s 2 y q 1 W 7 X v T / P t l N q t Z y s y w 9 s 3 v e Q r s t u M w l d k t 0 X M V 2 G 3 6 i M y 0 z c O x M P r o V E u T 2 g N g h J v x 6 / e n L 1 + c 3 a r Z d Y H u / d 3 7 9 0 m X L W d G L / N v v l e H Q y r M 9 P B J k p 5 L H 6 b 5 h 6 H m + a 7 n 9 L q 9 S 3 1 2 a 3 f 8 T j d v H P v / s E N L 3 k c b 1 + 6 v U q 7 N W 6 + T t O X b q f T b k N g X 6 f d q v 1 7 z r e v 0 2 7 V P j L j t 9 V p t 2 r f n + n b 6 b T b T 1 d k j r d v f M v X a r c Z h 6 / V b o 2 a r 9 Z u 1 U l k s m 8 e i s P s / k 5 c r 5 3 c H I 2 K 0 t m 9 U a u 5 L k K t t v u e H Q x q N d v B 7 b T a r Z o 7 H r f N b 9 Y 2 j t H f 4 y X H 7 e / x k u P 6 W 4 3 G 8 f t 7 9 O E p N f P W r Z T a r T D y l N r t 2 r / n d H t K 7 X b t I x N + S 6 V 2 u / b 9 a b 6 V U n u f + Y r M 8 v b N r 3 l q 7 V Y j 8 d T a e y D n 6 b X b 9 R K Z 7 1 s M x s N t 1 2 i d 4 2 l b X F Z N + q S o y n / 0 b 7 0 o p l V z k + Y 5 u F m p W f D u l V v C H N Z j B u Y m w n h 8 f Z v m H l u b 5 r v 3 D j 7 d 9 I r H 2 b d 9 x W P u 2 7 7 i s f h t x u H x 9 m 1 7 8 P W X v n M 7 / X U b f H z 9 d a v 2 7 z n N v v 6 6 V f v I R N 9 W f 9 2 q f X + K b 6 e / b j 1 b k R n e v u k l X 3 f d Z h S + 7 r o t Y r 7 m u l U f k Z m + c S A e X n t G s c j S w P H J m / T J 2 Z f P v / w 8 f X 1 z p E n 5 u A e 3 W R h 1 v R i f z L 7 5 X h 0 M 6 z L T w S 1 1 2 W 2 a e y x u m n / 6 8 N 4 t V d k t 3 / D Y / J Z v e L x + m 0 F 4 b H 7 L D n w 9 p q / c T o / d B h 1 f j 9 2 q / X t O s a / H u u 2 j 7 S O T f F s 9 d q v 2 / Q m + n R 6 7 7 W R F 5 n f 7 h n d 8 L X a b M f h a 7 J Z o + U r s V l 1 E p v m m Y X h Y 3 e v p s L O f p J + i x 2 6 n Y n Z v 1 m G 2 l 1 C H 7 b 5 n B 8 M 6 z H R w S x 1 2 m + Y e e 5 v m t 9 d h t 3 z D Y / F b v u H x + W 0 G 4 f H 4 L T v w d Z i + c j s d d h t 0 f B 1 2 q / b v O c W + D r t V + 8 g k 3 1 a H 3 a p 9 f 4 J v p 8 N u O 1 m R + X 0 f H X a b M f g 6 7 J Z o + T r s V l 1 E p v k 9 d N i + 0 S 4 m f j x b t t n y o p i U e X O D h r l / s + 6 y 0 O 0 b t 4 M 4 r K w M x I N 7 + 4 i T x x j + 4 D g 9 j j b v 7 e 8 9 f P j w 0 4 f j / d t p L / P a 3 r 2 9 e w / 3 7 + + P H 9 5 O h 5 n 3 d h / u P r x / s L 8 3 3 t F l 2 p t U m X s R N u n T B + O H m 3 r 0 u N 6 8 + H B / 7 / 7 4 4 d 7 t 9 N r 7 o e m r N 3 3 z d u r N E n 9 n / 9 6 n u 3 v j g 0 2 T 5 u s 5 8 + L 2 7 d 6 M 8 M l t N d 7 7 o R j h k N u q v v c c U p 8 1 b q c E 3 3 N m I z y x f b t X f Z V 4 G 1 r 4 K v H 9 k P Q 1 4 6 1 6 i r D D L Q f l 4 X j f q L D X 1 X l 7 l d X 5 T T r s F i 6 d h e l e u S X M Y c V o Y O 5 / u v v p / Z 0 x e G F w e B 7 f m 9 d u 6 c 2 Z 5 r R m 8 e k B + Z f j T x X 3 m x S i f X H / w c 6 n D / d I A W 9 i e 4 / r v R d 3 P 7 1 3 / / 7 4 3 i 1 X D M y L 7 6 U Q 3 w 9 N X y H q m 7 d T i O 8 z W b 4 + N O 9 t 3 + r F C H f c V h 2 + F 4 I R / r i t N n y / A f X Z 4 n b K 8 D 1 n N c I P 2 7 d 7 1 V e G t y G F r w z f D 0 l f G d 6 q p w g z 3 H J Q H o 6 f W m X 4 5 b M 3 3 z 1 + d Z q + f n 5 j u u 7 + 7 u 7 9 h 7 u 3 S d d Z 8 B r q u j f f q 4 N h J W k 6 2 E Q p T w p u 0 9 x j f t N 8 d / / T h w / u 7 9 w b G 8 V + k 3 J 8 v x c 9 K X A v 3 m Y i P Y k w L 7 6 X c n w / N H 3 l q G / e T j n e h u q + U r x V + / d k A l 8 X 3 q p 9 h A 1 u q w N v 1 b 4 / 6 b d T f e 8 5 Z 5 H Z 3 r 7 d q 7 7 q u 8 2 I f N X 3 f k j 6 q u 9 W P U X m / p a D 8 n B 8 0 F V 9 t 1 N K t / A G L e R Q 6 9 3 s F I Y d D G s 9 0 8 F t b K z H 9 + a 1 W 2 o / 2 8 u D 3 Z 0 H n 4 5 v q f r M W z c r I k 8 C b v + S J w m 3 G Y 7 H / r f v w 1 d 0 + t b t F N 3 7 z I u v 8 M x 7 t 3 O a I o x w W 8 3 3 X g h G W O G 2 G v D 9 B t R n h N u p w v e Y 0 Q g f b N / 8 m q 8 C b 0 M C X w X e H j l f / d 2 q l w g D 3 G I w H m 4 H R k E 9 L 6 b 5 c l p k N 2 Y G 9 2 / W e h a o e + W W M I c V n Y H 5 4 O B g 9 + E 9 i v E 3 h Y o e n 5 v 3 3 j M 5 a F 4 7 2 H m w c / D g / n j v 4 e 1 0 n u 1 u / + D g I W W A P t 3 U n 8 f t 7 / W e x / j m v V t q v v f q x l d + + u L t l J / p h b K 4 u w 8 / p V 4 2 z Z W v / c y L 2 7 d 7 M 8 I e t 1 V / 7 4 d i h D F u q / / e c 0 h 9 l r i d A n y / i Y 1 w x P a t 3 v T V 4 G 0 o 4 a v B 9 0 L R 1 4 S 3 6 i j C C 7 c b k o f h w 5 4 y p C W T 8 6 p e / K N / c V t M I 0 o s V G K 3 8 A d t D 9 4 7 w G y D a r y F E 2 i g v q 9 u N O + 9 p 2 4 0 r 7 2 v b r T d 3 W Z a P E F 4 r / c 8 m T D v 3 V I 3 v l c 3 v m 7 U F 2 + n G 0 0 v t 1 M H E d a 5 p S K J s M d t d e P 7 o R h h j N v q x v c c U p 8 l b q c b 3 2 9 i I x x x O 0 X i 6 8 b b U M L X j e + F o q 8 b b 9 V R h B d u N y S H 4 a c 7 V j e e n Z y + O D k 7 f p 2 e v X j 2 5 a 2 S h P s U z T 6 4 R Z L Q d W L C Z f v m e 3 U w q C l t B 5 v I 5 S T h V s 0 d / 9 v m t 6 K t k 4 P 3 e 8 9 J w f u 9 5 w T i V s N y Y v B + 3 X i K 0 b x 4 K 8 V 4 K 6 Q 8 f X i 7 9 u 8 5 9 Z 4 W v F 3 7 y O T f U v n d r n 1 / s m + l 8 t 5 z y i J z f T v 9 4 K m 8 W 4 3 H U 3 n v h 6 K n 8 m 7 X U W T i b z c k D 8 N d T + W x s n v 1 B f 1 4 c / o c G g w A b l J I u z d r P N t H q P F 2 3 7 O D Y Y 1 n O n h P 3 9 C + 9 3 6 + o X 3 t V h b d k w Z 9 b 5 i 7 P U m 4 s a 0 n C D e 2 9 X j / x r a + b r u 5 c Y S T b k U V X 8 m Z F 2 / p I U X m / b b q 7 v 1 Q j M z 4 b f X e e w 7 p f e b d 1 4 A 3 N 3 6 f m f c V 3 c 2 N + z O / o X F / t j c 0 7 k / w h g G 6 t n t G y z z N V 3 V O g e 2 0 + E f / 1 u U o f Z q 3 e V 3 c o G s + v V m L W f j 2 j d t B H F Z b B i J 5 d Q e f f n r v 0 z G I O s g l H h + b F + / v P t h 5 s L 9 z c D C G z z v 4 p s f I 5 k 0 s n e / u P N z Z x U r H p n c 9 p n b v 7 u z t 0 / 8 f 7 N 0 b H 2 z C 2 G N r 8 y 4 t r d y / v 7 N 3 7 9 P d 8 b 1 N 3 X p M b l 7 d 2 y E d v X N / 5 4 C C 8 d v 5 d O + N s K / 7 9 O X b 6 T 7 b 0 z 4 t y x 0 8 2 L + / N 7 5 3 c E v 1 Z 9 6 9 7 a s R B r p 1 t x E e u q 3 r 9 7 5 o R h j n t l 7 g z a S P s M f t J z n C I b d 9 1 1 e R 7 9 2 x r z J v Q x J f a 7 4 3 o h E u 2 U h + 1 / x e V I + m x 9 P 1 Y l 1 m N 2 m 9 3 Z s V q e 3 A v X J L m M O q 1 M D 8 9 O D + p 7 s P H + y P w e q D o / X E w L x 4 b / / + / X s 7 9 w 4 e j O 9 t e t M T C P P m 9 n 2 y 8 f v 3 H 5 I W 3 r 9 3 O 0 1 q X 9 0 7 2 N 1 9 8 O A + 8 o u b X v V k w 7 x 6 W 0 b w J M W + e m / n / t 7 B D v m 8 4 5 1 N Y / X k 5 H 0 R 9 h W p v n s 7 R e o 6 e v D p w 0 8 P 9 n f v b V T 2 v h 4 1 r 9 7 y z Q j z 3 L b T C P v c V o u + J 5 I R n r m t E r 2 Z 7 B H W u P X 8 R n j j l q / 6 K v R 9 u / U 1 6 G 3 o 4 W v Q 9 0 U z w h + 3 V K D 7 V o G e v n y R P j k 7 f X G K P O I X X 5 0 + e X 5 6 o 6 7 b 3 a H n F l r U 9 q J B t X v z v T o Y V q m m g / d W q e b F 9 1 e p 5 s 2 v o V L t q 7 e c X 0 9 S z K u b p t e T F d P 8 l h 1 5 k v K + O P p a V N + 9 n R Z 1 H d 1 O z U T Y 6 p Z v R v j l t p 1 G O O a 2 W v Q 9 k Y y w y W 2 1 6 M 1 k j 3 D G r e c 3 w h u 3 f N X X o u / b r a 9 F b 0 M P X 4 u + L 5 o R / r i l F r 0 f a N G n p 2 9 O X 5 1 9 + e r L 9 P i L L 1 + 9 u V H J 7 d 1 S i 9 p e r B Y 1 b 7 5 X B 8 N a 1 H S w a d S e J N y m u S c I t 2 n u c f 9 t m n v M L 8 2 / l q / 5 v q 9 6 k n A b J H 3 N q O 1 v p x l v B T z C H x v b v + d 0 + 5 r v V u 3 f c 8 J 9 f X e r 9 v 0 p v 5 2 + u x X w 9 5 x Z X 7 H d q v 1 7 T q 6 v z G 7 V / n 0 n 1 z X / 1 G q w r x N I 7 9 2 s v G w H 7 p V b w h z W V w b m L f W V a b 5 3 / + D B 7 s P x / f u 3 0 1 v m t e 0 9 S u f t 7 e 2 P 7 9 3 S z b M v 7 h 7 s f X p / Z 3 / 8 4 O B 2 u u w 2 4 / J Y 2 z S / V T c e i 7 8 f f r 4 a 0 z d v p 8 Y c / W 5 B d 1 + f v c 9 8 + X r t / T q M M M h t F d x 7 I R h h j N s q u p v J H e G G W 8 5 q h B 9 u 9 a K v + 9 6 v S 1 8 L 3 o Y S v h Z 8 P x T f U 1 V 4 e D 2 w 6 h A O H S 0 1 v z o + f f 3 m 1 V c n b 7 5 6 d X y j 5 r p t W G x 7 M Q 6 d f f O 9 O h h W k K a D W y p I 0 / w 2 / O y J g X n t v R W k f f F W 0 + k J x G 3 G 5 Y m E a X 6 r b j y B e D / 8 f A W p b 9 5 O Q T r 6 3 Y L u v o J 8 n / n y F e T 7 d R h h k N s q y P d C M M I Y t 1 W Q N 5 M 7 w g 2 3 n N U I P 9 z q R V 9 B v l + X v o K 8 D S V 8 B f l + K L 6 n q v D w O r A K 8 u v 4 i / d u 1 o 2 2 A / f K L W E O q 0 M D c 5 c W Z h / e f z g G C w 0 O 1 m N 7 + x 6 W o e / v H + y P P 9 1 E V k 8 A z J v b D 3 e J x A 8 e 0 o z c / / R 2 y t G + + o C C 0 o e 7 9 x 7 Q C s g m + f H E w b x 6 f / c e L U P f e z C + v w l d T z T M i w 8 e 7 u 0 T x r u f j g 3 d b 1 K V 7 4 u t r y z 1 3 d s p S 9 v R 7 q c P 7 x 9 8 e n / v / v j + p m D d 1 5 d 2 H m / 5 a o R 1 b t 1 t h H 1 u q z X f F 8 0 I 0 9 x W c d 5 M + g h 3 3 H q O I / x x y 1 d 9 5 f m + 3 f r q 8 z b 0 8 N X n + 6 I Z 4 Z C N p H f N H 1 o F 6 i 2 8 y L L L 6 x t V 3 W 0 d T N u J c T D t m + / V w b B G N R 2 8 r 0 a 1 7 7 2 3 R j V v f g 2 N a l + 9 5 e x 6 c m J e f W + N a l 5 8 f 4 3 6 v t j 6 G l X f v Z 1 G t R 3 d V t 9 E G O y 2 r 0 Z Y 5 9 b d R t j n t h r 1 f d G M M M 1 t N e r N p I 9 w x 6 3 n O M I f t 3 z V 1 6 j v 2 6 2 v U W 9 D D 1 + j v i + a E Q 6 5 n U Z 9 s G M 1 a t 7 m d V H V l X F H Z 9 V N C m / / R l 3 q w L t X b g l z U H 1 a m J t G 6 N j + V s 0 d 1 9 v m 2 5 8 + v L f p F c f t t 3 7 F M f y t k H I s b 5 v f 0 I F j 9 F v j 5 C l A 8 8 6 t F O C t R u A p v d u 1 f 8 9 Z 9 r T b 7 d p H 5 n l j + 8 g k b 2 z f n + F b q b T b z 1 Z k h m 9 4 x V N h t + 7 G U 1 2 3 G r e n u m 6 N 1 v t O t W u + a 1 U W l o z T 4 5 M 3 Z z / 5 5 W v y B r 9 8 / u X n N + q X W 3 q B r h f j B d o 3 3 6 u D Y T V m O t g 0 a o + / b 9 P c Y 2 / T / D 3 U 2 G 1 f 8 Z j 8 N k h 5 b G 6 a 3 1 6 N 3 R Y n X 4 3 p O 7 d T Y 7 c Z g a / G b t X + P W f Z V 2 O 3 a h + Z 5 9 u q s V j 7 T W r s Z m J G 5 v f G 2 Y r M 8 H u o s d t 2 4 6 u x 2 4 z b V 2 O 3 R e t 9 p 9 o 1 3 z M K 5 n h R 1 W 3 x g / d L B t 6 / W Y P Z D t w r t 4 Q 5 r L Q M z N 3 7 D 3 b 2 x g 9 v p 7 r s S w c P 9 x 8 + G O / o K v Z N K s y 8 t r 1 L b v D e w f h g U 5 j s s b h 9 7 9 4 9 S u X e L l a 1 L 9 1 S k 5 n m N 3 b h c f r t 8 f K 1 m b 5 1 O 2 3 m k Y y C h v 3 x 7 i Z S + 2 r N T t F t 3 o v w w + 0 6 j P D E b f X c e y E Y Y Y a N / f T 5 4 H b 6 7 j 1 m N M I H N 7 7 k 6 7 z b d + V r v d u M 3 t d 6 t 0 c t w g O 3 1 H v 3 r N 7 7 4 s t X b 2 i Z + M 3 x i 8 / P b p P B u 3 9 b 3 8 1 2 Y X w 3 + + Z 7 d T C s B k 0 H 7 6 U G 7 U v v p w b N a + + r B u 1 7 N 0 6 m x / 7 m p V u q Q d P 8 x i 4 8 9 r 8 9 X r 4 a 1 L d u p w Y 9 k t 1 C W 0 Q Y 5 1 b v R f j h d h 1 G e O K 2 a v C 9 E I w w w 2 3 V 4 M 3 k j n D B L W Y 0 w g c 3 v u S r w d t 3 5 a v B 2 4 z e V 4 O 3 R y 3 C A 7 d U g / t W D U 7 b 4 r J q 0 q f F O S X g Z l V z g 5 Z 6 c L P + s 7 D t G 7 e D O K z w D M R N g / P Y + j b N P a 4 2 z f f 3 H j 4 8 2 N n 0 k s f S t 3 / J 4 + v b v + T x 9 2 1 G 4 z H 2 7 f v w F Z y + d T s F d x u M f L 1 2 q / b v O d 2 + G r t V + 8 i E b 2 w f m e v b q q + b i R m Z 3 l v M V 2 S W t 2 9 + z V d g t x m J r 7 p u j 5 y v w G 7 V S 2 S + b z E Y D 7 f 7 R s 2 c N u 1 6 V l T N K H 1 W 1 Y h e E c r e p H R u 4 c f Z D t w r t 4 Q 5 r M k M z F t q s t s 0 9 x j b N L + Z j h 5 3 3 / 4 l j 8 V v / 5 L H 6 r c Z j c f j t + / D 1 2 T 6 1 u 0 0 2 W 0 w 8 j X Z r d q / 5 3 T 7 m u x W 7 S M T f l t N d q v 2 / W m + n S Z 7 j / m K z P I t h N / X Z L c Z i a / J b o + c r 8 l u 1 U t k v m 8 x G A + 3 T 6 0 m e / 0 m / X 3 S l 6 + + / H 1 O T 9 5 8 m b 5 + + u W N K m f 3 0 3 s 7 6 O c m Z W b 7 0 K D U v f l e H Q x r N t P B L T X b b Z p 7 j G 6 a 3 0 x X j 9 t v / 5 L H 8 r d / y W P 9 2 4 z G 4 / n b 9 + F r N n 3 r d p r t N h j 5 m u 1 W 7 d 9 z u n 3 N d q v 2 k Q m / r W a 7 V f v + N N 9 O s 7 3 H f E V m + R b K w N d s t x m J r 9 l u j 5 y v 2 W 7 V S 2 S + b z E Y D 7 c H R u t 8 2 d Y U Z J p g c 1 m l J 0 V 9 g + p 5 e L N S s + D t G 7 e D O K z F D M R b a r H b N P e Y 2 j R / u H t / b / / e 3 t 7 4 / q Y M i s f d 7 / e i x + b m x d 2 D e z v 7 B 5 / u 3 x / v 7 N 9 O p b 1 f l x 7 b v 9 + L v o L T N 2 + n 4 G 5 D e l / B 3 a r 9 e 3 K C r + B u 1 T 7 C C 7 d V c L d q 3 5 / 5 2 y m 4 9 5 y z y G x v 3 + 5 V X 9 H d Z k S + o n s / J H 1 l d 6 u e I n N / y 0 F 5 O B 4 Y j f S k y J d 5 k + b L 9 K R a V L O s r W 5 S T v d u 1 n c W u n v l l j C H N Z 6 B e U u N d 5 v m H p e b 5 h s I G d d 4 7 / e i x / f m x f f X e O / X p S c D 7 / e i r / H 0 z d t p v N u Q 3 t d 4 t 2 r / n p z g a 7 x b t Y / w w m 0 1 3 q 3 a 9 2 f + d h r v P e c s M t u 3 V A 6 + x r v N i H y N 9 3 5 I + h r v V j 1 F 5 v 6 W g / J w f G g 1 3 t n p i 9 P X 6 e m L 9 O T L L 7 5 8 e v z m p u D 1 4 b 3 b r q j a P j R 4 d W + + V w f D S t B 0 s I l c H u f f p r n H + K b 5 7 W j r S c D 7 v e i J w v u 9 6 I n F b U b m y c L 7 9 e N r P n 3 z d p r v N l j 5 m u 9 W 7 d 9 z + n 3 N d 6 v 2 E Q a 4 r e a 7 V f v + d N 9 O 8 7 3 n n E V m + 5 Z K w t d 8 t x m R r / n e D 0 l f 8 9 2 q p 8 j c 3 3 J Q D s e D n Y 7 m M 2 o v f f 3 8 x s T d w 3 t 7 t 9 N 9 r h e r + 8 y b 7 9 X B o O 6 z H d x O 9 9 2 q u W P 9 W z V 3 n H + r 5 o 7 x b f P b z Z 0 T g v d 8 0 c n A r R D 0 9 J x p f y s 9 d z v g E d 6 4 p Z 6 7 X f v 3 n G t P z 9 2 u / X v O t q f n b k H M y B R v B P 6 e M + u p t N u 1 f 8 / J 9 R T Z 7 d q / 7 + S 6 5 r t G r 7 z M G k r K p d f p S b Y q 2 q z c q F j 2 t m 8 O U x 1 o + 8 b t I A 7 r K A N x d 3 f / 0 4 O D n Q d 7 D w 7 u j X c V 8 E 0 a y 7 3 8 Y P f + g 7 3 7 i A v H e / u 3 0 1 / m 5 e 3 7 D + j d g / 3 d 3 Y c H 4 / s P b q f N 3 M v 3 d 3 f u f f r p z s N 7 9 8 b 7 n 9 5 O t 5 m X 9 x 5 + u v d g / 8 E e j X 1 s U p w 3 q T f z 7 s H + g 3 u 7 u / d o x A / G W J w a f N e T g / d H 2 t d 3 + v b t 9 J 3 t a m / / 0 4 e 7 B z t 7 n 9 4 f 4 / v h n i J c d u t 3 I / x 0 + 4 4 j / H R b r f j e i E Y 4 6 L Y a 8 m b y R 7 j k P W Y 6 w i e 3 f t l X n u / f t a 9 K b 0 M V X 5 W + P 6 o R X r m l X t 0 L 9 e p m 3 X e z L r X g t P 1 t o A 3 r U Q O N d M L + z r 3 7 9 + 7 v 3 3 8 w / v T g d n r U v f z p w / u 7 + / T B p 5 + O T Q 7 y J j 1 q X t 7 e u 7 e 3 f 3 8 H o f m n 4 w e 3 i 4 P d y 7 s P P 3 3 4 Y G 9 v Z + / h g / H + J i X s i Y R 5 e W / n 0 4 P 9 A 1 K l 9 8 e f b p p 7 T 0 D s q 7 s P P r 3 / Y I f U 6 A 1 W x x O P 9 8 f Z V 6 P 6 9 u 3 U q O 2 K 5 v P B A V m p n Y f j v U 3 a 3 l e j 5 u V b v x t h p 9 t 3 H G G n 2 6 r R 9 0 Y 0 w k C 3 V a M 3 k z / C J e 8 x 0 x E + u f X L v h p 9 / 6 5 9 N X o b q v h q 9 P 1 R j f D K L d X o v V C N Y r 1 4 u i 6 z Z Z t v 1 o G 7 N 6 t U C 9 q 8 c C t 4 w 0 r V w N u l q H v / I f m H n + 7 t j n c 2 0 c W T A v f y / f 2 D g 4 f v p 1 T N y 9 s P S B / v f 7 q / v 0 8 d P 7 y d T r X v 7 j 8 k 7 5 J k 6 u H 9 8 d 6 m f j 3 x M O 9 + D Z V q X n 1 A u n T v H v W 7 M z 7 Y h L E n K e + N s a 9 Q 9 e X b K V T b E w U L D x / s P M Q q 0 s G m A f o K 1 R L n t u 9 G W O n 2 H U d Y 6 b Y K 9 b 0 R j X D P b R X q z e S P 8 M j t J z r C J b d 9 1 1 e n 7 9 2 x r 0 1 v Q x J f m 7 4 3 o h E + u a U y 3 T c a 7 2 S d L 9 u s S V d V n b 7 M L r I 6 z W 5 Q f 7 f Q p x a 6 f e N 2 E I c 1 q o F 4 c P D p v f s P 9 z / 9 d P d g v C l i 8 o T A v P q Q r N O 9 g 7 2 d + 6 R O 9 z e 9 6 w m E e X f 7 / g 4 l G R 4 + J C 9 3 v L P J O f Y E w r 5 7 b / / e z t 7 e p z s 7 e + M H t / R Q z b u 7 D x / u H 9 x 7 s L + 3 P 9 7 Z x A m e q J h X 7 + / v 3 d / 5 9 N 7 + 3 q f j T Q h 7 c v L e C P v a V F + + n T a 1 P e 2 S E 3 3 w 4 B 4 N c n z P T c l m b W p p c 9 t 3 I 2 x 0 + 4 4 j j H R b b f r e i E a Y 5 7 b a 9 G b y R 1 j k 9 h M d 4 Z L b v u t r 0 / f u 2 N e m t y G J r 0 3 f G 9 E I n 9 x S m 9 4 3 + u 5 1 X l 8 W 0 6 J q 0 p d 5 3 V T L r M y b m 5 T f L f S p h e 9 e u S X M Y Y 1 q Y D 7 4 l N J P D y i V + X C z 2 + U J w v u + 6 s m E e X V 7 l 1 7 7 9 M H O + P 7 + 7 b T p + 7 3 o S Y Z 5 c W d s H P u b N K h 5 w / R 0 2 z T p + 6 H o K 0 9 9 8 3 b K 0 w 5 o E / A I 8 2 x s H 2 G M j e 0 j 3 H B b t X i r 9 p G Z v 6 0 q v J m Y k b m + 5 Z x F Z v t W L / p K 8 P 2 6 9 D X g b S j h a 8 D 3 Q / F 9 W c A 1 / 9 S q v 9 N X P 3 l 2 c v Z l + v L 0 F S m i 4 + f p y c s b V d X u L Z e 9 b S + 8 7 O 2 / + V 4 d D G t E 0 w G r t R 3 y u e 5 v N h i e D L z v q 5 4 4 m F c 3 0 d q T B m 0 + z N 2 e J N z Y 1 h O E G 9 t 6 r H 9 j W 1 + 3 3 d w 4 w k m 3 1 W 2 3 a h + Z 4 t v q t l u 1 f 8 / J 9 H X b r d q / z 4 z 6 u u 3 m x u 8 z p 7 4 K u 7 l x f 0 4 3 N O 5 P 6 I b G / d n c M E D X 9 o H R H s c v v 3 z 1 h h T U i 9 f p 7 5 N + 5 6 s n r 2 + t o + 7 d r K N s L 6 G O 0 t D t 1 h 0 M 6 y j T w Y N 7 9 + 7 t j y E K g 3 z j s f F 7 v O U x s 3 n r l p p J m w / P h s f H N 7 b 1 2 P j G t h 4 X 3 9 j W 1 0 w 3 N 4 7 w z 2 0 1 0 6 3 a R y b 2 t p r p V u 3 f c z J 9 z X S r 9 u 8 z o 7 5 m u r n x + 8 y p r 5 l u b t y f 0 w 2 N + x O 6 o X F / N j c M 0 L U 9 M D o D 3 p P z n F 4 / f / r l 7 d T G / s 1 6 y f Y R 6 q X 9 9 + x g W C + Z D j a x i 8 e 9 t 2 n u M a 9 p f j u X 2 e P i 9 3 v R Y 2 e L 4 K 2 j R v P G + 0 a N 7 4 e i r 7 / 0 z d v p r 9 t Q 3 N d f t 2 r / n g z g 6 6 9 b t Y + w w G 3 1 1 6 3 a 9 y f 8 d v r r P e c s M t u 3 e t F X b O / X p a / l b k M J X 9 G 9 H 4 r v y w K u + U O j k 1 7 W 1 W W e z 6 o 6 b 9 J 3 s g h x k 1 7 a u 1 n l W f D u l V v C H N Z y B u b u / v 2 9 A 1 q b v f d g b 7 x 3 c D u V Z 9 + l B U 5 a S n j w 6 e 6 n m 3 W L x / z m 3 W 1 a w C C N f J 9 W 2 T / d 1 K 0 n B / b V + 4 T v 3 r 3 7 9 z Y r J k 8 i z J t 7 e 3 s P d x 7 s f 3 o w / n S T 4 + i J h 3 3 z Y P f B w 4 c H e 3 v j e 5 u C Y U 8 8 3 h N b X x v q q 7 f T h r a f g w c P 6 c + 9 / X u b V 9 h 9 z W j e v e 2 r E f 6 5 d b c R / r m t w n x f N C M 8 c 1 v d e T P p I 8 x x 2 y m O c M f t 3 v S 1 5 3 t 2 6 q v P 2 x D D V 5 / v i W S E O 2 6 n P x / u W P 3 5 6 s u f P D 1 9 + u W r 0 9 v E s n u 3 z L c 5 + M Z n t G + + V w e D 2 t R 2 s L v z g D T a w 5 3 7 B / v j h w 9 v p U 3 d u 7 t 7 t N C 5 s / s p q c S N / O 0 k w 7 5 L a / r 7 + / B x 9 8 Y P 9 2 + l T c 2 r w 5 z u p O L m t k 4 o b m 7 r p O D m t p 5 W v E X j C E f d l j C e V r T v 3 v b V C B / c u t s I H 9 x S K 7 4 3 m v 2 5 v 6 1 W v A X p 3 4 c B P D 1 4 c 2 N P 9 d 2 i c Z 8 D N j T u T / m G x v 1 J 3 j B A 1 3 b X a J 5 n X 7 2 g 1 Y Q X x 6 / O v r y 9 a r v Z N 3 x o O w h V 2 8 0 u Y t j B s G o z H Z C r d 2 / n 0 3 s H O + N P V W 9 G x + 4 x t H 1 z d 4 f + 2 9 1 5 O N 7 f Z D 8 8 1 j Z v U o T w c P / B 3 s E Y q 9 i D L 3 q M r S 8 O T 4 3 H 1 D e 2 9 X j 6 x r Y e S 9 / Y 1 l d q N z e O M N P t y O K r N P P m 7 V 6 M z P 4 t u 4 z M / m 3 V 2 f u h 2 J / z W y u z m 0 n + P h P v K 7 M b G / v K 7 O b G / Z n f 0 L g / 2 R s a 9 y d 4 w w B d 2 z 2 j a + C m p U 9 P f / L 0 x e f H T 7 + 8 t T q 7 e d X B d R G q s x t X H T o d D K s z 0 8 E e e a m f 3 n / 4 8 P 7 u + O B 2 6 s y + + e n 9 3 d 2 D v d 2 9 h + O d W + o z 8 + r 2 / v 7 e / b 2 9 3 Q c P x n u b X v W 4 W 1 8 d n h + P s 2 9 s 6 z H 2 j W 0 9 v r 6 x r a / R b m 4 c 4 a j b E s b X a e b d 2 7 4 a Y Y J b d x t h g 9 v q t f d F s z / 3 t 9 Z s N 5 P + f R j A 1 2 w 3 N v Y 1 2 8 2 N + x y w o X F / y j c 0 7 k / y h g G 6 t v d 8 z W Y C 0 N s s W 4 j e 2 b 9 Z s d k e Q s W 2 / 5 4 d D C s 2 0 8 G n + 7 u f f r p 7 7 9 P x p h D S 4 2 f z 3 t 6 n O w / 2 9 h + M 7 z 2 8 n U 5 z 7 3 3 6 6 f 1 7 9 8 d g 3 M H 3 P K Y 2 7 9 0 y f + G x t + 3 x f b N 4 7 s 3 3 z e K 9 L 7 a + I t R X b 6 c I 7 e z t 3 q e e D g 7 G M M z D 3 U Q Y a / u W r 0 Z Y Z q N + i b D K L X u K M M v G n m J M c s u u + l x y O y X 4 v t M b 4 Y z b v e n r x / f s 1 N e W t 6 G j r z D f E 8 n 3 5 Q 3 X f N + o t 5 M v X 7 x 5 d f z m 7 P W b Y / U Q b 9 S h 9 2 4 b 6 9 p O j A 6 1 b 7 5 X B 8 M 6 1 H S w S 8 v e D z / 9 9 N 7 u w f j + L b 1 D 9 + p D 6 u v + / r 2 9 W 2 t S 8 + r 2 3 s 6 9 h 4 T t + G A T r 3 t S o i 8 O s 7 o n F j e 2 9 a T i x r a e G N z Y 1 l e J N z e O s N T t y O K r R P P m 7 V 6 M z P 8 t u 4 x M / 2 2 9 w v d D s T / n t / Y J b y b 5 + 0 y 8 r w B v b O z r v J s b 9 2 d + Q + P + Z G 9 o 3 J / g D Q N 0 b e 9 b l V Y t 2 z p r i 6 b N m n R V 1 e m X k / p G l X O z N r P w 3 S u 3 h D m s w A x M W o e 4 d 2 9 n / / 7 B 3 n j 3 l g r M v k q Z O l J f B z c l + j x m N q 9 u 3 3 v w 6 a d E 5 P 3 x p 5 / e T o P Z N / f 3 d j / d p 1 X k T U 6 r x 9 X m v X u 0 W H J v 7 2 B s l n J u 0 m z m P U q Y H z x 8 s D / e 2 7 + d G / h e e P o a T 1 + 8 n c b z 6 L h 3 7 + H e w 4 P x / s Z + I s x 0 y z c j L H P b T i M s c 1 u l 9 5 5 I R v j k t l r v Z r J H m O J 2 k x v h i t u 8 5 y v D 9 + r Q V 4 y 3 I Y O v G 9 8 L w Q h P 3 N L 5 + 9 R q S u f 8 3 W a R Q / y y 3 Z t V p e 0 g d P x U 6 G / d w b D e N B 2 Q 3 t w 7 O N g 7 2 K G A Y 5 O n 7 A m B f V X 0 5 g N y s m + r N 8 2 r 7 6 8 3 9 c 1 h / v Z k 4 c a 2 n i j c 2 N b j / h v b + n r w 5 s Y R f r o l X X w 9 a F 6 9 5 Z s R F r h t p x E W u K 0 e f E 8 k + / N + a z 1 4 M 9 n f Z / J 9 3 X d j Y 1 / h 3 d y 4 P / s b G v f n e 0 P j / h R v G K B r + y C q 0 2 6 T E h S l c w s H 0 H Y R a r W b / c D b r n W Y D v a R d r 6 3 W f 1 7 7 G x e 2 9 3 b l C T z + N m 8 s I k r P S Y 2 z W 9 l / j x m N u + 9 r 9 N n y f C e T t 9 7 4 e k r O 3 0 R 7 W 5 W d t 4 k 3 d x J h H t u h 1 2 E K 2 6 b 9 X s v B N + T K 3 z d 9 n 4 D 6 v P F 7 Z T c + / U S 4 Y b b v O f r v v f q 0 N e D t 6 G f r w r f C 8 H 3 5 Q f X / M B o r Z d Z 3 R b T Y p V N i 2 q Z N + l 1 e r y 6 S X X t 3 6 w V L X z 3 y i 1 h D i t C A 5 P y e p / S K t w + 1 i v 2 N 6 0 d e O z v v 0 u + 5 I P d / Z 3 x / q e 3 U 4 z m 3 b 3 7 O w 9 I b Y 8 f b n r P E w X z 3 v b e p 7 f U j R b L / Q c P H + z s k v u 6 S c l 5 8 h C 8 S O s j m 1 / 0 5 O G W O P p 6 U V + 5 n V 7 0 a X f v 4 f 5 m 2 v m K 0 S F 2 q z c j b H J b z f h + K E b 4 4 r a q 8 T 2 H 1 O e L 2 + n G 2 0 5 p h A s 2 v + H r w 1 t 2 4 m v C 2 5 D L 1 4 S 3 R O p 9 Z 9 4 1 f 2 h 1 4 P G r N + n v k x 6 / / J J + 3 h z w 7 t 8 2 4 L U d G N f Q v v l e H Q x r R N M B O V I P H u 7 c v 7 + 3 O 7 5 3 y 4 D X e / X + v Y c H u 3 u f 3 n q l w 7 x 6 K z b 2 + F / f G + Z i j + N v b O s x / I 1 t P U 6 / s a 2 v 6 W 5 u H O G m W 1 H F 1 3 T m x V u q h c j 0 3 1 b T v R + K k R m / r a Z 7 z y G 9 z 7 z 7 m u 7 m x u 8 z 8 7 5 6 u 7 l x f + Y 3 N O 7 P 9 o b G / Q n e M E D T l j R G V J v d J t Q V d X P j y q 3 X R a j P b l y 5 7 X Q w p M 9 c B 5 v 4 z P L z 7 Z p b L n b N b 7 B Z l o 9 v / Y b l X / f G e 3 p w n R d v 7 8 H d G k e n 1 + w r t 9 F r t y O y U 2 e 3 b P + e c + 6 U 2 C 3 b R 2 b 9 d r r r l u 3 7 M 3 4 b j X X 7 y Y r M 7 2 1 9 s 1 t 3 4 l T Y 7 Q b t t N i t k X r f a X b N d 4 2 q o c T d T 6 Z P T + l / r 0 9 O o V j w 9 k 2 q 5 t 7 N u s x 2 E O o y H c 6 t O x j W Z a a D e / f v 7 X + 6 + 3 B n d 3 + 8 s y k T 5 7 H 4 + 7 7 q c b t 5 d R O Z P W b X 5 s P M 6 z H 6 j W 0 9 P r + x r c f g N 7 b 1 V d f N j S N M d F v V d a v 2 k S m + r e q 6 V f v 3 n E x f d d 2 q / f v M q K + 6 b m 7 8 P n P q 6 6 u b G / f n d E P j / o R u a N y f z Q 0 D d G 3 3 j P Z 4 U 2 f L 5 j y v 8 + W 0 y J r 0 y 7 a q L 2 5 S I f d v 1 k 4 W v n v l l j C H F Z K B e e / g / s O D / Q c H t M g 5 3 t m / n U Y y 7 + 7 v 7 O 8 9 2 H 9 I u T c K F 2 + p k s y 7 2 7 s P d x 9 + e r B 7 8 O n D 8 W 0 d M P v u w 5 1 P P 3 3 w 4 O B g f E s / z L y 4 e 3 D v 4 M H + p w 8 f j u 9 t e t P j c / M m j f P + / t 7 + w Y P N y H p M / 3 7 I + l p N 3 7 y d V n P 0 P N i D b d g h Z 3 H j 4 H w V 5 + h y y 3 c j D H T 7 j i M c d F v d 9 9 6 I R r j m t n r w Z v J H + O O W s x z h j 1 u 9 6 C v I 9 + v S 1 5 a 3 o Y S v M N 8 P x Q h v 3 N K 9 u 2 f 1 5 6 v j F 6 + f n b 4 6 f X F y R i u z N y f f 7 t 8 u + e Z 1 Y R w 8 + + Z 7 d T C s T 0 0 H 9 z 6 9 R 0 u S p B H v 7 Y z v P 7 y d P r X v H u w + v H / v g J z K g / G n n 9 5 O n 5 p 3 S Q w P 7 u H l B w e b 3 U N P M v T d Y U 7 3 p O L G t p 5 Q 3 N j W E 4 M b 2 / q a 8 e b G E a 6 6 N W V 8 z W h e v v W 7 E V a 4 f c c R X r i t Z n x v R P v z f 2 v N e D P 5 3 4 c J f G V 4 Y 2 N f A d 7 c u M 8 F G x r 3 Z 3 1 D Y 0 z z b R t 7 W O y H G i 5 9 f f r q J 9 O X p 6 9 u r + P 2 b t Z x t p N Q x + 2 9 Z w f D O s 5 0 Q I v R 9 + i v 3 Z 2 H 4 / u 3 D G K 9 V x / s f H r v 0 / u 7 4 1 s q O P P m 9 r 2 H 9 x + S D z Y 2 U X n 0 R Y + 7 9 c X h + f E 4 + 8 a 2 H m P f 2 N b j 6 x v b + t r t 5 s Y R j r o d W X z V Z t 6 8 3 Y u R 6 b 9 l l 5 H Z v 6 1 S e z 8 U + 3 N + a 4 1 2 M 8 n f Z + J 9 j X Z j Y 1 + j 3 d y 4 P / M b G v c n e 0 P j / g R v G K B r e z / U a N Z n e 3 3 z C s P 9 M G n 2 Z l C h 2 T 5 C h a b M c O s O h h W a 6 W B 3 7 9 7 9 v Y N P 7 + 2 P D w 5 u p 8 / M m 5 / e 3 9 m n g P L T M W R z 8 E W P t c 2 L 2 / f 2 E I 3 u k w q 9 p T 6 z b 9 7 K H f e Y 3 I 7 y v a N f 8 + b 7 R 7 / v h 6 y v B f X N 2 2 l B 0 8 3 9 g / 2 D e w / v H Y w f 3 N b B s w j e 8 t U I 1 9 w 2 0 f e e S E a Y 5 b Y p v / c d V J 9 J b q c J 3 3 N 2 I 3 x x q x d 9 F f l + X f r 6 8 j Z E 9 F X m + 6 H 4 v n z h m n 9 q t N v Z s h 2 l J 9 U i v U 6 r t k 4 / b 6 v m J g 3 3 6 c 3 K 0 4 J 3 r 9 w S 5 r C + N D B 3 7 9 2 j 9 e h 7 n + 4 9 3 E g c T w b 8 N / c o 8 3 d v b 7 P r 6 A m B e Z U y h g f 3 d u 6 N 9 2 4 Z 3 e p 7 w x z t c f + N b T 3 m v 7 G t x + 4 3 t v U 1 3 8 2 N I 9 x z K 6 r 4 i s / O x G 3 e i 8 z 9 7 T q M T P 1 t n b / 3 Q r A / 3 7 f 2 / W 4 m 9 / t M u q / k b m z s K 7 a b G / d n f U P j / k x v a N y f 3 g 0 D d G 0 f W M 3 1 4 k 1 6 8 u U X Z 6 / P v n y R / j 7 p l 2 9 e f f n 6 R j V z 2 5 S d 7 c V 4 f / b N 9 + p g W J u Z D i i U v 3 / v / q c 7 l D q 5 t 8 m L 8 3 j 6 f V / 1 2 N u 8 u o l N P a 7 W 5 s P z 4 n H 0 j W 0 9 h r 6 x r c f P N 7 b 1 t d j N j S O c t F F m I z y x s X 1 k i m / r q t 2 q / X t O p q + j b t X + f W b U 1 1 E 3 N 3 6 f O f V 1 1 M 2 N + 3 O 6 o X F / Q j c 0 7 s / m h g G 6 t g c 9 H Z U + P U 2 P X 3 7 5 + 9 x W R d 0 i Q L W d h C r q x g C 1 0 8 G w i j I d 7 D 3 8 9 A G t 0 N 7 f G T + 8 5 Z q C 9 + b D e / c P 7 u + P 9 z 6 9 n Y I y b 9 7 K 0 H u 8 r e 8 N z 4 7 H 1 z e 2 9 d j 6 x r Y e V 9 / Y 1 t d U N z e O 8 N O t q O K r L P P i r d 6 L T P 3 t O o z M / G 1 1 2 H s h 2 J / v W + u y m 8 n 9 P p P u 6 7 I b G / u 6 7 O b G / V n f 0 L g / 0 x s a 9 6 d 3 w w B d 2 4 d G z b z K 2 3 w 5 L a p l 3 l C w e F I t 2 7 q 4 S d c 8 u F m N W f j u l V v C H N Z c B u a n + / v 3 d n Y e P v j 0 w f j B / d u p L v v q p / c o Y / X w w c G 9 8 c O D 2 + k u 8 + o 2 J T P 3 K c x 8 + P C W y T X 7 I m X k 7 t 9 7 S P h u T p 1 4 f G 1 e v b 9 7 7 8 H D g z 1 K u u i K y 0 2 K z b y 4 S 2 v G 9 + 4 d 7 O 3 u j x 9 u 6 t P j + P d F 1 1 d 7 + u 7 t 1 J 4 j K F a m y a 3 + d L y 3 i a S + 5 r P j u + W r E e 6 5 d b c R 9 r m t / n t f N C N c c 1 s V e D P p I + x x 6 z m O 8 M c t X / X 1 4 / t 2 6 6 v L 2 9 D D 1 5 j v i 2 a E Q z a S 3 j Y H / 6 s K P X 2 T n r 1 + l X 7 7 y x d f v j p + d X a z N / h g F 9 7 a 7 o 1 q 1 P V h v E H 7 5 n t 1 M K h T b Q f 3 7 j 1 8 Q F m 0 8 b 1 N W t F J R O + 9 / V s p U / v a 9 s 7 Y L C L f o E b N K 8 M M 7 o T h 5 r Z O F m 5 u 6 3 j / 5 r a e M r x F 4 z 4 T 3 U g Q T w l a I t 7 0 S m S a b + w m M s W 3 V H q 3 R q s / t 7 d V d r c g 7 f t M s K f d b m 7 s 6 b N b N O 7 P 8 I b G / a n d 0 L g / q R s G 6 N r u d p X V 8 S t a X n 1 6 / M W b L 2 + n S / Z u V l a 2 j 1 B Z K T P c u o N h Z W U 6 u L 9 z s L f / 8 G C 8 9 / B 2 y q r 7 3 v 1 N / O l x t H m P p G a j / f Y 4 W l 8 Z n h O P m 2 9 s 6 z H z j W 0 9 X r 6 x r a + t b m 4 c 4 a K b C O J r K / P O T a 9 E 5 v n G b i J z f F t t d V u 0 + n N 7 a 2 1 1 M 2 n f Z 4 J 9 b X V j Y 1 9 b 3 d y 4 P 8 M b G v e n d k P j / q R u G K B r u 9 f T V q / P v j h 7 f v z k + e k t f a u b M 2 2 u k 1 B d 3 Z h p 6 3 Q w r K 5 M B 9 T + 3 r 3 7 m 7 j G 4 + P b v + Q x s 3 l p U 3 O P k b X 5 8 F R 4 T H x j W 4 + H b 2 z r s f C N b X 0 l d X P j C P N s F N M I H 2 x s H 5 n W j e 0 j M 3 p b z X S r 9 v 3 Z v L V a u p m Y 7 z O l v l q 6 s b G v l m 5 u 3 J / T D Y 3 7 E 7 q h c X 8 2 N w z Q t b 3 n q a X T F y d Y o T z 7 y e P b 6 Y v 9 m x W S B R 8 q p P 3 3 7 G B Y I Z k O 7 n / 6 4 N O d + + N P F X J 0 2 B 4 D m 9 c o 7 7 b z Y G + 8 v y n n 5 v G x e W 3 7 w a f 7 n 3 4 6 P t i 9 n X L S 1 4 Y n x G P l G 9 t 6 n H x j W 4 + R b 2 z r K 6 e b G 0 d Y 6 D Z E 8 Z W U e e 8 2 r 0 V m / F b d R a b 8 t j r r f d D r z / W t V d f N p H 6 f C f d V 1 4 2 N f d V 1 c + P + j G 9 o 3 J / m D Y 3 7 k 7 t h g K 7 t f k R 1 v X 7 5 5 n a q 5 f 7 N u s v C D 3 W X q o p b d z C s u 0 w H 1 P z T v U 8 P H n 5 6 7 3 b K y 7 1 3 f / f T g / 1 P 7 9 2 Q 4 / K Y 2 r y 6 v X 9 / f x c 6 c / O b H l / r m 8 M z 4 / H 0 j W 0 9 l r 6 x r c f R N 7 b 1 d d j N j S O 8 d E u 6 + G r M v H r L N y P z f 9 t O I y x w W 2 X 2 n k j 2 5 / 3 W + u x m s r / P 5 P v 6 7 M b G v j 6 7 u X F / 9 j c 0 7 s / 3 h s b 9 K d 4 w Q N f 2 v q f P O E I 8 / c 7 p q 5 O z p 8 e v b 6 d x P r 1 Z p d k u Q p X 2 6 X t 2 M K z S T A d 7 9 2 i 5 7 s H D 8 c O H t 1 N p 5 r 3 7 9 / b v P 7 y / M 3 6 w 6 T 2 P r 8 1 7 2 7 Q m v 7 f 3 Y G d 8 S 2 2 m 7 w 3 P i 8 f R N 7 b 1 G P r G t h 4 / 3 9 j W 1 2 Y 3 N 4 5 w 0 q 2 o 4 u s y 8 + K t 3 o t M + + 0 6 j M z 7 b f X Y e y H Y n + 9 b a 7 G b y f 0 + k + 5 r s R s b + 1 r s 5 s b 9 W d / Q u D / T G x r 3 p 3 f D A F 3 b T w M t 9 s X L r 0 5 f v / n y d f r 6 + d N b Z u U f 3 K z G b B + h G t N F 0 V t 3 M K z G T A c P y F j u 0 t + b A 0 S P n 8 2 L 9 + 4 f P N z f 3 d s f 7 9 x S k Z k X d z e r P o + l z R v b 9 + 5 / + u m D n Y P 7 4 / u b V o U 9 5 j Z v 7 t 3 b 2 X 8 4 3 j Q y j 8 n d y D 5 9 u L N 7 7 / 7 Y k P s m N f e e e P p K T 1 + 9 n d L z E E Q 3 D 8 b 3 P r 2 l 1 u t i e N O r E U b Z q F e i / H G r n i I M s r G n D e x x U 1 d 9 / r i d 8 n v f 6 Y 1 w x u 3 e 9 P X i e 3 b q a 8 n b 0 N F X l O + J 5 P v y h m v + w F e c r 8 9 e v z n 9 4 j h 9 f f p 5 + v r L k x s V 2 z 0 o t t 2 b N a f t x G p O 8 + Z 7 d T C s O U 0 H 9 x 7 e 2 3 t w Q M p z / G B T 5 s Q T D f P m P s U o D w 7 u 3 7 8 3 f r g p H v Z E w 7 y 5 f X 9 v 9 + F D 0 r t j T O D g m 5 6 Q 6 J v D n O 5 J x Y 1 t P a G 4 s a 0 n B T e 2 9 T X i z Y 0 j H H V L u v g q 0 b x 6 y z c j D H D b T i M c c F t n 8 D 2 R 7 M / 7 r d 3 B m 8 n + P p P v 6 8 A b G / t q 7 + b G / d n f 0 L g / 3 x s a 9 6 d 4 w w B d 2 w N f q z 1 7 + m X 6 8 v T F 6 / T 3 S b / z 1 Z O b w 1 p W O n s 3 a z X b S a j V l B t u 3 c G w V j M d 7 N / f p X T b w e 6 9 8 S Z O 8 1 j a v v j g 4 N 7 u P v H p + N N N 6 t B j b v P m N m U G 7 + / s 7 3 w 6 3 t / 0 p s f c + u b w 9 H i M f W N b j 6 9 v b O u x 9 Y 1 t f a V 2 c + M I Q 9 2 S L r 5 S M 6 / e 8 s 3 I / N + 2 0 w g H 3 F a p v S e S / X m / t V K 7 m e z v M / m + U r u x s a / U b m 7 c n / 0 N j f v z v a F x f 4 o 3 D N C 1 f W j 0 z f H L L 1 + J s / Z + n t q 9 m 3 W a 7 S P U a e o S 3 b q D Y Z 1 m O v j 0 w Q G t I t x / + G C 8 t 3 8 7 p W b e h H / 3 6 c P 7 n + 5 v N r w e c 5 s 3 t 3 d 3 D g j L h 7 S w 9 v D g d l p N X x 2 e H 4 + z b 2 z r M f a N b T 2 + v r G t r 9 V u b h z h q N s S x l d r 5 t 3 b v h r h g V t 3 G + G C 2 y q 2 9 0 W z P / e 3 1 m w 3 k / 5 9 G M D X b D c 2 9 j X b z Y 3 7 H L C h c X / K N z T u T / K G A d q 2 w N 7 X b O q w i b 9 2 O 8 2 z f 6 N q c 5 2 E q k 2 1 z 6 0 7 G F R t t o M H + w / 3 7 9 9 7 u L 8 / / v R 2 q s 2 9 + W D 3 H v H o z t 7 Y L I 5 E 3 3 T s b d / c 3 t u l 4 P X T + w / G + 7 c L Q s 2 b w / P j O P v m t o 6 x b 2 7 r + P r m t p 5 m u 0 X j C E f d k i 6 e Y r O v 3 v L N C A P c t t M I B 9 x S r b 0 v k v 1 5 v 6 1 W u w X Z 3 2 f y P a 1 2 c 2 N P q 9 2 i c X / 2 N z T u z / e G x v 0 p 3 j B A 1 3 b X K J z X p 6 9 + M v 3 i 9 C k r N V J p 6 e t b r E q w 1 r l / s 1 q z v Y R q T f P r t + 5 g W K 2 Z D j 4 l 7 f T w 4 N 6 n Y / D t I O t 4 P G 1 e 3 M R p H k u b 5 t t 7 + 5 / u 3 X v 4 6 c O 9 z V G r x 9 P 2 V V r / f U g r u X s H 4 w e b F h g 8 9 j a v 7 j + k y d 3 f p 3 T O x v y f x + v m z Y O d + 7 u f 3 n t I y 4 K f H m x 4 0 2 P 8 9 0 X X 1 4 L 6 7 u 2 0 4 P t N n a 8 E L Y q 3 f D X C L x s V T I R N b t l T h G M 2 9 h R j k 1 t 2 1 W e T 2 2 n B 9 5 7 f C G / c 8 l V f R b 5 v t 7 7 G v A 0 p f a X 5 v m i + L 3 + 4 5 n t G v y G V 9 + L L L 8 5 e H K e n X 7 x 8 f n r 8 9 M t b 5 P L 2 b r V C 4 X p x W l T f f K 8 O h r W o 6 e D h z j 0 y 1 / T P e P + W a t S 8 u b v z Y I c U z c H + w f j h p 7 d T q e b V 7 d 1 P P 7 2 / 8 + k B r Y v c v 6 V 7 q K 8 O M 7 w n H D e 2 9 W T j x r a e L N z Y 1 l e M N z e O M N V t C e O r R j s f t 3 w 1 w g S 3 7 j b C B r f 1 E N 8 X z f 7 c 3 9 p F v J n 0 7 8 M A v j a 8 s b G v / 2 5 u 3 O e A D Y 3 7 U 7 6 h c X + S N w z Q t b 3 X U W 7 p F 8 e f Y w 3 2 1 d k t H E R o n r 2 b V Z v t I 1 R t y g y 3 7 m B Y t Z k O d u 9 R 7 v h g 7 9 6 D e + M H D 2 + n 2 + y r D 8 j j I 4 d 0 / 9 7 4 0 0 1 c 6 v G 3 e X X 7 3 r 0 D 0 o m f f v p w f L D J c / P 4 W 1 8 d n i G P t 2 9 s 6 7 H 2 j W 0 9 z r 6 x r a / b b m 4 c 4 a n b E s b X b e b d 2 7 4 a 4 Y J b d x t h g 9 v q t g 1 o R l / t z / 2 t d d v N p H 8 f B v B 1 2 4 2 N f d 1 2 c + M + B 9 x O t 9 3 c u D / J t 9 J t + 0 b v v D 5 + c X L 2 5 Y u U P D e s W Z z S X 8 e 3 U z 7 3 b t Z u t p d Q u y n n 3 b q D Y e 1 m O r i 3 c + 8 e m d H x / o P b q T b z 3 v 3 d g 4 c H + w / G B 5 / e T q + Z 9 y i J d J 8 W O j 4 d 3 9 u k S z 3 O 1 h d v p d V u b O s x 9 Y 1 t P Z 6 + s a 2 v 1 W 5 u H O G m 2 5 H F 1 2 n m z d u 9 G J n 5 W 3 Y Z m f v b 6 r P 3 Q 7 E / 5 7 f W Z j e T / H 0 m 3 t d m N z b 2 t d n N j f s z v 6 F x f 7 I 3 N O 5 P 8 I Y B u r b 3 j Z 4 5 / s 5 X p M N e Y + X 1 q 1 d f p j 9 5 9 v S W y m z / Z m V m O w m V 2 f 5 7 d j C s z E w H D / f 3 9 s h M P x y D m Q Y 5 x + N o 8 y L W J x 7 s f r r 3 Y P z p p n j f 4 2 3 z 5 v a 9 T x / s P 3 h w 7 2 C 8 f 0 u F p m 8 O T 4 / H 2 D e 2 9 f j 6 x r Y e W 9 / Y 1 l d o N z e O M N Q t 6 e J r N P P q L d + M z P 9 t O 4 1 w w G 1 1 2 n s i 2 Z / 3 W y u 1 m 8 n + P p P v K 7 U b G / t K 7 e b G / d n f 0 L g / 3 x s a 9 6 d 4 w w B d 2 0 + t U n v 5 / O z k m L 2 0 Y 1 q A p Z W B 2 6 m c + z f r N N t H q N N U e 9 y 6 g 2 G d Z j r Y O / h 0 b 3 9 8 y 8 D T v P T p w / 3 d e / f G J t E X f c 1 j a v P a N i V V K N Y d 7 2 5 6 z 2 N p f W 9 4 U j x 2 v r G t x 8 0 3 t v W Y + c a 2 v i q 7 u X G E j W 5 F F V + R 2 V m 4 z X u R K b 9 d h 5 F p v 6 0 S e y 8 E + / N 9 a x V 2 M 7 n f Z 9 J 9 F X Z j Y 1 + F 3 d y 4 P + s b G v d n e k P j / v R u G K B r + 8 C o l 6 e v T 9 5 8 m b 4 8 / v x L C j S f n j 4 5 u 8 0 a K 1 T M p z f r M N t J q M M + f c 8 O h n W Y 6 W D 3 U 0 r y 3 y d 9 t M m 5 8 v j Z v H f v P i 1 C 7 O y M D 2 6 n x s x r 2 x S b 3 t u h 4 H T j 4 o 3 H 1 / r i 8 M x 4 P H 1 j W 4 + l b 2 z r c f S N b X 0 9 d n P j C C / d j i y + I r P z d 6 s X I x N / y y 4 j U 3 9 b V f Z + K P b n / N a 6 7 G a S v 8 / E + 7 r s x s a + L r u 5 c X / m N z T u T / a G x v 0 J 3 j B A 1 / b A q J m X p y 9 e s y / 2 / O y L 0 x d v z m 6 d M H t w s y 6 z n Y S 6 7 M F 7 d j C s y 0 w H 9 x 5 8 C t / / Y G x g R 4 f v c f T 7 v e i x t n l x E 4 d 6 D K 3 N h 6 f E Y + Y b 2 3 q 8 f G N b j 5 V v b O s r s Z s b R 5 h o o 7 h G + G F j + 8 j 0 b m w f m d X b 6 q l b t e / P 5 q 3 V 0 8 3 E f J 8 p 9 d X T j Y 1 9 9 X R z 4 / 6 c b m j c n 9 A N j f u z u W G A r u 1 D o z n M Y u X p F y + f p 6 + f 3 9 b R O r h Z O d k u Q u V 0 8 J 4 d D C s n 0 8 G 9 v b 2 H 9 + 7 f + 5 Q C R l 0 q i I 7 e 4 2 P 7 J t n P + 3 s H t M Z 5 y 5 j R v L i 9 / / D B v f u f 7 o w / v W X Q a F / c o 0 z d A 8 J 1 d / O K m s f k 5 t V P d / c P d u 4 / 3 G z s P X 4 3 7 + 0 9 v L + 7 t / t g Z 3 d 8 X 2 l / k 0 J 7 X 2 R 9 / a b v 3 k 6 / W R Q P 9 n c w 5 7 t j M P 9 w P x H u 2 r 7 t u x H G u a 3 a e 1 8 0 I w x z W w 3 4 3 s P q M 8 r t t O F 7 z 3 G E P 2 7 5 q q 8 q 3 7 d b X 3 P e h p a + 8 n x f N N + X Q 2 z z e z t d b f r F 8 e f v o U w f 3 q h M X Q + h M n 3 4 n h 0 M K l P b w e 6 D h z s P D i j 9 N t 7 f p N q c d N g 3 i c z 0 5 h 4 F r v u 3 U q b u R V o p + 3 Q n 4 i M O K F P 7 4 j b Z v A c 7 + w 8 f 3 h t v 0 o l O R O y b m + b V C Y k j y q 3 6 c R L y v h h 6 C t S 8 e i s F 6 h C 8 v 7 P 3 Y H e H W P z + J j / b U 6 A e i r d 8 N 8 I s t 1 S g 7 4 1 m h E l u q U D f f 1 h 9 7 r i V A n 3 v K Y 5 w x + 3 e 9 N T n + 3 b q a c 9 b E d L T n u + L 5 P t y h 2 u + 2 1 W e X 7 5 5 d f z 6 9 u o T w n O T + r R 9 B O p z V z G 8 d Q f D 6 t N 0 8 O n B H i 1 C 7 N w b 4 5 P B 0 X u i Y V 6 k V M 7 D v Y P N / q Q n F u a 1 T T T 2 p M I 0 3 / 6 U X M j d e w / 2 x 5 t k w h M J i 9 6 n t M p 8 / + D T z d l M T z z M i w f 7 + w / u P S R P e a P b 6 g n H + 6 H q a 0 5 9 8 3 a a 0 0 3 Y b X q J s N I t 8 Y v w y G 2 1 5 v u h + J 7 M 4 e v M 9 x x S n z 1 u p z H f s 5 s I T 9 z q R V 9 f v l + X v r q 8 D Q 1 9 d f l + K L 4 v V 7 j m e 5 6 2 P H 3 B q 7 z 3 K b e Y f n H 2 / P n x j e p s n x Y W s D 5 6 k 7 6 0 v V h 9 a d 5 8 r w 6 G 9 a X p g E L 3 3 U / 3 7 o 0 / 3 b + d u v T e 2 7 t 3 7 2 C 8 6 T V P I s x r 2 w 9 2 a W Y + v Z 3 S 1 J e G m d s T h B v b e n J w Y 1 u P 8 2 9 s 6 y v A m x t H G O l m k v j a z 7 x 1 8 0 u R y b 5 F V 5 G p 3 i g Y k T m + u Z P + H N 8 2 4 3 g L E r / P R P s 6 7 s b G v l 6 7 u X F / p j c 0 7 k / w h s b 9 i d 0 w Q N f 2 X l 9 x 7 b 2 n 4 t q 7 W X H Z X k L F t f e e H Q w r L t P B 7 s H + w 3 u U n f n 0 4 H a K y 3 9 v f 3 d v v L M p F e F x t X l v + 9 7 O + N 7 t V n b N O 8 P T 4 j H 0 j W 0 9 f r 6 x r c f O N 7 b 1 F d f N j S O M d C N F f L 1 l X r r x n c h U 3 9 x R Z J 5 v q 7 V u j V h / f m + t t G 4 m 7 / t M s q + 0 b m z s K 6 2 b G / d n e U P j / u x u a N y f 1 g 0 D d G 3 3 P a W V n n z 5 g i L T 5 1 + + u s U K L q u T / Z v 1 l e 0 g 1 F f 7 7 9 n B s L 4 y H e x / e u / B w f 1 P x / d u t 4 B r 3 7 v / 4 D 6 l A z c p O Y + Z z U v b u 7 s U N 9 8 j 7 b h J y 3 k c r S 8 O z 4 n H z T e 2 9 Z j 5 x r Y e L 9 / Y 1 t d Y N z e O c N H t y O K r L f P m 7 V 6 M T P s t u 4 x M / G 0 V 2 P u h 2 J / z W 2 u x m 0 n + P h P v a 7 E b G / t a 7 O b G / Z n f 0 L g / 2 R s a 9 y d 4 w w B d 2 / u e F l P X 6 + z k 7 O R m H b P n B 3 N v B p W Y h e + U m L 7 5 X h 0 M K z H T w b 3 7 B / c o o b u / f z s d 9 j 6 v e R x t X r t l b k 2 b D 8 + E x 8 M 3 t v V Y + M a 2 H g f f 2 N b X X T c 3 j v D O R i m N 8 M L G 9 p G p v W 1 S 7 F b t 3 3 M y f a 1 0 q / b v M 6 O + V r q 5 8 f v M q a + V b m 7 c n 9 M N j f s T u q F x f z Y 3 D N C 1 / d T T S u l X L 8 5 I J 6 S / j 3 G y b q c 6 b h E Q 2 l 5 C 3 X S L g D D o Y F g 3 m Q 7 u 7 3 y 6 T 6 u m n z 6 8 n W 7 y X n t 4 b 2 9 z w s J j Z / P a 9 v 6 D n f H O J l / O 4 2 l 9 a X h W P H 6 + s a 3 H z j e 2 9 b j 5 x r a + h r q 5 c Y S P b i a J r 6 f M W z e / F J n r W 3 Q V m e r b q q z b o 9 a f 4 1 v r r Z t J / D 4 T 7 e u t G x v 7 e m t j 4 6 7 e u r l x f 4 J v p 7 d u b O x h 8 c D T W + p N n Z y e f P n y d h r l 3 s 0 q y 3 Y Q q i z 1 q 2 / d w b D K M h 3 c 2 9 2 9 f 3 9 / D G E a 5 B m P j 7 3 X H t y 7 N 1 Y V e p P G M m 9 t 7 z 5 4 O N 7 Z p B 0 9 b t a X b q W x b m z r M f K N b T 0 + v r G t r 7 F u b h z h o J t J 4 m s s 8 9 b N L 0 W m + h Z d R W b 6 t h r r 9 q j 1 5 / j W G u t m E r / P R P s a 6 8 b G v s a 6 u X F / p j c 0 7 k / w h s b 9 i d 0 w Q N f 2 o K + x n p 2 d 3 k 6 d 7 N + s r y z 4 U F / t v 2 c H w / r K d I A E w / 0 H Y x N Y R o f t c b F 7 j X I T n 4 7 v 3 0 5 f m b e 2 H 3 z 6 c L x / S 3 2 l L w 3 P h s f H N 7 b 1 2 P j G t h 4 X 3 9 j W 1 1 c 3 N 4 7 w z 8 0 k 8 f W V e e v m l y J T f Y u u I j N 9 W 3 1 1 e 9 T 6 c 3 x r f X U z i d 9 n o n 1 9 d W N j X 1 / d 3 L g / 0 x s a 9 y d 4 Q + P + x G 4 Y o G v 7 0 N N X 6 d k X L 9 9 8 m Z 6 + f n P 8 h l Y L T 7 9 z O 6 3 y 6 c 1 q y / Y S q q 1 P 3 7 O D Y b V l O t j d 2 3 t w 7 / 7 D z e s 7 H j e b 9 / b u 3 9 t 5 c P B g v K s o R d / z u N q 8 t 7 1 7 b + f e / t 6 D 8 c E m R e l x t r 4 4 P D c e V 9 / Y 1 m P q G 9 t 6 P H 1 j W 1 9 7 3 d w 4 w k 2 3 I 4 u v w e w E 3 u r F y M z f s s v I 3 N 9 W k 7 0 f i v 0 5 v 7 U 2 u 5 n k 7 z P x v j a 7 s b G v z W 5 u 3 J / 5 D Y 3 7 k 7 2 h c X + C N w z Q t t 3 f i W q z 9 P X z p 1 / e T t U 8 u F G X u T 5 C X f b g P T s Y 1 G W 2 g / s P 9 v b u 3 9 8 b 7 9 1 O l 9 n 3 K M R + i M W h g 1 u p M v v a 9 s H 9 h w 8 e 0 I s H m / p z b O 1 e 3 N 3 f P b h 3 j z D d 3 x S n O g Z 3 m O 7 s j B 8 q 4 W 5 Q c O 4 d d L Z / / 9 4 Y j D H 4 o u P 5 9 0 X T 0 3 3 m 1 V v p P j d t 9 2 n t d 2 9 n f H / T w D z V 5 x C 8 3 Z s R T t m o W C I c c r u O I j y y s a M Y a 9 y u p z 5 r 3 E r 3 v f f U R r j i d m 9 6 a v F 9 O / W U 5 K 3 I 6 O n J 9 0 X y f T n D N d / 1 9 O b p C 6 w Q / O T p q 9 e 3 X R o 4 u F l p 2 g 5 C p a k q 6 t Y d D C t N 0 8 G m A X u S Y J r v 7 t w f g 2 6 D 7 3 h C Y N 7 Z v v E l T x L 0 p W F + 9 n j / x r Y e 6 9 / Y 1 u P 1 G 9 v 6 O u / m x h G + u Z k k v s K 7 N f F 9 X f c e X U X m e a M c R O b 4 5 k 7 6 c 3 x b / + 4 W J H 6 f i f a 1 2 o 2 N f U V 2 c + P + T G 9 o 3 J / g D Y 3 7 E 7 t h g K 7 t n l E j T / P L q l x P i 2 q Z N + k s T 8 s s v V F Z 3 U J N W f j u l V v C H N Z M B u b e w Y O H D / Y e 7 o w 3 m U K P d e 1 7 D 3 Y P H h 5 g 7 W D T i x 4 P m x e 3 7 9 3 f v 3 + f F r Y e b L I a H h / b F + / v U j i 8 8 2 C z 5 + k x t H n x 3 t 7 + / s 7 u g 5 3 9 8 Y N b e n X u z Y e 0 P P J g d 2 9 s l o t v U m r v h 6 y v 4 f T N 2 2 k 4 0 8 3 u p z s P 9 u 9 R Z v O 2 S s 7 i d 7 s 3 I w x z W 6 / u / V C M M M p t v b r 3 H F K f Q W 6 n 8 d 5 z Z i M 8 c a s X f V X 4 f l 3 6 e v E 2 N P R V 4 / u h + L 5 c 4 Z r f s 5 r y 9 C f T 5 6 e / T / r 0 N D 1 7 8 f m r 0 9 d f v r 5 R q V F c t o P M / 0 3 q 0 n Z i v D r 7 5 n t 1 M K w 7 T Q f 7 e 3 u 7 e 7 d c O 7 U v 3 d t 9 S D 7 z 7 X S m f e f h z i 7 F w b f T l / r S M F d 7 E n B j W 0 8 A b m z r s f y N b X 3 N t 6 F x X / P d n i S + 2 j N v b d / i t c h E 3 1 b n v Q d y k V m + r c J 7 n 8 G 8 z 1 z 7 2 u 7 m x u 8 z 2 7 5 S u 7 l x f 7 Y 3 N O 5 P 8 o b G / a n d M E D X d j + u t d L X N + f v R K f s 3 a y 0 b B + h 0 l J F c e s O h p W W 6 e C W o e h t m n s 8 b J r f z l R 5 z P x + L 3 r s b F 5 8 f + / O v f m + 3 t 3 7 I e v r O H 1 z A 7 t F + G 2 j Q o j w z s b 2 7 8 k K v l q 7 V f s I M 9 x W o d 2 q f X / q b 6 f J 3 n P O I r N 9 q x d 9 F f d + X f r 6 7 j a U 8 F X e + 6 H 4 v i z g m t / v a E B o P 0 r H n R y n P 3 n 6 U 7 d T U f d u 1 o G 2 l 1 A H 3 n v P D o Z 1 o O m A 3 j j Y u 7 9 / b 3 x w y 6 j X v L i 3 s 0 / u 2 6 e k a z Q G v 0 k v m h e 3 9 / b u f X p A K e e H m 9 x F T y b 0 x W E e 9 + T h x r a e O N z Y 1 h O A G 9 v 6 G u 7 m x h F + u h 1 Z f F 1 n Z + J W L 0 b m / p Z d R i b / t u r v / V D s z / m t 9 e D N J H + f i f d V 3 4 2 N f X V 3 c + P + z G 9 o 3 J / s D Y 3 7 E 7 x h g K 7 t p 7 4 + O 3 l + / O r s G S m z p 8 e v b 6 d q 9 m / W Z b a H U J f t v 2 c H w 7 r M d P D p P Y o n 7 9 0 f H 6 i a j A 7 d 4 2 b 7 3 v 7 9 3 d 1 7 D z Y v W H p c b d 7 b v v / g 0 5 3 d 8 f 1 P b 6 f H 9 L X h W f H 4 + c a 2 H j v f 2 N b j 5 h v b + n r s 5 s Y R P r o N U X w t Z t 6 7 z W u R O b 9 V d 5 E 5 v 6 0 G e x / 0 + n N 9 a / 1 1 M 6 n f Z 8 J 9 / X V j Y 1 9 / 3 d y 4 P + M b G v e n e U P j / u R u G K B r + 8 B o l y / b O m v S k 3 W + b O n n q q r T l 9 l N K u b h z d r L w n e v 3 B L m s M I y M A 8 o a 0 i r B / s H 9 8 f 3 V R 1 G h + v x r 3 n 1 0 4 N P 7 + 3 t 7 d D / x 2 D X w V c 9 V j a v b u + S 0 0 v r t r v 3 7 m 3 u 1 u N n + + 7 e / t 6 9 B w 8 p X v x 0 / H C T m v V 4 2 7 z 7 4 N 7 u v U 9 3 H n 5 6 f / x w E 8 Y e o 5 s 3 7 + 3 e J 7 d + f + / T v f H B J m / T Y / v 3 R t h X f P r y 7 R S f 6 W l 3 7 8 H D H T I k n 9 7 b b E h 8 5 e e m 5 L Y v R 7 j o t r H r e y M a 4 Z 3 b x r H v P 7 A + w 9 x O G b 7 / R E e 4 5 L b v + r r y v T v 2 d e d t 6 O m r z / d G 9 H 3 5 x D U / M A r v 1 e m b 9 O X x q z f p F 4 h v z 1 6 e 3 b w w 8 X A f P t v u z V r V d m J 8 Q v v m e 3 U w r G J N B 7 s H + / f 2 H + 4 / J P 7 7 d F N q y 5 M T 9 + r B g 4 O d h / c P D s Z m n f k m F W t e 3 d 7 f v 0 d m b G / / 1 s 6 h v j n M 8 5 5 8 3 N j W E 4 8 b 2 3 r S c G N b X 0 f e 3 D j C U 7 e k i 6 8 i z a u 3 f D P C A r f t N M I C t / U S 3 x P J / r z f 2 l G 8 m e z v M / m + L r y x s a / 8 b m 7 c n / 0 N j f v z v a F x f 4 o 3 D N C 1 f W h U z s m X L 0 5 O X 7 x J o d + + u L 1 W u 8 X K h e 0 i 1 G o 3 r l x 0 O h j W a q a D e 5 9 + u n / v / s M D 8 o d u p 9 P e 7 0 W P s 8 2 L m / j T Y 2 d t P j w h H i v f 2 N b j 5 B v b e o x 8 Y 1 t f j d 3 c O M J C G 4 U 1 w g 8 b 2 0 e m d 2 P 7 y K z e V k 3 d q n 1 / N m + t n G 4 m 5 v t M q a + c b m z s K 6 e b G / f n d E P j / o R u a N y f z Q 0 D t G 3 v 7 x j N 4 Z w u a C Z v X X W z 8 s D w b 9 B O r o 9 A O + 3 p 5 N 6 g n V w H g 9 r J d r C 3 Q 1 4 T 5 e L G D 3 Z v p Z 3 s i 7 t E t f 2 D v U / H n 9 4 u p L U v U p i x Q 0 m 8 / c 3 h o e N s 9 + J D C i 1 3 D n b H D / c 3 v O h Y 3 L 6 4 / + n u / d 2 H D x 6 O D z 7 d 8 K J j d / v i f V q e e r D z 6 e 5 G B e w 4 / z 0 x 9 V S b e f N W q s 1 2 8 + D h / Z 3 7 n z 4 Y 7 2 w a l q f j H H 6 3 e z P C L r f U d u + J Y o R L b q n 2 3 n d I f e 6 4 l Q J 8 3 5 m N 8 M S t X v Q 0 4 3 t 2 6 a n J W 9 H Q 0 5 T v i e L 7 c o V r v u s r z h d f f n H 2 4 j h 9 d v b 6 5 P j 5 2 Y 2 r s Q 8 f 7 t w q W n W d W M 1 p 3 n y v D o Y 1 p + n g / i 7 p h g e f j u 9 t o p Y n E v a 9 B w 8 / P d g / G N / f l B P w J M K 8 t / 3 p w c M H D y i F + P B 2 a l P f G + Z v T x Z u b O u J w o 1 t P e a / s a 2 v A 2 9 u H O G l W 1 H F 1 4 H m x V u 9 F 5 n 2 2 3 U Y m f e N Q h K Z 7 1 v 1 0 5 / v 2 z q A t y D 3 + 0 y 6 r / J u b O y r u Z s b 9 2 d 9 Q + P + T G 9 o 3 J / e D Q N 0 b f e M i n n 2 5 Y u n X 6 Y v v j r 9 y S 9 T 0 i J f v j q + n Z a 5 f 7 M a s 3 2 E a k x 9 r V t 3 M K z G T A e 7 + z v 3 P t 3 9 d G d 8 c L u U m 3 2 R l j P 2 D + 4 R g z 6 4 n R 4 z 7 5 H / d / / B g 3 u f P n i w 2 e f 0 W N u 9 e u / T + w f 3 d 3 Z I 6 3 5 6 O x / Q v H p / 5 8 H 9 3 f H O J l w 9 d r f E o R j 8 3 v 0 H 9 x + M 9 z d p a 4 / 3 3 x d V X w H q u 7 d T g B Z F s t i 7 9 / Y O N v v h v g Z 0 K N 7 u 1 Q j T 3 N Y N f E 8 k I 9 x y W z / w f Q f V Z 5 H b K c L 3 n t 8 I b 9 z y V V 9 L v m + 3 v t K 8 D S l 9 v f m + a L 4 v f 7 j m 9 4 y S O 3 7 5 J Y X R Z 6 9 f v 3 5 z S n o s / f L V 5 7 d T d A c 3 a 1 L b S a h J D 9 6 z g 2 F N a j q 4 9 / D + Q 0 o o 7 9 0 b 7 9 9 O k 5 o X 7 9 + 7 v 7 f z 4 I A W W x 9 s e t O T D v M m s c P D P d L e + 3 u b 3 V B P U P T V Y W 7 3 J O P G t p 5 g 3 N j W E 4 Q b 2 / p a 8 e b G E Y 6 6 L W F 8 v W j e v e 2 r E R a 4 d b c R L r i t f / i + a P b n / t Y u 4 s 2 k f x 8 G 8 F X h j Y 1 9 5 X d z 4 z 4 H b G j c n / I N j f u T v G G A r u 1 + q N l e n r 5 I f 5 / 0 O 1 8 9 u b 1 m e 3 i z Z r O d h J p N A 4 Z b d z C s 2 U w H 9 x 7 u U y r s 4 S 6 l B m 6 n 2 c y L + 5 / e 3 9 l l E / J Q 9 W 3 0 T Y + 7 z Z v b D 3 Y o b U e 5 y b H R 1 N E 3 P e b W N 4 e n x 2 P s G 9 t 6 f H 1 j W 4 + t b 2 z r K 7 a b G 0 c Y 6 p Z 0 8 f W a e f W W b 0 b m / 7 a d R j j g t l r t P Z H s z / u t l d r N Z H + f y f e V 2 o 2 N f a V 2 c + P + 7 G 9 o 3 J / v D Y 3 7 U 7 x h g K 7 t f a N v k L 9 7 f 2 c N v H + T S r N d B C p t V + f 2 1 h 0 M q z T T w d 7 u P W i 1 e w 9 v 6 6 z Z F + + T m 7 t / b 3 9 3 v L d J G X q s b d 7 c v n e w u / f w Y I e W E z a 9 6 b G 2 v j k 8 O R 5 b 3 9 j W 4 + o b 2 3 p M f W N b X 6 X d 3 D j C T r e k i 6 / S z K u 3 f D M y / 7 f t N M I B t 1 V p 7 4 l k f 9 5 v r d J u J v v 7 T L 6 v 0 m 5 s 7 K u 0 m x v 3 Z 3 9 D 4 / 5 8 b 2 j c n + I N A 3 R t P / V V 2 v t 7 a W D n m 1 S a 7 S J U a Z r 6 u n U H w y r N d L D 3 Y P f B z r 2 D T x + O P 9 2 U 5 v I 4 2 r 7 5 k I K J T 3 d 2 7 m 2 2 u h 5 v m z e 3 d x 9 + + h C 6 d L y v A 4 q + 6 f G 2 v j k 8 O x 5 f 3 9 j W Y + s b 2 3 p c f W N b X 6 f d 3 L j H T 7 e m i 6 / T D E l v + W a E A W 7 b a Y Q D b q v T 3 h P J / r z f W q f d T P b 3 m X x f p 9 3 Y 2 N d p N z f u z / 6 G x v 3 5 3 t C 4 P 8 U b B u j a P j A K p 5 t V + + K r F 7 d T O n s 3 a z X b S a j V 9 t 6 z g 2 G t Z j q 4 f / / T + w / v H 3 y 6 P w Y 9 B l n H 4 2 n 7 5 q c 7 p N X 2 w a S 3 9 N T M m + Q c 0 B o K K d K 9 T 2 + n 1 P T F 4 e n x G P v G t h 5 f 3 9 j W Y + s b 2 / p K 7 e b G E Y a 6 H V l 8 n W b e v N 2 L k d m / Z Z e R 2 b + t R n s / F P t z f m u F d j P J 3 2 f i f Y V 2 Y 2 N f o d 3 c u D / z G x r 3 J 3 t D 4 / 4 E b x i g a 3 t g d E 0 Y d 9 5 a n e 3 f r M 5 s F 6 E 6 2 3 / P D o b V m e l g l / T R 7 s N 7 B w / H 9 z c p J Y + h 7 Z v 3 9 0 g L U j Z t Y x L O 4 2 z z 4 v b D + / v 7 D z 7 d H d + 7 p Y u m L w 7 P j c f V N 7 b 1 m P r G t h 5 P 3 9 j W 1 2 Y 3 N 4 5 w 0 + 3 I 4 m s z 8 + b t X o x M / i 2 7 j E z + b b X Z + 6 H Y n / N b a 7 O b S f 4 + E + 9 r s x s b + 9 r s 5 s b 9 m d / Q u D / Z G x r 3 J 3 j D A F 3 b h 7 4 2 c y H n r b X Z / Z u 1 m e 0 i 1 G b 3 3 7 O D Y W 1 m O t i j q J E C g Z 3 9 z f l 9 j 6 H N m / c e P D z Y 2 9 m 7 v z f + 9 H b a z L y 4 f X D v w f 3 d n f 0 H 4 0 / V 2 Y y + 6 b G 2 v j k 8 O R 5 b 3 9 j W 4 + o b 2 3 p M f W N b X 5 3 d 3 D j C T r e k i 6 / P z K u 3 f D M y / 7 f t N M I A t 9 V o 7 4 l k f 9 5 v r d J u J v v 7 T L 6 v 0 m 5 s 7 K u 0 m x v 3 Z 3 9 D 4 / 5 8 b 2 j c n + I N A 7 R t P 9 3 x V d r Z F y 9 f n f 5 k + u b 0 1 c n p q y 9 f 3 0 7 n f H q j U n O d h E p N 1 c e t O x h U a r a D 3 b 1 7 t A B 1 7 9 P N u Q 3 H 0 u / 5 o u N t + + I m D n U M b Z o P T 4 l j 5 p v b O l 6 + u a 1 j 5 Z v b e o r s F o 0 j T L R R X C P 8 s L F 9 Z H o 3 t o / M 6 i 0 V 1 e 3 a 9 2 f z t u r p F s R 8 n y n 1 1 N P N j T 3 1 d I v G / T n d 0 L g / o R s a 9 2 d z w w B d 2 1 2 j O U 7 e H L 9 O X 7 7 6 8 v N X 6 e + d v j z + P H 3 9 9 M v b q Y 8 H N + s n 2 0 u o n x 6 8 Z w f D + s l 0 Q L l X S m 0 9 u L f 7 6 f i B u n R R C n i 8 b F 5 9 c H D / 0 0 9 3 9 j 6 9 b Z 7 f v r h N K c g H O 7 u k 3 c Z m 5 S L 6 q s f f 9 l V y D + 8 9 2 L 9 H i 6 b j B 5 u 6 9 X j d v L t J N j x u N 8 1 v 2 5 P H + + + N p a / f 9 O X b 6 T c 7 f Q c H D 3 b 2 a U l w Z / M 6 j a / r 3 D T c 9 u U I 3 9 x W 8 b 0 3 o h F + u a 0 S f P + B 9 b n k d h r x / S c 6 w i W 3 f d d X m O / d s a 9 A b 0 N P X 4 e + N 6 L v y y e u + Z 7 R d y + P X 5 / 9 5 J f p 8 d P T Z 6 R e b 6 1 S D 2 5 W q b a L U K X q g G 7 d w b B K N R 1 s G r I n G b d p 7 g m D a X 7 v 3 t 6 D g 4 P x w 9 v F q + / 1 m i c N 5 r W 9 H Q r I D 3 b G e w 9 v p z z N e 7 s P 7 j + k h e D x v U 3 i 5 8 n E + 6 D p K 0 1 9 7 3 Z K 8 z Y U 9 x X l r d q / J w P 4 u v F W 7 S M s c F t 9 e K v 2 / U m / n Q p 8 r x m L z P T 2 b V 7 0 V d 9 t R u N r u / d B 0 N d 6 t + o n M u u 3 G p C H 3 z 2 j j 7 o r q y + / f O r r p E G d B O L c p P R s J 4 H S 2 9 O x 3 a D 0 X A f D S s 9 0 s E v p l L 0 H O 5 9 + u n F B w W N + + + L e / f 2 9 g w c H D 8 Z 7 + 7 f T h O Z N c i P h 6 + 7 t j O 9 t e t M T C H 1 z m M E 9 Y b i x r S c L N 7 b 1 + P / G t r 5 6 u 7 l x h K F u S R d f 0 9 n J u N 2 b k f m / b a c R D r i t + n t P J P v z f m t F e D P Z 3 2 f y f e 1 3 Y 2 N f 4 9 3 c u D / 7 G x r 3 5 3 t D 4 / 4 U b x i g a 7 s f K j W 3 I n F r p b Z 7 s 1 K z n Y R K b f c 9 O x h W a q a D h w f 3 S a U d 3 B v f V 9 j R 4 X s s b V 7 c 3 b m / f / / + w c 7 B G A w / + K b H 3 O b N 7 U 8 P D u 7 v 7 u 2 P Q f b B F z 3 e 1 h e H Z 8 f j 6 x v b e m x 9 Y 1 u P q 2 9 s 6 + u 0 m x t H + O l 2 Z P F V m n n z d i 9 G J v + W X U Z m / 7 Y K 7 f 1 Q 7 M / 5 r f X Z z S R / n 4 n 3 9 d m N j X 1 9 d n P j / s x v a N y f 7 A 2 N + x O 8 Y Y C u 7 X 2 j a n g x w n f R T l / d T t 3 s 3 a z P b C e h P l M / 8 t Y d D O s z 0 8 G n 9 + 4 9 3 D u 4 R 2 m 3 W z p p 9 s W D + / c f P L z / c H P 8 7 7 G 2 e X H 7 P v 2 + S z n C + 5 t 6 9 F h b X x y e H I + t b 2 z r c f W N b T 2 m v r G t r 8 5 u b h x h p 9 u R x V d n 5 s 3 b v R i Z + 1 t 2 G Z n 8 2 6 q z 9 0 O x P + e 3 V m c 3 k / x 9 J t 5 X Z z c 2 9 t X Z z Y 3 7 M 7 + h c X + y N z T u T / C G A b q 2 n / r q L H D O T l + d 3 k 7 d 3 L t Z n 9 l e Q n 2 m 1 u 3 W H Q z r M 9 P B / Q d 7 u 5 S X v L c 5 E v B Y 2 r z 4 6 Y N 7 p D h 3 d s Y H m x w 7 j 7 f N i 9 u 7 O z s I V h + M 9 z d l t j z m 1 j e H p 8 d j 7 B v b e n x 9 Y 1 u P r W 9 s 6 y u 0 m x t H G O q W d P E 1 m n n 1 l m 9 G p v + 2 n U Y Y 4 L Y 6 7 T 2 R 7 M / 7 r Z X a z W R / n 8 n 3 l d q N j X 2 l d n P j / u x v a N y f 7 w 2 N + 1 O 8 Y Y C u 7 Q N f q b 3 + 6 s n Z C 1 q S f f 3 8 l k s H y D r d p N B s D 6 F C U 6 V z 6 w 6 G F Z r p Y H d 3 f 2 c T w 3 i c b F 7 Z 1 N x j Z N O c s p T 3 i Z n 3 K T W / S f V 5 j O y / S e r 2 p j c 9 l n a j u v d g / G B T W t R j b f M S e t s j p 3 O 8 s y k q 8 t j 8 P f H 0 V Z 6 + e j u V d 9 u 5 8 n W d x e 3 G l y J M s b F 9 h C N u 7 C P C F h v b x 5 j h x k 7 6 f H A 7 1 f a + 0 x j h g N u 9 6 W u 9 9 + z U 1 4 G 3 o a C v B t 8 T y f f l B 9 f 8 w C i t 1 6 e v f j L 9 4 v Q p H L 7 b L 6 n u 3 b 9 Z L 9 o u Q r 1 4 / z 0 7 G N a L p g M y C M R w n + 5 / O l a d e 5 N 2 N C / u P f j 0 3 s 6 D / Z 3 x / i 0 D V / P i 9 q d 7 n 9 K i 9 w 6 F M Z u 6 9 E T D v r m 3 s 7 u 7 t 3 t v d 2 + 8 / + n t F K V 5 l V K N O 5 / e p + T 2 e G c T U 3 j S Y t 4 8 O N j f P f j 0 3 t 7 D z Q 6 K J y z v i 6 6 v L / X d 2 + l L O 4 f 3 D v Y P 7 j 3 c u X / D C l m E v 7 Z v + 2 6 E d W 6 r P d 8 X z Q j P 3 F a J v v e w + q x y O 1 3 6 3 n M c 4 Y 9 b v u p r 0 / f t 1 l e n t 6 G l r 0 7 f F 8 3 3 5 R D X / K F R d s d P T 5 8 d v 6 a g + V X 6 8 v j z 4 1 v m A T + 9 W Z 3 a H k J 1 q u O 5 d Q f D 6 t R 0 Q L q U g p n d n Y c H 4 / u b 9 K I n H v b V / U 8 p i 3 h v 9 x 7 F z r f T q O b N 7 X u 7 B / u f 7 u 3 c 2 x u b 1 O Z N K l V f H W Z 2 T z B u b O v J x Y 1 t P T m 4 s a 2 v G G 9 u H G G o G w g T 1 Y z m 3 V v S 1 F e M 7 9 1 t h A s 2 i k x k 7 m / b V X / u b x 0 / 3 0 z 6 9 2 E A X x P e 2 N j X f T c 3 7 n P A h s b 9 K d / Q u D / J G w Z o 2 z 7 Y M W r n a T V d L / J l W z X p q q r T l 9 l F V t + g e 2 5 e 3 X D g 7 R u 3 g z i o x i x E C i s P D h 7 c p 4 C W 1 s 7 U 6 b x B j 7 l 3 y f X + 9 D 6 9 f + / T 8 c 4 m n n T c b N / d 3 r 2 / e 3 / / 0 5 2 H 1 O / u r T S Z e 5 U Q / v T e / f s P 9 8 Y P N s W 1 j r H t q / d o p A 8 e H N A a z P 6 t f E P 7 4 s O 9 + 7 s P 7 t 0 7 2 L u t b / j e 2 H o q 0 L x 7 K x X o O v p 0 7 8 H B 3 v 1 7 e x Q O b c L R U 4 H 2 3 d u + G m G g W 3 c b Y a B b q s D 3 R j P C N L d U g b c g f Y Q 7 b j 3 H E f 6 4 5 a u e f n z v b j 1 1 e S t 6 e B r z v d G M c M h G 0 r v m u x E V e l I t 8 n p a Z O V N C m / 3 Z h 1 q 4 b t X b g l z W I s a m L v 3 P n 3 w g A L s H S R d B w f r S Y B 9 U V T o g 5 2 d + + P d T e r X k w b z 7 v b u p 5 S D P D h 4 e O / h 5 n c 9 c b D v H n y 6 T 4 p w Z 2 P + y R M L 8 9 7 O + N N N 0 + / J h n n D d r T 5 T U 8 y 3 g t H X 2 3 q i 7 d T m 7 a X B / c e 7 p M b f x M R f b V p 3 r 3 t q x G O u X W 3 E a a 5 r d p 8 X z Q j f H J b t X k z 6 S O s c b s J j n D G b d 7 z F e Z 7 d e h r y 9 u Q w d e W 7 4 V g h C t u q S r 3 r K r 8 8 i T 9 v R F B p 6 e v 3 x y / O X 6 e n r y 8 U a 3 R 0 s U O c m M 3 K U z b i 4 b S 7 s 3 3 6 m B Y e 5 o O 9 h 9 Q K H y w u 2 v 8 2 p u U 5 3 u 9 5 8 m D e W 8 T l T 0 Z 0 O b D P O 3 x / 4 1 t P f a / s a 3 H 8 T e 2 9 f X f z Y 0 j P L S R 5 S L c s L F 9 Z H I 3 t o 9 M 6 m 2 V 2 6 3 a 9 2 f z 1 h r t Z m K + z 5 T 6 W u z G x r 7 q u r l x f 0 4 3 N O 5 P 6 I b G / d n c M E D X 9 t 6 H a 6 e 9 m 7 W T 7 S X U T q o K b t 3 B s H Y y H e z v s G t H N B g f 3 D J A t q 8 e s H N 3 a w V l 3 v s 6 n p 1 9 9 z a 2 x + N z 8 9 7 t P T v z x v t 7 d u + F o 6 / Z 9 M X b a T b b y 2 3 9 n g h X 3 f b V C L / c u t s I w 9 x W + b 0 v m h E + u a 0 e v J n 0 E d a 4 3 Q R H O O M 2 7 / n q 8 b 0 6 9 F X l b c j g a 8 v 3 Q j D C F b f 0 7 P Z 9 3 X n 8 x Z e v 3 q R P T 7 9 6 e n x r z b l / s + a 0 f Y S a c / 8 9 O x j W n K a D / Y O D T x / u H j w 4 2 N 3 M n p 4 g v O + r n k y Y V 2 / p 3 W n z Y b 7 2 Z O D G t p 4 I 3 N j W 4 / o b 2 / o 6 8 O b G E T 6 6 r X d 3 q / a R K b 6 t d 3 e r 9 u 8 5 m b 5 W u 1 X 7 9 5 l R X 6 v d 3 P h 9 5 t R X X z c 3 7 s / p h s b 9 C d 3 Q u D + b G w b o 2 t 4 3 2 u P L t q Y M n Z e s e 5 f e q K M e 3 q y d L H z 3 y i 1 h D i s k A 5 N C x f s H D / b 3 D 2 6 9 1 G H f P M B i 7 a a k s 8 e 8 5 i X K m e 4 d 7 O z d H + / c 0 o c z L 2 7 v 7 R 3 c f 3 B j s t X j Z / O m X e C A M h h 8 0 e N t 8 + K n O / c e 3 r 9 H 6 v Z g / 3 a + 3 H v i 6 m s y f f V 2 m i y Y u / v k h o 8 f H N x S q V k U b / t u h G V u q + D e F 8 0 I u 9 x W 1 7 3 3 s P p 8 c j u 9 9 7 5 T H O G O 2 7 3 p q 8 T 3 7 N R X k M O E j O v I 9 0 T y f b n D N f / U 6 s w 3 r 7 5 8 n Z J v 9 4 Z + c G h 8 / O p G / X b b f J 3 t x f h 1 9 s 3 3 6 m B Y j Z o O 3 l + N 2 j f f R 4 2 a l 9 5 b j Z o X b 8 l C n n i Y N 9 9 b j Z o X 3 1 u N v i e u v h r V V 2 + n R o O 5 u 4 X O i P D V r f V N h G V u q 0 b f F 8 0 I u 9 x W j b 7 3 s P p 8 c j s 1 + r 5 T H O G O 2 7 3 p q 9 H 3 7 N R X o 7 c h p K 9 G 3 x P J 9 + U O 1 / y B U X A v K 1 o U / k f / 1 m W a 0 Q p x 3 V b p y z L 7 w Q 1 q 7 t 7 N C t T C t 2 / c D u K w x j Q Q 7 3 3 6 8 O G n O / f v f T o 2 6 v g m j W n e v L / 7 c G / 3 0 / 1 7 + 2 P j C d + k N s 2 b 2 / t 7 + + T a U x J x v L / p V U 8 k 7 K t 7 D / Y p + n 7 4 8 P 7 Y L J P f p D n N q 5 u m 0 p M J 0 / y W H X k i 8 b 4 4 + h p T 3 7 2 d x r Q d 7 e 4 / 3 L t / / + D h w X j v t i r T v H v b V y M s c + t u I 0 y z U Z 4 i r H L b r i K s s r G r P n / c T m O + 9 x x H + O O W r / o 6 8 3 2 7 9 Z X m b e j h K 8 3 3 R T P C I b f U m g c x r f k y n e V p m a V P b 9 J x t / A 7 b Q f u l V v C H F a c B u b 7 K 0 7 z 5 v s r T v P m 1 1 C c 9 t V b T q c n G O b V W y p O 0 / y W H X m C 8 b 4 4 + o p T 3 7 2 d 4 r Q d 3 V a t R H j p t q 9 G W O b W 3 U a Y 5 r a K 8 3 3 R j L D K b R X n z a S P c M e t 5 z j C H 7 d 8 1 V e c 7 9 u t r z h v Q w 9 f c b 4 v m h E O 2 U h 6 1 / y h r z i t 0 n z z j / 7 1 b X q d / u S N S u 4 W m t P 2 4 L 1 z W 6 j D u t N A f X / d a d 5 8 f 9 1 p 3 v w a u t O + e s s Z 9 W T D v H p L 3 W m a 3 7 I j T z b e F 0 d f d + q 7 t 9 O d t q P b a p Y I N 9 3 2 1 Q j L 3 L r b C N P c V n e + L 5 o R V r m t 7 r y Z 9 B H u u P U c R / j j l q / 6 u v N 9 u / V 1 5 2 3 o 4 e v O 9 0 U z w i G 3 0 5 0 H O 1 Z 3 f v n q B J p T V r F P X 7 8 5 f n O z j r t d w t N 1 o g l P 9 + Z 7 d T C o S W 0 H 9 / b 2 H + 4 f f L q 7 c 1 t N a t / c 3 / n 0 / v 1 P H x z c u 6 0 m t W 9 u 3 7 v / 6 f 2 9 B 7 u f H t x W k 7 p X b z m / T l L s q 7 f T p L b 5 L T t y k v L e O H q a 1 L x 7 K 0 3 q O j r Y / X T n Y P f B v V s r U v v q L d + M M M x t O 4 1 w z C 3 V 6 P s i G W G T W 2 r R W 5 A 9 w h m 3 n t 8 I b 9 z y V U + L v n e 3 n h a 9 F T 0 8 L f r e a E b 4 Y y P p X f P d u B Z 9 d v r 0 d i p u 7 2 Y d a r s I d e j e e 3 Y w r E N N B / v 3 d 3 b J r f z 0 d v r T v L W 7 u / f p / Y e f 3 t 9 E Y E 8 o z G v b n z 7 4 d P / B g 7 3 b L R i Z 1 4 Y 5 3 J O G G 9 t 6 w n B j W 4 / 5 b 2 z r a 8 K b G 0 e 4 6 D Z E 8 d W g e e 8 2 r 0 U m / F b d R a b 8 t g r w f d D r z / W t t d / N p H 6 f C f f V 3 Y 2 N f Q V 3 c + P + j G 9 o 3 J / m D Y 3 7 k 7 t h g K 7 t n t V e W V N c V k 3 6 t D j P 6 2 J G v 2 U 3 q J f 7 N y s u C 9 2 + s Q G i B 3 F Y U x m I 9 2 k J 9 9 M D C p z H 9 z c t Z H m s a 9 7 8 9 P 4 B m e J P P 9 0 d P 3 x w O 4 V l 3 t z e u 7 d z c O / + 3 t 6 n Y 8 z N 4 K s e I 9 t X b 7 l + 6 f G 0 e X V v 7 + H B + O D h 7 X w + 8 5 K s / j / c / X T 8 6 a Z B e o z + v p j 6 m k 7 f v Z 2 m 8 z p 6 S C 4 7 O U b j / f 1 b a j s 3 v N u 9 G m G c W 3 c b Y Z 3 b a r 3 3 R T P C M L f V f D e T P s I d t 5 7 j C H / c 8 l V f L b 5 v t 7 6 W v A 0 9 f E X 5 v m h G O O S W f t 8 9 o 9 u + b G v S l q H + v E n R P b x Z d 1 r 4 7 p V b w h z W n g b m + 2 t P 8 + b 7 a 0 / z 5 t f Q n v b V W 8 6 m J x f m 1 f f S n u a l 9 9 e e 7 4 u p r z 3 1 3 d t p T 6 + j 2 + m W C E f d 9 t U I 4 9 y 6 2 w j r 3 F Z 7 v i + a E Y a 5 r f a 8 m f Q R 7 r j 1 H E f 4 4 5 a v + t r z f b v 1 t e d t 6 O F r z / d F M 8 I h t 9 S e + 0 a 7 n X z 5 4 i f T Z 2 e v J e 1 4 / J w i 6 B s V 3 W 1 z j 7 Y T j Z v d m + / V w b A + N R 3 c u 7 f 3 4 N 7 O w / 1 P x 7 u b 6 O U J h X 3 z 0 4 c P 6 H / 3 D 8 Z m S f 4 m f W r e 3 K b M 4 8 7 + 3 s 7 D 8 c N N 4 u F J h 3 1 z j / J R Z A I e j A 8 2 9 e n J i X n z v b S p f Y l 6 o z F + O r 6 l L n 1 P N H 1 V q q / e T p X a f u 4 9 2 L l H V m 1 v D I 0 3 3 E + E s W 7 5 Z o R j b t t p h G V u q 0 f f E 8 k I o 9 x W j d 5 M 9 g h b 3 H Z 6 I 5 x x u z d 9 J f q e n f o 6 9 D b E 8 H X o e y I Z 4 Y 1 b q t D 7 P R V K O c f T V + + h Q v d u V q G 2 k 1 C F q g N 3 6 w 6 G V a j p Y G / n 0 4 N 7 D 3 Z 3 H o z v b c o S e f J g 3 z x 4 u L P / 4 O H O v f G n n 9 5 O h Z o 3 t 2 m G P r 2 3 u 0 O O 3 s b E v C c a 9 t W D e 6 R 7 9 3 Y f b v a D P S E x b 2 6 a X U 9 M T P P b 9 e M J y X t i 6 K t P f f V 2 6 t P 1 s 7 d H 0 0 b 6 f a M F 8 9 W n H d v t 3 o x w y 2 0 7 j b D L b d X n e y I Z 4 Z H b q s + b y R 7 h i 9 t O b 4 Q z b v e m r z 7 f s 1 N f f d 6 G G L 7 6 f E 8 k I 7 x x S / X 5 q d F s z 6 o l 0 p 3 X 6 Z M i X + Z N O s v T N z e o t 0 9 v V p w W v H 3 j d h C H N a W B + P D + w a f 7 O w 8 / p e V E 8 P f g W D 3 e d 6 8 + 2 D m g h e 7 9 + 2 N F 6 C Z V a d 7 c 3 t t / c O / g 0 z 3 S s g 8 2 d e q J g X v 1 0 7 2 H u w / u 3 9 v d r G U 9 i T C v 3 t t 7 S H 7 4 w f 5 4 f x O 6 n n S Y F / e I S L s P H u z e 3 4 y t J x z v i 6 2 v N / X d 2 + l N 0 9 H u f e q D 4 o b x / U 0 Y + m r T o n j L V y O 8 s 1 E 2 I g x z y 5 4 i D L O x p x i X 3 L K r P p f c T m + + 9 / x G e O O W r / q a 8 3 2 7 9 V X n b U j p q 8 7 3 R f N 9 + c M 1 f 9 D R n f k y / T y r s 2 X 7 j / 7 1 2 Y 3 r R p / e I n K 3 H b h X b g l z W H 8 a m P c e Q n n u q g t 7 k + o 0 b + 3 v 7 j 7 Y u 7 e / i U C e F J i 3 t v d 2 H t z / 9 L b O p b 4 1 z N A e 8 9 / Y 1 u P 9 G 9 t 6 v H 5 j W 1 / x 3 d w 4 w j S 3 o I m v 9 c x r t 3 g r M t m 3 6 S w y 2 7 d 1 E t 8 D u f 4 8 3 9 p B v J n M 7 z P Z v m a 7 s b G v y 2 5 u 3 J / t D Y 3 7 c 7 y h c X 9 q N w z Q t T 2 w i u r s + M V P H b 9 O f 5 / 0 6 e n L 9 D t f P b 1 R o d w 2 y W i 7 0 A j Z v f l e H Q z r L d P B + + k t 8 9 b 7 6 S 3 z 1 i 3 E x u N n f W t 4 R j x e H m 7 b 1 1 s 3 t v U 4 + c a 2 v t 6 6 u X G E h 2 5 B E 1 9 v m d d u 8 V Z k s m / T W W S 2 b 6 u 3 3 g O 5 / j z f W m / d T O b 3 m W x f b 9 3 Y 2 N d b N z f u z / b t 9 N b N j f t T e y u 9 9 d D q L e t g H c 8 W x b J o 2 v p G / + o W a T 0 L 3 7 1 y S 5 j D e s r A f H i f Q s X d v Y e 0 R g w W H e Q U j 3 3 d q 3 s P H + x 8 u r N z 6 / j U v E n x K T m 8 O / c f 3 B D x e d z s X r 2 d v + w x t n n 1 v e N T 8 + L 7 x 6 f v i 6 2 v 7 v T d 2 6 k 7 0 x G t 8 u 9 8 + v D + / d v H p x b F W 7 4 a 4 Z 2 N m i X C M L f s K c I w G 3 u K c c k t u + p z y e 3 U 3 3 v P b 4 Q 3 b v m q r x v f t 1 t f V d 6 G l L 6 2 f F 8 0 3 5 c / b P O H O 1 Z 9 f v n i 6 Z e v y e d L 3 5 y + O j l 9 9 e X r G x X d L V d G X B / G 7 7 N v v l c H g / r U d r D / 4 N O 9 T / f 3 H + 5 u X t 9 w 0 u H e P H i 4 d 2 / 3 4 c M b c n Z O O u y b 2 9 D f D + 7 v 7 I 1 3 N k 2 R k x P z 5 j C z O 8 G 4 u a 2 T i 5 v b O j m 4 u a 2 n F G / R O M J Q t 6 S L p x X t q 7 d 8 M 8 I A t + 0 0 w g E b 5 S U y 7 7 f s q T / v t / U J b 0 H 2 9 5 l 8 T w v e 3 N j T e 7 d o 3 J / 9 D Y 3 7 8 7 2 h c X + K N w z Q t d 0 N l B o W e 9 M v X 3 1 + / O L s 9 R e 3 V W v 3 b 1 Z r t p d Q r d 1 / z w 6 G 1 Z r p Y P 8 + V n s / P X j w c P P K m s f V 9 l W y x D u 0 C r K z M z 7 Y F A 5 7 D G 5 e 3 b 6 3 / 5 A 8 r 7 3 d 8 f 1 N n X o M r m 8 O T 5 H H 3 D e 2 9 X j 7 x r Y e a 9 / Y 1 l d s N z e O M N U t 6 e I r N v P q L d + M s M B t O 4 2 w w G 0 V 2 3 s i 2 Z / 3 W y u 2 m 8 n + P p P v K 7 Y b G / u K 7 e b G / d n f 0 L g / 3 x s a 9 6 d 4 w w B d 2 7 1 Q s f 3 U l 8 9 O v z h + k / 7 e 6 c v j z 2 + n d j 6 9 W a / Z T k K 9 9 u l 7 d j C s 1 0 w H + w e f f r q z S 2 u z q j K j o / c 4 2 r x 3 n 4 i 2 t 3 v b w N e + t n 1 v 7 z 4 t l I / 3 N 3 X n s b W + N z w x H k v f 2 N b j 6 B v b e g x 9 Y 1 t f n d 3 c O M J K t 6 K K r 8 z M i 7 d 6 L z L r t + s w M u 2 3 V W T v h W B / v m + t x m 4 m 9 / t M u q / G b m z s q 7 G b G / d n f U P j / k x v a N y f 3 g 0 D d G 3 v G Q 1 z / P L L V 2 / S n / z y O S m T 4 1 d n x 7 d T M Q c 3 6 z D b Q 6 j D 1 F W / d Q f D O s x 0 8 O n B w d 6 D e / c / H d / b v 5 0 S M y 8 e P K C U 2 D 7 4 8 5 Z q z L y 4 v X t A Y c f O / q f j j Q s c H m P r m 8 N T 4 z H 1 j W 0 9 n r 6 x r c f S N 7 b 1 F d n N j S P M d E u 6 + K r M v H r L N y P T f 9 t O I w x w W 3 X 2 n k j 2 5 / 3 W C u 1 m s r / P 5 P s K 7 c b G v k K 7 u X F / 9 j c 0 7 s / 3 h s b 9 K d 4 w Q N d 2 3 6 i b s 9 c v 3 7 x 3 D g 2 s f 5 N C s z 0 E C m 1 X p / b W H Q w r N N P B g 5 3 d 3 X s U c e 6 N 7 9 / S L X v P N z 3 W N m 9 u Y l C P n 7 X 5 8 I x 4 v H x j W 4 + V b 2 z r c f K N b X 0 9 d n P j C A 9 t l N Y I R 2 x s H 5 n g j e 0 j 0 3 p b P X W r 9 v 3 Z v L V 2 u p m Y 7 z O l v n a 6 s b G v n W 5 u 3 J / T D Y 3 7 E 7 q h s Z n N 2 z T 2 s L h v d M e 3 v 3 z x 5 a v 0 9 0 m P X 7 0 6 f f E 0 v X d r B b V 3 s 4 K y n Y Q K S m 3 V r T s Y V l C m g 1 2 K / h 5 + O j 7 Y l J 3 w 2 P h 9 X v O 4 2 b x 2 S 9 W k z Y e n w 2 P k G 9 t 6 f H x j W 4 + N b 2 z r q 6 a b G 0 c Y 6 L a q 6 V b t I 1 N 7 W 9 V 0 q / b v O Z m + a r p V + / e Z U V 8 1 3 d z 4 f e b U V 0 0 3 N + 7 P 6 Y b G / Q n d 0 L g / m x s G 6 N p + a r T G m 1 e / M F u s D r 9 I X 5 2 e f P U y / e L l 2 Z f I 2 d + o P f Z u u Q Z p O 7 L q y b z 5 X h 0 M q y f T w e 7 9 h w 9 2 D h 5 + S h H h g 9 t p K P s m p c P 2 K C y 8 N 7 5 / 7 3 Z K y r x J S 9 K k 3 B 5 8 + m A M L h 5 8 0 + N w f X N 4 j j z u v r G t x 9 w 3 t v V 4 + 8 a 2 v r 6 6 u X G E q 2 5 J F 1 9 1 m V d v + W a E A W 7 b a Y Q D b q v P 3 h P J / r z f W r P d T P b 3 m X x f s 9 3 Y 2 N d s N z f u z / 6 G x v 3 5 3 t C 4 P 8 U b B u j a P u h p t m e U s X / 1 5 Z v j N 1 + + O v v y d n r n 3 s 2 K z f Y T K j b V I L f u Y F i x m Q 7 u H 9 z / d H 9 n / O k t t Z p 5 7 d N P H + 4 f P B x / u n 8 7 l W Z e 2 z 6 4 d 7 B / M H 6 4 q T e P r / W 1 4 Z n x e P r G t h 5 L 3 9 j W 4 + g b 2 / r 6 7 O b G E V 6 6 D V F 8 Z W b e u 8 1 r k R m / V X e R K b + t G n s f 9 P p z f W s d d j O p 3 2 f C f R 1 2 Y 2 N f h 9 3 c u D / j G x r 3 p 3 l D 4 / 7 k b h i g a 3 v Q 0 2 G 6 4 n g 7 5 b J / s / a y P Y T a S 5 X F r T s Y 1 l 6 m g 9 1 7 n 9 5 7 8 O m 9 8 c 6 m 1 J T H y / a 9 3 f 1 7 D 3 d 2 D z Y v U n p M b V 7 c p r j 2 w f 2 9 + / f H m y J O j 6 3 1 x e G J 8 V j 6 x r Y e R 9 / Y 1 m P o G 9 v 6 K u z m x h F W u h 1 Z f C V m Z + J W L 0 a m / p Z d R i b / t o r s / V D s z / m t V d n N J H + f i f d V 2 Y 2 N f V V 2 c + P + z G 9 o 3 J / s D Y 3 7 E 7 x h g K 7 t w 5 4 q e / 3 V k 9 d n T 8 9 u k Q J j X X P / Z m V m + w i V m S q O W 3 c w r M x M B / d 2 H u 7 u 3 7 9 / 7 9 6 n Y x B v k H U 8 l n a v H u z u H u w 8 e L A 7 v v / p 7 T S a e X V 3 Z + / B P v m A 4 0 8 3 v e h x t 7 4 4 P D 8 e Z 9 / Y 1 m P s G 9 t 6 f H 1 j W 1 + j 3 d w 4 w l G 3 I 4 u v 0 c y b 2 7 d 8 N c I B G x V G Z N p v 2 V N k 1 j f 2 1 J / s W w / q f e b e 1 2 o 3 N 3 6 f 2 f e 1 2 s 2 N + 7 O / o X F / w j c 0 7 k / x h g G a t q Q 2 e l r t + O W X r 9 6 k T 7 7 8 4 s m t l h 9 Z 8 3 x 6 k 2 r z O g p V m 8 7 w r T s Y U m 2 u g 9 2 d T 6 H X 7 m 9 e 5 b Y c 7 r 2 4 + + n u 7 u 7 e D S 9 a B n c v b j + 8 / + D B p 5 v Y 3 H K 5 f W l 4 c i x b 3 6 K t 5 e p b t L V M f Y u 2 T q X d p n G E n W 4 m i V N n 7 q 2 b X 4 r M 9 y 2 6 i k z 2 x v a R O b 6 5 k / 4 c 3 9 I p u w 2 J 3 2 e i n f q 6 R W O n v m 7 T u D / T G x r 3 J 3 h D 4 / 7 E b h i g a 7 s b V 1 / H J 2 d f v k i f n j 2 7 n X Z 5 c L P 6 s h 2 F 6 k s z D r f u Y F h 9 m Q 7 u P z x 4 s H d w f 3 z / l t r L v P f p g / s P 9 / Z u e M 9 j b P P e N j l y D / d v q b z 0 p e G p 8 Z j 6 x r Y e T 9 / Y 1 m P p G 9 v 6 y u v m x h F m u p k k v v I y b 9 3 8 U m S 2 b 9 F V Z K 5 v q 7 y G U d u g v G 7 V y f v M s 6 + 8 b m 7 8 P j P t K 6 + b G / d n + n b K 6 + b G / Y m 9 l f L a i y u v 9 O T V V z 9 F e f 7 v H N 9 O u R z c r L 1 s T 6 H 2 O n j P D o a 1 l + l g 9 9 O H 9 / Y O H j 4 c 7 9 9 S f Z k X 9 + 7 t P d z 5 d P + G F z 3 e N i 9 u f 3 q P T P P 9 W y o w f e t W C u z G t h 5 f 3 9 j W Y + s b 2 / o K 7 O b G E Y a 6 B U 1 8 D W Z e u 8 V b k S m / T W e R C b + t D n s P 5 P r z f G s l d j O Z 3 2 e y f S V 2 Y 2 N f i d 3 c u D / b G x r 3 5 3 h D 4 / 7 U b h i g a 3 t v S I l 9 9 T z 9 f d L v f P W T t 9 M x D 2 9 W Y r a n U I k 9 f M 8 O h p W Y 6 e D T H V J j p I o + v Z 0 K s 6 / d p 8 D z P m m w / d t p M P P e 9 v 3 9 g / 2 d h + O D T e 9 5 v K 3 v D c + O x 9 c 3 t v X Y + s a 2 H l f f 2 N b X Y T c 3 j v D T r a j i a z H z 4 q 3 e i 8 z 6 7 T q M z P t t N d l 7 I d i f 7 1 v r s p v J / T 6 T 7 u u y G x v 7 u u z m x v 1 Z 3 9 C 4 P 9 M b G v e n d 8 M A X d v 9 n i 7 7 9 p c v v n x 1 / O r s S 9 J l X 7 5 5 d S t V A 9 a / S Z f Z n g J d t q t T f O s O h n W Z 6 e D + z v 7 + A Q W G 4 / u b 2 M 3 j a v P i g 9 2 9 h w / 2 d v f G u x r j R l / 0 2 N u 8 u L 2 3 Q 4 v x 5 A S O P 7 1 3 O 4 W m b w 5 P k c f c N 7 b 1 e P v G t h 5 r 3 9 j W V 2 g 3 N 4 4 w 1 S 3 p 4 q s 0 8 + o t 3 4 x M / 2 0 7 j T D A b d X a e y L Z n / d b K 7 a b y f 4 + k + 8 r t h s b + 4 r t 5 s b 9 2 d / Q u D / f G x r 3 p 3 j D A F 3 b + z 3 F 9 u z p l + n x 0 y 8 o S / b y 1 Z c n X 9 1 O 7 + z e r N h s T 6 F i 2 3 3 P D o Y V m + n g 4 d 7 + Q 7 N 6 E B 2 + x 9 L m n d 3 7 B 7 s P H y g u 0 Z c 8 v j Y v b X 9 6 / w E t K d x O l e l L w 5 P i s f O N b T 1 u v r G t x 8 w 3 t v V V 2 c 2 N I 2 x 0 M 0 l 8 L W b e u v m l y D T f o q v I R N 9 W d 9 0 e t f 4 c 3 1 p t 3 U z i 9 5 l o X 2 3 d 2 N h X W z c 3 7 s / 0 h s b 9 C d 7 Q u D + x G w b o 2 n 7 a U 1 t f n L 5 4 f f y d 0 1 d n t 8 u N g Q 1 v 0 l i 2 k 1 B j 7 b 1 n B 8 M a y 3 S w + + D T T 8 d Q 2 4 N c 4 3 G y e W l / 7 9 M H O 3 v j e 5 t e 8 x j a v L a 9 T + r x 3 q f j W 3 p g + t r w p H j s f G N b j 5 t v b O s x 8 4 1 t f b V 1 c + M I G 9 2 G K L 7 i c n N w 8 2 u R + b 5 V d 5 E p v 6 3 y e h / 0 + n N 9 a / V 1 M 6 n f Z 8 J 9 9 X V j Y 1 9 9 3 d y 4 P + M b G v e n e U P j / u R u G K B r + 6 C n v i i E / P J 1 e v b i 8 1 e n r 7 9 8 f T s N c + 9 m F W Y 7 C l W Y c s S t O x h W Y a a D / Y f 7 B 5 + O D z Z F h B 5 D m 7 f u 7 9 / b u / 9 g / O k t d Z h 5 b Z v Y + s G D n f G D T d 1 5 j K 3 v D U + N x 9 Q 3 t v V 4 + s a 2 H k v f 2 N Z X Y j c 3 j j D T r a j i a z E 3 d 7 d 4 L z L n t + s w M u 2 3 1 W P v h W B / v m + t y G 4 m 9 / t M u q / I b m z s K 7 K b G / d n f U P j / k x v a N y f 3 g 0 D d G 0 P e o r s 9 e m r n 3 y d P j l + f X Z y W z 2 2 f 7 M e s / 2 E e k z 1 x q 0 7 G N Z j p o O 9 h w 8 / 3 b + l F j P v 0 E L 9 p w c 7 O + O D T 2 + n x s x 7 2 5 8 e U M x 5 / 9 7 m F z 2 + 1 h e H Z 8 b j 6 R v b e i z t t 7 1 J j 9 3 Y 1 t d j N z e O 8 N L t y O I r M v P m 7 V 6 M z P o t u 4 z M / W 1 V 2 f u h 2 J / z W + u y m 0 n + P h P v 6 7 I b G / u 6 7 O b G / Z m / n S 6 7 u X F / g m + l y x 7 2 d N n J l 1 9 Q D u z J 8 c n Z l y 9 O b 6 n M 7 t + s z G x H o T L T L M O t O x h W Z q a D e / s P D u 6 P 9 1 R L 3 q T O z F t 7 p M 4 + 3 b s / x m L v 4 H s e a 5 v 3 t g n F 3 Y N 7 D 8 c P D m 6 n z v T F W 6 m z G 9 t 6 X H 1 j W 4 + p b 2 z r q 7 O b G 0 f Y 6 X Z k 8 d W Z m 4 j b v B i Z 9 1 t 2 G Z n 7 2 6 q z 9 0 O x P + e 3 V m c 3 k / x 9 J t 5 X Z z c 2 9 t X Z z Y 3 7 M 7 + h c X + y N z T u T / C G A d q 2 4 N u + O j t 7 z a o s P f n 2 7 Z T N g x u 1 m e s n 1 G b q Q 9 2 6 g 0 F t Z j v Y x D K O l W 3 z 3 d 3 d e y b Q j b 7 j 2 N m + s 3 3 j S 4 6 V z U v D k + H Y + O a 2 j o t v b u u Y + O a 2 n v q 6 R e M I + 9 x M E k 9 1 3 Z 7 4 n t p 6 n 6 4 i 8 3 x L l f U e q P X n + L b q 6 h Y k f p + J 9 t T V z Y 0 9 d X W L x v 2 Z 3 t C 4 P 8 E b G v c n d s M A X d v d n r p 6 d f r m 9 M X 7 u F 4 H N y s r 2 0 u o r A 7 e s 4 N h Z W U 6 2 N 2 7 t 7 v / Y H d v b B Y 4 o + P 3 2 N m 8 u A + l u L O / P z 7 Y v 5 3 u M i 9 u 7 1 G O Z O / e v b 3 x g 1 s q M H 1 z e H o 8 x r 6 x r c f X N 7 b 1 2 P r G t r 4 C u 7 l x h K F u S R d f i 5 l X b / l m Z P p v 2 2 m E A W 6 r z 9 4 T y f 6 8 3 1 q p 3 U z 2 9 5 l 8 X 6 n d 2 N h X a j c 3 7 s / + h s b 9 + d 7 Q u D / F G w b o 2 u 4 Z d f P s 6 Z f p 6 Y v 0 + O k X X 7 5 I X z / 9 8 n b 6 5 u H N C s 3 2 E C q 0 h + / Z w b B C M x 3 s P d g 7 2 K N U 2 s P x v U 9 v p 9 H M m w f 3 7 x / c p 7 z a r T W a e X H 7 w f 1 P D / Y + P d g d P 9 j U p c f Z 9 s 2 9 T / c e 7 j 6 4 f 2 9 3 v K e 6 / S Y F Z 1 6 9 t / c Q m n 5 / v L + p T 4 / h L Y E e 3 j / Y f U D J n f G D T e P 0 u P 9 9 s f V V o b 5 7 O 1 V o O t o 9 e L B 3 b / + A 5 v D + p t j e V 4 U W x 9 u + G 2 G d j X o m w j C 3 7 S r C M h u 7 i j H K b f v q c 8 r t 1 O F 7 z 3 G E P 2 7 5 q q 8 r 3 7 d b X 3 X e h p a + 9 n x f N N + X Q 1 z z e 0 b Z u Z D 2 + f G r s 2 d n J 5 y i u 5 X O A 5 V u U q q 2 n 0 C p 7 i m W t + 5 g W K m a D h 7 e 3 9 + 7 f 0 B L W 0 Z h 3 6 R T z Y u 7 O / f u 7 + / Q + v 7 4 / i 1 D X P P m 9 s H u 7 v 7 9 + / v j e 5 u 0 l C c q + u I w u 3 u i c W N b T z J u b O t J w o 1 t f d V 4 c + M I S 9 2 O L L 5 m N G / e 7 s X I 5 N + y y 8 j s 3 9 Z F f D 8 U + 3 N + a w / x Z p K / z 8 T 7 O v D G x r 7 W u 7 l x f + Y 3 N O 5 P 9 o b G / Q n e M E D X d t + o m i / b u m r S l 1 l T X N L P L D 2 p 6 v Y G f X M L 9 9 C C t 2 / c D u K w 6 j I Q 9 w 7 u f 7 q z t 3 d / / O k m p v K Y 1 7 7 4 8 D 4 t s e 7 t b X 7 R 4 2 L z 4 v b B / Z 0 H e / f 3 N n t m H h f b F x 9 Q J L 5 z / / 7 m F z 1 2 N i / e 2 9 u 5 v 7 N / M L 6 / C V O P s 8 1 7 u z u f P v h 0 d 2 f T W x 6 L v x + a v q b T N 2 + n 6 W w 3 Z D s + 3 X 2 4 a Y 3 b V 3 N u T D e + F e G S 2 3 Q W 4 Z H b K r j 3 Q C 7 C F 7 f V b j e T O c I D t 5 z N C B / c 6 k V f 7 b 1 f l 7 4 O j F B i o x p 8 P x Q j / H B L R + 9 + X C u e F P V 0 X d 6 k w 2 6 h F i 1 8 9 8 o t Y Q 4 r R g P z v R W j f f F 9 F a N 5 8 b 0 V o 3 3 x V v P o S Y J 5 8 X 0 V o 3 n v / R T j + 6 H p K 0 Z 9 8 3 a K 0 X Z z C y 0 S 4 a F b v B X h k t t 0 F u G R 2 y r G 9 0 A u w h e 3 V Y w 3 k z n C A 7 e c z Q g f 3 O p F X z G + X 5 e + Y r w N J X z F + H 4 o R v j h l o r x U 6 O 4 X n / 5 5 N X x i z e n 6 c n x d 4 5 p q e T k + K u n N y q x 3 R 0 k / W 5 W j 7 Y X j X / d m + / V w b C u N B 2 8 t 6 6 0 L 7 6 v r j Q v v r e u t C / e a m o 9 4 T A v v q + u N O + 9 n 6 5 8 P z R 9 X a l v 3 k 5 X 2 m 5 u o V g i D H W L t y J c c p v O I j x y W 1 3 5 H s h F + O K 2 u v J m M k d 4 4 J a z G e G D W 7 3 o 6 8 r 3 6 9 L X l b e h h K 8 r 3 w / F C D / c U l c + M F p M 3 M f 0 x Z f q Q G b L N t + s y v Z u 1 p E W u n n h V v C G V a K B t 3 9 / / 9 6 9 T w / u f T r + V P X t T T r R v L m 7 / + n e f S j g T f T x + N 6 8 t 7 1 7 / 8 G 9 n U / 3 D j 7 9 l B T x v d u p R f f y / o O 9 v f 1 P 7 9 / f 2 R v v b V J W n i y Y l z c h 6 k m D G + A t u / L k 4 f 3 x 9 H W j v n 0 7 3 e i 6 2 t k 5 2 P 3 0 H v 1 v f E 8 j i x s 1 p B 3 j b d + N s M 7 t O 4 5 w z 2 2 1 5 X s j G m G a 2 + r M m 8 k f 4 Z L 3 m O k I n 9 z 6 Z V 9 3 v n / X v v 6 8 D V V 8 / f n + q E Z 4 5 Z Y 6 9 M B o u a f 5 e p a l L / / R v 2 d S F t O M 8 p P P X 9 6 g 8 u 7 d r E M t d P v G 7 S A O a 1 E D 8 f 2 1 q H n z f b W o e e 9 r a V H 3 8 m 3 n 0 p M O 8 / I t t a g b 4 C 2 7 8 q T j / f H 0 t a i + f T s t 6 r q 6 r Y K J M N S t 3 4 2 w z u 0 7 j n D P b b X o e y M a Y Z r b a t G b y R / h k v e Y 6 Q i f 3 P p l X 4 u + f 9 e + F r 0 N V X w t + v 6 o R n h l 4 x S 4 5 g + N n n t Z / 6 N / d d N m C 8 p l z v J U d e p N W u 8 W i t R 2 4 F 6 5 J c x h V W p g v r 8 q N W + + r y o 1 7 3 0 t V e p e v u 2 E e i J i X r 6 l K n U D v G V X n o i 8 P 5 6 + K t W 3 b 6 d K X V e 3 1 T I R l r r 1 u x H W u X 3 H E e 6 5 r S p 9 b 0 Q j T H N b V X o z + S N c 8 h 4 z H e G T W 7 / s q 9 L 3 7 9 p X p b e h i q 9 K 3 x / V C K / c T p V i k K p K X 5 2 + f n P 8 x Z e v 0 6 e n X z 1 N z 6 D h A G C D z r t l + t P 1 I e l P 7 8 3 3 6 m B Q t d o O 3 l u 1 2 j f f U 7 X a 9 7 6 O a v V e v u 0 E O 5 G x L 9 9 O t X o D v G V X T m S + B p 6 e a j V v 3 0 q 1 e l 3 d V u t E + O v W 7 0 Z Y 5 / Y d R 7 j n l q r 1 / R G N M M 0 t V e s t y B / h k v e Y 6 Q i f 3 P p l T 7 V + j a 4 9 1 X o r q n i q 9 W u g G u G V j V P g m u 9 y c 1 J 7 3 8 6 m R b 7 0 w v 2 7 L 7 N 2 o / K 7 2 U V 1 0 L X 9 b a A N a 1 A D b X f v Y P / + v Q f 3 9 i i N f P 9 2 K t S 8 S s s y B / v 7 D w 5 2 x / c 2 K V 9 P H M y b 2 / f 2 7 + 0 9 e L B / s P N w d 3 y w q V t P H t z L 9 / d 3 P t 2 n / 9 + 7 P 3 6 4 S Z o 8 4 b A 4 P 7 h / / + D h w U M y G p u 1 t y c r 5 t 1 P 9 x 5 + S v a G T M b + + F P N V 9 + k U d 8 f a V + j 6 t u 3 0 6 h 2 R n c e H H z 6 c O / + / v 4 Y q m u 4 o w h v b d / 6 5 Q g r b Z S S C P / c u q 8 I B 2 3 s K 8 Y 0 t + 6 s z z S 3 0 6 h f Y 6 Y j f H L r l 3 2 N + v 5 d + x r 1 N i T 1 N e r 7 o / q + v O K a 7 3 2 A R t 2 9 W a V a 8 O a F W 8 E b V q o G 3 q b R e Y J w m + Y e 7 5 v m D x 9 8 + o A 0 5 / 2 H O + M H B 7 f T n e / 7 q i c E 5 t W 9 n Q O y E 7 t 7 O / f 2 x r t K q p s 0 p 3 l 3 d 5 d e f r i z t 7 9 P t m K T 1 v U k 4 n 1 R 9 v W m v n s 7 v X m b W f B 1 5 a 3 a v y d T + O r x V u 0 j b H F b l X i r 9 n 0 G u J 0 W f O 9 Z i 8 z 4 9 m 1 f 9 n X g b U b l a 7 3 3 R d T X g L f q K 8 I B t x 6 Y h + c 9 o 6 K O p + 0 6 K 4 s f k C K s l j m l P 0 k n 3 q C w b u F U W v D 2 j d t B H N a B B u I t d e B t m n v M b p r f l p I e 3 7 / v q 5 4 I m F e / j g 4 0 7 3 4 d H f i + K P s 6 U N + 9 n Q 6 8 z S z 4 O v B W 7 d + T K X w d e K v 2 E b a 4 r Q 6 8 V f s + A 9 x O B 7 7 3 r E V m / N a q w t e B t x m V r w P f F 1 F f B 9 6 q r w g H 3 H p g H p 7 7 V g e e v E m / f X x y d v r i 6 X H 6 8 q s n z 8 9 O j m / S W J z j u 0 3 S 0 v b C S U v / z f f q Y F g z m g 5 u q R l v 0 9 w T A d P 8 t v T 1 p O F 9 X / U E w 7 z 6 d T S j e f f r a M b 3 R d n X j P r u 7 T T j b W b B 1 4 y 3 a v + e T O F r x l u 1 j 7 D F b T X j r d r 3 G e B 2 m v G 9 Z y 0 y 4 7 d W I L 5 m v M 2 o f M 3 4 v o j 6 m v F W f U U 4 4 N Y D 8 / C 8 b 3 R W L z 5 O 7 6 Y v N 2 u u v Z t V o g V v X r g V v G E N a O B 9 j a S j e f X 9 k 4 7 m z W 3 K V T y 8 f / / + g 0 8 P 9 m 6 9 c u N e v r / 7 Y J 9 W j P b 2 P h 0 / e H A 7 5 W h e / v T B z n 1 K d 9 J K 1 f i + E v E m 3 W h e v b 9 7 8 O A h v X y f V g 7 2 N i V Z P E l 5 f 5 x 9 7 a h v 3 0 4 7 2 g m 9 b X Y t w l y 3 T 8 1 F O O m 2 a v O 9 E Y 0 w 0 G 1 V 6 P s P r M 8 z t 9 O n X 2 O m I 3 x y 6 5 d 9 j f r + X f v 6 9 T Y k 9 X X q + 6 P 6 v r z i m n 9 q l N 6 r v F m X b T a r K N j O 0 9 O f z u t p c Y M K v I V O t e D t G 7 e D O K x V D c S v o V X N q + + v V c 2 b 2 3 s P 7 h 0 8 v L + 7 v / P g 0 / H B p 7 f T q u 7 l g 3 3 S x j u f f r q 3 q V t P P M y b X 0 O l m l f v E Q / d 2 z + 4 9 / D + g 8 3 v e q L y n g j 7 + l R f v Z 0 + t V N 5 W 8 0 R Y a z b q 5 0 I D 9 1 W n 7 4 3 o h H W u a 0 + f f + B 9 R n m d v r 0 f a c 5 w i G 3 e 9 P X p O / Z q a 9 G b 0 N J X 4 2 + J 5 L v y x + u + Q O r Q 0 9 f f / U 8 f X r 6 P D 3 9 z u m r k 7 O T s y 9 v U H i 7 t w 7 Y b S c S s H t v v l c H w 4 r V d L B p 0 J 5 M a P P b B u y m + T Y l R 8 j J I 8 / / 4 W a b 5 o n E e 7 / r S Y R 5 l / T f / v 0 H 9 / d 2 b h 2 w m z f v 7 T 7 8 d O / + / U 9 3 H 4 4 P N g U q n n i 8 N 8 K + C t W X b 6 d C b z M L v t q 8 V f v 3 Z A p f U 9 6 q f Y Q t b q s d b 9 W + P / 2 3 U 4 j v P 2 2 R O b / t u 7 5 S f O + O f b V 4 G 5 L 4 a v G 9 E X 1 f d n D N D z z F y C o x P X 7 x 5 v T V 2 Z f 0 9 w 1 6 a + / W i t F 2 o o r R v f l e H Q w r R t P B L R X j b Z p 7 E m C a k 7 3 / d J e i d c o p 7 t z a t X z / l z 3 Z M C 8 T K f b u 3 T u 4 P / 7 0 l r 6 l e Z E 6 v f f w w c 6 9 B z u f j v d v q R r f H 2 N f N + r b t 9 O N t 5 k I X z f e q v 1 7 8 o W v G 2 / V P s I Z t 9 W N t 2 r f n / / b 6 c a v M W + R W b / 1 y 7 5 2 f P + u f f V 4 G 6 r 4 6 v H 9 U X 1 f l n D N H 3 r 6 8 S v P a U x J O e 3 f T n / d I g a 3 v Y Q K 8 s Z Y v N P B s I I 0 H W w a t S c H t 2 n u i Y F p v r 2 7 v / / p H m m c n f t j 0 H z w X U 8 k 3 v t d T z x u g 6 Y n I K b 5 b X v y p O O 9 s f R V o r 5 8 O 5 V 4 m z H 5 K v F W 7 d + T E 3 y V e K v 2 E V 6 4 r U q 8 V f v + n N 9 O J b 7 / t E X m / L b v + g r x v T v 2 9 e F t S O L r w / d G 9 H 3 Z w T a / t 7 N B H W q K 7 y Z t d e 9 G d e h 6 C d W h j u n W H Q y q Q 9 v B 7 d T h r Z o 7 E b D N t + / v k / t 1 7 8 G D X c p E 3 i 6 Q f v 9 3 n W j Y d + / t P f x 0 n y K B 8 Y O H t 1 K M 9 s X 7 + / c e 3 t v Z f U j 5 r E 8 / v Z V i f H 9 8 P c V o X r 6 V Y r z V J H i K 8 X b t 3 5 M n P M V 4 u / Y R r r i l Y r x d + / 7 s 3 0 o x f o 1 p i 8 z 5 b d / 1 F O P 7 d + w p x l u R x F O M 7 4 / o + 7 K D a 7 6 7 Q T G q K N 2 k t / Z v V o y 2 l 1 A x 7 r 9 n B 8 O K 0 X R w 8 P D h w 7 2 d 3 f G u 6 t y b N K R 5 7 5 Y a 0 j T f p b z v 3 r 1 P 7 3 9 6 W 3 f R v U k r 0 H v 7 + / f v j 3 d v p x z f 7 0 V P V G 4 z N E 8 4 3 q 8 f X x v q m 7 f T h u 8 1 U b 5 a N C 9 u 3 + 7 N C G / c V k G + H 4 o R 7 r i t p n z P I f W Z 4 n Y 6 8 z 1 n N s I T 2 7 d 7 1 d e X t 6 G F r y L f D 0 l f W d 6 q p w g 7 3 H J Q H o 5 7 G 3 S l q u e b V N n 9 m 3 W l 7 S X U l b f 0 U m 0 H w 7 r S d L C J Y J 4 4 3 K a 5 J w S m + f b u 3 o O H + w e f P r h 3 f 3 x / E 4 E 9 g X j v d z 2 R M O / e 3 / t 0 D 6 r 5 1 k 6 k e X H 3 H p a 0 H u 6 S H N 4 u u H 5 / d H 2 t q S / f T m v e Z g 5 8 Z X m r 9 u / J E r 6 K v F X 7 C F P c V j P e q n 1 / 8 m + n D 9 9 / 2 i J z f t t 3 f Z 3 4 3 h 3 7 C v I 2 J P H V 4 n s j + r 7 s 4 J r f 2 6 A X D 2 6 n t j 6 9 W S / a X k K 9 + O l 7 d j C s F 0 0 H 9 3 b v E b U + H T / Y u 5 2 C N O / d U k G a 5 r u k q B 5 + e u / B / n h f x 3 C T e n R v 3 t u 9 / 3 B n l w L l / d s p x / d 8 0 x O W 2 w z O E 4 / 3 7 M h X i P q q k + F N C v G 9 5 s r X j O b F 7 d u 9 G W G P 2 + r I 9 0 M x w i C 3 V Z b v O a Q + W 9 x O b b 7 v 1 E a 4 Y v u W 7 / p K 8 z b U 8 P X k e 6 L p q 8 x b d R X h i N s O y 8 N y f 4 P K V L / l J o 3 2 4 G a V a X s J V e Y t f V X b w b D K N B 3 s 7 T y g F 2 6 n L s 0 7 t 1 S X p v n 2 / v 7 D B w d 7 D x / e O x i b j O p N C t N / l 5 b b P r 3 x X U 8 2 b o O m J x 2 m + W 1 7 8 q T j v b H 0 t a a + f D u t e e v p 8 j W m R e / m t y K c c V t t e X v U I r x x W 0 3 5 H k P p c 8 L t t O T 7 T 2 a E E 2 7 7 r q 8 n 3 7 t j X 2 n e h p C + p n x v R N + X M 1 z z + 8 O a c l d B 3 K T I D m 7 W l L a X U F P e 0 n u 1 H Q x r S t M B m Y o H u / u 7 u 5 s T u p 5 g m B f v U Z J o Z 2 + 8 f z u t a d 6 i d b z 7 9 x 8 8 v P / g 0 w d j S M L g u 5 6 U e O 9 + + o C e v Q e f j j + 9 p d Y 0 7 9 5 S a 1 q q 3 L I n T 1 b e G 0 t f a + r L t 9 O a F s n d h w e 7 9 3 c e j v c 3 L j h E u G r 7 l q 9 G + O W 2 + v M 9 k Y y w y m 2 V 6 P s O q s 8 d t 9 O k 7 z / B E e 6 4 7 b u + J n 3 v j n 1 N e h t q + p r 0 v R F 9 X x 5 x z T / d o E k 1 M 3 C T o n t 4 s y a 1 v Y S a 9 J Z O r e 1 g W J O a D n Z 3 9 3 c O 7 j + k 5 e K N e Q 1 P R u y b D w 7 2 7 x 1 8 + u n 4 3 q Y U o S c i 5 s X t g / v 3 P 9 3 Z p x W 5 8 X 0 1 D T c p U / v q w / t Y N K J + x 7 d c F b f Y 7 j / Y 2 9 m j D 8 b 7 m x j D k x z 7 5 g 6 Z D M r 9 f L q 3 e W X B k 5 v 3 R N f X q f r q 7 X S q 6 e c h Z e D 3 d j 7 d H U N t D n c T 4 a / t W 7 4 a 4 Z z b 6 t T 3 R D L C M L f V q e 8 7 q D 6 b 3 E 6 n v u / 0 R j j j d m / 6 + v Q 9 O / W 1 6 W 3 o 6 G v T 9 0 T y f X n D N X + w Q Z f q z N 2 g 6 i A 6 N + l S 2 0 u g S 2 / p 9 r o O h n W p 6 W C X D D l R a 2 9 n v L d J J X q y Y d / c p w W T 3 f 2 H 4 7 1 P b 6 d L z Y v 3 d + + R V t u 5 v 7 / Z E / a E x L x 5 j 1 3 a e w f 3 x g f 7 t 1 O l 7 / m m J z D m z U 1 s 4 Q n J e 3 b k q 0 9 9 9 X b q 0 1 L / 0 w f 7 + 3 u f P t i 9 I c a M 8 N T 2 b d + N s M t t F e j 7 o h l h k 9 t q 0 P c e V p 8 9 b q d C 3 3 e K I 9 y x f c t 3 f S V 6 G 3 r 4 m v M 9 0 f S V 6 K 2 6 i n D F b Y f l Y X m w Q Y 3 q 7 N 2 k 5 X Z v V q O 2 l 1 C N 3 s 7 n d R 0 M q 1 H T A W n Q g w e 7 D x 4 c j A 9 u 6 Z K a N / c e 7 N 5 / c O / e Z v X r i Y d 5 b / t g 7 9 P d g 0 8 J z / H 9 T Q r Y k x T 7 6 i 4 5 G v f I 2 9 j / d G w S H T c p U v P u g 4 c P 9 u / d + 3 T n Y L x / S 0 V q B 7 q z Q + 7 z / U 9 J 7 9 / f 5 O J 4 Y v P e C P t q V V + + n V p 1 8 7 i z C 0 f / / m Y c f b V q k b z t u x H 2 u a 1 a f V 8 0 I 3 x z W 7 X 6 3 s P q M 8 v t 1 O r 7 T 3 K E Q 2 7 7 r q 9 Y 3 7 t j X 8 v e h p y + a n 1 v R N + X S 1 z z h x t U q 8 r s T Z p v 7 2 b V a n s J V e s t X W D b w b B q N R 3 c P 9 i 9 t 7 d D 6 z + b I y N P S s y b u w 9 2 H j z c 3 6 U 3 H 2 5 y N D 0 h M W + S a 3 t / 7 9 N P H 1 K f 9 2 + n W 8 2 b m + b I k x D b 0 c 7 9 3 b 1 d c q M P x p 9 u 0 u K e v L z v q 5 6 0 3 A Z J X 4 V q + 9 u p 0 P e k n a 9 C z a v b + u 6 N 7 0 b Y 5 L Y q 9 H 3 R j H D H b V X o e w + r z y C 3 U 6 G 3 Q u w 9 + c D X l L d q H 2 G F 2 y r H W 7 V / 3 z m 3 z f d 3 r E L M L r P y H / 1 7 q u Y G J X X v R v X n Y N o 3 b g d x U N 9 Z i J s G 5 f j 4 V s 0 d 7 9 r m i J J 2 k M n 8 d O f + + M H t 4 u + v 8 b L j 5 F s h 6 n j Z N r 9 1 V 4 6 v v w a e n r Y z b 9 9 K 2 9 1 q V J 6 K u 1 3 7 9 + Q G T 6 3 d r n 2 E H z a 2 j 7 D A x v b 9 W b + V / v o 6 8 x a Z 9 V u / 7 K m 2 r 9 G 1 p + h u R R V P 0 X 0 N V N + X J V z z 3 a 7 W S 2 d 5 + q T I l 3 m T n i 1 v 0 l e 7 N 6 t A 2 4 F 7 5 Z Y w h 5 W g g b l p j B 7 X 3 6 a 5 x / S m + e 0 n 2 5 O A 9 3 / Z E 4 f b I O o J h G l + 6 6 4 8 c X h / P H 0 l q G / f T g n e Z l S + E r x V + / f k B l 8 J 3 q p 9 h B 9 u q w R v 1 b 4 / 6 7 d T g l 9 j 3 i K z f u u X f S X 4 / l 3 7 S v A 2 V P G V 4 P u j + r 4 s 4 Z r v W S V 4 + p P H z 7 / 6 M j 1 7 8 c V X p 0 + e n 7 6 + U V l J o H q z G r R d a C D s 3 n y v D o Z 1 o u n g l j r x N s 0 9 G T D N b z / 3 n k C 8 / 8 u e d N w G U U 8 + T P N b d + V J x / v j 6 e t E f f t 2 O v E 2 o / J 1 4 q 3 a v y c 3 + D r x V u 0 j / H B b n X i r 9 v 1 Z v 5 1 O / B r z F p n 1 W 7 / s 6 8 T 3 7 9 r X i b e h i q 8 T 3 x / V 9 2 U J 1 / y e U V i n T Z v N 2 C 1 8 l T f r E n 9 s j o z 3 t + / f r A 8 t e P v G 7 S A O K 0 A D 8 f 7 D B z s H + / d J d T 4 Y f 7 p / O 2 1 o 3 z 2 g d Y v d g 4 P d h z u b 0 2 W e K J h 3 H 3 5 K 2 R v K I 3 4 6 f n h w O 7 2 o b w 4 z u S c Q N 7 b 1 5 O H G t h 7 3 3 9 j W V 3 E 3 N 4 4 w 0 C 3 p 4 m s 7 8 + r 2 b d + N s M F t N d / 7 o h m Z + d s q w f c e 1 v v M v 6 8 Q b 2 7 8 P h z g 6 7 u b G / c 5 Y E P j / p x v a N y f 5 A 0 D d G 3 3 j a Y 5 W 1 7 U e V M 1 6 X X 6 Z V v T z y f 5 c r P a u V m N W e D a / j b Q h l W Y g b Z 7 s L u / f 7 B z b + + G R V C P j c 2 r 9 2 l 5 + e H 9 B 7 s H W D q 6 p Q Y z 7 2 7 v P y T O 3 H m 4 e 3 9 v d 3 x f R x N 9 2 W N q f X l 4 K j w m v r G t x 8 M 3 t v V Y + M a 2 v h K 7 u X G E e W 5 P G l + P m b d v / 3 K E G d 6 j 6 w g / 3 N a h e 3 9 U + z x w a + / u 5 i l 4 H 0 b w l d m N j X 1 l d n P j P i d s a N y f + A 2 N + x O 9 Y Y C u 7 f 2 e M i O / 7 P O 8 a Y t / 9 G + 9 Q Z n d I k i 1 0 M 0 L t 4 I 3 r M 8 M v A f 3 d / Y + 3 d v Z O x g / V K D R c X r s a 9 6 k t 3 b J d d 3 Z v T e + v 8 l U e p x s X t 2 + v 0 + M / O D h w 4 P 9 8 a e 3 j F T 1 3 e G p 8 J j 4 x r Y e D 9 / Y 1 m P h G 9 v 6 y u z m x h H m u T V l f F 1 m X r 7 1 u x E + u H 3 H E V a 4 r S Z 7 b 0 T 7 8 3 9 r R X Y z + d + H C X x F d m N j X 5 H d 3 L j P B R s a 9 2 d 9 Q + P + N G 8 Y o G v 7 q V V k i 9 W a 9 N d N M e W u V T d W f f X U l 4 V p 3 7 g d x G E F Z i C S D t p 5 u P / g / u 4 Y 2 n q Q N T y u N W / u 7 X 3 6 c O / g w a c U j N 7 T I D f 6 q s f A 5 t X t v d 3 9 + 7 v 0 9 q f 3 N + t N j 4 H 1 3 e E p 8 J j 3 x r Y e 7 9 7 Y 1 m P d G 9 v 6 C u z m x h G m u T V l f A V m Z + S 2 7 0 b 4 4 P Y d R 1 j h t g r s v R H t z / + t F d j N 5 H 8 f J v A V 2 I 2 N f Q V 2 c + M + F 2 x o 3 J / 1 D Y 3 7 0 7 x h g K 7 t g 5 4 C S 1 9 X k z p P y 5 t V 2 S 1 0 m Q X v X r k l z G F t Z m B S 6 v D + p + N b K j L 7 0 s M H e / c f 7 O y O H 9 z S D z M v b n / 6 8 F P K d + z f H 9 + 7 Z V 5 M 3 x y e B o + B b 2 z r 8 e + N b T 3 2 v b G t r 8 R u b h x h n F v S x V d h b i 5 u 9 W Z k 6 m / b a Y Q B b q u + 3 h P J / r z f W n n d T P b 3 m X x f e d 3 Y 2 F d e N z f u z / 6 G x v 3 5 3 t C 4 P 8 U b B u j a H l j l 9 c X L 9 P X d s x e f v 0 q / f J K + f H X 6 x d m X N 2 q a 3 d 2 d 3 d u s e d p e e M 3 T f / O 9 O h h W a K a D 9 1 J o 9 q X 3 V W j m x V v K k M f Y + u b w 1 H h M f W N b j 6 d v b O u x 9 I 1 t f Y V 2 c + M I M 9 2 S L r 5 C c 3 N x q z c j U 3 / b T i M M c F u F 9 p 5 I 9 u f 9 1 g r t Z r K / z + T 7 C u 3 G x r 5 C u 7 l x f / Y 3 N O 7 P 9 4 b G / S n e M E D X 9 q F V a F 1 v L E t f 3 q R v 7 t 2 s y i x 8 9 8 o t Y Q 5 r L w N z d 3 f v 4 T 7 F i G O w w i C f e A x s X 7 z 3 4 G D / 3 o P 9 3 T F o P P i m x 8 r m z W 1 a e 7 q / / 3 D / / v 5 4 Z 1 N U 6 v G y v j o 8 G x 4 f 3 9 j W Y + M b 2 3 p c f G N b X 4 f d 3 D j C P 7 c l j K / E 7 H T c 8 t U I C 9 y 6 2 w g X 3 F a N v S + a / b m / t R 6 7 m f T v w w C + H r u x s a / H b m 7 c 5 4 A N j f t T v q F x f 5 I 3 D N C 2 v b 9 j 9 R g 5 Z m 9 e H b 9 + n j 7 9 8 o v 0 y d n p i / S L G 3 X O 7 r 1 b O W a u F + O Y 2 T f f q 4 N B 1 W Y 7 2 N 3 Z e 0 g L H A f j n d s t Y 9 o X D + 7 t 7 j 3 4 9 O H 9 8 c H + r T S b f X H 7 w d 7 B P b L S D 8 Y H m 7 p 0 z G 3 e H J 4 e x 9 g 3 t 3 V 8 f X N b x 9 Y 3 t / U U 2 y 0 a R x j q l n T x 9 J p 9 9 Z Z v R q b / t p 1 G G O C W W u 1 9 k e z P + 2 2 V 2 i 3 I / j 6 T 7 y m 1 m x t 7 S u 0 W j f u z v 6 F x f 7 4 3 N O 5 P 8 Y Y B u r a 7 V q l 9 f n L 2 8 v V t t M z e b d S Y h e u r s b 3 b q T G v g 2 E 1 Z j r Y v 3 9 w 7 9 7 e + N N N 9 t L j Y f P a w 5 3 9 / Y f 3 i S X V W 4 y + 5 / G y e W / 7 4 P 7 B p 5 / u 3 R + D o w Z f 9 F h Z X x y e D I + N b 2 z r c f G N b T 0 m v r G t r 8 J u b h x h n 9 u R x d d g 5 s 3 b v R i Z + F t 2 G Z n 7 2 + q v 9 0 O x P + e 3 V l 8 3 k / x 9 J t 5 X X z c 2 9 t X X z Y 3 7 M 7 + h c X + y N z T u T / C G A b q 2 e 1 Z 9 n b 5 8 n X 7 n q 9 P P v 3 y d n t w 9 f v n V 6 e s 3 t 9 E 1 9 2 6 j z G w v v j K 7 d z t l 5 n U w r M x M B 3 s H D w 9 2 P x 3 f U p e Z t 3 b v f 7 p / 8 O k D e u 9 2 q 5 j 2 x e 3 d + / f u H x x 8 u n P b S N O 8 O T w 3 H l f f 2 N Z j 6 h v b e j x 9 Y 1 t f m 9 3 c O M J N t 6 S L r 8 7 c X N z q z c j c 3 7 b T C A P c V q G 9 J 5 L 9 e b + 1 R r u Z 7 O 8 z + b 5 G u 7 G x r 9 F u b t y f / d t p t J s b 9 6 f 4 V h r t n t V o X 7 x 8 8 y X S / q / T 1 6 e v f j L 9 9 p e v X 9 5 G 4 e z f R q P Z X n y N t n 8 7 j e Z 1 M K z R T A f 0 2 6 c P N / G n x 8 7 m n X s 7 O x S a m 2 X V m 5 S Z e W t 7 7 + G D T w 8 e 7 G 1 6 z e N o f e 1 W m u z G t h 4 z 3 9 j W 4 + U b 2 / q a 7 O b G E S 6 6 D V F 8 N W a n 7 R a v R W b 7 V t 1 F Z v y 2 C u x 9 0 O v P 9 a 2 1 1 8 2 k f p 8 J 9 7 X X j Y 1 9 7 X V z 4 / 6 M b 2 j c n + Y N j f u T u 2 G A r u 2 + 1 V 6 d X P + L f / R v X R Q 3 a Z f 7 N y s u 2 4 F 7 5 Z Y w h 3 W V g b n / 4 N 7 u g 7 2 9 g / H 9 h 7 d T W O b F 3 Z 0 H e w 9 3 7 n + 6 R + s E m 1 7 1 O N m 8 u k 1 p u P t k j O 8 9 P B h / e j v N p a 8 O z 4 f H y T e 2 9 R j 5 x r Y e H 9 / Y 1 t d c N z e O c N B t C e N r L z c f t 3 s 1 w g O 3 7 j b C B r f V Y u + L Z n / u b 6 3 J b i b 9 + z C A r 8 l u b O x r s p s b 9 z l g Q + P + l G 9 o 3 J / k D Q N 0 b e 9 b T f b 6 1 Z s b H a / 7 u / d v l 9 6 3 Y I 3 j Z d 9 8 r w 6 G l Z n p 4 L 2 V m X n x a y g z 8 + p t h c d j a H 1 1 e E o 8 Z r 6 x r c f L N 7 b 1 W P n G t r 4 y u 7 l x h I l u S x h f m b n 5 u N 2 r E R 6 4 d b c R N r i t M n t f N P t z f 2 t l d j P p 3 4 c B f G V 2 Y 2 N f m d 3 c u M 8 B G x r 3 p 3 x D 4 / 4 k b x i g a / u p 0 T r H 0 2 n e V H V B f t k s T 8 V J u 0 n 1 P L h Z q 1 n 4 7 p V b w h x W Z A b m p / v 3 H 9 B C 7 X j v d m r M v H Z v 5 + E B l i n H 0 P q D L 3 q M b F 7 c 3 t u / T 9 T d 2 x n f 2 / S m x 8 f 6 5 v B M e D x 8 Y 1 u P h W 9 s 6 3 H w j W 1 9 H X Z z 4 w j v 3 J I u v g o z r 9 7 y z c j k 3 7 b T C A P c V o G 9 J 5 L 9 e b + 1 / r q Z 7 O 8 z + b 7 + u r G x r 7 9 u b t y f / Q 2 N + / O 9 o X F / i j c M 0 L V 9 Y P T L q 9 O T 4 1 f I 8 a e U H k O O / 8 v X N 6 q a 3 Q e 3 c 8 1 s J 8 Y 1 s 2 + + V w f D G s 1 0 s H / w 8 N O H D y n 7 e k v P z L y 3 t 7 t 7 s L / 3 6 f 7 4 3 u 0 0 m n l v e / f T P c q W P N g f 3 z Y 5 p m 8 O z 4 3 H 1 T e 2 9 Z j 6 x r Y e T 9 / Y 1 t d o N z e O c N M t 6 e J r N P P q L d + M T P 5 t O 4 3 M / 2 0 1 2 n s i 2 Z / 3 W 2 u 0 m 8 n + P p P v a 7 Q b G / s a 7 e b G / d n f 0 L g / 3 x s a 9 6 d 4 w w B d 2 w O j b L 7 4 6 v m b 4 9 f p 0 9 P 3 1 W h 7 N 2 s 0 2 0 m o 0 d S T u n U H w x r N d L C 7 / + n e z r 1 7 4 7 1 b a j T z 3 o M H D z 5 9 c P 8 G B v U 4 2 7 y 3 / e m 9 3 f 0 H Z K s f b v I K P c b W F 4 e n x m P q G 9 t 6 P H 1 j W 4 + l b 2 z r K 7 S b G 0 e Y 6 X Z k 8 f W Z e f N 2 L 0 Z m / p Z d R u b + t t r s / V D s z / m t l d n N J H + f i f e V 2 Y 2 N f W V 2 c + P + z G 9 o 3 J / s D Y 3 7 E 7 x h g K 7 t Q 6 t n S H u l p 9 8 5 P X l f Z X b v Z m X m O g m U m f p C t + 5 g W J m Z D i h u 3 L s / P r h l v G n e 2 t v Z 2 3 1 w f 3 d s E I q + 5 7 G 1 e W 9 7 9 + H e P Y o 8 b u 2 b 6 Y v D E + O x 9 I 1 t P Y 6 + s a 3 H 0 D e 2 9 V X Z z Y 0 j r H Q 7 s v i q z L x 5 u x c j 8 3 7 L L i N z f 1 t V 9 n 4 o 9 u f 8 1 q r s Z p K / z 8 T 7 q u z G x r 4 q u 7 l x f + Z v p 8 p u b t y f 4 N u o s k 9 3 j J b 5 s q 0 p S W a X M W / S M g 9 v V G A O t H v l l j A H d Z a F e Z 9 C y v v 3 7 1 F M e X A r t W V f f H j / w Q G t p j 9 4 M P 5 0 k 8 J z T G z f 3 D 5 4 e H D w 6 f 7 e / o P N K T b H x u b V 2 6 i u m 9 s 6 D r 6 5 r W P g m 9 t 6 q u s W j S O s c 1 v C e M r L v n v b V y M s c O t u I 1 x w S w X 2 3 m j 2 5 / 6 2 K u w W p H 8 f B v B U 2 M 2 N P R V 2 i 8 Z 9 D t j Q u D / l G x r 3 J 3 n D A F 3 b X a N n y A d 7 8 2 X 6 8 v j V c f r V i z P S K T c q n N 2 D W 6 X K X B f G F 7 N v v l c H w 3 r N d L D 7 8 N P d P X K t x g 8 2 u V U e R 5 s X 7 + 0 e P K A s G 8 W k O 5 / e T q + Z N 7 f 3 H h K a t H x K m e B N n X q 8 r a 8 O z 4 7 H 1 z e 2 9 d j 6 x r Y e V 9 / Y 1 t d r N z e O 8 N N t C e P r N f P u b V + N s M C t u 4 1 w w W 3 1 2 v u i 2 Z / 7 W + u 1 m 0 n / P g z g 6 7 U b G / t 6 7 e b G f Q 7 Y 0 L g / 5 R s a 9 y d 5 w w B d 2 z 2 j d E 6 + f P H m 1 d m T r 0 7 O v n y R n p y e f P n y N n p n 7 z a K z f b h K 7 a 9 2 y k 2 r 4 N h x W Y 6 2 H 3 4 4 N P 7 9 x 5 S 6 u t 2 c a Z 9 8 d 7 e 7 t 7 O D p n f 8 f 6 D 2 y k 2 8 + b 2 v Z 3 d / X v 3 9 x / u j f f u 3 0 6 x 6 a v D 0 + M x 9 o 1 t P b 6 + s a 3 H 1 j e 2 9 R X b z Y 0 j D H V b w v i K z U 7 H L V + N s M C t u 4 1 w w W 0 V 2 / u i 2 Z / 7 W y u 2 m 0 n / P g z g K 7 Y b G / u K 7 e b G f Q 7 Y 0 L g / 5 R s a 9 y d 5 w w B d 2 3 u B Y k v P X j w j j + 3 0 6 V c n x 2 / O f v I 2 m u f e b V S b 7 c V X b f d u p 9 q 8 D o Z V m + l g 9 + F 9 8 r 3 I 8 w L T D 7 K O x 9 T m x X u 7 D w 7 o / / c P N q + M e u x t 3 i Q f 4 W B v / x 7 9 f / z w 0 9 u p N n 1 1 e I I 8 1 r 6 x r c f Z N 7 b 1 G P v G t r 5 q u 7 l x h K V u S x h f t Z l 3 b / t q h A V u 3 W 2 E C 2 6 r 2 t 4 X z f 7 c 3 1 q 1 3 U z 6 9 2 E A X 7 X d 2 N h X b T c 3 7 n P A h s b 9 K d / Q u D / J G w b o 2 u 6 H q u 3 k 1 V c / l b 7 6 8 j v H t 1 E 6 + 7 f R a r Y D X 6 v t 3 0 6 r e R 0 M a z X T w S Z e 8 b j Y N C c f 7 X Y q z L y w v f k N j 3 v 1 j W H 6 e 5 x 7 Y 1 u P c W 9 s 6 / H t j W 1 9 z X V z 4 w j H 3 E A P X 2 H d j u a + n r p t J 5 G J v a 1 6 u i V S / X m 9 t V a 6 m a z v M 7 m + V r q x s a + V b m 7 c n 9 0 N j f v z u q F x f 0 o 3 D N C 1 v W + U x t O 8 z q f z G 7 P 7 + z f r I Q v S v n E 7 i M O K x 0 D c 2 3 t 4 7 8 H u 7 u 6 n 4 4 c K N T o 8 j 1 X N m 7 v 7 D w 9 2 H u z e 3 9 k Z 7 2 + K M j 2 u N a 9 u 7 + 5 9 e v B g Z + f e w b 3 x / s H t 9 J K + O z w D H u / e 2 N Z j 3 R v b e p x 7 Y 1 t f L 9 3 c O M I z t 6 a M r 6 H s j N z 2 3 Q g f 3 L 7 j C C v c V m u 9 N 6 L 9 + b + 1 / r q Z / O / D B L 7 + u r G x r 7 9 u b t z n g g 2 N + 7 O + o X F / m j c M 0 L X 9 1 N N f 6 b t 0 3 V S j 9 P N q m o / S 4 1 V 9 k + a 5 h V N l 4 b t X b g n T q L O + O j M w b + l H m e a 7 D z 6 l 4 P P e 7 b S X e W n 7 5 r c 8 v t W 3 h i n v 8 e y N b T 2 W v b G t x 7 E 3 t v X 1 1 s 2 N I 7 x y C 5 r 4 G u v 2 9 P d 1 1 f t 0 F p n s 2 2 q p 9 0 C u P 8 + 3 1 k 8 3 k / l 9 J t v X T z c 2 9 v X T z Y 3 7 s 7 2 h c X + O N z T u T + 2 G A b q 2 D 4 z + o K j v 5 P Q 1 0 v R n L 7 7 4 6 v T J 8 9 P X N 6 q S / d 3 b r U H a T j T y c 2 + + V w f D G s t 0 c E u N Z Z r v f / r p p 7 d d c z T v b N / 4 k s f H + t L w T H g 8 f G N b j 4 V v b O t x 8 I 1 t f X 1 1 c + M I 7 9 x M E l 9 d 3 Z r 4 v r Z 6 j 6 4 i 8 3 x b Z X V 7 1 P p z f G t d d T O J 3 2 e i f V 1 1 Y 2 N f V 9 3 c u D / T G x r 3 J 3 h D 4 / 7 E b h i g a 3 t g 1 M j x q 1 e n L 9 I n Z 6 d O W d 1 G l d x q W d F 2 4 u u q m 5 c V u x 0 M 6 y r T w S 1 1 l W m + u / f w 0 / 2 d B 7 d T V u a l 7 Z v f 8 j h Z 3 x q e C 4 + L b 2 z r M f G N b T 0 e v r G t r 6 1 u b h z h n l v Q x F d X t 6 e / r 6 / e p 7 P I Z N 9 W Y b 0 H c v 1 5 v r X G u p n M 7 z P Z v s a 6 s b G v s W 5 u 3 J / t D Y 3 7 c 7 y h c X 9 q N w z Q t X 1 o l I n J X q W r q k 5 f 1 n n T Z t O b N M q 9 m 5 W V h e 9 e u S X M Y f 1 k Y O 7 t H t z f f b i / t z f e / / R 2 q s q 8 u b t / / / 7 e Q 1 o g 3 B s f 3 D K Z Z V 4 l e b n 3 6 Y M H B 6 R M x / c 2 d e u x s 7 4 7 P C E e K 9 / Y 1 u P k G 9 t 6 j H x j W 1 9 t 3 d w 4 w k K 3 p o y v v O y M 3 P b d C B / c v u M I K 9 x W k b 0 3 o v 3 5 v 7 U 6 u 5 n 8 7 8 M E v j q 7 s b G v z m 5 u 3 O e C D Y 3 7 s 7 6 h c X + a N w z Q t n 2 w Y 9 T N 6 e + d P j 8 7 S X / y z X H 6 5 P R J S r F j e n y j 6 t m / d y s P z P V i P D D 7 5 n t 1 M K j h b A f 3 d g / 2 d j 9 9 c G 9 8 / + B W C s 6 + + O k + r W Q f H H w 6 B h s O v u j Y 2 7 6 4 f W 9 v / 8 G D v d 2 9 z V 0 6 5 j Z v D k + P Y + y b 2 z q + v r m t Y + u b 2 3 r K 7 R a N I w x 1 S 7 p 4 q s 1 N 4 u 3 e j E z / b T u N M M A t 1 d r 7 I t m f 9 9 s q t V u Q / X 0 m 3 1 N q N z f 2 l N o t G v d n f 0 P j / n x v a N y f 4 g 0 D d G 1 3 j b p 5 d f q T T q u J T n t + O 5 2 z d 7 N S s 7 2 E S k 3 d o 1 t 3 M K z U T A e 7 D z / d v X / / 4 G C 8 f z u d Z t / 7 9 O H D v X s P H z w c 3 z K F b 9 / c p m X L e z s H 9 x 7 u j B / c L o 9 v X h 2 e H 4 + z b 2 z r M f a N b T 2 + v r G t r 9 V u b h z h q N s S x l d r d j p u + W q E A 2 7 d b Y Q L b q v Y 3 h f N / t z f W r P d T P r 3 Y Q B f s 9 3 Y 2 N d s N z f u c 8 C G x v 0 p 3 9 C 4 P 8 k b B u j a 7 h m d 8 + W b V 1 + + T p + e v Y K 3 d v b 0 + M b M v m i d m w N Q 1 0 W o 1 m 6 O Q 8 M O h t W a 6 e D e v f u 7 n 2 4 K J j 1 m N u / s 3 t 8 j T b h 7 O 2 1 m X t r e 3 X 2 4 s w 8 2 G X z L Y 2 Z 9 a 3 g 6 P E a + s a 3 H x z e 2 9 d j 4 x r a + I r u 5 c Y S B b k E T X 4 d Z + t / 8 V m S m b 9 N Z Z L J v q 7 n e A 7 n + P N 9 a a d 1 M 5 v e Z b F 9 p 3 d j Y V 1 o 3 N 9 5 9 / B 6 N + 3 O 8 o X F / a j c M 0 L W 9 Z z T K y f E L P 8 g k t X U 7 p b J / s 9 a y f Y R a a / 8 9 O x j W W q a D v U / p 9 0 0 u v 8 f I 5 p 1 P d + 7 v 3 r u l C 2 b e 2 b 6 3 T 7 7 b / d v p L H 1 p e D Y 8 P r 6 x r c f G N 7 b 1 u P j G t r 7 O u r l x h H 9 u J o m v s s x b N 7 8 U m e V b d B W Z 5 9 s q r N u j 1 p / j W + u r m 0 n 8 P h P t 6 6 s b G / v 6 6 u b G / Z n e 0 L g / w R s a 9 y d 2 w w B d 2 3 2 j S 1 6 f v v r J s 5 M z c r T S z 4 9 f H D 8 9 f f W P / v G 3 U l n 3 b p M U s 9 3 4 K u v e 7 Z J i X g f D K s t 0 s L t 7 T / V g d O Q e I 7 s 3 6 J 1 N r p n H z O a d 7 d 2 d h w 8 f b t K M H j P r S 8 P T 4 T H y j W 0 9 P r 6 x r c f G N 7 b 1 F d b N j S M M d D N J f I V l i X / j S 5 E 5 v k V X k X m + r c K 6 P W r 9 O b 6 1 w r q Z x O 8 z 0 b 7 C u r G x r 7 B u b t y f 6 Q 2 N + x O 8 o X F / Y j c M 0 L W 9 7 y k s Z L l e v y F H 6 / j V y b f P f v L L 2 2 i T / d u o K 9 u J r 6 7 2 b 6 e u v A 6 G 1 Z X p Y P / T h / u 3 U 1 f m j d 2 d n U 8 P N i 5 p e r x s X i K J 2 d m j e P J 2 C k v f G p 4 O j 5 F v b O v x 8 Y 1 t P T a + s a 2 v s G 5 u H G G g W 9 D E 1 1 g e / W 9 6 K z L P t + k s M t m 3 1 V n v g V x / n m + t t G 4 m 8 / t M t q + 0 b m z s K 6 2 b G / d n e 0 P j / h x v a N y f 2 g 0 D d G 0 / N f r k + e n v k z 4 9 T Y 9 P 0 r M X z 7 5 8 9 U X 6 8 h / 9 c 5 7 c T q v s 3 a y 2 b D e h 2 l J + u H U H w 2 r L d L C 7 U Q F 5 j G x f 2 H m w M f 3 l 8 b J 5 h U T m 0 4 0 L l B 4 n 6 z v D c + F x 8 Y 1 t P S a + s a 3 H w z e 2 9 T X W z Y 0 j 3 H M j R X x 9 5 S h / w z u R 6 b 2 5 o 8 g U 3 1 Z X 3 R q x / v z e W l P d T N 7 3 m W R f U 9 3 Y 2 N d U N z f u z / K G x v 3 Z 3 d C 4 P 6 0 b B u j a P j A q B P E g 5 9 x J X b 3 4 8 s 3 x q 7 P b 5 d 3 v 3 8 a / s r 3 4 i u r + 7 f w r r 4 N h R W U 6 2 L u / i + E P M o 3 H x + a V 3 Y f 3 K V G x K V P h M b N 5 a X v 3 4 d 7 B g w c P b 6 e u 9 K 3 h C f F Y + c a 2 H i f f 2 N Z j 5 B v b + u r q 5 s Y R F r o F T X y F 5 e h / 4 1 u R i b 5 N Z 5 H J v q 3 S e g / k + v N 8 a 7 V 1 M 5 n f Z 7 J 9 t X V j Y 1 9 t 3 d y 4 P 9 s b G v f n e E P j / t R u G K B r e x C q r S 9 P v v o i / X 3 e J y z 8 9 D Z q y / b i q 6 1 P b 6 e 2 v A 6 G 1 Z b p 4 N O D B / c 2 a S C P k + 0 r 5 M D d u 5 3 S M q / s P 9 j d 5 J N 5 j K x v D E + F x 8 Q 3 t v V 4 + M a 2 H g v f 2 N Z X W D c 3 j j D P D f T w l Z V 5 Z f u m d y K T u 1 E b R G b 2 p i 4 i M 7 u x i / 6 8 3 j y M 9 5 l f X 0 n d 3 P h 9 Z t h X U j c 3 7 s / w h s b 9 u d 3 Q u D + p G w b o 2 j 4 M l d R p + v K r J 7 R E e H x y 9 o / + q S 9 u o 0 M e 3 E Z J 2 V 5 8 J f X g d k r K 6 2 B Y S Z k O q L G B G h 2 5 x 8 r m l f s P 9 u 7 v f 7 o 7 v q V 3 Z V 7 b v v / p / f v 3 P t 3 Z + J 7 H 1 v r e 8 K R 4 7 H x j W 4 + b b 2 z r M f O N b X 1 1 d X P j C B v d i i q + 0 r K z c J v 3 I h N + u w 4 j 0 7 5 R H U X m + 1 b 9 6 H z f u p / 3 m X N f h d 3 c + H 1 m 3 V d h N z f u z / q G x v 2 Z 3 t C 4 P 7 0 b B m j b H u x Y F f b V 6 x P y s H 7 y z X H 6 5 M v n p 2 / O X p z e K j x 8 c I s 8 l u s l V G G 3 y m N 5 H Q y q M N v B 3 v 7 + w a 0 0 m H t j 7 + A e P N P B d x w 7 2 3 e 2 9 / b u P 9 x 7 e C v d Z V 4 a n g 3 H x z e 3 d W x 8 c 1 v H x T e 3 9 X T X L R p H + O d m k n i K y y P + T S 9 F 5 v g W X U X m + Z Y q 6 z 1 Q 6 8 / x b f X V L U j 8 P h P t 6 a u b G 3 v 6 6 h a N + z O 9 o X F / g j c 0 7 k / s h g G 6 t r t G k 5 x 8 + Z I S W O n J 6 a s 3 Z 8 9 I c X 3 5 5 t W t 4 s I H O / d u 1 l e 2 l 1 B f a T h 2 6 w 6 G 9 Z X p 4 N 7 u 7 b S V a b + 7 Q + r q d s r K v E K 5 3 7 1 b L h S a d 4 Z n w u P h G 9 t 6 L H x j W 4 + D b 2 z r 6 6 q b G 0 d 4 5 0 a K + K r K o / x t F w n f o 6 P I F N 9 W U d 0 a s f 7 8 3 l p P 3 U z e 9 5 l k X 0 / d 2 N j X U z c 3 7 s / y h s b 9 2 d 3 Q u D + t G w b o 2 u 4 Z D X L 6 e 7 9 M X z 4 / P o G u O n t 1 8 h X 9 e h s t c n C L y N B 1 4 q s p f v O 9 O h h W U 6 a D e 7 v 3 9 3 c f P N g b g 2 E H O c d j Z v P i L l a v H + z v H Y y N 8 o y + 6 b G 1 e X P 7 4 O H D A 8 Q N 4 4 O H t 1 N e + u b w 9 H i M f W N b j 6 9 v b O u x 9 Y 1 t f e V 1 c + M I Q 9 2 S L r 4 K M 6 / e 8 s 3 I / N + 2 0 w g H 3 F a d v S e S / X m / t V K 7 m e z v M / m + U r u x s a / U b m 7 c n / 0 N j f v z v a F x f 4 o 3 D N C 1 v W f 0 z c n x i + + c d t T a 7 Z T O 3 s 1 a z f Y S a j W 1 c b f u Y F i r m Q 4 + f X B v 7 2 B / f G 9 T 9 O d x 9 P u 8 5 j G 2 e W 0 T e 3 r c r M 2 H 5 8 P j 5 B v b e o x 8 Y 1 u P j 2 9 s 6 2 u x m x t H O G i j r E Z 4 Y W P 7 y N R u b B + Z 0 9 t q q V u 1 7 8 / m r X X T z c R 8 n y n 1 d d O N j X 3 d d H P j / p x u a N y f 0 A 2 N + 7 O 5 Y Y C u 7 b 7 R G q 9 O f / L 4 + d l T S s J / + U J V 1 O 0 0 x 7 2 b V Z P t J F R N 6 t r c u o N h 1 W Q 6 + H T v 3 s E u r U 2 P H 3 x 6 O + V k X r y / 8 + D e v X v 7 u z v j e 4 p V 9 E 2 P p c 2 b 2 / v 7 + w / v 7 + 3 t P h j f 3 6 T a P O 7 W V 4 f n x + P s G 9 t 6 j H 1 j W 4 + v b 2 z r 6 6 q b G 0 c 4 6 r a E 8 f W W e f e 2 r 0 Z Y 4 N b d R r j g t u r s f d H s z / 2 t N d v N p H 8 f B v A 1 2 4 2 N f c 1 2 c + M + B 2 x o 3 J / y D Y 3 7 k 7 x h g K 7 t f a N 0 E E r S 8 u L p i x P O f H 3 5 4 u l X J 7 f T P P s 3 q z b b S 6 j a 9 t + z g 2 H V Z j r Y v 0 8 Z v w f 3 d s f 7 t 1 R t 5 s W 9 n d 1 P d + 4 / / P T e e E + x i r 7 p s b d 5 c 3 v 3 / q f 3 K E t C n W J 9 d / B V j 7 3 1 1 e E J 8 l j 7 x r Y e Z 9 / Y 1 m P s G 9 v 6 q u 3 m x h G W u i 1 h f N V m 3 r 3 t q x E W u H W 3 E S 6 4 r W p 7 X z T 7 c 3 9 r 1 X Y z 6 d + H A X z V d m N j X 7 X d 3 L j P A R s a 9 6 d 8 Q + P + J G 8 Y o G v 7 q V E 6 y N 6 / T l + f v v r J 9 C d P v 3 2 G e P L V 7 T T P / Z t V m + 0 l V G 3 3 3 7 O D Y d V m O t j d e 3 B w f 3 f n w a 1 V m 3 n x U 8 q v f f r g 4 f 7 4 g e b u o i 9 6 3 G 1 e 3 N 4 / e P D p 7 q c H D 8 Z 7 O p z o m x 5 z 6 5 v D 0 + M x 9 o 1 t P b 6 + s a 3 H 1 h v b d h X b z Y 0 j D H V L u v h 6 z b x 6 y z c j 0 3 / b T i M M c F u t 9 p 5 I 9 u f 9 1 k r t Z r K / z + T 7 S u 3 G x r 5 S u 7 l x f / Z v p 9 R u b t y f 4 l s p t Q d G 3 Z C / d v o 0 / T I 9 f v q d r 5 7 C X 7 u V t / b w N p l / 2 4 e v 0 h 7 e L v P v d T C s 0 k w H u z u U 7 t o U S X r M b N 5 5 S P 7 d A 5 B s 8 C W P o 8 1 L 2 w 8 f 7 O z u 3 N / U l c f N + t a t t N i N b T 1 G v r G t x 8 c 3 t v W 1 2 M 2 N I x x 0 C 5 r 4 G s z S / + a 3 I j N 9 m 8 4 i k 3 1 b z f U e y P X n + d Z a 6 2 Y y v 8 9 k + 1 r r x s a + 1 r q 5 c X + 2 N z T u z / G G x v 2 p 3 T B A 1 / b A a B T K n 6 X H L 7 4 6 f s 4 a 6 / T 1 2 T / 6 p 7 6 4 n V q 5 R W 7 f 9 h L q r V v l 9 r 0 O h v W W 6 W B / h 5 y x n b E C j g 7 e Y 2 b z 1 o O d / Y f 7 D x + M P 9 2 / n f I y 7 2 1 / + u n + w d 4 e O X 6 b X v T 4 W l 8 c n h m P p 2 9 s 6 7 H 0 j W 0 9 j r 6 x r a + / b m 4 c 4 a X b k c V X Y e b N 2 7 0 Y m f d b d h m Z + 9 s q s v d D s T / n t 9 Z l N 5 P 8 f S b e 1 2 U 3 N v Z 1 2 c 2 N + z O / o X F / s j c 0 7 k / w h g G 6 t g + N l m E P 7 O w E K i x N X 5 6 + + u L s 9 Z e v b 6 d r b L J + W J n Z b k J l p r b t 1 h 0 M K z P T w c H u z s G m w N D j Z v P K g / v E n g 8 / v Z 0 a M y 9 t P 9 g / o H W H W 0 a S + t b w j H i 8 f G N b j 5 V v b O t x 8 o 1 t f R 1 2 c + M I D 9 2 C J r 4 C s / S / + a 3 I R N + m s 8 h k 3 1 Z 1 v Q d y / X m + t d 6 6 m c z v M 9 m + 3 r q x s a + 3 b m 7 c n + 0 N j f t z v K F x f 2 o 3 D N C 2 f b h j F I q X D j v + 6 g 3 9 d f z i l m p r / 0 a 1 5 X o J 1 d b + e 3 Y w q L Z s B 7 S A e W 9 / b 7 x 3 O y f M v n a P k r X 7 D / b G c F 8 H 3 3 N c b d / b v r e 7 u 7 d 7 b 2 f 8 6 e 0 U m H l x e G o c U 9 / c 1 v H 0 z W 0 d S 9 / c 1 l N g t 2 g c Y a b b k c X T Y W 4 i b v V i Z O J v 2 W V k 7 m + p y d 4 T x f 6 c 3 1 a Z 3 Y L k 7 z P x n j K 7 u b G n z G 7 R u D / z G x r 3 J 3 t D 4 / 4 E b x i g a 7 t r 1 A z U G P l g p N C + f P X 0 7 M X x q 7 N b + W C 7 O 7 d I h L l e P G U m b 7 5 X B 8 P K z H R A a f 1 P 9 z / d 2 R n v b l J L H k v b F x 9 8 e r C 3 u 7 u z O 9 7 7 9 H Y K z b y 5 v f s p L X h + e p 9 e 3 X l 4 O 5 W m r w 5 P k M f a N 7 b 1 O P v G t h 5 j 3 9 j W V 2 k 3 N 4 6 w 1 G 0 J 4 y s 1 O x 2 3 f D X C A r f u N s I F t 1 V s 7 4 t m f + 5 v r d p u J v 3 7 M I C v 2 m 5 s 7 K u 2 m x v 3 O W B D 4 / 6 U b 2 j c n + Q N A 3 R t 9 / q q 7 a t X n 5 + + e H N 6 S 8 V 2 c 6 b M 9 R E q t t t k y v w O h h W b 6 W D 3 4 N 6 9 v Y P x v f 3 b q T X z G r m 2 + / f h p m 1 c g f I 4 2 7 y 4 v b f 3 6 a d 7 h O g Y N B 9 8 0 2 N s f X N 4 a j y m v r G t x 9 M 3 t v V Y + s a 2 v l K 7 u X G E m W 5 J F 1 + n u b m 4 1 Z u R y b 9 t p x E G u K 1 G e 0 8 k + / N + a 4 V 2 M 9 n f Z / J 9 h X Z j Y 1 + h 3 d y 4 P / s b G v f n e 0 P j / h R v G K B r e 8 9 X a O m r 0 8 / P X l M E m p 6 c / e T Z 8 9 s o n N 3 b u G q 2 E 1 + j 7 f Z c t Z s 6 G N Z o p o P 7 O w c P 9 z + 9 n T q z 7 + x / e n 9 / F 8 I 1 + J b H 0 + a t b X p n / z 7 Z 6 t s p M n 1 t e E o 8 Z r 6 x r c f L N 7 b 1 W P n G t r 4 i u 7 l x h I l u Q x R f i 7 k p u P m 1 y G z f q r v I j N 9 W f 7 0 P e v 2 5 v r X y u p n U 7 z P h v v K 6 s b G v v G 5 u 3 J / x D Y 3 7 0 7 y h c X 9 y N w z Q t d 3 3 l R e 8 s f T k + M 0 x K b D j W + m u v d v o L t u H r 7 v 2 b q e 7 v A 6 G d Z f p 4 N 7 B L R W X e W H 3 / q c 7 e 7 f M l J l 3 t n f v 0 / L A L b 0 v f W l 4 K j w m v r G t x 8 M 3 t v V Y + M a 2 v t K 6 u X G E e W 4 m i a + y H P F v e i k y x b f o K j L P t 1 V X t 0 e t P 8 e 3 V l Y 3 k / h 9 J t p X V j c 2 9 p X V z Y 3 7 M 7 2 h c X + C N z T u T + y G A b q 2 9 7 v K 6 n W a n p w + v V 3 g u H e L V U n X Q 6 i q 7 r 1 n B 8 O q y n T w 6 e 6 9 + 7 d U V u a V 3 f t 7 n z 4 8 2 B 1 j V W T w P Y + Z z X v b u + S e f b p 3 f / O L H k P r i 8 N T 4 j H z j W 0 9 X r 6 x r c f K N 7 b 1 l d b N j S N M d D u y + I r L T s S t X o x M + i 2 7 j M z 9 b R X Y + 6 H Y n / N b K 7 G b S f 4 + E + 8 r s R s b + 0 r s 5 s b 9 m d / Q u D / Z G x r 3 J 3 j D A F 3 b T 3 0 l l r 5 8 d U p r l a / + 0 T / + O H 1 9 / P y r p 7 d T N P s 3 a z L b T a j J 9 t + z g 2 F N Z j r Y 3 T m 4 / + C W a X 3 z z v 7 O v Y P 7 G / W f x 9 P m p e 1 7 D / c e P n x w S y W m b w 1 P i c f M N 7 b 1 e P n G t h 4 r 3 9 j W V 2 I 3 N 4 4 w 0 S 1 o 4 m s w 8 9 o t 3 o r M 9 G 0 6 i 0 z 2 b X X X e y D X n + d b K 6 6 b y f w + k + 0 r r h s b + 4 r r 5 s b 9 2 d 7 Q u D / H G x r 3 p 3 b D A F 3 b B x H F d X p y O 3 1 y / 2 a F Z c G H C u v + e 3 Y w r L B M B 7 v 3 9 8 1 K Q H T I H g u b V / Y p s t z f V 9 0 Z f c n j Y / P S 9 v 6 9 B 7 s 7 + 5 u 6 8 v h Y 3 x q e C Y + H b 2 z r s f C N b T 0 O v r G t r 6 9 u b h z h n V v Q x N d X j v 4 3 v h W Z 6 N t 0 F p n s 2 + q r 9 0 C u P 8 + 3 1 l c 3 k / l 9 J t v X V z c 2 9 v X V z Y 3 7 s 7 2 h c X + O N z T u T + 2 G A b q 2 B 4 G + e v 2 K c l u n 3 z k 9 S T / / 8 s l t d M q 9 2 6 S 2 b B + + 0 r p 3 u 9 S W 1 8 G w 0 j I d 3 N b D M u 3 v 7 e 3 t I B E 4 + I 7 H y O a d b b w E X h 1 8 y e N j f W l 4 J j w e v r G t x 8 I 3 t v U 4 + M a 2 v r 6 6 u X G E d 2 4 m i a + u f O J v f i k y w 7 f o K j L P t 1 V W t 0 e t P 8 e 3 1 l U 3 k / h 9 J t r X V T c 2 9 n X V z Y 3 7 M 7 2 h c X + C N z T u T + y G A b q 2 D 7 u 6 6 j g 9 + f L F m / T z W + b h 9 2 + j r G w n v r L a v 5 2 y 8 j o Y V l a m g 0 8 p g N z 9 d H x f I U c H 7 / G y e e 3 B / Y O H 9 3 Y e j u 9 v 8 v 0 9 n j b v b X / 6 8 N M D e n W 8 c 3 A 7 3 a U v D s + M x 9 M 3 t v V Y + s a 2 H k f f 2 N b X X T c 3 j v D S 7 c j i 6 y 8 7 f 7 d 6 M T L x t + w y M v e 3 1 W P v h 2 J / z m + t y 2 4 m + f t M v K / L b m z s 6 7 K b G w c z / x 6 6 7 G b I / Q n e M E D T 9 t 7 O T q D L v n p x 9 v T 4 K Y W L X 7 5 J T 8 5 + 8 j a 6 5 v 7 N y s z r x V d m 9 2 + n z L w O h p S Z 6 + A + q a V 9 j U K j Q 7 f c 7 N 5 5 u H f v w b 1 P N 6 k / y 9 L u p e 2 D T z / d v X 8 7 / 8 u + N T w j l p d v 0 d a y 8 i 3 a W k 6 + R V u n w 2 7 T O M J D t 6 C J U 2 D u t V u 8 F Z n p 2 3 Q W m e z b q a 7 3 Q q 4 / z 7 f U W 7 c h 8 / t M t t N b t 2 j s 9 N Z t G v d n e 0 P j / h x v a N y f 2 g 0 D d G 1 3 f b 0 l q 4 u c 5 H r 5 + X d O b 6 N V P r 2 N 2 r K d + G r r 0 9 u p L a + D Y b V l O n j w 6 b 2 D / d t p L f P K p 5 8 e P N z Z 2 / S S x 8 3 m p W 3 i 5 r 1 P 9 z e x p 8 f N + t b w f H i c f G N b j 5 F v b O v x 8 Y 1 t f a 1 1 c + M I B 9 2 C J r 7 W c v S / 8 a 3 I R N + m s 8 h k 3 1 Z r v Q d y / X m + t d a 6 m c z v M 9 m + 1 r q x s a + 1 b m 7 c n + 0 N j f t z v K F x f 2 o 3 D N C 1 3 T M K 5 c s 3 r 7 5 E R l 5 1 1 2 0 U y o P b a C z b g a + x + M 3 3 6 m B Y Y 5 k O 9 u 4 / / H R v f H B L V 8 u 8 t b u 3 9 + m 9 h w e b 3 / P 4 2 b y 3 T Y s G O / v 3 P r 2 d 3 t K 3 h m f E 4 + U b 2 3 q s f G N b j 5 N v b O v r r Z s b R 3 j o F j T x 9 Z a b g h v f i k z 3 b T q L z P d t 9 d Z 7 I N e f 5 1 v r r Z v J / D 6 T 7 e u t G x v 7 e u v m x v 3 Z 3 t C 4 P 8 c b G v e n d s M A X d t 7 R q 0 c T 6 d 5 U 9 V F 1 a S z P H 2 a 1 / l 0 f p N u 2 b 9 Z b V n 4 7 p V b w h z W V A b m 7 s 4 B O f A P 9 8 f 7 B 7 d T V u b F / d 2 d 3 Z 1 P 7 + + P N / G j x 8 T m v W 2 y C Z Q c + 3 R n D P k b f N N j Z H 1 z e C o 8 J r 6 x r c f D N 7 b 1 W P j G t r 7 C u r l x h H l u S R d f a Z l X b / l m Z P Z v 2 2 l k / m + r v N 4 T y f 6 8 3 1 q B 3 U z 2 9 5 l 8 X 4 H d 2 N h X Y D c 3 7 s / + h s b 9 + d 7 Q u D / F G w b o 2 u 4 b B f P q 9 O T 4 1 e f k e z 0 9 p f / R X 9 + + 2 f v a 3 6 c c 1 G 2 8 L 9 u L 8 b 7 s m + / V w b B O M x 1 Q 6 H d v 7 9 O D 8 c Z F Q 4 + l z X v 3 d u 4 f 7 B 8 8 3 B 3 f v 6 V O M y 9 u 7 + 1 + e r D 7 6 d 7 e + N N N X X q 8 r W 8 O z 4 7 H 1 z e 2 9 d j 6 x r Y e V 9 / Y 1 t d p N z e O 8 N M t 6 e L r N P P q L d + M z P 5 t O 4 0 w w G 1 1 2 n s i 2 Z / 3 W + u 0 m 8 n + P p P v 6 7 Q b G / s 6 7 e b G / d n f 0 L g / 3 x s a 9 6 d 4 w w B d 2 / t G 2 3 z x 1 f M 3 x 1 9 D o + 3 d r N F s H 6 F G U w N 3 6 w 6 G N Z r p g E z n 3 s H B g 8 1 L R B 5 D m / f u 3 9 + j T N u 9 8 f 1 N N t d j b P P e 9 r 2 H F P L u f T o 2 v m b 0 R Y + v 9 c X h m f F 4 + s a 2 H k v f 2 N b j 6 B v b + v r s 5 s Y R X r o d W X x 1 Z t 6 8 3 Y u R m b 9 l l 5 G 5 v 6 0 y e z 8 U + 3 N + a 1 1 2 M 8 n f Z + J 9 X X Z j Y 1 + X 3 d y 4 P / M b G v c n e 0 P j / g R v G K B r + 6 n V M 8 e v 3 5 B 3 d v q d 9 9 R l 9 2 7 W Z a 6 P Q J e p Y b t 1 B 8 O 6 z H R w 7 9 P 7 9 + 8 d j P c f 3 E 6 V m d f I M X v 4 Y P / h r V W Z e W 9 7 / / 6 9 / b 3 d 3 T E o P v i i x 9 b 6 4 v D E e C x 9 Y 1 u P o 2 9 s 6 z H 0 j W 1 9 V X Z z 4 w g r 3 Y 4 s v i q z E 3 G r F y M T f 8 s u z d x 7 b 9 5 W l b 0 f i v 0 5 v 7 U q u 5 n k 7 z P x v i q 7 s b G v y m 5 u 3 J / 5 D Y 3 7 k 7 2 h c X + C N w z Q t X 1 g 1 M z L u p q t p 6 2 k y t 4 U q y o 9 q W 7 Q N f d v 1 m I W v H 3 j d h C H 1 Z a B u P v p v d 3 7 D 3 b H + 7 d T W / a 1 h 5 R L 3 N 0 7 G H + 6 S d 9 5 P G x e 3 N 5 9 8 O m D n f v 3 H 4 z 3 N r 3 p M b G + O T w N H g P f 2 N b j 3 x v b e u x 7 Y 1 t f c d 3 c O M I 4 t 6 S L r 7 n s X N z u z c j k 3 7 b T C A P c V n e 9 J 5 L 9 e b + 1 8 r q Z 7 O 8 z + b 7 y u r G x r 7 x u b t y f / Q 2 N + / O 9 o X F / i j c M 0 L U 9 8 J U X 8 v v p u q n S 6 / R 4 V a e T m 1 T N L T J k F r 5 7 5 Z Y w h / W X g f m e + s u + 9 r 7 6 y 7 x 4 S 5 H x + F j f H J 4 J j 4 d v b O u x 8 I 1 t P Q 6 + s a 2 v v 2 5 u H O G d W 9 L F 1 1 9 2 L m 7 3 Z m T y b 9 t p h A F u q 7 / e E 8 n + v N 9 a f 9 1 M 9 v e Z f F 9 / 3 d j Y 1 1 8 3 N + 7 P / o b G / f n e 0 L g / x R s G 6 N o + N P r l + N W r 9 E l 6 9 i J 9 8 W X 6 O n 2 V P v 3 y i x t V z f 3 d 2 y X F b C c a S L o 3 3 6 u D Y Y 1 m O t j E L x 4 j m + Z 7 e / s 7 9 / f G 9 w 9 u p 8 f M a 9 u 3 e c / j Z n 1 v e D 4 8 T r 6 x r c f I N 7 b 1 + P j G t r 4 W u 7 l x h I N u R R V f h 7 3 P L P g a 7 P 0 6 j E z 7 b f X X e y H Y n + 9 b a 6 + b y f 0 + k + 5 r r x s b + 9 r r 5 s b 9 W d / Q u D / T G x r 3 p 3 f D A G 1 b 8 K w o l q / e n D 1 P n 5 7 9 5 N n T 9 J S U 2 J v T V 7 f R L X u 3 W K N 0 f f j K a + / G N c p u B 4 P K y 3 Y A d 2 x v / 7 b u m H v t 4 O D g / s H B 3 h i U G 3 z R s b V 9 k T y A v f v 7 n + 7 v j D / d 9 K Z j b P P m 8 N Q 4 p r 6 5 r e P p m 9 s 6 l r 6 5 r a f I b t E 4 w k y 3 p I u n y t x c 3 O 7 N y O T f t t M I A 9 x S n b 0 v k v 1 5 v 6 1 C u w X Z 3 2 f y P Y V 2 c 2 N P o d 2 i c X / 2 N z T u z / e G x v 0 p 3 j B A 1 3 b X K J s v 3 7 x K 0 5 e v v n y a v j l 7 + W V 6 8 u W r W 2 m 0 e 7 f R a L Y T X 6 P d u 5 1 G 8 z o Y 1 m i m g 3 v 3 N n G M x 8 r m h d 2 H e 7 s P N + k / j 5 3 N O 9 u 7 D 3 c P P t 3 0 k s f J + t L w X H h c f G N b j 4 l v b O v x 8 I 1 t f Q 1 2 c + M I 9 9 x M E l 9 5 O e L f 9 F J k i m / R V W S e b 6 u y b o 9 a f 4 5 v r a 1 u J v H 7 T L S v r W 5 s 7 G u r m x v 3 Z 3 p D 4 / 4 E b 2 j c n 9 g N A 3 R t 9 4 w i o W x X d Z l P 5 9 m i y J e S w L 9 B m X x 6 s 5 q y 0 O 0 b t 4 M 4 r J c M x H s P 7 x 3 A 1 b o / v r d p 6 d B j X P P m 3 r 2 D e 5 8 e 7 H 1 6 f 3 9 s w t f o q x 4 P m 1 d J U g 4 e H j z Y I R D j 2 6 W / z K v D c + F x 8 Y 1 t P S a + s a 3 H w z e 2 9 b X V z Y 0 j 3 H N b w v g 6 y 7 x 7 2 1 c j T H D r b i N s c F v 9 9 b 5 o 9 u f + 1 l r s Z t K / D w P 4 W u z G x r 4 W u 7 l x n w M 2 N O 5 P + Y b G / U n e M E D X 9 p 7 R M 2 f L K W m v 4 p L 0 F y X y i 8 t s V j U 3 K R 3 r D Q 3 r M Q v f v X J L m M O a z M D c P b h / / / 5 D U m Z j T O 8 g o 3 g s b N 9 8 u P v g H q n 7 v f 3 x Q 1 W t 0 V c 9 b j a v U q x y b / f B g 1 0 i 8 / j B p m 4 9 d t Z 3 h y f E Y + X B t q a t x 8 k 3 t v U Y + c a 2 v i q 7 u X G E h W 5 N G V + X 2 R m 5 7 b s R P r h 9 x x F W u K 0 2 e 2 9 E + / N / a 3 V 2 M / n f h w l 8 d X Z j Y 1 + d 3 d y 4 z w W 3 U 2 c 3 N + 5 P 8 6 3 U 2 b 5 R N 8 c n b 7 5 8 / e z s 9 c n Z F y / f f P n s 9 O m N e u d T p N t v o d F s F x p A u j f f q 4 N h 9 W Y 6 u H + w S + 7 W v Q f j h / u 3 0 2 7 m x X v 3 9 x 5 8 u n d / 5 9 P x p / d u p 9 z M m 9 t 7 D / f p z U 8 / P b h 1 W k x f v Z V u u 7 G t x 9 Y 3 t v W 4 + s a 2 v m 6 7 u X G E n 2 5 L G F + 1 m X d v + 2 q E B W 7 d b Y Q L b q v Y 3 h f N / t z f W q / d T P r 3 Y Q B f r 9 3 Y 2 N d r N z f u c 8 C G x v 0 p 3 9 C 4 P 8 k b B u j a 3 j d K 5 8 W X b 8 a / z 8 m X T 9 5 P r e 3 d r N Z s D 6 F a 0 z j v 1 h 0 M q z X T w c H 9 n Y P 9 j e l 6 j 5 n N S 5 / u 0 i v 7 + 5 s Y z W N p 8 9 b 2 / b 2 H h N w 9 1 c 3 R 1 z x 2 1 t e G J 8 R j 5 R v b e p x 8 Y 1 u P k W 9 s 6 6 u y m x t H W O g 2 R P H V m H n v N q 9 F p v t W 3 U V m / L b q 6 3 3 Q 6 8 / 1 r V X X z a R + n w n 3 V d e N j X 3 V d X P j / o x v a N y f 5 g 2 N + 5 O 7 Y Y C u 7 a d d 1 T U + f n H 6 e 3 9 p Q r a b N M u 9 m 1 W X 7 S F U X e r 7 3 L q D Y d V l O v j 0 w b 2 d / d s p L v P K / s 7 O / r 1 N 7 3 i s b N 7 Z v k e x 6 c b V A 4 + R 9 a X h q f C Y + M a 2 H g / f 2 N Z j 4 R v b + k r r 5 s Y R 5 r m Z J L 7 K M m / d / F J k k m / R V W S e b 6 u u b o 9 a f 4 5 v r a x u J v H 7 T L S v r G 5 s 7 C u r m x v 3 Z 3 p D 4 / 4 E b 2 j c n 9 g N A 3 R t H x h V c v b 6 1 e m L 4 + + 8 O X 3 1 i n T W i 9 u p k v 2 b d Z X t I N R V q i F u 3 c G w r j I d 7 O 5 9 y k M f Z B i P i c 0 7 n + 4 T W + 7 f 3 2 R D P V Y 2 b 2 1 / u r + 3 Q x m R + 7 d T W P r a 8 H R 4 j H x j W 4 + P b 2 z r s f G N b X 2 F d X P j C A P d h i i + y n J T c P N r k d m + V X e R G b + t 2 n o f 9 P p z f W v F d T O p 3 2 f C f c V 1 Y 2 N f c d 3 c u D / j G x r 3 p 3 l D 4 / 7 k b h i g a 3 t g 9 A o n v r 4 4 f n P y 5 R f j 0 9 / 7 z f h 2 i u X + z Z r L 9 h B q L m W F W 3 c w r L l M B 7 u f P t h / O H 7 4 4 H a 6 y 7 6 1 s 3 d / d 3 d / 4 x K T x 9 D m t e 3 d n R 1 a 1 a T 3 N q X K P J b W F 4 c n x W P n G 9 t 6 3 H x j W 4 + Z b 2 z r q 6 + b G 0 f Y 6 H Z k 8 R W Y m 4 f b v B i Z 9 l t 2 G Z n 6 2 y q x 9 0 O x P + e 3 V m M 3 k / x 9 J t 5 X Y z c 2 9 t X Y z Y 3 7 M 7 + h c X + y N z T u T / C G A b q 2 D 4 2 S 4 f z W + P X d 4 6 / e j F 9 8 d f q T X 7 6 + n Z 7 5 9 G Z F Z v s I F d m n 7 9 n B s C I z H e z e 3 9 1 / A F Y f Z B q P m c 1 L e z v 3 d n Z 2 H 2 5 c W / J 4 2 r y 2 v b e z u 3 / w Y O / T W 3 p h + t 7 w p H j s f G N b j 5 t v b O s x 8 4 1 t f T V 2 c + M I G 9 2 K K r 4 W c 7 N w i / c i U 3 6 7 D i P T f l s d 9 l 4 I 9 u f 7 1 i r s Z n K / z 6 T 7 K u z G x r 4 K u 7 l x f 9 Y 3 N O 7 P 9 I b G / e n d M E D b F t i L e i E P 7 N X p 6 6 d n r 7 8 4 e 3 3 8 4 n b a 5 c G w + u r B D 9 W X + j 2 3 7 m B Q f d k O N r G K 4 2 D b / P 7 D T / f u 3 T v Y 9 J b j Y / v W 9 i 1 e c 2 x s X h u e C M f C N 7 d 1 H H x z W 8 f A N 7 f 1 1 N Y t G k d Y 5 z Z E 8 b T W + 0 y B p 7 T e r 7 v I j N 9 S Z 7 0 X e v 2 5 v q 3 K u g W p 3 2 f C P Z V 1 c 2 N P Z d 2 i c X / G N z T u T / O G x v 3 J 3 T B A 1 3 b X q J R n T 7 9 k r f X y 9 O T u 2 Q t K f t 1 O q R z c r L V s F 6 H W O n j P D o a 1 l u l g E 7 d 4 P G y a 3 6 e w k f 7 7 9 H Z a y 7 y 1 f Y v X P E 7 W 1 4 b n w u P i G 9 t 6 T H x j W 4 + H b 2 z r a 6 2 b G 0 e 4 5 z Z E 8 b X W e 0 y B r 7 X e q 7 v I j N 9 W a 7 0 P e v 2 5 v r X W u p n U 7 z P h v t a 6 s b G v t W 5 u 3 J / x D Y 3 7 0 7 y h c X 9 y N w z Q t d 0 z K u X s 9 O X r z 4 9 f f / n 8 9 3 l 6 d v r 6 9 P n t d M r D m 5 W W 7 S F U W g / f s 4 N h p W U 6 2 N 2 9 / 2 D / w Y N P H 4 7 3 9 2 6 n v + y b l M v Y u 3 / w Y P / + 5 o y Z x 9 j m 1 e 2 D h 5 Q y 2 3 n 4 4 N P x / d t F j e b V 4 e n x G P v G t h 5 f 3 9 j W Y + s b 2 / q K 7 O b G E Y a 6 L W F 8 Z W b e v e 2 r E S a 4 d b c R N r i t U n t f N P t z f 2 v F d j P p 3 4 c B f M V 2 Y 2 N f s d 3 c u M 8 B G x r 3 p 3 x D 4 / 4 k b x i g a 3 v P q J 2 f P H t 6 / P r s + U + e v n 7 z 6 v R W S g e 8 f 5 N W s + A D r b a r 8 3 r r D o a 1 m u l g 7 9 6 n Z m E z O m S P j + 0 r D x / e e / i p K t j o S x 4 z m 5 e 2 9 x 4 + 2 L l 3 y 8 y X e W t 4 J j w e v r G t x 8 I 3 t v U 4 + M a 2 v g 6 7 u X G E d 2 5 B E 1 9 9 O f r f + F Z k o m / T W W S y b 6 u 0 3 g O 5 / j z f W l / d T O b 3 m W x f X 9 3 Y 2 N d X N z f u z / a G x v 0 5 3 t C 4 P 7 U b B u j a 7 h u F 8 v L 0 9 c n x 0 9 O X X 7 7 6 f V 6 d n r y 6 n U L Z v V l j 2 Q 5 C j b X 7 n h 0 M a y z T w e 4 D 8 q V u p 7 H M K 3 s 7 e 6 T n b q e w z D v b u w f 7 m z P 8 H h / r S 8 M z 4 f H w j W 0 9 F r 6 x r c f B N 7 b 1 9 d X N j S O 8 c z N J f H V l 5 + v G l y K T f I u u I v N 8 W 2 V 1 e 9 T 6 c 3 x r X X U z i d 9 n o n 1 d d W N j X 1 f d 3 L g / 0 x s a 9 y d 4 Q + P + x G 4 Y o G t 7 3 6 i S s x e v X / 4 + P 3 n 2 5 Z N X x 6 9 f / q N / z p P b 6 Z K 9 m 5 W V 7 S F U V n v v 2 c G w s j I d 7 O 7 u 3 3 u w f z D e 2 2 Q R P U 6 2 7 x 1 8 e n / / / v 7 e + L Z q y 7 y 4 v f u A g o Y H D / f H R v V G 3 / T 4 W t 8 c n h m P p 2 9 s 6 7 H 0 j W 0 9 j r 6 x r a + 7 b m 4 c 4 a V b 0 s V X Y H Y u b v d m Z P Z v 2 2 m E A W 6 r y t 4 T y f 6 8 3 1 q f 3 U z 2 9 5 l 8 X 5 / d 2 N j X Z z c 3 7 s / + h s b 9 + d 7 Q u D / F G w b o 2 n 5 q t M 0 X X z 1 / c / w 6 f X b 6 d J y + + D J 9 d v b 6 Z H w 7 l X P v Z p 1 m e w l 1 2 r 3 3 7 G B Y p 5 k O 9 h 7 e 3 9 k d b 9 J L H j + b l 3 b 3 7 u 3 v 7 1 I C 7 H b q z L y 2 v b u 3 s / 9 w d 3 + s w 4 i + 5 z G 1 v j c 8 L R 5 D 3 9 j W 4 + c b 2 3 r s f G N b X 5 n d 3 D j C S L e i i q / K 3 C z c 4 r 3 I l N + u w 8 i 0 3 1 a N v R e C / f m + t R K 7 m d z v M + m + E u P G t 1 V i N z f u z / q G x v 2 Z 3 t C 4 P 7 0 b B u j a P j D q 5 e z F y S k t O 5 5 8 + W L 8 U 1 8 + O / 3 i + M 3 t N M z + z S r M 9 h G q s P 3 3 7 G B Y h Z k O 9 v Y e f L q z y V B 6 r O z e e b h z / 8 F Y k Y m + 5 T G 0 e W t 7 d / / + p x t f 8 r h Z X x q e D 4 + T b 2 z r M f K N b T 0 + v r G t r 7 1 u b h z h o J t J 4 q s u 8 9 b N L 0 X m + R Z d R W b 6 t k r r 9 q j 1 5 / j W G u t m E r / P R P s a 6 8 b G v s a 6 u X F / p j c 0 7 k / w h s b 9 i d 0 w Q N f 2 w N N Y x 1 + 9 + f L V 6 e f 0 G z l d t 1 M n 9 2 / W V 7 a H U F 9 p r H f r D o b 1 l e l g E 7 N 4 D G y a P 9 x 7 u P + Q / x x 8 y 2 N j 8 9 b 2 L V 7 z G F l f G 5 4 K j 4 l v b O v x 8 I 1 t P R a + s a 2 v r G 5 u H G G e 2 x D F V 1 f v M Q W + w n q v 7 i I z f l u V 9 T 7 o 9 e f 6 1 k r r Z l K / z 4 T 7 S u v G x r 7 S u r l x f 8 Y 3 N O 5 P 8 4 b G / c n d M E D X 9 q F R K V + s y z Z r b t I k t 8 h 1 W Y j u l V v C H N Z L B i Y t T + / u f f p w b / x w E y d 5 / G p e v P d g l 1 7 7 9 P 5 4 Z 5 O n 7 z G u e X F 7 7 9 O 9 + 5 / e f 7 A 3 3 l E 1 G 3 3 T 4 1 1 9 c 5 j 6 H t / e 2 N Z j 2 x v b e l x 7 Y 1 t f T 9 3 c O M I v t 6 S L r 6 r M q 7 d 8 M z L 9 t + 0 0 w g C 3 V V j v i W R / 3 m + t s 2 4 m + / t M v q + z b m z s 6 6 y b G / d n f 0 P j / n x v a N y f 4 g 0 D t G 3 v 7 V i d J f m t 4 6 d f n L 0 Y p 6 e v 3 x y / G d + o b c g X 2 k M s d o M e c 7 0 Y Z 8 u + + V 4 d D C o 1 2 8 H 9 A 0 p w 7 d 9 O o d m X 7 u 3 Q K z u f 7 m z O v z r G t i 9 u 7 1 F a 7 N 7 O 7 t 5 t E / b m z e G p c U x 9 c 1 v H 0 z e 3 d S x 9 c 1 t P o d 2 i c Y S Z b k k X T 6 H Z V 2 / 5 Z m T q b 9 t p h A F u q d D e F 8 n + v N 9 W o d 2 C 7 O 8 z + Z 5 C u 7 m x p 9 B u 0 b g / + x s a 9 + d 7 Q + P + F G 8 Y o G u 7 G y o 0 y t e f v j p + f n p j 4 C i q 5 m a f z H U Q 6 r K b X b O w g 2 F d Z j q g T P 2 D T / f 3 b + u f 2 f c e 7 O 4 h F T t + q C h F 3 / O 4 2 r y 3 v b e 7 c + / + / Y f j h / u 3 U 2 b 6 4 v C 0 e A x 9 Y 1 u P n 2 9 s 6 7 H z j W 1 9 Z X Z z 4 w g j 3 Y 4 s v i 4 z b 9 7 u x c j M 3 7 L L y N z f V p O 9 H 4 r 9 O b + 1 I r u Z 5 O 8 z 8 b 4 i u 7 G x r 8 h u b t y f + Q 2 N + 5 O 9 o X F / g j c M 0 L X d M 3 r m b D n L F 8 v i B 9 m 0 q J b 5 j W H l v Z t V m A X t X r k l z G G t Z W D u 7 j 5 4 Q F 7 Y 7 V S W f W l / b 4 e o M 7 7 / 6 e 1 U l n m P b P 7 e g / 2 9 z e 9 5 3 K v v D d P f 4 9 w b 2 3 q M e 2 N b j 2 9 v b O t r r J s b R z j m V l T x F Z Z 5 8 V b v R e b 8 d h 1 G 5 v 2 2 6 u q 9 E O z P 9 6 2 1 1 c 3 k f p 9 J 9 7 X V j Y 1 9 b X V z 4 / 6 s b 2 j c n + k N j f v T u 2 G A r u 0 9 q 6 1 e P D 3 9 4 s X Z T x 2 f n H 3 5 4 m a 3 6 x 5 5 R f d u E 0 L a D o z b Z d 9 8 r w 6 G F Z j p 4 L 0 U m H 3 p P R W Y e e 9 W k u M x t L 4 3 P C U e M 9 / Y 1 u P l G 9 t 6 r H x j W 1 + B 3 d w 4 w k S 3 o o q v w M y L t 3 o v M u f o 8 O Y X I / N + W w X 2 X g j 2 5 / v W C u x m c r / P p P s K 7 M b G v g K 7 u X F / 1 j c 0 7 s / 0 h s b 9 6 d 0 w Q N d 2 3 + i X V 3 m x b P O L u m p u U i 3 7 N 2 s t C 9 W 9 c k u Y w 4 r K w N y n J d U H + + S 8 P 7 h 3 O 2 V l X r x / g L z / v f 0 x R G j w R Y 9 7 z Y u 0 J P / w I a n H / f G 9 T f r R 4 1 9 9 c 3 g G P N 6 9 s a 3 H u j e 2 9 T j 3 x r a + v r q 5 c Y R n b k k X X 2 O Z V 2 / 5 Z m T 6 b 9 t p h A F u q 7 X e E 8 n + v N 9 a b 9 1 M 9 v e Z f F 9 v 3 d j Y 1 1 s 3 N + 7 P / o b G / f n e 0 L g / x R s G 6 N r e t 3 r r 9 O z F m 9 P P X 3 3 5 + k Y d Q y 7 R / m 1 8 L g v b + F z 2 z f f q Y F i V m Q 7 e W 5 W Z F 9 9 b l Z k X b y k 9 H k v r m 8 O T 4 r H z j W 0 9 b r 6 x r c f M N 7 b 1 V d n N j S N s d E u 6 + K r M v H r L N y P T f 9 t O I w x w W 1 X 2 n k j 2 5 / 3 W q u x m s r / P 5 P u q 7 M b G v i q 7 u X F / 9 j c 0 7 s / 3 h s b 9 K d 4 w Q N f 2 U 6 N u j q f T v K n q o m r S W Z 4 e r + r q M r 9 J 5 x z c r M 4 s f P f K L W E O a z A D c 3 f 3 3 s O H D x / s 7 4 5 3 F G x 0 t B 4 H 2 z f v 7 e 4 + 3 H l 4 8 G C 8 u 4 k l P V 4 2 b 2 7 v P t h 9 u L u 3 / + m t l x / 1 z e H Z 8 P j 4 x r Y e G 9 / Y 1 u P i G 9 v 6 O u z m x h H + u S V d f B 1 m J + N 2 b 0 Y Y 4 L a d R j j g t j r s P Z H s z / u t d d j N Z H + f y f d 1 2 I 2 N f R 1 2 c + P + 7 G 9 o 3 J / v D Y 3 7 U 7 x h g K 7 t A 6 N j X p 2 e H L / 6 / M v X 6 a 1 X I A / I a z q 4 j V t m + z B u m X 3 z v T o Y V m q m A 1 J q B / f 2 d w 7 2 x 3 u b 3 C u P p e 2 b e w / v 7 X 4 K O / v w w e 2 U m n l z e / f + P p y 6 n f G D + 7 d T a v r m 8 P R 4 j H 1 j W 4 + v b 2 z r s f W N b X 2 l d n P j C E P d k i 6 + U r O T c b s 3 I w x w 2 0 4 j H H B b p f a e S P b n / d Z K 7 W a y v 8 / k + 0 r t x s a + U r u 5 c X / 2 N z T u z / e G x v 0 p 3 j B A 1 / b A K p z j 1 2 9 I p T 0 9 T U + / c 3 r y F V L 8 t 1 M 6 e z d r N d d J o N V U 8 d y 6 g 2 G t Z j r Y / f Q + / T c + + P R 2 K s 2 + d k C Z 2 9 2 9 z a r Q Y 2 z z H j k G O w f 3 7 9 8 f 3 9 v U o c f X + u L w z H g 8 f W N b j 6 V v b O t x 9 I 1 t f X 1 2 c + M I L 9 2 O L L 4 6 s x N x q x c j E 3 / L L i N z f 1 t l 9 n 4 o 9 u f 8 1 r r s Z p K / z 8 T 7 u u z G x r 4 u u 7 l x f + Y 3 N O 5 P 9 o b G / Q n e M E D X 9 q F R M 1 + 2 l O L X 4 H I 6 z x Z F v m x v 0 j U P b 1 Z j F r 5 7 5 Z Y w h z W X g X n v 4 O D g / u 7 e z v j e J h v p 8 a 9 5 c Y / 8 u B 0 K G 3 b H Y L r B N z 1 O N m 9 u 7 z 5 8 S E j e J 8 N 8 c M s g U 1 8 d n g 2 P j 2 9 s 6 7 H x j W 0 9 L r 6 x r a + / b m 4 c 4 Z / b E s b X Y O b d 2 7 4 a Y Y F b d x v h g t t q s f d F s z / 3 t 9 Z j N 5 P + f R j A 1 2 M 3 N v b 1 2 M 2 N + x y w o X F / y j c 0 7 k / y h g H a t v s 7 V o + 9 o Z R / e v z y 1 Z c / e X r y 7 e M v x j c q H H K Y H t 4 i z n R d G I / M v v l e H Q z q N d v B + + o 1 + + J 7 6 z X 7 Z l + O b t J r 5 t X h 2 X F 8 f X N b x 9 Y 3 t 3 V c f X N b T 6 / d o n G E n 2 5 L G E + v 2 X d v + 2 q E B W 7 d b Y Q L b q n X 3 h v N / t z f V q / d g v T v w w C e X r u 5 s a f X b t G 4 z w E b G v e n f E P j / i R v G K B r u 2 u U z t n y o q Z V g C Z d V X X 6 k + S c Z e n s B s 3 z 4 G a d Z s H b N 2 4 H c V i J G Y i b W M N j W t P 8 / s G 9 + w 8 f 3 B v v 3 1 J x m f e 2 b / W i x 7 r 6 4 j D x P b a 9 s a 3 H t T e 2 9 Z j 2 x r a + 2 r q 5 c Y R d b k c W X 2 m 9 1 0 T 4 K u s 9 u 4 z M / W 0 V 1 v u h 2 J / z W 6 u r m 0 n + P h P v q 6 s b G / v q 6 u b G / Z n f 0 L g / 2 R s a 9 y d 4 w w B d 2 z 1 P X a X v 0 p + E l s r T J 0 X + O q 9 v 0 i 0 3 J 8 U c e P f K L W E O K y w D 8 5 Y K y z S / F R N 6 z G v e u 5 2 Y e M y r L w 6 T 3 2 P c G 9 t 6 f H t j W 4 9 t b 2 z r K 6 y b G 0 c Y 5 n Z k 8 R X W e 0 2 E r 7 D e s 8 v I 3 N 9 W Y b 0 f i v 0 5 v 7 X C u p n k 7 z P x v s K 6 s b G v s G 5 u 3 J / 5 D Y 3 7 k 7 2 h c X + C N w z Q t b 1 n N M o X x y 9 + n 5 M v v n r + 5 u z Z 7 3 N y / O Z G x f K A I q 3 b R I 2 2 A 4 0 a 3 Z v v 1 c G w / j I d 3 F J / m e a 3 4 k m P l 8 1 7 t 5 M a j 5 f 1 x e H Z 8 P j 4 x r Y e G 9 / Y 1 u P i G 9 v 6 + u v m x h H + u R 1 Z f P 3 1 X h P h 6 6 / 3 7 D I y 9 7 f V X + + H Y n / O b 6 2 / b i b 5 + 0 y 8 r 7 9 u b O z r r 5 s b 9 2 d + Q + P + Z G 9 o 3 J / g D Q N 0 b f e N e o H D t a z S k 2 q x q v N l + q z O p j e o m I c 3 K y 8 L 3 b 5 x O 4 j D 2 s p A 3 L 1 3 f 2 + X W G p j y s F j X f P e 3 v 2 d T / d 2 7 z 0 c f 3 p L v W V e 3 N 6 7 9 2 D n 4 c N P 7 4 8 P N m X V P C b W N 4 e n w W P g G 9 t 6 / H t j W 4 9 9 b 2 z r K 6 6 b G 0 c Y 5 5 Z 0 8 T W X n Y v b v R m Z / d t 2 G m G A 2 + q u 9 0 S y P + + 3 V l 4 3 k / 1 9 J t 9 X X j c 2 9 p X X z Y 3 7 s 7 + h c X + + N z T u T / G G A b q 2 9 6 3 y W q y M 8 k r z j 6 G 7 0 u c 3 6 Z p b + F 4 W v n v l l j C H F Z i B + S m p o b 1 P x w f 7 t 9 N f 5 r X d g / 2 d g 9 0 H + 7 f 2 u 8 y L t F r / Y P / T n f 0 H 4 0 8 1 6 o 2 + 6 f G x v j k 8 E x 4 P 3 9 j W Y + E b 2 3 o c f G N b X 3 / d 3 D j C O 7 e k i 6 + / 7 F z c 7 s 3 I 5 N + 2 0 w g D 3 F Z / v S e S / X m / t f 6 6 m e z v M / m + / r q x s a + / b m 7 c n / 0 N j f v z v a F x f 4 o 3 D N C 1 / d T q r y 9 e p i + + T E + + / C J 9 f p a e f i c 9 h m a 5 Q d f s P r x d B G l 7 0 Q j S v f l e H Q y r N N P B e 6 o 0 8 9 p 7 q z T z 4 i 2 l y G N t f X N 4 c j y 2 v r G t x 9 U 3 t v W Y + s a 2 v k q 7 u X G E n W 5 J F 1 + l 2 b m 4 3 Z u R y b 9 t p x E G u K 1 K e 0 8 k + / N + a 5 V 2 M 9 n f Z / J 9 l X Z j Y 1 + l 3 d y 4 P / s b G v f n e 0 P j / h R v G K B r + 8 A o m 5 N q 2 a Z f 5 D 8 9 e p r X o 5 d 1 N U u v b 1 I 4 e z f r M g v e v X J L m M P q y 8 D 8 9 O H O z v 6 n 4 4 e 6 i B k d q c e 9 9 r V P 7 9 9 D f L C J F z 0 m N q 9 t 3 3 / 4 6 b 2 H u w d j U H r w R Y + H 9 c X h W f D 4 9 8 a 2 H v v e 2 N b j 3 h v b + r r r 5 s Y R v r k d W X z V Z d 6 8 3 Y u R e b 9 l l 5 G p v 6 3 i e j 8 U + 3 N + a 7 1 1 M 8 n f Z + J 9 v X V j Y 1 9 v 3 d y 4 P / M b G v c n e 0 P j / g R v G K B r e 2 A U y 9 P T V 6 c n 3 / 7 y t f p j L 9 P n p 7 / P j U p m / 5 a u m O 3 F u G L 2 z f f q Y F i X m Q 7 o h Y N 7 + + O d T T k L j 6 H N a 7 v 3 P 9 3 / d H 9 n s w v n M b Z 5 b 3 v 3 3 u 7 + w c 6 n 4 w c P b 6 f M 9 M X h q f G Y + s a 2 H k / f 2 N Z j 6 R v b + s r s 5 s Y R Z r o d W X x l Z i f i V i 9 G J v 6 W X U b m / r b K 7 P 1 Q 7 M / 5 r Z X Z z S R / n 4 n 3 l d m N j X 1 l d n P j / s x v a N y f 7 A 2 N + x O 8 Y Y C u 7 U O j Z o 5 f v n r v u H L v 0 1 s q M 9 u L V W b m z f f q Y F i Z m Q 7 2 9 3 c o s B w b Z y 8 6 e o + h z W v 3 d w 4 e 3 t v b H 9 / 7 9 H b K z L y 3 T S q Q g t / d M X K R g y 9 6 j K 0 v D k + N x 9 Q 3 t v V 4 + s a 2 H k v f 2 N Z X Z j c 3 j j D T 7 c j i K z M 7 f 7 d 6 M T L x t + w y M v e 3 V W b v h 2 J / z m + t z G 4 m + f t M v K / M b m z s K 7 O b G / d n f k P j / m R v a N y f 4 A 0 D t G 3 v 7 x g 1 8 z K r 2 2 I 6 S o 8 v 6 v V q l L 6 p s 2 W z W d f c H F A 6 6 O a F W 8 E b 1 F k W 3 u 7 O p / u 7 9 + 7 d 3 9 8 d P 7 i d E 2 Z f 3 b 9 / n 9 5 7 + I D y b 2 M I 4 u C 7 j o / t u 9 v 7 + / s P d u 9 9 e u / + g w e b F Z / j Z f P y 8 G w 4 P r 6 5 r W P j m 9 s 6 L r 6 5 r a e / b t E 4 w j + 3 J 4 2 n w 9 y k 3 P r l C D O 8 R 9 c R f r i l L v s a q P Z 5 4 L b 6 7 B Z T 8 D 6 M 4 O m z m x t 7 + u w W j f u c s K F x f + I 3 N O 5 P 9 I Y B u r a 7 o T 4 r V t m 0 q J Z 5 k 1 6 n x 6 s b 9 M / u z Q r N g r d v 3 A 7 i s E o z E B / s 7 + w c 7 N / b e T B + u H 8 7 j W b e v L d L n t j O f U p / P B j v b n r X 4 2 b z 7 v a 9 3 d 3 7 e 6 Q N P 7 3 / c G O O z W N m f X d 4 O j x G v r G t x 8 c 3 t v X Y + M a 2 v k K 7 u X G E g W 5 N G V + f u S m 5 5 b s R R r h 9 x x F e u K 0 2 e 2 9 E + / N / a 2 V 2 M / n f h w l 8 Z X Z j Y 1 + Z 3 d y 4 z w U b G v d n f U P j / j R v G K B r u z e g z G 7 S O r d Q Z B a 0 e + W W M I d V m Y F J q Y v d v Y P 7 e + N 7 t / T N z I u 7 n 5 J X d m 9 n / / 7 B w X h n 0 0 K B x 8 n m 3 e 3 d T 3 c O H h w 8 3 H 1 w 7 / 7 4 w S 1 V m b 4 8 P B k e G 9 / Y 1 u P i G 9 t 6 T H x j W 1 + V 3 d w 4 w j 6 3 J 4 2 v y 9 y k 3 P b l C C u 8 R 9 c R f r i t N n t / V P s 8 c G t 1 d v M U v A 8 j + O r s x s a + O r u 5 c Z 8 T N j T u T / y G x v 2 J 3 j B A 1 / a e 0 T n P v n z x 9 M v P X x 0 / f 3 n 8 6 s 3 Z y d n L 8 Y 3 a 5 2 D 3 V m k z 1 4 e k z b w 3 3 6 u D Y S V n O t i 9 t 3 / v 3 u 7 t d Z x 9 j 9 b X H 9 6 n G O L + v V v r O P P u N l 4 + 2 N u 5 d 0 C r C L f V c f r y 8 A x 5 v H 1 j W 4 + 1 b 2 z r c f a N b X 0 d d 3 P j C E / d n j S + j v M n 5 X Y v R z j h P b q O 8 M N t d V y I 6 m 0 6 6 / P A r X X c z V P w P o z g 6 7 g b G / s 6 7 u b G f U 7 Y 0 L g / 8 R s a 9 y d 6 w w B d 2 / 1 A x z 0 7 e 3 0 y / n 1 o y f P 4 q 6 e 3 0 0 B 7 N 6 s 4 2 0 W o 4 p Q X b t 3 B s I o z H W z i F o + T T f N 7 u w 9 p 1 W r 3 4 b 4 q 2 + h 7 H k e b 9 7 Z v 9 a L H z f r i 8 H x 4 n H x j W 4 + R b 2 z r 8 f G N b X 2 N d n P j C A f d j i y + N n u v i f A 1 2 X t 2 G Z n 7 2 2 q x 9 0 O x P + e 3 1 m A 3 k / x 9 J t 7 X Y D c 2 9 j X Y z Y 3 7 M 7 + h c X + y N z T u T / C G A b q 2 9 0 M N 9 u U X 4 y + + e g E n 7 f j 5 7 T T M v Z t V m O 0 j V G H 3 3 r O D Y R V m O r i 3 s / M p e V u 3 1 G T 2 r U / v H R z s 3 N 8 7 u J 0 i M 6 9 t 3 7 t 3 j x B 8 e L D p P Y + n 9 b 3 h W f H 4 + c a 2 H j v f 2 N b j 5 h v b + n r s 5 s Y R P r o V V X w 1 Z m f h N u 9 F 5 v x 2 H U a m / b Z K 7 L 0 Q 7 M / 3 r X X Y z e R + n 0 n 3 d d i N j X 0 d d n P j / q x v a N y f 6 Q 2 N + 9 O 7 Y Y C u 7 a d W h z 3 9 8 u y L l 6 e v X 7 5 + + e r L p 7 / P 6 9 s p m P 2 b N Z j t I d R g + + / Z w b A G M x 3 c U n W Z 5 v c + 3 d / b + f T T T 1 W V R l / z W N m 8 t n 2 b 9 z x W 1 v e G J 8 N j 4 x v b e l x 8 Y 1 u P i W 9 s 6 6 u u m x t H 2 O d W V P F V 1 / v M g q + 6 3 q / D y L T f V n W 9 F 4 L 9 + b 6 1 6 r q Z 3 O 8 z 6 b 7 q u r G x r 7 p u b t y f 9 Q 2 N + z O 9 o X F / e j c M 0 L V 9 Y B Q L c m P p 2 e t X K X 7 e e 5 I + P 3 l 2 O + V y / 2 b t Z T s J t d f 9 9 + x g W H u Z D m 6 p v U x z Y s p 7 9 w / u G U c w + p r H z e a 1 7 d u 8 5 3 G z v j c 8 H x 4 n 3 9 j W Y + Q b 2 3 p 8 f G N b X 3 v d 3 D j C Q b e i i q + 9 3 m c W f O 3 1 f h 1 G p v 2 2 2 u u 9 E O z P 9 6 2 1 1 8 3 k f p 9 J 9 7 X X j Y 1 9 7 X V z 4 / 6 s b 2 j c n + k N j f v T u 2 G A r u 2 B U S z H q 6 p u b 7 l c e Y u c l 4 X r X r k l z G E d Z W D e 3 z / Y 2 7 / 3 4 N 7 O e G P A 5 / G t e X N 3 H 8 H l v Q c P D z 7 d v A 7 g 8 b B 5 d 5 s W S W k V 4 O H + 3 v 1 P N y 8 E e I y s L w 9 P h c f E N 7 b 1 e P j G t h 4 L 3 9 j W V 1 w 3 N 4 4 w z + 1 J 4 2 s v N y m 3 f T n C C + / R d Y Q f b q v H 3 h / V P g / c W p n d P A X v w w i + M r u x s a / M b m 7 c 5 4 Q N j f s T v 6 F x f 6 I 3 D N C 1 f W i U z u v T V z 9 J G b A v X 5 8 + / e p k / P T 0 9 f h G 9 U P r Q b d a r 7 R 9 G E / M v v l e H Q x r O d P B w 5 2 H 9 8 Y P N l l M j 6 H N S w 8 o B 3 a P E h y 7 n 4 5 3 N 7 3 q 8 b Z 5 d Z v f P X j 4 Y G 9 v v H 8 7 7 a a v D s + N x 9 U 3 t v W Y + s a 2 H k / f 2 N b X b j c 3 j n D T b Q n j 6 7 Z g P m 7 x a m T + b 9 1 t h A 1 u q 9 f e F 8 3 + 3 N 9 a q 9 1 M + v d h A F + r 3 d j Y 1 2 o 3 N + 5 z w I b G / S n f 0 L g / y R s G a N t + u m M 0 D g W Y x 6 T Z x q z U T l + / u a V S u 9 l b c 1 2 E S u 1 m p y 3 s Y F C p 2 Q 5 2 D / b v 3 3 v w 6 d 7 O + G C T + X Q s b d / c 3 7 n / 6 c O 9 n Q f 7 4 4 N P b 6 X Y 7 J v b e x Q H 3 9 + n j s c P H 9 5 K s Z l X h 6 f H M f b N b Z m v b 9 n W s f X N b T 3 F d o v G E Y a 6 L W E 8 x W b f v e 2 r E R 6 4 d b c R L r i l Y n t v N P t z f 1 v F d g v S v w 8 D e I r t 5 s a e Y r t F 4 z 4 H b G j c n / I N j f u T v G G A r u 2 u 0 T r P v n x x m n 7 + 5 s v 0 5 M t X r 8 5 O X 7 w 5 v Z 3 i u X e z Z r N 9 h J p N f a N b d z C s 2 U w H e 7 R A / m B 3 7 9 O H G y 2 o x 9 L m x f 1 P d x / s 0 4 o n e W y 3 V G z m z e 0 9 C k Q e 7 O / e + 3 T 8 Y N O r H n P r q 8 P T 4 z H 2 j W 0 9 v r 6 x r c f W N 7 b 1 F d v N j S M M d V v C + I r N z u M t X 4 2 w w K 2 7 j X D B b R X b + 6 L Z n / t b K 7 a b S f 8 + D O A r t h s b + 4 r t 5 s Z 9 D t j Q u D / l G x r 3 J 3 n D A F 3 b v Z 5 i + / L l 6 a v j k 7 N / 9 E 9 9 c T v F s 3 + z Z r O d h J p N t c + t O x j W b K a D P X r j 3 s P 7 u + N b e m z 2 v Y e f H t x 7 c P D w 4 X j n 4 H a K z b y 5 v f d g f 2 f 3 3 s P 9 B + N 7 m 1 7 1 m F t f H Z 4 e j 7 F v b O v x 9 Y 1 t P b a + s a 2 v 2 G 5 u H G G o 2 x L G V 2 x 2 O m 7 5 a o Q D b t 1 t h A t u q 9 j e F 8 3 + 3 N 9 a s d 1 M + v d h A F + x 3 d j Y V 2 w 3 N + 5 z w I b G / S n f 0 L g / y R s G 6 N r e C x T b s 6 f w 2 L 5 4 e f r i N e m 2 L 2 + n e G 5 e 7 H S 9 h J r t x s X O T g f D m s 1 0 s L u 7 + + B g 9 + D + 2 E S 6 0 f F 7 T G 1 f p I h i Z / 8 + h b G f b n r T Y 2 / z 5 v b u v X 3 y E u / d u z / + 9 H a a T d 8 c n h + P s 2 9 s 6 z H 2 j W 0 9 v r 6 x r a / Z b m 4 c 4 a h b 0 s V X b H Y y b v d m Z P 5 v 2 2 m E A 2 6 r 1 t 4 T y f 6 8 3 1 q r 3 U z 2 9 5 l 8 X 6 v d 2 N j X a j c 3 7 s / + h s b 9 + d 7 Q u D / F G w b o 2 u 5 b r f b 0 y + O X X 7 5 6 M 8 b 6 w e v j 5 1 8 9 v Y 3 K 2 b v F s o H r w 9 d p e 7 d b N v A 6 G N Z p p o P 7 O 5 / e 3 9 9 7 O P 7 0 4 e 1 U m n m P U m v 3 D v b 2 9 v Y P x v c 3 O X o e b 5 t X t / d 2 P j 1 4 c P 9 T U q X j g 1 v 6 a / r u 8 P x 4 n H 1 j W 4 + x b 2 z r 8 f W N b X 2 t d n P j C E f d m j K + X n M z c s t 3 I 1 x w + 4 4 j r H B b 3 f b e i P b n / 9 b a 7 W b y v w 8 T + N r t x s a + d r u 5 c Z 8 L N j T u z / q G x v 1 p 3 j B A 1 / a + 1 W 5 f v n j 6 5 d m L Z + P X X 5 6 M v 3 h 5 / P w 2 u u f e b Z S b 7 c J X b v d u p 9 y 8 D o a V m + l g f w / K 7 V M F H B 2 5 x 8 / 2 L S w c P D z Y 2 d + c B P Y 4 2 7 y 5 j Q 7 p 2 b / 9 0 o G + O j w 1 H l P f 2 N b j 6 R v b e i x 9 Y 1 t f s d 3 c O M J M t y W M r 9 f 8 S b z N q 5 H 5 v 3 W 3 E S 6 4 r V Z 7 X z T 7 c 3 9 r p X Y z 6 d + H A X y l d m N j X 6 n d 3 L j P A R s a 9 6 d 8 Q + P + J G 8 Y o G v 7 q V V q r N J e k U o 7 O 3 5 O a 6 K 3 U z l 7 N + s 0 2 0 O o 0 z T c u 3 U H w z r N d E C 5 t f H B v d t p N P P O / Y f 0 3 6 f 7 n 4 4 f b n r R Y 2 r z 4 j a / u b / z Y L x J h 3 o s r S 8 O T 4 r H z j e 2 9 b j 5 x r Y e M 9 / Y 1 l d n N z e O s N H t y O I r s 2 A m b n w x M u 2 3 7 D I y + b d V Z O + H Y n / O b 6 3 G b i b 5 + 0 y 8 r 8 Z u b O y r s Z s b 9 2 d + Q + P + Z G 9 o 3 J / g T m N / g K 7 t A 6 v G K O r 8 4 q u n p 1 + 8 O X 3 1 6 u m z 2 y i Z / d t 4 Z r Y D X 4 v t 3 8 4 z 8 z o Y 1 m K m g 0 2 8 4 v G w a b 6 7 v 3 t w c G 9 v / 9 P 9 8 c E t f T L z 6 v Z t 3 / U 4 W t + 9 l R a 7 s a 3 H z D e 2 9 X j 5 x r a + F r u 5 c Y S L b k 0 Z X 5 G 9 7 4 z 4 u u z 9 O 4 6 w w m 3 V 2 X s j 2 p / / W 2 u 0 m 8 n / P k z g a 7 Q b G / s a 7 e b G f S 6 4 n U a 7 u X F / m m + l 0 Q 6 M w j l + f f b 6 D U J N 8 s v G 2 0 / P b q X T 7 t 9 G p 9 k u f J 1 2 / 3 Y 6 z e t g W K e Z D g 4 o F b Z / O 7 1 m X t n d / 3 S X l u U / v T f e V X y i b 3 p s b d 7 c l l d 3 H u x v z r 9 5 X K 2 v D s + L x 9 E 3 t v U Y + s a 2 H j / f 2 N b X a j c 3 j n D S b Q n j K 7 V w O m 5 + N T L 5 t + 4 2 w g W 3 V W n v i 2 Z / 7 m + t 0 W 4 m / f s w g K / R b m z s a 7 S b G / c 5 Y E P j / p R v a N y f 5 A 0 D d G 0 f G n W D O P O Y Q s z x 6 d O v T s Z P / t E / + P X 4 d i r n F t G m 7 S T U a b e K N r 0 O h n W a 6 e D e / i a O 8 X j Z v L D 7 6 a f 3 H t I 6 6 c O x W Y C N v u l x t X l z m 1 / d O b h 3 w 6 s e V + u r w / P i c f S N b T 2 G v r G t x 8 8 3 t v U 1 2 s 2 N I 5 x 0 W 8 L 4 G i 2 Y j l u 8 G p n 6 W 3 c b 4 Y L b a r T 3 R b M / 9 7 f W a D e T / n 0 Y w N d o N z b 2 N d r N j f s c s K F x f 8 o 3 N O 5 P 8 o Y B 2 r Y P d r o a 7 Z W o t N d f v b y l R r t 3 o 0 Z z n Y Q a T f N V t + 5 g U K P Z D k g 3 3 R s / 2 M R l j p / t S 5 8 e H O w / o D 9 v m 0 C z L 2 7 j z U 9 3 H 1 I 2 5 e B W O s 2 8 O T w z j q d v b u t Y + u a 2 j q N v b u v p t F s 0 j v D S L e n i q b R g L m 7 x Z m T q b 9 t p h A F u q d D e F 8 n + v N 9 W n 9 2 C 7 O 8 z + Z 4 + u 7 m x p 8 9 u 0 b g / + x s a 9 + d 7 Q + P + F G 8 Y o G u 7 G + o z U m V f n D 4 9 O y Z 1 d j t l s 3 + z N r N d h N p s / z 0 7 G N Z m p o O d s Q l k o 6 P 2 O N m 8 s Q s z e 3 + H 1 g I 2 v e i x t H l x 2 7 1 5 O 0 2 m L w 7 P i c f N N 7 b 1 m P n G t h 4 v 3 9 j W 1 2 Q 3 N 4 5 w 0 e 3 I 4 i u y / k z c U o + 9 Z 5 e R y b + t G n s / F P t z f m s t d j P J 3 2 f i f S 1 2 Y 2 N f i 9 3 c u D / z G x r 3 J 3 t D 4 / 4 E b x i g a 7 t n V M y z L 1 8 8 / f L 4 J a 0 I v D 7 9 / O U / + u c 8 u Y 2 S + f Q W m T P X h a / F P r 1 d 5 s z r Y F i L m Q 7 u 3 b / 3 Y K z K M T p u j 5 X t O 7 s P P n 3 w 6 a d 7 n 4 5 v 6 Z K Z F 7 f 5 z X s 7 l K 6 7 p S L T N 4 e n x W P o G 9 t 6 / H x j W 4 + d b 2 z r K 7 K b G 0 c Y 6 Z Z 0 8 T V Z M B c 3 v x m Z + d t 2 G m G A 2 + q y 9 0 S y P + + 3 V m Y 3 k / 1 9 J t 9 X Z j c 2 9 p X Z z Y 3 7 s 7 + h c X + + N z T u T / G G A b q 2 9 4 y m 4 c D y z e n J i y + f / 6 N / 6 u d n J 8 e 3 0 T U P b q P M b B e + M n t w O 2 X m d T C s z E w H u w 8 e 3 N 8 / O P h 0 f H + T 6 + 8 x t H l x b 2 + H l q p 2 9 / b H J p E X f d N j b f P m 9 t 7 O 3 v 6 9 e 3 v Q o p v U q M f b + u r w 7 H h 8 f W N b j 6 1 v b O t x 9 Y 1 t f Z 1 2 c + M I P 9 2 W M L 5 S s 9 N x y 1 c j L H D r b i N c I M r m Z r X 2 v m j 2 5 / 7 W e u 1 m 0 r 8 P A / h 6 7 c b G v l 6 7 u X G f A z Y 0 7 k / 5 h s b 9 S d 4 w Q N d 2 3 9 d r x y d n / + i f + u L p 6 f H T r 5 6 / + f L 1 7 R T P 3 s 2 a z X Y S a j b V I b f u Y F i z m Q 7 2 9 u 7 f 2 / 1 U N W Z 0 6 B 4 / m 5 c + f b j 3 4 O E e r b 7 f v 3 c 7 p W Z e 3 P 6 U k P t 0 d + f e 5 j c 9 v t Y 3 h 2 f G 4 + k b 2 3 o s f W N b j 6 N v b O v r t J s b R 3 j p l n T x V Z q d i 9 u 9 G Z n 6 2 3 Y a Y Y D b K r T 3 R L I / 7 7 f W Z z e T / X 0 m 3 9 d n N z b 2 9 d n N j f u z v 6 F x f 7 4 3 N O 5 P 8 Y Y B u r b 3 j a p 5 9 v T L F D F n + o z + f / r i T f r s 9 O l t 9 M 3 B b V w 1 2 4 u v 0 A 5 u 5 6 p 5 H Q w r N N P B P q m m n f 2 H u + M H n 9 5 O q Z k X D + 5 9 + u n O 3 s G n D 8 d 7 m 1 b g P e 4 2 b 2 4 / e H i P f L x 7 D x 6 M 7 2 / S p B 5 7 6 6 v D E + S x 9 o 1 t P c 6 + s a 3 H 2 D e 2 9 d X a z Y 0 j L H V b w v h 6 z b x 7 2 1 c j L H D r b i N c c F v N 9 r 5 o 9 u f + 1 q r t Z t K / D w P 4 q u 3 G x r 5 q u 7 l x n w M 2 N O 5 P + Y b G / U n e M E D X 9 l O j d E 6 q 5 W W + L K r m J n V z 7 2 Z N Z o G 6 V 2 4 J c 1 h 5 G Z i 7 n + 6 Q / n q w d 3 9 8 7 5 Y u m X 1 z 5 8 H B v d 1 7 9 x 7 u j R + o l x h 9 1 W N h 8 + r 2 w 9 0 H B w f 3 P / 2 U w o 1 b q i 9 9 d X g S P P a 9 s a 3 H v T e 2 9 Z j 3 x r a + + r q 5 c Y R t b k s Y X 3 2 Z d 2 / 7 a o Q J b t 1 t h A 1 u q 7 7 e F 8 3 + 3 N 9 a f d 1 M + v d h A F 9 9 3 d j Y V 1 8 3 N + 5 z w I b G / S n f 0 L g / y R s G 6 N o + s O r r y x c / m T 4 9 f Z 3 + P u m r 0 + P X 9 M / J j U r n 4 N 7 O 7 m 0 c M 9 u J c c z s m + / V w b B u M x 2 8 v 2 6 z b 7 6 / b j O v 3 l a W P P 7 W V 4 d n y O P t G 9 t 6 r H 1 j W 4 + z b 2 z r 6 7 a b G 0 d 4 6 r a E 8 X W b e f e 2 r 0 a Y 4 N b d R t j g t r r t f d H s z / 2 t d d v N p H 8 f B v B 1 2 4 2 N f d 1 2 c + M + B 2 x o 3 J / y D Y 3 7 k 7 x h g K 7 t g V E 7 b + p s 2 Z z n d b 6 c F l k z S o + b 4 u I G 3 X O L / J k F b 9 + 4 H c R h N W Y g 3 t v b p / B y 7 9 6 9 8 c E t 1 Z h 5 c / f e p / t 7 + / u 7 u / d 3 x w 9 v G W K a d 7 d J / e 3 S u v 3 u w 9 2 D M T h 2 8 G W P m / X l 4 f n w O P n G t h 4 j 3 9 j W 4 + M b 2 / q a 7 O b G E Q 6 6 P W l 8 X e Y m 5 b Y v R 3 j h P b q O 8 M N t 9 d n 7 o 9 r n g V t r t J u n 4 H 0 Y w d d o N z b 2 N d r N j f u c s K F x f + I 3 N O 5 P 9 I Y B u r Y P Q 4 2 W n i 3 b v F 5 m T X p N O u 0 m / X M L R 8 3 C d 6 / c E u a w U j M w d 3 c O H h 5 s Y i m P f c 0 7 n 9 7 b / / T T g 9 3 9 H b K v t / T K z K v b e P f + g z 1 y I z e / 6 z G y v j s 8 F R 4 T 3 9 j W 4 + E b 2 3 o s f G N b X 5 n d 3 D j C P L e m j K / L / B m 5 1 b s R D r h 9 x x F W u K 0 m e 2 9 E + / N / a 0 V 2 M / n f h w l 8 R X Z j Y 1 + R 3 d y 4 z w U b G v d n f U P j / j R v G K B t e 7 B j F M 2 X r z 4 / f j F + + Y / + O U / G F H y e n E L B 3 K B y H u 7 e K u p 0 f W j U 6 d 5 8 r w 4 G N Z v t 4 D 0 0 m 3 v n 0 / 0 H n z 5 8 8 I A W O H c O b q X Z 7 K v b e P f + w c G D B w e 9 d w c 0 m 3 n 3 N p r t 5 r a O q W 9 u 6 3 j 6 5 r a e Z r t F 4 w g 3 3 Z o y n m Y L Z u R W 7 0 Y 4 4 P Y d R 1 j h l p r t / R H t z / 9 t N d s t y P 8 + T O B p t p s b e 5 r t F o 3 7 X H A r z X a L x v 1 p v p V m 2 z V a 5 9 n Z 0 9 O z k y + / O H v 9 5 e v b q Z y b Y 0 4 H P d R p N 8 a e n Q 6 G d Z r p Y B O j e D x s m u 8 9 u L / z c G f 3 w f j e / u 2 U m X l x + 3 Z v e q y s b w 5 P h s f G N 7 b 1 u P j G t h 4 T 3 9 j W V 2 U 3 N 4 6 w z y 3 p 4 i u y 9 5 s L X 4 2 9 b 6 c R B r i t E n t P J P v z f m s V d j P Z 3 2 f y f R V 2 Y 2 N f h d 3 c u D / 7 G x r 3 5 3 t D 4 / 4 U b x i g a 7 t n l M z x y y 9 f v T k + e X 1 K W u T k 7 P j 5 7 b T M z e u b r o d Q j d 2 0 z N n t Y F i N m Q 5 u q c Z M 8 / 1 P H + z u P 9 j / d O / T 2 2 k x 8 9 7 2 r V 7 0 m F l f H J 4 O j 5 F v b O v x 8 Y 1 t P T a + s a 2 v x G 5 u H G G g 2 5 H F 1 2 H v N R G + C n v P L i N z f 1 s N 9 n 4 o 9 u f 8 1 g r s Z p K / z 8 T 7 C u z G x r 4 C u 7 l x f + Y 3 N O 5 P 9 o b G / Q n e M E D X 9 p 5 R L 6 / X k 6 a Y F R U S Z P T 7 J R Y A b t I x t 1 B f F r 5 7 5 Z Y w h z W W g X l v 7 9 7 D / Z 2 9 / Q e 3 z f 3 b N x / s P b z / 4 P 7 D B / v 7 4 / v 3 b 6 e / z K v b F I r u H u w + 3 H / 4 6 f j B / u 1 U m L 4 7 P C E e K 9 / Y 1 u P k G 9 t 6 j H x j W 1 + F 3 d w 4 w k K 3 p o y v x c z L t 3 4 3 w g e 3 7 z j C C r f V Z e + N a H / + b 6 3 O b i b / + z C B r 8 5 u b O y r s 5 s b 9 7 l g Q + P + r G 9 o 3 J / m D Q N 0 b f e N u j l + + e z V P / p H f 3 7 6 8 t W X b 8 g j e 3 2 j 2 n l 4 7 3 a p M t u D 8 c f s m + / V w b B 2 M x 3 s I a G / s 3 f w c L y r w K O D 9 1 j a v P n p p 3 s 7 l C / b 3 x v v f H o 7 5 W b e 3 N 7 f e 7 B / 7 8 H + / b 3 x w 0 1 6 0 e N t f X V 4 d j y + v r G t x 9 Y 3 t v W 4 + s a 2 v m 6 7 u X G E n 2 5 L G F + 1 m X d v + 2 q E B 2 7 d b Y Q L b q v Y 3 h f N / t z f W q / d T P r 3 Y Q B f r 9 3 Y 2 N d r N z f u c 8 C G x v 0 p 3 9 C 4 P 8 k b B u j a 3 r d 6 7 f n Z F 6 9 O v 3 z 9 9 O z z l 6 e k 2 G 6 n d v Z u 1 m u 2 h 1 C v 7 b 1 n B 8 N 6 z X R w y z j T N N 9 9 u E f h w / 1 N b 3 n M b N 7 a v s V r H i P r a 8 N T 4 T H x j W 0 9 H r 6 x r c f C N 7 b 1 l d j N j S P M c x u i + A r s P a b A V 1 7 v 1 V 1 k x m + r u N 4 H v f 5 c 3 1 p p 3 U z q 9 5 l w X 2 n d 2 N h X W j c 3 7 s / 4 h s b 9 a d 7 Q u D + 5 G w b o 2 n 5 q V A o 5 Y Z + / O v 7 i + P W r 0 8 / P v n x x / P z 0 l v 7 Y v Z v 1 l u 0 k 1 F v 3 3 r O D Y b 1 l O r j / k F 4 a H y j g 6 N g 9 Z j Z v g T M / P f j 0 0 4 P x / Y e 3 U 2 H m z W 1 m 6 o f 7 F K M + + P R 2 a k x f H Z 4 c j 6 1 v b O t x 9 Y 1 t P a a + s a 2 v x m 5 u H G G n 2 x L G V 2 X + d N z m 1 c j 8 3 7 r b C B f c V q W 9 L 5 r 9 u b + 1 W r u Z 9 O / D A L 5 a u 7 G x r 9 Z u b t z n g A 2 N + 1 M + 2 D h Q a z c 2 9 r B 4 Y D T O s y 9 f P P 3 y 5 a v T n 3 x 6 + n r 8 4 v j N + H Y 6 Z / 9 m p W a 7 C J X a / n t 2 M K z U T A c H B + N 7 m z j M 4 2 X z y v 4 B s m a 3 V G b m p W 1 a h / 9 0 b L J / N + k x f e t W e u z G t h 4 b 3 9 j W 4 + I b 2 / p 6 7 O b G E f 6 5 B U 1 8 F W b p f / N b k Y m + T W e R y b 6 t 4 n o P 5 P r z f G u d d T O Z 3 2 e y f Z 1 1 Y 2 N f Z 9 3 c u D / b t 9 N Z N z f u T + 2 G A b q 2 B 0 a h v P 7 q y e u z p 2 N a p 3 z 5 j / 4 5 T 7 5 4 e f N K p e i U + z c r L d t H q L Q 0 m X D r D o a V l u n g / h 6 l t v Y O b q e 2 z E s H D x / u 3 t 8 n D 2 7 v w e 1 U l 3 l x G 2 / u 7 B 7 s j B 9 u U n o e W + u b w x P j s f S N b T 2 O v r G t x 9 A 3 t v X V 1 8 2 N I 6 x 0 S 7 r 4 K s y f i 1 u 8 G Z n 6 2 3 Y a Y Y D b q r L 3 R L I / 7 7 d W Z z e T / X 0 m 3 1 d n N z b 2 1 d n N j f u z v 6 F x f 7 4 3 N O 5 P 8 Y Y B u r Y P j a p 5 9 u X L 0 6 e n X 9 x O x X x 6 s w 6 z g E M d 9 u l 7 d j C s w 0 w H O 2 O j G K N j 9 f j X v P F w / / 7 O v d 0 H 9 8 b 3 N m k + j 5 H N i 9 v u z V v 6 X / r m 8 F R 4 T H x j W 4 + H b 2 z r s f C N b X 0 F d n P j C P P c k i 6 + A u v P x W 3 9 s P f t N M I A t 1 V g 7 4 l k f 9 5 v r c B u J v v 7 T L 6 v w G 5 s 7 C u w m x v 3 Z 3 9 D 4 / 5 8 b 2 j c n + I N A 7 R t H + 5 Y B f b 0 y z e v j l / A G X t 5 + u r p 2 S 0 T Y w 9 u V G W u i 1 C V q f d z 6 w 4 G V Z n t Y B O 3 O D a 2 z X f 3 a V H z / u 7 D z a k N x 8 / 2 x e 3 b v e n 4 2 b w 5 P C O O l 2 9 u 6 1 j 5 5 r a O k 2 9 u 6 + m x W z S O 8 N A t 6 e L p s f e c C 0 + P v X e n E Q a 4 p R 5 7 X y T 7 8 3 5 b P X Y L s r / P 5 H t 6 7 O b G n h 6 7 R e P + 7 G 9 o 3 J / v D Y 3 7 U 7 x h g K 7 t r l E y l O L / f c b I g 5 k U / + 3 U z M H N e s x 2 E e q x g / f s Y F i P m Q 7 o t / G D 2 z l l 9 p 0 D y o Z R w m 1 v f 7 y z e z t t Z t 7 c l l d 3 7 l E o e 0 t 1 p q 8 O T 4 z H 0 j e 2 9 T j 6 x r Y e Q 9 / Y 1 l d n N z e O s N J t C e P r s 3 A 6 b n 4 1 M v u 3 7 j b C B b f V a O + L Z n / u b 6 3 S b i b 9 + z C A r 9 J u b O y r t J s b 9 z l g Q + P + l G 9 o 3 J / k D Q N 0 b f e M v n l 2 9 v T 0 2 e n T u 1 + 8 P P t y C 3 9 8 c e d 2 O u f h z U r N d h I q t Y f v 2 c G w U j M d 7 N H K 4 6 7 q y u j I P X Y 2 7 + w + 3 H 8 4 3 s S Y H k u b d 7 Z 3 P z 3 Y H e / v 3 U 6 T 6 V v D 8 + F x 8 o 1 t P U a + s a 3 H x z e 2 9 T X Z z Y 0 j H H Q L m v h K z J L / 5 r c i E 3 2 b z i J z f V v V 9 R 7 I 9 e f 5 1 l r r Z j K / z 2 T 7 W u v G x r 7 W u r l x f 7 Y 3 N O 7 P 8 Y b G / a n d M E D X 9 p 5 R K J T g f / b l q z f p F 8 e 0 O P k 6 f f n l 8 7 O T W 2 k V s O J N a s v 2 E q g t v P l e H Q y r L d P B v Y P 7 B / d 3 D u 5 t V E M e O 5 v 3 d n c / 3 d m 7 f 3 / 3 / u a s r c f Y 5 s 3 t B w / 2 9 3 f 2 y S b f 2 / S m x 9 z 6 5 v D 0 e I x 9 Y 1 u P r 2 9 s 6 7 H 1 j W 1 9 J X Z z 4 w h D 3 Z I u v i I z r 9 7 y z c j 0 3 7 b T C A f c V q H d e z 8 k + / N + a 6 V 2 M 9 n f Z / J 9 p X Z j Y 1 + p 3 d y 4 P / u 3 U 2 o 3 N + 5 P 8 a 2 U 2 r 5 R N y d f v n i T n t K / 6 d m L n z x 9 9 Z o i z N u p n H s 3 6 z T b S a j T 7 r 1 n B 8 M 6 z X R w f + f T n f t 7 n + 6 O Q e j b K D X z 4 v 6 D X U p / H D w 4 + H S 8 K T z 1 l J p 5 c 3 v / 0 0 / 3 7 z + 8 d 3 / v / n j v l m p N 3 7 2 V W r u x r c f Z N 7 b 1 G P v G t r 5 a u 7 l x h K V u T R l f s d k J u e 2 7 E S 6 4 f c c R T r i t c n t v R P v z f 2 v 1 d j P 5 3 4 c J f P V 2 Y 2 N f v d 3 c u M 8 F G x r 3 Z 3 1 D 4 / 4 0 b x i g a 3 v f a B 5 a B C D F 9 u z V c f r 0 9 C U 5 b 2 c / e X w 7 7 b N / s 3 q z n Y T q b f 8 9 O x h W b 6 a D v f 1 7 9 3 f H B 5 / e T r e Z t 3 b v 7 T 1 8 s E 9 G e I w F 4 M E 3 P d 4 2 b 2 7 j 1 f u U e 7 s 3 3 t k U j 3 i s r a 8 O T 4 7 H 1 j e 2 9 b j 6 x r Y e U 9 / Y 1 l d t N z e O s N N t C e N r N n 8 6 b v N q Z P 5 v 3 W 2 E C 2 6 r 1 9 4 X z f 7 c 3 1 q t 3 U z 6 9 2 E A X 6 3 d 2 N h X a z c 3 7 n P A h s b 9 K d / Q u D / J G w b o 2 n 5 q 1 d q X F I K S S k t P v n r + 5 q t X t 9 R p 9 2 / W a b a H U K e p c 3 T r D o Z 1 m u l g / 8 H 4 / i 2 T Z + a V B z v 3 D n b v f f p g / H A T Z 3 o 8 b V 7 c l j f 3 d s b 3 V D l H 3 / R Y W t 8 c n h S P n W 9 s 6 3 H z j W 0 9 Z r 6 x r a / O b m 4 c Y a N b 0 s X X Z u F c 3 P h m Z O J v 2 2 m E A W 6 r y 9 4 T y f 6 8 3 1 q V 3 U z 2 9 5 l 8 X 5 X d 2 N h X Z T c 3 7 s / + h s b 9 + d 7 Q u D / F G w b o 2 j 4 w i o a W N z 9 X F + 3 0 6 V c n 6 R e n T 2 + n b D 6 9 W Z v Z T k J t 9 u l 7 d j C s z U w H m / j F Y 2 T T / N P 7 + z u 7 B z u b u N J j Z / P W 9 i 1 e 8 3 h Z X x u e D Y + P b 2 z r s f G N b T 0 u v r G t r 8 N u b h z h n 9 s Q x V d g 7 z E F v v Z 6 r + 4 i M 3 5 b 1 f U + 6 P X n + t Z 6 6 2 Z S v 8 + E + 3 r r x s a + 3 r q 5 c X / G N z T u T / O G x v 3 J 3 T B A 1 / b A q J Q v 2 7 p q 0 r P l R Z 0 3 9 M t 1 + i R f b t Y r t 8 i Y W e j m h V v B G 9 Z P B t 7 B / o P 7 9 2 4 d Q Z q 3 9 v c O 7 u 0 9 2 L 0 3 v v f g d p r K v L i 9 v 0 e R 5 8 P 7 D 8 f 3 N y X k P A b W N 4 e n w G P e G 9 t 6 v H t j W 4 9 1 b 2 z r K 6 u b G 0 e Y 5 p Z 0 8 f W V m 4 t b v R m Z + 9 t 2 G m G A 2 2 q t 9 0 S y P + + 3 V l w 3 k / 1 9 J t 9 X X D c 2 9 h X X z Y 3 7 s 7 + h c X + + N z T u T / G G A b q 2 D z 9 A c T 2 8 W X N Z 8 P a N 2 0 E c 1 l 0 G 4 v v p L v P W e + s u 8 + I t x c X j Y X 1 z e B Y 8 / r 2 x r c e + N 7 b 1 u P f G t r 7 u u r l x h G 9 u S R d f d 7 m 5 u N W b k b m / b a c R B r i t 7 n p P J P v z f m v d d T P Z 3 2 f y f d 1 1 Y 2 N f d 9 3 c u D / 7 G x r 3 5 3 t D 4 / 4 U b x i g a b u / s 2 O U y 6 u 8 W Z d t N q v S V V W n L 6 u m m B Y 3 a Z o b s 1 4 e f P f K L W E O q S 8 H c x N 3 W L Z 1 z X f 3 9 x / u j + 8 / v I 3 S c m 9 t 3 + I 1 y 7 n 2 t W H a W 6 6 9 R V v L t L b t c F v L s 7 d o 6 z T W b R p H u O U 2 R H H q 6 r 2 m w O m q 9 + w u M u O 3 U 1 T v h 1 5 / r m + p p W 5 D 6 v e Z c K e l b t H Y a a n b N O 7 P + I b G / W n e 0 L g / u R s G 6 N r u W i 1 1 + p r S 8 u n L L 1 + n X 3 z 5 4 v T N 8 a u z 4 x s 1 y u 4 O P b s 3 6 y r b i + S 0 v D f f q 4 N h x W U 6 u K X i M s 1 v w Z Y e M 5 u 3 b i M 0 H j P r a 8 P T 4 T H y j W 0 9 P r 6 x r c f G N 7 b 1 F d f N j S M M d B u i + I r r P a b A V 1 z v 1 V 1 k x m + r u N 4 H v f 5 c 3 1 p x 3 U z q 9 5 l w X 3 H d 2 N h X X D c 3 7 s / 4 h s b 9 a d 7 Q u D + 5 G w b o 2 u 4 Z l f J 1 Q s O H N 6 s s C 9 + 9 c k u Y w 1 r K w H y f 6 N C 9 R d H h 7 s H e 7 s H 4 w c H t 9 J V 5 E Q H J v X v 7 n + 5 v X o T 0 2 F j f H J 4 I j 4 V v b O t x 8 I 1 t P Q a + s a 2 v s m 5 u H G G d W 9 L F 1 1 p u L m 7 1 Z m T u b 9 t p h A F u q 7 v e E 8 n + v N 9 a f d 1 M 9 v e Z f F 9 9 3 d j Y V 1 8 3 N + 7 P / o b G / f n e 0 L g / x R s G 6 N r e M + r l 9 M W T s x c v v n z 9 6 h / 9 o z 9 / + v J G J X N / b 2 f 3 N h 6 X h W 8 8 L v v m e 3 U w r M t M B + + n y 8 x b t F 7 5 4 P 6 D T 2 + v y 8 y L J D 6 7 D w n B 2 + s y f X N 4 V j x + v r G t x 8 4 3 t v W 4 + c a 2 v i 6 7 u X G E j 2 5 J F 1 + X u b m 4 1 Z u R u b 9 t p x E G u K 0 u e 0 8 k + / N + a 1 1 2 M 9 n f Z / J 9 X X Z j Y 1 + X 3 d y 4 P / s b G v f n e 0 P j / h R v G K B r u + / r s t M X X 3 x 1 + u T 1 V 9 8 5 e / G T t 1 E 2 e 7 f R Z r Y H X 5 v t 3 U 6 b e R 0 M a z P T w S 3 j R 9 P 8 / v 7 e / v 1 N 7 3 i c b N 7 Z v v E l j 4 n 1 p e F p 8 B j 4 x r Y e / 9 7 Y 1 m P f G 9 v 6 y u v m x h H G u Z k k v t 6 6 N f F 9 l f U e X U X m + b b a 6 v a o 9 e f 4 1 o r q Z h K / z 0 T 7 i u r G x r 6 i u r l x f 6 Y 3 N O 5 P 8 I b G / Y n d M E D X 9 r 5 V I 1 n T c q w o w e P L f / S v r m f F R m V y i 4 S 8 g y 7 t b w N t W C M Z a P c f H D y 8 9 / D B 7 s O H 9 8 a 7 m 2 y f x 7 b m 3 U 8 f f n r v 0 9 1 P 7 + 3 v j z + 9 n Z K y v e 4 8 v L d z 7 / 7 9 T / c P x v d v 6 W j p u 8 M z 4 f H w j W 0 9 F r 6 x r c f B N 7 b 1 d d X N j S O 8 c 2 v K + C r L v L x 9 + 7 c j r H B b r f X + q E Y 4 4 L b a 6 2 s M 7 X 3 4 w N d l N z d + H 0 7 w d d n N j f u c s K F x f + Y 3 N O 5 P 9 I Y B u r a f d n T Z L E + f r Z f T o l p m i x t U 2 S 0 c L g d d X 7 g V v G F t Z u D t 7 u 7 u P 7 z 3 4 O D + / q f j / Q e 3 0 2 b 2 3 X s 7 + / f v E Y C 9 8 b 5 i F H 3 V Y 2 b z 6 s O D / X 0 K V M l a j P H Z 4 K s e X + u r w 3 P h c f G N b T 0 m v r G t x 8 M 3 t v W 1 2 c 2 N I 9 x z W 8 L 4 y s y 8 u 3 3 r l y O M c F t d 9 t 6 I R m b / t q r s / Q f 2 P j z g a 7 K b G 7 8 P F / i a 7 O b G f S 7 Y 0 L g / 7 R s a 9 6 d 5 w w B d 2 w d G 1 7 z O 6 8 u C N B g 5 Z H n d k C I r 8 + Y G z X M L V W b B 2 z e i E H s Q h 5 W Z g X h w b 2 / n H k W Z D z 4 d 3 9 + / n S 4 z r z 6 4 / + n 9 + w 8 o 0 7 b 5 T Y + Z v T d J f 5 J n t 4 k x P a b W 9 4 Z n w u P h G 9 t 6 L H x j W 4 + D b 2 z r 6 7 G b G 0 d 4 5 1 Z U 8 Z W Y e X H 7 d m 9 G Z v + 2 G u z 9 U I z M + G 3 V 1 3 s O 6 X 3 m 3 d d d N z d + n 5 n 3 d d f N j f s z v 6 F x f 7 Y 3 N O 5 P 8 I Y B u r Y H R r m 8 y h f r Z V 5 n c M D y J s 1 K 0 m E 3 a Z p b K C 8 L 3 7 1 y S 5 j D 6 s v A 3 H / w 6 Y O 9 h 5 8 e 7 O y O M b + D n O L x s n n 1 P r l i 9 + 7 t H O y P w b C D b 3 r M b D v d u / f p A b H n 7 o M x c o y D r 3 p 8 r a 8 O z 4 f H y T e 2 9 R j 5 x r Y e H 9 / Y 1 t d g N z e O c N B t C e M r M f P u 9 q 1 f j r D B b f X Y e y M a m f 3 b q r L 3 H 9 j 7 8 I C v z W 5 u / D 5 c 4 G u z m x v 3 u W B D 4 / 6 0 b 2 j c n + Y N A 3 R t H x p t 8 / q r 0 + d P v 3 x 9 o 7 L Z p Z j s N m r M A u b 8 v f / m e 3 U w r N N M B 3 s P P t 2 5 t / P g Y J d c s k 2 a y e N r 8 + q 9 + 5 Q n e 3 B v Z 2 9 8 c M v o 0 n Z K / u 7 B p z v 3 d + + N H + z f T q f p q 8 O z 4 v H z j W 0 9 d r 6 x r c f N N 7 b 1 d d r N j S N 8 d F v C + D r N v L t 9 6 5 c j b H B b n f b e i E Z m / 7 Y 6 7 f 0 H 9 j 4 8 4 O u 0 m x u / D x f 4 O u 3 m x n 0 u 2 N C 4 P + 0 b G v e n e c M A b V v w s K i e p 2 f P T l + d v j g 5 O 3 6 e v v z y V f p T X 7 4 4 v p X + w Z h u U H C u l 0 D B 4 c 3 3 6 m B Q w d k O 9 j 7 d e b h 7 2 4 U A + 9 Y m H n U s / T 6 d O M Y 2 b w 3 P h u P j m 9 s 6 N r 6 5 r e P i m 9 t 6 u u w W j S P 8 c w u a e G r M v r Z 9 m / c i 8 3 x L D f Z e 6 E V m + p b K 6 / 2 G 8 z 7 z 7 e m t W z R + n x n 3 9 N Y t G v d n f E P j / j x v a N y f 3 A 0 D d G 1 3 j U a B r n r 9 1 e s 3 6 c v T V 6 Q 0 j p / f S q f s W 5 0 y r L R s F 4 H S M r n 1 W 3 c w r L R M B 3 s 7 n 3 K W z D h 8 0 b F 7 T G 3 e u 6 X a e q 9 u P K b W 9 4 a n w 2 P k G 9 t 6 f H x j W 4 + N b 2 z r K 6 6 b G 0 c Y 6 F Z U 8 V W X e X H 7 d m 9 G 5 v u 2 y u v 9 U I z M + G 3 V 1 3 s O 6 X 3 m 3 V d g N z d + n 5 n 3 F d j N j f s z v 6 F x f 7 Y 3 N O 5 P 8 I Y B u r Z 7 R r u 8 O j t 9 / f m X 6 c t X X z 4 7 f X 1 2 a w 1 2 i 2 V K 1 0 e g w W 5 c r + x 2 M K z B T A e f U s b r 4 f j B w 9 v p L / P W L f X X e 3 T i 8 b S + N T w X H h f f 2 N Z j 4 h v b e j x 8 Y 1 t f e 9 3 c O M I 9 t 6 C J r 7 v M a 9 u 3 e S 8 y z 7 f V X O + D X m S m b 6 u 3 3 m s 4 7 z P f v t a 6 u f H 7 z L i v t W 5 u 3 J / x D Y 3 7 8 7 y h c X 9 y N w z Q t b 3 X 0 V r P j 5 9 8 + e q W G u v T W 2 g s C z / Q W H j z v T o Y 1 l i m g 4 c U V + 7 f P 7 i 3 M z b A o 0 P 3 e N q 8 + W B n 5 / 7 O v Y f 7 4 0 8 3 e f k e V 5 s X K a m x + / D + / r 3 7 4 4 e 3 1 G H 6 5 v D M e D x 9 Y 1 u P p W 9 s 6 3 H 0 j W 1 9 H X Z z 4 w g v 3 Z I u v h 4 z r 2 7 f 9 t 0 I B 9 x W l 7 0 v m p G Z v 6 0 + e + 9 h v c / 8 + z r t 5 s Z d D r i t T r s R s q / T b m 7 c n / M N j f u T v G G A r u 1 + X K e l J 8 c v b 6 d 2 9 m 7 W a 7 a P U K + p B r l 1 B 8 N 6 z X S w u / N w 5 5 b L l b d / x 2 N p 8 8 4 m l v Y 4 W p s P z 4 P H w T e 2 9 R j 4 x r Y e / 9 7 Y 1 t d g N z e O c M 5 G + Y 5 w w c b 2 k U m 9 r a q 6 V f v 3 n E x f P 9 2 q / f v M q K + T b m 7 8 P n P q 6 6 S b G / f n d E P j / o R u a N y f z Q 0 D d G 3 v G 3 1 x / P t 8 9 f Q 4 / f b x k 7 M 3 x y c U H d 5 K Y T y 4 h a d l e w g 0 E t 5 8 r w 6 G N Z L p Y H 9 / h 1 Z 0 7 j 9 4 O N 6 7 p V 4 y b 9 7 f u f / p g / 2 d + + N 7 t 1 R O 5 s V 7 B w 8 P 7 j 3 c f X B v f E t H S 1 8 c n h q P q W 9 s 6 / H 0 j W 0 9 l r 6 x r a + m b m 4 c Y a b b k c V X W O b N 7 V u + G p n + 2 + q u 9 0 Q y M u u 3 1 W L v O 6 j 3 m X t f o d 3 c + H 1 m 3 1 d o N z f u z / 6 G x v 0 J 3 9 C 4 P 8 U b B u j a f h o q t N M X p 6 8 + P z u + j b L Z 3 b m F N r P g f W 3 G b 7 5 X B 8 P a z H S w 9 / D e p x T 9 7 T 0 c 3 3 t w O 2 1 m 3 r x 3 7 8 H u 7 q c 7 + + O d W 2 o z 2 + X 9 h w c P 9 + 7 t 3 R / v 3 V K d 6 Z v D E + O x 9 I 1 t P Y 6 + s a 3 H 0 D e 2 9 d X Z z Y 0 j r H R L u v j 6 z L y 6 f d t 3 I x x w W 4 X 2 v m h G Z v 6 2 G u 2 9 h / U + 8 + + r t J s b v w 8 H + C r t 5 s Z 9 D t j Q u D / n G x r 3 J 3 n D A F 3 b B 6 F K e 3 3 6 e f r 6 y 5 O z 2 2 X D 6 L + b t Z r t I d B q e P O 9 O h j W a q a D e + S j f X q w d 3 9 n f O / + 7 b S a e X N v 7 / 7 + g 3 v 3 y b n 7 9 H Z a z X a 5 + + D h 3 s 4 B r Z b v 3 F K r 6 Z v D c + N x 9 Y 1 t P a a + s a 3 H 0 z e 2 9 b X a z Y 0 j 3 H R L u v h a z b y 6 f d t 3 I x x w W 6 3 2 v m h G Z v 6 2 W u 2 9 h / U + 8 + 9 r t Z s b v w 8 H + F r t 5 s Z 9 D t j Q u D / n G x r 3 J 3 n D A F 3 b A 6 N z X u W L 9 T K v s 2 l R L f M m z c r 0 Z X 6 T 4 r l F J s z C d 6 / c E u a w G j M w 9 / Y P H u z c P y C H f u + W z p l 5 c / f T T w / 2 9 / Y e j B / c U o 3 Z L u / t 7 e z t f r p / f 2 y W V a N v e m y t b w 5 P h s f G N 7 b 1 u P j G t h 4 T 3 9 j W V 2 M 3 N 4 6 w z y 3 p 4 q s x 8 + r 2 b d + N c M B t 1 d j 7 o h m Z + d u q s f c e 1 v v M v 6 / G b m 7 8 P h z g q 7 G b G / c 5 Y E P j / p x v a N y f 5 A 0 D d G 0 f G j X z 7 S 9 f U D b / 1 d m X r 2 9 U N P T f D n j 5 J h V m Y R u 3 z L 7 5 X h 0 M 6 z P T w e 7 D T x 8 c H O w + 2 B 3 v K f D o s D 2 + t m 9 + e u / + 3 o O d v f H D T f 6 c x 9 X 2 x Y M d W n Y i Z 3 C z Q + f x t 7 4 5 P C s e P 9 / Y 1 m P n G 9 t 6 3 H x j W 1 + f 3 d w 4 w k e 3 p I u v z 8 y r 2 7 d 9 N 8 I B t 9 V n 7 4 t m Z O Z v q 8 / e e 1 j v M / + + P r u 5 8 f t w g K / P b m 7 c 5 4 A N j f t z v q F x f 5 I 3 D N C 2 B f Z d f X a b B U p R O T e 7 Z Q 5 + q N N u 9 s 7 C D g Z 1 m u 3 g I a 0 2 3 r 9 3 K 2 1 m 3 z m g w P z B + P 7 D W 6 k y 9 9 Y e a c / 7 4 / 1 N q t P x t X l t e D Y c H 9 / c 1 r H x z W 0 d F 9 / c 1 t N j t 2 g c 4 Z / b E M V T Y v a 9 7 V u 9 G J n v W 2 q w 9 0 M w M t u 3 V F / v O a D 3 m X N P d 9 2 i 8 f v M u q e 7 b t G 4 P + s b G v e n e k P j / v R u G K B r u 2 t 0 y + l P n r 5 4 8 9 X N C T J S K n u 3 8 c Q c Z E 9 r 7 d 3 O E / M 7 G N Z a p o P 9 h 3 v 3 9 + 4 9 2 N + 8 F O m x s 3 l x E 1 t 6 X P x + / X j s r C 8 O z 4 P H w T e 2 9 R j 4 x r Y e / 9 7 Y 1 t d a N z e O c M 7 t y O L r L f P m 9 i 1 f j c z 5 b T X X e y I Z m f X b 6 q 7 3 H d T 7 z L 2 v v W 5 u / D 6 z 7 2 u v m x v 3 Z 3 9 D 4 / 6 E b 2 j c n + I N A 3 R t 9 7 r a 6 5 Z + 1 9 6 t / C 4 L P d R g t / G 7 / A 6 G N Z j p g H y o 3 X u U 3 7 q l / j K v 7 S G 7 / 2 C 8 p w h F X / M 4 2 r x 2 / + G 9 B w c 7 4 / u f 3 k 6 L 6 W v D 8 + F x 8 o 1 t P U a + s a 3 H x z e 2 9 b X Y z Y 0 j H H Q b o v g 6 z L y 3 f a s X I 3 N + W w 3 2 X g h G Z v u 2 + u v 9 B v Q + c + 5 r r 5 s b v 8 + s + 9 r r 5 s b 9 W d / Q u D / V G x r 3 p 3 f D A F 3 b e 0 a / v D p 9 + e r 0 N W m w 4 x d v T m + T C 9 u / l Q d m 4 X v 6 a / 9 2 H p j f w b D + M h 0 8 3 L 2 3 d + / T 8 c P b q S / z 1 i 3 d r / f o x G N n f W t 4 H j w O v r G t x 8 A 3 t v X 4 9 8 a 2 v t a 6 u X G E c 2 5 B E 1 9 p m d e 2 b / N e Z J 5 v q 7 P e B 7 3 I T N 9 W Z b 3 X c N 5 n v n 2 N d X P j 9 5 l x X 2 P d 3 L g / 4 x s a 9 + d 5 Q + P + 5 G 4 Y o G u 7 b z V W u A B 5 P C u m x U 1 q 5 d 7 N G s v C d 6 / c E u a w k j I w P 7 1 P b P L w / v 3 7 4 x 3 V g N H R e m x s 3 t z b O 7 i / s 3 t v d 3 z v l p 6 W 7 f L e p 3 s H D 4 n E 4 0 9 v q b b 0 z e H J 8 N j 4 x r Y e F 9 / Y 1 m P i G 9 v 6 a u v m x h H 2 u S V d f N V l X t 2 + 7 b s R D r i t + n p f N C M z f 1 s V 9 t 7 D e p / 5 9 9 X Y z Y 3 f h w N 8 N X Z z 4 z 4 H b G j c n / M N j f u T v G G A r u 1 9 o 2 Z e v j r 7 4 v h 1 + v L L V + n x i 5 t X I e / R f 7 f y v G w H x v O y b 7 5 X B 8 N K z X T w Y O / T g 5 2 H O / f G 9 2 7 p f J k X 9 w 5 2 a O 3 y / v j T 2 2 k 0 8 9 q n D w 8 e P N w 9 o F j 1 l g p N X x y e F o + h b 2 z r 8 f O N b T 1 2 v r G t r 9 B u b h x h p N u R x d d n 5 s 3 t W 7 4 a m f v b q r P 3 R D I y 6 7 f V Z u 8 7 q P e Z e 1 + Z 3 d z 4 f W b f V 2 Y 3 N + 7 P / o b G / Q n f 0 L g / x R s G 6 N p + O q D M b p M K E 3 2 z d 7 N C s 5 2 E C k 3 9 o V t 3 M K z Q T A c U e e 5 s Y j e P r 2 / 7 i s f Q 5 p V N z T 1 + 1 u b D 0 + A x 8 I 1 t P f 6 9 s a 3 H v j e 2 9 Z X X z Y 0 j j L N R u i M 8 s L F 9 Z E p v q 6 d u 1 f 4 9 J 9 P X T r d q / z 4 z 6 q u k m x u / z 5 z 6 K u n m x v 0 5 3 d C 4 P 6 E b G v d n c 8 M A X d s H g U p K f / L 4 J P 1 9 0 q d f f n H 2 4 u z k F h r j d u u L t h N P J d 1 m f b H T w b B K M h 1 8 u v e A 3 M u H t 8 / P m x f v 7 9 + 7 v 3 e w M S 3 h s b P r b v f h w c N P D 8 Y H m 7 r z + P r B e 2 g p 7 W S 4 r c f S N 7 b 1 O P r G t r 6 W u r l x h J d u R x Z f X 5 k 3 t 2 / 5 a m T q b 6 u 6 3 h P J y K z f V o m 9 7 6 D e Z + 5 9 f X Z z 4 / e Z f V + f 3 d y 4 P / s b G v c n f E P j / h R v G K B r e 2 B U z f H n X 5 2 l n 7 8 6 f n P 2 L H 1 2 9 g J + 1 q 3 U z Z 5 V N 8 P 6 z H Y S 6 D O 8 + V 4 d D O s z 0 8 H e g 4 c H e 3 v 3 7 + + M 9 2 + n z 8 y L 9 x 8 8 u E 9 q E D w 1 + J r H 2 l 5 / e / v 7 D + / f G 4 P + g 2 9 6 T K 5 v D s + N x 9 U 3 t v W Y + s a 2 H k / f 2 N b X a D c 3 j n D T L e n i q z T z 6 v Z t 3 4 1 M / 2 1 1 2 v u i G Z n 5 2 y q 1 9 x 7 W + 8 y / r 9 V u b v w + H O B r t Z s b 9 z l g Q + P + n G 9 o 3 J / k D Q N 0 b R 8 a h X P y 5 R c v K V p 8 f v r i 6 f G r s 9 t p t H u 3 0 G i 2 g 0 C j 4 c 3 3 6 m B Y o 5 k O 9 j 7 d 3 7 1 3 s L M / P t j k a 3 m 8 b V 6 8 t 7 + 3 S 0 v d t 0 z r u + 7 u P X h 4 / + H + + N 4 m T e j x t 7 4 4 P C s e P 9 / Y 1 m P n G 9 t 6 3 H x j W 1 + f 3 d w 4 w k e 3 I 4 u v z s y b 2 7 d 8 N T L 1 t 9 V m 7 4 l k Z N Z v q 8 z e d 1 D v M / e + L r u 5 8 f v M v q / L b m 7 c n / 0 N j f s T v q F x f 4 o 3 D N C 2 v b c T 6 L I X x z 9 5 9 v T 0 l r 7 Z / s 2 a z I E P N B n e f K 8 O B j W Z 7 e B g f w e L j W M w 4 C D L O L a 2 7 z 2 4 j 0 h g 0 0 u O o 1 1 n t B y 6 d 0 D L m r f S Y u a 1 4 f l w n H x z W 8 f I N 7 d 1 f H x z W 0 + L 3 a J x h I N u Q x R P h 9 n 3 t m / 1 Y m T K b 6 n B 3 g / B y G z f U n + 9 5 4 D e Z 8 4 9 7 X W L x u 8 z 6 5 7 2 u k X j / q x v a N y f 6 g 2 N + 9 O 7 Y Y C u 7 W 6 g v T S w T L 8 4 / v x W + u X + L R S Y 7 S F Q Y H j z v T o Y V m C m g 9 0 9 U k X 3 H u w / G N 9 / e D s V Z t 7 c 2 3 3 w K Z a / b + e M + R 3 e 2 / 9 0 l 9 5 8 e D t v z L w 5 P D M e T 9 / Y 1 m P p G 9 t 6 H H 1 j W 1 + P 3 d w 4 w k u 3 p I u v y s y r 2 7 d 9 N z L / t 9 V m 7 4 t m Z O Z v q 9 D e e 1 j v M / + + T r u 5 8 f t w g K / T b m 7 c 5 4 A N j f t z v q F x f 5 I 3 D N C 1 3 Q t 0 2 v H T s 5 O z L 1 8 c P 7 + l V t u / z R K A 6 8 P T a v u 3 W w L w O x j W a q a D + 3 t 7 5 M 3 v 3 h v v f 3 o 7 p W Z e 3 H 2 w e 0 D r B 5 + O 9 2 + X N L M v 3 r u / Q 8 u a 9 z 4 d P 9 y k R j 0 u 1 x e H 5 8 b j 6 h v b e k x 9 Y 1 u P p 2 9 s 6 2 u 1 m x t H u O l 2 Z P G V m n l z + 5 a v R m b / t j r t P Z G M z P p t V d r 7 D u p 9 5 t 7 X a D c 3 f p / Z 9 z X a z Y 3 7 s 7 + h c X / C N z T u T / G G A b q 2 9 4 y 2 O X 3 9 5 u y L r 5 5 / + T o 9 + f L F s 7 P j F z 9 1 f C u N c 4 u c m e s k U G m 3 y p n 5 H Q y r N N M B Z V n 3 9 z / d G R / s 3 0 6 j 2 f c + p U j z 4 a a Y w O N r 1 x m t n z 7 c H T / U c U T f 8 / h b 3 x u e F o + h b 2 z r 8 f O N b T 1 2 v r G t r 8 x u b h x h p F t R x d d l 5 s X t 2 7 0 Z m f X b q r L 3 Q z E y 4 7 f V Z O 8 5 p P e Z d 1 + R 3 d z 4 f W b e V 2 Q 3 N + 7 P / I b G / d n e 0 F g n + F a N P S z 2 A 0 X m l B i t A b y 8 n Z 7 Z u 1 m R 2 U 5 C R b b 3 n h 0 M K z L T w b 2 H e z u b u M 3 j a v P K p u Y e L 9 + 2 B 4 + d 9 Z X h a f A Y + M a 2 H v / e 2 N Z j 3 x v b + o r r 5 s Y R x r m J I L 7 O M u 9 s 3 / h S Z G 5 v q 6 5 u j V h k d m + r q W 4 / k P e Z Y 1 9 J 3 d z 4 f W b Z V 1 I 3 N + 7 P 8 o b G / e n d 0 L g / r R s G 6 N r e N / r j 5 a s v n 3 5 1 8 u a M U v r H T 2 + l P W 6 T 0 b f g A / V 0 q 4 y + 3 8 G w e j I d 3 N v b / X S f 4 r + D 2 6 k o 8 9 r e w f 7 9 + + O 9 T 2 + n q e x b D + / t k g 3 d U y 0 b f c 1 j a X 1 t e D 4 8 T r 6 x r c f I N 7 b 1 + P j G t r 6 2 u r l x h I N u Q x R f Y 5 n 3 t m / 1 Y m T K b 6 u 1 3 g v B y G z f V n O 9 3 4 D e Z 8 5 9 7 X V z 4 / e Z d V 9 7 3 d y 4 P + s b G v e n e k P j / v R u G K B r + 6 l R L 9 / + 8 s W X r 4 5 f n X 2 Z n r 5 + e X p y d v z 8 F h r m w a 2 y X 7 Y P T 4 U 9 u F 3 2 y + 9 g W I W Z D v b 2 7 u / d 2 6 G F 7 J 1 N Y Z / H 2 O b F W / p Z 7 9 e P x 9 j 6 4 v C M e L x 8 Y 1 u P l W 9 s 6 3 H y j W 1 9 / X V z 4 w g P 3 Y 4 s v g Y z b 2 7 f 8 t X I n N 9 W h 7 0 n k p F Z v 6 0 W e 9 9 B v c / c + 3 r s 5 s b v M / u + H r u 5 c X / 2 N z T u T / i G x v 0 p 3 j B A 1 / Z B R 4 9 Z L X b L W J E U z S 1 i R d t L q M l u E y v 6 H Q x r M t P B 7 v 7 e / v 7 B p 7 f T Y r d / y e N q 8 9 I t 4 0 V t P j w X H h f f 2 N Z j 4 h v b e j x 8 Y 1 t f g 9 3 c O M I 9 t 4 0 V b 9 U + M q 2 3 V V a 3 a v + e k + m r q F u 1 f 5 8 Z 9 f X S z Y 3 f Z 0 5 9 v X R z 4 / 6 c b m j c n 9 A N j f u z u W G A r u 2 B 0 R i v 8 4 t 1 X c y y W f q 6 m h Z Z e Z P K 2 L 9 Z G 1 n Y 7 p V b w h x W Q A b m 7 r 2 D e 2 S / H n y 6 O z a x Z n S o H t O a V z / d 3 z 3 Y 2 9 v Z H 2 O e B 1 / 0 u N f 1 u f t w h 9 z X + w 9 u H R j q q 8 N T 4 T H x j W 0 9 H r 6 x r c f C N 7 b 1 1 d L N j S P M c 1 v C + C r K v L t 9 6 5 c j X H B b f f X e i E Z m / 7 a 6 6 / 0 H 9 j 4 8 4 C u y m x u / D x f 4 i u z m x n 0 u 2 N C 4 P + 0 b G v e n e c M A X d u H R t k c v / z y 1 Z v 0 9 e n n X 7 3 6 M k W u 6 0 a t Q / / t Y E A 3 6 T P b h f G u 7 J v v 1 c G w c j M d P K T 1 1 A d 7 4 0 9 v G S W a 1 z 5 9 s L t H z v z B 7 b S a e e u A d O j + w f j + / d t p N H 1 t e E 4 8 b r 6 x r c f M N 7 b 1 e P n G t r 5 G u 7 l x h I t u Q x R f m 5 n 3 t m / 1 Y m T K b 6 v J 3 g v B y G z f V o u 9 3 4 D e Z 8 5 9 D X Z z 4 / e Z d V + D 3 d y 4 P + s b G v e n e k P j / v R u G K B t u 7 / T 0 2 D p q 9 M 3 Z 6 + + v J V + u X e z A n M 9 B A o M b 7 5 X B 4 M K z H a w 9 + m D T 3 c o W W 8 i z + j Q H V f b 9 3 Y f 7 O 0 d U L Z e M Y q + 5 p j a d X d / 5 x 5 1 u H n J 2 z G 3 e W 9 4 V h w / 3 9 z W s f P N b R 0 3 3 9 z W 0 2 G 3 a B z h o 1 t R x V N i 9 s X t 2 7 0 Z m f d b a r H 3 R D E y 4 7 d U Y + 8 5 J E + P 3 Y L k 7 z P x n h 6 7 u b G n x 2 7 R u D / z t 9 J j t 2 j c n + B b 6 b F d o 2 V e v j p 9 / e b 4 i y 9 f p 8 f p y c t b K Z l b r D g 6 + I E W u 3 n F s d P B s B Y z H e w + f L j 7 6 Y P 9 e + O D / d u p M f P i w a f s 9 T / Y 5 L 9 5 T O 3 6 2 7 l / b / e A 1 O Y t 9 Z i + e C s 9 d m N b j 5 1 v b O t x 8 4 1 t f T 1 2 c + M I H 9 2 O L L 4 i M 2 9 u 3 / L V y N z f V p O 9 J 5 K R W b + t K n v f Q b 3 P 3 P u 6 7 O b G 7 z P 7 v i 6 7 u X F / 9 j c 0 7 k / 4 h s b 9 K d 4 w Q N d 2 z + i a L 9 + 8 O n 6 d P j 1 l t + z 1 l 7 d Z f 2 R 9 8 6 n V N 8 M K z X Y S K D S 8 + V 4 d D C s 0 0 8 H u 7 s P 7 u / f u 7 d 0 f H x z c T q O Z N + 8 T v + 3 t 3 x 9 / e j u N 5 j p E J L t z s D P e 2 9 S h x + X 6 5 v D k e G x 9 Y 1 u P q 2 9 s 6 z H 1 j W 1 9 l X Z z 4 w g 7 3 Z I u v k 4 z r 2 7 f 9 t 3 I / N 9 W q b 0 v m p G Z v 6 1 W e + 9 h v c / 8 + 2 r t 5 s b v w w G + W r u 5 c Z 8 D N j T u z / m G x v 1 J 3 j B A 1 / a e 0 T g S a p 6 9 e P b q + F b a 5 s E t 1 J k F H q g z v P l e H Q y r M 9 P B / s 7 O z s H 9 3 U / H D x 7 c T p u Z F 8 m C 7 n y 6 v z f e Z D 8 9 n j a v 3 T s g / A 4 e 7 I 8 / 3 d S f x 9 z 6 4 v C U e M x 8 Y 1 u P l 2 9 s 6 7 H y j W 1 9 Z X Z z 4 w g T 3 Y 4 s v i 4 z b 2 7 f 8 t X I 3 N 9 W l b 0 n k p F Z v 6 0 m e 9 9 B v c / c + 4 r s 5 s b v M / u + I r u 5 c X / 2 N z T u T / i G x v 0 p 3 j B A 1 3 Y / V G Q U c Z 7 + 3 m e v 3 5 y + e H P 6 + l b 6 5 u A W C s 1 2 E i i 0 A 9 U e t + 5 g W K G Z D j 7 d / 3 R / Z 3 9 n v C n X 6 v G 2 e W 3 / H r H c v Y 1 v e X x t O 9 u 5 t 7 O 3 d 0 t N p i 8 N z 4 n H z T e 2 9 Z j 5 x r Y e L 9 / Y 1 t d k N z e O c N H N J P G 1 m H l r + x a v R S b 7 t h r s P Z C L z P J t t d f 7 D O Z 9 5 t r X X D c 3 f p / Z 9 j X X z Y 3 7 s 7 2 h c X + S N z T u T + 2 G A b q 2 9 0 P N 9 f r 0 1 U + m X 5 w + v Z V O e X g L p W X h B 0 r L J F p v 3 c G w 0 j I d 3 N v Z 3 3 / w 8 O F D s n c P b 6 e 3 z J u I K R / c o 4 X O n U 0 v e k x t X q Q 1 g o P 7 e 5 / u 7 W 2 M R z 3 u 1 h e H J 8 Z j 6 R v b e h x 9 Y 1 u P o W 9 s 6 6 u v m x t H W O l 2 Z P F V m H l z + 5 a v R q b / t m r s P Z G M z P p t V d n 7 D u p 9 5 t 5 X Z z c 3 f p / Z 9 9 X Z z Y 3 7 s 7 + h c X / C N z T u T / G G A b q 2 n x p 1 Y 5 L + 8 M V e P D 1 + d X a r 5 c v d n V u o N N u H r 9 L 4 z f f q Y F i l m Q 6 Q + H + w B 4 2 2 K U L 0 m N u 8 e E B R 5 X 1 a L 7 i l P n P 9 U U Y X j t + D v d v p M 3 1 x e G Y 8 n r 6 x r c f S N 7 b 1 O P r G t r 4 + u 7 l x h J d u R x Z f n 5 k 3 t 2 / 5 a m T u b 6 v P 3 h P J y K z f V p + 9 7 6 D e Z + 5 9 f X Z z 4 / e Z f V + f 3 d y 4 P / s b G v c n f E P j / h R v G K B r + 8 D o G n H P n n 3 5 k 2 e v X 1 N g S R r l F u p m b 2 f P q p t h f W b 7 8 P S Z v P l e H Q z r M 9 P B 7 o O H e w d 7 u / d 3 x + C r Q c 7 x u N u + u b O 3 f + 8 h r W X e v 2 V 0 a V / 8 9 O E O R a U P 7 2 3 W o R 6 b 6 5 v D s + P x 9 Y 1 t P b a + s a 3 j 6 p v b + j r t 5 s Y R f r o l X X y l Z l 7 d v u 2 7 E Q 6 4 r V Z 7 X z Q j M 3 9 b t f b e w 3 q f + f f 1 2 s 2 N 3 4 c D f L 1 2 c + M + B 2 x o 3 J / z D Y 3 7 k 7 x h g K 7 t g d E 5 L 4 8 / p w V N U m 6 0 q P n s q x c n Z 7 d S b P d 2 7 t 1 C s d l O P M U m b 7 5 X B 8 O K z X T w 6 Y N 7 9 x 8 e 7 O w 9 2 G w S P Q Y 3 b + 7 d f 3 C f v L V P x w j a B 1 / 0 2 N t 2 u f / g 4 N 5 D 4 t d b L 2 n q m 8 P T 4 z H 2 j W 0 9 v r 6 x r c f W N 7 b 1 F d v N j S M M d U u 6 + I r N v L p 9 2 3 c j H H B b x f a + a E Z m / r a K 7 b 2 H 9 T 7 z 7 y u 2 m x u / D w f 4 i u 3 m x n 0 O 2 N C 4 P + c b G v c n e c M A X d u H R u e 8 P v 3 8 q 1 d f s m Z 7 d f r m j H 6 9 1 V L A / q 1 c N t u L p 9 n 2 b + e y + R 0 M a z b T w d 7 + H u X h 7 t 1 O q Z m X P i X 1 + e n t 1 J n t h x T o g 4 c P b q f J 9 K X h + f A 4 + c a 2 H i P f 2 N b j 4 x v b + p r s 5 s Y R D r q Z J L 4 S M 2 9 t 3 + K 1 y D z f V n + 9 B 3 K R W b 6 t 6 n q f w b z P X P t a 6 + b G 7 z P b v t a 6 u X F / t j c 0 7 k / y h s b 9 q d 0 w Q N v 2 / o 7 R J 1 + + e U X u m F k L + D w 9 + f L 5 r X T K L d w x 1 0 m g t G 7 l j v k d D C o t 2 8 H e Q 0 r m b w o U H U P b d z a x p u P k 2 3 f h u N m 8 M z w R j o V v b u s 4 + O a 2 j o F v b u u p q 1 s 0 j r D O j R T x t J V 9 a f v m t y L z e 0 t l 9 R 6 o R W b 4 l r r q f Y b y P v P s q a p b N H 6 f m f Z U 1 S 0 a 9 2 d 6 Q + P + D G 9 o 3 J / Y D Q N 0 b X c 9 V f X l 6 1 T c r N c U P a Y n x 6 9 u p U r 2 b 6 G r b C + B r s K b 7 9 X B s K 4 y H e y S q / T w 3 q e b u M 3 j a P P W L b X V e 3 T i c b S + N T w b H h / f 2 N Z j 4 x v b e l x 8 Y 1 t f X 9 3 c O M I / t 6 C J r 7 H M a 9 u 3 e S 8 y z 7 f V W e + D X m S m b 6 u 1 3 m s 4 7 z P f v t 6 6 u f H 7 z L i v t 2 5 u 3 J / x D Y 3 7 8 7 y h c X 9 y N w z Q t d 0 z G s V o L D / n d S u 1 g r T k T X r L 9 h L o L Z P Q v H U H w 3 r L d P B w j x Y n d 8 c P H 9 5 O c Z n X b q m 4 3 q c X j 6 v 1 t e H 5 8 D j 5 x r Y e I 9 / Y 1 u P j G 9 v 6 m u v m x h E O u g 1 R f N V l 3 t u + 1 Y u R u b 6 t 7 n o v B C O z f V v l 9 X 4 D e p 8 5 9 7 X X z Y 3 f Z 9 Z 9 7 X V z 4 / 6 s b 2 j c n + o N j f v T u 2 G A r u 0 9 o 1 e + b O u s S V / W e d N m 0 6 J a 5 k 1 6 Y 1 r r / s 1 6 y 8 J 3 r 9 w S 5 r C q M j B 3 9 / Y e 7 F I S 6 + H B e O 9 2 2 s q 9 u f u A k v M P 7 o 0 f b M p B e K x s 3 9 y l N f L 9 + w / 2 9 s f 7 m 7 J n H l f r q 8 P T 4 T H y j W 0 9 P r 6 x r c f G N 7 b 1 l d f N j S M M d F v C + A r M v L t 9 6 5 c j X H B b J f b e i E Z m / 7 a K 7 P 0 H 9 j 4 8 4 C u z m x u / D x f 4 y u z m x n 0 u 2 N C 4 P + 0 b G v e n e c M A X d t 9 o 2 w 4 z 3 W M N c d T S n o 9 T 5 9 9 + e L p j Y q H / t s B Z 9 + k 0 m w v x h W z b 9 7 U Q d D B s H 4 z H V C O / u E 9 4 p x 7 t / T F z H u 3 9 M X e q x u P u f W 9 4 R n x e P n G t h 4 r 3 9 j W 4 + Q b 2 / r 6 7 O b G E R 6 6 F V V 8 Z W Z e 3 L 7 d m 5 H 5 v q 0 m e z 8 U I z N + W z X 2 n k N 6 n 3 n 3 d d j N j d 9 n 5 n 0 d d n P j / s x v a N y f 7 Q 2 N + x O 8 Y Y C u 7 X 2 j X c 5 e P D 3 9 4 s X Z T 3 l q 7 O U t V M z e r X S Y 7 c X T Y X u 3 0 2 F + B 8 M 6 z H R w 7 9 O H O 5 Q 3 2 x v v 3 V K J m R d v q c T e r x + P t / X F 4 T n x u P n G t h 4 z 3 9 j W 4 + U b 2 / p a 7 O b G E S 6 6 H V l 8 N W b e 3 L 7 l q 5 E 5 v 6 0 e e 0 8 k I 7 N + W 0 X 2 v o N 6 n 7 n 3 N d n N j d 9 n 9 n 1 N d n P j / u x v a N y f 8 A 2 N + 1 O 8 Y Y C u 7 a d G x 7 w 8 / v x L 5 P G f n / 3 E V 2 d P R Z / d S t F g T D d p M t t L o M n w 5 n t 1 M K z J T A e 7 O / v 7 u w 8 f 7 u + N N z n y H n u b F / c e 3 L v / 4 G B 3 Z / x Q g 9 / o i x 5 3 m x c f P N j 5 d G / 3 3 u 7 4 3 q Y X P T b X F 4 d n x + P r G 9 t 6 b H 1 j W 4 + r b 2 z r 6 7 S b G 0 f 4 6 X Z k 8 X W a e X P 7 l q 9 G Z v + 2 O u 0 9 k Y z M + m 1 1 2 v s O 6 n 3 m 3 t d p N z d + n 9 n 3 d d r N j f u z v 6 F x f 8 I 3 N O 5 P 8 Y Y B u r Y P r L Z 5 d f z m 7 N n Z C W s z T v l / 5 6 t b q J x 7 t / L O X C 9 O p 9 2 7 n X f m d z C s 0 0 w H F F 4 / 2 L v 3 Y I y U 4 S D n e N x t 3 3 v w 8 B 4 l z z b m Z z 3 W t q / t k C L 8 9 N 7 4 / i Y N 6 r G 4 v j c 8 M x 5 P 3 9 j W Y + k b 2 3 o c f W N b X 5 / d 3 D j C S 7 e i i q / O z I v b t 3 s z M u + 3 1 W b v h 2 J k x m + r z N 5 z S O 8 z 7 7 4 u u 7 n x + 8 y 8 r 8 t u b t y f + Q 2 N + 7 O 9 o X F / g j c M 0 L U 9 M F r m 5 M s v X q a f H 7 8 6 f v G G w s 2 n x 7 d Q M / u 3 8 s 1 s D 5 4 e 2 7 + d b + Z 3 M K z H T A e 7 e w / 3 y A Y + H H 9 6 S 0 V m X n x w 7 + G n D 8 l y b n r N Y 2 v X 3 + 7 B p / f 3 D j a 6 g h 5 7 6 3 v D 0 + I x 9 I 1 t P X 6 + s a 3 H z j e 2 9 R X Z z Y 0 j j H Q r q v i K z L y 4 f b s 3 I x N / W 0 X 2 f i h G Z v y 2 i u w 9 h / Q + 8 + 4 r s p s b v 8 / M + 4 r s 5 s b 9 m d / Q u D / b G x r 3 J 3 j D A F 3 b h 7 4 i O 3 3 x W n y y 4 6 d n + H k r X X P v F s r M 9 h I o M 7 z 5 X h 0 M K z P T w b 2 D + / v 7 F C 3 e T p O Z t 3 Y P H n z 6 6 X h n / 3 a K z P b 1 6 a e f P t g f H 3 x 6 O z 2 m r w 3 P i s f P N 7 b 1 2 P n G t h 4 3 3 9 j W 1 2 M 3 N 4 7 w 0 W 2 I 4 q s x 8 9 7 2 r V 6 M z P h t t d h 7 I R i Z 7 d s q s f c b 0 P v M u a / D b m 7 8 P r P u 6 7 C b G / d n f U P j / l R v a N y f 3 g 0 D t G 0 / 3 T H a 5 e n Z 8 e v 0 9 O T L F 1 9 + c X b y 5 e v 0 9 6 H M 2 a 1 U z P 7 N O s z 1 E u g w v P l e H Q z q M N v B L q m j X Q o s 7 2 3 S R 4 6 z 7 X s H e w 9 2 x z u b 2 M 2 x t d f Z g 4 M D U n 5 7 B 7 f S Y u a 9 4 X l x H H 1 z W 8 f Q N 7 d 1 / H x z W 0 + L 3 a J x h J N u R R V P j d k X t 2 / 3 Z m T W b 6 n H 3 h P F y I z f U p G 9 7 5 D e Z 9 4 9 T X a L x j L z t 2 v s a b J b N O 7 P / I b G / d n e 0 L g / w R s G 6 N r u G h 0 D V w y O 2 E + e v T l + T r 7 Y c X p 8 K z 1 z / x a K z H Y S K D K 8 + V 4 d D C s y 0 8 E 9 y t 1 / e u / e + N O H t 1 N k 5 r 1 N H O o x 9 H t 1 4 z G 2 v j c 8 I R 4 r 3 9 j W 4 + Q b 2 3 q M f G N b X 4 X d 3 D j C Q r e i i q / C z I v b t 3 s z M t + 3 V W H v h 2 J k x m + r w t 5 z S O 8 z 7 7 4 K u 7 n x + 8 y 8 r 8 J u b t y f + Q 2 N + 7 O 9 o X F / g j c M 0 L X d M 9 r l + P X Z 5 y 8 0 x X / 6 l J Y x P z 8 7 u Z W K Q X c 3 6 T D b S 6 D D 8 O Z 7 d T C s w 0 w H 9 / c f P L j / 8 P 7 B + N N N 1 s 9 j b v P i P e r s 4 b 2 D 8 c 4 m l v N 4 2 3 a 4 + + m n O z t 7 O + P 7 m 1 7 0 m F x f H J 4 c j 6 1 v b O t x 9 Y 1 t P a a + s a 2 v z m 5 u H G G n 2 5 H F 1 2 f m z e 1 b v h q Z / N s q t P d E M j L r t 9 V o 7 z u o 9 5 l 7 X 6 X d 3 P h 9 Z t 9 X a T c 3 7 s / + h s b 9 C d / Q u D / F G w b o 2 t 6 z K u 3 l l 7 / P l + l x + v q r l 6 e v f v L s 9 Z e v T l / f S u M 8 u I V K s 7 0 E K g 1 v v l c H w y r N d H B v 9 9 7 e / Z 2 D 8 Y G C j g 7 f 4 2 7 z H v W 0 u 7 c / 3 n 9 w O 4 V m X t t 7 e L B 7 7 2 B / c z j r s b i + N z w z H k / f 2 N Z j 6 R v b e h x 9 Y 1 t f n 9 3 c O M J L t 6 K K r 8 7 M i 9 u 3 e z M y 7 7 f V Z u + H Y m T G b 6 v M 3 n N I 7 z P v v i 6 7 u f H 7 z L y v y 2 5 u 3 J / 5 D Y 3 7 s 7 2 h c X + C N w z Q t d 0 3 W u Y J Z c n S l 7 R w S T m y 1 5 z 5 v 5 W i e X g L T W b 7 C D T Z Q 1 U 3 t + 5 g W J O Z D n b 3 9 / a I b f Y 2 s Y 3 H 2 O a 1 W 8 a X 7 9 O L x 9 X 6 2 v B s e H x 8 Y 1 u P j W 9 s 6 3 H x j W 1 9 / X V z 4 w j / 3 I Y o v v o y 7 2 3 f 6 s X I X N 9 W e 7 0 X g p H Z v q 3 y e r 8 B v c + c + 7 r r 5 s b v M + u + 7 r q 5 c X / W N z T u T / W G x v 3 p 3 T B A 1 / a + 0 S s v K Z p M X 3 7 5 K q V U / 8 n p y z d f 3 j L P v 7 t 7 C + 1 l e / G 1 F 7 / 5 X h 0 M a y / T w e 6 D / f s 7 9 3 a w 8 r j J p f J 4 2 7 6 5 s 7 v 7 6 d 6 9 T 8 f 3 N z G d x 9 z 2 x U / 3 7 x 1 8 e r D 3 c H z / 3 u 2 0 m b 4 5 P D 8 e Z 9 / Y 1 m P s G 9 t 6 f H 1 j W 1 + b 3 d w 4 w l G 3 p I u v 0 M y r 2 7 d 9 N 8 I B t 9 V p 7 4 t m Z O Z v q 9 b e e 1 j v M / + + Z r u 5 8 f t w g K / Z b m 7 c 5 4 A N j f t z v q F x f 5 I 3 D N C 1 / d T o n J M v v 2 B f T N J m r 7 6 k I P P s V o p n z y q e Y c 1 m e w k 0 G 9 5 8 r w 6 G N Z v p Y P f T B w e f P t h 5 + G D 8 c B P v e B x u 3 n z 4 4 O H 9 / U 8 P x g 8 e 3 k 6 x 2 R 7 v H 1 A M / C l x K + R m 8 E 2 P 0 f X N 4 e n x G P v G t h 5 f 3 9 j W Y + s b 2 / q K 7 e b G E Y a 6 J V 1 8 x W Z e 3 b 7 t u x E G u K 1 i e 1 8 0 I z N / W 8 X 2 3 s N 6 n / n 3 F d v N j d + H A 3 z F d n P j P g d s a N y f 8 w 2 N + 5 O 8 Y Y C u 7 Q O j c o 5 / n 6 + e H r P P 9 h q p M 9 J v 6 e 9 z K 7 2 z f w v F Z n s J F B v e f K 8 O h h W b 6 W C P 9 O A O L Y a P 4 b c O s o 7 H 4 O b F 3 Y e f 7 u 7 d 2 x 2 b V d b o e x 5 3 2 w 7 3 a B X h 0 / v 3 x 7 u b F K n H 5 v r i 8 O R 4 b H 1 j W 4 + r b 2 z r M f W N b X 2 1 d n N j Y a e v Q R Z f q 5 k 3 t 2 / 5 a m T y b 6 v U 3 h P J y K z f V q e 9 7 6 D e Z + 5 9 l X Z z 4 / e Z f V + l 3 d y 4 P / s b G v c n f E P j / h R v G K B r e 9 B R a U i h G Z 1 2 K 4 V z 3 y q c Y Y 1 m O w k 0 m t E e t + 5 g W K O Z D m g R 6 d N P H 9 L y 5 i 0 d N f P e / s H B / s 6 9 W y 8 G m N f u 3 9 + l k I L 4 9 N P b q T N 9 b 3 h i P J a + s a 3 H 0 T e 2 9 R j 6 x r a + O r u 5 c Y S V b k U V X 5 u Z F 7 d v 9 2 Z k 3 m + r z N 4 P x c i M 3 1 a X v e e Q 3 m f e f V V 2 c + P 3 m X l f l d 3 c u D / z G x r 3 Z 3 t D 4 / 4 E b x i g a / v Q q j J e 2 G R V 9 t W b s + e n r 9 P b L W z u f n o L X W Z 7 C X Q Z 3 n y v D o Z 1 m e l g / + H 9 v R 1 S S u D f Q c 7 x e N u 8 t 7 f / 4 B 7 p s / H B p v c 8 1 v b e O 7 i / S 8 t W t 9 N l + t r w z H g 8 f W N b j 6 V v b O t x 9 I 1 t f V 1 2 c + M I L 9 2 G K L 4 q M + 9 t 3 + r F y K z f V p O 9 F 4 K R 2 b 6 t I n u / A b 3 P n P t 6 7 O b G 7 z P r v h 6 7 u X F / 1 j c 0 7 k / 1 h s b 9 6 d 0 w Q N v 2 w Y 7 R M E H 6 7 J S W N U / O n t 1 K z R z c r M d c L 4 E e w 5 v v 1 c G g H r M d H D y 8 R 9 o I l B v k G 8 f X 9 q 1 N / O n Y + X 0 6 c U x t 3 h q e D c f H N 7 d 1 b H x z W 8 f F N 7 f 1 d N c t G k f 4 5 x Y 0 8 V S X f W 3 7 N u 9 F 5 v m W m u u 9 0 I v M 9 C 0 V 1 / s N 5 3 3 m 2 9 N b t 2 j 8 P j P u 6 a 1 b N O 7 P + I b G / X n e 0 L g / u R s G 6 N r u G o 3 y 5 M s X W M N M n 5 4 d 4 8 c X x 0 9 f 3 U a r 7 N 1 i P d N 1 4 q s t f v O 9 O h h W W 6 a D 3 Z 1 7 G P 0 g z 3 g c b V 6 5 p c 6 6 b Q 8 e M + s r w 9 P g M f C N b T 3 + v b G t x 7 4 3 t v U V 1 s 2 N I 4 x z E 0 F 8 b W X e 2 b 7 x p c j c 3 l Z V 3 R q x y O z e V k / d f i D v M 8 e + k r q 5 8 f v M s q + k b m 7 c n + U N j f v T u 6 F x f 1 o 3 D N C 1 3 T P 6 4 / T 1 m 7 M v v n r + 5 e v 0 + H n 6 8 v Q V q Y n j W y m R W 6 x N u l 4 C L X W 7 t U m v g 2 E t Z T q g F P 7 O / s H 9 n f 2 x i U C j B P B 4 2 r x 5 f + + A / i L L u L P J M n q M b V 7 c P T j Y 2 7 t H a 0 7 j + w 9 v p 7 3 0 z e H 5 8 T j 7 x r Y e Y 9 / Y 1 u P r G 9 v 6 2 u v m x h G O u i V d f C V m X t 2 + 7 b s R D r i t L n t f N C M z f 1 u V 9 t 7 D e p / 5 9 z X b z Y 3 f h w N 8 z X Z z 4 z 4 H b G j c n / M N j f u T v G G A r u 0 9 o 3 O + f P P q + H X 6 8 h V p O A 4 d b 5 X 8 e r h z G + / L 9 u H p N X n z v T o Y 1 m u m g 3 s U Y t L a 5 N 7 9 M T 4 a 5 B y P v 8 2 b + w c P D + 4 / I H 1 4 c D u 1 5 n q 8 t 0 f P / d 3 x z v 3 b q T V 9 c 3 h y P L a + s a 3 H 1 T e 2 9 Z j 6 x r a + W r u 5 c Y S d b k k X X 6 2 Z V 7 d v + 2 6 E A W 6 r 1 t 4 X z c j M 3 1 a t v f e w 3 m f + f b V 2 c + P 3 4 Q B f r d 3 c u M 8 B G x r 3 5 3 x D 4 / 4 k b x i g a 7 t v V M 6 r 0 z e v z p 5 8 J R o t f f n l q / T 4 5 F Z 6 5 z Y O m + 0 l U G y 3 c t j 8 D o Y V m + n g / s H B p 7 s P 7 + + O 9 z e x j s f g 5 s V b B p f v 1 4 / H 3 f r i 8 J x 4 3 H x j W 4 + Z b 2 z r 8 f K N b X 1 t d n P j C B f d j i y + M j N v b t / y 1 c i c 3 1 a X v S e S k V m / r S p 7 3 0 G 9 z 9 z 7 m u z m x u 8 z + 7 4 m u 7 l x f / Y 3 N O 5 P + I b G / S n e M E D X 9 n 5 X k 6 k S S 0 + O X 9 5 O z + z d r M h s J 6 E i 0 x j v 1 h 0 M K z L T w Y N 7 9 + 7 f 3 / n 0 d k r s 9 i 9 5 T G 1 e u m W O T J s P T 4 X H x D e 2 9 X j 4 x r Y e C 9 / Y 1 l d g N z e O M M 9 t 8 2 O 3 a h + Z 1 t v q q l u 1 f 8 / J 9 D X U r d q / z 4 z 6 a u n m x u 8 z p 7 5 a u r l x f 0 4 3 N O 5 P 6 I b G / d n c M E D X 9 l O j M V 5 m F 1 U 6 y 9 P T p v 1 H / / r F u q y a N L t J b X x 6 s 0 a y 8 N 0 r t 4 Q 5 r I Q M z H v 7 B 5 / e v 3 / w Y L z / 4 H a K y L z 4 6 f 7 e p w c P x / c 2 W T 2 P e 1 1 / 5 P d T g D n e V Y U a f d F j Y 3 1 x e C I 8 F r 6 x r c f B N 7 b 1 G P j G t r 5 S u r l x h H V u R x Z f P Z k 3 t 2 / 5 a m T u b 6 u p 3 h P J y K z f V m e 9 7 6 D e Z + 5 9 9 X V z 4 / e Z f V 9 9 3 d y 4 P / s b G v c n f E P j / h R v G K B r + 8 C o F 0 p 3 U d L r y 6 f p 7 5 O e P j s 7 O T t 9 c W N 4 + O n u g 9 1 b 5 b 1 s J 8 a r s m + + V w f D C s 1 0 Q N n S + 7 v 3 x v d v q c 7 M a 7 v 3 9 3 b u j W + Z 8 b J 9 U W 5 2 5 + H 4 w a a + P O 7 W 1 4 Y n x W P n G 9 t 6 3 H x j W 4 + Z b 2 z r q 7 K b G 0 f Y 6 D Z E 8 R W Z e W / 7 V i 9 G Z v y 2 a u y 9 E I z M 9 m 2 V 2 P s N 6 H 3 m 3 F d h N z d + n 1 n 3 V d j N j f u z v q F x f 6 o 3 N O 5 P 7 4 Y B u r Y H n g p 7 7 z V J V j G 3 S X H Z X g I d d n O K q 9 P B s A 4 z H e z u P f x 0 l 3 L w t 0 7 d m x f 3 9 3 c f 3 N I h 8 / r a f f D p w d 7 m v j z 2 1 h e H 5 8 X j 6 B v b e g x 9 Y 1 u P n 2 9 s 6 2 u x m x t H O O l 2 Z P H 1 m H l z + 5 a v R u b 9 t p r s P Z G M z P p t d d n 7 D u p 9 5 t 7 X Z j c 3 f p / Z 9 7 X Z z Y 3 7 s 7 + h c X / C N z T u T / G G A b q 2 D 6 P a 7 I v j z 8 9 e v z m 9 l b K 5 d w t t Z n s J t B n e f K 8 O h r W Z 6 Y A c q 0 8 f P N y 7 t z l W 9 N j b v H j / w a f 7 Y J L B d z z G N u / s P n z w c P f + z v 3 N n X k c r i 8 O T 4 z H 0 j e 2 9 T j 6 x r Y e Q 9 / Y 1 l d n N z e O s N L t y O K r M / P m 9 i 1 f j U z 8 b d X Z e y I Z m f X b q r P 3 H d T 7 z L 2 v z m 5 u / D 6 z 7 6 u z m x v 3 Z 3 9 D 4 / 6 E b 2 j c n + I N A 7 R t D 3 a M o n n y 5 Y s v O W P / k p T K V 8 f P z 5 4 e P 7 2 V t t m / W Z 2 5 X g J 1 h j f f q 4 N B d W Y 7 I E t 4 s P d w b 3 y w K T P h u N u + R 9 m y v f H 9 2 3 l n f m e 7 + z s 7 4 7 3 b h Z j m v e F 5 c R x 9 c 1 v H 0 D e 3 d f x 8 c 1 t P m 9 2 i c Y S T b k U V T 5 n Z F 7 d v 9 2 Z k 1 m + p y 9 4 T x c i M 3 1 K V v e + Q 3 m f e P U 1 2 i 8 b v M / O e J r t F 4 / 7 M e 4 2 H N d k t G v c n + F a a b N f o m C + y N q + L r M y b 9 D p 9 v V 4 U y 6 K 5 Q d H c v P L o w N s 3 b g d x W G c Z i J R C e 3 h w b / f e w c H 4 0 9 u F l P b V v V 1 K x D 7 Y f f j p e O + W u s u 8 e b D z 4 D 4 F p K T 1 7 h 3 c T n v p m 7 f S X j e 2 9 Z j 4 x r Y e D 9 / Y 1 t d e N z e O c M 8 t 6 e L r L / P q 9 m 3 f j f D A b T X Y + 6 I Z m f n b 6 r D 3 H t b 7 z L + v x W 5 u / D 4 c 4 G u x m x v 3 O e B 2 W u z m x v 1 J 3 j B A 1 3 Y v o s V m H x / P F t V y d F N 4 e Y s 0 m Y P v X r k l z G F F Z m D e 2 7 2 / / + l D G u / 4 4 S 3 d L / P m w w c H n + 7 t 7 u 6 O D z Z x m M f M 5 s U 9 y n v s P L j 3 Y G e 8 s 3 8 7 N a Z v D k + G x 8 Y 3 t v W 4 + M a 2 H h P f 2 N Z X Y z c 3 j r D P L e n i q z H z 6 v Z t 3 4 1 w w G 3 V 2 P u i G Z n 5 2 6 q x 9 x 7 W + 8 y / r 8 Z u b v w + H O C r s Z s b 9 z l g Q + P + n G 9 o 3 J / k D Q N 0 b e 9 Z N X b 8 J v 3 q z d n z 9 P Q n 0 i 9 O X 6 R f P r t R 4 Z A i u M 2 q p e t D g 0 r 3 5 n t 1 M K z X T A d 7 B 5 / S U t H e / f G B w o 6 O 3 m N v 8 + L + 3 q c U w 3 4 6 x s w P v u f x t u 1 w / 9 6 n D x / c f z j + d J M e 9 Z h c X x y e G o + p b 2 z r 8 f S N b T 2 W v r G t r 9 R u b h x h p t u R x d d p 5 s 3 t W 7 4 a m f z b q r T 3 R D I y 6 7 f V a O 8 7 q P e Z e 1 + h 3 d z 4 f W b f V 2 g 3 N + 7 P / o b G / Q n f 0 L g / x R s G 6 N r u 9 x T a 2 R c v X 6 W v T l + + u o W + 2 b u V Q r N 9 e A p t 7 3 Y K z e 9 g W K G Z D v b u 3 9 / f 3 b 2 3 N 3 5 4 S 4 V m X t z f 3 / + U d N p 4 f x P D e a x t O 9 z d I b / w A b 2 4 S R N 6 P K 4 v D k + N x 9 Q 3 t v V 4 + s a 2 H k v f 2 N Z X a D c 3 j j D T 7 c j i K z T z 5 v Y t X 4 1 M / m 0 V 2 n s i G Z n 1 2 y q 0 9 x 3 U + 8 y 9 r 9 B u b v w + s + 8 r t J s b 9 2 d / Q + P + h G 9 o 3 J / i D Q N 0 b e / 7 C u 3 3 E Z X 2 8 t W X J + S o 3 U L f 7 N 9 K o d k + P I W 2 f z u F 5 n c w r N B M B 7 t 7 B / d o w e j B e G e T Y v K Y 2 7 5 4 s L P 3 8 O H + G I I y + J 7 H 2 v Y 9 W m X d 2 / m U F h p u q d D 0 x e G p 8 Z j 6 x r Y e T 9 / Y 1 m P p G 9 v 6 C u 3 m x h F m u h 1 Z f I V m 3 t y + 5 a u R y b + t Q n t P J C O z f l u F 9 r 6 D e p + 5 9 x X a z Y 3 f Z / Z 9 h X Z z 4 / 7 s b 2 j c n / A N j f t T v G G A r u 2 n v k I 7 e / H s y 1 d f H J + c f f n i F s r m / q 2 0 m e 3 A 0 2 b 3 b 6 f N / A 6 G t Z n p Y P c + O W g P D 8 Y P 7 t 9 O m Z n 3 D v Y e P N y n V f N N v O Z x t X m N Y o h P 7 9 8 b 3 / v 0 d p p M X x u e E 4 + b b 2 z r M f O N b T 1 e v r G t r 8 l u b h z h o t s Q x d d j 5 r 3 t W 7 0 Y m f T b a r H 3 Q j A y 2 7 f V Y e 8 3 o P e Z c 1 + D 3 d z 4 f W b d 1 2 A 3 N + 7 P + o b G / a n e 0 L g / v R s G 6 N o + 8 D X Y c 4 o v z 0 5 / 6 v g W 2 u X T W 6 k v C 9 1 T X 5 / e T n 3 5 H Q y r L 9 P B g / s P d n d p M f P h p j V v j 6 P N e / f u 7 1 J + d n d 8 T 1 G K v u d x t H l v f + f T n X 3 y / T 7 d x K E e Z + t 7 w 1 P i M f O N b T 1 e v r G t x 8 o 3 t v U V 2 M 2 N I 0 x 0 K 6 r 4 G s y 8 u H 2 7 N y M T 7 1 T L Z h X 2 f i h G Z v y 2 O u w 9 h / Q + 8 + 4 r s Z s b v 8 / M + 0 r s 5 s b 9 m b + d E r u 5 c X + C b 6 X E D n w l d v r 0 q 5 P j N 2 c / + e X r W 2 i Z B 7 d S Y x a + p 8 Y e 3 E 6 N + R 0 M q z H T w f 0 H D z / d P d j s T X l M b V 7 b x J s e K 7 9 P L x 5 H 6 2 u 3 0 l 0 3 t v V Y + M a 2 H g f f 2 N b X X T c 3 j v D O b Y j i q y 7 z 3 v a t X o z M 9 W 0 1 1 3 s h G J n t 2 y q u 9 x v Q + 8 y 5 r 7 d u b v w + s + 7 r r Z s b 9 2 d 9 Q + P + V G 9 o 3 J / e D Q N 0 b R / 6 e u v 3 S V 9 / 9 U X 6 8 v n x C 9 Z h t 9 I t G N J N y s t 2 E i g v v P l e H Q w r L 9 P B v f 1 7 4 / u 3 1 F z m n V t q r l t 3 4 f G z v j M 8 E R 4 L 3 9 j W 4 + A b 2 3 o M f G N b X 2 3 d 3 D j C O j d S x N d Z 5 q X t m 9 + K z O 9 t F d b t U Y v M 8 G 2 1 1 X s M 5 X 3 m 2 V d V N z d + n 5 n 2 V d X N j f s z v a F x f 4 Y 3 N O 5 P 7 I Y B 2 r Y P d 4 w W I Q V 1 c p y e v v j 8 y / T k + P k J q a 1 v f 3 k L V X J w G 0 f L 9 e L p q o P b O V p + B 4 O 6 y n a w e / D p z v 3 d g / u 7 4 w e f 3 k p j 2 T c f 3 D / Y 2 f n 0 4 c P x / d u t R 7 o u d 3 f 2 7 u 9 S n m 2 8 t 3 8 r D W b e H J 4 f x 9 k 3 t 3 W M f X N b x 9 c 3 t / U 0 2 C 0 a R z j q l n T x 9 J h 9 d f u 2 7 0 Y 4 4 J b a 7 L 3 R j M z 8 L X X a + w / r f e b f 0 2 y 3 a P w + H O B p t l s 0 7 n P A h s b 9 O d / Q u D / J G w b o 2 u 4 a n X P 6 x R l l w E 7 S k y 9 f U A h 5 9 u p W S u c W H p j r I d B q t / L A / A 6 G t Z r p 4 P 7 e g 3 v 3 H n y 6 P 3 5 w u y V J + + I D 6 u v e 7 r 3 x w 1 v q N P P e / v 3 7 t G x 6 f 2 d 8 c D u N p u 8 N z 4 v H 0 T e 2 9 R j 6 x r Y e P 9 / Y 1 t d o N z e O c N K t q O L r M / P i 9 u 3 e j M z 8 b b X Z + 6 E Y m f H b 6 r L 3 H N L 7 z L u v y W 5 u / D 4 z 7 2 u y m x v 3 Z 3 5 D 4 / 5 s b 2 j c n + A N A 3 R t 9 4 y e O S 6 L R b 5 s q y a 9 T r 9 q 8 2 V T l M V N y m b v Z j 1 m 4 b t X b g l z W H U Z m P f u P d z f I d V 1 f 3 x L 1 W V e v P / w Y J d W i w 4 2 6 z y P k 8 2 L t H B 5 / + D B w Y N P x / u 3 1 F 7 6 5 v B c e F x 8 Y 1 u P i W 9 s 6 / H w j W 1 9 7 X V z 4 w j 3 3 J I u v v 4 y r 2 7 f 9 t 0 I A 9 x W g 7 0 v m p G Z v 6 0 O e + 9 h v c / 8 + 1 r s 5 s b v w w G + F r u 5 c Z 8 D N j T u z / m G x v 1 J 3 j B A 1 / a e 0 T I v X 3 3 5 N D 2 m N c n 0 5 e m r 1 + n Z i 9 d v b l Q 4 e 3 u 7 t w o 0 b S f G J b N v v l c H w 3 r N d P B w d / f B p / c e j u / d U q 2 Z 9 3 b 3 9 u / t 0 e r R z s P b a T X z H n H p / r 0 D C h z u 3 U 6 n 6 X v D M + P x 9 I 1 t P Z a + s a 3 H 0 T e 2 9 X X a z Y 0 j v H Q r q v g a z b y 4 f b s 3 I x N / W 3 3 2 f i h G Z v y 2 2 u w 9 h / Q + 8 + 7 r s p s b v 8 / M + 7 r s 5 s b 9 m d / Q u D / b G x r 3 J 3 j D A F 3 b f a N m n B o j r X b y 6 j Q 9 f n o r V X O b 8 N J 2 E u i y m 8 P L T g f D u s x 0 s P f g w c 4 + h Y r 3 x g c K P D p + j 7 n N m x Q C f L r 3 6 a c 7 4 w f 3 b 6 f O b J d Y U a E Q 4 t 5 4 5 9 M b F F r 4 5 q 0 U 2 o 1 t P b 6 + s a 3 H 1 j e 2 9 R X a z Y 0 j D H V L u v g q z b y 6 f d t 3 I x x w W 6 X 2 v m h G Z v 6 2 a u 2 9 h / U + 8 + 8 r t p s b v w 8 H + I r t 5 s Z 9 D r i d Y r u 5 c X + S b 6 X Y 7 h u d c / L l F 2 e v j 1 + d H b + 5 c R W A 9 c 3 + L R S a B R 4 o t H 3 V O b f u Y F i h m Q 5 2 7 + 8 8 u E + + 2 S a n 3 u N q 8 9 r e 7 s O d z f k M j 5 9 t X 3 s H B / c P x v d v G W v q a 8 O T 4 b H x j W 0 9 L r 6 x r c f E N 7 b 1 1 d j N j S P s c x u i + D r M v L d 9 q x c j M 3 5 b B f Z e C E Z m + 7 b a 6 / 0 G 9 D 5 z 7 q u u m x u / z 6 z 7 q u v m x v 1 Z 3 9 C 4 P 9 U b G v e n d 8 M A X d t P j X b p x J d P T 1 + d / e S t V M z 9 W + g w 2 0 u g w + 7 f T o e 5 D o Z 1 m O n g 3 q f 3 d z 6 l Q P H h p k D R 4 2 z z 3 q f 3 9 + 4 / 3 B t / u i k I 8 B j b v L b 3 8 O E B 9 T e + 9 + n t 9 J i + N z w z H k / f 2 N Z j 6 R v b e h x 9 Y 1 t f j 9 3 c O M J L t 6 K K r 8 j M i 9 u 3 e z M y 7 7 f V Z O + H Y m T G b 6 v K 3 n N I 7 z P v v i 6 7 u f H 7 z L y v y 2 5 u 3 J / 5 D Y 3 7 s 7 2 h c X + C N w z Q t X 1 g t M z x 0 5 9 I j z / / 6 j h 9 + e W b 4 y f P T 2 + l Z j 6 9 h R 6 z P Q R 6 D G + + V w f D e s x 0 s E f L 3 f f J G b t t a G n f + 3 T v w d 7 + b b 0 x 8 9 b u w c H D g 3 v 3 x z u b e v O Y W 9 8 b n h S P n W 9 s 6 3 H z j W 0 9 Z r 6 x r a / G b m 4 c Y a N b U c V X Y + b F 7 d u 9 G Z n 2 2 6 q x 9 0 M x M u O 3 V W P v O a T 3 m X d f j d 3 c + H 1 m 3 l d j N z f u z / y G x v 3 Z 3 t C 4 P 8 E b B u j a H h g l 0 3 H J X h 6 / e n M r R Q O l c Z M m s 5 0 E m s y o m 1 t 3 M K z J T A f 7 n z 6 8 d / / T B 3 v j B w 9 u p 8 r M i / f 3 P 9 3 Z 3 f 9 0 / G D / d s r M d r i 7 / 4 B W 2 T 8 d 7 2 x y 5 j w e 1 x e H 5 8 b j 6 h v b e k x 9 Y 1 u P p 2 9 s 6 2 u z m x t H u O l 2 Z P H V m X l z + 5 a v R i b / t v r s P Z G M z P p t F d r 7 D u p 9 5 t 7 X a D c 3 f p / Z 9 z X a z Y 3 7 s 7 + h c X / C N z T u T / G G A b q 2 D 4 2 y Y W V 2 / O L s i + P n p 6 9 v o W r 2 b r V 8 a c F 7 u m z v d s u X f g f D u s x 0 s H v v 3 u 7 B w / H + w 9 t p M v P a J t 7 0 W P l 9 e v E 4 W l 8 b n g i P h W 9 s 6 3 H w j W 0 9 B r 6 x r a + + b m 4 c Y Z 3 b E M V X X u a 9 7 V u 9 G J n r 2 6 q u 9 0 I w M t u 3 V V z v N 6 D 3 m X N f b d 3 c + H 1 m 3 V d b N z f u z / q G x v 2 p 3 t C 4 P 7 0 b B m j a 3 t / Z M X r l q z e n L 1 6 n r 0 9 f / S S 7 Y 6 d Q J D e q l n u 3 0 F 1 e H 5 7 u u n c 7 3 e V 3 M K S 7 X A e U p n 9 4 / 4 Y M l 2 V r 9 9 r u p / s H 9 8 c P F Z / o W 5 a p v c 5 2 7 u 1 / S q 7 b 3 m 1 U m H 1 t e F I s O 9 + i r e X m W 7 S 1 z H y L t k 6 F 3 a Z x h I 1 u Q x S n w t x 7 2 7 d 6 M T L l t 1 N h 7 4 l g Z L Z v p 8 L e d 0 D v M + d O h d 2 m 8 f v M u l N h t 2 n c n / U N j f t T v a F x f 3 o 3 D P D x 3 d 9 b 2 + 4 a 9 f J F 1 u Z 1 k Z V 5 k 1 6 n x 3 V b T N P Z T T p m / 2 b 1 Z e G 7 V 2 4 J c 1 h j G Z i f f r p 3 8 O D h p + P 7 m 9 j E Y 2 P z 3 u 6 D / d 1 P D + 6 N P 1 V k o u 9 5 b G z e o w X z B 7 u 7 e + O D g 9 t p L X 1 v e B 4 8 D r 6 x r c f A N 7 b 1 + P f G t r 7 W u r l x h H N u R R V f b Z k X t 2 / 3 Z m T i b 6 u 3 3 g / F y I z f V n G 9 5 5 D e Z 9 5 9 z X V z 4 / e Z e V 9 z 3 d y 4 P / M b G v d n e 0 P j / g R v G K B r u 2 c 0 C 2 f B v j h 7 k b 7 4 M v 3 i 9 M 2 N C m Z v f / d W n p f t w H h e 9 s 3 3 6 m B Y j 5 k O d o l j H o 4 f K O D o u D 2 m N m 9 t 4 k 2 P l d + j E 4 + h 9 a 3 h i f B Y + M a 2 H g f f 2 N Z j 4 B v b + q r r 5 s Y R 1 r k F T X z F Z V 7 b v s 1 7 k X m + r d p 6 H / Q i M 3 1 b p f V e w 3 m f + f Z V 1 s 2 N 3 2 f G f Z V 1 c + P + j G 9 o 3 J / n D Y 3 7 k 7 t h g K 7 t P a N R T k 4 R I 3 6 Z s u o 6 + f L F y S 1 0 y m 1 S X V 4 X n t K 6 T a q r 0 8 G w 0 j I d f L r 7 Y G f 8 4 P 7 t d J Z 5 6 Z Y 6 6 / Z 9 e O y s L w 1 P h M f C N 7 b 1 O P j G t h 4 D 3 9 j W V 1 k 3 N 4 6 w z s 0 k 8 T W W e W v 7 F q 9 F 5 v i 2 C u s 9 k I v M 8 m 3 1 1 f s M 5 n 3 m 2 l d X N z d + n 9 n 2 1 d X N j f u z v a F x f 5 I 3 N O 5 P 7 Y Y B u r b 7 V l 0 d P 0 9 / n 9 P X q q / w 2 y 3 U y e 3 S W 7 Y P T 1 / d J r 3 V 6 W B Y X 5 k O d h 9 + + n A M b T 3 I N B 5 D m 5 d u q a 9 u 3 4 f H z v r S 8 E x 4 P H x j W 4 + F b 2 z r c f C N b X 1 9 d X P j C O / c T B J f X 5 m 3 t m / x W m S O b 6 u v 3 g O 5 y C z f V l + 9 z 2 D e Z 6 5 9 f X V z 4 / e Z b V 9 f 3 d y 4 P 9 s b G v c n e U P j / t R u G K B r e 9 / o k i + O S U u J s q J f T 1 8 d 3 0 K b 7 N 9 K X d k u P H W 1 f z t 1 5 X c w r K 5 M B 7 u 0 8 n w 7 X W X e u K W u u m U H H h / r G 8 N T 4 D H v j W 0 9 3 r 2 x r c e 6 N 7 b 1 F d X N j S N M c w M 9 f C 1 l X t m + 6 Z 3 I v N 5 W R d 0 W r c j M 3 l Y / 3 X o Y 7 z O / v n K 6 u f H 7 z L C v n G 5 u 3 J / h D Y 3 7 c 7 u h c X 9 S N w z Q t f 3 U a I 6 f P H v 6 6 u x L o 5 / w 1 y 2 U x / 1 b a S f b h 6 e d 7 t 9 O O / k d D G s n 0 w E t F e 7 c H + 8 9 u J 2 G M m / d U k O 9 R y c e N + t b w 3 P h c f G N b T 0 m v r G t x 8 M 3 t v W 1 1 M 2 N I 9 x z C 5 r 4 m s q 8 t n 2 b 9 y L z f F t t 9 T 7 o R W b 6 t h r r v Y b z P v P t a 6 2 b G 7 / P j P t a 6 + b G / R n f 0 L g / z x s a 9 y d 3 w w B d 2 w d G o 3 x x / C Y 9 f X 5 6 8 u Y V a a 7 T 5 / T z N j H g p 7 d S W 7 Y T T 2 1 9 e j u 1 5 X c w r L Z M B / c O d u 7 v 7 u + P P 7 2 l 4 j L v 3 X / 4 4 N 7 9 e + O H m 1 I O H l v b 7 v Z 2 H j x 4 u L N 5 G d t j b 3 1 v e G I 8 l r 6 x r c f R N 7 b 1 G P r G t r 4 K u 7 l x h J V u R R V f i Z k X t 2 / 3 Z m T e b 6 v G 3 g / F y I z f V p G 9 5 5 D e Z 9 5 9 V b a p s T R + n 5 n 3 V d n N j f s z f z t V d n P j / g T f S p U d G C 1 z / O o N 1 g m P n 5 + d f P k a 2 f f X b 2 6 h a R 7 c S p X Z T j x V 9 u B 2 q s z v Y F i V m Q 7 u 3 b t / 8 P D h e H + T S v I 4 2 7 y 2 d / / + / Q e 7 Y w j J 4 G s e X 5 v X D n b u 7 R 2 M 7 9 1 S j + l b t 9 J j N 7 b 1 2 P n G t h 4 3 3 9 j W 1 2 M 3 N 4 7 w 0 S 1 o 4 m s x 8 9 r 2 b d 6 L T P h t d d j 7 o B e Z 6 d t q s P c a z v v M t 6 + / b m 7 8 P j P u 6 6 + b G / d n f E P j / j x v a N y f 3 A 0 D d G 0 f G t U C V + z k y y 9 e P u d F x F t o l o N b q S 4 L 3 1 N d B 7 d T X X 4 H w 6 r L d L C 7 f / / h p z s H Y 7 D F I M 9 4 H G 3 e + 3 R 3 9 9 O 9 h + P d W 3 p h 5 r W D / Q c P H 9 w + L a + v D U + J x 8 w 3 t v V 4 + c a 2 H i v f 2 N Z X X j c 3 j j D R b Y j i a y / z 3 v a t X o x M + m 3 V 1 3 s h G J n t 2 + q v 9 x v Q + 8 y 5 r 8 B u b v w + s + 4 r s J s b 9 2 d 9 Q + P + V G 9 o 3 J / e D Q O 0 b c G z o m C + p O D x d Q o 1 9 v u k 5 I y 9 v o W G e X g b F e Z 6 8 F T Y w 9 u p M L + D Q R V m O 3 h 4 8 G B / / 9 5 4 / + B W G s y + t v f g w S 5 p s H 1 F K P q a 4 2 n 7 2 o P d n X u 7 + + O d T f r S s b Z 5 b X h O H D f f 3 N Y x 8 8 1 t H S / f 3 N b T Y L d o H O G i 2 x D F 0 2 D 2 v e 1 b v R i Z 8 1 t q s P d D M D L b t 9 R g 7 z m g 9 5 l z T 4 P d o v H 7 z L q n w W 7 R u D / r G x r 3 p 3 p D 4 / 7 0 b h i g a 7 t r 9 M v L u p q l P 7 E u F s W 0 a k b p s 6 x e Z D c p m f s 3 6 y 8 L 3 7 1 y S 5 j D K s v A f H D / 0 / 1 P D z 4 d g 1 U H 2 c R j Y / P e v R 1 a H N j 7 d H z v 0 9 s p L f P e / n 1 a 8 L z / c P x g k 4 7 0 2 F n f G 5 4 H j 4 N v b O s x 8 I 1 t P f 6 9 s a 2 v t W 5 u H O G c W 1 H F V 1 v m x e 3 b v R m Z + N v q r f d D M T L j t 1 V c 7 z m k 9 5 l 3 X 3 P d 3 P h 9 Z t 7 X X D c 3 7 s / 8 h s b 9 2 d 7 Q u D / B G w b o 2 u 5 Z z f W K F h 1 / 4 q u z L z j 5 9 e T 4 R u f r P n T k b Z w v 2 4 V x v u y b 7 9 X B s C Y z H e w d 7 H / 6 6 b 0 H 4 / u b N J L H 2 P a 9 n b 2 D + w f 3 x v c 3 s Z v H 1 + a 9 g 1 1 a N q D s / y 0 V m b 4 2 P C 0 e Q 9 / Y 1 u P n G 9 t 6 7 H x j W 1 + R 3 d w 4 w k i 3 I Y q v x 8 x 7 2 7 d 6 M T L r t 1 V j 7 4 V g Z L Z v q 8 X e b 0 D v M + e + E r u 5 8 f v M u q / E b m 7 c n / U N j f t T v a F x f 3 o 3 D N C 1 v W c 0 z L P T V 2 / O n q c v T 1 + / O T u h I J I C y t v o s b 1 b 6 T H b i 6 f H 9 m 6 n x / w O h v W Y 6 W D v 3 r 0 H N y w q e n x t 3 t q 9 v z f + V J G J v u P x t O t p b 2 9 3 f G / / d g p M 3 x q e E o + Z b 2 z r 8 f K N b T 1 W v r G t r 8 B u b h x h o l v Q x N d f 5 r X t 2 7 w X m e z b q q / 3 Q S 8 y 0 7 f V X u 8 1 n P e Z b 1 9 5 3 d z 4 f W b c V 1 4 3 N + 7 P + I b G / X n e 0 L g / u R s G 6 N r u G 7 X y x e n T s 5 O z F 8 e k t 9 g Z e 3 Z 8 C 8 1 y 7 1 a q y / b h q a 5 7 t 1 N d f g f D q s t 0 Q G / c 2 9 / d G d + / d z v l Z d 6 7 f + / g H j n 8 O 7 d L 4 d v X d h 8 e 3 N + 5 v 7 s 5 3 + Z x t 7 4 3 P C 8 e R 9 / Y 1 m P o G 9 t 6 / H x j W 1 + D 3 d w 4 w k m 3 o o q v w 8 y L 2 3 j z 5 j c j 8 3 5 b L f Z + K E Z m / L Z 6 7 D 2 H 9 D 7 z 7 m u y m x u / z 8 z 7 m u z m x v 2 Z 3 9 C 4 P 9 s b G v c n e M M A X d v 7 V p N R B p / 0 C S m y 1 1 9 9 k U K v f X k b N 2 z / V r r M 9 u L p s v 3 b 6 T K / g 2 F d Z j r Y f f B w 5 w E 5 8 A 8 + v Z 0 u M + / t 3 6 N F z L 3 x v Y e 3 0 2 W 2 u 3 v 3 9 z 9 9 Q C b 3 l t l 8 f W 9 4 Z j y e v r G t x 9 I 3 t v U 4 + s a 2 v i 6 7 u X G E l 2 5 F F V + X m R e 3 b / d m Z N 5 v q 8 v e D 8 X I j N 9 W l 7 3 n k N 5 n 3 n 1 d d n P j 9 5 l 5 X 5 f d 3 L g / 8 x s a 9 2 d 7 Q + P + B G 8 Y o G v 7 a V y X P T 9 + c g s 9 c / 9 W i s x 2 4 S m y + 7 d T Z H 4 H w 4 r M d H B v b 3 / 3 4 P 7 4 / t 7 t 9 J h 5 b f f g 4 a f 3 x p 9 u s p s e U 9 v O d u 4 j c D j Y v 5 0 W 0 9 e G 5 8 T j 5 h v b e s x 8 Y 1 u P l 2 9 s 6 2 u x m x t H u O g 2 R P G V m H l v + 1 Y v R q b 8 t j r s v R C M z P Z t V d j 7 D e h 9 5 t z X Y D c 3 f p 9 Z 9 z X Y z Y 3 7 s 7 6 h c X + q N z T u T + + G A b q 2 D 4 x 6 e X b 2 5 F X 6 + u z F m / T b X z 0 / f Z 2 + f H 6 r 5 P 6 n t 1 J i t h d P i X 1 6 O y X m d z C s x E w H 9 z 8 l N T Y + u K U O M 2 / t 3 S P F d 9 u o 0 n Z 1 7 + E 9 W n y 6 p R + m b w 3 P i c f N N 7 b 1 m P n G t h 4 v 3 9 j W 1 2 A 3 N 4 5 w 0 S 1 o 4 i s w 8 9 r 2 b d 6 L z P Z t 9 d f 7 o B e Z 6 d u q r / c a z v v M t 6 + 9 b m 7 8 P j P u a 6 + b G / d n f E P j / j x v a N y f 3 A 0 D d G 0 P j F 4 5 q R a T d d M W k z J v R u n z 9 a Q u p j c p l 0 9 v 1 l s W v n v l l j C H V Z W B u U u p + L 1 P 7 z 9 4 O L 6 n Y K O j 9 d j Y v L n 3 4 M H u w 3 s 7 D 8 c H t w w e z Y s H D + 7 v P N j 7 9 O F 4 / 5 Z a S 1 8 c n g u P i 2 9 s 6 z H x j W 0 9 H r 6 x r a + 1 b m 4 c 4 Z 7 b k c V X X O b N 7 V u + G p n + 2 + q u 9 0 Q y M u u 3 V V / v O 6 j 3 m X t f g 9 3 c + H 1 m 3 9 d g N z f u z / 6 G x v 0 J 3 9 C 4 P 8 U b B u j a P r Q a 7 M s v n n x F C 5 J P y P m 6 U c v s f b p 7 K 7 / L Q j d + l 3 3 z v T o Y V m a m g 9 3 d / b 3 9 h z u 7 9 8 e b W M Z j a / P i 3 o P 7 D 3 d p K X P 8 Y J P P 5 n G 1 e f H g U 9 K d D w 5 2 N 6 + c e + y t L w 7 P i s f P N 7 b 1 2 P n G t h 4 3 3 9 j W 1 2 U 3 N 4 7 w 0 e 3 I 4 u s y 8 + b 2 L V + N z P 5 t d d l 7 I h m Z 9 d v q s v c d 1 P v M v a / L b m 7 8 P r P v 6 7 K b G / d n f 0 P j / o R v a N y f 4 g 0 D t G 2 B f V + X p S f H L 2 + n b v Z u 1 G e u h 1 C f q e q 4 d Q e D + s x 2 c P / g 0 4 c P D 8 b 3 b r d A a V / b f 0 g 5 t / G m l x x P u 7 7 u P d h / + G C 8 s + k 1 x 9 r m t e E Z c b x 8 c 1 v H y j e 3 d Z x 8 c 1 t P j 9 2 i c Y S H b k M U T 4 v Z 9 7 Z v 9 W J k x m + p w 9 4 P w c h s 3 1 K D v e e A 3 m f O P f 1 1 i 8 b v M + u e / r p F 4 / 6 s b 2 j c n + o N j f v T u 2 G A r u 2 u 0 S 7 P v 3 r y 6 u z k + M U b U l + / T 3 r 8 9 O z N r R Q M A N y k w W w f g Q b D x + / V w b A G M x 3 c e 7 h z / 9 P 7 t 9 Z g 5 r U H B / c f U A J t k x f H T N 3 p b H f 3 4 c O d 8 f 6 n t 1 N h + t r w p H j s f G N b j 5 t v b O s x 8 4 1 t f R V 2 c + M I G 9 2 G K L 4 K M + 9 t 3 + r F y J T f V o W 9 F 4 K R 2 b 6 t C n u / A b 3 P n P s q 7 O b G 7 z P r v g q 7 u X F / 1 j c 0 7 k / 1 h s b 9 6 d 0 w Q N d 2 z 6 i X n 8 y b d p 3 V R T V K n 5 T Z c l o 1 o 5 t U z I O b t Z c F 7 1 6 5 J c x h h W V g 7 u 1 8 S h r r 3 o N P b 7 s E a d / c P d j Z / Z S C y P H e w 9 u p L f f i w c 7 + z t 5 9 e v O W z p e + O T w X H h f f 2 N Z j 4 h v b e j x 8 Y 1 t f c 9 3 c O M I 9 t 6 S L r 7 z M q 9 u 3 f T f C A b f V X + + L Z m T m b 6 v C 3 n t Y 7 z P / v h a 7 u f H 7 c I C v x W 5 u 3 O e A D Y 3 7 c 7 6 h c X + S N w z Q t b 1 n t d j p 6 z d f H b 8 6 + x J + 2 F c v z p 5 9 + e p G j b P 3 4 F a 5 M d e J 8 c T s m + / V w b B i M x 3 s 7 e z v 7 z 3 8 9 G B v / O k t F Z t 5 c / f B w 0 9 J s 9 3 b m F T z u N u + d / D p / q c H O 5 8 e j B 9 u 6 t H j c 3 1 z e H Y 8 v r 6 x r c f W N 7 b 1 u P r G t r 5 e u 7 l x h J 9 u S R d f r 5 l X t 2 / 7 b o Q B b q v X 3 h f N y M z f V q + 9 9 7 D e Z / 5 9 v X Z z 4 / f h A F + v 3 d y 4 z w E b G v f n f E P j / i R v G K B r u 2 9 U z s t X p y + e p q 9 P P y e 1 9 v L V l 0 / T l 6 e 3 U W x 7 t 1 J s t h d P s e 3 d T r H 5 H Q w r N t P B 7 s 7 9 + / c f j D + 9 X c r f v n Z / / z 6 t X d 7 / 9 H Y 6 z b 6 1 u 7 N / M D a j i L 7 l 8 b e + N T w r H j / f 2 N Z j 5 x v b e t x 8 Y 1 t f n 9 3 c O M J H t 6 C J r 8 v M a 9 u 3 e S 8 y 3 7 f V Y + + D X m S m b 6 v D 3 m s 4 7 z P f v v 6 6 u f H 7 z L i v v 2 5 u 3 J / x D Y 3 7 8 7 y h c X 9 y N w z Q t b 1 v N M v x q z f p 0 9 O X X 7 5 6 c / a T X 7 6 + h W K 5 d y v N Z e F 7 m u v e 7 T S X 3 8 G w 5 j I d 7 N 7 f u f f p 3 s 7 4 Y J M S 8 j j a v L e J N T 1 O f q 9 u P I 7 W 9 4 b n w u P i G 9 t 6 T H x j W 4 + H b 2 z r a 6 2 b G 0 e 4 5 1 Z U 8 f W W e X H 7 d m 9 G 5 v u 2 m u v 9 U I z M + G 1 1 1 3 s O 6 X 3 m 3 d d e N z d + n 5 n 3 t d f N j f s z v 6 F x f 7 Y 3 N O 5 P 8 I Y B u r a f G u 3 C H t e b 0 9 / 7 z R m t T 9 5 C t + z f S n l Z 8 J 7 y 2 r + d 8 v I 7 G F Z e p o P d B / d 3 K b F / S 6 / L v L W z e Q X J 4 + V O P / u 3 0 1 3 6 1 v B M e D x 8 Y 1 u P h W 9 s 6 3 H w j W 1 9 3 X V z 4 w j v 3 I I m v u Y y r 2 3 f 5 r 3 I V N 9 W b 7 0 P e p G Z v q 3 W e q / h v M 9 8 + z r r 5 s b v M + O + z r q 5 c X / G N z T u z / O G x v 3 J 3 T B A 1 / a B U S p f Z G 1 e F 1 m Z N + l 1 + n q 9 K J Z F c 5 N m O b h Z a V n 4 7 p V b w h z W U w b m 3 t 6 n 9 + 5 9 e p / 4 5 O H t V J V 9 8 f 7 u / u 7 u w e Z M q 8 f G 9 j 1 S o w 9 p u X w M n h 1 8 0 e N n f X F 4 J j w e v r G t x 8 I 3 t v U 4 + M a 2 v s 6 6 u X G E d 2 5 H F l 9 t m T e 3 b / l q Z P J v q 7 n e E 8 n I r N 9 W e b 3 v o N 5 n 7 n 3 9 d X P j 9 5 l 9 X 3 / d 3 L g / + x s a 9 y d 8 Q + P u F N 9 S f x 1 Y / X X 8 h v N d L 7 9 6 8 v z s 5 P h G N U P / 3 c r r s h 0 Y r 8 u + + V 4 d D G s z 0 8 H + g 4 d 7 D x 8 e j D f p J I + v z W v v q 8 v s e 3 s P D m j J a b y z y c 3 z u F v f G 5 4 U j 5 1 v b O t x 8 4 1 t P W a + s a 2 v y m 5 u H G G j W 1 H F 1 2 T m x e 3 b v R m Z 9 9 s q s v d D M T L j t 9 V j 7 z m k 9 5 l 3 X 4 3 d 3 P h 9 Z t 5 X Y z c 3 7 s / 8 h s b 9 2 d 7 Q u D / B G w b o 2 j 4 0 W k Y S 9 x R A W m 1 2 C 0 V z u + S X 7 c P T Z L d J f n U 6 G N Z k p o P d B w f 7 O 5 9 S 4 n 7 n l n 6 Z e X E T h 3 o M / X 7 9 e J y t L w 7 P i M f L N 7 b 1 W P n G t h 4 n 3 9 j W 1 2 E 3 N 4 7 w 0 O 3 I 4 i s x 8 + b 2 L V + N z P l t t d h 7 I h m Z 9 d u q s f c d 1 P v M v a / H b m 7 8 P r P v 6 7 G b G / d n f 0 P j / o R v a N y f 4 g 0 D t G 3 v 7 R g d 8 + 2 8 r r N F k S / b r B m l r / L z b H q T n n l 4 o w p z 4 N 0 r t 4 Q 5 q L U s z E 8 P 9 v d 3 P 3 0 w v n 9 w K 6 V l 3 9 u 9 f / D w / v 3 9 M R Y 6 B t 9 z f G z f o 9 z i / q e 7 9 2 6 b / z L v D U + D Y + C b 2 z r + v b m t Y 9 + b 2 3 r K 6 x a N I 4 x z K 6 p 4 u s u + u H 2 7 N y M T f 0 v V 9 Z 4 o R m b 8 l p r r f Y f 0 P v P u K a 5 b N H 6 f m f c U 1 y 0 a 9 2 d + Q + P + b G 9 o 3 J / g D Q N 0 b X e t 4 j p 9 9 e r 4 i 7 P T F 2 + O X 6 d f n L 7 4 8 k Y V s / d w 9 z b + l + v C + F / 2 z f f q Y F i T m Q 4 + 3 d 1 5 c P / T 8 a e b z J 3 H 1 + Y 1 c v f v P X w 4 v r / J 2 / e 4 2 r x 2 7 + D e P T K u k M n B 1 z z m 1 t e G J 8 V j 5 x v b e t x 8 Y 1 u P m W 9 s 6 6 u x m x t H 2 O g 2 R P G 1 m H l v + 1 Y v R u b 8 t k r s v R C M z P Z t d d j 7 D e h 9 5 t x X Y T c 3 f p 9 Z 9 1 X Y z Y 3 7 s 7 6 h c X + q N z T u T + + G A b q 2 e 0 a / v D p 9 l v 4 + K e k S 1 l + v 0 t O n Z 8 9 u o W R u l Q 9 z v X h a 7 D b 5 s E 4 H w 1 r M d P B w / + H B / d 3 x p 5 s Y x 2 N s 8 9 q 9 n U 8 / 3 d s b H 9 x O i Z m 3 P t 2 / t 7 d 3 M D 6 4 p R L T 1 4 a n x W P o G 9 t 6 / H x j W 4 + d b 2 z r K 7 G b G 0 c Y 6 T Z E 8 Z W Y e W / 7 V i 9 G p v y 2 S u y 9 E I z M 9 m 2 V 2 P s N 6 H 3 m 3 F d i N z d + n 1 n 3 l d j N j f u z v q F x f 6 o 3 N O 5 P 7 4 Y B u r b 3 h p T Y F 1 8 + u Y W K u V U m z H X i 6 b D b Z M I 6 H Q z r M N P B 7 q f 3 7 h + M 9 z c p I 4 + t z V u b 2 N P j 5 v f o x O N p f W t 4 M j w 2 v r G t x 8 U 3 t v W Y + M a 2 v u q 6 u X G E f W 5 B E 1 9 z m d e 2 b / N e Z J 5 v q 7 j e B 7 3 I T N 9 W b 7 3 X c N 5 n v n 2 1 d X P j 9 5 l x X 2 3 d 3 L g / 4 x s a 9 + d 5 Q + P + 5 G 4 Y o G u 7 P 6 S 2 T r 7 8 4 h Z a Z f 9 W a s t 2 4 q m t / d u p L b + D Y b V l O t h 9 u P N w Z 3 d v v P / w d o r L v L f 3 g L K F B + M H m 1 7 z 2 N p 2 9 + m 9 e w 8 o z X G 7 l U j z 2 v C 8 e B x 9 Y 1 u P o W 9 s 6 / H z j W 1 9 D X Z z 4 w g n 3 Y Y o v g o z 7 2 3 f 6 s X I p N 9 W h 7 0 X g p H Z v q U S e 8 8 B v c + c + 1 r s 5 s b v M + u + F r u 5 c X / W b 6 f F b m 7 c n 9 5 b a b H 7 Q 1 r s 9 C f O b q F k 7 t 9 K i 9 l O P C 1 2 / 3 Z a z O 9 g W I u Z D h 7 s 3 L + d + j I v 3 N L v u h 1 8 T 2 H p C 7 d S W D e 2 9 X j 3 x r Y e 6 9 7 Y 1 l d Y N z e O M M 1 m c v i q y r y x f c M r k T m 9 r Z K 6 J V K R W b 2 t e r r t I N 5 n b n 3 F d H P j 9 5 l d X z H d 3 L g / u x s a 9 y d 2 Q + P + l G 4 Y o G v 7 6 Z B i e v P q + M U t F M e n t 9 J M t h d P M 3 1 6 O 8 3 k d z C s m U w H 9 M b e p w 8 e b k 6 K e t x s 3 r u / f 2 / / w c 7 4 3 q b X P J a 2 3 d 1 7 Q L m 3 g 4 0 5 M Y + z 9 b X h i f F Y + s a 2 H k f f 2 N Z j 6 B v b + u r q 5 s Y R V r o N U X y l Z d 7 b v t W L k U m / r e p 6 L w Q j s 3 1 b B f Z + A 3 q f O f f V 2 M 2 N 3 2 f W f T V 2 c + P + r G 9 o 3 J / q D Y 3 7 0 7 t h g K 7 t g 6 g a I y W W n h y / v J 2 W 2 b t Z j d l e Q j W m S u P W H Q y r M d P B w 4 O d B / u 3 0 2 D m l V u 6 W L f t w W N n f W V 4 H j w O v r G t x 8 A 3 t v X 4 9 8 a 2 v t a 6 u X G E c 2 4 i i K + x z D v b N 7 4 U m d v b a q t b I x a Z 3 d t q q t s P 5 H 3 m 2 N d S N z d + n 1 n 2 t d T N j f u z v K F x f 3 o 3 N O 5 P 6 4 Y B u r Y H U S 2 F F P z x T 9 x C h x z c y t e y n X h K 6 u B 2 v p b f w b C S M h 3 c 2 z n Y 3 6 H k w b 3 b K S r z 2 t 6 9 T x 9 8 u j d + 8 O n t F J Z 5 7 c H u p / s 7 4 4 e b U h U e Y + t b w 7 P i 8 f O N b T 1 2 v r G t x 8 0 3 t v V 1 1 s 2 N I 3 x 0 C 5 r 4 a s u 8 t n 2 b 9 y I T f l v N 9 T 7 o R W b 6 t s r r v Y b z P v P t 6 6 + b G 7 / P j P v 6 6 + b G / R n f 0 L g / z x s a 9 y d 3 w w B d 2 4 d R / Z V + + e Y W u u X h r Z S X 7 c F T X g 9 v p 7 z 8 D o a V l + l g 7 + D e 3 q f j / U 0 J B o + j z V u b W N P j 5 P f o x O N n f W t 4 J j w e v r G t x 8 I 3 t v U 4 + M a 2 v s 6 6 u X G E d 2 5 B E 1 9 n m d e 2 b / N e Z J 5 v q 7 P e B 7 3 I T N 9 W Z 7 3 X c N 5 n v n 2 d d X P j 9 5 l x X 2 f d 3 L g / 4 x s a 9 + d 5 Q + P + 5 G 4 Y o G 2 7 v 2 M 0 y u u 8 v i y m R d W k n + f L v M 7 K v L l B q 9 y 7 U V 8 5 6 P a N 2 0 E c V F A W 4 u 7 B D u U O 7 u 0 e 7 I 5 v 5 2 D Z N + / d u / / p w a c P 7 9 0 f f 3 q 7 d J b r c / / B v f u 7 n + 7 t 0 6 s H t 1 J a 5 t X h q X B M f H N b x 8 M 3 t 3 U s f H N b T 2 n d o n G E e W 5 L G E 9 z 2 X e 3 b / 1 y h A t u q b 7 e H 9 H I 7 N 9 S h 3 2 N g b 0 P D 3 i K 7 B a N 3 4 c L P E V 2 i 8 Z 9 L t j Q u D / t G x r 3 p 3 n D A F 3 b 3 b 4 i e / K P / s V N M a 1 u 1 G O 7 N y s y C 9 2 9 c k u Y w 6 r M w L x 3 Q F n 5 B w d 7 D 8 a Y 3 E E 2 8 d j Z v L m 7 Q 4 m z + 5 T R H + 8 r Q t E 3 P W Y 2 b + 4 9 e P j p 3 t 7 9 + w / H D 2 4 X M p o 3 h + f C 4 + I b 2 3 p M f G N b j 4 d v b O t r s p s b R 7 h n 7 8 H D 2 9 D F V 2 T m 1 e 1 b 0 t T X Y + b d 2 + q x 9 0 U z M v O 3 V W P v P a z 3 m X 9 f i 9 3 c + H 0 4 w N d i N z f u c 8 C G x v 0 5 3 9 C 4 P 8 k b B u j a 7 h k 9 c / r i 9 N X n Z 8 f p 6 f P T k z e v z k 6 O b 1 Q 4 9 3 Z 3 b x N D u i 4 0 h n R v v l c H w 3 r N d P D g 4 f 1 7 + / d 2 9 8 Y P N y k n j 7 v N i 2 Q 4 9 x 4 + e P D p e O e W W s 2 8 + O n + w c 4 + r Y y M H 9 5 O p + l 7 w z P j 8 f S N b T 2 W v r G t x 9 E 3 t v V 1 2 s 2 N I 7 x 0 K 6 r 4 G s 2 8 u H 2 7 N y N T f 1 t 9 9 n 4 o R m b 8 t t r s P Y f 0 P v P u 6 7 K b G 7 / P z P u 6 7 O b G / Z n f 0 L g / 2 x s a 9 y d 4 w w B d 2 3 t W 0 R y / v o V y 2 b u V 9 n J A n f b a u 5 3 2 8 j s Y 1 l 6 m g 9 3 7 + / s 7 n + 7 s j H f 2 b q e 9 z I v 3 P q V 8 6 8 P d W 0 e X t s P d g 7 3 9 X V o O 3 7 + d 8 t L 3 h q f C Y + I b 2 3 o 8 f G N b j 4 V v b O s r r 5 s b R 5 j n V l T x l Z d 5 c f t 2 b 0 Z m / r b K 6 / 1 Q j M z 4 b Z X X e w 7 p f e b d V 1 4 3 N 3 6 f m f e V 1 8 2 N + z O / o X F / t j c 0 7 k / w h g G 6 t v t G z x x / / t V x + v L L N 8 d P n p / e Q s n c u 5 U W s 9 A 9 L X b v d l r M 7 2 B Y i 5 k O H t z b 2 d n Z v 7 f Z k / J 4 2 r y 3 e + 8 + L R v d X o m Z 9 + 4 / 3 N 8 7 Q E 7 u l h 6 Y v j c 8 J R 4 z 3 9 j W 4 + U b 2 3 q s f G N b X 4 n d 3 D j C R L e i i q / E z I v b t 3 s z M v G 3 V W L v h 2 J k x m + r x N 5 z S O 8 z 7 7 4 S u 7 n x + 8 y 8 r 8 R u b t y f + Q 2 N + 7 O 9 o X F / g j c M 0 L W 9 b 9 T M G w o j n 3 3 5 g u L J N 6 + O n 5 6 d n H 3 5 4 v g W u m b / V s r M 9 u I p s / 3 b K T O / g 2 F l Z j r Y u 3 / w 6 b 2 9 g / v j / U 9 v p 8 3 M i 0 j 5 P 7 x 3 M D Y L E N H 3 P N 6 2 H e 7 d 3 / n 0 3 v 6 D 8 b 1 N L 3 p M r i 8 O T 4 7 H 1 j e 2 9 b j 6 x r Y e U 9 / Y 1 l d n N z e O s N P t y O L r M / P m 9 i 1 f j U z + b R X a e y I Z m f X b a r T 3 H d T 7 z L 2 v 0 m 5 u / D 6 z 7 6 u 0 m x v 3 Z 3 9 D 4 / 6 E b 2 j c n + I N A 3 R t P + 2 r t J P T 5 1 8 9 P 3 5 1 C 3 V z / 1 b 6 z H b h 6 b P 7 t 9 N n f g f D + s x 0 s H / / 0 / 3 9 g / H B J q 7 x O N u 8 9 u n u 7 v 7 u + P 7 9 2 + k y 8 9 Y 9 y s b t P B j v b V p i 8 J h b X x u e E 4 + b b 2 z r M f O N b T 1 e v r G t r 8 l u b h z h o t s Q x d d j 5 r 3 t W 7 0 Y m f L b a r H 3 Q j A y 2 7 f V Y e 8 3 o P e Z c 1 + D 3 d z 4 f W b d 1 2 A 3 N + 7 P + o b G / a n e 0 L g / v R s G 6 N o + M O r l 9 e m r n 4 Q r l j 4 9 T a H N T r 7 8 4 q t b 6 J h P b 6 X E b C + e E v v 0 d k r M 7 2 B Y i Z k O P q U 1 7 o c H n x 6 M 9 z b 5 8 x 5 r m x d J i R 0 c 0 M r S + N 7 + 7 T S Z e X H / 4 T 1 K 5 t G q + s N N K t B j c n 1 x e H Y 8 v r 6 x r c f W N 7 b 1 u P r G t r 4 u u 7 l x h J 9 u R x Z f m 5 k 3 t 2 / 5 a m T 2 b 6 v P 3 h P J y K z f V q O 9 7 6 D e Z + 5 9 n X Z z 4 / e Z f V + n 3 d y 4 P / s b G v c n f E P j / h R v G K B r e x D T a a R f T l 9 / m d 4 m 0 H x w K 5 1 m e / F 0 2 o P b 6 T S / g 2 G d x h 2 A S 3 d 3 H z z c v / 9 g f L D J H H r s b V 6 8 v 3 d v 5 4 A C z f u b 3 v O Y 2 7 x 3 7 / 7 D / Y N P d x + O b x l n 6 n v D c + N x 9 Y 1 t P a a + s a 3 H 0 z e 2 9 T X a z Y 0 j 3 H Q r q v g K z b y 4 f b s 3 I z N / W 3 3 2 f i h G Z v y 2 6 u w 9 h / Q + 8 + 5 r s 5 s b v 8 / M + 9 r s 5 s b 9 m d / Q u D / b G x r 3 J 3 j D A F 3 b h z 1 t 9 v L L 1 2 + O n 9 9 C z x z c S p H Z D j x F d n A 7 R e Z 3 M K z I T A c P 9 3 f 2 9 h + O H 9 5 y C d O 8 t n c f a m x 8 / 5 b p M v P a p w e 0 Z v D p r X P / + t r w l H j M f G N b j 5 d v b O u x 8 o 1 t f S V 2 c + M I E 9 2 G K L 4 O M + 9 t 3 + r F y J z f V o W 9 F 4 K R 2 b 6 t B n u / A b 3 P n P s K 7 O b G 7 z P r v g K 7 u X F / 1 j c 0 7 k / 1 h s b 9 6 d 0 w Q N v 2 / k 5 X g b 1 O z 1 6 8 O f 3 8 1 f H z 0 9 e 3 U D I P b 6 P F X C + e F n t 4 O y 3 m d z C o x W w H u z T 6 h 5 T C 3 x k f f H o r R W b f / P T T g 9 3 d v d 3 9 8 c 7 t V J l 9 k R a o D v b u 7 X + 6 O T n n u N y 8 O D w 9 j r F v b u v 4 + u a 2 j q 1 v b u s p s 1 s 0 j j D U 7 c j i q T P 7 5 v Y t X 4 1 M / y 0 V 2 v s i G Z n 1 W 6 q 0 9 x 7 U + 8 y 9 p 9 R u 0 f h 9 Z t 9 T a r d o 3 J / 9 D Y 3 7 E 7 6 h c X + K N w z Q t d 2 1 S i 2 v L 4 t p U T X p L E + P 6 z p f z r K b d M 7 e z e r M w n e v 3 B L m s A Y z M H f v k S f 2 6 c G n l I z Y Z P 0 8 Z r Z v H u w d 7 N + j F + H B D r 7 o 8 b J 9 c Y 8 0 H y 1 M 7 Y z x 0 e C b H l f r m 8 O T 4 b H x j W 0 9 L r 6 x r c f E N 7 b 1 V d j N j S P s c 0 u 6 + D r M v L p 9 2 3 c j H H B b J f a + a E Z m / r Z a 7 L 2 H 9 T 7 z 7 6 u x m x u / D w f 4 a u z m x n 0 O 2 N C 4 P + c b G v c n e c M A X d s 9 o 2 a O X 7 0 6 f f H 0 + I u z 0 x d v k C 9 7 c 3 r j E u b e v b 3 d W 7 l m t h P j m t k 3 3 6 u D Y c V m O i C H f m d / b 7 z z 8 H Z a z b x 2 / 8 H 9 v U / H t 1 v B d H 3 t H N z f v T + + v 6 k v j 7 3 1 t e F J 8 d j 5 x r Y e N 9 / Y 1 m P m G 9 v 6 6 u z m x h E 2 u g 1 R f F 1 m 3 t u + 1 Y u R G b + t I n s v B C O z f V s t 9 n 4 D e p 8 5 9 1 X Y z Y 3 f Z 9 Z 9 F X Z z 4 / 6 s b 2 j c n + o N j f v T u 2 G A r u 2 9 I R W W n j 4 9 u 4 W K 2 b u V D r O 9 e D p s 7 3 Y 6 z O 9 g W I e Z D n Z 3 K C D d o 5 B 0 / G C T j + X x t n 1 z / / 6 n + w 8 / 3 R 8 f b G I 6 j 7 n N i 1 j 4 f P D w 3 q e b X / S 4 X F 8 c n h 6 P s W 9 s 6 / H 1 j W 0 9 t r 6 x r a / M b m 4 c Y a j b k c V X Z + b N 7 V u + G p n + 2 y q 0 9 0 Q y M u u 3 V W n v O 6 j 3 m X t f q d 3 c + H 1 m 3 1 d q N z f u z / 6 G x v 0 J 3 9 C 4 P 8 U b B u j a 7 g 8 q t S + + O r 2 F z r l 3 K 6 V m e / G U 2 r 3 b K T W / g 2 G l Z j r 4 9 P 6 9 B z v 3 d s a f 7 t 1 O p Z n 3 H t 4 n O 7 q z e c 3 c Y 2 3 z 2 v 3 7 B / c f 0 k r D p w 9 u p 8 / 0 v e G Z 8 X j 6 x r Y e S 9 / Y 1 u P o G 9 v 6 + u z m x h F e u h V V f H V m X t y + 3 Z u R e b + t N n s / F C M z f l t l 9 p 5 D e p 9 5 9 3 X Z z Y 1 v O / N d X X Y j Z F + X 3 d y 4 P 9 u 3 0 2 U 3 N v a w u B / o s v T 0 5 Z f p 7 5 M + I Y V G y w D P b q V q 9 m 6 h y 2 w v g S 7 b u 5 0 u c x 0 M 6 z L T A b 2 y s 7 N 7 M P 5 0 / 3 a 6 z L y 3 t 3 + w + + C G 1 z z O t t 3 t P N g 9 2 N / E 3 x 5 7 6 0 u 3 U m Q 3 t v X 4 + c a 2 H j v f 2 N Z X Z D c 3 j j D S z S T x t Z h 5 a / s W r 0 W m + 7 Y q 7 D 2 Q i 8 z y b f X X + w z m f e b a V 1 4 3 N 3 6 f 2 f a V 1 8 2 N + 7 O 9 o X F / k j c 0 7 k / t h g G 6 t p 8 G y i u I L n / i q 1 v o l v u 3 c s R s L 5 7 y u n 8 7 R 8 z v Y F h 5 m Q 5 2 H 1 A 4 u r / 3 Y H x P Y U f H 7 7 G 1 e X H / 0 / t 7 t H B 5 S + X l u t t 9 c O / h z r 3 x 3 i 0 9 M X 1 x e G o 8 p r 6 x r c f T N 7 b 1 W P r G t r 4 C u 7 l x h J l u R x Z f i Z k 3 t 2 / 5 a m T q b 6 v I 3 h P J y K z f V p m 9 7 6 D e Z + 5 9 h X Z z 4 / e Z f V + h 3 d y 4 P / s b G v c n f E P j / h R v G K B r + 8 B T a C l l + V + l x 6 e v 0 p e v v v w 8 f X k 7 h Q Y 0 b 1 J o t p d A o e H N 9 + p g W K G Z D u i 3 n U 3 8 5 j G 2 e W V T c 4 + b b 9 u D x 9 D 6 y v A 8 e B x 8 Y 1 u P g W 9 s 6 / H v j W 1 9 7 X V z 4 w j n 3 E Q Q X 2 + Z d 7 Z v f C k y t 7 f V W L d G L D K 7 t 9 V V t x / I + 8 y x r 6 V u b v w + s + x r q Z s b 9 2 d 5 Q + P + 9 G 5 o 3 J / W D Q N 0 b Q 8 8 L U V u V / r F 8 U + k X 7 5 5 R U 7 X L T T I p 7 f y u W w X n o r 6 9 H Y + l 9 / B s I o y H e x / e u / T + + O d W 6 a + z F u 7 9 + 4 9 P L i d p j K v 3 N t 7 + O m D z R 1 5 H K 1 v D U + H x 8 g 3 t v X 4 + M a 2 H h v f 2 N Z X V j c 3 j j D Q L W j i 6 y v z 2 v Z t 3 o v M 9 W 1 V 1 v u g F 5 n p 2 2 q t 9 x r O + 8 y 3 r 7 h u b v w + M + 4 r r p s b 9 2 d 8 Q + P + P G 9 o 3 J / c D Q N 0 b R 8 a r f L y + A 1 F i q e v 0 1 e n n x 8 / P z t + n f 4 + t 9 A s D 2 6 l u m w n n u p 6 c D v V 5 X c w r L p M B / c + p V h x 7 + H Y p N G i o / f Y 2 r y 3 u / / p p z v 7 9 8 b 3 b 6 f A z G t 7 u w 8 + / f T g / v j B p u 4 8 9 t b 3 h i f G Y + k b 2 3 o c f W N b j 6 F v b O u r s J s b R 1 j p V l T x l Z h 5 c f t 2 b 0 b m / b Z q 7 P 1 Q j M z 4 b R X Z e w 7 p f e b d V 2 U 3 N 3 6 f m f d V 2 c 2 N + z O / o X F / t j c 0 7 k / w h g H a t p / u G C 1 D j t e X r 9 M g A f b 6 F q r m 4 W 1 0 m e v F 0 2 U P b 6 f L / A 4 G d Z n t g D J f 9 z + 9 v z u + d z t H z L 5 H K 9 6 f 7 h + M H 3 5 6 K 1 1 m X / t 0 7 + D h z s 7 e + N 6 m 9 x y H m / e G Z 8 b x 9 M 1 t H U v f 3 N Z x 9 M 1 t P V 1 2 i 8 Y R X r o V V T x d Z l / c v t 2 b k X m / p S 5 7 T x Q j M 3 5 L X f a + Q 3 q f e f d 0 2 S 0 a v 8 / M e 7 r s F o 3 7 M 7 + h c X + 2 N z T u T / C G A b q 2 u 0 b L v M 7 r y 2 J a V E 3 6 s q 7 O R + l J k S 9 v U j X 3 b t Z i F r 5 7 5 Z Y w h x W X g f n p g 0 / 3 d 3 f 3 d z 8 d P 1 S w 0 d F 6 r G z e 3 E W 6 / / 7 D B 7 v j g 0 1 v e r x s 3 i R L s X t w f 3 / / / n i T n f W Y W l 8 c n g y P j W 9 s 6 3 H x j W 0 9 J r 6 x r a + + b m 4 c Y Z / b k c X X X + b N 7 V u + 2 p 3 / 9 1 B g 7 4 l k Z N Z v q 8 H e d 1 D v M / e + C r u 5 8 f v M v q / C b m 7 c n / 0 N j f s T v q F x f 4 o 3 D N C 1 3 b M q 7 P T V T 5 6 d n J F L 9 h y h J Y W Y T 2 / U N v f u 7 d 7 K G 7 O d G G / M v v l e H Q w r N d P B 3 v 7 B p / s P H 3 y 6 M 3 7 w 4 H Z K z b x 5 c P / + v Q P 6 Z 7 x 3 u + j S v r j 7 6 b 3 d 3 Z 2 H O / f H 9 2 + X I j N v D k + P x 9 g 3 t v X 4 + s a 2 H l v f 2 N Z X a j c 3 j j D U L e n i a z X z 6 v Z t 3 4 1 w w G 3 V 2 v u i G Z n 5 2 + q 1 9 x 7 W + 8 y / r 9 h u b v w + H O A r t p s b 9 z l g Q + P + n G 9 o 3 J / k D Q N 0 b e / 1 F d v T 0 / T p 2 e v T F 1 / e Q u / s 3 U q x 2 U 4 8 x b Z 3 O 8 X m d z C s 2 E w H 9 y g / 8 Y D i x Y P 9 2 6 k 1 8 9 7 u 3 v 7 m h S W P r 2 1 f l J 7 b u a k v j 7 / 1 v e F Z 8 f j 5 x r Y e O 9 / Y 1 u P m G 9 v 6 + u z m x h E + u h V V f G 1 m X t y + 3 Z u R S b + t L n s / F C M z f l t N 9 p 5 D e p 9 5 9 / X Y z Y 3 f Z + Z 9 P X Z z 4 / 7 M b 2 j c n + 0 N j f s T v G G A r u 1 + V I + d v X j 2 5 a s v j m + h Z + 7 d S p H Z X j x F d u 9 2 i s z v Y F i R m Q 5 2 d 3 c p 7 / X g 4 X j n 3 u 0 0 m X n x 3 t 7 u w f 4 m s + n x t e 1 s 5 2 D / 3 s 6 9 B 5 s 7 8 x h c X x y e G I + l b 2 z r c f S N b T 2 G v r G t r 8 p u b h x h p d u R x d d l 5 s 3 t W 7 4 a m f j b K r P 3 R D I y 6 7 f V Z u 8 7 q P e Z e 1 + d 3 d z 4 f W b f V 2 c 3 N + 7 P / o b G / Q n f 0 L g / x R s G 6 N r e j 6 q z k y 9 f v P 7 q + Z t b a Z u 9 W 6 g z 2 0 u g z s x 6 4 6 0 7 G F Z n p o N 7 u 5 / u U L r i 0 / G n D 2 + n z s y L n 5 I e 3 H t w c D t 9 Z l 7 a u 7 9 / 8 P D e 7 s H m 3 j w W 1 x e H Z 8 b j 6 R v b e i x 9 Y 1 u P o 2 9 s 6 + u z m x t H e O l 2 Z P H 1 m X l z + 5 a v R m b + t v r s P Z G M z P p t 9 d n 7 D u p 9 5 t 7 X Z z c 3 f p / Z 9 / X Z z Y 3 7 s 7 + h c X / C N z T u T / G G A b q 2 n / r 6 z N d l 6 c n x y 9 u p m 7 2 b 9 Z n t J d R n 6 g 7 d u o N h f W Y 6 O D g g B + 3 e + O E m x e Q x t 3 l t Z 7 x z S 9 e s 2 9 G n t 1 N k + t r w l H j M f G N b j 5 d v b O u x 8 o 1 t f U V 2 c + M I E 9 2 G K L 4 a M + 9 t 3 + r F y H T f V o m 9 F 4 K R 2 b 6 t C n u / A b 3 P n P s K 7 O b G 7 z P r v g K 7 u X F / 1 j c 0 7 k / 1 h s b 9 6 d 0 w Q N f 2 g a / A x C E 7 f f 3 m m B J l b 8 5 O b q V f 7 t 3 C I b O 9 B A o M b 7 5 X B 8 M K z H R w / 2 B n Z 2 P C y + N q 8 8 4 t 8 2 O 3 7 s J j a H 1 n e C Y 8 H r 6 x r c f C N 7 b 1 O P j G t r 7 e u r l x h H d u p I i v t M x L 2 z e / F Z n f 2 2 q s 2 6 M W m e H b q q v 3 G M r 7 z L O v q 2 5 u / D 4 z 7 e u q m x v 3 Z 3 p D 4 / 4 M b 2 j c n 9 g N A 3 R t D / q 6 C g 7 X 8 c v j k 7 M 3 t 1 A l + 7 f K h d l e P F 0 l b 7 5 X B 8 O 6 y n R A O f 3 7 O w f 3 9 s Z 7 t 3 S 3 z I u 7 B w d 7 D 3 b u f T o G x w + + 6 D G 2 e f H + g 4 O 9 e w 8 e f r r 5 R Y / D 9 c X h 2 f H 4 + s a 2 H l v f 2 N b j 6 h v b + v r r 5 s Y R f r o d W X w l Z t 7 c v u W r k d m / r S Z 7 T y Q j s 3 5 b d f a + g 3 q f u f d 1 2 s 2 N 3 2 f 2 f Z 1 2 c + P + 7 G 9 o 3 J / w D Y 3 7 U 7 x h g K 7 t w 6 h O O 3 v x k + S F n d 1 C 5 d y / l U 6 z v X g 6 7 f 7 t d J r f w b B O M x 3 c 3 7 n B E n q c f e t 3 P J 4 2 7 2 x q 7 r G 0 N h + e C Y + H b 2 z r s f C N b T 0 O v r G t r 7 9 u b h z h n Y 0 C H u G C j e 0 j k 3 p b V X W r 9 u 8 5 m b 6 C u l X 7 9 5 l R X y v d 3 P h 9 5 t T X S j c 3 7 s / p h s b 9 C d 3 Q u D + b G w Z o 2 z 7 Y M f r i 7 I u X r 9 L f J 3 3 5 1 Z P 0 y 2 e k n o 6 f n 7 6 + h d L 4 9 D Z R o e v F 0 0 q f 3 i 4 q 9 D s Y 1 E q 2 g 3 u f P t z b e f B g v K + g o 8 N 3 j G z f e 7 B / / / 7 u p + P 7 + 7 d S T v a 1 v Y f 7 n 9 7 / d G d 8 8 O B W W s q 8 N z w z j q d v b u t Y + u a 2 j q N v b u t p q V s 0 j v D S r a j i q S v 7 4 v b t 3 o z M + y 0 V 1 3 u i G J n x W 2 q w 9 x 3 S + 8 y 7 p 8 t u 0 f h 9 Z t 7 T Z b d o 3 J / 5 D Y 3 7 s 7 2 h c X + C N w z Q t d 3 1 d d n p a 9 F m z 8 9 O b p m h J 0 1 z c 4 b e d R K q s t t k 6 P 0 O h l W Z 6 W B / / + D T 2 y k x 8 8 Y m 3 v R Y + Z Y d e M y s b w x P g s e + N 7 b 1 u P f G t h 7 z 3 t j W V 1 s 3 N 4 6 w z Q 3 0 8 B W W e W X 7 p n c i 8 3 p b V X V b t C I z e 1 s l d e t h v M / 8 + u r p 5 s b v M 8 O + e r q 5 c X + G N z T u z + 2 G x v 1 J 3 T B A 1 3 b P a I 7 T p 2 c n b 7 6 8 n X c F R + Y m l W Q B B y r J u E C 3 7 m B Y J Z k O Z M C D b O I x 7 y 3 f 8 H j X v L G J d z 3 W 1 e b D h P d Y 9 s a 2 H s f e 2 N Z j 2 B v b + i r p 5 s Y R V t k o y B E O 2 N g + M q G 3 1 U W 3 a v + e k + k r o l u 1 f 5 8 Z 9 Z X Q z Y 3 f Z 0 5 9 J X R z 4 / 6 c b m j c n 9 A N j f u z u W G A r u 0 9 o y v I L z p 7 Q + n 0 L 1 + Q p 3 T y J a W h X t x K X 9 y / h U K y n Q Q K 6 b 5 q g l t 3 M K y Q T A f 3 P r 1 / / 2 D v Y P x w / 3 Z q y b y 3 v 3 P v t o k o 1 9 f e / b 0 b + / J 4 W t 8 b n h W P n 2 9 s 6 7 H z j W 0 9 b r 6 x r a + h b m 4 c 4 a N b U c V X V e b F 7 d u 9 G Z n 0 2 y q t 9 0 M x M u O 3 1 V 7 v O a T 3 m X d f j 9 3 c + H 1 m 3 t d j N z f u z / y G x v 3 Z 3 t C 4 P 8 E b B u j a 7 h s V o 7 H e 0 y 9 P O G + V I r t + K z 3 z 6 S 0 U m e 0 l U G S f 3 k 6 R u Q 6 G F Z n p Y O / + / b 3 7 9 x 6 O N z G O x 9 r m t V u q s P f p x e N r f W 1 4 P j x O v r G t x 8 g 3 t v X 4 + M a 2 v g a 7 u X G E g 2 5 D F F + B m f e 2 b / V i Z K 5 v q 7 / e C 8 H I b N 9 W f b 3 f g N 5 n z n 3 t d X P j 9 5 l 1 X 3 v d 3 L g / 6 x s a 9 6 d 6 Q + P + 9 G 4 Y o G t 7 3 + i V Y C 3 w 5 a s v 3 5 y e n N x C u T y 4 z V o g e u l p r w e 3 W w v 0 O x j W X q a D T x 9 + e s u l Q P v K L T X X b X v w 2 F l f G Z 4 H j 4 N v b O s x 8 I 1 t P f 6 9 s a 2 v t W 5 u H O G c m w j i a y z z z v a N L 0 X m 9 r b a 6 t a I R W b 3 t p r q 9 g N 5 n z n 2 t d T N j d 9 n l n 0 t d X P j / i x v a N y f 3 g 2 N + 9 O 6 Y Y C u 7 a d R L f W T Z 5 + f P T 9 + c Q s l c n A r L W V 7 8 b T U w e 2 0 l N / B s J Y y H e w 9 O L h H T t n 9 8 c N 7 t 9 N V 5 s V 7 9 / Y / 3 X 2 w N z 4 4 u J 3 S s h 1 S W n V / f / / e e O f + 7 V S X v j g 8 O R 5 b 3 9 j W 4 + o b 2 3 p M f W N b X 3 X d 3 D j C T r c j i 6 / A z J v b t 3 w 1 M v m 3 V W P v i W R k 1 m + r z N 5 3 U O 8 z 9 7 5 K u 7 n x + 8 y + r 9 J u b t y f / Q 2 N + x O + o X F / i j c M 0 L V 9 0 F d p 5 H U 9 O 3 1 N e b D j W 2 i c h 7 d S a b Y X T 6 U 9 v J 1 K 8 z s Y V m m m g 7 1 P 7 9 3 f 3 3 / w 6 a f j T z + 9 n U 4 z b + 4 i A X b b F J j r b m / v F t 1 5 T K 5 v D s + N x 9 U 3 t v W Y + s a 2 H k / f 2 N b X a D c 3 j n D T L e n i q z T z 6 v Z t 3 4 3 M / m 1 1 2 v u i G Z n 5 2 y q 1 9 x 7 W + 8 y / r 9 V u b v w + H O B r t Z s b 9 z l g Q + P + n G 9 o 3 J / k D Q N 0 b Q / 6 W u 3 s x Z v T z 1 8 d P z 9 9 f S u l s 3 c L r W Z 7 C b T a 3 u 2 0 m u t g W K u Z D n b 3 P r 1 B N 3 n M b V 6 6 p S q 7 f R 8 e V + t L w 3 P h c f G N b T 0 m v r G t x 8 M 3 t v W 1 2 M 2 N I 9 x z M 0 l 8 B W b e 2 r 7 F a 5 E 5 v q 3 u e g / k I r N 8 W 7 X 1 P o N 5 n 7 n 2 N d b N j d 9 n t n 2 N d X P j / m x v a N y f 5 A 2 N + 1 O 7 Y Y C u 7 U O r s f L 6 s p g W V Z M + K 5 a j 9 E m 2 n G Y 3 K Z T 9 m 3 W V h e 9 e u S X M Y f V k Y N 6 / t 3 t w s L e 7 N 7 7 3 6 e 1 U l H n x 4 b 1 7 u w 9 3 d 8 c P D 2 6 n q 8 x 7 + / c O 7 n 9 K / t r 4 3 q Y X P X b W F 4 d n w u P h G 9 t 6 L H x j W 4 + D b 2 z r 6 6 u b G 0 d 4 5 3 Z k 8 X W W e X P 7 l q 9 G J v + 2 e u s 9 k Y z M + m 1 1 1 / s O 6 n 3 m 3 t d f N z d + n 9 n 3 9 d f N j f u z v 6 F x f 8 I 3 N O 5 P 8 Y Y B 2 r Y H O 1 Z / k c e V P j t 7 c f z i J P 1 9 0 i f 0 4 / j V j b r m 3 v 7 u b e J I 1 4 v x u O y b 7 9 X B o E q z H V D C / + H e 3 o O H Y w M 7 O n 7 H 3 v b F + z v 3 d s i 5 G z / c 9 J 5 j b v v e 3 s G D T 3 f v P f h 0 v H c r j W b e G 5 4 b x 9 U 3 t 3 V M f X N b x 9 M 3 t / U 0 2 i 0 a R 7 j p V l T x F J p 9 c f t 2 b 0 Z m / p b 6 7 D 1 R j M z 4 L d X Z + w 7 p f e b d 0 2 a 3 a P w + M + 9 p s 1 s 0 7 s / 8 h s b 9 2 d 7 Q u D / B G w b o 2 u 5 a P X P 8 + s 2 X F D u e v j q l + D E 9 T l + d 3 r g c S c r m 3 m 3 i R 6 8 X p 8 3 u 3 S J + 7 H Q w r M 1 M B 5 8 e H O z u 7 H 8 6 f v j w d s r M v H f v / t 4 9 s g P j + 5 / e T p n Z 9 + 5 R u H 5 A 6 + a b 1 h U 8 F t f 3 h q f G Y + o b 2 3 o 8 f W N b j 6 V v b O s r s 5 s b R 5 j p V l T x l Z l 5 c f t 2 b 0 Y m / r b K 7 P 1 Q j M z 4 b Z X Z e w 7 p f e b d V 2 b D j S P K 7 M b G v j K 7 u X F / 5 m + n z G 5 u 3 J / g W y m z P a N m X p 9 + / t U r W b N 8 d f r 6 5 Z c v X h 8 / u Y W u 2 b + V a 2 Z 7 8 Z T Z / u 1 c M 7 + D Y W V m O t i 7 v 7 t z c G + M 6 H q Q c T z W N q / t 7 j / A k t L B p i U l j 7 H t a z v 3 P r 3 3 c P M K q c f f + t q t N N m N b T 2 G v r G t x 8 8 3 t v U 1 2 c 2 N I 5 x 0 G 6 L 4 i s y 8 t 3 2 r F y N z f l s 9 9 l 4 I R m b 7 t m r s / Q b 0 P n P u a 7 G b G 7 / P r P t a 7 O b G / V n f 0 L g / 1 R s a 9 6 d 3 w w B d 2 3 s R L f b k 7 P T F K S 1 Y H t 9 C y d y / l R a z v X h a 7 P 7 t t J j f w b A W M x 0 c P N i / v 3 e w N z 5 Q 0 N H h e 5 x t 3 t v b 2 z t 4 + G D z y r j H 2 L a 7 + 3 t 7 l A 0 Z Y 2 1 4 8 D 2 P w f W 9 4 Z n x e P r G t h 5 L 3 9 j W 4 + g b 2 / p 6 7 O b G E V 6 6 F V V 8 R W Z e 3 L 7 d m 5 F 5 v 6 0 m e z 8 U I z N + W 1 X 2 n k N 6 n 3 n 3 d d n N j d 9 n 5 n 1 d d n P j / s x v a N y f 7 Q 2 N + x O 8 Y Y C u 7 b 7 R M s f P v z g + O X 1 x / J 3 T 9 P T F T x 6 / P r 2 F n v n 0 V o r M d u E p s k 9 v p 8 j 8 D o Y V m e m A l r T 3 D 8 a 7 m / S R x 9 b 2 r U 8 / v X d v v L 9 3 O y 1 m 3 q I c 3 v 7 4 w S Z b 6 z G 2 v j Q 8 I R 4 r 3 9 j W 4 + Q b 2 3 q M f G N b X 4 X d 3 D j C Q j e T x N d f 5 q 3 t W 7 w W m e v b K q / 3 Q C 4 y y 7 f V X O 8 z m P e Z a 1 9 t 3 d z 4 f W b b V 1 s 3 N + 7 P 9 o b G / U n e 0 L g / t R s G 6 N r e N z r l 2 f P T N + R 3 / T 7 p F 8 c v z r 5 8 8 u r 4 9 S 3 U y o N b 6 S 3 b h 6 e 3 H t x O b / k d D O s t 0 8 H e w 0 8 / f X D v Y H x v k w 7 y e N q 8 d + / + D q 0 M j G / p f 9 n e P t 2 l o P 3 + + G B T b x 5 v 6 3 v D 0 + I x 9 I 1 t P X 6 + s a 3 H z j e 2 9 Z X X z Y 0 j j H Q r q v j 6 y 7 y 4 f b s 3 I 9 N + W x X 2 f i h G Z v y 2 W u w 9 h / Q + 8 + 4 r s p s b v 8 / M + 4 r s 5 s b 9 m d / Q u D / b G x r 3 J 3 j D A F 3 b T 4 2 S O f n y i 7 P X Z 1 9 y E P n l q / Q n K c l / m 1 j y 4 F a q z P b i q b K D 2 6 k y v 4 N h V W Y 6 u L + z v 0 v e 1 C 0 V m X n r 4 c H 9 / f G n D 2 + n x 8 x L + w / 3 9 x 4 c j O 9 v i l o 9 5 t b X h i f F Y + c b 2 3 r c f G N b j 5 l v b O u r s Z s b R 9 j o N k T x t Z h 5 b / t W L 0 Y m / L Z K 7 L 0 Q j M z 2 b X X Y + w 3 o f e b c V 2 E 3 N 3 6 f W f d V 2 M 2 N + 7 O + o X F / q j c 0 7 k / v h g G 6 t g + M c n m d 1 5 f p 7 O O z Z d O O 0 l f 5 a p R + 0 d 6 k Y e 7 f r L w s f P f K L W E O 6 y s D c / f B P e K T T 3 c e j s E L g 4 z i M b J 5 k 5 y 2 e z s H + 3 t j T P X g i x 4 n 2 y 4 p 9 7 + 7 + + B T W g P d t G 7 g 8 b S + O T w Z H h v f 2 N b j 4 h v b e k x 8 Y 1 t f d d 3 c O M I + t 6 S L r 7 3 M q 9 u 3 f T f C A b d V Y O + L Z m T m b 6 v D 3 n t Y 7 z P / v h q 7 u f H 7 c I C v x m 5 u 3 O e A D Y 3 7 c 7 6 h c X + S N w z Q t T 0 w a o Y i y T e n L 8 6 + o I z + m y 8 p s j y h 1 c k b V c 4 9 W g q 8 j S d m e z G e m H 3 z v T o Y 1 m y m A 4 o N D z 6 9 t 7 8 7 3 l P Y 0 f F 7 D G 5 e 3 N 3 5 d H f 3 3 t 7 u 5 v V w j 7 3 N i / s 7 9 x 7 Q y s P D z e u h H p / r i 8 O z 4 / H 1 j W 0 9 t r 6 x r c f V N 7 b 1 9 d r N j S P 8 N E i W Q b V m 3 t y + 5 a u R 2 b + t V n t P J C O z f l u l 9 r 6 D e p + 5 9 3 X a z Y 3 f Z / Z 9 n X Z z 4 / 7 s 3 0 6 n 3 d y 4 P 8 W 3 0 m k P P 1 C n 7 d 1 K p 9 l e P J 2 2 d z u d 5 n c w r N N M B w / 3 7 z 1 8 s D s + U A / w J o 1 m X t v b 2 7 2 3 + 2 D z + q b H 2 e a 1 B 3 t 7 n 1 J c u r N / O 2 2 m r 9 1 K m 9 3 Y 1 m P o G 9 t 6 / H x j W 1 + b 3 d w 4 w k m 3 I Y q v y 8 x 7 2 7 d 6 M T L n t 9 V k 7 4 V g Z L Z v q 8 f e b 0 D v M + e + F r u 5 8 f v M u q / F b m 7 c n / U N j f t T v a F x f 3 o 3 D N C 2 f b h j 9 M v Z i 9 d v j p 8 f n 3 C a 7 B b a 5 d 5 t 1 J c D 7 6 m v e 7 d T X 3 4 H g + r L d r C 7 s 7 + z t 0 M K b G O q y / G 0 f X F / b / f + z v 0 x 2 H 3 w N c f S 9 r W H D w 9 2 7 l P w c H + T v n S s b d 4 b n h P H z T e 3 d c x 8 c 1 v H y z e 3 9 T T Y L R p H u O h W V P F U m H 1 x + 3 Z v R i b + l j r s P V G M z P g t l d j 7 D u l 9 5 t 3 T Y r d o / D 4 z 7 2 m x W z T u z / y G x v 3 Z 3 t C 4 P 8 E b B u j a 7 h o 1 8 z V 9 s X s 7 e 1 b X D C s z 2 0 u g z E w M e O s O h p W Z 6 e D + v f 3 7 O 5 9 S q v + W u s y 8 d + / e w b 1 P 9 8 a f 3 l K X 2 e 5 2 d j 5 9 s L M z / v S W u k z f G 5 4 Z j 6 d v b O u x 9 I 1 t P Y 6 + s a 2 v y 2 5 u H O G l W 1 H F 1 2 X m x e 3 b v R m Z 9 9 v q s v d D M T L j t 9 V l 7 z m k 9 5 l 3 X 5 f d 3 P h 9 Z t 7 X Z T c 3 7 s / 8 h s b 9 2 d 7 Q u D / B G w b o 2 u 4 Z L e N 5 Z O m r 0 5 f H r 4 5 v o W j 2 b + W W 2 T 4 8 T b Z / O 7 f M 7 2 B Y k 5 k O H u z c L p 6 8 5 Q s e K 5 s X N r G y x 8 n a f H g G P N 6 9 s a 3 H u j e 2 9 T j 3 x r a + z r q 5 c Y R n N s p 1 Z P 4 3 t o 9 M 5 2 0 V 1 K 3 a v + d k + n r p V u 3 f Z 0 Z 9 b X R z 4 / e Z U 1 8 b 3 d y 4 P 6 c b G v c n d E P j / m x u G K B r e 8 9 o i q / p W d 2 / l T 6 y v X j 6 6 P 7 t 9 J H f w b A + M h 3 c 2 / 9 0 Z + f B w f 7 4 w f 7 t 9 J J 5 c f / B P T h l 4 5 2 9 2 6 k n 8 9 4 e r R T g 1 f G D T S 9 6 r K 0 v D k + O x 9 Y 3 t v W 4 + s a 2 H l P f 2 N Z X V D c 3 j r D T 7 c j i q y z z 5 v Y t X 4 1 M / m 2 1 1 3 s i G Z n 1 2 + q x 9 x 3 U + 8 y 9 r 9 J u b v w + s + + r t J s b 9 2 d / Q + P + h G 9 o 3 J / i D Q N 0 b f e t S n t j N V l 6 c v z y d s p m 7 2 Z t Z j s I t Z n O 7 K 0 7 G N Z m p o O H D x 7 e + / R g 8 2 K i x 9 f m N U p 4 3 b u 3 N 9 7 7 9 H a q z L x 2 s P d w 5 9 6 n Y z D h 4 G s e b + t r w 1 P i M f O N b T 1 e v r G t x 8 o 3 t v U V 2 c 2 N I 0 x 0 G 6 L 4 a s y 8 t 3 2 r F y N z f l s l 9 l 4 I R m b 7 t i r s / Q b 0 P n P u K 7 C b G 7 / P r P s K 7 O b G / V n f 0 L g / 1 R s a 9 6 d 3 w w B d 2 / t G v 0 h U y A H i 7 5 O q g 3 Y L J f P p r X w y 2 4 u n x T 6 9 n U / m d z C s x U w H 9 3 Z 3 P v 1 0 X + F G x + 6 x t X l p E 3 v e f 3 z 3 / f v w W F p f G p 4 L j 4 t v b O s x 8 Y 1 t P R 6 + s a 2 v u W 5 u H O G e m 0 n i 6 y 3 z 1 v Y t X o v M 8 W 2 1 1 n s g 5 + m s W / X S n + B b D e Z 9 5 t r X W D c 3 f p / Z 9 j X W z Y 3 7 s 7 2 h c X + S N z T u T + 2 G A b q 2 n x p d 8 j W j y A e 3 0 l i 2 F 0 9 j P b i d x v I 7 G N Z Y p o P d B 5 / e 2 9 u 7 T 0 s 7 + 7 f T W u b F P c q e H e w c j M G 8 g + 9 5 j G 0 7 v L 9 3 b 2 d / / 2 B 8 7 + H t V J i + O D w 5 H l v f 2 N b j 6 h v b e k x 9 Y 1 t f h d 3 c O M J O t y O L r 8 b M m 9 u 3 f D U y + b d V Z e + J Z G T W b 6 v O 3 n d Q 7 z P 3 v k q 7 u f H 7 z L 6 v 0 m 5 u 3 J / 9 D Y 3 7 E 7 6 h c X + K N w z Q t X 1 g l M 3 r 0 1 c / e U Y + 2 O v 0 6 W n 6 / O y L l 2 e n P 3 U L j X N w K 5 V m e / F U 2 s H t V J r f w b B K M x 3 s f 7 r 7 8 B 5 p p z E + G W Q d j 7 3 N i w / v f 7 q 3 / + m D z W u V H n O b 9 + 5 9 + u m 9 H e p y / O n B 7 V S a v j g 8 O R 5 b 3 9 j W 4 + o b 2 3 p M f W N b X 6 X d 3 D j C T r c j i 6 / S z J v b t 3 w 1 M v m 3 V W n v i W R k 1 m + r 0 t 5 3 U O 8 z 9 7 5 K u 7 n x + 8 y + r 9 J u b t y f / Q 2 N + x O + o X F / i j c M 0 L U 9 i K q 0 7 x y / e n r 2 4 v Q W G u f h r V S a 7 c V T a Q 9 v p 9 L 8 D o Z V m u n g 3 o P 7 e z s 7 9 8 b 7 m 5 w t j 7 v N e 7 u 7 B w / v P 9 j b / J 7 H 2 + a 9 P W j C e 5 u C C Y / B 9 a X h e f E 4 + s a 2 H k P f 2 N b j 5 x v b + t r s 5 s Y R T r q Z J L 4 m M 2 9 t 3 + K 1 y H z f V o u 9 B 3 K R W b 6 t B n u f w b z P X P v a 6 + b G 7 z P b v v a 6 u X F / t j c 0 7 k / y h s b 9 q d 0 w Q N f 2 o d V e e X 2 Z z j 4 + q R b r Z T H N p s U / + r c u b 1 I u n 9 6 s t y x 8 9 8 o t Y Q 6 r K g N z 9 + E B x Y X 3 d u + N 9 2 7 p f p k 3 9 w 4 e 3 D v 4 9 O D e + O C W C 5 O 2 y 0 8 f 7 u / v f r r 3 c L O e 8 z h a 3 x y e D I + N b 2 z r c f G N b T 0 m v r G t r 7 J u b h x h n 1 v S x d d b 5 t X t 2 7 4 b 4 Y D b K q / 3 R T M y 8 7 f V Y O 8 9 r P e Z f 1 + N 3 d z 4 f T j A V 2 M 3 N + 5 z w I b G / T n f 0 L g / y R s G a N p + u r O j V P / 4 6 d m z r 1 4 j t f / y y 1 f p q + O n Z 1 / e q H D u f b p 7 C x f M 6 8 O 4 Y P b N 9 + p g S K + 5 D n Z p V f u A 3 L D d 8 b 1 N 6 s n y t 3 t z 7 9 O D n Q e f 3 r 8 / / v R W e s 3 r k s j 9 g F b T 7 4 8 3 a V L L 5 v b F 4 c m x b H 2 L t p a r b 9 H W M v U t 2 j q 1 d p v G E X a 6 H V m c V n N v b t / y 1 c j 0 3 0 6 p v T e S k V m / n U 5 7 / 0 G 9 z 9 w 7 l X a b x u 8 z + 0 6 l 3 a Z x f / Y 3 N O 5 P + I b G / S n e M E D X d t e o m y C u P H l 1 e v z m 7 C d v o X P u 3 U q p 2 V 4 8 p X b v d k r N 7 2 B Y q Z k O K D b c + / Q B e V y 3 0 2 j m t d 1 P D + 7 v U u 7 / l v r M v L a / Q 3 E s s e m n t 9 N m + t r w v H g c f W N b j 6 F v b O v x 8 4 1 t f W 1 2 c + M I J 9 2 G K L 4 u M + 9 t 3 + r F y J z f V p O 9 F 4 K R 2 b 6 t H n u / A b 3 P n P t a 7 O b G 7 z P r v h a 7 u X F / 1 j c 0 7 k 3 1 L b X Y j Z A 9 L P a i W u z V 6 U + e P j 9 + e g s l s 3 8 r L W Z 7 8 b T Y / u 2 0 m N / B s B Y z H e w 9 f L h 3 b 2 y i 2 O j g P b 4 2 b 2 3 i T 4 + d 3 6 M T j 6 n 1 r e H Z 8 P j 4 x r Y e G 9 / Y 1 u P i G 9 v 6 u u v m x h H + u Q V N f N V l X t u + z X u R e b 6 t 5 n o f 9 C I z f V v F 9 V 7 D e Z / 5 9 v X W z Y 3 f Z 8 Z 9 v X V z 4 / 6 M b 2 j c n + c N j f u T u 2 G A r u 2 9 q N 6 C 9 3 V y q 5 D y 0 1 v p L d u L p 7 c + v Z 3 e 8 j s Y 1 l u m g 7 3 d n X s 7 t B 5 0 S + / L v P b p w f 7 + L Z W X 7 Y m 6 u f 9 w c 0 8 e Z + t r w 3 P i c f O N b T 1 m v r G t x 8 s 3 t v W 1 1 8 2 N I 1 x 0 G 6 L 4 6 s u 8 t 3 2 r F y P z f V v 9 9 V 4 I R m b 7 t g r s / Q b 0 P n P u a 7 C b G 7 / P r P s a 7 O b G / V n f 0 L g / 1 R s a 9 6 d 3 w w B d 2 3 2 j W 7 5 8 8 4 q 0 V 6 D H z m 6 h Y G 6 z L u n 1 4 m m w 2 6 x L d j o Y 1 m C m A 1 r J f E D p h z H S g o O c 4 3 G 2 e W / 3 w Y P 9 g 1 v q M N s X L Z p + + u C G v j z u 1 v e G p 8 V j 6 B v b e v x 8 Y 1 u P n W 9 s 6 y u x m x t H G O l W V P G 1 m H l x + 3 Z v R i b 9 t m r s / V C M z P h t 9 d h 7 D u l 9 5 t 1 X Z D c 3 f p + Z 9 x X Z z Y 3 7 M 7 + h c X + 2 N z T u T / C G A b q 2 9 4 2 K k S X K P H 1 T Z 0 2 Z z a r 0 O v 3 J m / T M g 5 t V m I X v X r k l z G G t Z W D e f 7 C z d 7 C 7 9 + l 4 7 9 P b q S 3 z 4 i 4 t g O w c U C Z / k 6 H 0 G N m 8 t 7 + / f + / B 3 o O d 8 f 6 m D j 2 O 1 h e H Z 8 L j 4 R v b e i x 8 Y 1 u P g 2 9 s 6 + u u m x t H e O d 2 Z P G V l 3 l z + 5 a v R i b / t t r r P Z G M z P p t 1 d f 7 D u p 9 5 t 7 X X z c 3 f p / Z 9 / X X z Y 3 7 s 7 + h c X / C N z T u T / G G A b q 2 n x r 9 8 v L 4 9 f F 3 T l + n x 6 e v T r 9 8 f a O W I X / n V i 6 Y h W 9 c M P v m e 3 U w r M x M B / v 3 9 j 7 d x a r k L V 0 w 8 x 7 l 7 x / u 7 t / A a x 5 X m / f u 7 Z G T e L A z f n j v d q p M 3 x u e F I + d b 2 z r c f O N b T 1 m v r G t r 8 p u b h x h o 1 t R x d d k 5 s X t 2 7 0 Z m f j b K r L 3 Q z E y 4 7 f V Y + 8 5 p P e Z d 1 + N 3 d z 4 f W b e V 2 M 3 N + 7 P / I b G / d n e 0 L g / w R s G 6 N o + 6 K q x N 6 e v X p 2 + f k P / v 4 W m 2 b u V K r N 9 e K p s 7 3 a q z O 9 g W J W Z D n Y p f U b B 5 A O F H B 2 7 x 9 j m t V v G k e / T i 8 f V + t r w b H h 8 f G N b j 4 1 v b O t x 8 Y 1 t f f 1 1 c + M I / 9 y G K L 7 6 M u 9 t 3 + r F y F z f V n u 9 F 4 K R 2 b 6 t 8 n q / A b 3 P n P u 6 6 + b G 7 z P r v u 6 6 u X F / 1 j c 0 7 k / 1 h s b 9 6 d 0 w Q N f 2 w O i V n z w 7 f n N 2 Q k m w 0 x f p 6 f P 0 5 f H Z b Z T X / V s p L 9 u J p 7 z u 3 0 5 5 + R 0 M K y / T w e 7 9 / Z 1 P P 6 X l 6 4 e f 3 k 5 9 m R f J 6 b 8 H u g 2 + 4 3 G 1 7 W z / 4 a e U 7 D j Y 3 J n H 3 v r i 8 L x 4 H H 1 j W 4 + h b 2 z r 8 f O N b X 0 t d n P j C C f d j i y + H j N v b t / y 1 c j E 3 1 a T v S e S d t Z v 2 V N / s m 8 9 q P e Z e 1 + b 3 d z 4 f W b f 1 2 Y 3 N + 7 P / o b G / Q n f 0 L g / x R s G 6 N o + 7 G k z 6 L H 0 5 P j l 7 V T N 3 s 2 6 z H Y R 6 r K 9 9 + x g W J e Z D h 7 u 7 H 0 K O g y y j M f W 5 p 2 D T 3 c 2 8 a f H z v a N h / s 7 G 3 v x W F r f G Z 4 J j 4 d v b O u x 8 I 1 t P Q 6 + s a 2 v v 2 5 u H O G d G y n i q y 7 z 0 v b N b 0 W m + L Z a 6 / a o R W b 4 t g r r P Y b y P v P s 6 6 q b G 7 / P T P u 6 6 u b G / Z n e 0 L g / w x s a 9 y d 2 w w B t W / C p K p L j 1 2 9 k 8 f H k + I u z F 1 / e S p N g P D e o K q 8 H X 1 X h z f f q Y F B V 2 Q 7 2 D u 7 R k u W 9 8 d 7 + r d S V f e / T + 7 t 7 m 9 j T c b P r 6 s G D e w c P b + j K c b V 5 b 3 h G H C / f 3 N a x 8 s 1 t H S f f 3 N b T W b d o H O G h W 1 H F 0 1 v 2 x e 3 b v R m Z 8 1 v q r v d E M T L j t 9 R f 7 z u k 9 5 l 3 T 4 f d o v H 7 z L y n w 2 7 R u D / z G x r 3 Z 3 t D 4 / 4 E b x i g a 7 s 7 p M N u 7 X L t W Y 9 o W I + 5 X g I 9 d j u X y 3 U w r M d M B / f v 7 R 1 8 e j s V Z l 7 Z f X h L j 8 t 1 s n t v Y y c e S + s r w 1 P h M f G N b T 0 e v r G t x 8 I 3 t v W V 1 8 2 N I 8 x z E 0 F 8 v W X e 2 b 7 x p c j 0 3 l Z l 3 R q x y O z e V l v d f i D v M 8 e + o r q 5 8 f v M s q + o b m 7 c n + U N j f v T u 6 F x f 1 o 3 D N C 1 3 T M q p J P m O v 2 9 3 7 w 6 v o U e + f Q 2 e S 7 X i 6 e o P r 1 d n s v v Y F h R m Q 7 2 9 3 Y f 7 O + O s U o x y D g e Q 5 v X b q m p 3 q c X j 6 X 1 t e H 5 8 D j 5 x r Y e I 9 / Y 1 u P j G 9 v 6 2 u r m x h E O u g 1 R f I 1 l 3 t u + 1 Y u R u b 6 t 1 n o v B C O z f V v N 9 X 4 D e p 8 5 9 7 X X z Y 3 f Z 9 Z 9 7 X V z 4 / 6 s b 2 j c n + o N j f v T u 2 G A r u 0 9 o 1 d O v v r y z f F t 8 v I P b 6 W v L F x P X z 2 8 n b 7 y O x j W V 6 a D e z u f 3 n u 4 N 7 6 n k K P j 9 V j Z v L a 7 t 7 c z 3 r 9 d W t 7 r 6 / 7 u g 9 3 x w f 7 t t J a + N j w P H g f f 2 N Z j 4 B v b e v x 7 Y 1 t f a 9 3 c O M I 5 t y G K r 7 X M e 9 u 3 e j E y 4 7 f V W u + F Y G S 2 b 6 u 1 3 m 9 A 7 z P n v t a 6 u f H 7 z L q v t W 5 u 3 J / 1 D Y 3 7 U 7 2 h c X 9 6 N w z Q t d 0 P t d Y t Q 8 K H t 8 n C O 9 i h 5 t p 7 z w 6 G N Z f p 4 N 7 9 B w o 0 O l y P k 8 0 b t 3 S y b t m B x 8 L 6 x j D t P a 6 9 s a 3 H t D e 2 9 X j 2 x r a + p r q 5 c Y R b b q C H r 6 T M K 9 s 3 v R O Z 1 9 v q p 9 u i F Z n Z 2 6 q m W w / j f e b X 1 0 o 3 N 3 6 f G f a 1 0 s 2 N + z O 8 o X F / b j c 0 7 k / q h g G 6 t v e N 5 v j 2 l 6 9 f n j 4 9 / s 5 p e v w 8 f X n 6 i h T E b S L B h z v w Y m 7 S T 7 a X Q D 8 Z / + f W H Q z r J 9 P B P a y Q 3 r + / O 7 7 / 8 H Z q y r y 4 u / P w Y P f + p w / G B 7 f 0 r 8 y L e 7 u f 7 n 3 6 8 O D e + L Z 6 S 1 8 c n h 2 P r 2 9 s 6 7 H 1 j W 0 9 r r 6 x r a + 3 I o 2 H 9 d b 7 k c V X X + b N 7 V u + G p n 9 2 2 q x 9 0 Q y M u u 3 V W b v O 6 j 3 m X t f p 9 3 c + H 1 m 3 9 d p N z f u z / 7 t d N r N j f t T f C u d 9 q n R N q / z + r K Y F l W T f n l O P 7 M y b 2 7 S O A c 3 K z M L 3 r 1 y S 5 j D + s v A f H C w s 7 9 z 8 P D T 8 a f 3 b 6 e / z I v 7 u / c e 3 r 9 / f 3 z / l u r L d s h L l c h b 6 D B u U l / 6 4 q 3 U 1 4 1 t P Q 6 + s a 3 H w D e 2 9 d X X z Y 0 j r H M 7 s v j q y 7 y 5 f c t X I 5 N / W / X 1 n k h G Z v 2 2 6 u t 9 B / U + c + + r r 5 s b v 8 / s + + r r 5 s b 9 2 d / Q u D / h G x r 3 p 3 j D A F 3 b B 1 a / u F X E 0 1 e n X 3 z 5 4 u z 4 + Y 2 6 5 t 7 B 7 q 2 S X a 4 X d c n s m + / V w b B K M x 3 c f / h w / / 7 B w c H 4 / q e 3 U 2 n m x b 2 d e x Q C 3 B 8 / 3 K Q K P e a 2 H T 5 4 u L t 3 b 3 d v / O m m / J r H 5 f r i 8 O R 4 b H 1 j W 4 + r b 2 z r M f W N b X 2 V d n P j C D v d j i y + S j N v b t / y 1 c j k 3 1 a l v S e S k V m / r U p 7 3 0 G 9 z 9 z 7 K u 3 m x u 8 z + 7 5 K u 7 l x f / Y 3 N O 5 P + I b G / S n e M E D X 9 q C v 0 r 5 8 9 Z T W H F 9 / e X J 2 C 4 2 z d y u V 5 n p x K m 3 v d i r N 7 2 B Y p Z k O y B 1 9 s H f / Y L x 3 S 4 1 m 3 t s Z 7 2 z y / j 2 u 7 v W 0 f z t V p u 8 N T 4 r H z j e 2 9 b j 5 x r Y e M 9 / Y 1 l d l N z e O s N G t q O J r M v P i 9 u 3 e j E z 5 b R X Z + 6 E Y m f H b 6 r H 3 H N L 7 z L u v x m 5 u / D 4 z 7 6 u x m x v 3 Z 3 5 D 4 / 5 s b 2 j c n + A N A 3 R t H x o F c / L l i 8 9 f n b 4 m T f b 7 p P T 7 T 5 6 + u J U a u 3 c r N W Z 7 8 d T Y v d u p M b + D Y T V m O t j d P X i w 9 + k e B Z u 3 z O m b F / d 2 P t 1 / 8 P D h e J P 6 8 1 j b v P b w Y O f B w d 6 D z U r Q Y 3 F 9 b 3 h q P K a + s a 3 H 0 z e 2 9 V j 6 x r a + M r u 5 c Y S Z b k U V X 5 m Z F 7 d v 9 2 Z k 4 m + r z N 4 P x c i M 3 1 a Z v e e Q 3 m f e f W V 2 c + P 3 m X l f m d 3 c u D / z G x r 3 Z 3 t D 4 / 4 E b x i g b Q v s R c 2 c / t 4 v v 3 x 9 d n L 2 5 Y v T 1 7 f Q M f u 3 U W I O u q f E 9 m + n x P w O B p W Y 7 e D T + + T F j / c U c H T Q j q P t W / u k + z Y x p + N l + 8 r e v Y f 7 N 3 T k O N q 8 N T w T j o d v b u t Y + O a 2 j o N v b u v p r l s 0 j v D O L W j i a S 7 7 2 v Z t 3 o v M 9 S 3 1 1 n u h F 5 n p W 2 q t 9 x v O + 8 y 3 p 7 N u 0 f h 9 Z t z T W b d o 3 J / x D Y 3 7 8 7 y h c X 9 y N w z Q t d 0 1 W u X L t q a s v s v v f 5 4 v 8 5 t U y 8 O b t Z a F 7 1 6 5 J c x h R W V g 7 t 9 7 8 O D T h 7 v 3 x v s K N T p Y j 4 v N i 5 9 S N / s H t K S 5 f z u F Z d 6 7 9 + D T e w / 2 7 + 1 u T q B 5 / K w v D s + E x 8 M 3 t v V Y + M a 2 H g f f 2 N b X W T c 3 j v D O 7 c j i q y 3 z 5 v Y t X 4 1 M / m 0 1 1 3 s i G Z n 1 2 y q v 9 x 3 U + 8 y 9 r 7 9 u b v w + s + / r r 5 s b 9 2 d / Q + P + h G 9 o 3 J / i D Q N 0 b f e M f n l 9 + u o n 4 X K 9 T p 9 9 9 e L 0 1 f E r + v V G X X P v 4 a 1 S + 6 4 X 4 3 v Z N 9 + r g 2 G V t q c d P N z d p S T 9 + H b R o 0 X r w c 7 e 7 o P d j W 9 5 f G 3 e 2 t t 5 u H P v d o G j e W d 4 S j x m v r G t x 8 s 3 t v V Y + c a 2 v i K 7 u X G E i W 6 k i K / D z E v b N 7 / l 8 b Z 5 6 7 b q 6 / a o R W b 4 t p r r P Y b y P v P s K 6 2 b G 7 / P T P t K 6 + b G / Z n e 0 L g / w x s a 9 y d 2 w w B d 2 3 t G n Z x 9 8 f K r U 8 7 f / z 6 U w X 9 1 e v L t W y m t W y X v X S + e 0 r p N 8 r 7 T w b D S M h 0 c 7 D 3 c e b h 3 f w w + H + Q c j 6 f N e w / 2 9 n f 3 x / s H t 1 N b r r f d g / u 7 O + N P b + m D 6 X v D E + O x 9 I 1 t P Y 6 + s a 3 H 0 D e 2 9 V X X z Y 0 j r H Q r q v j q y 7 y 4 f b s 3 I 9 N + W x X 2 f i h G Z v y 2 a u w 9 h / Q + 8 + 6 r s p s b v 8 / M + 6 r s 5 s b 9 m d / Q u D / b G x r 3 J 3 j D A F 3 b f a N k X p + + e I O k / T F 0 G T L 5 z 7 8 6 u Y W m u V 3 u y / b i q b L b 5 L 4 6 H Q y r M t P B 7 o M D s o D 7 + 2 M Q b 5 B 1 P O Y 2 L 9 7 f 2 9 1 7 c J 9 Y b p M O 9 H j b d r j 3 6 Y M H 9 x / e G 9 9 / e D t 1 p i 8 O T 4 7 H 1 j e 2 9 b j 6 x r Y e U 9 / Y 1 l d n N z e O s N P t y O L r M / P m 9 i 1 f j U z + b R X a e y I Z m f X b a r T 3 H d T 7 z L 2 v 0 m 5 u / D 6 z 7 6 u 0 m x v 3 Z 3 9 D 4 / 6 E b 2 j c n + I N A 3 R t 7 x t l 8 / L 0 B W m z L 7 5 6 / o Z + k H 6 5 O Z l P + u b + r R S a 7 c N T a P d v p 9 D 8 D o Y V m u m A P P p P 9 z 4 9 G O / f T p 3 Z 1 w 5 o C X z j S x 5 X u 7 4 + p X z c p 7 f T Y / r S 8 I x 4 v H x j W 4 + V b 2 z r c f K N b X 0 9 d n P j C A / d T B J f h 5 m 3 t m / x W m S u b 6 u / 3 g O 5 y C z f V n e 9 z 2 D e Z 6 5 9 v X V z 4 / e Z b V 9 v 3 d y 4 P 9 s b G v c n e U P j / t R u G K B r + 6 n R K V + + e U U R 5 e f H H F i + / P I V 3 L F b K J Z P b 6 W 5 b C + e 5 v r 0 d p r L 7 2 B Y c 5 k O d j / 9 9 N 7 + 3 i Z u 8 1 j a v L S p u c f L t + / D Y 2 h 9 a X g u P C 6 + s a 3 H x D e 2 9 X j 4 x r a + x r q 5 c Y R 7 b i a J r 7 H M W 9 u 3 e C 0 y x 7 f V W O + B X G S W b 6 u x 3 m c w 7 z P X v s a 6 u f H 7 z L a v s W 5 u 3 J / t D Y 3 7 k 7 y h c X 9 q N w z Q t X 1 g d A n l w U h X 3 X 3 x 5 R d n c L l O j l / e Q p 0 c 7 I A T b 9 J X t g 9 P X 8 m b 7 9 X B s L 4 y H e z e p 2 X F B 2 M Q Y J B t P J a 2 r + 0 d P N w f f / r g d o r L v r V / b 2 9 / 7 9 Z B o 7 4 2 P C k e O 9 / Y 1 u P m G 9 t 6 z H x j W 1 9 1 3 d w 4 w k a 3 I Y q v v M x 7 2 7 d 6 M T L l t 1 V f 7 4 V g Z L Z v q 8 D e b 0 D v M + e + C r u 5 8 f v M u q / C b m 7 c n / U N j f t T v a F x f 3 o 3 D N C 1 P T D q x a 0 / H r 8 + e y 2 p s F v o m I e 3 c r p s L 5 4 S e 3 g 7 p 8 v v Y F i J m Q 5 o t f J g d / / + 5 t D P 4 2 z 7 3 i 4 5 + Q d j M O P g a x 5 j u + 5 2 H u w 8 e E D p t k 3 9 e R y u L w 5 P j c f U N 7 b 1 e P r G t h 5 L 3 9 j W V 2 Q 3 N 4 4 w 0 + 3 I 4 q s y 8 + b 2 L V + N T P 1 t l d l 7 I h m Z 9 d u q s / c d 1 P v M v a / Q b m 7 8 P r P v K 7 S b G 5 v Z v 1 X j / o R v a N y f 4 g 0 D d G 0 f W l U j 8 e P T 0 / T 5 M X l k r 4 / p 1 1 v p m z 2 r b 4 Y V m u v F V 2 h 4 8 7 0 6 G F Z o p g O y h A 9 2 P 9 0 b H 2 w y h R 5 3 m / c 2 8 a j H 0 u / V j c f a + t 7 w j H i 8 f G N b j 5 V v b O t x 8 o 1 t f T 1 2 c + M I D 9 2 K K r 4 a M y 9 u 3 + 7 N y H z f V o u 9 H 4 q R G b + t E n v P I b 3 P v P s 6 7 O b G 7 z P z v g 6 7 u X F / 5 j c 0 7 s / 2 h s b 9 C d 4 w Q N v 2 3 o 7 R L q + / e v L q y 8 + P y S 1 7 c a s U G K 3 9 7 d 6 o v B z 4 Q H n h z f f q Y F B 5 2 Q 5 2 d / c f 0 j N + u I l l H F P b 9 2 6 n v N 6 v G 8 f S 5 r 3 h q X B M f H N b x 8 M 3 t 3 U s f H N b T 3 n d o n G E e W 5 F F U 9 5 2 R e 3 b / d m Z L 5 v q b z e E 8 X I j N 9 S e b 3 v k N 5 n 3 j 3 l d Y v G 7 z P z n v K 6 R e P + z G 9 o 3 J / t D Y 3 7 E 7 x h g K 7 t r t E u b + p s 2 Z y P 0 u O m u F h m o / T 1 e t J s V j E 3 p 8 M c d P P C r e A N q y o D 7 9 6 n e 5 Q A e 7 i / v 3 P / l r G j f f X + / v 6 n D 3 Z o c f v h + P 7 B 7 T S X 7 X X n w a c H D w 8 O 9 j + 9 P z 7 Q w U T f 9 X h a 3 x 2 e C 4 + L b 2 z r M f G N b T 0 e v r G t r 7 1 u b h z h n l t T x t d g 5 u X t 2 7 8 d Y Y X b a r H 3 R z X C A b f V Z F 9 j a O / D B 7 4 2 u 7 n x + 3 C C r 8 1 u b t z n h A 2 N + z O / o X F / o j c M 0 L X d C 7 V Z X u f L a Z E 1 6 d m y z e s b t M / u z e r M g r d v 3 A 7 i s E I z E O / t P 9 z d 3 9 t / s P / w Y H x v U 3 b e 4 2 j z 7 v 1 7 O / c e 7 j 2 4 9 + n D 8 S 0 V m n l z 7 + G n u z v 3 9 m j h 4 W B 8 f 1 O v H m v r u 8 P T 4 T H y j W 0 9 P r 6 x r c f G N 7 b 1 F d r N j S M M d G v K + A r N v L x 9 + 7 c j r H B b h f b + q E Y 4 4 L Y K 7 W s M 7 X 3 4 w F d o N z d + H 0 7 w F d r N j f u c s K F x f + Y 3 N O 5 P 9 I Y B u r b 3 j M Y R t 2 x a V M u 8 S b M y f Z 1 P 2 5 v U z y 0 0 m o X v X r k l z G G d Z m D u H e w / / H T n 3 r 1 7 e / f G D z 6 9 n U 4 z 7 9 7 f e 3 i w t 7 d / f + f e G L H 4 4 K s e S 9 t u 7 + 0 + f H C w c 3 C w t z P e v 6 V S 0 3 e H p 8 R j 5 h v b e r x 8 Y 1 u P l W 9 s 6 y u 1 m x t H m O j W l P G V m n l 5 + / Z v R 3 j h t k r t / V G N c M B t l d r X G N r 7 8 I G v 1 G 5 u / D 6 c 4 C u 1 m x v 3 O W F D 4 / 7 M b 2 j c n + g N A 3 R t 9 4 3 S w S p m + v L 0 F a m W 4 + c 3 p c x I 9 + z T w t 9 t t J r t Q F J m 3 p v v 1 c G w i j M d 7 H 5 6 f / / T e 5 / u H z x 8 M H 5 4 7 3 Y q z r x 7 7 + H B p w 9 p + f f B 3 v j T + 7 d T c b b b v f v 3 H + 7 T y s T e / T G W W w b f 9 Z h d 3 x 2 e I I + 1 b 2 z r c f a N b T 3 G v r G t r + J u b h x h q V t T x l d x 5 u X t 2 7 8 d 4 Y X b q r j 3 R z X C A b d V c V 9 j a O / D B 7 6 K u 7 n x + 3 C C r + J u b t z n h A 2 N + z O / o X F / o j c M 0 L W 9 b z T Q F 8 d v 0 t 8 n f f 3 V F 2 c v z l 6 / e f X l 7 Z T c b Y J R 2 0 W g 5 G 4 O S j s d D C s 5 0 8 G n 9 + m d g 3 v 3 9 s e f 7 t 1 O x Z k 3 9 + 7 t P X h 4 / / 7 B e H / T i x 5 7 2 y 7 3 H h x 8 e v D g w a f j T S 9 6 f K 4 v D s + N x 9 U 3 t v W Y + s a 2 H k / f 2 N b X b j c 3 j n D T 7 c j i q z b z 5 n b 4 6 m 3 0 m n n 1 t n r t P Z G M z P p t l d r 7 D u p 9 5 t 7 X a D c 3 f p / Z 9 z X a z Y 3 7 s 7 + h c X / C N z T u T / G G A b q 2 n x p 1 A 6 f t j N Y 4 X 6 e f n 7 4 4 f X V r x + 0 2 a 5 2 2 k 0 C n 3 b T W 2 e t g W K e Z D v b 2 7 n / 6 6 c H u v d 2 d 8 Y N N z p f H 3 + b V 3 f s P 9 + 4 f P H i 4 P 9 5 R v K J v e v x t O 9 1 5 + G C f e t 7 9 d P x g / 3 Z 6 T V 8 d n i G P t 2 9 s 6 7 H 2 j W 0 9 z r 6 x r a / X b m 4 c 4 a n b E s b X b O b d 7 V u / H G G D 2 + q 2 9 0 Y 0 M v u 3 1 W 7 v P 7 D 3 4 Q F f v 9 3 c + H 2 4 w N d v N z f u c 8 G G x v 1 p 3 9 C 4 P 8 0 b B u j a P j C q 5 8 2 r 4 x e v n 6 X H r 8 8 + f 0 G O 2 5 P b a b f 9 W 2 g 3 2 0 W g 3 f Z V i 9 y 6 g 2 H t Z j o g 7 X T v Y H / 3 / i b 9 5 H G 3 e W 2 X l h / 2 D k g l 3 v / 0 d o r N 9 v f p 7 s H D 3 X v 7 l D 2 5 p V 7 T N 4 d n x u P p G 9 t 6 L H 1 j W 4 + j b 2 z r 6 7 W b G 0 d 4 6 Z Z 0 8 d W a e X X 7 t u 9 G p v + 2 W u 1 9 0 Y z M / G 2 V 2 n s P 6 3 3 m 3 9 d p N z d + H w 7 w d d r N j f s c s K F x f 8 4 3 N O 5 P 8 o Y B u r Y H R u E 8 S b / 4 6 v R J e v a C f 5 z S L 2 + O b 6 V 1 7 l u t M 6 z W b C + B W j P K 5 9 Y d D K s 1 0 w E p w f t k D g 8 + H d / f l M H w O N y + i V d 3 H 4 y x 9 j L 4 n s f e r s d 7 + 3 s 7 n 9 L K 6 t 4 m l e g x u r 4 5 P D 0 e Y 9 / Y 1 u P r G 9 t 6 b H 1 j W 1 + x 3 d w 4 w l C 3 p I u v 2 M y r 2 7 d 9 N 8 I A t 1 V s 7 4 t m Z O Z v q 9 j e e 1 j v M / + + Y r u 5 8 f t w g K / Y b m 7 c 5 4 A N j f t z v q F x f 5 I 3 D N C 1 f W h U z t m L n 6 T l g 7 M v X 6 Q v v 3 r y / O z k d l r t 0 1 t o N d t F o N X w 5 n t 1 M K z V T A f 7 9 + 7 t f k o v P d w d g 7 E G O c f j b / v q z t 7 O 3 r 2 d A w p i N y 0 + e O x t 3 r z 3 E A v 5 B 4 T q e H / T q x 6 n 6 6 v D 8 + N x 9 o 1 t P c a + s a 3 H 1 z e 2 9 T X b z Y 0 j H H V b w v i q z b y 7 f e u X I 2 x w W 9 3 2 3 o h G Z v + 2 y u 3 9 B / Y + P O B r t 5 s b v w 8 X + N r t 5 s Z 9 L t j Q u D / t G x r 3 p 3 n D A G 3 b / R 1 P u 6 X P z l 6 k X 1 J M m r 5 8 9 e V P 3 k r 5 P L h Z u 7 k u A u 2 G N 9 + r g 0 H t Z j u 4 v 8 P P r f S a f W l T c 8 f O 7 9 G H 4 2 n z 0 v B E O B a + u a 3 j 4 J v b O g a + u a 2 n x m 7 R O M I 6 N 5 P E U 2 D 2 r e 1 b v B a Z 4 1 u q r v d B L j L L t 1 R a 7 z W Y 9 5 l r T 1 3 d o v H 7 z L a n r m 7 R u D / b G x r 3 J 3 l D 4 / 7 U b h i g a 7 t r d I m k z F 6 + O n 2 d v v z y a X r 6 n d O T 2 + i T 3 R 2 r T 4 Y V l u 3 E V 1 i 7 J g N / 6 w 6 G F Z b p Y H / / 4 M H 9 e 3 u b Q 0 W P q e 1 7 O / f u 7 + + P 7 2 9 a T f C 4 2 r 1 2 c O / h w Y P x g w e 3 U 1 / 6 3 v D E e C x 9 Y 1 u P o 2 9 s 6 z H 0 j W 1 9 9 X V z 4 w g r 3 Y o q v g Y z L 2 7 f 7 s 3 I v N 9 W i b 0 f i p E Z v 6 0 e e 8 8 h v c + 8 + 6 r s 5 s b v M / O + K r u 5 c X / m N z T u z / a G x v 0 J 3 j B A 1 3 b P a p k 3 X 1 K S 7 G n 6 8 p g 8 r y + f v D q + l Z 4 B K 9 + k y F w X v i L D m + / V w b A i M x 3 s H e z v f 7 p 3 n 5 Y p + 5 o s q s n M i 7 T A + f B g 7 / 4 Y R L y N K r M d f n q w T 3 8 d j B 8 8 v J 0 u 0 x d v p c t u b O u x 9 I 1 t P Y 6 + s a 2 v y 2 5 u H O G l 2 5 H F V 2 b m z e 1 b v h q Z / N t q s / d E M j L r t 1 V n 7 z u o 9 5 l 7 X 5 / d 3 P h 9 Z t / X Z z c 3 7 s / + 7 f T Z z Y 3 7 U 3 w r f X b P K J v X p 6 9 + 8 u z k 7 E v y z C h f 9 u W L 4 + e n r 2 + h c f Z 2 b q P S b C + e S p M 3 3 6 u D Y Z V m O t g l d b Z 7 7 9 7 9 v b H J w 0 U J 4 P G 3 e Z O z Z P v 7 l J z d x H Q e e 9 s u K c F 2 b + / h z r 3 N D q H H 6 P r m 8 P x 4 n H 1 j W 4 + x b 2 z r 8 f W N b X 2 t d n P j C E f d k i 6 + W j O v b t / 2 3 Q g H 3 F a v v S + a k Z m / r W J 7 7 2 G 9 z / z 7 m u 3 m x u / D A b 5 m u 7 l x n w M 2 N O 7 P + Y b G / U n e M E D X d t / q n O P X b 0 i t P T 1 N v y T V d k w 6 7 s W t 9 M 6 e 1 T v D i s 1 1 4 i u 2 P d U 9 t + 5 g W L G Z D h 7 c O 9 h 9 Q P 8 8 G B 9 8 e j v F Z t 7 c 3 d u 7 f / 9 g f + / e e G f T m x 5 / m z c / 3 b 2 P t f h P 9 8 c H t 1 N s + u L w 9 H i M f W N b j 6 9 v b O u x 9 Y 1 t f c V 2 c + M I Q 9 2 O L L 5 e M 2 9 u 3 / L V y P z f V q 2 9 J 5 K R W b + t V n v f Q b 3 P 3 P t K 7 e b G 7 z P 7 v l K 7 u X F / 9 j c 0 7 k / 4 h s b 9 K d 4 w Q N f 2 f l + p P T t 7 f X L 8 / O y n j k 9 u p X T u 3 U K r u V 5 8 r X b v d l r N d T C s 1 U w H n x 5 8 e t v M v 3 l l U 3 O P m 2 / b g 8 f Q + s r w P H g c f G N b j 4 F v b O v x 7 4 1 t f e 1 1 c + M I 5 9 x E E F 9 v m X e 2 b 3 w p M r e 3 1 V i 3 R i w y u 7 f V V b c f y P v M s a + l b m 7 8 P r P s a 6 m b G / d n e U P j / v R u a N y f 1 g 0 D d G 0 / N f r j a w a V 9 2 4 V V N p e P C 1 1 7 3 Z B p d / B s J Y y H R z c 2 7 l / c P / B / o M x J n G Q d z y e N m / u P r i 3 u / f w 3 s N 7 4 7 1 N q V m P s 8 2 b n 1 J / 9 z + 9 d / / e + O E t o 0 p 9 c 3 i C P N a + s a 3 H 2 T e 2 9 R j 7 x r a + + r q 5 c Y S l b k k X X 4 u Z V 7 d v + 2 6 E B W 6 r z N 4 X z c j M 3 1 a n v f e w 3 m f + f d V 2 c + P 3 4 Q B f t d 3 c u M 8 B G x r 3 5 3 x D 4 / 4 k b x i g a / v A K p 2 v F V X e u 1 V U 6 T r x N d u t o k q / g 2 H N Z j r Y f X B / b / / h z v 6 n 4 3 u 3 1 G z m z b 3 9 g 3 v 3 7 j 1 4 u D m T 4 b G 3 7 f L + z j 4 F D J 8 + G O / c c k F T 3 x y e H o + x b 2 z r 8 f W N b T 2 2 v r G t r 9 h u b h x h q F v S x V d s 5 t X t 2 7 4 b 4 Y D b K r b 3 R T M y 8 7 d V b O 8 9 r P e Z f 1 + x 3 d z 4 f T j A V 2 w 3 N + 5 z w I b G / T n f 0 L g / y R s G 6 N o e G J 1 z 9 u I n 0 5 d f P U m / 8 9 V T c t 2 O n 9 9 K 6 d w m q r Q 9 B F r t V l G l 3 8 G w V j M d 0 C L A D j + 3 U 2 n m t X s 7 N 7 7 l c b V 5 6 + H N f X m 8 r W 8 N z 4 j H y z e 2 9 V j 5 x r Y e J 9 / Y 1 t d l N z e O 8 N A t a O L r M f P a 9 m 3 e i 8 z 3 b X X Y + 6 A X m e n b 6 q / 3 G s 7 7 z L e v u 2 5 u / D 4 z 7 u s u a X x L 3 X V z 4 / 4 8 b 2 j c n 9 w N A 3 R t H x r N g n g T o W b 6 5 a v P j 9 P j r 9 5 8 + e I W 2 m X / V u G m 7 c R T X / u 3 C z f 9 D o b V l + l g d / / B P j l m u 3 s H 4 / u b 7 J 7 H 2 e Z V 0 p M 7 D + 7 f Q 6 T 6 6 e 3 U m O 1 0 9 8 H u z s O H D w 5 2 x / s 6 p O i r H p / r q 8 M z 5 P H 2 j W 0 9 1 r 6 x r c f Z N 7 b 1 d d n N j S M 8 d V v C + A r N v L t 9 6 5 c j b H B b r f b e i E Z m / 7 a q 7 f 0 H 9 j 4 8 4 O u 3 m x u / D x f 4 + u 3 m x n 0 u 2 N C 4 P + 0 b G v e n e c M A b d v 7 O 1 b 1 I O T 8 0 i i 4 F 9 B w t 1 I / t w g 6 v U 5 8 / X a r o N P v Y F C / 2 Q 7 2 d v f u 7 X 5 K a + H j B 5 u U l G N x 9 + a n O / c p F / d g / O B 2 Q a d 9 c f f g 0 7 1 P 7 + 3 s 3 x / v 7 N 9 K u Z k 3 h 6 f H M f b N b R 1 f 3 9 z W s f X N b T 3 l d o v G E Y a 6 J V 0 8 3 W Z f 3 b 7 t u x E O u K V q e 2 8 0 I z N / S 8 3 2 / s N 6 n / n 3 F N s t G r 8 P B 3 i K 7 R a N + x y w o X F / z j c 0 7 k / y h g G 6 t r t G 5 5 i g k 9 S a u G 1 f f n E r v f P p L R S b 7 S R Q b H j z v T o Y V m y m g 9 0 b 3 X 2 P t 8 1 L e 7 e P O e 0 7 B 7 e P O M 0 7 w 9 P h M f K N b T 0 + v r G t x 8 Y 3 t v U V 2 c 2 N I w x 0 I 0 V 8 F W Z e 2 r 7 5 r c g s 3 1 Z 5 3 R 6 1 y A z f V m 2 9 x 1 D e Z 5 5 9 h X V z 4 / e Z a V 9 h 3 d y 4 P 9 M b G v d n e E P j / s R u G K B r u + c r r G d n L 9 I v 3 7 w 6 T l + + + v I n b 6 V N H t x C X d k u A n W F N 9 + r g 2 F 1 Z T r 4 9 N 6 n D 3 d v q 6 7 M S + S 5 P b x / f 9 N L H j e 7 l x 7 e 8 J L H 0 v r S 8 H R 4 j H x j W 4 + P b 2 z r s f G N b X 2 F d X P j C A P d T B J f Y 5 m 3 t m / x W m S m b 6 u y 3 g O 5 y C z f V m e 9 z 2 D e Z 6 5 9 p X V z 4 / e Z b V 9 p 3 d y 4 P 9 s b G v c n e U P j / t R u G K B r e 8 9 o l D d 1 t m z O 8 z p f T o u s S c + W b V 7 f p F b 2 b t Z Y F r 5 7 5 Z Y w h 5 W U g f n p / u 7 B H q m 2 B / t j 4 7 F F h + t x s X n 1 / o O d v Y N P P x 3 f 3 / S e x 8 d e l 3 v 3 d 2 n N 4 W C 8 6 U 2 P o / X N 4 c n w 2 P j G t h 4 X 3 9 j W Y + I b 2 / o q 6 + b G E f a 5 J V 1 8 v W V e 3 b 7 t u x E O u K 3 y e l 8 0 I z N / W w 3 2 3 s N 6 n / n 3 1 d j N j d + H A 3 w 1 d n P j P g d s a N y f 8 w 2 N + 5 O 8 Y Y C u 7 b 5 V Y 6 + O X 7 x + d v r q 9 A W t T 7 5 O X x 6 / O r 5 R 4 9 B C 8 q 2 y Y L Y T 4 3 3 Z N 9 + r g 2 H F Z j q 4 v 3 u P l r Y / f T h + e L s c v 3 3 x l r 7 X + / X j M b e + O D w l H j P f 2 N b j 5 R v b e q x 8 Y 1 t f m d 3 c O M J E t y O L r 8 v M m 9 u 3 f D U y 5 7 d V Z e + J Z G T W b 6 v J 3 n d Q 7 z P 3 v i K 7 u f H 7 z L 6 v y G 5 u 3 J / 9 D Y 3 7 E 7 6 h c X + K N w z Q t b 1 v d M z x y + d n J 8 c n Z 1 + + S J + e p q 9 O T 7 5 6 9 f p W i u b e L T S Z 7 S X Q Z P d u p 8 l c B 8 O a z H T w 6 b 3 9 T + 8 / 2 N v f o 7 U g d f 2 i F P A Y 3 L x 6 S 1 3 2 v j 1 5 D K 6 v D s + L x 9 E 3 t v U Y + s a 2 H j / f 2 N b X Z j c 3 j n D S b Q n j 6 z P z 7 n b 0 5 R s 0 2 m 0 m 0 N d o 7 4 1 o Z P Z v q 9 P e f 2 D v w w O + V r u 5 8 f t w g a / V b m 7 c 5 4 L b a b W b G / e n + V Z a 7 V O j b 8 Q 9 I 4 3 2 7 O z k 7 A 0 v V 9 7 O P 7 t v l c 6 w V r O 9 B F r N h H i 3 7 m B Y q 5 k O d u / t P S S / / t 5 4 7 5 Y 6 z b z 4 v m G n e e / B / Y f k Q H 4 6 N p m + m z S b v n c r z X Z j W 4 + p b 2 z r 8 f S N b X 3 N d n P j C D f d i i q + W j M v b t / u z c j M 3 1 a n v R + K k R m / r U J 7 z y G 9 z 7 z 7 2 u z m x u 8 z 8 7 4 2 u 7 l x f + Y 3 N O 7 P 9 o b G / Q n e M E D X 9 k G o z W y w e f b i z e m r W y i b h z v g 5 p u 0 m e 3 F 0 2 b y 5 n t 1 M K z N T A e f P n y 4 t 3 l 9 y G N s 8 9 I t v b P b 9 + H x t L 4 0 P B c e F 9 / Y 1 m P i G 9 t 6 P H x j W 1 9 7 3 d w 4 w j 0 3 k 8 R X X e a t 7 V u 8 F p n j 2 + q t 9 0 A u M s u 3 V V r v M 5 j 3 m W t f Y 9 3 c + H 1 m 2 9 d Y N z f u z / a G x v 1 J 3 t C 4 P 7 U b B u j a H l i N F W b 5 s z J 9 l d + g U G 6 R 5 L f g 7 R u 3 g z i s m w z E v Z 2 D B 3 u f 7 u / s j Q 8 2 2 T W P g 8 2 b 9 3 n R + 5 Z q y n V 3 7 z b d e a y s b w 7 P g s e / N 7 b 1 2 P f G t h 7 3 3 t j W 1 1 U 3 N 4 7 w z S 3 p 4 i s s 8 + r 2 b d + N z P 5 t t d b 7 o h m Z + d u q r v c e 1 v v M v 6 + / b m 7 8 P h z g 6 6 + b G / c 5 Y E P j / p x v a N y f 5 A 0 D d G 0 f D u m v 9 H T Z 3 q R t b u F r W f j u l V v C H F Z h B u Y u 8 c j B / o N 7 t 1 N f 5 q 1 b K q 7 3 6 M R j Y n 1 r m P Q e 0 9 7 Y 1 u P Z G 9 t 6 L H t j W 1 9 p 3 d w 4 w i y 3 o I m v s M x r 2 7 d 5 L z L P t 1 V W 7 4 N e Z K Z v q 6 j e a z j v M 9 + + k r q 5 8 f v M u K + k b m 7 c n / E N j f v z v K F x f 3 I 3 D N C 2 / X T H K q k w L P z y z Z e v P r 9 R o V A m 8 j Z h o e t F w 0 L 3 5 n t 1 M K i 3 b A e 3 4 B v H 1 f a t 2 + m t 9 + n E 8 b R 5 a 3 g 2 H B / f 3 N a x 8 c 1 t H R f f 3 N b T W 7 d o H O G f W 9 D E 0 1 v 2 t V s J e m S e b 6 m 3 3 g u 9 y E z f U m + 9 3 3 D e Z 7 4 9 v X W L x u 8 z 4 5 7 e u k X j / o x v a N y f 5 w 2 N + 5 O 7 Y Y C u 7 a 7 V W 1 / D u b o 5 O n T w 3 S u 3 h D m s p A z M 3 Y f 7 n z 5 8 8 H D v 4 W 3 j Q / v m + 8 S H r r u D h 7 f p z m N n f X N 4 I j w W v r G t x 8 E 3 t v U Y + M a 2 v s q 6 u X G E d W 5 J F 1 9 t m V e 3 b / t u Z P Z v q 7 r e F 8 3 I z N 9 W f b 3 3 s N 5 n / n 0 V d n P j 9 + E A X 4 X d 3 L j P A R s a 9 + d 8 Q + P + J G 8 Y o G u 7 Z 1 X Y 1 3 C 9 a B F 4 / 1 a u l + 3 F u F 7 2 z f f q Y F i r m Q 5 2 P z 3 Y 3 X 9 I G u r W W s 2 8 + V 5 a z X V 3 7 z b d W S 6 3 b w 7 P j c f V N 7 b 1 m P r G t h 5 P 3 9 j W 1 2 o 3 N 4 5 w 0 y 3 p 4 m s 1 8 + r 2 b d + N z P 5 t t d r 7 o h m Z + d t q t f c e 1 v v M v 6 / V b m 7 8 P h z g a 7 W b G / c 5 Y E P j / p x v a N y f 5 A 0 D d G 3 v D W i 1 4 / T Z 2 d N b K J 3 7 t 9 J q t h d P q 9 2 / n V b z O x j W a q Y D C q f 3 D / b 3 H t 5 O o 5 m 3 b q n L 3 q M T j 6 / 1 r e H Z 8 P j 4 x r Y e G 9 / Y 1 u P i G 9 v 6 e u z m x h H + u Q V N f B 1 m X t u + z X u R e b 6 t / n o f 9 C I z f V v d 9 V 7 D e Z / 5 9 v X W z Y 3 f Z 8 Z 9 v X V z 4 / 6 M b 2 j c n + c N j f u T u 2 G A r u 2 + 0 S i v 1 5 O m m B V V k 1 6 n 9 P s l A s s b 1 M q 9 m x W W B W / f u B 3 E Y Q 1 l I O 6 y x 7 6 / f z C G n h 7 k E o + H z Z v 3 d j 7 d f X j v w f 0 x G H z w R Y + L b Z f 3 H u 4 + u L f z 4 N 5 4 / + B 2 O k v f H J 4 J j 4 d v b O u x 8 I 1 t P Q 6 + s a 2 v s 2 5 u H O G d W 9 L F 1 1 v m 1 e 3 b v h v h g N v q r v d F M z L z t 9 V f 7 z 2 s 9 5 l / X 4 f d 3 P h 9 O M D X Y T c 3 7 n P A h s b 9 O d / Q u D / J G w b o 2 t 7 v 6 b C b 1 M w t X C 0 L 1 L 1 y S 5 j D u s v A 3 L 2 3 s 3 P v 4 M H B / q 1 1 l 3 l z b + f T g 5 2 H 9 x / e W n f Z L n c e 3 r v / 4 G D v / q 1 1 l 7 4 5 P A M e 7 9 7 Y 1 m P d G 9 t 6 n H t j W 1 9 3 3 d w 4 w j O 3 p I u v u 8 y r 2 7 d 9 N 8 I B t 9 V d 7 4 t m Z O Z v q 7 v e e 1 j v M / + + 7 r q 5 8 f t w g K + 7 b m 7 c 5 4 A N j f t z v q F x f 5 I 3 D N C 1 / d T q r q + e v D 5 7 e v Y l Q s b n x + n L V 1 8 + / e p G l b N / 7 3 Y L k b Y X j R v d m + / V w b B m M x 3 s 7 u 8 / 2 P 1 0 b 2 d 8 b 5 N + 8 h j c v H j L 0 P H 9 + v G 4 W 1 8 c n h O P m 2 9 s 6 z H z j W 0 9 X r 6 x r a / N b m 4 c 4 a L b k c V X Z u b N 7 V u + G p n z 2 + q y 9 0 Q y M u u 3 V W X v O 6 j 3 m X t f k 9 3 c + H 1 m 3 9 d k N z f u z / 6 G x v 0 J 3 9 C 4 P 8 U b B u j a P v A 1 G S m x L 4 5 / I v 1 9 0 t O f u J W O 2 b M 6 Z l i J 2 Q 4 C J Y Y 3 3 6 u D Y S V m O n h w Q 1 r e 4 2 n z y i 3 V 1 2 1 7 8 H h Z X x m e A o 9 5 b 2 z r 8 e 6 N b T 3 W v b G t r 7 h u b h x h m p s I 4 q s s 8 8 7 2 j S 9 F 5 v a 2 y u r W i E V m 9 7 Z q 6 v Y D e Z 8 5 9 h X U z Y 3 f Z 5 Z 9 B X V z 4 / 4 s b 2 j c n 9 4 N j f v T u m G A r u 2 B r 6 D g a o m n d f b i J 0 9 f v b 6 F E r l 3 K 1 f L 9 u J p q X u 3 c 7 X 8 D o a 1 l O l g d + f T v b 2 H n + 7 u j + 9 t c t M 9 n r Z v P q D l g F 2 K P j H 7 g y 9 6 j G 1 e P D g 4 2 N n f v 7 e z + U W P w / X F 4 e n x G P v G t h 5 f 3 9 j W Y + s b 2 / r K 6 + b G E Y a 6 H V l 8 F W b e 3 L 7 l q 5 H p v 6 0 i e 0 8 k I 7 N + W 3 X 2 v o N 6 n 7 n 3 l d r N j d 9 n 9 n 2 l d n P j / u x v a N y f 8 A 2 N + 1 O 8 Y Y C u 7 U N P q Z 1 p A P n y + N V x e n L 8 8 v j x 3 a c 3 6 Z y H t 1 J q t h d P q T 2 8 n V L z O x h W a q a D v Q f 3 P 7 2 1 8 2 V e 2 t T c 4 + f b 9 + E x t b 4 0 P B c e F 9 / Y 1 m P i G 9 t 6 P H x j W 1 + D 3 d w 4 w j 0 3 k 8 T X X u a t 7 V u 8 F p n j 2 2 q u 9 0 A u M s u 3 1 V r v M 5 j 3 m W t f Y 9 3 c + H 1 m 2 9 d Y N z f u z / a G x v 1 J 3 t C 4 P 7 U b B m j b P t j x N J b N e D 0 7 e 3 p 6 d v L l F 7 d S K L c I F l 0 v g c a 6 V b D o d z C o s W w H n 9 7 f 3 b 2 / / 3 D 8 8 F Y 6 y 7 5 2 b + / + / Q c P 9 s c P 7 9 9 K e b 3 f e 4 6 9 z X v D M + N 4 + u a 2 j q V v b u s 4 + u a 2 n v 6 6 R e M I L 9 2 K K p 4 K s y 9 u 3 + 7 N y L z f U o u 9 J 4 q R G b + l I n v f I b 3 P v H u 6 7 B a N 3 2 f m P V 1 2 i 8 b 9 m d / Q u D / b G x r 3 J 3 j D A F 3 b X a v L 1 p P L f D k t q m V + 4 + L j 3 s 3 a y 8 J 1 r 9 w S 5 r D C M j D v P X x w / x 4 v s A 4 y h 8 e + 5 q 2 H D + 8 d 7 I P d B l / y W N e 8 t P f w Y P f + 3 i 0 X H M 1 b w 4 T 3 W P b G t h 7 H 3 t j W Y 9 g b 2 / q q 6 u b G E V a 5 B U 1 8 R W V e 2 7 7 N e 5 H Z v q 2 a e h / 0 I j N 9 W y X 1 X s N 5 n / n 2 V d T N j d 9 n x n 0 V d X P j / o x v a N y f 5 w 2 N + 5 O 7 Y Y C u 7 Z 5 V U V 8 9 + c n T F y d n X 7 5 I f / L 0 2 2 c n X z 0 / f n W j W t m / 9 + B W 7 p b t x b h b 9 s 3 3 6 m B Y e 5 k O 3 k 9 7 m b f e S 3 u Z l 2 7 B o h 5 n 6 1 v D c + J x 8 4 1 t P W a + s a 3 H y z e 2 9 b X X z Y 0 j X H Q L m v j a y 7 x 2 K 3 G P z P Z t t d f 7 o B e Z 6 d t q r / c a z v v M t 6 + 9 b m 7 8 P j P u a 6 + b G / d n f E P j / j x v a N y f 3 A 0 D d G 3 v G b 1 y f L 2 e Z U 3 6 u p o W W X m j j 7 V / s 8 a y k O 0 b t 4 M 4 r K I M x A d 7 9 3 d 2 H u 7 c u z 9 + + P B 2 a s q 8 S S l 9 S u g / e L g / 3 q j g P A 4 2 b 3 6 6 S y n X B 3 v 7 u + N 7 t w w M 9 c 3 h W f D 4 9 8 a 2 H v v e 2 N b j 3 h v b + v r q 5 s Y R v r k l X X y d Z V 7 d v u 2 7 E R a 4 r d 5 6 X z Q j M 3 9 b 3 f X e w 3 q f + f f 1 1 8 2 N 3 4 c D f P 1 1 c + M + B 2 x o 3 J / z D Y 3 7 k 7 x h g K 7 t / o D + S r P 0 Z X 6 T y r m F 3 2 X h u 1 d u C X N Y j x m Y + / u 0 T r j 3 6 f 6 D 8 a c K N j p a j 5 3 N m / c f P j h 4 u L N / 7 9 Z q z L x 4 7 + D B p / f u f b p z b / z w w e 3 U m L 4 5 P B k e G 9 / Y 1 u P i G 9 t 6 T H x j W 1 + N 3 d w 4 w j 6 3 p I u v x s y r 2 7 d 9 N 8 I B t 1 V j 7 4 t m Z O Z v q 8 b e e 1 j v M / + + G r u 5 8 f t w g K / G b m 7 c 5 4 A N j f t z v q F x f 5 I 3 D N C 1 v W / V 2 O / z 1 d P j 1 + n r L 0 / O j p + f I n P / 8 v R G l b O / v 3 u b V U b X i w a R 7 s 3 3 6 m B Y s 5 k O 9 h B 2 7 h L 3 j H f 2 b q f Z z J u 7 9 w 8 e 7 H 6 6 e 2 9 8 y 7 S 9 7 X H n Y P / h w w d 7 e + P 7 m 3 r 0 G F 3 f H J 4 e j 7 F v b O v x 9 Y 1 t P b a + s a 2 v 2 G 5 u H G G o W 9 L F V 2 z m 1 e 3 b v h t h g N s q t v d F M z L z t 1 V s 7 z 2 s 2 8 1 / X 7 H d P E / v w w G + Y r u 5 c Z 8 D b q f Y b m 7 c n + R b K b Z P r W I 7 e X P 2 k y k l x d 6 k v 0 / 6 9 P T l b X Q O K Z 2 b l Z r t w V d q / O Z 7 d T C s 1 E w H n 9 I r D + / d M u I 0 L 9 0 / 2 N m 8 5 u 1 x t H v n 3 g 0 d e W y t L 9 1 K j d 3 Y 1 u P i G 9 t 6 T H x j W 1 + N 3 d w 4 w j 4 3 k 8 T X Y O a t 7 V u 8 F p n o 2 y q v 9 0 A u M s u 3 1 V v v M 5 j 3 m W t f Z d 3 c + H 1 m 2 1 d Z N z f u z / a G x v 1 J 3 t C 4 P 7 U b B u j a P r A q C 7 5 Y + v r 0 1 U + m n 7 8 6 f n 4 r h X I b N 8 x 2 E G i s 2 7 l h X g f D G s t 0 s L t P a b K N 2 s f j Z v P S w 9 s r L N v P v d 0 b + v H 4 W V 8 a n g q P i W 9 s 6 / H w j W 0 9 F r 6 x r a + w b m 4 c Y Z 6 b S e I r L P P W 9 i 1 e i 8 z z b R X W e y A X m e X b K q z 3 G c z 7 z L W v s G 5 u / D 6 z 7 S u s m x v 3 Z 3 t D 4 / 4 k b 2 j c n 9 o N A 3 R t D w K F R T H j 8 7 M v T l + 8 O c Z S 5 K 1 0 y m 0 W I G 0 n g d K 6 c Q G y 2 8 G w 0 j I d 7 J F z / v D B w / t j r G M M c o 7 H 1 e b F W y q t 9 + v H 4 2 t 9 c X h K P G a + s a 3 H y z e 2 9 V j 5 x r a + 4 r q 5 c Y S J b k c W X 3 m Z N 7 d v + W p k z m + r w N 4 T y c i s 3 1 a J v e + g 3 m f u f U V 2 c + P 3 m X 1 f k d 3 c u D / 7 G x r 3 J 3 x D 4 / 4 U b x i g a / u w o 8 j e v D p + 8 f r l l 6 / e 3 C o F t n v / F m r M d h G o M b z 5 X h 0 M q z H T w T 2 k G X a I b 4 x f F x 2 8 x 9 v m x V u q s f f r x + N s f X F 4 Q j x W v r G t x 8 k 3 t v U Y + c a 2 v h q 7 u X G E h W 5 H F l + N m T e 3 b / l q Z M 5 v q 8 b e E 8 n I r N 9 W j b 3 v o N 5 n 7 n 0 1 d n P j 9 5 l 9 X 4 3 d 3 L g / + x s a 9 y d 8 Q + P + F G 8 Y o G 1 7 s B O o s f T 0 6 V c n t / f F s B R 4 g x J z H Q R K z C w i 3 r q D Q S V m O 6 A U / h 6 l H Y h t D v Z v p c X s m / c e 7 u 3 u H B z s j / c P b q X P 7 I s P 9 2 n x / P 4 u L Z 5 / e i t 9 Z l 4 c n h n H 0 z e 3 d S x 9 c 1 v H 0 T e 3 9 f T Z L R p H e O l 2 Z P H 0 m X 1 z + 5 a v R q b / l v r s f Z G M z P o t 9 d l 7 D + p 9 5 t 7 T Z 7 d o / D 6 z 7 + m z W z T u z / 6 G x v 0 J 3 9 C 4 P 8 U b B u j a 7 g b 6 j O L L k z e c y P / q t k m x A 6 t y h n W a 7 S T Q a f j 4 v T o Y 1 m m m g 7 3 9 g 4 P 7 O w f 3 x w 9 v F 1 / a F / d 3 7 n 1 6 f / / + + N N N H O f x t u 2 Q L O / B / f 2 d 8 d 4 t N Z q + O D w 3 H l f f 2 N Z j 6 h v b e j x 9 Y 1 t f o 9 3 c O M J N t y O L r 9 H M m 9 u 3 f D U y + b f V a O + J Z G T W b 6 v R 3 n d Q 7 z P 3 v k a 7 u f H 7 z L 6 v 0 W 5 u 3 J / 9 D Y 3 7 E 7 6 h c X + K N w z Q t d 0 z y u Z J P s 2 a m 1 T M 3 s 3 a y w J 0 r 9 w S 5 r D C M j D 3 H u w 8 I B f s 4 e 2 0 l X l r l z z + T + + B X Q b f 8 r j W v X V A i y U G / e h b H u / q W 8 M k 9 5 j 1 x r Y e r 9 7 Y 1 m P V G 9 v 6 i u r m x h E m 2 U w T e S 3 C C t u 3 e S 8 y 3 b d V U e + D X m S m b 6 u f 3 m s 4 7 z P f v n K 6 u f H 7 z L i v n G 5 u 3 J / x 2 y m n m x v 3 J / d W y u m e V U 6 n J + R t c f j 4 5 u w n j 1 / f q F P 2 9 / d 2 b r E A 6 X o w v p Z 9 8 7 0 6 G F Z d p o N P P y U 1 d P 9 2 i s u 8 s 4 k x P T 6 + d R c e L + s 7 t 9 J X N 7 b 1 2 P f G t h 7 3 3 t j W 1 1 c 3 N 4 7 w z Y 0 U 8 b W V e W n 7 5 r c i 8 3 t b X X V 7 1 C I z f F t N 9 R 5 D e Z 9 5 9 v X U z Y 3 f Z 6 Z 9 P X V z 4 / 5 M b 2 j c n + E N j f s T u 2 G A r u 2 + 0 S L P v s R y 4 5 f p 0 1 P k 6 s 9 + 8 s t b 6 Z H 9 W y g q 2 0 W g q P Z v p 6 h c B 8 O K y n S w S 4 7 3 5 q V q j 5 v N S w 8 e 3 P C O x 8 y 3 f s d j a H 1 n e D I 8 N r 6 x r c f F N 7 b 1 m P j G t r 6 6 u r l x h H 1 u p I i v r s x L 2 z e / F Z n l 2 6 q r 2 6 M W m e H b q q v 3 G M r 7 z L O v r m 5 u / D 4 z 7 a u r m x v 3 Z 3 p D 4 / 4 M b 2 j c n 9 g N A 3 R t 7 x t d I m 7 V 2 Y u f P H 3 1 + h Z Z e d Y l t 8 n K 2 w 4 C Z X V z V r 7 T w b C y M h 1 Q B u v B 3 q f 3 9 m + n r c x b u 3 v 7 9 2 4 f E L 7 H W x 5 P 6 1 v D 8 + F x 8 o 1 t P U a + s a 3 H x z e 2 9 T X W z Y 0 j H H Q L m v g 6 y 7 y 2 f Z v 3 I t N 9 W 6 3 1 P u h F Z v q 2 e u u 9 h v M + 8 + 1 r r p s b v 8 + M + 5 r r 5 s b 9 G d / Q u D / P G x r 3 J 3 f D A F 3 b T 4 1 i O b 5 e z 7 I m f V 1 N 0 y w 9 W z Z t 0 a 5 v 0 i 7 3 b l Z c F r 5 7 5 Z Y w h 3 W V g b l 3 f + c + M c r e w / G 9 g 9 v p K / P m v X s P P / 1 0 f 6 O W 8 7 j Y 9 r e L H P 3 D h / c 3 9 + f x s 7 4 5 P B M e D 9 / Y 1 m P h G 9 t 6 H H x j W 1 9 n 3 d w 4 w j u 3 p I u v t 8 y r 2 7 d 9 N z L 9 t 9 V d 7 4 t m Z O Z v q 7 / e e 1 j v M / + + D r u 5 8 f t w g K / D b m 7 c 5 4 A N j f t z v q F x f 5 I 3 D N C 1 f W B 1 m K w h v v 7 y 5 O z 4 + S k t J p I n d q O + 2 d + / f 6 v E l u 3 F u G D 2 z f f q Y F i t m Q 4 e U C Z 0 f 2 / 8 8 N P b 6 T T z 2 t 7 O D a 6 + x 9 f m n f u 3 6 M p j b 3 1 t e F I 8 d r 6 x r c f N N 7 b 1 m P n G t r 4 6 u 7 l x h I 1 u Q x R f l 5 n 3 t m / 1 Y m T C b 6 v I 3 g v B y G z f V o u 9 3 4 D e Z 8 5 9 F X Z z 4 / e Z d V + F 3 d y 4 P + s b G v e n e k P j / v R u G K B r e 2 B V G N J c 6 c m X L 3 4 y / f L V 5 7 f S L X u 3 U F 4 W f q C 8 9 m 6 n v F w H w 8 r L d H C w d / / h w c N P d 8 Y b F 3 M 8 p j Y v 7 t 7 b f Q 8 F Z t 7 6 9 O H + L b r z e F t f H J 4 U j 5 1 v b O t x 8 4 1 t P W a + s a 2 v w m 5 u H G G j 2 5 H F V 2 L m z e 1 b v h q Z + t u q s f d E M j L r t 1 V k 7 z u o 9 5 l 7 X 5 X d 3 P h 9 Z t 9 X Z T c 3 7 s / + h s b 9 C d / Q u D / F G w b o 2 j 6 0 q q z n j Z 2 + u I W + e X A r b 8 z 2 4 i m 0 B 7 f z x v w O h h W a 6 W D 3 0 w e 7 9 x 7 s 7 H 1 6 O 3 V m X q O s 2 3 t E m L a z / U 8 J v f s P l U u j r 3 n 8 r a 8 N T 4 v H 0 D e 2 9 f j 5 x r Y e O 9 / Y 1 l d m N z e O M N J t i O K r M v P e 9 q 1 e j E z 5 b R X Z e y E Y m e 3 b q r H 3 G 9 D 7 z L m v x G 5 u / D 6 z 7 i u x m x v 3 Z 3 1 D 4 / 5 U b 2 j c n 9 4 N A 7 R t H + 4 Y 9 f I y X z Z F t c y b 9 D r 9 z n p S l N m 0 u E H H 3 L 9 R e z n w 9 o 3 b Q R x U V x b i 7 o O 9 e z t I P Y y N c x c d q u N i + + Y m b n T M + 7 4 d O T Y 2 b w 7 T 3 3 H u z W 0 d 4 9 7 c 1 v H t z W 0 9 b X W L x h G O u S V d P I V l X 9 2 + 7 b u R e b + l z n p v N C M z f 0 u 1 9 f 7 D e p / 5 9 z T X L R q / D w d 4 m u s W j f s c s K F x f 8 4 3 N O 5 P 8 o Y B u r a 7 R r V U b U 3 5 / F B / 3 a R n H t 6 s u i x 8 9 8 o t Y Q 4 r L w P z l o z i s b N 5 8 5 b K 6 z 0 7 8 p h Z 3 x y e A o 9 5 b 2 z r 8 e 6 N b T 3 W v b G t r 7 x u b h x h m l v S x V d e 5 t V b S 3 l k 3 m + r v N 4 X z c j M 3 1 Z 5 v f e w 3 m f + f e V 1 c + P 3 4 Q B f e d 3 c u M 8 B G x r 3 5 3 x D 4 / 4 k b x i g a 7 t n l M v r 0 1 c / m X 5 x + v T s 5 M v 0 5 e / z n R t 1 D M 3 P z r 3 d m 7 W X 7 U D D R v f m e 3 U w r M p M B 7 d k G 4 + 5 z Z u 3 V G X v 2 Z H H 2 v r m 8 I R 4 r H x j W 4 + T b 2 z r M f K N b X 1 V d n P j C A v d k i 6 + K j O v 3 l r m I / N + W 1 X 2 v m h G Z v 6 2 q u y 9 h / U + 8 + + r s p s b v w 8 H + K r s 5 s Z 9 D t j Q u D / n G x r 3 J 3 n D A F 3 b e 0 b T v K m z Z X O e 1 / l y W p B D l q X P i t k N 6 u b T m x W Z B W / f u B 3 E Y c 1 l I O 7 d / 3 T 3 3 n 3 k S m + n t 8 x 7 u w 8 f 7 N 8 y f e / 1 t b / 7 6 e 4 N f X m s r O 8 N T 4 D H u j e 2 9 T j 3 x r Y e 4 9 7 Y 1 l d d N z e O s M y t q O I r L v P i 9 u 3 e j E z 6 b d X W + 6 E Y m f H b K q 3 3 H N L 7 z L u v s m 5 u / D 4 z 7 6 u s m x v 3 Z 3 5 D 4 / 5 s b 2 j c n + A N A 3 R t 9 0 O V J a p q l H 4 x a 6 v m J v 1 y C 9 / L g n e v 3 B L m s N I y M N 9 X a Z n 3 3 k d p u b 5 u w Z E e K + t 7 w 1 P g M e + N b T 3 e v b G t x 7 o 3 t v W V 1 s 2 N I 0 x z K 6 r 4 S s u 8 e E s J j 0 z 6 b Z X W + 6 E Y m f H b K q 3 3 H N L 7 z L u v t G 5 u / D 4 z 7 y u t m x v 3 Z 3 5 D 4 / 5 s b 2 j c n + A N A 3 R t 7 x u t c v z y y 1 d v j k / O v n z B a 4 3 P z p 6 e n t 2 o Y f Y / 3 b 3 N c q P r R e N G 9 + Z 7 d T C s y E w H e / f 3 d g 8 e 3 F 6 R m f d u q c P e q x u P s / W 9 4 R n x e P n G t h 4 r 3 9 j W 4 + Q b 2 / o 6 7 O b G E R 6 6 F V V 8 H W Z e 3 L 7 d m 5 H 5 v q 0 O e z 8 U I z N + W x 3 2 n k N 6 n 3 n 3 d d j N j d 9 n 5 n 0 d d n P j / s x v a N y f 7 Q 2 N + x O 8 Y Y C u 7 a d G u 7 x 5 d f z i 9 b P T V 6 c v T s 6 O X 6 e s x W 6 h Y u 7 d S o f Z X j w d d u 9 2 O s z v Y F i H m Q 7 u P d w / 2 O h U e X x t 3 n k f R + z W 7 3 h s r e 8 M T 4 f H y D e 2 9 f j 4 x r Y e G 9 / Y 1 l d g N z e O M N C N F P G V l 3 l p + + a 3 I p N 8 W 8 V 1 e 9 Q i M 3 x b p f U e Q 3 m f e f Y V 1 s 2 N 3 2 e m f Y V 1 c + P + T G 9 o 3 J / h D Y 3 7 E 7 t h g K 7 t A 6 N K X m Z 1 W 0 y L V T Y 1 i 4 z H q 8 3 6 5 N 7 N i s p C N y / c C t 6 w X j L w D j 4 9 u L + 3 c 3 9 n 7 9 7 4 w a e 3 U 0 / m 1 d 2 9 T + / f O 6 A E 6 v i + 6 s v o m x 4 L 2 0 7 v 3 z / 4 9 F P q e X e 8 d / 9 2 u k p f H Z 4 J j 4 d v b O u x 8 I 1 t P Q 6 + s a 2 v q 2 5 u H O G d 2 x L G V 1 n m 3 e 1 b v x x h g 9 t q r v d G N D L 7 t 1 V g 7 z + w 9 + E B X 4 / d 3 P h 9 u M D X Y z c 3 7 n P B h s b 9 a d / Q u D / N G w b o 2 h 4 M 6 L E b V M 4 t n C 0 L 2 b 5 x O 4 j D W s x A v P d g 5 + D h z j 6 p s v H O J l 3 k c b J 5 d X + f E o L 3 D g 7 G O / u 3 U 2 K 2 z 0 8 / 3 d / b h S M 4 B n 0 H X / U 4 W l 8 d n g a P g W 9 s 6 / H v j W 0 9 9 r 2 x r a / E b m 4 c Y Z z b E s Z X Y u b d 7 V u / H O G C 2 y q x 9 0 Y 0 M v u 3 V W L v P 7 D 3 4 Q F f i d 3 c + H 2 4 w F d i N z f u c 8 G G x v 1 p 3 9 C 4 P 8 0 b B u j a P v S V W D r 7 + F k + y 2 t S Z P / o 3 7 p M s 5 v 0 z i 1 U m Y X v X r k l z G F l Z m D e + 5 R U 0 t 7 9 + w / v j 3 c e 3 k 6 Z m V f 3 9 3 f v 7 R 3 Q i 5 / e T p e 5 L n f 2 H j z E B + P 9 T V 1 6 j K 2 v D s + G x 8 c 3 t v X Y + M a 2 H h f f 2 N b X Z T c 3 j v D P b Q n j 6 z L z 7 v a t X 4 4 w w W 1 1 2 X s j G p n 9 2 + q y 9 x / Y + / C A r 8 t u b v w + X O D r s p s b 9 7 l g Q + P + t G 9 o 3 J / m D Q M 0 b R 8 g d B d d 8 + z L F 0 + / T D 8 / f X H 6 6 v h 5 + v Q 0 f X n 8 6 k a 9 c 7 B 7 m 2 y + 1 4 t k w r w 3 3 6 u D I f X m O t i 7 d 3 / v g P l n f E / j 2 C g F L J N 7 r x 6 Q C X 2 4 / 2 B 8 / + A 2 + s 3 v c 2 / / 3 s H O w f 7 + + M G t A k 7 7 6 v A M W d 6 + R V v L 2 r d o a z n 7 F m 2 d f r t N 4 w h P 3 Z Y w T r + 5 d 7 d v / X K E C 2 6 n 3 7 4 G o p H Z v 5 1 + + z o D e x 8 e c P r t N o 3 f h w u c f r t N 4 z 4 X b G j c n / Y N j f v T v G G A r u 1 u q N 9 I r z 3 7 8 o v T F 2 + + T L / 4 6 s U t 1 M / e r f S b 7 c X T b 3 u 3 0 2 9 + B 8 P 6 z X R w 7 9 6 D / b 1 P 9 3 c P x v f 2 b 6 f e 7 J v 7 + 3 s P D u 5 t f s / j b 9 f j v Y c H 9 z 6 9 d 0 v N p q 8 N z 4 3 H 1 T e 2 9 Z j 6 x r Y e T 9 / Y 1 t d s N z e O c N N t i O J r N f P e 9 q 1 e j M z 7 b T X a e y E Y m e 3 b a r P 3 G 9 D 7 z L m v y W 5 u / D 6 z 7 m u y m x v 3 Z 3 1 D 4 / 5 U b 2 j c n 9 4 N A 3 R t 9 4 y O I c f s z d n J 2 c v j k 7 M v X 5 y + J p 3 2 / B Z 6 5 v 6 t F J n t x F N k 9 2 + n y P w O h h W Z 6 e D B v d 2 9 e / f 2 K A r 9 9 H Z 6 z L y 4 u w M L 8 G C 8 t + k 9 j 7 N t h 3 s 7 D z + 9 t / t g v M m 7 8 z h c 3 x u e G o + p b 2 z r 8 f S N b T 2 W v r G t r 8 h u b h x h p l t R x d d k 5 s X t 2 7 0 Z m f n b q r L 3 Q z E y 4 7 f V Z d 6 Q b t P T + 8 y 7 r 8 x u b v w + M + 8 r s 5 s b 9 2 d + Q + P + b G 9 o 3 J / g D Q N 0 b e 8 Z P f P M u m V n r 0 + O n 5 / 9 F G m 1 W y m b P a t s h r W Z 7 S X Q Z n j z v T o Y 1 m a m g 0 / 3 7 + / u 7 z y 4 v z P e 3 8 Q 7 H n e b N w 9 2 7 p M i p L W n h 7 d T Z 7 Z H X p W 4 v / t w v L v p T Y / N 9 c 3 h 6 f E Y + 8 a 2 H l / f 2 N Z j 6 x v b + g r t 5 s Y R h r o l X X y V Z l 7 d v u 2 7 E Q a 4 r V J 7 X z Q j M 3 9 b t f b e w 3 q f + f c V 2 8 2 N 3 4 c D f M V 2 c + M + B 2 x o 3 J / z D Y 3 7 k 7 x h g K 7 t v l E 5 Z 1 + 8 / O r 0 N c W Z p 6 9 f n p 6 c U U 7 t 9 Z e 3 0 j s 3 L 3 Z 6 v Q S K 7 e Z F z 0 4 H w 4 r N d L B 7 8 O D h v Y O H u 5 + O H 9 6 7 n W I z b 1 K U e o B F 9 f u f 3 k 6 x u R 7 v 7 z 3 c 2 f n 0 / v j e r R Y + 7 Z v D 0 + M x 9 o 1 t P b 6 + s a 3 H 1 j e 2 9 R X b z Y 0 j D H V L u v i K z b y 6 f d t 3 I w x w W 8 X 2 v m h G Z v 6 2 i u 2 9 h / U + 8 + 8 r t p s b v w 8 H + I r t 5 s Z 9 D t j Q u D / n G x r 3 J 3 n D A F 3 b + 1 3 F 9 j r 9 8 s m r 0 / T 4 q z d f f n E r v b N / C 8 V m e w k U 2 / 7 t F J v r Y F i x m Q 7 u 0 R L B / r 3 9 n f G n C j s 6 f o / B 7 Y t k S h / e H x u U o q 9 5 z O 3 6 u 3 9 v / 8 H + / f H e 7 Z S a v j c 8 N R 5 T 3 9 j W 4 + k b 2 3 o s f W N b X 6 n d 3 D j C T L e i i q / S z I v b t 3 s z M v G 3 V W j v h 2 J k x m + r z t 5 z S O 8 z 7 7 4 y u 7 n x + 8 y 8 r 8 x u b t y f + Q 2 N + 7 O 9 o X F / g j c M 0 L X 9 1 K i Z Z y b 8 P P n y i 5 e n L 1 4 j p 3 Y r X X P / F s r M 9 h I o s / u q O W 7 d w b A y M x 3 Q I s K 9 + + S l j T + 9 f z t l Z l / c f 7 B 7 n / I d m 1 7 z W N u + t n t w c P D g 3 r 3 b 5 t L 0 v e G p 8 Z j 6 x r Y e T 9 / Y 1 m P p G 9 v 6 y u z m x h F m u h V V f G V m X t y + 3 Z u R i b + t M n s / F C M z f l t l 9 p 5 D e p 9 5 9 5 X Z z Y 3 f Z + Z 9 Z X Z z 4 / 7 M b 2 j c n + 0 N j f s T v G G A r u 0 D o 2 Y 6 n t m b 0 x e n L 2 6 l a z 6 9 h T K z v Q T K z H h P t + 5 g W J m Z D u 7 f u 7 d 7 / + H 4 0 4 e 3 U 2 X m t f 1 7 e 7 t j E w F H X / L Y 2 v a 1 d 3 B w j 9 Z S b 6 n H 9 L X h W f H 4 + c a 2 H j v f 2 N b j 5 h v b + n r s 5 s Y R P r o N U X w 1 Z t 7 b v t W L k R m / r R Z 7 L w Q j s 3 1 b J f Z + A 3 q f O f d 1 2 M 2 N 3 2 f W f R 1 2 c + P + r G 9 o 3 J / q D Y 3 7 0 7 t h g K 7 t g d E u L 7 O 6 T W d 5 W m Z N e r p s 0 2 f 5 7 C Y N s 3 e z 8 r L g 3 S u 3 h D m s r w z M T 3 c f U i x 5 n z J k m / x 2 j 4 3 N i / c / 3 d l / u D f e 3 7 + d z n L 9 7 V N W 7 t P 9 z U s N H j v r i 8 P z 4 H H w j W 0 9 B r 6 x r c e / N 7 b 1 t d b N j S O c c z u y + H r L v L l 9 y 1 c j c 3 9 b z f W e S E Z m / b a 6 6 3 0 H 9 T 5 z 7 2 u v m x u / z + z 7 2 u v m x v 3 Z 3 9 C 4 P + E b G v e n e M M A X d u H V n s d v 3 p z d n L 2 E m H k i 9 P X F F i + O r t R 1 R z s 3 t s B R 9 + k x G w v x g O z b 7 5 X B 8 M a z X S w e + / + g 9 2 D h / f G n z 6 4 n U a z L z 7 4 d P f B 3 v j e p 7 f T a K 6 / e w / v P 7 j J f f O Y X F 8 c n h u P q 2 9 s 6 z H 1 w / f Q a D f C 9 T X a z Y 0 j 3 H Q 7 s v g a z b y 5 f c t X I 3 N / W 4 3 2 n k h G Z v 2 2 G u 1 9 B / U + c + 9 r t J s b v 8 / s + x r t 5 s b 9 2 d / Q u D / h G x r 3 p 3 j D A G 1 b 8 K 7 o G t J g p y f f p p D y 5 Z e v 0 t e n r 3 6 S 1 N u t F A 7 G d I N G c 7 0 E G g 1 v v l c H g x r N d r C 7 Q w r w 4 f 6 9 z Q t F j r 3 d i / s P d / Y / H e 9 t e s 3 x t n 3 t 4 c G n e w c P H 4 x v p 8 / M a 8 M z 4 3 j 6 5 r a O p W 9 u 6 z j 6 5 r a e P r t F 4 w g v 3 Y Y o n j a z 7 2 3 f 6 s X I r N 9 S l 7 0 f g p H Z v q U m e 8 8 B v c + c e 3 r s F o 3 f Z 9 Y 9 P X a L x v 1 Z 3 9 C 4 P 9 U b G v e n d 8 M A X d t d o 2 G + t m c G Y 3 O T H r O 9 B H r M m K l b d z C s x 0 w H e 7 R E 9 O k + Z S T 2 b 6 f G z H v 7 + 3 s H 9 z a u K 3 l s 7 T r b e X i P F t d 3 N 3 X m s b e + N z w v H k f f 2 N Z j 6 B v b e v x 8 Y 1 t f i 9 3 c O M J J t 6 K K r 8 b M i 9 u 3 e z M y 6 7 f V Y + + H Y m T G b 6 v I 3 n N I 7 z P v v i a 7 u f H 7 z L y v y W 5 u 3 J / 5 D Y 3 7 s 7 2 h c X + C N w z Q t d 0 z O u b V 6 U 8 e P z 9 7 y o o M K 5 f P z 0 5 O b 6 V o 9 m + h y W w v g S b D m + / V w b A m M x 2 Q 3 r t H D h l l z W 7 p k d k X H 9 x 7 o O h E X / H Y 2 u t r Z 2 + H 2 H R j X x 5 / 6 4 v D 8 + J x 9 I 1 t P Y a + s a 3 H z z e 2 9 T X Z z Y 0 j n H Q 7 s v i q z L y 5 f c t X I / N + W 1 3 2 n k h G Z v 2 2 y u x 9 B / U + c + 9 r s 5 s b v 8 / s + 9 r s 5 s b 9 2 d / Q u D / h G x r 3 p 3 j D A F 3 b e 0 b P m D V L j i + f H 6 c v X 5 2 + v p W y u X 8 L b W Z 7 C b T Z f V U f t + 5 g W J u Z D q j 1 3 o M 9 W u z e p J k 8 7 j b v U R R A 6 0 t m E T X 6 l s f Z r r e 9 e w 8 O 7 m / 0 5 z w G 1 9 e G 5 8 X j 6 B v b e g x 9 Y 1 u P n 2 9 s 6 2 u z m x t H O O k 2 R P F 1 m X l v + 1 Y v R u b 8 t p r s v R C M z P Z t 9 d j 7 D e h 9 5 t z X Y j c 3 f p 9 Z 9 7 X Y z Y 3 7 s 7 6 h c X + q N z T u T + + G A b q 2 + 0 a / k A Y 7 + + K r 5 5 Q m O z 3 5 8 s W X X 5 y d f H k 7 L f a p V T L D W s z 2 E m g x o z R u 3 c G w F j M d 7 O 3 t P / x 0 d 2 f 8 4 N P b a T H z 3 u 7 e / q c b N Z / H 1 b Y v e u n h 3 s P N f X n c r e 8 N T 4 v H 0 D e 2 9 f j 5 x r Y e O 9 / Y 1 l d i N z e O M N K t q O J r M f P i 9 u 3 e j E z 6 b d X Y + 6 E Y m f H b 6 r H 3 H N L 7 z L u v y G 5 u / D 4 z 7 y u y m x v 3 Z 3 5 D 4 / 5 s b 2 j c n + A N A 3 R t 7 x s V c 7 y q 6 j a b F t U y b 2 7 Q L 3 s 3 a y 4 L 1 r 5 x O 4 j D q s p A p K X t B 5 S a P / j 0 4 W 0 X K d 2 r O 7 v 3 9 g 0 u 0 Z c 8 5 v X 6 + 3 S f u r z 3 Y H N / H h / r q 8 P 0 9 z j 3 x r Y e 4 9 7 Y 1 u P b G 9 v 6 G u v m x h G O u S 1 h f K V l 3 t 2 + 9 c s R D r i t 3 n p v R C O z f 1 v V 9 f 4 D e x 8 e 8 L X X z Y 3 f h w t 8 7 X V z 4 z 4 X b G j c n / Y N j f v T v G G A r u 2 n g f Z K Z x 8 / y 2 d 5 T V r s H / 1 b l 2 l 2 k 9 L x P b A A m 0 g H 7 p V b w h z W Z A b m 1 9 B k 9 t X 3 0 W R e f 7 d i T Y + t 9 d X h u f C 4 + M a 2 H h P f 2 N b j 4 R v b + p r s 5 s Y R 7 r k t Y X x N Z t 6 9 v c B H O O C 2 m u y 9 E Y 3 M / m 0 1 2 f s P 7 H 1 4 w N d k N z d + H y 7 w N d n N j f t c s K F x f 9 o 3 N O 5 P 8 4 Y B u r Y P j K J 5 9 u W L p 1 8 i u 3 9 M e b E 3 s m h 5 o 9 I 5 u L e 3 s 3 s L d W Z 7 0 Y D S v f l e H Q z r N t P B 7 v 7 u w 4 P 9 / U / v 0 d r j p 7 f T b f b V 9 9 F t X n 8 H B x T 4 7 u x u 7 s 9 j d H 1 1 e H Y 8 v r 6 x r c f W N 7 b 1 u P r G t r 5 u u 7 l x h J 9 u S x h f t 5 l 3 t 2 / 9 c o Q D b q v b 3 h v R y O z f V r e 9 / 8 D e h w d 8 3 X Z z 4 / f h A l + 3 3 d y 4 z w U b G v e n f U P j / j R v G K B r e / D B u u 0 2 r p r t J d B t t / D Y w g 6 G d Z v p Y H / v 0 / v 7 n + 7 R C q Z Z H Y 0 S w O N x 8 + Y m P v X Y + j 0 7 8 h h c 3 x y e F Y + f b 2 z r s f O N b T 1 u v r G t r 9 N u b h z h o 1 v S x V d p 5 t X t 2 7 4 b m f f b a r T 3 R T M y 8 7 d V a O 8 9 r P e Z f 1 + f 3 d z 4 f T j A 1 2 c 3 N + 5 z w I b G / T n f 0 L g / y R s G 6 N o + N J q G 1 N j v Q 5 n / 4 6 d n U G X H z 0 / p 9 1 u o m / u 3 8 t V s L 5 4 + u 3 8 7 X 8 3 v Y F i f m Q 7 u 7 e 7 u 4 L m d L j N v 3 V K X v U c n H l / r W 8 O z 4 f H x j W 0 9 N r 6 x r c f F N 7 b 1 9 d j N j S P 8 c w u a + D r M v L Z 9 m / c i 8 3 x b / f U + 6 E V m + r a 6 6 7 2 G 8 z 7 z 7 e u t m x u / z 4 z 7 e u v m x v 0 Z 3 9 C 4 P 8 8 b G v c n d 8 M A b V t g L x r l p F p e 5 s u i u i n R f + 9 G L e V g 2 j d u B 3 F Q L V m I 9 3 Y e H h z s P K Q 1 7 f H O w a 1 0 k 3 3 1 Y I e c + 3 v 3 9 8 b 7 m x I X j n e 9 P n c f P H z w 4 O E + p e R U 0 U Z f d W x s X h 2 e A M e 6 N 7 d 1 n H t z W 8 e 4 N 7 f 1 V N U t G k d Y 5 r a E 8 f S V f X f 7 1 i 9 H u O C W S u v 9 E Y 3 M / i 0 1 1 9 c Y 2 P v w g K e + b t H 4 f b j A U 1 + 3 a N z n g g 2 N + 9 O + o X F / m j c M 0 L X d 7 a m v d J a n T / N m m i / b m / T O z W u W D r 5 7 5 Z Y w h 5 W Z g f k 1 l J l 5 9 b 2 V m e v z d t z p c b a + O j w d H i P f 2 N b j 4 x v b e m x 8 Y 1 t f m d 3 c O M J A t y W M r 8 z M u 7 e X + Q g X 3 F a Z v T e i k d m / r T J 7 / 4 G 9 D w / 4 y u z m x u / D B b 4 y u 7 l x n w s 2 N O 5 P + 4 b G / W n e M E D X d s 8 q s y 9 f / O T p i z M K I y k v 9 v T 0 9 c k p 1 M w N i u f g / q 3 y / a 4 X j S H d m + / V w b B + M x 1 8 D f 1 m X n 1 v / e b 6 v B 3 D e s y u r w 7 P k M f b N 7 b 1 W P v G t h 5 n 3 9 j W 1 2 8 3 N 4 7 w 1 G 0 J 4 + s 3 8 + 7 t 1 U C E C 2 6 r 3 9 4 b 0 c j s 3 1 a / 3 X J g c f 1 2 M / n f h w l 8 / X Z j Y 1 + / 3 d y 4 z w W 3 0 2 8 3 N + 5 P 8 6 3 0 2 z 2 j e c 6 W b V 7 n z S g 9 q R Z F U 1 T L / I a o c / 9 m t W a B m x d u B W 9 Y i x l 4 u / s H 9 3 c e 7 u / s k j K 6 p R Y z r x 7 c P 9 h 9 u L / 3 c P z w d k r M d n n v 4 c O 9 B / v 3 D / b G 9 z d 1 6 X G 0 v n o r J X Z j W 4 9 / b 2 z r s e + N b X 0 l d n P j C O P c l j C + E j P v b t / 6 5 Q g T 3 F a J v T e i k d m / r R J 7 / 4 G 9 D w / 4 S u z m x u / D B b 4 S u 7 l x n w s 2 N O 5 P + 4 b G / W n e M E D X d r + j x H K O O M u M g s 7 1 7 A a t c w v v z I K 3 b 9 w O 4 r A i M x A P d v c f H B w 8 u L c 3 x n g H u c T j Z v P m g 9 1 P d / Z 2 D h 6 O H 2 w y y B 4 r 2 x f 3 7 + 0 e f P r p P j H m 3 u 3 0 m L 4 5 P B M e D 9 / Y 1 m P h G 9 t 6 H H x j W 1 + P 3 d w 4 w j u 3 p I u v x s y r 2 7 d 9 N 8 I B t 9 V i 7 4 t m Z O Z v q 8 T e e 1 j v M / + + D r u 5 8 f t w g K / D b m 7 c 5 4 A N j f t z v q F x f 5 I 3 D N C 1 v f 8 h O u w W S s z C d 6 / c E u a w G j M w 3 1 + N m T f f W 4 3 Z F 2 / H m x 5 b 6 5 v D k + G x 8 Y 1 t P S 6 + s a 3 H x D e 2 9 d X Y z Y 0 j 7 H N L u v h q z L x 6 a 3 m P c M B t 1 d j 7 o h m Z + d u q s f c e 1 v v M v 6 / G b m 7 8 P h z g q 7 G b G / c 5 Y E P j / p x v a N y f 5 A 0 D d G 0 / N W r m 5 f H n X y J V d v b i z e m r 0 9 e n r 9 P n x z e q n I d 7 u z t g r 5 u U m e 1 F 8 m X e m + / V w b B m M x 1 8 + u D B A T H P w b 2 N 8 a L H 4 P b F 3 X v 3 H t 7 / d G 9 8 b 5 P 7 7 7 G 3 e / H T / Q c P d / d 2 b 6 3 Y 9 M 3 h 6 f E Y + 8 a 2 H l / f 2 N Z j 6 x v b + o r t 5 s Y R h r o l X X z F Z l 7 d v u 2 7 E Q a 4 r W J 7 X z Q j M 3 9 b x f b e w 3 q f + f c V 2 8 2 N 3 4 c D f M V 2 c + M + B 2 x o 3 J / z D Y 3 7 k 7 x h g K 7 t g w 9 X b P s 3 K z b b S 6 j Y 9 t + z g 2 H F Z j p 4 Q G p w 5 + G D e + O D T a z j M b h 5 k R J v n 3 7 6 4 N P x g e I U f c / j b v P e p / d 3 7 l H e 7 d P x w 1 u m z / T F 4 c n x 2 P r G t h 5 X 3 9 j W Y + o b 2 / p q 7 e b G E X a 6 H V l 8 r W b e 3 L 7 l q 5 H J v 6 1 S e 0 8 k I 7 N + W 5 3 2 v o N 6 n 7 n 3 V d r N j d 9 n 9 n 2 V d n P j / u x v a N y f 8 A 2 N + 1 O 8 Y Y C u 7 c G w S n t 6 e i u N g 5 5 v U m m 2 l 0 C l m U D x 1 h 0 M q z T T w a f k p j 3 c e b A / v r 8 p l v T Y 2 7 x 4 f / f T + 7 S g M N 7 f 5 O N 5 z G 0 7 3 P 2 U Y t 6 9 / f H O L T 0 1 f X F 4 c j y 2 v r G t x 9 U 3 t v W Y + s a 2 v k q 7 u X G E n W 5 H F l + l m T e 3 b / l q Z P J v q 9 L e E 8 n I r N 9 W p b 3 v o N 5 n 7 n 2 V d n P j 9 5 l 9 X 6 X d 3 L g / + x s a 9 y d 8 Q + P + F G 8 Y o G v 7 0 C g b t 4 r p 0 m g 3 a J y 9 m 3 W Z B W / f u B 3 E Y e V l I O 7 e + / T + / v 4 e Z c J 2 b h l p m j f v 7 e 0 f 7 O x s 4 k q P i V 1 3 9 8 j I 3 t i d x 8 7 6 5 v A s e P x 7 Y 1 u P f W 9 s 6 3 H v w 8 d 3 b 6 + 7 b g T s 6 6 7 3 p I u v v M y r 2 7 d 9 N z L 7 t 9 V e 7 4 t m Z O Z v q 7 7 e e 1 j v M / + + / r q 5 8 f t w g K + / b m 7 c 5 4 A N j f t z v q F x f 5 I 3 D N C 2 v b c T 6 K 9 Q f c 1 u 0 j a 7 N y o w B 9 + 9 c k u Y g y r M w n x v F W b f f B 8 V 5 n V 3 K 7 5 0 L G 3 e H J 4 I x 8 I 3 t 3 U c f H N b x 8 A 3 t / V U 2 C 0 a R 1 j n l n T x V J h 9 9 d a y H p n 9 W 6 q w 9 0 Y z M v O 3 V G H v P 6 z 3 m X 9 P h d 2 i 8 f t w g K f C b t G 4 z w E b G v f n f E P j / i R v G K B r u 2 t V 2 J d f n L 0 + + / I F h 5 O U J K N / v 7 p R 3 T y 8 d 6 s V A N e L R p X u z f f q Y F i r m Q 7 e X 6 u Z N 9 9 L q 7 n u b s W q H p f r m 8 N z 4 3 H 1 j W 0 9 p r 6 x r c f T N 7 b 1 t d r N j S P c d E u 6 + F r N v H p r 8 Y / M / m 2 1 2 v u i G Z n 5 2 2 q 1 9 x 7 W + 8 y / r 9 V u b v w + H O B r t Z s b 9 z l g Q + P + n G 9 o 3 J / k D Q N 0 b f e s v s m a t v K 9 s i x 9 e Y P S u Y U 6 c + D N G 7 e D O K y / D M S 9 + / c e 7 N / f 2 9 8 Z Y 2 4 H u c T j Z f P m L T X X e 3 b k c b K + O U x / j 3 N v b O s x 7 o 1 t P b 6 9 s a 2 v u W 5 u H O G Y W 9 L F 1 1 z m 1 e 3 b v h u Z 9 9 t q r v d F M z L z t 9 V c 7 z 2 s 9 5 l / X 3 P d 3 P h 9 O M D X X D c 3 7 n P A h s b 9 O d / Q u D / J G w b o 2 t 4 L N F e o u P 7 R v + c m R b N 7 s + 5 y H d h X b g l z W H s Z m L f k F I + f z Z u 3 1 F 7 v 2 Z H H z f r m 8 B x 4 3 H t j W 4 9 5 b 2 z r 8 e 6 N b X 3 t d X P j C N f c k i 6 + 9 j K v 3 l r M I / N + W + 3 1 v m h G Z v 6 2 2 u u 9 h / U + 8 + 9 r r 5 s b v w 8 H + N r r 5 s Z 9 D t j Q u D / n G x r 3 J 3 n D A F 3 b f a t c j l + / + d K L J J 8 e 3 + x 3 7 T 7 c v 1 0 0 6 X q R a N K 9 + V 4 d D O s z 0 8 E t e c f j c P P m L f X Z e 3 b k 8 b e + O T w r H j / f 2 N Z j 5 x v b e t x 8 Y 1 t f n 9 3 c O M J H t 6 S L r 8 / M q 7 c W / M i 8 3 1 a f v S + a k Z m / r T 5 7 7 2 G 9 z / z 7 + u z m x u / D A b 4 + u 7 l x n w M 2 N O 7 P + Y b G / U n e M E D X 9 r 7 R N C c V v L F V V a c n 1 S S v 2 3 W d N T e o m / 2 b F Z k F b 9 + 4 H c R h z W U g P t j 9 9 B 4 t Z t w b P 7 x / O 8 V l X r y l 4 n q / f j w + 1 h e H q e / x 7 Y 1 t P b a 9 s a 3 H t T e 2 9 f X W z Y 0 j / H I 7 s v h q y 7 y 5 f c t X I 3 N + W 6 3 1 n k h G Z v 2 2 S u t 9 B / U + c + / r r J s b v 8 / s + z r r 5 s b 9 2 d / Q u D / h G x r 3 p 3 j D A F 3 b T z 9 E Z 9 0 i g L T w 3 S u D M E O Y w 2 r L w L w d n 3 i 8 b F 6 8 p d p 6 v 3 4 8 T t Y X h y f A Y 9 0 b 2 3 q c e 2 N b j 3 F v b O u r r Z s b R 1 j m d m T x 1 Z Z 5 8 7 Y S H p n z 2 6 q t 9 0 Q y M u u 3 V V v v O 6 j 3 m X t f b d 3 c + H 1 m 3 1 d b N z f u z / 6 G x v 0 J 3 9 C 4 P 8 U b B u j a P r B q 6 0 s K H d O X X 7 5 K T 7 5 8 c v r q z V e v j l / f q G I e 3 r 9 d 6 G h 7 0 d D R v f l e H Q x r M t P B 7 V j H Y 2 / z 4 i 0 1 2 f v 1 4 z G 3 v j g 8 J x 4 3 3 9 j W Y + Y b 2 3 q 8 f G N b X 5 P d 3 D j C R b c j i 6 / J z J u 3 F f r I n N 9 W k 7 0 n k p F Z v 6 0 m e 9 9 B v c / c + 5 r s 5 s b v M / u + J r u 5 c X / 2 N z T u T / i G x v 0 p 3 j B A 1 / b A 6 J j j V X V N i 4 / P i m W 2 n B Z 5 X d 3 k f t 2 / W Y F Z 4 P a N 2 0 E c 1 l g G 4 t 7 O w b 2 D e z t 7 D 8 Y 7 q g 6 j A / X 4 2 L y 5 u / P w 0 4 f 3 k J F 4 e D v l Z V 9 8 + G B / 9 9 6 n B 5 + O D / Z v p 7 3 0 z e F 5 8 D j 4 x r Y e A 9 / Y 1 u P f G 9 v 6 2 u v m x h H O u S V d f P V l X t 2 + 7 b s R D r i t / n p f N C M z f 1 s F 9 t 7 D e p / 5 9 z X Y z Y 3 f h w N 8 D X Z z 4 z 4 H b G j c n / M N j f u T v G G A r u 3 D Y Q 2 W Z j d p n L 2 b l Z i F 7 1 6 5 J c x h N W Z g v r 8 a M 2 + + t x q z L 9 6 O N z 2 2 1 j e H J 8 N j 4 x v b e l x 8 Y 1 u P i W 9 s 6 6 u x m x t H 2 O e W d P H V m H n 1 1 v I e 4 Y D b q r H 3 R T M y 8 7 d V Y + 8 9 r P e Z f 1 + N 3 d z 4 f T j A V 2 M 3 N + 5 z w I b G / T n f 0 L g / y R s G a N v u 7 1 g 1 9 v L L 3 4 d W I 4 / T 4 2 9 / + e r V 8 d M v X 5 3 e F F L e 3 3 v 4 6 d 5 t Q k r X i 4 a U 7 s 3 3 6 m B Q s 9 k O 3 l u z 2 T f f V 7 O 5 F 2 / H r o 7 T z Z v D 8 + M 4 + + a 2 j r F v b u v 4 + u a 2 n m a 7 R e M I R 9 2 S L p 5 m s 6 / e W g V E O O C W m u 2 9 0 Y z M / C 0 1 2 / s P 6 3 3 m 3 9 N s t 2 j 8 P h z g a b Z b N O 5 z w I b G / T n f 0 L g / y R s G 6 N r u G p 3 z Z Q u f 7 P O M M v 1 N e p 2 + / E f / 6 n p W b N Y 8 N w e Z D r x 5 4 V b w h j W Y g X f v / s G n O / T c H + / s 3 k 6 D m T f 3 d j / 9 d G e s f m L 0 J Y + H v e 7 u P z i 4 t 7 8 / P t j U n c f N + u b w H H j c e 2 N b j 3 l v b O v x 7 o 1 t f e 1 1 c + M I 1 9 y S L r 7 2 M q 9 u 3 / b d y O z f V n u 9 L 5 q R m b + t 9 n r v Y b 3 P / P v a 6 + b G 7 8 M B v v a 6 u X G f A z Y 0 7 s / 5 h s b 9 S d 4 w Q N d 2 z 6 i X 0 6 Y t F q P 0 a b 6 q c / x o 8 3 p 0 g 7 L Z v V l 7 W f D 2 j d t B H N Z f B u K 9 + w 8 e P P x 0 d 3 d v / H A T l 3 i 8 b N 5 8 L / 3 l d / d g n z z F 8 Y N b 6 i 9 9 c 3 g W P P 6 9 s a 3 H v j e 2 9 b j 3 x r a + / r q 5 c Y R v b k k X X 3 + Z V 7 d v + 2 5 k 9 m + r v 9 4 X z c j M 3 1 Z / v f e w 3 m f + f f 1 1 c + M o B 9 x C f 9 0 I 2 d d f N z f u z / n t 9 N e N j T 0 s 7 h k F w 4 p r W m T T 4 h / 9 W 5 f p L E + f F P n y J n V z i 5 D S d u B e u S X M Y R 1 m Y O 4 9 + P T h w c G D + / f G D x 7 e T o e Z N z c x p c f D 7 9 m R x 8 3 6 5 q 2 0 1 4 1 t P e a 9 s a 3 H u z e 2 9 b X X z Y 0 j X H N L u v j a y 7 y 6 f d t 3 I / N + W + 3 1 v m h G Z v 6 2 2 u u 9 h / U + 8 + 9 r r 5 s b v w 8 H + N r r 5 s Z 9 D t j Q u D / n G x r 3 J 3 n D A F 3 b f a u 9 T l + + O j 0 5 O z 4 5 + / J F + v Q 0 f X J 2 + u J G R b O L + O 0 W T p j t R b J i 3 p v v 1 c G w P j M d 3 J J 3 P A 4 3 b 9 5 S n 7 1 n R x 5 / 6 5 v D s + L x 8 4 1 t P X a + s a 3 H z T e 2 9 f X Z z Y 0 j f H R L u v j 6 z L x 6 a 8 G P z P t t 9 d n 7 o h m Z + d v q s / c e 1 v v M v 6 / P b m 7 8 P h z g 6 7 O b G / c 5 Y E P j / p x v a N y f 5 A 0 D d G 3 v W 3 3 W 9 c b O l u f 1 T f p m / 2 Z V Z j t w r 9 w S 5 r D 2 M j D 3 7 h 8 8 2 H 0 4 N j m 2 6 F g 9 Z j a v 3 V J 1 v U 8 v H h / r a 8 P U 9 / j 2 x r Y e 2 9 7 Y 1 u P a G 9 v 6 e u v m x h F + u Q 1 R f K V l 3 t u + 1 Y u R u b 6 t x n o v B C O z f V t 1 9 X 4 D e p 8 5 9 3 X V z Y 3 f Z 9 Z 9 X X V z 4 / 6 s b 2 j c n + o N j f v T u 2 G A r u 2 n V l d 1 f K + z F 8 9 e 3 a h W b u t 7 2 V 6 M 7 2 X f f K 8 O h r W X 6 e A 2 j O M x t n n t l t r r f X r x 2 F p f G 5 4 P j 5 N v b O s x 8 o 1 t P T 6 + s a 2 v v W 5 u H O G g 2 x D F 1 1 7 m v d s J e 2 S u b 6 u 9 3 g v B y G z f V n u 9 3 4 D e Z 8 5 9 7 X V z 4 / e Z d V 9 7 3 d y 4 P + s b G v e n e k P j / v R u G K B r + 8 B q r 6 + T 9 7 p / s + K y H b h X b g l z W F c Z m A c 7 9 + 4 / 3 N 3 f u 7 W 2 M i / e f 3 j / w f j e 7 V S W 3 9 m 9 3 Y P 7 4 7 1 b K i 1 9 c X g a P A a + s a 3 H v z e 2 9 d j 3 x r a + 0 r q 5 c Y R x b k c W X 2 2 Z N 7 d v + W p k 4 m + r u N 4 T y c i s 3 1 Z 1 v e + g 3 m f u f e V 1 c + P 3 m X 1 f e d 3 c u D / 7 G x r 3 J 3 x D 4 / 4 U b x i g a 3 t g l d f X S H v d v 6 3 r Z X s x r p d 9 8 7 0 6 G F Z n p o P 3 V m f m x f d R Z 3 5 n N / O p x + H 6 4 v D E e C x 9 Y 1 u P o 2 9 s 6 z H 0 j W 1 9 d X Z z 4 w g r 3 Y 4 s v j o z b 9 5 W 8 i M T f 1 t 1 9 p 5 I R m b 9 t u r s f Q f 1 P n P v q 7 O b G 7 / P 7 P v q 7 O b G / d n f 0 L g / 4 R s a 9 6 d 4 w w B d 2 4 d G 0 R w v q r o t f u B 8 s e N p W 9 y k b h 7 c r M l s B + 6 V W 8 I c V l 4 G 5 u 7 B w / 2 H D 8 Y 7 e 7 d T X f a 1 + w 9 2 9 s Y P b 6 e 7 7 E s P 7 j 1 4 u D / e 3 d S X x 8 z 6 2 v A c e N x 7 Y 1 u P e W 9 s 6 / H u j W 1 9 z X V z 4 w j X 3 I Y o v t 4 y 7 2 3 f 6 k U 3 4 / b F 2 2 q t 9 0 I w M t u 3 1 V n v N 6 D 3 m X N f Y 9 3 c + H 1 m 3 d d Y N z f u z / q G x v 2 p 3 t C 4 P 7 0 b B m j b 3 t + x G u u L L 1 + 9 O f s p 6 4 A d n 7 w 5 u 1 G 5 3 N I B c 7 0 Y B 8 y + + V 4 d D O o w 2 8 H 7 6 T D 3 2 n v o M P f S L Z j U M b d 5 b X h W H D / f 3 N a x 8 8 1 t H T f f 3 N b T Y b d o H O G j 2 x D F 0 2 H 2 v d u J f G T G b 6 n D 3 g / B y G z f U o e 9 5 4 D e Z 8 4 9 H X a L x u 8 z 6 5 4 O u 0 X j / q x v a N y f 6 g 2 N + 9 O 7 Y Y C u 7 a 7 R L l + 2 d d W k n 2 d N W z U 3 q J a H N y s t C 9 a + c T u I w 1 r K Q C S X / O D h 3 l j V X 3 R 4 H u e a t z Z x o M e w 7 9 G J x 7 b 6 1 j C 9 P U 6 9 s a 3 H q D e 2 9 f j 0 x r a + d r q 5 c Y R D b k E T X z m Z 1 7 Z v 8 1 5 k n m + r m 9 4 H v c h M 3 1 Y 1 v d d w 3 m e + f c 1 0 c + P 3 m X F f M 9 3 c u D / j G x r 3 5 3 l D 4 / 7 k b h i g a 7 t n V M i r v F m X b T a r 0 l V V p y + r p p g W N + m T T 2 9 W U R a + e + W W M I e V l I F 5 b + / h 7 o P x g 4 e 3 U 1 L m r V s q q f f o x G N g f W u Y 9 B 7 T 3 t j W 4 9 k b 2 3 o s e 2 N b X 0 n d 3 D j C L L e g i a + k z G v b t 3 k v M s + 3 V V L v g 1 5 k p m + r p N 5 r O O 8 z 3 7 6 S u r n x + 8 y 4 r 6 R u b t y f 8 Q 2 N + / O 8 o X F / c j c M 0 L W 9 Z 5 X U 6 e u v n r 9 J f + / 0 5 Z e v 0 y + + f H F 6 o z a 5 b f x n u 9 D 4 z 7 3 5 X h 0 M K y 3 T w S 2 Y x m N p 8 9 Y t l d Z 7 d O I x t L 4 1 P B U e E 9 / Y 1 u P h G 9 t 6 L H x j W 1 9 p 3 d w 4 w j y 3 o I m v t M x r t 5 L y y D z f V m m 9 D 3 q R m b 6 t 0 n q v 4 b z P f P t K 6 + b G 7 z P j v t K 6 u X F / x j c 0 7 s / z h s b 9 y d 0 w Q N d 2 3 2 g U P + Z L f z K r i 5 t D v 4 c 3 K y w L 3 r 1 y S 5 j D O s r A f P B g 5 + G D / f E 9 1 X 7 R k X o s b F 6 7 p Z J 6 n 1 4 8 D t b X h m n v c e 2 N b T 2 m v b G t x 7 M 3 t v W 1 1 M 2 N I 9 x y G 6 L 4 a s q 8 t 3 2 r F y N z f V s 9 9 V 4 I R m b 7 t o r q / Q b 0 P n P u a 6 q b G 7 / P r P u a 6 u b G / V n f 0 L g / 1 R s a 9 6 d 3 w w B d 2 / t G l T w 5 / s 4 x p 9 V / 8 s v 0 2 d l 3 v i Q 3 6 9 W N a m V 3 5 + H D h 3 s 3 K y z b i / G w 7 J v v 1 c G w 9 j I d 3 I Z x P M Y 2 r 9 1 S e 7 1 P L x 5 b 6 2 v D 8 + F x 8 o 1 t P U a + s a 3 H x z e 2 9 b X X z Y 0 j H H Q b o v j a y 7 x 3 O 2 G P z P V t t d d 7 I R i Z 7 d t q r / c b 0 P v M u a + 9 b m 7 8 P r P u a 6 + b G / d n f U P j / l R v a N y f 3 g 0 D d G 0 / N X r l Z J 0 v 2 6 x J Z 3 n 6 Z T 3 L l + l J t d y o X B 7 c r L Q s c G 1 / G 2 j D G s p A 2 3 3 w 8 P 7 + / Z 2 9 g / H O J j / c 4 9 / 3 f N P j Y P P m J g 7 2 G P g 2 z T 2 2 N c 3 v 3 X u 4 + / D h v d 3 9 / f H B h j c 9 H t 7 4 5 k Y 1 d h s U f U 2 m 7 W + n y W 4 F P M I g G 9 t H W O C 2 i u t W 7 d 9 z u n 2 F d a v 2 / Q m / n Z 6 6 F f D 3 n F l f W 9 2 q / X t O r q + z b t X + f S f X N X 9 g l M v x Z V b m T X p N Q W K d L d t / 9 K / P N k e I D + 7 d r L k s c P P C r e A N 6 y 4 D b / f B p w c P S E P f u 7 X u e s 8 3 P W Y 2 b 9 5 S d 9 2 m u c f K F q / 9 B w f 3 P 9 3 / 9 M H e + G A T Y h 5 j v + + r H o / f B k l f e 2 n 7 2 2 m v W w G P M M l t t d e t 2 k e m / r b a 6 1 b t 3 3 P G f e 1 1 M z E j k 3 x b 7 X W b 9 r 7 2 u l X 7 9 5 x c X 3 v d q v 3 7 T q 5 r f m C 1 1 0 8 e P / / i 5 d m X x y d f v j j 5 9 t k N m m Z 3 5 7 Y p e d s B B 4 z + m + / V w b B K M x 1 s G r D H z K b 5 v d 3 7 D z 4 d 7 6 t K v U m H m b f 2 H + 4 e j M F e g y 9 5 f G 2 7 + n T / 4 f 7 4 0 0 1 B h M f d 7 / G W x + a 3 o Y L H 5 e / R i a / G 9 L X b q T H T x / Y t S O 2 r s / e Y I V + r v V d 3 E Y a 4 r X Z 7 H / Q i z H B b J X c z q S O z f 5 v p j H D B 9 i 3 e 8 3 X e b c b i 6 7 z 3 Q M 9 X f b f q J s o B N / f j Y f e w p w J f v j o 7 f X N 8 O w 1 1 i 5 y Z 7 S B U g Z t z Z v 0 O h l W g 6 e C W K t A 0 3 3 + 4 s 3 t v d 4 w 4 f f A 1 j / H N a 9 v v p Q R t Z w f 3 9 3 b v j e 9 p + H 2 T F n y f 1 z x B u A 0 l P A F 4 n 1 5 8 P a j v 3 U 4 P e n S 7 m d 6 + I n y f e f I 1 4 f t 1 G G G M 2 6 r C 9 0 I w w h O 3 1 Y U 3 k z v C A r e a 0 w g v b N / m R V 8 b 3 m Y 0 v j Z 8 H w R 9 d X i r f q J s c I u O H H 6 f 7 v T 0 4 f M 3 x 5 t X E K y y u j m k d e B D b X h T b N v t Y F A b 2 g 5 u p w 1 t 8 7 3 7 F N r e G 8 O K D L 7 m e P 9 W v T i W f 6 9 e H O e / 1 2 t O B m 6 F n G P 9 9 + r F U 4 P m v V u p Q d v J 9 q 1 6 i T D M r d 6 L 8 M H t O o x w x C 3 V 4 P s h G O G J j f 3 0 m e F W a v D 9 k I r w w q 2 o 5 q n B W 4 3 G U 4 P v h a C n B m / X z 9 d m A / f e b k 8 N v j r 7 y d N b h 8 b 7 N 2 t C 2 0 O o C f f f s 4 N h T W g 6 2 E Q q j + 9 N 8 9 0 H u / c e j A 9 2 b 6 c I b 9 O J x / T v 0 Y n H + u / x l i c D t 0 H N Y / 3 3 6 M T X g v r a 7 b S g 6 W P 7 N p 1 E e O U 2 r 0 U 4 4 F b d R V j h t i r w f d C L M M N t N e D N p I 7 M / m 1 w i n D B b U j m 6 7 / b j M X X f + + B n q / + b t X N 1 + U A 9 9 p e R P v 9 1 M v T 2 6 m m + z f r P g s / 1 H 0 a Q d y 6 g 2 H d Z z q 4 p e 4 z z f c e f v p w d / x A Y / O b d N 9 t O v H Y / T 0 6 8 Z j + P d 7 y u P 8 2 q H l c / x 6 d + L p P X 7 u d 7 j N 9 b N + m k w i v 3 O a 1 C A f c q r s I K 9 x W 9 7 0 P e h F m u K 3 u u 5 n U k d m / D U 4 R L r g N y X z d F x / L s O 5 7 D / R 8 3 X e r b r 4 u B 7 j X 7 n V 1 3 5 P j k + M X X 7 4 6 v p 1 y + v R m 7 W d 7 C L X f p + / Z w b D 2 M x 3 c U v u Z 5 n t 7 e / c e j h / s 3 0 7 7 3 a Y T j + H f o x O P 7 d / j L Y / / b 4 O a x / f v 0 Y m v / f S 1 2 2 k / 0 8 f 2 b T q J 8 M p t X o t w w K 2 6 i 7 D C b b X f + 6 A X Y Y b b a r + b S R 2 Z / d v g F O G C 2 5 D M 1 3 6 3 G Y u v / d 4 D P V / 7 3 a q b r 8 s B 7 r X 9 v v Z 7 c f z F 2 c m 3 b 6 e c H t y s / W w P o f b T 9 O S t O x j W f q a D W 2 o / 0 3 y X l 4 1 u 6 / v d p h O P 4 d + j E 4 / t 3 + M t j / 9 v g 5 r H 9 + / R i a / 9 9 L X b a T / T x / Z t O o n w y m 1 e i 3 D A r b q L s M J t t d / 7 o B d h h t t q v 5 t J H Z n 9 2 + A U 4 Y L b k M z X f r c Z i 6 / 9 3 g M 9 X / v d q p u v y w H u t f s 9 7 X f 6 4 j u k / l 7 c T j k d 3 K z 9 b A + h 9 j t 4 z w 6 G t Z / p 4 J b a z z R H B w 8 e b F 7 X 9 T j / N r 1 4 H P 8 + v X i M / z 6 v e S J w G + Q 8 1 n + f X n w N q O / d T g O a T r Z v 1 U u E Y W 7 1 X o Q P b t d h h C N u q w T f C 8 E I T 9 x W C 9 5 M 7 g g L 3 A q p C C / c i m q + H r z N a H w 9 + D 4 I + o r w V v 1 8 b T Z w 7 3 3 a 1 Y Q n x 6 + e f H k r L Q U Z u U k N W v C B G t z V U d 2 6 g 2 E 1 a D q 4 p R o 0 z f f 2 7 9 F a + Y O H t 9 O C t + n E 4 / j 3 6 M T j + / d 4 y x O A 2 6 D m 8 f 1 7 d O K r Q H 3 t d i r Q 9 L F 9 m 0 4 i v H K b 1 y I c c K v u I q x w W / 3 3 P u h F m O G 2 6 u 9 m U k d m / z Y 4 R b j g N i T z l d 9 t x u I r v / d A z 9 d 9 t + r m 6 3 K A e + 1 B T / V 9 9 c X L 4 9 e 3 U 0 2 7 N + s + C z / U f b v v 2 c G w 7 j M d 3 F L 3 m e a 7 9 / Y e 7 u + M d + 7 d T v n d p h e P 3 9 + n F 4 / t 3 + c 1 T w B u g 5 z H + O / T i 6 / / 9 L 3 b 6 T / T y f a t e o k w z K 3 e i / D B 7 T q M c M R t V e B 7 I R j h i d v q w J v J H W G B W y E V 4 Y V b U c 3 X g r c Z j a 8 F 3 w d B X w 3 e q p + v z Q b u v Y O u H n x 6 9 p N n r 4 + f n t 5 O U e 3 d r A l t D 6 E m 1 G D 9 1 h 0 M a 0 L T w S 0 1 o W l + 7 w F R a r y 3 i U 4 e 9 9 t O x j u q w 2 / S h Z 1 + 9 m + n C t / j L U 8 M b k M C j / v f o x N f E e p r t 1 O E p o / t W 9 D Z 1 4 P v M T 2 + G n y v 7 i L c c F s t + D 7 o R Z j h t k r w Z l J H Z v 8 2 0 x n h A k O y T e / 5 K v A 2 Y / F V 4 H u g 5 2 v A W 3 W z g Q M 2 k s G 9 9 r C r A L 8 4 / q n j N 8 c v b q e e 7 t + s / 2 w H o f 6 7 / 5 4 d D O s / 0 8 E t 9 Z 9 p f v / T 3 d 2 9 8 b 1 N Z P L 4 f q C T I e X 3 H p 1 4 X P 8 e b 3 n s f x v U P L Z / j 0 5 8 5 a e v 3 U 7 5 m T 6 2 b 9 N J h F d u 8 1 q E A 2 7 V X Y Q V b q v 8 3 g e 9 C D P c V v n d T O r I 7 N 8 G p w g X 3 I Z k v v K 7 z V h 8 5 f c e 6 P n K 7 1 b d f F 0 O s K 8 9 2 O k p v y 9 P 3 p z + 1 F e 3 0 0 2 f 3 q j 8 X A e h 8 v v 0 P T s Y V H 6 2 g 9 s p P 9 t 8 d / c e L R r d 1 v u 7 V S + O 4 d + r F 8 f 3 7 / W a k 4 B b I e c 4 / 7 1 6 8 R S g e e 9 W C t B 2 s n 2 r X i I M c 6 v 3 I n x w u w 4 j H H F L H f h + C E Z 4 4 p Z K 8 B b k j r D A r Z C K 8 M K t q O a p w V u N x l O D 7 4 W g p w d v 1 8 / X Z g P 3 3 m 5 X E b 4 4 P v n y p 4 5 f 3 U 5 P P b h Z E d o O Q k X 4 4 D 0 7 G F a E p o N b K k L T f P f + 3 t 7 + w f i B a u S b F O F t e v G Y / n 1 6 8 X j / f V 7 z p O A 2 y H n M / z 6 9 + I p Q 3 7 u d I j S d b N + q l w j D 3 O q 9 C B / c r s M I R 9 x W E b 4 X g h G e u K 0 i v J n c E R a 4 F V I R X r g V 1 X x F e J v R + I r w f R D 0 F e G t + v n a b O D e 2 + s q w p c v T / / R P / n 4 9 c n t F N X D m z W h 7 S H U h A / f s 4 N h T W g 6 u K U m N M 3 v 7 9 6 / f + / 2 m v A 2 v X h c / z 6 9 e M z / P q 9 5 Y n A b 5 D z u f 5 9 e f E 2 o 7 9 1 O E 5 p O t m / V S 4 R h b v V e h A 9 u 1 2 G E I 2 6 r C d 8 L w Q h P 3 F Y T 3 k z u C A v c C q k I L 9 y K a r 4 m v M 1 o f E 3 4 P g j 6 m v B W / X x t N n D v 3 e t q w l d f v j 5 + d f b l r f Q U C H O T I r Q d B I p w T 8 d 1 6 w 6 G F a H p 4 J a K 0 D S / d 2 / n 0 0 / H B + q a 3 q Q H b 9 O J x / P v 0 Y n H + e / x l i c C t 0 H N 4 / z 3 6 M R X g v r a 7 Z S g 6 W P 7 N p 1 E e O U 2 r 0 U 4 4 F b d R V j h t h r w f d C L M M N t F e D N p I 7 M / m 1 w i n D B b U j m q 7 / b j M V X f + + B n q / 9 b t X N 1 + U A 9 9 p + V / m 9 P v 7 2 V 6 T 9 b q e b d m 9 W f r a D U P n t v m c H w 8 r P d H B L 5 W e a 7 + / s 3 d 8 f 3 1 N v 9 C b l d 5 t O P H 5 / j 0 4 8 r n + P t z z 2 v w 1 q H t u / R y e + 8 t P X b q f 8 T B / b t + k k w i u 3 e S 3 C A b f q L s I K t 1 V + 7 4 N e h B l u q / x u J n V k 9 m + D U 4 Q L b k M y X / n d Z i y + 8 n s P 9 H z l d 6 t u v i 4 H u N f u 9 5 X f i z f H x 7 d T T X s 3 6 z 4 L P 9 R 9 e + / Z w b D u M x 3 c U v e Z 5 n v 3 H + 4 + v D e + d + 9 2 y u 8 2 v X j 8 / j 6 9 e G z / P q 9 5 A n A b 5 D z G f 5 9 e f P 2 n 7 9 1 O / 5 l O t m / V S 4 R h b v V e h A 9 u 1 2 G E I 2 5 U g V 8 H w Q h P 3 F Y H 3 k z u C A v c C q k I L 9 y K a r 4 W v M 1 o f C 3 4 P g j 6 a v B W / X x t N n D v f d r X g 6 / O T m 6 n p e 7 d r A Y t + F A N K n K 3 7 m B Y D Z o O b q k G T f N P 9 3 Y P D s b 3 b 6 c E b 9 O H x / C 3 7 8 P j + t u / 5 H H / b R D z m P 7 2 f f j q T 9 + 6 n f o z X W z f o o 8 I m 9 z i r c j c 3 6 a z C A / c V v G 9 B 3 I R L r i t 2 r u Z z J G J v w V K k f m / B b 1 8 l X e b k f g q 7 / b I + Q r v V r 1 8 z c l 3 b z 3 o q r s 3 X z 3 5 6 s 3 x F 7 f T R / s 3 K z z b Q a j w 9 t + z g 2 G F Z z q 4 p c I z z f d 3 7 t 1 7 O N 5 R / / M m j X e b T j x e f 4 9 O P I 5 / j 7 c 8 1 r 8 N a h 7 P v 0 c n v t L T 1 2 6 n 9 E w f 2 7 f p J M I r t 3 k t w g G 3 6 i 7 C C r f V e + + D X o Q Z b q v 4 b i Z 1 Z P Z v g 1 O E C 2 5 D M l / 1 3 W Y s v u p 7 D / R 8 3 X e r b r 4 u B 7 j X D r r K 7 6 t X p 6 9 v p 5 j u 3 6 z 5 L P R Q 8 6 l i v n U H w 5 r P d H B L z W e a 7 + 7 c v 7 c 3 3 l E N f J P m M 2 9 t 7 4 x 3 d m + n / T o d 3 T L m f Y + 3 P P 6 / D Q 0 8 v n + P T n z t p 6 / d T v t Z i t 2 C 0 L 7 2 e 4 / 5 8 b X f e 3 U X Y Y f b a r / 3 Q S / C D L f V f j e T O j L 7 t 5 n O C B c Y k t 0 2 1 r 3 N W H z t 9 x 7 o + d r v V t 1 s 4 I B b R r o P f e 1 3 8 u X x y + P T 1 0 8 / v 1 E 7 7 Z F 2 g i a 4 S f 1 Z 8 F b 9 m T f f q 4 N h 9 W c 6 2 N v b f 7 h z / 9 P x 3 q Z M p 8 f 4 5 r 3 d 3 f s P 7 t 3 f e X j b q N e 8 d + / T h z v 3 P n 2 w s z 9 + u K l H T w b s m w 8 O 7 n 1 K 3 R 6 M b + k R v t + L n m C Y F 2 + p F t + v H 1 8 z 6 p u 3 0 4 y m m + 2 H 9 / b 2 9 + / f G 5 u l r x t 1 o 3 n z d i 9 G m O S W X U b Y 5 L b 6 8 f 1 Q j H D H b T X k z S S P M M I t Z z b C E 9 u 3 e 9 X X k 7 c Z k a 8 n 3 w 9 J X 1 X e q q c Y O 9 y u K 4 f j w U 5 E W 3 7 7 7 P n z L 2 + n z / Z u V J i u h 1 B h K n 6 3 7 m B Q Y d o O 9 h 7 s H j z Y G 4 N N B k f u B M G + R m 7 p w f 2 d T 8 c Q k s H 3 n E D Y 9 z b N j R M D 2 / z B v U 8 / v X d v / P D T W 6 n I 9 3 r N y c W t k H P C 8 F 6 9 e O r R v H c r 9 W g 7 2 b 5 V L x H O u d V 7 E Y a 4 X Y c R l r i l b n w / B C M 8 c U v V e A t y R 1 j g V k h F e O F W V P P U 4 q 1 G 4 6 n F 9 0 L Q U 4 q 3 6 + d r s 4 F 7 b z e i E l 8 / f 3 X z Y g k r r J s X S 1 w H o U a 8 e b E k 7 G B Y I 5 o O 6 J 1 7 D 3 f G t 1 S I 5 i 0 y 9 H s 7 D w / G D z a Z E E 8 K z H u 3 V I i m + d 7 9 3 Z 0 H O w / G D 2 / n N L 7 f e 5 4 8 3 A Y 9 T w z e q x t f J + q L t 9 O J p p f t 2 3 U T Y Z 7 b v R h h i l t 2 G W G M 2 6 r F 9 0 M x w h q 3 1 Y s 3 k z z C B 7 f D K s I R t y O c r x l v M x 5 f M 7 4 X i r 5 q v F V H N / H C M D F c R 3 u + b n x 2 / P I W e U V W W v s 3 a 0 U L O t S K + + / Z w b B W N B 3 s H 9 z b 2 d s b 7 9 1 S L Z r X 7 t 2 7 d 3 / v 3 u 7 m d K E n B e a 9 3 Y c P d n f u 3 b + / t 9 k A e W L g 3 n z 4 8 P 7 9 B 5 / u j j 9 9 e D s d + Z 5 v e t J h 3 r y l l n z P j n w 9 q a / e T k + a f r b 3 D u 7 v 7 e 2 Q U d q Y B Y q w 0 + 1 e j L D J L b u M c M p t 9 e T 7 o R h h k N v q y Z t J H u G E 2 0 5 t h C u 2 b / m u r y t v M y Z f V 7 4 n m r 6 2 v F V X M Y 6 4 Z V 8 e l v c C f X n 2 9 P T s 5 M s v z l 5 / e U u 1 e f N y j O s h V J s 3 L 8 e E H Q y r T d P B 3 q c P 9 3 Y p r b h / S 7 1 p 3 t u 9 d 3 D / 3 v 6 9 / c 3 s 7 Y m F e X F / f 5 c S m b v 7 N 4 T m n l z Y N + / v H T z 8 d P / B 7 v j e L R X n e 7 7 p i Y t 5 8 5 a K 8 z 0 7 8 h W n v n o 7 x W n 6 2 d 7 d 3 f 1 0 9 9 7 e / b F Z o b t R c 9 q J u 9 2 b E V a 5 b a c R b r m t 7 n x P J C N M c l v l e T P Z I 9 x w 2 + m N c M b 2 L d / 1 l e d t x u Q r z / d E 0 1 e e t + o q x h O 3 7 M v D c t 9 X n u k X Z 8 9 O n 9 9 9 d v r F l 2 9 u p 9 s + v V l 5 2 h 5 C 5 f n p e 3 Y w r D x N B 3 t 7 x K h 7 B / f G 9 z e N 3 Z M H 8 + I B v / j g / v j + 7 Z Z z 7 I v 3 D n Y / p W f 3 3 v j B p j c 9 w T B v k t 7 F m z v 3 x w 8 2 u b q e i L z n m 5 6 8 m D d v q T 3 f s y N f e + q r t 9 O e p p / t + w / 5 2 b 1 9 0 t K 8 e s s 3 I 7 x y 2 0 4 j 3 H J b 7 f m e S E a Y 5 L b a 8 2 a y R 7 j h t t M b 4 Y z t W 7 7 r a 8 / b j M n X n u + J p q 8 9 b 9 V V j C d u 2 Z e H 5 f 1 A e 7 4 5 f X 7 6 x f H v f T v F 9 u B m z W m h h 5 r z w X t 2 M K w 5 T Q f 7 9 3 f 4 u Z 3 a N G 9 t a u 7 J w X t 0 4 s m A v j X M 0 x 7 / 3 9 j W Y / 8 b 2 3 r 8 f m N b X / f d 3 D j C N 7 e g i a / 3 z G v b t 3 k v M s 8 b 2 0 d m + D b d R G Z 6 Y / v + H N 9 u O O 8 z 3 7 6 + u 7 n x + 8 y 4 r 9 J u b t y f 8 Q 2 N + / O 8 o X F / c j c M 0 L X 9 1 N d X p 6 + f n b 3 6 4 o u X Z z e t Q + / t 7 G J 2 d m / W W B a + a i z 3 5 n t 1 M K y x T A d 7 + / c e 3 K N 4 1 y x x R w f u c b R 5 7 5 Y 6 6 z b N P U Y 2 z b d v h Z b H y b f p x + P l 9 x q 9 x 9 b v h 5 + v 1 f T N 2 2 m 1 9 0 L P 1 2 v v i V + E H 2 6 r 2 d 4 P x f f k C F + 3 v e e Q + j x x O + 3 2 n t 1 E e O J W L / p q 7 / 2 6 9 H X g b W j o q 8 H 3 Q / F 9 u c I 1 f 9 D X i l + + + v z 0 d k p r 7 2 a t a O G H W l F H c + s O h r W i 6 Y D a P 9 z Z 3 T / Y H + 9 v i k c 9 e T B v 3 n 9 4 j 3 I 8 n 9 4 b 7 2 + i s S c P 5 s X t X U o 7 3 q f F 7 N 0 H Y 3 j S g + 9 6 s u G 9 S 3 n e P Z r b g z E + H H z X k w 7 z 7 i 0 1 p q X M L X v y B O S 9 s f T 1 p r 5 8 O 7 1 p e t r f v U 9 p 3 D 1 a / r p 3 S 8 V p c b z l q x G e u a 3 m f E 8 k I 6 x y W 9 X 5 v o P q c 8 f t d O f 7 T 3 C E O 2 7 7 r q 9 B 3 7 t j X 4 n e h p q + E n 1 v R N + X R 1 z z A 6 P n v r M u p k X V b N Z v + z c r T g v Q v H A r e M N 6 0 s D b N B 6 P 5 W / T 3 O P z 2 z T 3 2 P w 2 z T 3 W N s 1 3 7 z + k A H / / 4 Y P 9 M Z h 5 8 F W P 0 d / 3 V Y / N b 4 O k r / e 0 / e 3 0 3 q 2 A R 9 h h Y / v 3 n G 5 f x d 2 q / X t O u K / Y b t W + P + W 3 0 2 a 3 A v 6 e M + s r r V u 1 f 8 / J 9 f X U r d q / 7 + S 6 5 g + N K n l K K b o X T 4 9 f p 9 / 5 6 u n Z y d n x 8 x u 0 y u 6 t g 1 / b h b h 5 3 p v v 1 c G w + j I d b B q y x 8 6 3 a e 5 x s 2 l + W y 3 h M f b 7 v u r x + P u + 6 n H 8 b c b n M f z 7 9 u S r N X 3 3 d m r t N n j 5 a u 1 W 7 d + T D X y 1 d q v 2 E U a 4 r V q 7 V f v + l N 9 O r b 3 3 r E V m f P u 2 L / v 6 7 j a j 8 v X d + y L q 6 7 5 b 9 R X h g F s P z O H 5 c M d o q V e n r 7 9 8 / t X J 2 Z c v U t G J N + i p W 2 c B X R e q C G + X B e x 1 M K g I b Q e 3 U 4 S 3 a u 7 4 3 z a / N X W d L L z / u 0 4 u b o W m k w z b / L Y 9 O c F 4 f y w 9 X W h e v p U u v N W Y P F 1 4 u / b v y Q m e L r x d + w g v b G w f m f + N 7 f t z f i t d + D W m L T L n t 3 3 X 0 4 X v 3 7 G n G G 9 F E k 8 Z v j + i 7 8 s O r v m u U V R n y 8 u 8 b o p / 9 G 9 d p i / / 0 b 9 n U h b T b L O y u n + z F r T A z Q u 3 g j e s 9 A y 8 T W P z O P 0 2 z T 1 G v 0 1 z j 8 9 v 0 9 x j c 9 N 8 7 9 7 O / v 3 7 9 w 8 e j j f N q M f y 7 / e i x + 6 3 Q d D X a t r + d l r t V s A j r L C x / X t O t a / V b t X + P S f b 1 2 q 3 a t + f 7 t t p t V s B f 8 + Z 9 Z X X r d q / 5 + T 6 + u p W 7 d 9 3 c l 3 z P a N G T r 5 8 8 e b V 8 Z s v X 6 d n L 3 7 y 9 N X r s x s 0 y q 0 D V 9 e F + G v e m + / V w b D q M h 3 c U n X d p r n H z a b 5 7 X S E x 9 b v 9 6 L H 3 + / 3 o s f r t x m Z x + r v 1 4 + v z v T N 2 6 m z 2 2 D l q 7 N b t X / P 6 f f V 2 a 3 a R x j g t u r s V u 3 7 0 3 0 7 d f a e c x a Z 7 e 3 b v e r r u N u M y N d x 7 4 e k r + 1 u 1 V N k 7 m 8 5 K A / H e 0 Y r q b q j O P X l V 0 + e n 5 0 c 3 6 C X b h + o 2 i 5 U 8 d 0 u U O 1 1 M K z 4 T A e 3 V H y 3 a e 7 x v W l + S 9 p 6 E v C e b 3 q y c B s U P W k w z W / X j y c M 7 4 m h r / v 0 1 d v p v t u M x 9 d 9 t 2 r / n h z g 6 7 5 b t Y / w w G 1 1 3 6 3 a 9 + f 7 d r r v f S c t M t + 3 e 9 P X f e / Z q a 8 G b 0 M M X / m 9 J 5 L v y w a u + b 5 R T E + K f J k 3 a b 5 M T 6 r l N G + K a p l t 1 k 6 f 3 q z 2 L H T z w q 3 g D W s 5 A 2 / v 0 0 8 f 7 J t I 9 y Z d d / u X P G 4 3 L 2 0 i o 8 f s t 2 n u 8 b p p / n D 3 4 T 7 l E h 6 M M W 2 D L 3 p 8 / 3 4 v e l x / G w R 9 1 a b t b 6 f a b g U 8 w h a 3 V W 2 3 a h + Z 8 d u q t l u 1 f 8 / Z 9 l X b z c S M T P F G 4 D f P 7 K A W u w 1 8 X 3 X d q v 1 7 T q 6 v s G 7 T 3 k P n v l V Y 6 Z P j 7 3 y Z n n z 5 x Z d P K V i 9 Q b f c u 7 W r Z j s Q V 8 1 7 8 7 0 6 G F Z i p o O b 9 Z H H 0 u a l T V T y O N o 0 3 6 f l a + r n 0 z E 4 Z v B F j 7 X t i / f 3 d u / v P t z d / K L H 4 + / 3 o s f v t x m Z x + 7 v 1 4 + v 0 v T N 2 6 m 0 2 0 + S r 9 j M W 9 u 3 e C 3 C E b f V b + + B X I Q n b q v l 3 m c w f U a 4 n b J 7 z 9 m M 8 M H 2 7 V 7 1 N e B t C O F r w P d D 0 t e F t + o p w g i 3 H J S H 4 6 d G a 5 n k n V W M 6 Z O z G 1 T X / q 1 1 o + 1 F d a N 7 8 7 0 6 G N a N p o N N B P M E w T S / m U M 9 O T A v b b + 3 c n R v 3 m p 6 P K G 4 z b g 8 s T D N b 9 e P J x X v i a G v H v X V 2 6 l H 2 8 / N l P f 1 4 + 3 n y 1 e P 7 9 N Z h D l u 6 w W + B 3 I R n r i t L 3 g z m S N 8 c N v p j H D C 7 d 7 0 1 e N 7 d u p r y t s Q w 9 e P 7 4 n k e y o K D 7 E H V j 2 + O U 5 / b 9 K N T 1 4 d v 0 p P v 5 M e Q 1 U B w p D y e n D 7 1 Q 3 b i W h H 7 8 3 3 6 m B Y O 5 o O b q k d b 9 P c 4 3 / T f P / T B / f 2 H u x + O n 6 w f z u 1 + H 4 v e r L w f i 9 6 c n G b k X m y 8 H 7 9 + E p R 3 7 y d U r w N V r 4 2 v F X 7 9 5 x + X w H e q n 2 E A W 7 r I N 6 q f X + 6 b 6 f 6 3 n P O I r O 9 f b t X f d V 3 m x H 5 + u 7 9 k P Q 1 3 6 1 6 i s z 9 L Q f l 4 X h g t N L x 0 9 O v n t K i 7 s s v X 6 W v T k + + e n m D X r r 9 6 o b t Q h X f 7 V Y 3 e h 0 M K z 7 T w S 0 V 3 2 2 a e 3 x v m t + S t p 4 E v O e b n i z c B k V P G k z z 2 / X j C c N 7 Y u j r P n 3 1 d r r v N u P x d d + t 2 r 8 n B / i 6 7 1 b t I z x w W 9 1 3 q / b 9 + b 6 d 7 n v f S Y v M 9 + 3 e 9 H X f e 3 b q q 8 H b E M N X f u + J 5 P u y g W v + 0 C i m k 3 W + b L M m n e X p l / W M F j l e 1 v l G 7 X R w s 9 a z w L X 9 b a A N q z g D j T K J n 9 4 7 u E e L P v t 7 Y 0 j A 4 D g 9 b n / / l z 3 W N y 9 v o q n H + d p 8 m J M 9 r r + x r c f 0 N 7 b 1 u P z G t r 4 e u 7 l x h G N u q 8 d u 1 T 4 y z b f V Y 7 d q / 5 6 T 6 e u x W 7 V / n x n 1 9 d j N j d 9 n T n 1 l d X P j / p x u a N y f 0 A 2 N + 7 O 5 Y Y C m 7 c H O j l E X z / N r 6 K G z 5 U W d N 1 W z W X H s 3 q S H P M D m h V v B G 9 J E D t 7 u p / f u P 9 z b u 7 + 7 8 + m 9 8 c 6 n t 9 F E X + d l y 7 z u 5 V t p I t t 8 m P q W b 2 / R 1 r L t L d p a r r 1 F W 6 e J b t M 4 w i + 3 0 0 S 3 b B + Z 5 t t p o l u 2 f 8 / J d J r o l u 3 f Z 0 a d J r p N 4 / e Z U 6 e J b t O 4 P 6 c b G v c n d E P j / m x u G K B r u 2 s 1 0 e n v k 5 6 9 + P z V 6 e s v 0 9 P X b 8 6 + u E F 3 c L i 2 g 7 5 u 0 k m 2 C 4 4 I / T f f q 4 N h J W U 6 2 D / 4 d O f + p / c e H u w c 3 E 5 B m R d 3 d + 8 / e H j v 0 0 1 v e c z s u r v / c H / n 0 5 3 9 / U 1 s 6 n G 1 v j g 8 L x 5 H 3 9 j W Y + g b 2 3 r 8 f G N b X 0 f d 3 D j C S b c j i 6 + t z J v b t 3 w 1 M v W 3 V V z v i W R k 1 m + r w t 5 3 U O 8 z 9 7 4 2 u 7 n x + 8 y + r 8 1 u b t y f / d t p s 5 s b 9 6 f 4 V t p s r 6 v N K L 9 / + h 3 K b 7 2 5 Q d n s 3 V q b 2 S 5 U m 7 k 3 3 6 u D Y W 1 m O r j / 6 a c P 7 9 2 / d 3 9 v 7 9 7 4 V q G f e 3 X / 4 b 2 H n + 4 / u I d V l H s P b 6 f V z L s P 9 h 4 + 2 P l 0 b + f e 7 v j h 7 u 3 0 m r 5 6 K 7 1 2 Y 1 u P t W 9 s 6 3 H 2 j W 1 9 v X Z z 4 w h P 3 Z Y w v m Y z 7 2 7 f + u U I I 9 x W t 7 0 3 o p H Z v 6 1 2 e / + B v Q 8 P + P r t 5 s b v w w W + f r u 5 c Z 8 L N j T u T / u G x v 1 p 3 j B A 1 / a e U T 5 f f P n 0 L L V K j v y 1 G 9 T P v V v r N 9 u F 6 j f 3 5 n t 1 M K z f T A e b W M 3 j a t N 8 7 + A B / b G / f z t t Z t 7 a v s V r H l v r a 8 N z 4 X H x j W 0 9 J r 6 x r c f D N 7 b 1 N d n N j S P c c x u i + F r s P a b A 1 1 / v 1 V 1 k x m / r m b 0 P e v 2 5 v n W M e T O p 3 2 f C f a 1 1 Y 2 N f a 9 3 c u D / j G x r 3 p 3 l D 4 / 7 k b h i g a 7 t v V I q L M d O n p z 9 5 + u L z G 5 T K / q 2 1 l u 1 C t Z Z 7 8 7 0 6 G N Z a p g P y y g 7 2 7 t 2 7 / + D + p + P 9 v d u p M P P u w e 7 D h x R m 7 h 2 M 7 2 8 y l R 5 r 2 1 7 v H 3 y 6 d 2 9 / b 3 f v w a 2 9 M n 1 3 e I Y 8 3 r 6 x r c f a N 7 b 1 O P v G t r 4 u u 7 l x h K d u T R l f o Z m X t 2 / / d o Q V b u u X v T + q E Q 6 4 r W P 2 N Y b 2 P n z g 6 7 i b G 7 8 P J / g 6 7 u b G f U 7 Y 0 L g / 8 x s a 9 y d 6 w w B d 2 / s D O u 4 n T 2 + n g n Z v 1 n G 2 i 1 D H 6 d z e u o N h H W c 6 I D 1 1 8 P D g w e 7 u + M G 9 2 2 k 4 8 y Z r x 7 3 9 n Y N 7 D 8 e f 7 t 9 O x 5 l 3 b 8 + x H r v r y 8 N T 5 D H 3 j W 0 9 3 r 6 x r c f a N 7 b 1 l d z N j S N M d X v S + F r O T s q t X 4 7 w w n t 0 H e G H 2 7 p w 7 4 9 q n w d u 7 c j d P A X v w w i + k r u x s a / k b m 7 c 5 4 Q N j f s T v 6 F x f 6 I 3 D N C 1 / T S i 5 F 6 d n h x / 9 f Q G H X T / 1 o 6 c 7 U K V n H v z v T o Y V n K m g w c P d w 7 2 d 2 m 5 Y P z p J k b z m N q 8 S U r u / r 3 d g 3 u f U n b t / i Y X 0 G N w 8 + 7 t x c l j c H 1 5 e I o 8 5 r 6 x r c f b N 7 b 1 W P v G t r 6 S u 7 l x h K l u T x p f y d l J u f X L E V 5 4 j 6 4 j / H B b J f f + q P Z 5 4 N Z K 7 u Y p e B 9 G 8 J X c j Y 1 9 J X d z 4 z 4 n b G j c n / g N j f s T v W G A r u 0 D q + T y 6 3 S W p 6 c X d d 5 U z W Y F t H e z Z r N w z Q u 3 g j e s y A y 8 T 0 n t 7 X + 6 S + t L D x 6 O 8 e k g f 3 i 8 + / 4 v e 4 x s X t 7 E i x 7 r a v N h 4 n t s e 2 N b j 2 t v b O s x 7 Y 1 t f f V 1 c + M I u 2 w U z A g b b G w f m e b b R p u 3 a v + e k + k r o l u 1 f 5 8 Z 9 R X R z Y 3 f Z 0 5 9 R X R z 4 / 6 c b m j c n 9 A N j f u z u W G A r u 2 B U R g v X 7 9 8 8 2 V 6 y u 7 W 8 c t X X z 6 5 Q X f s d r 2 t Q Z 1 k u x B v y 3 v z v T o Y V l K m g 7 1 7 D z 5 9 s P v p L l Y k j e 6 L j t / j Z P P u g 7 1 7 n + 7 u 7 e 1 + e u + G d z 2 u N u / e c v X d 4 2 9 9 c 3 i G P N 6 + s a 3 H 2 j e 2 9 T j 7 x r a + t r q 5 c Y S n b k k X X 3 G Z V 2 / 5 Z o Q J b t t p h A d u q 8 3 e E 8 n + v N 9 a r 9 1 M 9 v e Z f F + v 3 d j Y 1 2 s 3 N + 7 P / o b G / f n e 0 L g / x R s G 6 N o + j O m 1 3 z s 9 / c 4 N q b K 9 v V v r N d u F 6 j X 3 5 n t 1 M K z X T A f I 6 O 9 R Q H j v 0 5 2 D z R k v j 6 n d y w / 2 K A T d f / j g 3 o P x w a Z I w O N w 8 / L e p x S + 7 t 4 7 e L A z P t i U p f N Y X F 8 d n i S P v W 9 s 6 3 H 3 j W 0 9 5 r 6 x r a / a b m 4 c Y a v b E s b X b e b d 7 V u / H O G F 2 + q 0 9 0 Y 0 M v u 3 1 W r v P 7 D 3 4 Q F f x d 3 c + H 2 4 w F d x N z f u c 8 G G x v 1 p 3 9 C 4 P 8 0 b B m j b g o d 9 F f f y y 1 d Q b 6 9 O T l / d T g P t 3 q j i X B e h i l M t c u s O B l W c 7 W A T q z m u t s 0 f 7 H z 6 6 f 6 D B 7 Q A c P / g V h r N v r l 9 y 1 c d e 5 t X h + f E c f P N b R 0 z 3 9 z W 8 f L N b T 2 N d o v G E S 6 6 L W E 8 j f a + 0 + H p s / f v N s I F G / V T Z O 5 v 2 1 V / 7 m / r s N 2 C 9 O / D A J 4 2 u 7 m x p 8 1 u 0 b j P A R s a 9 6 d 8 Q + P + J G 8 Y o G u 7 a 1 T N F 1 8 + T Z 3 T R r H o D c r m 3 m 0 d N t e F a j P 3 5 n t 1 M K z N T A c P H 5 C / t b t / 8 O m D B + P 9 + 7 d T b e b d 3 Z 0 H t N K w e + / e g / v 3 x n s P b 6 f d z M v b u z t 7 n 9 5 / e H B / 5 8 H 9 8 c H + 7 f S b v j w 8 S x 5 / 3 9 j W Y + 8 b 2 3 r c f W N b X 7 / d 3 D j C V 7 c n j a / h 3 K z c 9 u U I O 7 x H 1 x G G u K 2 W e 3 9 U + z x w a z 1 3 8 x S 8 D y P 4 e u 7 G x r 6 e u 7 l x n x M 2 N O 5 P / I b G / Y n e M E D X d s 8 o I U / H n X z 5 B W X c b l B D + 7 f W c 7 Y L 1 X P u z f f q Y F j P m Q 4 O 7 j 3 c p 7 B y b + / h v f G m t L 7 H 1 e 7 V + w c P a X H z 4 c M H 4 0 9 v t y R g 3 7 1 3 / 8 G n B z t 7 D z 8 d 7 9 w u K D V v D k + Q x 9 o 3 t v U 4 + 8 a 2 H m P f 2 N Z X c T c 3 j r D U L e n i 6 z f z 6 v Z t 3 4 1 w w U a d E Z n 6 2 3 Y V m f m N X f X n + / b D e p / 5 9 1 X b z Y 3 f h w N 8 1 X Z z 4 z 4 H b G j c n / M N j f u T v G G A r u 2 9 U L W J V v v i 9 M 3 t 9 M 7 u z Y r N d h A q t t 3 3 7 G B Y s Z k O a P F h 9 + G n B 6 T W 9 j e x j c f c 5 k 1 K C J M B v n d A M c Y t t Z p 5 c / v B 3 s O H O + Q 4 f j q G 1 A y + 6 r G 5 v j o 8 O R 5 b 3 9 j W 4 + o b 2 3 p M f W N b X 6 3 d 3 D j C T r c l j K / X z L u 3 f T X C A 7 f u N s I F t / X Z 3 h f N / t z f 2 m O 7 m f T v w w C + W r u x s a / W b m 7 c 5 4 A N j f t T v q F x f 5 I 3 D N C 1 3 Q / V G n t s T 0 9 / 8 v T F 5 z f o n f u 3 9 t h s F 6 r Y 3 J v v 1 c G w Y j M d f L p / 8 P D B z s H O z q d 7 4 / u 3 V G 3 m X d K J u / v 7 9 3 Y f 7 n 8 6 v r 9 3 O + V m 3 r 2 / / + B g j z r f 3 S V L r P o 6 + q 7 H 4 f r u 8 B x 5 3 H 1 j W 4 + 5 b 2 z r 8 f a N b X 3 t d n P j C F f d m j K + e j M v b 9 / + 7 Q g z 3 N Z x u x 2 q A y r u V p 3 1 Z / 1 9 h v Y + f O B r u Z s b v w 8 n + F r u 5 s Z 9 T r i d l r u 5 c X + i b 6 X l 7 n + g l r u F + 2 a 7 C L X c T e 5 b t 4 N h L W c 6 + P R g j 0 L T h 3 u f f j r e 2 6 S o P B 6 3 r x K 7 0 X I p a b m D 8 f 7 D 2 y k 5 8 y 6 x 7 D 0 K O O 7 f e 3 h v b 7 y 3 y f 3 z + F 1 f v p W W u 7 G t x 9 w 3 t v V 4 + 8 a 2 v p a 7 u X G E q 2 5 P G l / N m b d v / 3 K E G d 6 j 6 w g / 3 N a T e 3 9 U + z x w a 1 / u 5 i l 4 H 0 b w t d y N j X 0 t d 3 P j P i d s a N y f + A 2 N + x O 9 Y Y C u 7 a c R L c e L p m c 3 K K F P b + 3 L 2 S 5 U y 7 k 3 3 6 u D Y S 1 n O v h 0 5 9 4 + p d 4 O H t w b 3 7 + d k j N v 3 v / 0 / v 7 9 h / u 7 O / d 3 x 5 / e U s m Z d 7 f v 0 1 u 7 D 3 b p / w f j 3 U 0 v e w y u L w 9 P k c f c N 7 b 1 e P v G t h 5 r 3 9 j W V 3 I 3 N 4 4 w 1 e 1 J 4 y s 5 O y m 3 f j n C C + / R d Y Q f b q v k 3 h / V P g / c W s n d P A X v w w i + k r u x s a / k b m 7 c 5 4 Q N j f s T v 6 F x f 6 I 3 D N C 1 f d B R c q z f n t 6 0 v q A K 6 B Z + n I U f a r i b / L h u B 8 M a z n T w 6 c 4 + 2 V J K j N w / G D / c F A J 4 P G 3 f v a U P 6 L G 3 e f X + v U / 3 H u 7 u f L r 7 c G + z e v S 4 W 9 8 d n h + P s 2 9 s 6 z H 2 j W 0 9 v r 6 x r a / h b m 4 c 4 a h b U 8 Z X c O b l 7 d u / H e G F 2 w a r 7 4 9 q h A N u G 6 x + j a G 9 D x / 4 G u 7 m x u / D C b 6 G u 7 l x n x M 2 N O 7 P / I b G / Y n e M E D X 9 q C j 4 e D G v T z + / P j p D S r o w a 2 9 O N u D 6 j j 3 5 n t 1 M K z j T A f 3 P 9 2 n 5 d P 9 B 7 v 3 9 8 Y H m w I G j 8 f N u 3 s P 7 h 0 c 3 N t 9 Q D p u f 5 N 6 9 D j c d n v v U 8 o 4 U 6 B 7 Q O 9 + e j s d p + 8 O z 5 D H 2 z e 2 9 V j 7 x r Y e Z 9 / Y 1 t d x N z e O 8 N S t K e P r O P P y 9 u 3 f j v D C b X X c + 6 M a 4 Y D b 6 r i v M b T 3 4 Q N f x 9 3 c + H 0 4 w d d x N z f u c 8 K G x v 2 Z 3 9 C 4 P 9 E b B u j a P j Q a 6 E W V Z k 1 x s c x m V X q y z p d t l s 7 y d J F d V / V W c 2 d Q I b 0 6 f f 3 m 9 / / 2 g K Y z p N n h T h S X 4 0 F l Z X D Z x D M e f 9 6 m u c e R t 2 n u M e R t m n s c a J r v 7 u 3 s P K R 4 + e H e / Y f j T z d F z B 5 H v v / L H o f e B l F f X W n 7 2 6 m r W w H 3 + P R W 7 d 9 z y n 2 d d K v 2 7 z n p v h q 6 V f v + t N 9 O 8 d w K + H v O r K 9 + b t X + P S f X V 0 K 3 a n / 7 y b 3 7 + a u z p 7 / / l 8 + e P T 9 7 c U p / k i r 5 6 j l 9 9 / I V f X b 0 e z + + K 7 8 8 f v U T P 4 m / 8 O P x T 3 x 1 + u r 3 O f q p Z 2 e / / x c n O 7 u / / 0 9 w o C c f y n e / / 0 + e n X 4 X P b m / f v 8 3 p 7 / 3 G 5 6 h F 8 + + P P n q y a l 9 n 3 S Y + e j x 5 6 c v v n p x d k b Y 7 t x 7 c X D 6 x b c P P n / z 7 N X J 6 + / + X l + 8 / L 1 f v f 6 p L 0 8 J Y d P m 8 c n p 8 + e / / / O z L 8 7 e p O + a 4 t G y K D / 7 q K 3 X + U f o 5 + W X r 8 / e n H 3 5 A g O 3 v z 9 + / f v / 5 P G r s + M n z 0 9 P v n z x 5 p j G / I r g m F 9 / / 2 8 f v 3 j 6 / D Q C 7 c 3 v / f t / + e Q 7 p y d v 8 D 7 9 / / l X p 6 8 j z e 5 G 4 d 9 9 9 f r V 7 / / 6 9 / 7 9 n x 6 / O S Z y / u T Z U / 7 0 T e e D N 7 / / 2 Z v T L 1 4 T r a U 5 / j p 6 / C J b 5 E c g 3 u n z 0 y 9 O X 7 z 5 / Y m X + T N M 0 c v T V 2 / O T u k V t P 3 9 9 Y P f R 1 / i z 1 4 c f 3 F q X j h b z v J 3 o I f 8 8 v g n s 3 L d g y 0 f U p s Q Y q y D V 6 c v C P H f / / j 1 6 9 M v n j z / f T Z 3 8 + T 0 3 f F s V i x H 6 U / m d V N U y 8 8 e 7 O / s j H f H O + O d E R m 7 s l 3 X + W f L f N 3 W W T l K X 6 4 n Z T H 9 v f L r N 9 X b f P k Z B f f Z p 3 s 7 B 9 P J + f 2 D S T b 5 O n i e P C d M N y M 5 r R b j J l u N J 8 U 4 b 8 f Z M i u v f 5 D X 4 w y I j 2 k E Z 2 2 + e J O / a 0 / L f E H W + b 2 w w G T j M 5 7 t z W g 8 f f n 7 7 7 4 X 7 N P f m 2 T h F n N N Q / j u w c 5 X D 3 e f n / z e p 3 s v v / 3 7 n O 3 t f / n y w U 8 + f / n 6 + X t 1 + P r b p 6 d v b u g r K 7 P l N H 8 v s E 9 P X 5 9 9 / u L 3 f / 3 t 4 5 c 3 j + T z F 2 / e v N z 9 z p v 7 v / d X X x 1 8 + u X e m + / 8 P l / c / + I J 8 H q P L l 8 d v / j 8 h r 5 + t 1 e / 2 + 4 j / P N e g J + e v X 7 5 / P j 3 + f 1 f v z l + c 3 b y + z 8 7 e / 7 m 9 N V m / m M V 8 h 6 g n 3 3 5 6 o v j N 9 8 s T K i D 3 1 / 1 w R B k p c s v L N v D 3 + P d o k w v V a I / I m n + K M 2 X 0 4 r k 5 e K z j 9 b t + f b u p x / 9 H r / w o j 3 8 j R M 0 f 5 3 X R V Y W P 8 g 9 K U o J x L J 5 R N r 0 s 4 / m b b t 6 d P f u 1 d X V + O r e u K o v 7 p I 3 t n v 3 9 / 7 i + e v p P F 9 k 2 8 W y a c F W H 9 m 3 Z j e / 9 Z E g k K Z A 4 c 3 1 K s f f P 5 k R K p M y x 2 d 3 z Y e m 0 d l T b q K 6 / P f / q b P f n 2 h 1 7 / f f 4 8 b y p W n K t D D v k 8 L i J s G H M v S 7 s b H j 6 / f i q u O v 3 n z 5 7 G y z 6 L 3 v l J 8 c v 4 R 1 f G + Y d / V X t k D G y I n V 2 m z C 9 n 4 W T d j e e 5 H z R y b s f b D 4 f 4 k J + 7 1 e H b z 6 f X 7 v z 1 8 + f f 3 6 i 0 + f P X n 6 4 j t v v v y 9 v 3 3 8 b P + 9 O v x / g w m 7 9 + X J 7 3 N / 7 9 7 J F 7 / 3 6 4 O 9 n z j 9 i p I u T 7 7 z 4 v M H x + / V 5 W 1 M 2 D F M 2 P G P T F i H L j 9 / T N j O y 9 / / 2 e 9 z e v z q R x b s m 7 B g 9 3 4 W L d i 9 9 y L n j y z Y + 2 D x / x I L d v b F l 2 f 7 9 7 7 z k 2 c H z 5 9 / e v Z 7 / + T J q 8 9 / 7 / 3 f 5 z s v v 3 y v D v / f Y M F O v / v k i z d P f + I n 9 r 4 4 + O r p 0 8 / f / M T + i + P 7 + w f H v / d 7 d X k b C / Y E F u z J j y z Y z 1 8 L d k b z 9 / q E 6 H X v R 0 b s m z B i + z + L R u z 9 f P E f G b H 3 w e L / J U b s w a f P f u 9 P T 7 9 8 8 f r 5 w 2 8 / 3 z l 5 + e 1 P f + L 3 / v b 9 L 7 9 9 / 7 0 6 / H + D E d t 9 / f T p / e c v 7 x 2 c H H 9 + c v D 0 O w 9 P d 7 8 8 e / U T J 1 + 9 V 5 e 3 M W I n M G I n P z J i / 7 8 y Y i c V g 2 o 3 G L H X r 0 h o T 2 8 y W x j K j + z W j X b r / s + i 3 X o / 5 f U j u / U + W P y / x G 5 9 / l P P X h 2 8 v v c T 9 1 / v / j 7 3 d 1 / 8 x N n + k 9 d f 7 L w 6 P X i v D v / f Y L f O 3 n y 6 / 3 D / O 5 / + x M s v n x z / P v d / r 9 / 7 5 d N P f + 8 v f p + n 7 5 k D v 4 X d e g q 7 9 f R H d u v / V 3 b r v Y K v 1 7 / / y Z d f v K R / n p 7 + / r s / M m T f i C H 7 9 G f R k H 3 6 X u T 8 k S F 7 H y z + X 2 L I f u L 0 8 + 9 8 + f v 8 X m d n u 8 9 O K O w 6 + f Q n v n t w / F M H L 3 f e q 8 O v Y c h u A / a 9 D N k X P / E T 3 9 n b v / / d N / s / + e T + l 7 / 3 6 d N v H 3 z 7 4 N X 9 0 4 f v N Z L b G L J n M G T P f m T I f j 4 b s i d f v T 7 + k Q X 7 R i z Y g 5 9 F C / b g v c j 5 I w v 2 P l j 8 v 8 S C f X X w E 8 f 3 j n / y 6 c v 9 k 9 / 7 y a d f f v v 5 3 u m D r 0 6 f f e f 9 p v 7 / D R b s 9 K f u H d 9 / + f w n f + L 5 v V d 7 n / / e P / X l 8 5 3 f + + V P f O f g 5 X t 1 e R s L 9 h O w Y D / x I w v 2 8 9 a C / d T L 3 / / Z 7 3 N 6 / O o m E / a j R b A h C / b 5 q 7 O n U G r f q O k y Q N + D g D 8 / b d b n d T F 7 r + 5 / N o 3 V m + N X n 5 + + + f 0 3 d L H 7 o V 2 8 h z 3 8 q d / 7 i 2 d v D u 4 9 + 8 k n 3 7 3 3 5 N P 9 p 5 + / + e r F T z 1 / u P e N R 3 T P 1 i T w + f a L 6 k l V 1 1 n 9 X u D f y y 5 + c f z l y + c 7 3 / 3 u 6 5 8 k 0 / j s 9 / 6 9 f u r b r 3 6 v N 7 / 3 T z x 5 + l 5 d 3 s Y u H s M u f v d 3 2 z v Y f b + o U e z W Z u C / 9 3 t B f P 3 l q z e / / 9 k J r Y x + k 1 C / f X b 6 6 v j V y b d / n 5 9 N 0 G x w X 7 4 6 f X b 2 e 5 9 + M 6 b 8 x f F P n n 1 + / L V 0 e g z c N 2 l z M P N f P T / + J i n 5 9 N X Z 8 + e / / 9 M v v / v i 9 / / y B S V L X / z k N 4 L p t 8 8 + / / Z z + v 8 b c u B e f X X y 5 q t X p 7 / / F 2 Q z v i k f j i b 8 l J T 8 y e n v / 3 u d / j 7 f K G u d P D 9 7 + Q X l j H / v G / T R V 8 + f v z 7 7 q d O v B f s G w / m 1 Y B 8 / / c 5 X r y E K Z x S J H r 8 6 3 c w l t 6 U z / f n m 9 O Q b E 4 a n X / 7 + L 7 4 k 4 0 U e 8 p v T 3 / / F V 2 C I W / n h 7 z m J r 7 / 9 5 X e R / m c 3 n N y V 3 1 9 M m v n k G x n L 6 6 9 e k t 5 5 / f r 3 f 3 H 6 3 d / / + d m L r 6 F + 7 u q v E R / w 7 h v + h T 5 / / f s b R 5 q k 8 8 0 x d f T q 6 L H 9 9 f f / 9 v G L p 8 9 P U / L / H y 2 L 8 r O P 2 n p N 7 j 1 1 9 u b 3 / v 2 / f P I d m j y 8 T / 9 / / t X p 6 0 i z u 1 H 4 b w y W j N q r V 7 9 3 8 P f Z 0 6 P j 5 8 + J x E 9 f H X / + + x M C 9 M u X L 2 l 4 T 2 m w 6 I i n i 3 + h Y X V e j g A j a S Z K f p t m 6 e z N 7 / / F 8 c m r L z 1 Y j O Q t g N C f J 5 g O M 5 q v j 8 4 X p 8 / f W D C v v z 4 c F Z 7 f / 7 t f v v q 9 n n z 5 5 e / 1 N Q Z l K P P d J 1 D P 9 N W L r 4 + O Q e P 3 f 0 l e M f 3 x 9 G v g 8 + b b p / A K 3 / u 9 1 2 9 + H w o E v 3 p J b i s Z A l K B / j B 2 3 m s Y b 8 i 3 e k 3 a / w P B / D g s n X u Z / 3 y v 1 7 8 K X / / q v V 5 / 8 e X v / 9 1 X x 7 7 I 3 J a S d h Y 7 w 7 / t + 6 w a 6 Q M n K B / A 4 R a Z M 5 + Z j p 7 d O / 3 y y e c / u f P V y 9 e 7 T 7 7 6 a v f 4 i 9 / 7 9 z 7 e f b b z n f c C / p K s G N m y D 5 t m B c J v f B 1 q k Z K H c / z 6 7 M X n x M A U S q l E f g 1 Y X 7 0 + J Q l + c / Y F m X Z y i 7 4 k 3 X l b J X U 3 1 M e A h M V t m B 8 y z U d Q 5 o / v d j 9 9 L G N H H H f 0 U 8 / O f v 8 v T n Z 2 f / + f o N T O 4 7 v e N 9 r q z e / z 8 v T o J 9 Z 5 f W 2 + 5 U 8 e I / 8 m E n t E H O 7 9 h W a f n x 7 9 P z N v 4 X B a + z Q A < / A p p l i c a t i o n > 
</file>

<file path=customXml/itemProps1.xml><?xml version="1.0" encoding="utf-8"?>
<ds:datastoreItem xmlns:ds="http://schemas.openxmlformats.org/officeDocument/2006/customXml" ds:itemID="{4A6F1984-3185-4323-95E4-3AE300DE724C}">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ESF</vt:lpstr>
      <vt:lpstr>EA</vt:lpstr>
      <vt:lpstr>EVHP</vt:lpstr>
      <vt:lpstr>ECSF</vt:lpstr>
      <vt:lpstr>EFE</vt:lpstr>
      <vt:lpstr>EAA</vt:lpstr>
      <vt:lpstr>EADyOP</vt:lpstr>
      <vt:lpstr>IPC</vt:lpstr>
      <vt:lpstr>Fuente-NoBorrar</vt:lpstr>
    </vt:vector>
  </TitlesOfParts>
  <Company>Advanzer de México S.A. de C.V.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 Estado de Situación Financiera</dc:title>
  <dc:creator>Yolanda Villarreal M</dc:creator>
  <cp:lastModifiedBy>Martha</cp:lastModifiedBy>
  <cp:lastPrinted>2016-04-15T07:13:27Z</cp:lastPrinted>
  <dcterms:created xsi:type="dcterms:W3CDTF">2011-06-09T14:10:53Z</dcterms:created>
  <dcterms:modified xsi:type="dcterms:W3CDTF">2016-12-06T21:06:22Z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Activesheet">
    <vt:lpwstr>Balance</vt:lpwstr>
  </property>
  <property fmtid="{D5CDD505-2E9C-101B-9397-08002B2CF9AE}" pid="3" name="BExAnalyzer_OldName">
    <vt:lpwstr>1. Estado de Situación Financiera(F3EOBGV0UPS1BUU1AMXXA1F0J).xlsx</vt:lpwstr>
  </property>
</Properties>
</file>